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28800" windowHeight="11835" tabRatio="901"/>
  </bookViews>
  <sheets>
    <sheet name="Record Identification" sheetId="21" r:id="rId1"/>
    <sheet name="Application Annually" sheetId="1" r:id="rId2"/>
    <sheet name="Annually (Monthly Calc Capable)" sheetId="20" r:id="rId3"/>
    <sheet name="چاپ جدول مذاکره سالیانه" sheetId="14" state="hidden" r:id="rId4"/>
    <sheet name="تفکیک حق بیمه پرداختی" sheetId="19" state="hidden" r:id="rId5"/>
    <sheet name="Changes" sheetId="27" r:id="rId6"/>
    <sheet name="Annual Calculation" sheetId="2" r:id="rId7"/>
    <sheet name="Profit Calculation" sheetId="32" r:id="rId8"/>
    <sheet name="Single" sheetId="23" r:id="rId9"/>
    <sheet name="db" sheetId="15" r:id="rId10"/>
    <sheet name="Mortality Table" sheetId="3" r:id="rId11"/>
    <sheet name="RiskLoading" sheetId="22" r:id="rId12"/>
    <sheet name="RiskLoadingChange" sheetId="28" r:id="rId13"/>
    <sheet name="reserve calculation" sheetId="30" r:id="rId14"/>
    <sheet name="Profit Division" sheetId="33" r:id="rId15"/>
    <sheet name="Paid-up Penalty" sheetId="29" r:id="rId16"/>
  </sheets>
  <definedNames>
    <definedName name="AgePlusDuration">db!$E$13</definedName>
    <definedName name="Annulment">Changes!$G$31</definedName>
    <definedName name="Change" localSheetId="5">Changes!$G$12</definedName>
    <definedName name="ChangeType" localSheetId="5">Changes!$G$14</definedName>
    <definedName name="cityTaxRate">db!$B$16</definedName>
    <definedName name="FLAG">'Annually (Monthly Calc Capable)'!$I:$I</definedName>
    <definedName name="healthTaxRate">db!$B$15</definedName>
    <definedName name="InitialFund">db!$B$5</definedName>
    <definedName name="InsurancePeriod">db!$E$5</definedName>
    <definedName name="INSURING_COST" localSheetId="15">'Paid-up Penalty'!$BX$2</definedName>
    <definedName name="INSURING_COST">'Annual Calculation'!$BX$2</definedName>
    <definedName name="MAX_ACC_CAPITAL">db!$L$2</definedName>
    <definedName name="MAX_CAPITAL">db!$L$7</definedName>
    <definedName name="NewChangedValue" localSheetId="5">Changes!$G$18</definedName>
    <definedName name="NewDeathCapital" localSheetId="5">Changes!$G$18</definedName>
    <definedName name="PaidUpOption">Changes!$G$26</definedName>
    <definedName name="PremiumLst" localSheetId="15">'Paid-up Penalty'!$L:$L</definedName>
    <definedName name="PremiumLst">'Annual Calculation'!$L:$L</definedName>
    <definedName name="_xlnm.Print_Titles" localSheetId="3">'چاپ جدول مذاکره سالیانه'!$9:$9</definedName>
    <definedName name="RiderType" localSheetId="5">Changes!$G$16</definedName>
    <definedName name="RiskLoadingPercentage">'Application Annually'!$H$3</definedName>
    <definedName name="SumOfTAX">db!$B$18</definedName>
    <definedName name="ValidityYear" localSheetId="5">Changes!$G$20</definedName>
    <definedName name="vAtRate">db!$B$17</definedName>
    <definedName name="WOP">'Application Annually'!$G$20</definedName>
  </definedNames>
  <calcPr calcId="152511"/>
</workbook>
</file>

<file path=xl/calcChain.xml><?xml version="1.0" encoding="utf-8"?>
<calcChain xmlns="http://schemas.openxmlformats.org/spreadsheetml/2006/main">
  <c r="AH3" i="29" l="1"/>
  <c r="AH4" i="29"/>
  <c r="AH5" i="29"/>
  <c r="AH6" i="29"/>
  <c r="AH7" i="29"/>
  <c r="AH8" i="29"/>
  <c r="AH9" i="29"/>
  <c r="AH10" i="29"/>
  <c r="AH11" i="29"/>
  <c r="AH12" i="29"/>
  <c r="AH13" i="29"/>
  <c r="AH14" i="29"/>
  <c r="AH15" i="29"/>
  <c r="AH16" i="29"/>
  <c r="AH17" i="29"/>
  <c r="AH18" i="29"/>
  <c r="AH19" i="29"/>
  <c r="AH20" i="29"/>
  <c r="AH21" i="29"/>
  <c r="AH22" i="29"/>
  <c r="AH23" i="29"/>
  <c r="AH24" i="29"/>
  <c r="AH25" i="29"/>
  <c r="AH26" i="29"/>
  <c r="AH27" i="29"/>
  <c r="AH28" i="29"/>
  <c r="AH29" i="29"/>
  <c r="AH30" i="29"/>
  <c r="AH31" i="29"/>
  <c r="AH32" i="29"/>
  <c r="AH33" i="29"/>
  <c r="AH34" i="29"/>
  <c r="AH35" i="29"/>
  <c r="AH36" i="29"/>
  <c r="AH37" i="29"/>
  <c r="AH38" i="29"/>
  <c r="AH39" i="29"/>
  <c r="AH40" i="29"/>
  <c r="AH41" i="29"/>
  <c r="AH42" i="29"/>
  <c r="AH43" i="29"/>
  <c r="AH44" i="29"/>
  <c r="AH45" i="29"/>
  <c r="AH46" i="29"/>
  <c r="AH47" i="29"/>
  <c r="AH48" i="29"/>
  <c r="AH49" i="29"/>
  <c r="AH50" i="29"/>
  <c r="AH51" i="29"/>
  <c r="AH52" i="29"/>
  <c r="AH53" i="29"/>
  <c r="AH54" i="29"/>
  <c r="AH55" i="29"/>
  <c r="AH56" i="29"/>
  <c r="AH57" i="29"/>
  <c r="AH58" i="29"/>
  <c r="AH59" i="29"/>
  <c r="AH60" i="29"/>
  <c r="AH61" i="29"/>
  <c r="AH62" i="29"/>
  <c r="AH63" i="29"/>
  <c r="AH64" i="29"/>
  <c r="AH65" i="29"/>
  <c r="AH66" i="29"/>
  <c r="AH67" i="29"/>
  <c r="AH68" i="29"/>
  <c r="AH69" i="29"/>
  <c r="AH70" i="29"/>
  <c r="AH71" i="29"/>
  <c r="AH72" i="29"/>
  <c r="AH73" i="29"/>
  <c r="AH74" i="29"/>
  <c r="AH75" i="29"/>
  <c r="AH76" i="29"/>
  <c r="AH77" i="29"/>
  <c r="AH78" i="29"/>
  <c r="AH79" i="29"/>
  <c r="AH80" i="29"/>
  <c r="AH81" i="29"/>
  <c r="AH82" i="29"/>
  <c r="AH83" i="29"/>
  <c r="AH84" i="29"/>
  <c r="AH85" i="29"/>
  <c r="AH86" i="29"/>
  <c r="AH87" i="29"/>
  <c r="AH88" i="29"/>
  <c r="AH89" i="29"/>
  <c r="AH90" i="29"/>
  <c r="AH91" i="29"/>
  <c r="AH92" i="29"/>
  <c r="AH93" i="29"/>
  <c r="AH94" i="29"/>
  <c r="AH95" i="29"/>
  <c r="AH96" i="29"/>
  <c r="AH97" i="29"/>
  <c r="AH98" i="29"/>
  <c r="AH99" i="29"/>
  <c r="AH100" i="29"/>
  <c r="AH101" i="29"/>
  <c r="AH102" i="29"/>
  <c r="AH103" i="29"/>
  <c r="AH104" i="29"/>
  <c r="AH105" i="29"/>
  <c r="AH106" i="29"/>
  <c r="AH107" i="29"/>
  <c r="AH2" i="29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O5" i="3"/>
  <c r="O2" i="3"/>
  <c r="M2" i="3"/>
  <c r="AH2" i="2"/>
  <c r="K2" i="3"/>
  <c r="R2" i="3"/>
  <c r="O3" i="3"/>
  <c r="O4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J2" i="3"/>
  <c r="I2" i="3"/>
  <c r="G2" i="30" l="1"/>
  <c r="G3" i="30" s="1"/>
  <c r="G4" i="30" s="1"/>
  <c r="G5" i="30" s="1"/>
  <c r="G6" i="30" s="1"/>
  <c r="G7" i="30" s="1"/>
  <c r="G8" i="30" s="1"/>
  <c r="G9" i="30" s="1"/>
  <c r="G10" i="30" s="1"/>
  <c r="G11" i="30" s="1"/>
  <c r="G12" i="30" s="1"/>
  <c r="G13" i="30" s="1"/>
  <c r="Q27" i="30"/>
  <c r="BT2" i="23"/>
  <c r="A3" i="23" l="1"/>
  <c r="A4" i="23" s="1"/>
  <c r="A5" i="23" s="1"/>
  <c r="A6" i="23" s="1"/>
  <c r="A7" i="23" s="1"/>
  <c r="A8" i="23" s="1"/>
  <c r="A9" i="23" s="1"/>
  <c r="A10" i="23" s="1"/>
  <c r="A11" i="23" s="1"/>
  <c r="A12" i="23" s="1"/>
  <c r="A13" i="23" s="1"/>
  <c r="A14" i="23" s="1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l="1"/>
  <c r="A56" i="23" s="1"/>
  <c r="A57" i="23" s="1"/>
  <c r="A58" i="23" s="1"/>
  <c r="A59" i="23" s="1"/>
  <c r="A60" i="23" s="1"/>
  <c r="A61" i="23" s="1"/>
  <c r="A62" i="23" s="1"/>
  <c r="A63" i="23" s="1"/>
  <c r="A64" i="23" s="1"/>
  <c r="A65" i="23" s="1"/>
  <c r="A66" i="23" s="1"/>
  <c r="A67" i="23" s="1"/>
  <c r="A68" i="23" s="1"/>
  <c r="A69" i="23" s="1"/>
  <c r="A70" i="23" s="1"/>
  <c r="A71" i="23" s="1"/>
  <c r="A72" i="23" s="1"/>
  <c r="A73" i="23" s="1"/>
  <c r="A74" i="23" s="1"/>
  <c r="A75" i="23" s="1"/>
  <c r="A76" i="23" s="1"/>
  <c r="A77" i="23" s="1"/>
  <c r="A78" i="23" s="1"/>
  <c r="A79" i="23" s="1"/>
  <c r="A80" i="23" s="1"/>
  <c r="A81" i="23" s="1"/>
  <c r="A82" i="23" s="1"/>
  <c r="A83" i="23" s="1"/>
  <c r="A84" i="23" s="1"/>
  <c r="A85" i="23" s="1"/>
  <c r="A86" i="23" s="1"/>
  <c r="A87" i="23" s="1"/>
  <c r="A88" i="23" s="1"/>
  <c r="A89" i="23" s="1"/>
  <c r="A90" i="23" s="1"/>
  <c r="A91" i="23" s="1"/>
  <c r="A92" i="23" s="1"/>
  <c r="A93" i="23" s="1"/>
  <c r="A94" i="23" s="1"/>
  <c r="A95" i="23" s="1"/>
  <c r="A96" i="23" s="1"/>
  <c r="A97" i="23" s="1"/>
  <c r="A98" i="23" s="1"/>
  <c r="A99" i="23" s="1"/>
  <c r="A100" i="23" s="1"/>
  <c r="A101" i="23" s="1"/>
  <c r="A102" i="23" s="1"/>
  <c r="A103" i="23" s="1"/>
  <c r="A104" i="23" s="1"/>
  <c r="A105" i="23" s="1"/>
  <c r="A106" i="23" s="1"/>
  <c r="A107" i="23" s="1"/>
  <c r="G50" i="30"/>
  <c r="G51" i="30" s="1"/>
  <c r="G52" i="30" s="1"/>
  <c r="G53" i="30" s="1"/>
  <c r="G54" i="30" s="1"/>
  <c r="G55" i="30" s="1"/>
  <c r="G56" i="30" s="1"/>
  <c r="G57" i="30" s="1"/>
  <c r="G58" i="30" s="1"/>
  <c r="G59" i="30" s="1"/>
  <c r="G60" i="30" s="1"/>
  <c r="G61" i="30" s="1"/>
  <c r="G98" i="30"/>
  <c r="G99" i="30" s="1"/>
  <c r="G100" i="30" s="1"/>
  <c r="G101" i="30" s="1"/>
  <c r="G102" i="30" s="1"/>
  <c r="G103" i="30" s="1"/>
  <c r="G104" i="30" s="1"/>
  <c r="G105" i="30" s="1"/>
  <c r="G106" i="30" s="1"/>
  <c r="G107" i="30" s="1"/>
  <c r="G108" i="30" s="1"/>
  <c r="G109" i="30" s="1"/>
  <c r="G146" i="30"/>
  <c r="G147" i="30" s="1"/>
  <c r="G148" i="30" s="1"/>
  <c r="G149" i="30" s="1"/>
  <c r="G150" i="30" s="1"/>
  <c r="G151" i="30" s="1"/>
  <c r="G152" i="30" s="1"/>
  <c r="G153" i="30" s="1"/>
  <c r="G154" i="30" s="1"/>
  <c r="G155" i="30" s="1"/>
  <c r="G156" i="30" s="1"/>
  <c r="G157" i="30" s="1"/>
  <c r="G194" i="30"/>
  <c r="G195" i="30" s="1"/>
  <c r="G196" i="30" s="1"/>
  <c r="G197" i="30" s="1"/>
  <c r="G198" i="30" s="1"/>
  <c r="G199" i="30" s="1"/>
  <c r="G200" i="30" s="1"/>
  <c r="G201" i="30" s="1"/>
  <c r="G202" i="30" s="1"/>
  <c r="G203" i="30" s="1"/>
  <c r="G204" i="30" s="1"/>
  <c r="G205" i="30" s="1"/>
  <c r="G242" i="30"/>
  <c r="G243" i="30" s="1"/>
  <c r="G244" i="30" s="1"/>
  <c r="G245" i="30" s="1"/>
  <c r="G246" i="30" s="1"/>
  <c r="G247" i="30" s="1"/>
  <c r="G248" i="30" s="1"/>
  <c r="G249" i="30" s="1"/>
  <c r="G250" i="30" s="1"/>
  <c r="G251" i="30" s="1"/>
  <c r="G252" i="30" s="1"/>
  <c r="G253" i="30" s="1"/>
  <c r="G278" i="30"/>
  <c r="G279" i="30" s="1"/>
  <c r="G280" i="30" s="1"/>
  <c r="G281" i="30" s="1"/>
  <c r="G282" i="30" s="1"/>
  <c r="G283" i="30" s="1"/>
  <c r="G284" i="30" s="1"/>
  <c r="G285" i="30" s="1"/>
  <c r="G286" i="30" s="1"/>
  <c r="G287" i="30" s="1"/>
  <c r="G288" i="30" s="1"/>
  <c r="G289" i="30" s="1"/>
  <c r="G350" i="30"/>
  <c r="G351" i="30" s="1"/>
  <c r="G352" i="30" s="1"/>
  <c r="G353" i="30" s="1"/>
  <c r="G354" i="30" s="1"/>
  <c r="G355" i="30" s="1"/>
  <c r="G356" i="30" s="1"/>
  <c r="G357" i="30" s="1"/>
  <c r="G358" i="30" s="1"/>
  <c r="G359" i="30" s="1"/>
  <c r="G360" i="30" s="1"/>
  <c r="G361" i="30" s="1"/>
  <c r="G386" i="30"/>
  <c r="G387" i="30" s="1"/>
  <c r="G388" i="30" s="1"/>
  <c r="G389" i="30" s="1"/>
  <c r="G390" i="30" s="1"/>
  <c r="G391" i="30" s="1"/>
  <c r="G392" i="30" s="1"/>
  <c r="G393" i="30" s="1"/>
  <c r="G394" i="30" s="1"/>
  <c r="G395" i="30" s="1"/>
  <c r="G396" i="30" s="1"/>
  <c r="G397" i="30" s="1"/>
  <c r="G26" i="30"/>
  <c r="G27" i="30" s="1"/>
  <c r="G28" i="30" s="1"/>
  <c r="G29" i="30" s="1"/>
  <c r="G30" i="30" s="1"/>
  <c r="G31" i="30" s="1"/>
  <c r="G32" i="30" s="1"/>
  <c r="G33" i="30" s="1"/>
  <c r="G34" i="30" s="1"/>
  <c r="G35" i="30" s="1"/>
  <c r="G36" i="30" s="1"/>
  <c r="G37" i="30" s="1"/>
  <c r="G74" i="30"/>
  <c r="G75" i="30" s="1"/>
  <c r="G76" i="30" s="1"/>
  <c r="G77" i="30" s="1"/>
  <c r="G78" i="30" s="1"/>
  <c r="G79" i="30" s="1"/>
  <c r="G80" i="30" s="1"/>
  <c r="G81" i="30" s="1"/>
  <c r="G82" i="30" s="1"/>
  <c r="G83" i="30" s="1"/>
  <c r="G84" i="30" s="1"/>
  <c r="G85" i="30" s="1"/>
  <c r="G122" i="30"/>
  <c r="G123" i="30" s="1"/>
  <c r="G124" i="30" s="1"/>
  <c r="G125" i="30" s="1"/>
  <c r="G126" i="30" s="1"/>
  <c r="G127" i="30" s="1"/>
  <c r="G128" i="30" s="1"/>
  <c r="G129" i="30" s="1"/>
  <c r="G130" i="30" s="1"/>
  <c r="G131" i="30" s="1"/>
  <c r="G132" i="30" s="1"/>
  <c r="G133" i="30" s="1"/>
  <c r="G170" i="30"/>
  <c r="G171" i="30" s="1"/>
  <c r="G172" i="30" s="1"/>
  <c r="G173" i="30" s="1"/>
  <c r="G174" i="30" s="1"/>
  <c r="G175" i="30" s="1"/>
  <c r="G176" i="30" s="1"/>
  <c r="G177" i="30" s="1"/>
  <c r="G178" i="30" s="1"/>
  <c r="G179" i="30" s="1"/>
  <c r="G180" i="30" s="1"/>
  <c r="G181" i="30" s="1"/>
  <c r="G218" i="30"/>
  <c r="G219" i="30" s="1"/>
  <c r="G220" i="30" s="1"/>
  <c r="G221" i="30" s="1"/>
  <c r="G222" i="30" s="1"/>
  <c r="G223" i="30" s="1"/>
  <c r="G224" i="30" s="1"/>
  <c r="G225" i="30" s="1"/>
  <c r="G226" i="30" s="1"/>
  <c r="G227" i="30" s="1"/>
  <c r="G228" i="30" s="1"/>
  <c r="G229" i="30" s="1"/>
  <c r="G302" i="30"/>
  <c r="G303" i="30" s="1"/>
  <c r="G304" i="30" s="1"/>
  <c r="G305" i="30" s="1"/>
  <c r="G306" i="30" s="1"/>
  <c r="G307" i="30" s="1"/>
  <c r="G308" i="30" s="1"/>
  <c r="G309" i="30" s="1"/>
  <c r="G310" i="30" s="1"/>
  <c r="G311" i="30" s="1"/>
  <c r="G312" i="30" s="1"/>
  <c r="G313" i="30" s="1"/>
  <c r="G326" i="30"/>
  <c r="G327" i="30" s="1"/>
  <c r="G328" i="30" s="1"/>
  <c r="G329" i="30" s="1"/>
  <c r="G330" i="30" s="1"/>
  <c r="G331" i="30" s="1"/>
  <c r="G332" i="30" s="1"/>
  <c r="G333" i="30" s="1"/>
  <c r="G334" i="30" s="1"/>
  <c r="G335" i="30" s="1"/>
  <c r="G336" i="30" s="1"/>
  <c r="G337" i="30" s="1"/>
  <c r="G374" i="30"/>
  <c r="G375" i="30" s="1"/>
  <c r="G376" i="30" s="1"/>
  <c r="G377" i="30" s="1"/>
  <c r="G378" i="30" s="1"/>
  <c r="G379" i="30" s="1"/>
  <c r="G380" i="30" s="1"/>
  <c r="G381" i="30" s="1"/>
  <c r="G382" i="30" s="1"/>
  <c r="G383" i="30" s="1"/>
  <c r="G384" i="30" s="1"/>
  <c r="G385" i="30" s="1"/>
  <c r="G62" i="30"/>
  <c r="G63" i="30" s="1"/>
  <c r="G64" i="30" s="1"/>
  <c r="G65" i="30" s="1"/>
  <c r="G66" i="30" s="1"/>
  <c r="G67" i="30" s="1"/>
  <c r="G68" i="30" s="1"/>
  <c r="G69" i="30" s="1"/>
  <c r="G70" i="30" s="1"/>
  <c r="G71" i="30" s="1"/>
  <c r="G72" i="30" s="1"/>
  <c r="G73" i="30" s="1"/>
  <c r="G158" i="30"/>
  <c r="G159" i="30" s="1"/>
  <c r="G160" i="30" s="1"/>
  <c r="G161" i="30" s="1"/>
  <c r="G162" i="30" s="1"/>
  <c r="G163" i="30" s="1"/>
  <c r="G164" i="30" s="1"/>
  <c r="G165" i="30" s="1"/>
  <c r="G166" i="30" s="1"/>
  <c r="G167" i="30" s="1"/>
  <c r="G168" i="30" s="1"/>
  <c r="G169" i="30" s="1"/>
  <c r="G254" i="30"/>
  <c r="G255" i="30" s="1"/>
  <c r="G256" i="30" s="1"/>
  <c r="G257" i="30" s="1"/>
  <c r="G258" i="30" s="1"/>
  <c r="G259" i="30" s="1"/>
  <c r="G260" i="30" s="1"/>
  <c r="G261" i="30" s="1"/>
  <c r="G262" i="30" s="1"/>
  <c r="G263" i="30" s="1"/>
  <c r="G264" i="30" s="1"/>
  <c r="G265" i="30" s="1"/>
  <c r="G38" i="30"/>
  <c r="G39" i="30" s="1"/>
  <c r="G40" i="30" s="1"/>
  <c r="G41" i="30" s="1"/>
  <c r="G42" i="30" s="1"/>
  <c r="G43" i="30" s="1"/>
  <c r="G44" i="30" s="1"/>
  <c r="G45" i="30" s="1"/>
  <c r="G46" i="30" s="1"/>
  <c r="G47" i="30" s="1"/>
  <c r="G48" i="30" s="1"/>
  <c r="G49" i="30" s="1"/>
  <c r="G86" i="30"/>
  <c r="G87" i="30" s="1"/>
  <c r="G88" i="30" s="1"/>
  <c r="G89" i="30" s="1"/>
  <c r="G90" i="30" s="1"/>
  <c r="G91" i="30" s="1"/>
  <c r="G92" i="30" s="1"/>
  <c r="G93" i="30" s="1"/>
  <c r="G94" i="30" s="1"/>
  <c r="G95" i="30" s="1"/>
  <c r="G96" i="30" s="1"/>
  <c r="G97" i="30" s="1"/>
  <c r="G134" i="30"/>
  <c r="G135" i="30" s="1"/>
  <c r="G136" i="30" s="1"/>
  <c r="G137" i="30" s="1"/>
  <c r="G138" i="30" s="1"/>
  <c r="G139" i="30" s="1"/>
  <c r="G140" i="30" s="1"/>
  <c r="G141" i="30" s="1"/>
  <c r="G142" i="30" s="1"/>
  <c r="G143" i="30" s="1"/>
  <c r="G144" i="30" s="1"/>
  <c r="G145" i="30" s="1"/>
  <c r="G182" i="30"/>
  <c r="G183" i="30" s="1"/>
  <c r="G184" i="30" s="1"/>
  <c r="G185" i="30" s="1"/>
  <c r="G186" i="30" s="1"/>
  <c r="G187" i="30" s="1"/>
  <c r="G188" i="30" s="1"/>
  <c r="G189" i="30" s="1"/>
  <c r="G190" i="30" s="1"/>
  <c r="G191" i="30" s="1"/>
  <c r="G192" i="30" s="1"/>
  <c r="G193" i="30" s="1"/>
  <c r="G230" i="30"/>
  <c r="G231" i="30" s="1"/>
  <c r="G232" i="30" s="1"/>
  <c r="G233" i="30" s="1"/>
  <c r="G234" i="30" s="1"/>
  <c r="G235" i="30" s="1"/>
  <c r="G236" i="30" s="1"/>
  <c r="G237" i="30" s="1"/>
  <c r="G238" i="30" s="1"/>
  <c r="G239" i="30" s="1"/>
  <c r="G240" i="30" s="1"/>
  <c r="G241" i="30" s="1"/>
  <c r="G266" i="30"/>
  <c r="G267" i="30" s="1"/>
  <c r="G268" i="30" s="1"/>
  <c r="G269" i="30" s="1"/>
  <c r="G270" i="30" s="1"/>
  <c r="G271" i="30" s="1"/>
  <c r="G272" i="30" s="1"/>
  <c r="G273" i="30" s="1"/>
  <c r="G274" i="30" s="1"/>
  <c r="G275" i="30" s="1"/>
  <c r="G276" i="30" s="1"/>
  <c r="G277" i="30" s="1"/>
  <c r="G314" i="30"/>
  <c r="G315" i="30" s="1"/>
  <c r="G316" i="30" s="1"/>
  <c r="G317" i="30" s="1"/>
  <c r="G318" i="30" s="1"/>
  <c r="G319" i="30" s="1"/>
  <c r="G320" i="30" s="1"/>
  <c r="G321" i="30" s="1"/>
  <c r="G322" i="30" s="1"/>
  <c r="G323" i="30" s="1"/>
  <c r="G324" i="30" s="1"/>
  <c r="G325" i="30" s="1"/>
  <c r="G338" i="30"/>
  <c r="G339" i="30" s="1"/>
  <c r="G340" i="30" s="1"/>
  <c r="G341" i="30" s="1"/>
  <c r="G342" i="30" s="1"/>
  <c r="G343" i="30" s="1"/>
  <c r="G344" i="30" s="1"/>
  <c r="G345" i="30" s="1"/>
  <c r="G346" i="30" s="1"/>
  <c r="G347" i="30" s="1"/>
  <c r="G348" i="30" s="1"/>
  <c r="G349" i="30" s="1"/>
  <c r="G398" i="30"/>
  <c r="G399" i="30" s="1"/>
  <c r="G400" i="30" s="1"/>
  <c r="G401" i="30" s="1"/>
  <c r="G402" i="30" s="1"/>
  <c r="G403" i="30" s="1"/>
  <c r="G404" i="30" s="1"/>
  <c r="G405" i="30" s="1"/>
  <c r="G406" i="30" s="1"/>
  <c r="G407" i="30" s="1"/>
  <c r="G408" i="30" s="1"/>
  <c r="G409" i="30" s="1"/>
  <c r="G410" i="30" s="1"/>
  <c r="G411" i="30" s="1"/>
  <c r="G412" i="30" s="1"/>
  <c r="G413" i="30" s="1"/>
  <c r="G414" i="30" s="1"/>
  <c r="G415" i="30" s="1"/>
  <c r="G416" i="30" s="1"/>
  <c r="G417" i="30" s="1"/>
  <c r="G418" i="30" s="1"/>
  <c r="G419" i="30" s="1"/>
  <c r="G420" i="30" s="1"/>
  <c r="G421" i="30" s="1"/>
  <c r="G422" i="30" s="1"/>
  <c r="G423" i="30" s="1"/>
  <c r="G424" i="30" s="1"/>
  <c r="G425" i="30" s="1"/>
  <c r="G426" i="30" s="1"/>
  <c r="G427" i="30" s="1"/>
  <c r="G428" i="30" s="1"/>
  <c r="G429" i="30" s="1"/>
  <c r="G430" i="30" s="1"/>
  <c r="G431" i="30" s="1"/>
  <c r="G432" i="30" s="1"/>
  <c r="G433" i="30" s="1"/>
  <c r="G434" i="30" s="1"/>
  <c r="G435" i="30" s="1"/>
  <c r="G436" i="30" s="1"/>
  <c r="G437" i="30" s="1"/>
  <c r="G438" i="30" s="1"/>
  <c r="G439" i="30" s="1"/>
  <c r="G440" i="30" s="1"/>
  <c r="G441" i="30" s="1"/>
  <c r="G442" i="30" s="1"/>
  <c r="G443" i="30" s="1"/>
  <c r="G444" i="30" s="1"/>
  <c r="G445" i="30" s="1"/>
  <c r="G446" i="30" s="1"/>
  <c r="G447" i="30" s="1"/>
  <c r="G448" i="30" s="1"/>
  <c r="G449" i="30" s="1"/>
  <c r="G450" i="30" s="1"/>
  <c r="G451" i="30" s="1"/>
  <c r="G452" i="30" s="1"/>
  <c r="G453" i="30" s="1"/>
  <c r="G454" i="30" s="1"/>
  <c r="G455" i="30" s="1"/>
  <c r="G456" i="30" s="1"/>
  <c r="G457" i="30" s="1"/>
  <c r="G458" i="30" s="1"/>
  <c r="G459" i="30" s="1"/>
  <c r="G460" i="30" s="1"/>
  <c r="G461" i="30" s="1"/>
  <c r="G462" i="30" s="1"/>
  <c r="G463" i="30" s="1"/>
  <c r="G464" i="30" s="1"/>
  <c r="G465" i="30" s="1"/>
  <c r="G466" i="30" s="1"/>
  <c r="G467" i="30" s="1"/>
  <c r="G468" i="30" s="1"/>
  <c r="G469" i="30" s="1"/>
  <c r="G470" i="30" s="1"/>
  <c r="G471" i="30" s="1"/>
  <c r="G472" i="30" s="1"/>
  <c r="G473" i="30" s="1"/>
  <c r="G474" i="30" s="1"/>
  <c r="G475" i="30" s="1"/>
  <c r="G476" i="30" s="1"/>
  <c r="G477" i="30" s="1"/>
  <c r="G478" i="30" s="1"/>
  <c r="G479" i="30" s="1"/>
  <c r="G480" i="30" s="1"/>
  <c r="G481" i="30" s="1"/>
  <c r="G482" i="30" s="1"/>
  <c r="G483" i="30" s="1"/>
  <c r="G484" i="30" s="1"/>
  <c r="G485" i="30" s="1"/>
  <c r="G486" i="30" s="1"/>
  <c r="G487" i="30" s="1"/>
  <c r="G488" i="30" s="1"/>
  <c r="G489" i="30" s="1"/>
  <c r="G490" i="30" s="1"/>
  <c r="G491" i="30" s="1"/>
  <c r="G492" i="30" s="1"/>
  <c r="G493" i="30" s="1"/>
  <c r="G494" i="30" s="1"/>
  <c r="G495" i="30" s="1"/>
  <c r="G496" i="30" s="1"/>
  <c r="G497" i="30" s="1"/>
  <c r="G498" i="30" s="1"/>
  <c r="G499" i="30" s="1"/>
  <c r="G500" i="30" s="1"/>
  <c r="G501" i="30" s="1"/>
  <c r="G502" i="30" s="1"/>
  <c r="G503" i="30" s="1"/>
  <c r="G504" i="30" s="1"/>
  <c r="G505" i="30" s="1"/>
  <c r="G506" i="30" s="1"/>
  <c r="G507" i="30" s="1"/>
  <c r="G508" i="30" s="1"/>
  <c r="G509" i="30" s="1"/>
  <c r="G510" i="30" s="1"/>
  <c r="G511" i="30" s="1"/>
  <c r="G512" i="30" s="1"/>
  <c r="G513" i="30" s="1"/>
  <c r="G514" i="30" s="1"/>
  <c r="G515" i="30" s="1"/>
  <c r="G516" i="30" s="1"/>
  <c r="G517" i="30" s="1"/>
  <c r="G518" i="30" s="1"/>
  <c r="G519" i="30" s="1"/>
  <c r="G520" i="30" s="1"/>
  <c r="G521" i="30" s="1"/>
  <c r="G522" i="30" s="1"/>
  <c r="G523" i="30" s="1"/>
  <c r="G524" i="30" s="1"/>
  <c r="G525" i="30" s="1"/>
  <c r="G526" i="30" s="1"/>
  <c r="G527" i="30" s="1"/>
  <c r="G528" i="30" s="1"/>
  <c r="G529" i="30" s="1"/>
  <c r="G530" i="30" s="1"/>
  <c r="G531" i="30" s="1"/>
  <c r="G532" i="30" s="1"/>
  <c r="G533" i="30" s="1"/>
  <c r="G534" i="30" s="1"/>
  <c r="G535" i="30" s="1"/>
  <c r="G536" i="30" s="1"/>
  <c r="G537" i="30" s="1"/>
  <c r="G538" i="30" s="1"/>
  <c r="G539" i="30" s="1"/>
  <c r="G540" i="30" s="1"/>
  <c r="G541" i="30" s="1"/>
  <c r="G542" i="30" s="1"/>
  <c r="G543" i="30" s="1"/>
  <c r="G544" i="30" s="1"/>
  <c r="G545" i="30" s="1"/>
  <c r="G546" i="30" s="1"/>
  <c r="G547" i="30" s="1"/>
  <c r="G548" i="30" s="1"/>
  <c r="G549" i="30" s="1"/>
  <c r="G550" i="30" s="1"/>
  <c r="G551" i="30" s="1"/>
  <c r="G552" i="30" s="1"/>
  <c r="G553" i="30" s="1"/>
  <c r="G554" i="30" s="1"/>
  <c r="G555" i="30" s="1"/>
  <c r="G556" i="30" s="1"/>
  <c r="G557" i="30" s="1"/>
  <c r="G558" i="30" s="1"/>
  <c r="G559" i="30" s="1"/>
  <c r="G560" i="30" s="1"/>
  <c r="G561" i="30" s="1"/>
  <c r="G562" i="30" s="1"/>
  <c r="G563" i="30" s="1"/>
  <c r="G564" i="30" s="1"/>
  <c r="G565" i="30" s="1"/>
  <c r="G566" i="30" s="1"/>
  <c r="G567" i="30" s="1"/>
  <c r="G568" i="30" s="1"/>
  <c r="G569" i="30" s="1"/>
  <c r="G570" i="30" s="1"/>
  <c r="G571" i="30" s="1"/>
  <c r="G572" i="30" s="1"/>
  <c r="G573" i="30" s="1"/>
  <c r="G574" i="30" s="1"/>
  <c r="G575" i="30" s="1"/>
  <c r="G576" i="30" s="1"/>
  <c r="G577" i="30" s="1"/>
  <c r="G578" i="30" s="1"/>
  <c r="G579" i="30" s="1"/>
  <c r="G580" i="30" s="1"/>
  <c r="G581" i="30" s="1"/>
  <c r="G582" i="30" s="1"/>
  <c r="G583" i="30" s="1"/>
  <c r="G584" i="30" s="1"/>
  <c r="G585" i="30" s="1"/>
  <c r="G586" i="30" s="1"/>
  <c r="G587" i="30" s="1"/>
  <c r="G588" i="30" s="1"/>
  <c r="G589" i="30" s="1"/>
  <c r="G590" i="30" s="1"/>
  <c r="G591" i="30" s="1"/>
  <c r="G592" i="30" s="1"/>
  <c r="G593" i="30" s="1"/>
  <c r="G594" i="30" s="1"/>
  <c r="G595" i="30" s="1"/>
  <c r="G596" i="30" s="1"/>
  <c r="G597" i="30" s="1"/>
  <c r="G598" i="30" s="1"/>
  <c r="G599" i="30" s="1"/>
  <c r="G600" i="30" s="1"/>
  <c r="G601" i="30" s="1"/>
  <c r="G602" i="30" s="1"/>
  <c r="G603" i="30" s="1"/>
  <c r="G604" i="30" s="1"/>
  <c r="G605" i="30" s="1"/>
  <c r="G606" i="30" s="1"/>
  <c r="G607" i="30" s="1"/>
  <c r="G608" i="30" s="1"/>
  <c r="G609" i="30" s="1"/>
  <c r="G610" i="30" s="1"/>
  <c r="G611" i="30" s="1"/>
  <c r="G612" i="30" s="1"/>
  <c r="G613" i="30" s="1"/>
  <c r="G614" i="30" s="1"/>
  <c r="G615" i="30" s="1"/>
  <c r="G616" i="30" s="1"/>
  <c r="G617" i="30" s="1"/>
  <c r="G618" i="30" s="1"/>
  <c r="G619" i="30" s="1"/>
  <c r="G620" i="30" s="1"/>
  <c r="G621" i="30" s="1"/>
  <c r="G622" i="30" s="1"/>
  <c r="G623" i="30" s="1"/>
  <c r="G624" i="30" s="1"/>
  <c r="G625" i="30" s="1"/>
  <c r="G626" i="30" s="1"/>
  <c r="G627" i="30" s="1"/>
  <c r="G628" i="30" s="1"/>
  <c r="G629" i="30" s="1"/>
  <c r="G630" i="30" s="1"/>
  <c r="G631" i="30" s="1"/>
  <c r="G632" i="30" s="1"/>
  <c r="G633" i="30" s="1"/>
  <c r="G634" i="30" s="1"/>
  <c r="G635" i="30" s="1"/>
  <c r="G636" i="30" s="1"/>
  <c r="G637" i="30" s="1"/>
  <c r="G638" i="30" s="1"/>
  <c r="G639" i="30" s="1"/>
  <c r="G640" i="30" s="1"/>
  <c r="G641" i="30" s="1"/>
  <c r="G642" i="30" s="1"/>
  <c r="G643" i="30" s="1"/>
  <c r="G644" i="30" s="1"/>
  <c r="G645" i="30" s="1"/>
  <c r="G646" i="30" s="1"/>
  <c r="G647" i="30" s="1"/>
  <c r="G648" i="30" s="1"/>
  <c r="G649" i="30" s="1"/>
  <c r="G650" i="30" s="1"/>
  <c r="G651" i="30" s="1"/>
  <c r="G652" i="30" s="1"/>
  <c r="G653" i="30" s="1"/>
  <c r="G654" i="30" s="1"/>
  <c r="G655" i="30" s="1"/>
  <c r="G656" i="30" s="1"/>
  <c r="G657" i="30" s="1"/>
  <c r="G658" i="30" s="1"/>
  <c r="G659" i="30" s="1"/>
  <c r="G660" i="30" s="1"/>
  <c r="G661" i="30" s="1"/>
  <c r="G662" i="30" s="1"/>
  <c r="G663" i="30" s="1"/>
  <c r="G664" i="30" s="1"/>
  <c r="G665" i="30" s="1"/>
  <c r="G666" i="30" s="1"/>
  <c r="G667" i="30" s="1"/>
  <c r="G668" i="30" s="1"/>
  <c r="G669" i="30" s="1"/>
  <c r="G670" i="30" s="1"/>
  <c r="G671" i="30" s="1"/>
  <c r="G672" i="30" s="1"/>
  <c r="G673" i="30" s="1"/>
  <c r="G674" i="30" s="1"/>
  <c r="G675" i="30" s="1"/>
  <c r="G676" i="30" s="1"/>
  <c r="G677" i="30" s="1"/>
  <c r="G678" i="30" s="1"/>
  <c r="G679" i="30" s="1"/>
  <c r="G680" i="30" s="1"/>
  <c r="G681" i="30" s="1"/>
  <c r="G682" i="30" s="1"/>
  <c r="G683" i="30" s="1"/>
  <c r="G684" i="30" s="1"/>
  <c r="G685" i="30" s="1"/>
  <c r="G686" i="30" s="1"/>
  <c r="G687" i="30" s="1"/>
  <c r="G688" i="30" s="1"/>
  <c r="G689" i="30" s="1"/>
  <c r="G690" i="30" s="1"/>
  <c r="G691" i="30" s="1"/>
  <c r="G692" i="30" s="1"/>
  <c r="G693" i="30" s="1"/>
  <c r="G694" i="30" s="1"/>
  <c r="G695" i="30" s="1"/>
  <c r="G696" i="30" s="1"/>
  <c r="G697" i="30" s="1"/>
  <c r="G698" i="30" s="1"/>
  <c r="G699" i="30" s="1"/>
  <c r="G700" i="30" s="1"/>
  <c r="G701" i="30" s="1"/>
  <c r="G702" i="30" s="1"/>
  <c r="G703" i="30" s="1"/>
  <c r="G704" i="30" s="1"/>
  <c r="G705" i="30" s="1"/>
  <c r="G706" i="30" s="1"/>
  <c r="G707" i="30" s="1"/>
  <c r="G708" i="30" s="1"/>
  <c r="G709" i="30" s="1"/>
  <c r="G710" i="30" s="1"/>
  <c r="G711" i="30" s="1"/>
  <c r="G712" i="30" s="1"/>
  <c r="G713" i="30" s="1"/>
  <c r="G714" i="30" s="1"/>
  <c r="G715" i="30" s="1"/>
  <c r="G716" i="30" s="1"/>
  <c r="G717" i="30" s="1"/>
  <c r="G718" i="30" s="1"/>
  <c r="G719" i="30" s="1"/>
  <c r="G720" i="30" s="1"/>
  <c r="G721" i="30" s="1"/>
  <c r="G722" i="30" s="1"/>
  <c r="G723" i="30" s="1"/>
  <c r="G724" i="30" s="1"/>
  <c r="G725" i="30" s="1"/>
  <c r="G726" i="30" s="1"/>
  <c r="G727" i="30" s="1"/>
  <c r="G728" i="30" s="1"/>
  <c r="G729" i="30" s="1"/>
  <c r="G730" i="30" s="1"/>
  <c r="G731" i="30" s="1"/>
  <c r="G732" i="30" s="1"/>
  <c r="G733" i="30" s="1"/>
  <c r="G734" i="30" s="1"/>
  <c r="G735" i="30" s="1"/>
  <c r="G736" i="30" s="1"/>
  <c r="G737" i="30" s="1"/>
  <c r="G738" i="30" s="1"/>
  <c r="G739" i="30" s="1"/>
  <c r="G740" i="30" s="1"/>
  <c r="G741" i="30" s="1"/>
  <c r="G742" i="30" s="1"/>
  <c r="G743" i="30" s="1"/>
  <c r="G744" i="30" s="1"/>
  <c r="G745" i="30" s="1"/>
  <c r="G746" i="30" s="1"/>
  <c r="G747" i="30" s="1"/>
  <c r="G748" i="30" s="1"/>
  <c r="G749" i="30" s="1"/>
  <c r="G750" i="30" s="1"/>
  <c r="G751" i="30" s="1"/>
  <c r="G752" i="30" s="1"/>
  <c r="G753" i="30" s="1"/>
  <c r="G754" i="30" s="1"/>
  <c r="G755" i="30" s="1"/>
  <c r="G756" i="30" s="1"/>
  <c r="G757" i="30" s="1"/>
  <c r="G758" i="30" s="1"/>
  <c r="G759" i="30" s="1"/>
  <c r="G760" i="30" s="1"/>
  <c r="G761" i="30" s="1"/>
  <c r="G762" i="30" s="1"/>
  <c r="G763" i="30" s="1"/>
  <c r="G764" i="30" s="1"/>
  <c r="G765" i="30" s="1"/>
  <c r="G766" i="30" s="1"/>
  <c r="G767" i="30" s="1"/>
  <c r="G768" i="30" s="1"/>
  <c r="G769" i="30" s="1"/>
  <c r="G770" i="30" s="1"/>
  <c r="G771" i="30" s="1"/>
  <c r="G772" i="30" s="1"/>
  <c r="G773" i="30" s="1"/>
  <c r="G774" i="30" s="1"/>
  <c r="G775" i="30" s="1"/>
  <c r="G776" i="30" s="1"/>
  <c r="G777" i="30" s="1"/>
  <c r="G778" i="30" s="1"/>
  <c r="G779" i="30" s="1"/>
  <c r="G780" i="30" s="1"/>
  <c r="G781" i="30" s="1"/>
  <c r="G782" i="30" s="1"/>
  <c r="G783" i="30" s="1"/>
  <c r="G784" i="30" s="1"/>
  <c r="G785" i="30" s="1"/>
  <c r="G786" i="30" s="1"/>
  <c r="G787" i="30" s="1"/>
  <c r="G788" i="30" s="1"/>
  <c r="G789" i="30" s="1"/>
  <c r="G790" i="30" s="1"/>
  <c r="G791" i="30" s="1"/>
  <c r="G792" i="30" s="1"/>
  <c r="G793" i="30" s="1"/>
  <c r="G794" i="30" s="1"/>
  <c r="G795" i="30" s="1"/>
  <c r="G796" i="30" s="1"/>
  <c r="G797" i="30" s="1"/>
  <c r="G798" i="30" s="1"/>
  <c r="G799" i="30" s="1"/>
  <c r="G800" i="30" s="1"/>
  <c r="G801" i="30" s="1"/>
  <c r="G802" i="30" s="1"/>
  <c r="G803" i="30" s="1"/>
  <c r="G804" i="30" s="1"/>
  <c r="G805" i="30" s="1"/>
  <c r="G806" i="30" s="1"/>
  <c r="G807" i="30" s="1"/>
  <c r="G808" i="30" s="1"/>
  <c r="G809" i="30" s="1"/>
  <c r="G810" i="30" s="1"/>
  <c r="G811" i="30" s="1"/>
  <c r="G812" i="30" s="1"/>
  <c r="G813" i="30" s="1"/>
  <c r="G814" i="30" s="1"/>
  <c r="G815" i="30" s="1"/>
  <c r="G816" i="30" s="1"/>
  <c r="G817" i="30" s="1"/>
  <c r="G818" i="30" s="1"/>
  <c r="G819" i="30" s="1"/>
  <c r="G820" i="30" s="1"/>
  <c r="G821" i="30" s="1"/>
  <c r="G822" i="30" s="1"/>
  <c r="G823" i="30" s="1"/>
  <c r="G824" i="30" s="1"/>
  <c r="G825" i="30" s="1"/>
  <c r="G826" i="30" s="1"/>
  <c r="G827" i="30" s="1"/>
  <c r="G828" i="30" s="1"/>
  <c r="G829" i="30" s="1"/>
  <c r="G830" i="30" s="1"/>
  <c r="G831" i="30" s="1"/>
  <c r="G832" i="30" s="1"/>
  <c r="G833" i="30" s="1"/>
  <c r="G834" i="30" s="1"/>
  <c r="G835" i="30" s="1"/>
  <c r="G836" i="30" s="1"/>
  <c r="G837" i="30" s="1"/>
  <c r="G838" i="30" s="1"/>
  <c r="G839" i="30" s="1"/>
  <c r="G840" i="30" s="1"/>
  <c r="G841" i="30" s="1"/>
  <c r="G842" i="30" s="1"/>
  <c r="G843" i="30" s="1"/>
  <c r="G844" i="30" s="1"/>
  <c r="G845" i="30" s="1"/>
  <c r="G846" i="30" s="1"/>
  <c r="G847" i="30" s="1"/>
  <c r="G848" i="30" s="1"/>
  <c r="G849" i="30" s="1"/>
  <c r="G850" i="30" s="1"/>
  <c r="G851" i="30" s="1"/>
  <c r="G852" i="30" s="1"/>
  <c r="G853" i="30" s="1"/>
  <c r="G854" i="30" s="1"/>
  <c r="G855" i="30" s="1"/>
  <c r="G856" i="30" s="1"/>
  <c r="G857" i="30" s="1"/>
  <c r="G858" i="30" s="1"/>
  <c r="G859" i="30" s="1"/>
  <c r="G860" i="30" s="1"/>
  <c r="G861" i="30" s="1"/>
  <c r="G862" i="30" s="1"/>
  <c r="G863" i="30" s="1"/>
  <c r="G864" i="30" s="1"/>
  <c r="G865" i="30" s="1"/>
  <c r="G866" i="30" s="1"/>
  <c r="G867" i="30" s="1"/>
  <c r="G868" i="30" s="1"/>
  <c r="G869" i="30" s="1"/>
  <c r="G870" i="30" s="1"/>
  <c r="G871" i="30" s="1"/>
  <c r="G872" i="30" s="1"/>
  <c r="G873" i="30" s="1"/>
  <c r="G874" i="30" s="1"/>
  <c r="G14" i="30"/>
  <c r="G15" i="30" s="1"/>
  <c r="G16" i="30" s="1"/>
  <c r="G17" i="30" s="1"/>
  <c r="G18" i="30" s="1"/>
  <c r="G19" i="30" s="1"/>
  <c r="G20" i="30" s="1"/>
  <c r="G21" i="30" s="1"/>
  <c r="G22" i="30" s="1"/>
  <c r="G23" i="30" s="1"/>
  <c r="G24" i="30" s="1"/>
  <c r="G25" i="30" s="1"/>
  <c r="G110" i="30"/>
  <c r="G111" i="30" s="1"/>
  <c r="G112" i="30" s="1"/>
  <c r="G113" i="30" s="1"/>
  <c r="G114" i="30" s="1"/>
  <c r="G115" i="30" s="1"/>
  <c r="G116" i="30" s="1"/>
  <c r="G117" i="30" s="1"/>
  <c r="G118" i="30" s="1"/>
  <c r="G119" i="30" s="1"/>
  <c r="G120" i="30" s="1"/>
  <c r="G121" i="30" s="1"/>
  <c r="G206" i="30"/>
  <c r="G207" i="30" s="1"/>
  <c r="G208" i="30" s="1"/>
  <c r="G209" i="30" s="1"/>
  <c r="G210" i="30" s="1"/>
  <c r="G211" i="30" s="1"/>
  <c r="G212" i="30" s="1"/>
  <c r="G213" i="30" s="1"/>
  <c r="G214" i="30" s="1"/>
  <c r="G215" i="30" s="1"/>
  <c r="G216" i="30" s="1"/>
  <c r="G217" i="30" s="1"/>
  <c r="G290" i="30"/>
  <c r="G291" i="30" s="1"/>
  <c r="G292" i="30" s="1"/>
  <c r="G293" i="30" s="1"/>
  <c r="G294" i="30" s="1"/>
  <c r="G295" i="30" s="1"/>
  <c r="G296" i="30" s="1"/>
  <c r="G297" i="30" s="1"/>
  <c r="G298" i="30" s="1"/>
  <c r="G299" i="30" s="1"/>
  <c r="G300" i="30" s="1"/>
  <c r="G301" i="30" s="1"/>
  <c r="G362" i="30"/>
  <c r="G363" i="30" s="1"/>
  <c r="G364" i="30" s="1"/>
  <c r="G365" i="30" s="1"/>
  <c r="G366" i="30" s="1"/>
  <c r="G367" i="30" s="1"/>
  <c r="G368" i="30" s="1"/>
  <c r="G369" i="30" s="1"/>
  <c r="G370" i="30" s="1"/>
  <c r="G371" i="30" s="1"/>
  <c r="G372" i="30" s="1"/>
  <c r="G373" i="30" s="1"/>
  <c r="B5412" i="30"/>
  <c r="B5413" i="30"/>
  <c r="B5414" i="30"/>
  <c r="B5415" i="30"/>
  <c r="B5416" i="30"/>
  <c r="B5417" i="30"/>
  <c r="B5418" i="30"/>
  <c r="B5419" i="30"/>
  <c r="B5420" i="30"/>
  <c r="B5421" i="30"/>
  <c r="B5422" i="30"/>
  <c r="B5423" i="30"/>
  <c r="B5424" i="30"/>
  <c r="B5425" i="30"/>
  <c r="B5426" i="30"/>
  <c r="B5427" i="30"/>
  <c r="B5428" i="30"/>
  <c r="B5429" i="30"/>
  <c r="B5430" i="30"/>
  <c r="B5431" i="30"/>
  <c r="B5432" i="30"/>
  <c r="B5433" i="30"/>
  <c r="B5434" i="30"/>
  <c r="B5435" i="30"/>
  <c r="B5436" i="30"/>
  <c r="B5437" i="30"/>
  <c r="B5438" i="30"/>
  <c r="B5439" i="30"/>
  <c r="B5440" i="30"/>
  <c r="B5441" i="30"/>
  <c r="B5442" i="30"/>
  <c r="B5443" i="30"/>
  <c r="B5444" i="30"/>
  <c r="B5445" i="30"/>
  <c r="B5446" i="30"/>
  <c r="B5447" i="30"/>
  <c r="B5448" i="30"/>
  <c r="B5449" i="30"/>
  <c r="B5450" i="30"/>
  <c r="B5451" i="30"/>
  <c r="B5452" i="30"/>
  <c r="B5453" i="30"/>
  <c r="B5454" i="30"/>
  <c r="B5455" i="30"/>
  <c r="B5456" i="30"/>
  <c r="B5457" i="30"/>
  <c r="B5458" i="30"/>
  <c r="B5459" i="30"/>
  <c r="B5460" i="30"/>
  <c r="B5461" i="30"/>
  <c r="B5462" i="30"/>
  <c r="B5463" i="30"/>
  <c r="B5464" i="30"/>
  <c r="B5465" i="30"/>
  <c r="B5466" i="30"/>
  <c r="B5467" i="30"/>
  <c r="B5468" i="30"/>
  <c r="B5469" i="30"/>
  <c r="B5470" i="30"/>
  <c r="B5471" i="30"/>
  <c r="B5472" i="30"/>
  <c r="B5473" i="30"/>
  <c r="B5474" i="30"/>
  <c r="B5475" i="30"/>
  <c r="B5476" i="30"/>
  <c r="B5477" i="30"/>
  <c r="B5478" i="30"/>
  <c r="B5479" i="30"/>
  <c r="B5480" i="30"/>
  <c r="B5481" i="30"/>
  <c r="B5482" i="30"/>
  <c r="B5483" i="30"/>
  <c r="B5484" i="30"/>
  <c r="B5485" i="30"/>
  <c r="B5486" i="30"/>
  <c r="B5487" i="30"/>
  <c r="B5488" i="30"/>
  <c r="B5489" i="30"/>
  <c r="B5490" i="30"/>
  <c r="B5491" i="30"/>
  <c r="B5492" i="30"/>
  <c r="B5493" i="30"/>
  <c r="B5494" i="30"/>
  <c r="B5495" i="30"/>
  <c r="B5496" i="30"/>
  <c r="B5497" i="30"/>
  <c r="B5498" i="30"/>
  <c r="B5499" i="30"/>
  <c r="B5500" i="30"/>
  <c r="B5501" i="30"/>
  <c r="B5502" i="30"/>
  <c r="B5503" i="30"/>
  <c r="B5504" i="30"/>
  <c r="B5505" i="30"/>
  <c r="B5506" i="30"/>
  <c r="B5507" i="30"/>
  <c r="B5508" i="30"/>
  <c r="B5509" i="30"/>
  <c r="B5510" i="30"/>
  <c r="B5511" i="30"/>
  <c r="B5512" i="30"/>
  <c r="B5513" i="30"/>
  <c r="B5514" i="30"/>
  <c r="B5515" i="30"/>
  <c r="B5516" i="30"/>
  <c r="B5517" i="30"/>
  <c r="B5518" i="30"/>
  <c r="B5519" i="30"/>
  <c r="B5520" i="30"/>
  <c r="B5521" i="30"/>
  <c r="B5522" i="30"/>
  <c r="B5523" i="30"/>
  <c r="B5524" i="30"/>
  <c r="B5525" i="30"/>
  <c r="B5526" i="30"/>
  <c r="B5527" i="30"/>
  <c r="B5528" i="30"/>
  <c r="B5529" i="30"/>
  <c r="B5530" i="30"/>
  <c r="B5531" i="30"/>
  <c r="B5532" i="30"/>
  <c r="B5533" i="30"/>
  <c r="B5534" i="30"/>
  <c r="B5535" i="30"/>
  <c r="B5536" i="30"/>
  <c r="B5537" i="30"/>
  <c r="B5538" i="30"/>
  <c r="B5539" i="30"/>
  <c r="B5540" i="30"/>
  <c r="B5541" i="30"/>
  <c r="B5542" i="30"/>
  <c r="B5543" i="30"/>
  <c r="B5544" i="30"/>
  <c r="B5545" i="30"/>
  <c r="B5546" i="30"/>
  <c r="B5547" i="30"/>
  <c r="B5548" i="30"/>
  <c r="B5549" i="30"/>
  <c r="B5550" i="30"/>
  <c r="B5551" i="30"/>
  <c r="B5552" i="30"/>
  <c r="B5553" i="30"/>
  <c r="B5554" i="30"/>
  <c r="B5555" i="30"/>
  <c r="B5556" i="30"/>
  <c r="B5557" i="30"/>
  <c r="B5558" i="30"/>
  <c r="B5559" i="30"/>
  <c r="B5560" i="30"/>
  <c r="B5561" i="30"/>
  <c r="B5562" i="30"/>
  <c r="B5563" i="30"/>
  <c r="B5564" i="30"/>
  <c r="B5565" i="30"/>
  <c r="B5566" i="30"/>
  <c r="B5567" i="30"/>
  <c r="B5568" i="30"/>
  <c r="B5569" i="30"/>
  <c r="B5570" i="30"/>
  <c r="B5571" i="30"/>
  <c r="B5572" i="30"/>
  <c r="B5573" i="30"/>
  <c r="B5574" i="30"/>
  <c r="B5575" i="30"/>
  <c r="B5576" i="30"/>
  <c r="B5577" i="30"/>
  <c r="B5578" i="30"/>
  <c r="B5579" i="30"/>
  <c r="B5580" i="30"/>
  <c r="B5581" i="30"/>
  <c r="B5582" i="30"/>
  <c r="B5583" i="30"/>
  <c r="B5584" i="30"/>
  <c r="B5585" i="30"/>
  <c r="B5586" i="30"/>
  <c r="B5587" i="30"/>
  <c r="B5588" i="30"/>
  <c r="B5589" i="30"/>
  <c r="B5590" i="30"/>
  <c r="B5591" i="30"/>
  <c r="B5592" i="30"/>
  <c r="B5593" i="30"/>
  <c r="B5594" i="30"/>
  <c r="B5595" i="30"/>
  <c r="B5596" i="30"/>
  <c r="B5597" i="30"/>
  <c r="B5598" i="30"/>
  <c r="B5599" i="30"/>
  <c r="B5600" i="30"/>
  <c r="B5601" i="30"/>
  <c r="B5602" i="30"/>
  <c r="B5603" i="30"/>
  <c r="B5604" i="30"/>
  <c r="B5605" i="30"/>
  <c r="B5606" i="30"/>
  <c r="B5607" i="30"/>
  <c r="B5608" i="30"/>
  <c r="B5609" i="30"/>
  <c r="B5610" i="30"/>
  <c r="B5611" i="30"/>
  <c r="B5612" i="30"/>
  <c r="B5613" i="30"/>
  <c r="B5614" i="30"/>
  <c r="B5615" i="30"/>
  <c r="B5616" i="30"/>
  <c r="B5617" i="30"/>
  <c r="B5618" i="30"/>
  <c r="B5619" i="30"/>
  <c r="B5620" i="30"/>
  <c r="B5621" i="30"/>
  <c r="B5622" i="30"/>
  <c r="B5623" i="30"/>
  <c r="B5624" i="30"/>
  <c r="B5625" i="30"/>
  <c r="B5626" i="30"/>
  <c r="B5627" i="30"/>
  <c r="B5628" i="30"/>
  <c r="B5629" i="30"/>
  <c r="B5630" i="30"/>
  <c r="B5631" i="30"/>
  <c r="B5632" i="30"/>
  <c r="B5633" i="30"/>
  <c r="B5634" i="30"/>
  <c r="B5635" i="30"/>
  <c r="B5636" i="30"/>
  <c r="B5637" i="30"/>
  <c r="B5638" i="30"/>
  <c r="B5639" i="30"/>
  <c r="B5640" i="30"/>
  <c r="B5641" i="30"/>
  <c r="B5642" i="30"/>
  <c r="B5643" i="30"/>
  <c r="B5644" i="30"/>
  <c r="B5645" i="30"/>
  <c r="B5646" i="30"/>
  <c r="B5647" i="30"/>
  <c r="B5648" i="30"/>
  <c r="B5649" i="30"/>
  <c r="B5650" i="30"/>
  <c r="B5651" i="30"/>
  <c r="B5652" i="30"/>
  <c r="B5653" i="30"/>
  <c r="B5654" i="30"/>
  <c r="B5655" i="30"/>
  <c r="B5656" i="30"/>
  <c r="B5657" i="30"/>
  <c r="B5658" i="30"/>
  <c r="B5659" i="30"/>
  <c r="B5660" i="30"/>
  <c r="B5661" i="30"/>
  <c r="B5662" i="30"/>
  <c r="B5663" i="30"/>
  <c r="B5664" i="30"/>
  <c r="B5665" i="30"/>
  <c r="B5666" i="30"/>
  <c r="B5667" i="30"/>
  <c r="B5668" i="30"/>
  <c r="B5669" i="30"/>
  <c r="B5670" i="30"/>
  <c r="B5671" i="30"/>
  <c r="B5672" i="30"/>
  <c r="B5673" i="30"/>
  <c r="B5674" i="30"/>
  <c r="B5675" i="30"/>
  <c r="B5676" i="30"/>
  <c r="B5677" i="30"/>
  <c r="B5678" i="30"/>
  <c r="B5679" i="30"/>
  <c r="B5680" i="30"/>
  <c r="B5681" i="30"/>
  <c r="B5682" i="30"/>
  <c r="B5683" i="30"/>
  <c r="B5684" i="30"/>
  <c r="B5685" i="30"/>
  <c r="B5686" i="30"/>
  <c r="B5687" i="30"/>
  <c r="B5688" i="30"/>
  <c r="B5689" i="30"/>
  <c r="B5690" i="30"/>
  <c r="B5691" i="30"/>
  <c r="B5692" i="30"/>
  <c r="B5693" i="30"/>
  <c r="B5694" i="30"/>
  <c r="B5695" i="30"/>
  <c r="B5696" i="30"/>
  <c r="B5697" i="30"/>
  <c r="B5698" i="30"/>
  <c r="B5699" i="30"/>
  <c r="B5700" i="30"/>
  <c r="B5701" i="30"/>
  <c r="B5702" i="30"/>
  <c r="B5703" i="30"/>
  <c r="B5704" i="30"/>
  <c r="B5705" i="30"/>
  <c r="B5706" i="30"/>
  <c r="B5707" i="30"/>
  <c r="B5708" i="30"/>
  <c r="B5709" i="30"/>
  <c r="B5710" i="30"/>
  <c r="B5711" i="30"/>
  <c r="B5712" i="30"/>
  <c r="B5713" i="30"/>
  <c r="B5714" i="30"/>
  <c r="B5715" i="30"/>
  <c r="B5716" i="30"/>
  <c r="B5717" i="30"/>
  <c r="B5718" i="30"/>
  <c r="B5719" i="30"/>
  <c r="B5720" i="30"/>
  <c r="B5721" i="30"/>
  <c r="B5722" i="30"/>
  <c r="B5723" i="30"/>
  <c r="B5724" i="30"/>
  <c r="B5725" i="30"/>
  <c r="B5726" i="30"/>
  <c r="B5727" i="30"/>
  <c r="B5728" i="30"/>
  <c r="B5729" i="30"/>
  <c r="B5730" i="30"/>
  <c r="B5731" i="30"/>
  <c r="B5732" i="30"/>
  <c r="B5733" i="30"/>
  <c r="B5734" i="30"/>
  <c r="B5735" i="30"/>
  <c r="B5736" i="30"/>
  <c r="B5737" i="30"/>
  <c r="B5738" i="30"/>
  <c r="B5739" i="30"/>
  <c r="B5740" i="30"/>
  <c r="B5741" i="30"/>
  <c r="B5742" i="30"/>
  <c r="B5743" i="30"/>
  <c r="B5744" i="30"/>
  <c r="B5745" i="30"/>
  <c r="B5746" i="30"/>
  <c r="B5747" i="30"/>
  <c r="B5748" i="30"/>
  <c r="B5749" i="30"/>
  <c r="B5750" i="30"/>
  <c r="B5751" i="30"/>
  <c r="B5752" i="30"/>
  <c r="B5753" i="30"/>
  <c r="B5754" i="30"/>
  <c r="B5755" i="30"/>
  <c r="B5756" i="30"/>
  <c r="B5757" i="30"/>
  <c r="B5758" i="30"/>
  <c r="B5759" i="30"/>
  <c r="B5760" i="30"/>
  <c r="B5761" i="30"/>
  <c r="B5762" i="30"/>
  <c r="B5763" i="30"/>
  <c r="B5764" i="30"/>
  <c r="B5765" i="30"/>
  <c r="B5766" i="30"/>
  <c r="B5767" i="30"/>
  <c r="B5768" i="30"/>
  <c r="B5769" i="30"/>
  <c r="B5770" i="30"/>
  <c r="B5771" i="30"/>
  <c r="B5772" i="30"/>
  <c r="B5773" i="30"/>
  <c r="B5774" i="30"/>
  <c r="B5775" i="30"/>
  <c r="B5776" i="30"/>
  <c r="B5777" i="30"/>
  <c r="B5778" i="30"/>
  <c r="B5779" i="30"/>
  <c r="B5780" i="30"/>
  <c r="B5781" i="30"/>
  <c r="B5782" i="30"/>
  <c r="B5783" i="30"/>
  <c r="B5784" i="30"/>
  <c r="B5785" i="30"/>
  <c r="B5786" i="30"/>
  <c r="B5787" i="30"/>
  <c r="B5788" i="30"/>
  <c r="B5789" i="30"/>
  <c r="B5790" i="30"/>
  <c r="B5791" i="30"/>
  <c r="B5792" i="30"/>
  <c r="B5793" i="30"/>
  <c r="B5794" i="30"/>
  <c r="B5795" i="30"/>
  <c r="B5796" i="30"/>
  <c r="B5797" i="30"/>
  <c r="B5798" i="30"/>
  <c r="B5799" i="30"/>
  <c r="B5800" i="30"/>
  <c r="B5801" i="30"/>
  <c r="B5802" i="30"/>
  <c r="B5803" i="30"/>
  <c r="B5804" i="30"/>
  <c r="B5805" i="30"/>
  <c r="B5806" i="30"/>
  <c r="B5807" i="30"/>
  <c r="B5808" i="30"/>
  <c r="B5809" i="30"/>
  <c r="B5810" i="30"/>
  <c r="B5811" i="30"/>
  <c r="B5812" i="30"/>
  <c r="B5813" i="30"/>
  <c r="B5814" i="30"/>
  <c r="B5815" i="30"/>
  <c r="B5816" i="30"/>
  <c r="B5817" i="30"/>
  <c r="B5818" i="30"/>
  <c r="B5819" i="30"/>
  <c r="B5820" i="30"/>
  <c r="B5821" i="30"/>
  <c r="B5822" i="30"/>
  <c r="B5823" i="30"/>
  <c r="B5824" i="30"/>
  <c r="B5825" i="30"/>
  <c r="B5826" i="30"/>
  <c r="B5827" i="30"/>
  <c r="B5828" i="30"/>
  <c r="B5829" i="30"/>
  <c r="B5830" i="30"/>
  <c r="B5831" i="30"/>
  <c r="B5832" i="30"/>
  <c r="B5833" i="30"/>
  <c r="B5834" i="30"/>
  <c r="B5835" i="30"/>
  <c r="B5836" i="30"/>
  <c r="B5837" i="30"/>
  <c r="B5838" i="30"/>
  <c r="B5839" i="30"/>
  <c r="B5840" i="30"/>
  <c r="B5841" i="30"/>
  <c r="B5842" i="30"/>
  <c r="B5843" i="30"/>
  <c r="B5844" i="30"/>
  <c r="B5845" i="30"/>
  <c r="B5846" i="30"/>
  <c r="B5847" i="30"/>
  <c r="B5848" i="30"/>
  <c r="B5849" i="30"/>
  <c r="B5850" i="30"/>
  <c r="B5851" i="30"/>
  <c r="B5852" i="30"/>
  <c r="B5853" i="30"/>
  <c r="B5854" i="30"/>
  <c r="B5855" i="30"/>
  <c r="B5856" i="30"/>
  <c r="B5857" i="30"/>
  <c r="B5858" i="30"/>
  <c r="B5859" i="30"/>
  <c r="B5860" i="30"/>
  <c r="B5861" i="30"/>
  <c r="B5862" i="30"/>
  <c r="B5863" i="30"/>
  <c r="B5864" i="30"/>
  <c r="B5865" i="30"/>
  <c r="B5866" i="30"/>
  <c r="B5867" i="30"/>
  <c r="B5868" i="30"/>
  <c r="B5869" i="30"/>
  <c r="B5870" i="30"/>
  <c r="B5871" i="30"/>
  <c r="B5872" i="30"/>
  <c r="B5873" i="30"/>
  <c r="B5874" i="30"/>
  <c r="B5875" i="30"/>
  <c r="B5876" i="30"/>
  <c r="B5877" i="30"/>
  <c r="B5878" i="30"/>
  <c r="B5879" i="30"/>
  <c r="B5880" i="30"/>
  <c r="B5881" i="30"/>
  <c r="B5882" i="30"/>
  <c r="B5883" i="30"/>
  <c r="B5884" i="30"/>
  <c r="B5885" i="30"/>
  <c r="B5886" i="30"/>
  <c r="B5887" i="30"/>
  <c r="B5888" i="30"/>
  <c r="B5889" i="30"/>
  <c r="B5890" i="30"/>
  <c r="B5891" i="30"/>
  <c r="B5892" i="30"/>
  <c r="B5893" i="30"/>
  <c r="B5894" i="30"/>
  <c r="B5895" i="30"/>
  <c r="B5896" i="30"/>
  <c r="B5897" i="30"/>
  <c r="B5898" i="30"/>
  <c r="B5899" i="30"/>
  <c r="B5900" i="30"/>
  <c r="B5901" i="30"/>
  <c r="B5902" i="30"/>
  <c r="B5903" i="30"/>
  <c r="B5904" i="30"/>
  <c r="B5905" i="30"/>
  <c r="B5906" i="30"/>
  <c r="B5907" i="30"/>
  <c r="B5908" i="30"/>
  <c r="B5909" i="30"/>
  <c r="B5910" i="30"/>
  <c r="B5911" i="30"/>
  <c r="B5912" i="30"/>
  <c r="B5913" i="30"/>
  <c r="B5914" i="30"/>
  <c r="B5915" i="30"/>
  <c r="B5916" i="30"/>
  <c r="B5917" i="30"/>
  <c r="B5918" i="30"/>
  <c r="B5919" i="30"/>
  <c r="B5920" i="30"/>
  <c r="B5921" i="30"/>
  <c r="B5922" i="30"/>
  <c r="B5923" i="30"/>
  <c r="B5924" i="30"/>
  <c r="B5925" i="30"/>
  <c r="B5926" i="30"/>
  <c r="B5927" i="30"/>
  <c r="B5928" i="30"/>
  <c r="B5929" i="30"/>
  <c r="B5930" i="30"/>
  <c r="B5931" i="30"/>
  <c r="B5932" i="30"/>
  <c r="B5933" i="30"/>
  <c r="B5934" i="30"/>
  <c r="B5935" i="30"/>
  <c r="B5936" i="30"/>
  <c r="B5937" i="30"/>
  <c r="B5938" i="30"/>
  <c r="B5939" i="30"/>
  <c r="B5940" i="30"/>
  <c r="B5941" i="30"/>
  <c r="B5942" i="30"/>
  <c r="B5943" i="30"/>
  <c r="B5944" i="30"/>
  <c r="B5945" i="30"/>
  <c r="B5946" i="30"/>
  <c r="B5947" i="30"/>
  <c r="B5948" i="30"/>
  <c r="B5949" i="30"/>
  <c r="B5950" i="30"/>
  <c r="B5951" i="30"/>
  <c r="B5952" i="30"/>
  <c r="B5953" i="30"/>
  <c r="B5954" i="30"/>
  <c r="B5955" i="30"/>
  <c r="B5956" i="30"/>
  <c r="B5957" i="30"/>
  <c r="B5958" i="30"/>
  <c r="B5959" i="30"/>
  <c r="B5960" i="30"/>
  <c r="B5961" i="30"/>
  <c r="B5962" i="30"/>
  <c r="B5963" i="30"/>
  <c r="B5964" i="30"/>
  <c r="B5965" i="30"/>
  <c r="B5966" i="30"/>
  <c r="B5967" i="30"/>
  <c r="B5968" i="30"/>
  <c r="B5969" i="30"/>
  <c r="B5970" i="30"/>
  <c r="B5971" i="30"/>
  <c r="B5972" i="30"/>
  <c r="B5973" i="30"/>
  <c r="B5974" i="30"/>
  <c r="B5975" i="30"/>
  <c r="B5976" i="30"/>
  <c r="B5977" i="30"/>
  <c r="B5978" i="30"/>
  <c r="B5979" i="30"/>
  <c r="B5980" i="30"/>
  <c r="B5981" i="30"/>
  <c r="B5982" i="30"/>
  <c r="B5983" i="30"/>
  <c r="B5984" i="30"/>
  <c r="B5985" i="30"/>
  <c r="B5986" i="30"/>
  <c r="B5987" i="30"/>
  <c r="B5988" i="30"/>
  <c r="B5989" i="30"/>
  <c r="B5990" i="30"/>
  <c r="B5991" i="30"/>
  <c r="B5992" i="30"/>
  <c r="B5993" i="30"/>
  <c r="B5994" i="30"/>
  <c r="B5995" i="30"/>
  <c r="B5996" i="30"/>
  <c r="B5997" i="30"/>
  <c r="B5998" i="30"/>
  <c r="B5999" i="30"/>
  <c r="B6000" i="30"/>
  <c r="B6001" i="30"/>
  <c r="B6002" i="30"/>
  <c r="B6003" i="30"/>
  <c r="B6004" i="30"/>
  <c r="B6005" i="30"/>
  <c r="B6006" i="30"/>
  <c r="B6007" i="30"/>
  <c r="B6008" i="30"/>
  <c r="B6009" i="30"/>
  <c r="B6010" i="30"/>
  <c r="B6011" i="30"/>
  <c r="B6012" i="30"/>
  <c r="B6013" i="30"/>
  <c r="B6014" i="30"/>
  <c r="B6015" i="30"/>
  <c r="B6016" i="30"/>
  <c r="B6017" i="30"/>
  <c r="B6018" i="30"/>
  <c r="B6019" i="30"/>
  <c r="B6020" i="30"/>
  <c r="B6021" i="30"/>
  <c r="B6022" i="30"/>
  <c r="B6023" i="30"/>
  <c r="B6024" i="30"/>
  <c r="B6025" i="30"/>
  <c r="B6026" i="30"/>
  <c r="B6027" i="30"/>
  <c r="B6028" i="30"/>
  <c r="B6029" i="30"/>
  <c r="B6030" i="30"/>
  <c r="B6031" i="30"/>
  <c r="B6032" i="30"/>
  <c r="B6033" i="30"/>
  <c r="B6034" i="30"/>
  <c r="B6035" i="30"/>
  <c r="B6036" i="30"/>
  <c r="B6037" i="30"/>
  <c r="B6038" i="30"/>
  <c r="B6039" i="30"/>
  <c r="B6040" i="30"/>
  <c r="B6041" i="30"/>
  <c r="B6042" i="30"/>
  <c r="B6043" i="30"/>
  <c r="B6044" i="30"/>
  <c r="B6045" i="30"/>
  <c r="B6046" i="30"/>
  <c r="B6047" i="30"/>
  <c r="B6048" i="30"/>
  <c r="B6049" i="30"/>
  <c r="B6050" i="30"/>
  <c r="B6051" i="30"/>
  <c r="B6052" i="30"/>
  <c r="B6053" i="30"/>
  <c r="B6054" i="30"/>
  <c r="B6055" i="30"/>
  <c r="B6056" i="30"/>
  <c r="B6057" i="30"/>
  <c r="B6058" i="30"/>
  <c r="B6059" i="30"/>
  <c r="B6060" i="30"/>
  <c r="B6061" i="30"/>
  <c r="B6062" i="30"/>
  <c r="B6063" i="30"/>
  <c r="B6064" i="30"/>
  <c r="B6065" i="30"/>
  <c r="B6066" i="30"/>
  <c r="B6067" i="30"/>
  <c r="B6068" i="30"/>
  <c r="B6069" i="30"/>
  <c r="B6070" i="30"/>
  <c r="B6071" i="30"/>
  <c r="B6072" i="30"/>
  <c r="B6073" i="30"/>
  <c r="B6074" i="30"/>
  <c r="B6075" i="30"/>
  <c r="B6076" i="30"/>
  <c r="B6077" i="30"/>
  <c r="B6078" i="30"/>
  <c r="B6079" i="30"/>
  <c r="B6080" i="30"/>
  <c r="B6081" i="30"/>
  <c r="B6082" i="30"/>
  <c r="B6083" i="30"/>
  <c r="B6084" i="30"/>
  <c r="B6085" i="30"/>
  <c r="B6086" i="30"/>
  <c r="B6087" i="30"/>
  <c r="B6088" i="30"/>
  <c r="B6089" i="30"/>
  <c r="B6090" i="30"/>
  <c r="B6091" i="30"/>
  <c r="B6092" i="30"/>
  <c r="B6093" i="30"/>
  <c r="B6094" i="30"/>
  <c r="B6095" i="30"/>
  <c r="B6096" i="30"/>
  <c r="B6097" i="30"/>
  <c r="B6098" i="30"/>
  <c r="B6099" i="30"/>
  <c r="B6100" i="30"/>
  <c r="B6101" i="30"/>
  <c r="B6102" i="30"/>
  <c r="B6103" i="30"/>
  <c r="B6104" i="30"/>
  <c r="B6105" i="30"/>
  <c r="B6106" i="30"/>
  <c r="B6107" i="30"/>
  <c r="B6108" i="30"/>
  <c r="B6109" i="30"/>
  <c r="B6110" i="30"/>
  <c r="B6111" i="30"/>
  <c r="B6112" i="30"/>
  <c r="B6113" i="30"/>
  <c r="B6114" i="30"/>
  <c r="B6115" i="30"/>
  <c r="B6116" i="30"/>
  <c r="B6117" i="30"/>
  <c r="B6118" i="30"/>
  <c r="B6119" i="30"/>
  <c r="B6120" i="30"/>
  <c r="B6121" i="30"/>
  <c r="B6122" i="30"/>
  <c r="B6123" i="30"/>
  <c r="B6124" i="30"/>
  <c r="B6125" i="30"/>
  <c r="B6126" i="30"/>
  <c r="B6127" i="30"/>
  <c r="B6128" i="30"/>
  <c r="B6129" i="30"/>
  <c r="B6130" i="30"/>
  <c r="B6131" i="30"/>
  <c r="B6132" i="30"/>
  <c r="B6133" i="30"/>
  <c r="B6134" i="30"/>
  <c r="B6135" i="30"/>
  <c r="B6136" i="30"/>
  <c r="B6137" i="30"/>
  <c r="B6138" i="30"/>
  <c r="B6139" i="30"/>
  <c r="B6140" i="30"/>
  <c r="B6141" i="30"/>
  <c r="B6142" i="30"/>
  <c r="B6143" i="30"/>
  <c r="B6144" i="30"/>
  <c r="B6145" i="30"/>
  <c r="B6146" i="30"/>
  <c r="B6147" i="30"/>
  <c r="B6148" i="30"/>
  <c r="B6149" i="30"/>
  <c r="B6150" i="30"/>
  <c r="B6151" i="30"/>
  <c r="B6152" i="30"/>
  <c r="B6153" i="30"/>
  <c r="B6154" i="30"/>
  <c r="B6155" i="30"/>
  <c r="B6156" i="30"/>
  <c r="B6157" i="30"/>
  <c r="B6158" i="30"/>
  <c r="B6159" i="30"/>
  <c r="B6160" i="30"/>
  <c r="B6161" i="30"/>
  <c r="B6162" i="30"/>
  <c r="B6163" i="30"/>
  <c r="B6164" i="30"/>
  <c r="B6165" i="30"/>
  <c r="B6166" i="30"/>
  <c r="B6167" i="30"/>
  <c r="B6168" i="30"/>
  <c r="B6169" i="30"/>
  <c r="B6170" i="30"/>
  <c r="B6171" i="30"/>
  <c r="B6172" i="30"/>
  <c r="B6173" i="30"/>
  <c r="B6174" i="30"/>
  <c r="B6175" i="30"/>
  <c r="B6176" i="30"/>
  <c r="B6177" i="30"/>
  <c r="B6178" i="30"/>
  <c r="B6179" i="30"/>
  <c r="B6180" i="30"/>
  <c r="B6181" i="30"/>
  <c r="B6182" i="30"/>
  <c r="B6183" i="30"/>
  <c r="B6184" i="30"/>
  <c r="B6185" i="30"/>
  <c r="B6186" i="30"/>
  <c r="B6187" i="30"/>
  <c r="B6188" i="30"/>
  <c r="B6189" i="30"/>
  <c r="B6190" i="30"/>
  <c r="B6191" i="30"/>
  <c r="B6192" i="30"/>
  <c r="B6193" i="30"/>
  <c r="B6194" i="30"/>
  <c r="B6195" i="30"/>
  <c r="B6196" i="30"/>
  <c r="B6197" i="30"/>
  <c r="B6198" i="30"/>
  <c r="B6199" i="30"/>
  <c r="B6200" i="30"/>
  <c r="B6201" i="30"/>
  <c r="B6202" i="30"/>
  <c r="B6203" i="30"/>
  <c r="B6204" i="30"/>
  <c r="B6205" i="30"/>
  <c r="B6206" i="30"/>
  <c r="B6207" i="30"/>
  <c r="B6208" i="30"/>
  <c r="B6209" i="30"/>
  <c r="B6210" i="30"/>
  <c r="B6211" i="30"/>
  <c r="B6212" i="30"/>
  <c r="B6213" i="30"/>
  <c r="B6214" i="30"/>
  <c r="B6215" i="30"/>
  <c r="B6216" i="30"/>
  <c r="B6217" i="30"/>
  <c r="B6218" i="30"/>
  <c r="B6219" i="30"/>
  <c r="B6220" i="30"/>
  <c r="B6221" i="30"/>
  <c r="B6222" i="30"/>
  <c r="B6223" i="30"/>
  <c r="B6224" i="30"/>
  <c r="B6225" i="30"/>
  <c r="B6226" i="30"/>
  <c r="B6227" i="30"/>
  <c r="B6228" i="30"/>
  <c r="B6229" i="30"/>
  <c r="B6230" i="30"/>
  <c r="B6231" i="30"/>
  <c r="B6232" i="30"/>
  <c r="B6233" i="30"/>
  <c r="B6234" i="30"/>
  <c r="B6235" i="30"/>
  <c r="B6236" i="30"/>
  <c r="B6237" i="30"/>
  <c r="B6238" i="30"/>
  <c r="B6239" i="30"/>
  <c r="B6240" i="30"/>
  <c r="B6241" i="30"/>
  <c r="B6242" i="30"/>
  <c r="B6243" i="30"/>
  <c r="B6244" i="30"/>
  <c r="B6245" i="30"/>
  <c r="B6246" i="30"/>
  <c r="B6247" i="30"/>
  <c r="B6248" i="30"/>
  <c r="B6249" i="30"/>
  <c r="B6250" i="30"/>
  <c r="B6251" i="30"/>
  <c r="B6252" i="30"/>
  <c r="B6253" i="30"/>
  <c r="B6254" i="30"/>
  <c r="B6255" i="30"/>
  <c r="B6256" i="30"/>
  <c r="B6257" i="30"/>
  <c r="B6258" i="30"/>
  <c r="B6259" i="30"/>
  <c r="B6260" i="30"/>
  <c r="B6261" i="30"/>
  <c r="B6262" i="30"/>
  <c r="B6263" i="30"/>
  <c r="B6264" i="30"/>
  <c r="B6265" i="30"/>
  <c r="B6266" i="30"/>
  <c r="B6267" i="30"/>
  <c r="B6268" i="30"/>
  <c r="B6269" i="30"/>
  <c r="B6270" i="30"/>
  <c r="B6271" i="30"/>
  <c r="B6272" i="30"/>
  <c r="B6273" i="30"/>
  <c r="B6274" i="30"/>
  <c r="B6275" i="30"/>
  <c r="B6276" i="30"/>
  <c r="B6277" i="30"/>
  <c r="B6278" i="30"/>
  <c r="B6279" i="30"/>
  <c r="B6280" i="30"/>
  <c r="B6281" i="30"/>
  <c r="B6282" i="30"/>
  <c r="B6283" i="30"/>
  <c r="B6284" i="30"/>
  <c r="B6285" i="30"/>
  <c r="B6286" i="30"/>
  <c r="B6287" i="30"/>
  <c r="B6288" i="30"/>
  <c r="B6289" i="30"/>
  <c r="B6290" i="30"/>
  <c r="B6291" i="30"/>
  <c r="B6292" i="30"/>
  <c r="B6293" i="30"/>
  <c r="B6294" i="30"/>
  <c r="B6295" i="30"/>
  <c r="B6296" i="30"/>
  <c r="B6297" i="30"/>
  <c r="B6298" i="30"/>
  <c r="B6299" i="30"/>
  <c r="B6300" i="30"/>
  <c r="B6301" i="30"/>
  <c r="B6302" i="30"/>
  <c r="B6303" i="30"/>
  <c r="B6304" i="30"/>
  <c r="B6305" i="30"/>
  <c r="B6306" i="30"/>
  <c r="B6307" i="30"/>
  <c r="B6308" i="30"/>
  <c r="B6309" i="30"/>
  <c r="B6310" i="30"/>
  <c r="B6311" i="30"/>
  <c r="B6312" i="30"/>
  <c r="B6313" i="30"/>
  <c r="B6314" i="30"/>
  <c r="B6315" i="30"/>
  <c r="B6316" i="30"/>
  <c r="B6317" i="30"/>
  <c r="B6318" i="30"/>
  <c r="B6319" i="30"/>
  <c r="B6320" i="30"/>
  <c r="B6321" i="30"/>
  <c r="B6322" i="30"/>
  <c r="B6323" i="30"/>
  <c r="B6324" i="30"/>
  <c r="B6325" i="30"/>
  <c r="B6326" i="30"/>
  <c r="B6327" i="30"/>
  <c r="B6328" i="30"/>
  <c r="B6329" i="30"/>
  <c r="B6330" i="30"/>
  <c r="B6331" i="30"/>
  <c r="B6332" i="30"/>
  <c r="B6333" i="30"/>
  <c r="B6334" i="30"/>
  <c r="B6335" i="30"/>
  <c r="B6336" i="30"/>
  <c r="B6337" i="30"/>
  <c r="B6338" i="30"/>
  <c r="B6339" i="30"/>
  <c r="B6340" i="30"/>
  <c r="B6341" i="30"/>
  <c r="B6342" i="30"/>
  <c r="B6343" i="30"/>
  <c r="B6344" i="30"/>
  <c r="B6345" i="30"/>
  <c r="B6346" i="30"/>
  <c r="B6347" i="30"/>
  <c r="B6348" i="30"/>
  <c r="B6349" i="30"/>
  <c r="B6350" i="30"/>
  <c r="B6351" i="30"/>
  <c r="B6352" i="30"/>
  <c r="B6353" i="30"/>
  <c r="B6354" i="30"/>
  <c r="B6355" i="30"/>
  <c r="B6356" i="30"/>
  <c r="B6357" i="30"/>
  <c r="B6358" i="30"/>
  <c r="B6359" i="30"/>
  <c r="B6360" i="30"/>
  <c r="B6361" i="30"/>
  <c r="B6362" i="30"/>
  <c r="B6363" i="30"/>
  <c r="B6364" i="30"/>
  <c r="B6365" i="30"/>
  <c r="B6366" i="30"/>
  <c r="B6367" i="30"/>
  <c r="B6368" i="30"/>
  <c r="B6369" i="30"/>
  <c r="B6370" i="30"/>
  <c r="B6371" i="30"/>
  <c r="B6372" i="30"/>
  <c r="B6373" i="30"/>
  <c r="B6374" i="30"/>
  <c r="B6375" i="30"/>
  <c r="B6376" i="30"/>
  <c r="B6377" i="30"/>
  <c r="B6378" i="30"/>
  <c r="B6379" i="30"/>
  <c r="B6380" i="30"/>
  <c r="B6381" i="30"/>
  <c r="B6382" i="30"/>
  <c r="B6383" i="30"/>
  <c r="B6384" i="30"/>
  <c r="B6385" i="30"/>
  <c r="B6386" i="30"/>
  <c r="B6387" i="30"/>
  <c r="B6388" i="30"/>
  <c r="B6389" i="30"/>
  <c r="B6390" i="30"/>
  <c r="B6391" i="30"/>
  <c r="B6392" i="30"/>
  <c r="B6393" i="30"/>
  <c r="B6394" i="30"/>
  <c r="B6395" i="30"/>
  <c r="B6396" i="30"/>
  <c r="B6397" i="30"/>
  <c r="B6398" i="30"/>
  <c r="B6399" i="30"/>
  <c r="B6400" i="30"/>
  <c r="B6401" i="30"/>
  <c r="B6402" i="30"/>
  <c r="B6403" i="30"/>
  <c r="B6404" i="30"/>
  <c r="B6405" i="30"/>
  <c r="B6406" i="30"/>
  <c r="B6407" i="30"/>
  <c r="B6408" i="30"/>
  <c r="B6409" i="30"/>
  <c r="B6410" i="30"/>
  <c r="B6411" i="30"/>
  <c r="B6412" i="30"/>
  <c r="B6413" i="30"/>
  <c r="B6414" i="30"/>
  <c r="B6415" i="30"/>
  <c r="B6416" i="30"/>
  <c r="B6417" i="30"/>
  <c r="B6418" i="30"/>
  <c r="B6419" i="30"/>
  <c r="B6420" i="30"/>
  <c r="B6421" i="30"/>
  <c r="B6422" i="30"/>
  <c r="B6423" i="30"/>
  <c r="B6424" i="30"/>
  <c r="B6425" i="30"/>
  <c r="B6426" i="30"/>
  <c r="B6427" i="30"/>
  <c r="B6428" i="30"/>
  <c r="B6429" i="30"/>
  <c r="B6430" i="30"/>
  <c r="B6431" i="30"/>
  <c r="B6432" i="30"/>
  <c r="B6433" i="30"/>
  <c r="B6434" i="30"/>
  <c r="B6435" i="30"/>
  <c r="B6436" i="30"/>
  <c r="B6437" i="30"/>
  <c r="B6438" i="30"/>
  <c r="B6439" i="30"/>
  <c r="B6440" i="30"/>
  <c r="B6441" i="30"/>
  <c r="B6442" i="30"/>
  <c r="B6443" i="30"/>
  <c r="B6444" i="30"/>
  <c r="B6445" i="30"/>
  <c r="B6446" i="30"/>
  <c r="B6447" i="30"/>
  <c r="B6448" i="30"/>
  <c r="B6449" i="30"/>
  <c r="B6450" i="30"/>
  <c r="B6451" i="30"/>
  <c r="B6452" i="30"/>
  <c r="B6453" i="30"/>
  <c r="B6454" i="30"/>
  <c r="B6455" i="30"/>
  <c r="B6456" i="30"/>
  <c r="B6457" i="30"/>
  <c r="B6458" i="30"/>
  <c r="B6459" i="30"/>
  <c r="B6460" i="30"/>
  <c r="B6461" i="30"/>
  <c r="B6462" i="30"/>
  <c r="B6463" i="30"/>
  <c r="B6464" i="30"/>
  <c r="B6465" i="30"/>
  <c r="B6466" i="30"/>
  <c r="B6467" i="30"/>
  <c r="B6468" i="30"/>
  <c r="B6469" i="30"/>
  <c r="B6470" i="30"/>
  <c r="B6471" i="30"/>
  <c r="B6472" i="30"/>
  <c r="B6473" i="30"/>
  <c r="B6474" i="30"/>
  <c r="B6475" i="30"/>
  <c r="B6476" i="30"/>
  <c r="B6477" i="30"/>
  <c r="B6478" i="30"/>
  <c r="B6479" i="30"/>
  <c r="B6480" i="30"/>
  <c r="B6481" i="30"/>
  <c r="B6482" i="30"/>
  <c r="B6483" i="30"/>
  <c r="B6484" i="30"/>
  <c r="B6485" i="30"/>
  <c r="B6486" i="30"/>
  <c r="B6487" i="30"/>
  <c r="B6488" i="30"/>
  <c r="B6489" i="30"/>
  <c r="B6490" i="30"/>
  <c r="B6491" i="30"/>
  <c r="B6492" i="30"/>
  <c r="B6493" i="30"/>
  <c r="B6494" i="30"/>
  <c r="B6495" i="30"/>
  <c r="B6496" i="30"/>
  <c r="B6497" i="30"/>
  <c r="B6498" i="30"/>
  <c r="B6499" i="30"/>
  <c r="B6500" i="30"/>
  <c r="B6501" i="30"/>
  <c r="B6502" i="30"/>
  <c r="B6503" i="30"/>
  <c r="B6504" i="30"/>
  <c r="B6505" i="30"/>
  <c r="B6506" i="30"/>
  <c r="B6507" i="30"/>
  <c r="B6508" i="30"/>
  <c r="B6509" i="30"/>
  <c r="B6510" i="30"/>
  <c r="B6511" i="30"/>
  <c r="B6512" i="30"/>
  <c r="B6513" i="30"/>
  <c r="B6514" i="30"/>
  <c r="B6515" i="30"/>
  <c r="B6516" i="30"/>
  <c r="B6517" i="30"/>
  <c r="B6518" i="30"/>
  <c r="B6519" i="30"/>
  <c r="B6520" i="30"/>
  <c r="B6521" i="30"/>
  <c r="B6522" i="30"/>
  <c r="B6523" i="30"/>
  <c r="B6524" i="30"/>
  <c r="B6525" i="30"/>
  <c r="B6526" i="30"/>
  <c r="B6527" i="30"/>
  <c r="B6528" i="30"/>
  <c r="B6529" i="30"/>
  <c r="B6530" i="30"/>
  <c r="B6531" i="30"/>
  <c r="B6532" i="30"/>
  <c r="B6533" i="30"/>
  <c r="B6534" i="30"/>
  <c r="B6535" i="30"/>
  <c r="B6536" i="30"/>
  <c r="B6537" i="30"/>
  <c r="B6538" i="30"/>
  <c r="B6539" i="30"/>
  <c r="B6540" i="30"/>
  <c r="B6541" i="30"/>
  <c r="B6542" i="30"/>
  <c r="B6543" i="30"/>
  <c r="B6544" i="30"/>
  <c r="B6545" i="30"/>
  <c r="B6546" i="30"/>
  <c r="B6547" i="30"/>
  <c r="B6548" i="30"/>
  <c r="B6549" i="30"/>
  <c r="B6550" i="30"/>
  <c r="B6551" i="30"/>
  <c r="B6552" i="30"/>
  <c r="B6553" i="30"/>
  <c r="B6554" i="30"/>
  <c r="B6555" i="30"/>
  <c r="B6556" i="30"/>
  <c r="B6557" i="30"/>
  <c r="B6558" i="30"/>
  <c r="B6559" i="30"/>
  <c r="B6560" i="30"/>
  <c r="B6561" i="30"/>
  <c r="B6562" i="30"/>
  <c r="B6563" i="30"/>
  <c r="B6564" i="30"/>
  <c r="B6565" i="30"/>
  <c r="B6566" i="30"/>
  <c r="B6567" i="30"/>
  <c r="B6568" i="30"/>
  <c r="B6569" i="30"/>
  <c r="B6570" i="30"/>
  <c r="B6571" i="30"/>
  <c r="B6572" i="30"/>
  <c r="B6573" i="30"/>
  <c r="B6574" i="30"/>
  <c r="B6575" i="30"/>
  <c r="B6576" i="30"/>
  <c r="B6577" i="30"/>
  <c r="B6578" i="30"/>
  <c r="B6579" i="30"/>
  <c r="B6580" i="30"/>
  <c r="B6581" i="30"/>
  <c r="B6582" i="30"/>
  <c r="B6583" i="30"/>
  <c r="B6584" i="30"/>
  <c r="B6585" i="30"/>
  <c r="B6586" i="30"/>
  <c r="B6587" i="30"/>
  <c r="B6588" i="30"/>
  <c r="B6589" i="30"/>
  <c r="B6590" i="30"/>
  <c r="B6591" i="30"/>
  <c r="B6592" i="30"/>
  <c r="B6593" i="30"/>
  <c r="B6594" i="30"/>
  <c r="B6595" i="30"/>
  <c r="B6596" i="30"/>
  <c r="B6597" i="30"/>
  <c r="B6598" i="30"/>
  <c r="B6599" i="30"/>
  <c r="B6600" i="30"/>
  <c r="B6601" i="30"/>
  <c r="B6602" i="30"/>
  <c r="B6603" i="30"/>
  <c r="A5412" i="30"/>
  <c r="A5413" i="30"/>
  <c r="A5414" i="30" s="1"/>
  <c r="A5415" i="30"/>
  <c r="A5416" i="30" s="1"/>
  <c r="A5417" i="30" s="1"/>
  <c r="A5418" i="30" s="1"/>
  <c r="A5419" i="30"/>
  <c r="A5420" i="30" s="1"/>
  <c r="A5421" i="30" s="1"/>
  <c r="A5422" i="30" s="1"/>
  <c r="A5423" i="30" s="1"/>
  <c r="A5424" i="30" s="1"/>
  <c r="A5425" i="30" s="1"/>
  <c r="A5426" i="30" s="1"/>
  <c r="A5427" i="30" s="1"/>
  <c r="A5428" i="30" s="1"/>
  <c r="A5429" i="30" s="1"/>
  <c r="A5430" i="30" s="1"/>
  <c r="A5431" i="30" s="1"/>
  <c r="A5432" i="30" s="1"/>
  <c r="A5433" i="30" s="1"/>
  <c r="A5434" i="30" s="1"/>
  <c r="A5435" i="30" s="1"/>
  <c r="A5436" i="30" s="1"/>
  <c r="A5437" i="30" s="1"/>
  <c r="A5438" i="30" s="1"/>
  <c r="A5439" i="30" s="1"/>
  <c r="A5440" i="30" s="1"/>
  <c r="A5441" i="30" s="1"/>
  <c r="A5442" i="30" s="1"/>
  <c r="A5443" i="30" s="1"/>
  <c r="A5444" i="30" s="1"/>
  <c r="A5445" i="30" s="1"/>
  <c r="A5446" i="30" s="1"/>
  <c r="A5447" i="30" s="1"/>
  <c r="A5448" i="30" s="1"/>
  <c r="A5449" i="30" s="1"/>
  <c r="A5450" i="30" s="1"/>
  <c r="A5451" i="30" s="1"/>
  <c r="A5452" i="30" s="1"/>
  <c r="A5453" i="30" s="1"/>
  <c r="A5454" i="30" s="1"/>
  <c r="A5455" i="30" s="1"/>
  <c r="A5456" i="30" s="1"/>
  <c r="A5457" i="30" s="1"/>
  <c r="A5458" i="30" s="1"/>
  <c r="A5459" i="30" s="1"/>
  <c r="A5460" i="30" s="1"/>
  <c r="A5461" i="30" s="1"/>
  <c r="A5462" i="30" s="1"/>
  <c r="A5463" i="30" s="1"/>
  <c r="A5464" i="30" s="1"/>
  <c r="A5465" i="30" s="1"/>
  <c r="A5466" i="30" s="1"/>
  <c r="A5467" i="30" s="1"/>
  <c r="A5468" i="30" s="1"/>
  <c r="A5469" i="30" s="1"/>
  <c r="A5470" i="30" s="1"/>
  <c r="A5471" i="30" s="1"/>
  <c r="A5472" i="30" s="1"/>
  <c r="A5473" i="30" s="1"/>
  <c r="A5474" i="30" s="1"/>
  <c r="A5475" i="30" s="1"/>
  <c r="A5476" i="30" s="1"/>
  <c r="A5477" i="30" s="1"/>
  <c r="A5478" i="30" s="1"/>
  <c r="A5479" i="30" s="1"/>
  <c r="A5480" i="30" s="1"/>
  <c r="A5481" i="30" s="1"/>
  <c r="A5482" i="30" s="1"/>
  <c r="A5483" i="30" s="1"/>
  <c r="A5484" i="30" s="1"/>
  <c r="A5485" i="30" s="1"/>
  <c r="A5486" i="30" s="1"/>
  <c r="A5487" i="30" s="1"/>
  <c r="A5488" i="30" s="1"/>
  <c r="A5489" i="30" s="1"/>
  <c r="A5490" i="30" s="1"/>
  <c r="A5491" i="30" s="1"/>
  <c r="A5492" i="30" s="1"/>
  <c r="A5493" i="30" s="1"/>
  <c r="A5494" i="30" s="1"/>
  <c r="A5495" i="30" s="1"/>
  <c r="A5496" i="30" s="1"/>
  <c r="A5497" i="30" s="1"/>
  <c r="A5498" i="30" s="1"/>
  <c r="A5499" i="30" s="1"/>
  <c r="A5500" i="30" s="1"/>
  <c r="A5501" i="30" s="1"/>
  <c r="A5502" i="30" s="1"/>
  <c r="A5503" i="30" s="1"/>
  <c r="A5504" i="30" s="1"/>
  <c r="A5505" i="30" s="1"/>
  <c r="A5506" i="30" s="1"/>
  <c r="A5507" i="30" s="1"/>
  <c r="A5508" i="30" s="1"/>
  <c r="A5509" i="30" s="1"/>
  <c r="A5510" i="30" s="1"/>
  <c r="A5511" i="30" s="1"/>
  <c r="A5512" i="30" s="1"/>
  <c r="A5513" i="30" s="1"/>
  <c r="A5514" i="30" s="1"/>
  <c r="A5515" i="30" s="1"/>
  <c r="A5516" i="30" s="1"/>
  <c r="A5517" i="30" s="1"/>
  <c r="A5518" i="30" s="1"/>
  <c r="A5519" i="30" s="1"/>
  <c r="A5520" i="30" s="1"/>
  <c r="A5521" i="30" s="1"/>
  <c r="A5522" i="30" s="1"/>
  <c r="A5523" i="30" s="1"/>
  <c r="A5524" i="30" s="1"/>
  <c r="A5525" i="30" s="1"/>
  <c r="A5526" i="30" s="1"/>
  <c r="A5527" i="30" s="1"/>
  <c r="A5528" i="30" s="1"/>
  <c r="A5529" i="30" s="1"/>
  <c r="A5530" i="30" s="1"/>
  <c r="A5531" i="30" s="1"/>
  <c r="A5532" i="30" s="1"/>
  <c r="A5533" i="30" s="1"/>
  <c r="A5534" i="30" s="1"/>
  <c r="A5535" i="30" s="1"/>
  <c r="A5536" i="30" s="1"/>
  <c r="A5537" i="30" s="1"/>
  <c r="A5538" i="30" s="1"/>
  <c r="A5539" i="30" s="1"/>
  <c r="A5540" i="30" s="1"/>
  <c r="A5541" i="30" s="1"/>
  <c r="A5542" i="30" s="1"/>
  <c r="A5543" i="30" s="1"/>
  <c r="A5544" i="30" s="1"/>
  <c r="A5545" i="30" s="1"/>
  <c r="A5546" i="30" s="1"/>
  <c r="A5547" i="30" s="1"/>
  <c r="A5548" i="30" s="1"/>
  <c r="A5549" i="30" s="1"/>
  <c r="A5550" i="30" s="1"/>
  <c r="A5551" i="30" s="1"/>
  <c r="A5552" i="30" s="1"/>
  <c r="A5553" i="30" s="1"/>
  <c r="A5554" i="30" s="1"/>
  <c r="A5555" i="30" s="1"/>
  <c r="A5556" i="30" s="1"/>
  <c r="A5557" i="30" s="1"/>
  <c r="A5558" i="30" s="1"/>
  <c r="A5559" i="30" s="1"/>
  <c r="A5560" i="30" s="1"/>
  <c r="A5561" i="30" s="1"/>
  <c r="A5562" i="30" s="1"/>
  <c r="A5563" i="30" s="1"/>
  <c r="A5564" i="30" s="1"/>
  <c r="A5565" i="30" s="1"/>
  <c r="A5566" i="30" s="1"/>
  <c r="A5567" i="30" s="1"/>
  <c r="A5568" i="30" s="1"/>
  <c r="A5569" i="30" s="1"/>
  <c r="A5570" i="30" s="1"/>
  <c r="A5571" i="30" s="1"/>
  <c r="A5572" i="30" s="1"/>
  <c r="A5573" i="30" s="1"/>
  <c r="A5574" i="30" s="1"/>
  <c r="A5575" i="30" s="1"/>
  <c r="A5576" i="30" s="1"/>
  <c r="A5577" i="30" s="1"/>
  <c r="A5578" i="30" s="1"/>
  <c r="A5579" i="30" s="1"/>
  <c r="A5580" i="30" s="1"/>
  <c r="A5581" i="30" s="1"/>
  <c r="A5582" i="30" s="1"/>
  <c r="A5583" i="30" s="1"/>
  <c r="A5584" i="30" s="1"/>
  <c r="A5585" i="30" s="1"/>
  <c r="A5586" i="30" s="1"/>
  <c r="A5587" i="30" s="1"/>
  <c r="A5588" i="30" s="1"/>
  <c r="A5589" i="30" s="1"/>
  <c r="A5590" i="30" s="1"/>
  <c r="A5591" i="30" s="1"/>
  <c r="A5592" i="30" s="1"/>
  <c r="A5593" i="30" s="1"/>
  <c r="A5594" i="30" s="1"/>
  <c r="A5595" i="30" s="1"/>
  <c r="A5596" i="30" s="1"/>
  <c r="A5597" i="30" s="1"/>
  <c r="A5598" i="30" s="1"/>
  <c r="A5599" i="30" s="1"/>
  <c r="A5600" i="30" s="1"/>
  <c r="A5601" i="30" s="1"/>
  <c r="A5602" i="30" s="1"/>
  <c r="A5603" i="30" s="1"/>
  <c r="A5604" i="30" s="1"/>
  <c r="A5605" i="30" s="1"/>
  <c r="A5606" i="30" s="1"/>
  <c r="A5607" i="30" s="1"/>
  <c r="A5608" i="30" s="1"/>
  <c r="A5609" i="30" s="1"/>
  <c r="A5610" i="30" s="1"/>
  <c r="A5611" i="30" s="1"/>
  <c r="A5612" i="30" s="1"/>
  <c r="A5613" i="30" s="1"/>
  <c r="A5614" i="30" s="1"/>
  <c r="A5615" i="30" s="1"/>
  <c r="A5616" i="30" s="1"/>
  <c r="A5617" i="30" s="1"/>
  <c r="A5618" i="30" s="1"/>
  <c r="A5619" i="30" s="1"/>
  <c r="A5620" i="30" s="1"/>
  <c r="A5621" i="30" s="1"/>
  <c r="A5622" i="30" s="1"/>
  <c r="A5623" i="30" s="1"/>
  <c r="A5624" i="30" s="1"/>
  <c r="A5625" i="30" s="1"/>
  <c r="A5626" i="30" s="1"/>
  <c r="A5627" i="30" s="1"/>
  <c r="A5628" i="30" s="1"/>
  <c r="A5629" i="30" s="1"/>
  <c r="A5630" i="30" s="1"/>
  <c r="A5631" i="30" s="1"/>
  <c r="A5632" i="30" s="1"/>
  <c r="A5633" i="30" s="1"/>
  <c r="A5634" i="30" s="1"/>
  <c r="A5635" i="30" s="1"/>
  <c r="A5636" i="30" s="1"/>
  <c r="A5637" i="30" s="1"/>
  <c r="A5638" i="30" s="1"/>
  <c r="A5639" i="30" s="1"/>
  <c r="A5640" i="30" s="1"/>
  <c r="A5641" i="30" s="1"/>
  <c r="A5642" i="30" s="1"/>
  <c r="A5643" i="30" s="1"/>
  <c r="A5644" i="30" s="1"/>
  <c r="A5645" i="30" s="1"/>
  <c r="A5646" i="30" s="1"/>
  <c r="A5647" i="30" s="1"/>
  <c r="A5648" i="30" s="1"/>
  <c r="A5649" i="30" s="1"/>
  <c r="A5650" i="30" s="1"/>
  <c r="A5651" i="30" s="1"/>
  <c r="A5652" i="30" s="1"/>
  <c r="A5653" i="30" s="1"/>
  <c r="A5654" i="30" s="1"/>
  <c r="A5655" i="30" s="1"/>
  <c r="A5656" i="30" s="1"/>
  <c r="A5657" i="30" s="1"/>
  <c r="A5658" i="30" s="1"/>
  <c r="A5659" i="30" s="1"/>
  <c r="A5660" i="30" s="1"/>
  <c r="A5661" i="30" s="1"/>
  <c r="A5662" i="30" s="1"/>
  <c r="A5663" i="30" s="1"/>
  <c r="A5664" i="30" s="1"/>
  <c r="A5665" i="30" s="1"/>
  <c r="A5666" i="30" s="1"/>
  <c r="A5667" i="30" s="1"/>
  <c r="A5668" i="30" s="1"/>
  <c r="A5669" i="30" s="1"/>
  <c r="A5670" i="30" s="1"/>
  <c r="A5671" i="30" s="1"/>
  <c r="A5672" i="30" s="1"/>
  <c r="A5673" i="30" s="1"/>
  <c r="A5674" i="30" s="1"/>
  <c r="A5675" i="30" s="1"/>
  <c r="A5676" i="30" s="1"/>
  <c r="A5677" i="30" s="1"/>
  <c r="A5678" i="30" s="1"/>
  <c r="A5679" i="30" s="1"/>
  <c r="A5680" i="30" s="1"/>
  <c r="A5681" i="30" s="1"/>
  <c r="A5682" i="30" s="1"/>
  <c r="A5683" i="30" s="1"/>
  <c r="A5684" i="30" s="1"/>
  <c r="A5685" i="30" s="1"/>
  <c r="A5686" i="30" s="1"/>
  <c r="A5687" i="30" s="1"/>
  <c r="A5688" i="30" s="1"/>
  <c r="A5689" i="30" s="1"/>
  <c r="A5690" i="30" s="1"/>
  <c r="A5691" i="30" s="1"/>
  <c r="A5692" i="30" s="1"/>
  <c r="A5693" i="30" s="1"/>
  <c r="A5694" i="30" s="1"/>
  <c r="A5695" i="30" s="1"/>
  <c r="A5696" i="30" s="1"/>
  <c r="A5697" i="30" s="1"/>
  <c r="A5698" i="30" s="1"/>
  <c r="A5699" i="30" s="1"/>
  <c r="A5700" i="30" s="1"/>
  <c r="A5701" i="30" s="1"/>
  <c r="A5702" i="30" s="1"/>
  <c r="A5703" i="30" s="1"/>
  <c r="A5704" i="30" s="1"/>
  <c r="A5705" i="30" s="1"/>
  <c r="A5706" i="30" s="1"/>
  <c r="A5707" i="30" s="1"/>
  <c r="A5708" i="30" s="1"/>
  <c r="A5709" i="30" s="1"/>
  <c r="A5710" i="30" s="1"/>
  <c r="A5711" i="30" s="1"/>
  <c r="A5712" i="30" s="1"/>
  <c r="A5713" i="30" s="1"/>
  <c r="A5714" i="30" s="1"/>
  <c r="A5715" i="30" s="1"/>
  <c r="A5716" i="30" s="1"/>
  <c r="A5717" i="30" s="1"/>
  <c r="A5718" i="30" s="1"/>
  <c r="A5719" i="30" s="1"/>
  <c r="A5720" i="30" s="1"/>
  <c r="A5721" i="30" s="1"/>
  <c r="A5722" i="30" s="1"/>
  <c r="A5723" i="30" s="1"/>
  <c r="A5724" i="30" s="1"/>
  <c r="A5725" i="30" s="1"/>
  <c r="A5726" i="30" s="1"/>
  <c r="A5727" i="30" s="1"/>
  <c r="A5728" i="30" s="1"/>
  <c r="A5729" i="30" s="1"/>
  <c r="A5730" i="30" s="1"/>
  <c r="A5731" i="30" s="1"/>
  <c r="A5732" i="30" s="1"/>
  <c r="A5733" i="30" s="1"/>
  <c r="A5734" i="30" s="1"/>
  <c r="A5735" i="30" s="1"/>
  <c r="A5736" i="30" s="1"/>
  <c r="A5737" i="30" s="1"/>
  <c r="A5738" i="30" s="1"/>
  <c r="A5739" i="30" s="1"/>
  <c r="A5740" i="30" s="1"/>
  <c r="A5741" i="30" s="1"/>
  <c r="A5742" i="30" s="1"/>
  <c r="A5743" i="30" s="1"/>
  <c r="A5744" i="30" s="1"/>
  <c r="A5745" i="30" s="1"/>
  <c r="A5746" i="30" s="1"/>
  <c r="A5747" i="30" s="1"/>
  <c r="A5748" i="30" s="1"/>
  <c r="A5749" i="30" s="1"/>
  <c r="A5750" i="30" s="1"/>
  <c r="A5751" i="30" s="1"/>
  <c r="A5752" i="30" s="1"/>
  <c r="A5753" i="30" s="1"/>
  <c r="A5754" i="30" s="1"/>
  <c r="A5755" i="30" s="1"/>
  <c r="A5756" i="30" s="1"/>
  <c r="A5757" i="30" s="1"/>
  <c r="A5758" i="30" s="1"/>
  <c r="A5759" i="30" s="1"/>
  <c r="A5760" i="30" s="1"/>
  <c r="A5761" i="30" s="1"/>
  <c r="A5762" i="30" s="1"/>
  <c r="A5763" i="30" s="1"/>
  <c r="A5764" i="30" s="1"/>
  <c r="A5765" i="30" s="1"/>
  <c r="A5766" i="30" s="1"/>
  <c r="A5767" i="30" s="1"/>
  <c r="A5768" i="30" s="1"/>
  <c r="A5769" i="30" s="1"/>
  <c r="A5770" i="30" s="1"/>
  <c r="A5771" i="30" s="1"/>
  <c r="A5772" i="30" s="1"/>
  <c r="A5773" i="30" s="1"/>
  <c r="A5774" i="30" s="1"/>
  <c r="A5775" i="30" s="1"/>
  <c r="A5776" i="30" s="1"/>
  <c r="A5777" i="30" s="1"/>
  <c r="A5778" i="30" s="1"/>
  <c r="A5779" i="30" s="1"/>
  <c r="A5780" i="30" s="1"/>
  <c r="A5781" i="30" s="1"/>
  <c r="A5782" i="30" s="1"/>
  <c r="A5783" i="30" s="1"/>
  <c r="A5784" i="30" s="1"/>
  <c r="A5785" i="30" s="1"/>
  <c r="A5786" i="30" s="1"/>
  <c r="A5787" i="30" s="1"/>
  <c r="A5788" i="30" s="1"/>
  <c r="A5789" i="30" s="1"/>
  <c r="A5790" i="30" s="1"/>
  <c r="A5791" i="30" s="1"/>
  <c r="A5792" i="30" s="1"/>
  <c r="A5793" i="30" s="1"/>
  <c r="A5794" i="30" s="1"/>
  <c r="A5795" i="30" s="1"/>
  <c r="A5796" i="30" s="1"/>
  <c r="A5797" i="30" s="1"/>
  <c r="A5798" i="30" s="1"/>
  <c r="A5799" i="30" s="1"/>
  <c r="A5800" i="30" s="1"/>
  <c r="A5801" i="30" s="1"/>
  <c r="A5802" i="30" s="1"/>
  <c r="A5803" i="30" s="1"/>
  <c r="A5804" i="30" s="1"/>
  <c r="A5805" i="30" s="1"/>
  <c r="A5806" i="30" s="1"/>
  <c r="A5807" i="30" s="1"/>
  <c r="A5808" i="30" s="1"/>
  <c r="A5809" i="30" s="1"/>
  <c r="A5810" i="30" s="1"/>
  <c r="A5811" i="30" s="1"/>
  <c r="A5812" i="30" s="1"/>
  <c r="A5813" i="30" s="1"/>
  <c r="A5814" i="30" s="1"/>
  <c r="A5815" i="30" s="1"/>
  <c r="A5816" i="30" s="1"/>
  <c r="A5817" i="30" s="1"/>
  <c r="A5818" i="30" s="1"/>
  <c r="A5819" i="30" s="1"/>
  <c r="A5820" i="30" s="1"/>
  <c r="A5821" i="30" s="1"/>
  <c r="A5822" i="30" s="1"/>
  <c r="A5823" i="30" s="1"/>
  <c r="A5824" i="30" s="1"/>
  <c r="A5825" i="30" s="1"/>
  <c r="A5826" i="30" s="1"/>
  <c r="A5827" i="30" s="1"/>
  <c r="A5828" i="30" s="1"/>
  <c r="A5829" i="30" s="1"/>
  <c r="A5830" i="30" s="1"/>
  <c r="A5831" i="30" s="1"/>
  <c r="A5832" i="30" s="1"/>
  <c r="A5833" i="30" s="1"/>
  <c r="A5834" i="30" s="1"/>
  <c r="A5835" i="30" s="1"/>
  <c r="A5836" i="30" s="1"/>
  <c r="A5837" i="30" s="1"/>
  <c r="A5838" i="30" s="1"/>
  <c r="A5839" i="30" s="1"/>
  <c r="A5840" i="30" s="1"/>
  <c r="A5841" i="30" s="1"/>
  <c r="A5842" i="30" s="1"/>
  <c r="A5843" i="30" s="1"/>
  <c r="A5844" i="30" s="1"/>
  <c r="A5845" i="30" s="1"/>
  <c r="A5846" i="30" s="1"/>
  <c r="A5847" i="30" s="1"/>
  <c r="A5848" i="30" s="1"/>
  <c r="A5849" i="30" s="1"/>
  <c r="A5850" i="30" s="1"/>
  <c r="A5851" i="30" s="1"/>
  <c r="A5852" i="30" s="1"/>
  <c r="A5853" i="30" s="1"/>
  <c r="A5854" i="30" s="1"/>
  <c r="A5855" i="30" s="1"/>
  <c r="A5856" i="30" s="1"/>
  <c r="A5857" i="30" s="1"/>
  <c r="A5858" i="30" s="1"/>
  <c r="A5859" i="30" s="1"/>
  <c r="A5860" i="30" s="1"/>
  <c r="A5861" i="30" s="1"/>
  <c r="A5862" i="30" s="1"/>
  <c r="A5863" i="30" s="1"/>
  <c r="A5864" i="30" s="1"/>
  <c r="A5865" i="30" s="1"/>
  <c r="A5866" i="30" s="1"/>
  <c r="A5867" i="30" s="1"/>
  <c r="A5868" i="30" s="1"/>
  <c r="A5869" i="30" s="1"/>
  <c r="A5870" i="30" s="1"/>
  <c r="A5871" i="30" s="1"/>
  <c r="A5872" i="30" s="1"/>
  <c r="A5873" i="30" s="1"/>
  <c r="A5874" i="30" s="1"/>
  <c r="A5875" i="30" s="1"/>
  <c r="A5876" i="30" s="1"/>
  <c r="A5877" i="30" s="1"/>
  <c r="A5878" i="30" s="1"/>
  <c r="A5879" i="30" s="1"/>
  <c r="A5880" i="30" s="1"/>
  <c r="A5881" i="30" s="1"/>
  <c r="A5882" i="30" s="1"/>
  <c r="A5883" i="30" s="1"/>
  <c r="A5884" i="30" s="1"/>
  <c r="A5885" i="30" s="1"/>
  <c r="A5886" i="30" s="1"/>
  <c r="A5887" i="30" s="1"/>
  <c r="A5888" i="30" s="1"/>
  <c r="A5889" i="30" s="1"/>
  <c r="A5890" i="30" s="1"/>
  <c r="A5891" i="30" s="1"/>
  <c r="A5892" i="30" s="1"/>
  <c r="A5893" i="30" s="1"/>
  <c r="A5894" i="30" s="1"/>
  <c r="A5895" i="30" s="1"/>
  <c r="A5896" i="30" s="1"/>
  <c r="A5897" i="30" s="1"/>
  <c r="A5898" i="30" s="1"/>
  <c r="A5899" i="30" s="1"/>
  <c r="A5900" i="30" s="1"/>
  <c r="A5901" i="30" s="1"/>
  <c r="A5902" i="30" s="1"/>
  <c r="A5903" i="30" s="1"/>
  <c r="A5904" i="30" s="1"/>
  <c r="A5905" i="30" s="1"/>
  <c r="A5906" i="30" s="1"/>
  <c r="A5907" i="30" s="1"/>
  <c r="A5908" i="30" s="1"/>
  <c r="A5909" i="30" s="1"/>
  <c r="A5910" i="30" s="1"/>
  <c r="A5911" i="30" s="1"/>
  <c r="A5912" i="30" s="1"/>
  <c r="A5913" i="30" s="1"/>
  <c r="A5914" i="30" s="1"/>
  <c r="A5915" i="30" s="1"/>
  <c r="A5916" i="30" s="1"/>
  <c r="A5917" i="30" s="1"/>
  <c r="A5918" i="30" s="1"/>
  <c r="A5919" i="30" s="1"/>
  <c r="A5920" i="30" s="1"/>
  <c r="A5921" i="30" s="1"/>
  <c r="A5922" i="30" s="1"/>
  <c r="A5923" i="30" s="1"/>
  <c r="A5924" i="30" s="1"/>
  <c r="A5925" i="30" s="1"/>
  <c r="A5926" i="30" s="1"/>
  <c r="A5927" i="30" s="1"/>
  <c r="A5928" i="30" s="1"/>
  <c r="A5929" i="30" s="1"/>
  <c r="A5930" i="30" s="1"/>
  <c r="A5931" i="30" s="1"/>
  <c r="A5932" i="30" s="1"/>
  <c r="A5933" i="30" s="1"/>
  <c r="A5934" i="30" s="1"/>
  <c r="A5935" i="30" s="1"/>
  <c r="A5936" i="30" s="1"/>
  <c r="A5937" i="30" s="1"/>
  <c r="A5938" i="30" s="1"/>
  <c r="A5939" i="30" s="1"/>
  <c r="A5940" i="30" s="1"/>
  <c r="A5941" i="30" s="1"/>
  <c r="A5942" i="30" s="1"/>
  <c r="A5943" i="30" s="1"/>
  <c r="A5944" i="30" s="1"/>
  <c r="A5945" i="30" s="1"/>
  <c r="A5946" i="30" s="1"/>
  <c r="A5947" i="30" s="1"/>
  <c r="A5948" i="30" s="1"/>
  <c r="A5949" i="30" s="1"/>
  <c r="A5950" i="30" s="1"/>
  <c r="A5951" i="30" s="1"/>
  <c r="A5952" i="30" s="1"/>
  <c r="A5953" i="30" s="1"/>
  <c r="A5954" i="30" s="1"/>
  <c r="A5955" i="30" s="1"/>
  <c r="A5956" i="30" s="1"/>
  <c r="A5957" i="30" s="1"/>
  <c r="A5958" i="30" s="1"/>
  <c r="A5959" i="30" s="1"/>
  <c r="A5960" i="30" s="1"/>
  <c r="A5961" i="30" s="1"/>
  <c r="A5962" i="30" s="1"/>
  <c r="A5963" i="30" s="1"/>
  <c r="A5964" i="30" s="1"/>
  <c r="A5965" i="30" s="1"/>
  <c r="A5966" i="30" s="1"/>
  <c r="A5967" i="30" s="1"/>
  <c r="A5968" i="30" s="1"/>
  <c r="A5969" i="30" s="1"/>
  <c r="A5970" i="30" s="1"/>
  <c r="A5971" i="30" s="1"/>
  <c r="A5972" i="30" s="1"/>
  <c r="A5973" i="30" s="1"/>
  <c r="A5974" i="30" s="1"/>
  <c r="A5975" i="30" s="1"/>
  <c r="A5976" i="30" s="1"/>
  <c r="A5977" i="30" s="1"/>
  <c r="A5978" i="30" s="1"/>
  <c r="A5979" i="30" s="1"/>
  <c r="A5980" i="30" s="1"/>
  <c r="A5981" i="30" s="1"/>
  <c r="A5982" i="30" s="1"/>
  <c r="A5983" i="30" s="1"/>
  <c r="A5984" i="30" s="1"/>
  <c r="A5985" i="30" s="1"/>
  <c r="A5986" i="30" s="1"/>
  <c r="A5987" i="30" s="1"/>
  <c r="A5988" i="30" s="1"/>
  <c r="A5989" i="30" s="1"/>
  <c r="A5990" i="30" s="1"/>
  <c r="A5991" i="30" s="1"/>
  <c r="A5992" i="30" s="1"/>
  <c r="A5993" i="30" s="1"/>
  <c r="A5994" i="30" s="1"/>
  <c r="A5995" i="30" s="1"/>
  <c r="A5996" i="30" s="1"/>
  <c r="A5997" i="30" s="1"/>
  <c r="A5998" i="30" s="1"/>
  <c r="A5999" i="30" s="1"/>
  <c r="A6000" i="30" s="1"/>
  <c r="A6001" i="30" s="1"/>
  <c r="A6002" i="30" s="1"/>
  <c r="A6003" i="30" s="1"/>
  <c r="A6004" i="30" s="1"/>
  <c r="A6005" i="30" s="1"/>
  <c r="A6006" i="30" s="1"/>
  <c r="A6007" i="30" s="1"/>
  <c r="A6008" i="30" s="1"/>
  <c r="A6009" i="30" s="1"/>
  <c r="A6010" i="30" s="1"/>
  <c r="A6011" i="30" s="1"/>
  <c r="A6012" i="30" s="1"/>
  <c r="A6013" i="30" s="1"/>
  <c r="A6014" i="30" s="1"/>
  <c r="A6015" i="30" s="1"/>
  <c r="A6016" i="30" s="1"/>
  <c r="A6017" i="30" s="1"/>
  <c r="A6018" i="30" s="1"/>
  <c r="A6019" i="30" s="1"/>
  <c r="A6020" i="30" s="1"/>
  <c r="A6021" i="30" s="1"/>
  <c r="A6022" i="30" s="1"/>
  <c r="A6023" i="30" s="1"/>
  <c r="A6024" i="30" s="1"/>
  <c r="A6025" i="30" s="1"/>
  <c r="A6026" i="30" s="1"/>
  <c r="A6027" i="30" s="1"/>
  <c r="A6028" i="30" s="1"/>
  <c r="A6029" i="30" s="1"/>
  <c r="A6030" i="30" s="1"/>
  <c r="A6031" i="30" s="1"/>
  <c r="A6032" i="30" s="1"/>
  <c r="A6033" i="30" s="1"/>
  <c r="A6034" i="30" s="1"/>
  <c r="A6035" i="30" s="1"/>
  <c r="A6036" i="30" s="1"/>
  <c r="A6037" i="30" s="1"/>
  <c r="A6038" i="30" s="1"/>
  <c r="A6039" i="30" s="1"/>
  <c r="A6040" i="30" s="1"/>
  <c r="A6041" i="30" s="1"/>
  <c r="A6042" i="30" s="1"/>
  <c r="A6043" i="30" s="1"/>
  <c r="A6044" i="30" s="1"/>
  <c r="A6045" i="30" s="1"/>
  <c r="A6046" i="30" s="1"/>
  <c r="A6047" i="30" s="1"/>
  <c r="A6048" i="30" s="1"/>
  <c r="A6049" i="30" s="1"/>
  <c r="A6050" i="30" s="1"/>
  <c r="A6051" i="30" s="1"/>
  <c r="A6052" i="30" s="1"/>
  <c r="A6053" i="30" s="1"/>
  <c r="A6054" i="30" s="1"/>
  <c r="A6055" i="30" s="1"/>
  <c r="A6056" i="30" s="1"/>
  <c r="A6057" i="30" s="1"/>
  <c r="A6058" i="30" s="1"/>
  <c r="A6059" i="30" s="1"/>
  <c r="A6060" i="30" s="1"/>
  <c r="A6061" i="30" s="1"/>
  <c r="A6062" i="30" s="1"/>
  <c r="A6063" i="30" s="1"/>
  <c r="A6064" i="30" s="1"/>
  <c r="A6065" i="30" s="1"/>
  <c r="A6066" i="30" s="1"/>
  <c r="A6067" i="30" s="1"/>
  <c r="A6068" i="30" s="1"/>
  <c r="A6069" i="30" s="1"/>
  <c r="A6070" i="30" s="1"/>
  <c r="A6071" i="30" s="1"/>
  <c r="A6072" i="30" s="1"/>
  <c r="A6073" i="30" s="1"/>
  <c r="A6074" i="30" s="1"/>
  <c r="A6075" i="30" s="1"/>
  <c r="A6076" i="30" s="1"/>
  <c r="A6077" i="30" s="1"/>
  <c r="A6078" i="30" s="1"/>
  <c r="A6079" i="30" s="1"/>
  <c r="A6080" i="30" s="1"/>
  <c r="A6081" i="30" s="1"/>
  <c r="A6082" i="30" s="1"/>
  <c r="A6083" i="30" s="1"/>
  <c r="A6084" i="30" s="1"/>
  <c r="A6085" i="30" s="1"/>
  <c r="A6086" i="30" s="1"/>
  <c r="A6087" i="30" s="1"/>
  <c r="A6088" i="30" s="1"/>
  <c r="A6089" i="30" s="1"/>
  <c r="A6090" i="30" s="1"/>
  <c r="A6091" i="30" s="1"/>
  <c r="A6092" i="30" s="1"/>
  <c r="A6093" i="30" s="1"/>
  <c r="A6094" i="30" s="1"/>
  <c r="A6095" i="30" s="1"/>
  <c r="A6096" i="30" s="1"/>
  <c r="A6097" i="30" s="1"/>
  <c r="A6098" i="30" s="1"/>
  <c r="A6099" i="30" s="1"/>
  <c r="A6100" i="30" s="1"/>
  <c r="A6101" i="30" s="1"/>
  <c r="A6102" i="30" s="1"/>
  <c r="A6103" i="30" s="1"/>
  <c r="A6104" i="30" s="1"/>
  <c r="A6105" i="30" s="1"/>
  <c r="A6106" i="30" s="1"/>
  <c r="A6107" i="30" s="1"/>
  <c r="A6108" i="30" s="1"/>
  <c r="A6109" i="30" s="1"/>
  <c r="A6110" i="30" s="1"/>
  <c r="A6111" i="30" s="1"/>
  <c r="A6112" i="30" s="1"/>
  <c r="A6113" i="30" s="1"/>
  <c r="A6114" i="30" s="1"/>
  <c r="A6115" i="30" s="1"/>
  <c r="A6116" i="30" s="1"/>
  <c r="A6117" i="30" s="1"/>
  <c r="A6118" i="30" s="1"/>
  <c r="A6119" i="30" s="1"/>
  <c r="A6120" i="30" s="1"/>
  <c r="A6121" i="30" s="1"/>
  <c r="A6122" i="30" s="1"/>
  <c r="A6123" i="30" s="1"/>
  <c r="A6124" i="30" s="1"/>
  <c r="A6125" i="30" s="1"/>
  <c r="A6126" i="30" s="1"/>
  <c r="A6127" i="30" s="1"/>
  <c r="A6128" i="30" s="1"/>
  <c r="A6129" i="30" s="1"/>
  <c r="A6130" i="30" s="1"/>
  <c r="A6131" i="30" s="1"/>
  <c r="A6132" i="30" s="1"/>
  <c r="A6133" i="30" s="1"/>
  <c r="A6134" i="30" s="1"/>
  <c r="A6135" i="30" s="1"/>
  <c r="A6136" i="30" s="1"/>
  <c r="A6137" i="30" s="1"/>
  <c r="A6138" i="30" s="1"/>
  <c r="A6139" i="30" s="1"/>
  <c r="A6140" i="30" s="1"/>
  <c r="A6141" i="30" s="1"/>
  <c r="A6142" i="30" s="1"/>
  <c r="A6143" i="30" s="1"/>
  <c r="A6144" i="30" s="1"/>
  <c r="A6145" i="30" s="1"/>
  <c r="A6146" i="30" s="1"/>
  <c r="A6147" i="30" s="1"/>
  <c r="A6148" i="30" s="1"/>
  <c r="A6149" i="30" s="1"/>
  <c r="A6150" i="30" s="1"/>
  <c r="A6151" i="30" s="1"/>
  <c r="A6152" i="30" s="1"/>
  <c r="A6153" i="30" s="1"/>
  <c r="A6154" i="30" s="1"/>
  <c r="A6155" i="30" s="1"/>
  <c r="A6156" i="30" s="1"/>
  <c r="A6157" i="30" s="1"/>
  <c r="A6158" i="30" s="1"/>
  <c r="A6159" i="30" s="1"/>
  <c r="A6160" i="30" s="1"/>
  <c r="A6161" i="30" s="1"/>
  <c r="A6162" i="30" s="1"/>
  <c r="A6163" i="30" s="1"/>
  <c r="A6164" i="30" s="1"/>
  <c r="A6165" i="30" s="1"/>
  <c r="A6166" i="30" s="1"/>
  <c r="A6167" i="30" s="1"/>
  <c r="A6168" i="30" s="1"/>
  <c r="A6169" i="30" s="1"/>
  <c r="A6170" i="30" s="1"/>
  <c r="A6171" i="30" s="1"/>
  <c r="A6172" i="30" s="1"/>
  <c r="A6173" i="30" s="1"/>
  <c r="A6174" i="30" s="1"/>
  <c r="A6175" i="30" s="1"/>
  <c r="A6176" i="30" s="1"/>
  <c r="A6177" i="30" s="1"/>
  <c r="A6178" i="30" s="1"/>
  <c r="A6179" i="30" s="1"/>
  <c r="A6180" i="30" s="1"/>
  <c r="A6181" i="30" s="1"/>
  <c r="A6182" i="30" s="1"/>
  <c r="A6183" i="30" s="1"/>
  <c r="A6184" i="30" s="1"/>
  <c r="A6185" i="30" s="1"/>
  <c r="A6186" i="30" s="1"/>
  <c r="A6187" i="30" s="1"/>
  <c r="A6188" i="30" s="1"/>
  <c r="A6189" i="30" s="1"/>
  <c r="A6190" i="30" s="1"/>
  <c r="A6191" i="30" s="1"/>
  <c r="A6192" i="30" s="1"/>
  <c r="A6193" i="30" s="1"/>
  <c r="A6194" i="30" s="1"/>
  <c r="A6195" i="30" s="1"/>
  <c r="A6196" i="30" s="1"/>
  <c r="A6197" i="30" s="1"/>
  <c r="A6198" i="30" s="1"/>
  <c r="A6199" i="30" s="1"/>
  <c r="A6200" i="30" s="1"/>
  <c r="A6201" i="30" s="1"/>
  <c r="A6202" i="30" s="1"/>
  <c r="A6203" i="30" s="1"/>
  <c r="A6204" i="30" s="1"/>
  <c r="A6205" i="30" s="1"/>
  <c r="A6206" i="30" s="1"/>
  <c r="A6207" i="30" s="1"/>
  <c r="A6208" i="30" s="1"/>
  <c r="A6209" i="30" s="1"/>
  <c r="A6210" i="30" s="1"/>
  <c r="A6211" i="30" s="1"/>
  <c r="A6212" i="30" s="1"/>
  <c r="A6213" i="30" s="1"/>
  <c r="A6214" i="30" s="1"/>
  <c r="A6215" i="30" s="1"/>
  <c r="A6216" i="30" s="1"/>
  <c r="A6217" i="30" s="1"/>
  <c r="A6218" i="30" s="1"/>
  <c r="A6219" i="30" s="1"/>
  <c r="A6220" i="30" s="1"/>
  <c r="A6221" i="30" s="1"/>
  <c r="A6222" i="30" s="1"/>
  <c r="A6223" i="30" s="1"/>
  <c r="A6224" i="30" s="1"/>
  <c r="A6225" i="30" s="1"/>
  <c r="A6226" i="30" s="1"/>
  <c r="A6227" i="30" s="1"/>
  <c r="A6228" i="30" s="1"/>
  <c r="A6229" i="30" s="1"/>
  <c r="A6230" i="30" s="1"/>
  <c r="A6231" i="30" s="1"/>
  <c r="A6232" i="30" s="1"/>
  <c r="A6233" i="30" s="1"/>
  <c r="A6234" i="30" s="1"/>
  <c r="A6235" i="30" s="1"/>
  <c r="A6236" i="30" s="1"/>
  <c r="A6237" i="30" s="1"/>
  <c r="A6238" i="30" s="1"/>
  <c r="A6239" i="30" s="1"/>
  <c r="A6240" i="30" s="1"/>
  <c r="A6241" i="30" s="1"/>
  <c r="A6242" i="30" s="1"/>
  <c r="A6243" i="30" s="1"/>
  <c r="A6244" i="30" s="1"/>
  <c r="A6245" i="30" s="1"/>
  <c r="A6246" i="30" s="1"/>
  <c r="A6247" i="30" s="1"/>
  <c r="A6248" i="30" s="1"/>
  <c r="A6249" i="30" s="1"/>
  <c r="A6250" i="30" s="1"/>
  <c r="A6251" i="30" s="1"/>
  <c r="A6252" i="30" s="1"/>
  <c r="A6253" i="30" s="1"/>
  <c r="A6254" i="30" s="1"/>
  <c r="A6255" i="30" s="1"/>
  <c r="A6256" i="30" s="1"/>
  <c r="A6257" i="30" s="1"/>
  <c r="A6258" i="30" s="1"/>
  <c r="A6259" i="30" s="1"/>
  <c r="A6260" i="30" s="1"/>
  <c r="A6261" i="30" s="1"/>
  <c r="A6262" i="30" s="1"/>
  <c r="A6263" i="30" s="1"/>
  <c r="A6264" i="30" s="1"/>
  <c r="A6265" i="30" s="1"/>
  <c r="A6266" i="30" s="1"/>
  <c r="A6267" i="30" s="1"/>
  <c r="A6268" i="30" s="1"/>
  <c r="A6269" i="30" s="1"/>
  <c r="A6270" i="30" s="1"/>
  <c r="A6271" i="30" s="1"/>
  <c r="A6272" i="30" s="1"/>
  <c r="A6273" i="30" s="1"/>
  <c r="A6274" i="30" s="1"/>
  <c r="A6275" i="30" s="1"/>
  <c r="A6276" i="30" s="1"/>
  <c r="A6277" i="30" s="1"/>
  <c r="A6278" i="30" s="1"/>
  <c r="A6279" i="30" s="1"/>
  <c r="A6280" i="30" s="1"/>
  <c r="A6281" i="30" s="1"/>
  <c r="A6282" i="30" s="1"/>
  <c r="A6283" i="30" s="1"/>
  <c r="A6284" i="30" s="1"/>
  <c r="A6285" i="30" s="1"/>
  <c r="A6286" i="30" s="1"/>
  <c r="A6287" i="30" s="1"/>
  <c r="A6288" i="30" s="1"/>
  <c r="A6289" i="30" s="1"/>
  <c r="A6290" i="30" s="1"/>
  <c r="A6291" i="30" s="1"/>
  <c r="A6292" i="30" s="1"/>
  <c r="A6293" i="30" s="1"/>
  <c r="A6294" i="30" s="1"/>
  <c r="A6295" i="30" s="1"/>
  <c r="A6296" i="30" s="1"/>
  <c r="A6297" i="30" s="1"/>
  <c r="A6298" i="30" s="1"/>
  <c r="A6299" i="30" s="1"/>
  <c r="A6300" i="30" s="1"/>
  <c r="A6301" i="30" s="1"/>
  <c r="A6302" i="30" s="1"/>
  <c r="A6303" i="30" s="1"/>
  <c r="A6304" i="30" s="1"/>
  <c r="A6305" i="30" s="1"/>
  <c r="A6306" i="30" s="1"/>
  <c r="A6307" i="30" s="1"/>
  <c r="A6308" i="30" s="1"/>
  <c r="A6309" i="30" s="1"/>
  <c r="A6310" i="30" s="1"/>
  <c r="A6311" i="30" s="1"/>
  <c r="A6312" i="30" s="1"/>
  <c r="A6313" i="30" s="1"/>
  <c r="A6314" i="30" s="1"/>
  <c r="A6315" i="30" s="1"/>
  <c r="A6316" i="30" s="1"/>
  <c r="A6317" i="30" s="1"/>
  <c r="A6318" i="30" s="1"/>
  <c r="A6319" i="30" s="1"/>
  <c r="A6320" i="30" s="1"/>
  <c r="A6321" i="30" s="1"/>
  <c r="A6322" i="30" s="1"/>
  <c r="A6323" i="30" s="1"/>
  <c r="A6324" i="30" s="1"/>
  <c r="A6325" i="30" s="1"/>
  <c r="A6326" i="30" s="1"/>
  <c r="A6327" i="30" s="1"/>
  <c r="A6328" i="30" s="1"/>
  <c r="A6329" i="30" s="1"/>
  <c r="A6330" i="30" s="1"/>
  <c r="A6331" i="30" s="1"/>
  <c r="A6332" i="30" s="1"/>
  <c r="A6333" i="30" s="1"/>
  <c r="A6334" i="30" s="1"/>
  <c r="A6335" i="30" s="1"/>
  <c r="A6336" i="30" s="1"/>
  <c r="A6337" i="30" s="1"/>
  <c r="A6338" i="30" s="1"/>
  <c r="A6339" i="30" s="1"/>
  <c r="A6340" i="30" s="1"/>
  <c r="A6341" i="30" s="1"/>
  <c r="A6342" i="30" s="1"/>
  <c r="A6343" i="30" s="1"/>
  <c r="A6344" i="30" s="1"/>
  <c r="A6345" i="30" s="1"/>
  <c r="A6346" i="30" s="1"/>
  <c r="A6347" i="30" s="1"/>
  <c r="A6348" i="30" s="1"/>
  <c r="A6349" i="30" s="1"/>
  <c r="A6350" i="30" s="1"/>
  <c r="A6351" i="30" s="1"/>
  <c r="A6352" i="30" s="1"/>
  <c r="A6353" i="30" s="1"/>
  <c r="A6354" i="30" s="1"/>
  <c r="A6355" i="30" s="1"/>
  <c r="A6356" i="30" s="1"/>
  <c r="A6357" i="30" s="1"/>
  <c r="A6358" i="30" s="1"/>
  <c r="A6359" i="30" s="1"/>
  <c r="A6360" i="30" s="1"/>
  <c r="A6361" i="30" s="1"/>
  <c r="A6362" i="30" s="1"/>
  <c r="A6363" i="30" s="1"/>
  <c r="A6364" i="30" s="1"/>
  <c r="A6365" i="30" s="1"/>
  <c r="A6366" i="30" s="1"/>
  <c r="A6367" i="30" s="1"/>
  <c r="A6368" i="30" s="1"/>
  <c r="A6369" i="30" s="1"/>
  <c r="A6370" i="30" s="1"/>
  <c r="A6371" i="30" s="1"/>
  <c r="A6372" i="30" s="1"/>
  <c r="A6373" i="30" s="1"/>
  <c r="A6374" i="30" s="1"/>
  <c r="A6375" i="30" s="1"/>
  <c r="A6376" i="30" s="1"/>
  <c r="A6377" i="30" s="1"/>
  <c r="A6378" i="30" s="1"/>
  <c r="A6379" i="30" s="1"/>
  <c r="A6380" i="30" s="1"/>
  <c r="A6381" i="30" s="1"/>
  <c r="A6382" i="30" s="1"/>
  <c r="A6383" i="30" s="1"/>
  <c r="A6384" i="30" s="1"/>
  <c r="A6385" i="30" s="1"/>
  <c r="A6386" i="30" s="1"/>
  <c r="A6387" i="30" s="1"/>
  <c r="A6388" i="30" s="1"/>
  <c r="A6389" i="30" s="1"/>
  <c r="A6390" i="30" s="1"/>
  <c r="A6391" i="30" s="1"/>
  <c r="A6392" i="30" s="1"/>
  <c r="A6393" i="30" s="1"/>
  <c r="A6394" i="30" s="1"/>
  <c r="A6395" i="30" s="1"/>
  <c r="A6396" i="30" s="1"/>
  <c r="A6397" i="30" s="1"/>
  <c r="A6398" i="30" s="1"/>
  <c r="A6399" i="30" s="1"/>
  <c r="A6400" i="30" s="1"/>
  <c r="A6401" i="30" s="1"/>
  <c r="A6402" i="30" s="1"/>
  <c r="A6403" i="30" s="1"/>
  <c r="A6404" i="30" s="1"/>
  <c r="A6405" i="30" s="1"/>
  <c r="A6406" i="30" s="1"/>
  <c r="A6407" i="30" s="1"/>
  <c r="A6408" i="30" s="1"/>
  <c r="A6409" i="30" s="1"/>
  <c r="A6410" i="30" s="1"/>
  <c r="A6411" i="30" s="1"/>
  <c r="A6412" i="30" s="1"/>
  <c r="A6413" i="30" s="1"/>
  <c r="A6414" i="30" s="1"/>
  <c r="A6415" i="30" s="1"/>
  <c r="A6416" i="30" s="1"/>
  <c r="A6417" i="30" s="1"/>
  <c r="A6418" i="30" s="1"/>
  <c r="A6419" i="30" s="1"/>
  <c r="A6420" i="30" s="1"/>
  <c r="A6421" i="30" s="1"/>
  <c r="A6422" i="30" s="1"/>
  <c r="A6423" i="30" s="1"/>
  <c r="A6424" i="30" s="1"/>
  <c r="A6425" i="30" s="1"/>
  <c r="A6426" i="30" s="1"/>
  <c r="A6427" i="30" s="1"/>
  <c r="A6428" i="30" s="1"/>
  <c r="A6429" i="30" s="1"/>
  <c r="A6430" i="30" s="1"/>
  <c r="A6431" i="30" s="1"/>
  <c r="A6432" i="30" s="1"/>
  <c r="A6433" i="30" s="1"/>
  <c r="A6434" i="30" s="1"/>
  <c r="A6435" i="30" s="1"/>
  <c r="A6436" i="30" s="1"/>
  <c r="A6437" i="30" s="1"/>
  <c r="A6438" i="30" s="1"/>
  <c r="A6439" i="30" s="1"/>
  <c r="A6440" i="30" s="1"/>
  <c r="A6441" i="30" s="1"/>
  <c r="A6442" i="30" s="1"/>
  <c r="A6443" i="30" s="1"/>
  <c r="A6444" i="30" s="1"/>
  <c r="A6445" i="30" s="1"/>
  <c r="A6446" i="30" s="1"/>
  <c r="A6447" i="30" s="1"/>
  <c r="A6448" i="30" s="1"/>
  <c r="A6449" i="30" s="1"/>
  <c r="A6450" i="30" s="1"/>
  <c r="A6451" i="30" s="1"/>
  <c r="A6452" i="30" s="1"/>
  <c r="A6453" i="30" s="1"/>
  <c r="A6454" i="30" s="1"/>
  <c r="A6455" i="30" s="1"/>
  <c r="A6456" i="30" s="1"/>
  <c r="A6457" i="30" s="1"/>
  <c r="A6458" i="30" s="1"/>
  <c r="A6459" i="30" s="1"/>
  <c r="A6460" i="30" s="1"/>
  <c r="A6461" i="30" s="1"/>
  <c r="A6462" i="30" s="1"/>
  <c r="A6463" i="30" s="1"/>
  <c r="A6464" i="30" s="1"/>
  <c r="A6465" i="30" s="1"/>
  <c r="A6466" i="30" s="1"/>
  <c r="A6467" i="30" s="1"/>
  <c r="A6468" i="30" s="1"/>
  <c r="A6469" i="30" s="1"/>
  <c r="A6470" i="30" s="1"/>
  <c r="A6471" i="30" s="1"/>
  <c r="A6472" i="30" s="1"/>
  <c r="A6473" i="30" s="1"/>
  <c r="A6474" i="30" s="1"/>
  <c r="A6475" i="30" s="1"/>
  <c r="A6476" i="30" s="1"/>
  <c r="A6477" i="30" s="1"/>
  <c r="A6478" i="30" s="1"/>
  <c r="A6479" i="30" s="1"/>
  <c r="A6480" i="30" s="1"/>
  <c r="A6481" i="30" s="1"/>
  <c r="A6482" i="30" s="1"/>
  <c r="A6483" i="30" s="1"/>
  <c r="A6484" i="30" s="1"/>
  <c r="A6485" i="30" s="1"/>
  <c r="A6486" i="30" s="1"/>
  <c r="A6487" i="30" s="1"/>
  <c r="A6488" i="30" s="1"/>
  <c r="A6489" i="30" s="1"/>
  <c r="A6490" i="30" s="1"/>
  <c r="A6491" i="30" s="1"/>
  <c r="A6492" i="30" s="1"/>
  <c r="A6493" i="30" s="1"/>
  <c r="A6494" i="30" s="1"/>
  <c r="A6495" i="30" s="1"/>
  <c r="A6496" i="30" s="1"/>
  <c r="A6497" i="30" s="1"/>
  <c r="A6498" i="30" s="1"/>
  <c r="A6499" i="30" s="1"/>
  <c r="A6500" i="30" s="1"/>
  <c r="A6501" i="30" s="1"/>
  <c r="A6502" i="30" s="1"/>
  <c r="A6503" i="30" s="1"/>
  <c r="A6504" i="30" s="1"/>
  <c r="A6505" i="30" s="1"/>
  <c r="A6506" i="30" s="1"/>
  <c r="A6507" i="30" s="1"/>
  <c r="A6508" i="30" s="1"/>
  <c r="A6509" i="30" s="1"/>
  <c r="A6510" i="30" s="1"/>
  <c r="A6511" i="30" s="1"/>
  <c r="A6512" i="30" s="1"/>
  <c r="A6513" i="30" s="1"/>
  <c r="A6514" i="30" s="1"/>
  <c r="A6515" i="30" s="1"/>
  <c r="A6516" i="30" s="1"/>
  <c r="A6517" i="30" s="1"/>
  <c r="A6518" i="30" s="1"/>
  <c r="A6519" i="30" s="1"/>
  <c r="A6520" i="30" s="1"/>
  <c r="A6521" i="30" s="1"/>
  <c r="A6522" i="30" s="1"/>
  <c r="A6523" i="30" s="1"/>
  <c r="A6524" i="30" s="1"/>
  <c r="A6525" i="30" s="1"/>
  <c r="A6526" i="30" s="1"/>
  <c r="A6527" i="30" s="1"/>
  <c r="A6528" i="30" s="1"/>
  <c r="A6529" i="30" s="1"/>
  <c r="A6530" i="30" s="1"/>
  <c r="A6531" i="30" s="1"/>
  <c r="A6532" i="30" s="1"/>
  <c r="A6533" i="30" s="1"/>
  <c r="A6534" i="30" s="1"/>
  <c r="A6535" i="30" s="1"/>
  <c r="A6536" i="30" s="1"/>
  <c r="A6537" i="30" s="1"/>
  <c r="A6538" i="30" s="1"/>
  <c r="A6539" i="30" s="1"/>
  <c r="A6540" i="30" s="1"/>
  <c r="A6541" i="30" s="1"/>
  <c r="A6542" i="30" s="1"/>
  <c r="A6543" i="30" s="1"/>
  <c r="A6544" i="30" s="1"/>
  <c r="A6545" i="30" s="1"/>
  <c r="A6546" i="30" s="1"/>
  <c r="A6547" i="30" s="1"/>
  <c r="A6548" i="30" s="1"/>
  <c r="A6549" i="30" s="1"/>
  <c r="A6550" i="30" s="1"/>
  <c r="A6551" i="30" s="1"/>
  <c r="A6552" i="30" s="1"/>
  <c r="A6553" i="30" s="1"/>
  <c r="A6554" i="30" s="1"/>
  <c r="A6555" i="30" s="1"/>
  <c r="A6556" i="30" s="1"/>
  <c r="A6557" i="30" s="1"/>
  <c r="A6558" i="30" s="1"/>
  <c r="A6559" i="30" s="1"/>
  <c r="A6560" i="30" s="1"/>
  <c r="A6561" i="30" s="1"/>
  <c r="A6562" i="30" s="1"/>
  <c r="A6563" i="30" s="1"/>
  <c r="A6564" i="30" s="1"/>
  <c r="A6565" i="30" s="1"/>
  <c r="A6566" i="30" s="1"/>
  <c r="A6567" i="30" s="1"/>
  <c r="A6568" i="30" s="1"/>
  <c r="A6569" i="30" s="1"/>
  <c r="A6570" i="30" s="1"/>
  <c r="A6571" i="30" s="1"/>
  <c r="A6572" i="30" s="1"/>
  <c r="A6573" i="30" s="1"/>
  <c r="A6574" i="30" s="1"/>
  <c r="A6575" i="30" s="1"/>
  <c r="A6576" i="30" s="1"/>
  <c r="A6577" i="30" s="1"/>
  <c r="A6578" i="30" s="1"/>
  <c r="A6579" i="30" s="1"/>
  <c r="A6580" i="30" s="1"/>
  <c r="A6581" i="30" s="1"/>
  <c r="A6582" i="30" s="1"/>
  <c r="A6583" i="30" s="1"/>
  <c r="A6584" i="30" s="1"/>
  <c r="A6585" i="30" s="1"/>
  <c r="A6586" i="30" s="1"/>
  <c r="A6587" i="30" s="1"/>
  <c r="A6588" i="30" s="1"/>
  <c r="A6589" i="30" s="1"/>
  <c r="A6590" i="30" s="1"/>
  <c r="A6591" i="30" s="1"/>
  <c r="A6592" i="30" s="1"/>
  <c r="A6593" i="30" s="1"/>
  <c r="A6594" i="30" s="1"/>
  <c r="A6595" i="30" s="1"/>
  <c r="A6596" i="30" s="1"/>
  <c r="A6597" i="30" s="1"/>
  <c r="A6598" i="30" s="1"/>
  <c r="A6599" i="30" s="1"/>
  <c r="A6600" i="30" s="1"/>
  <c r="A6601" i="30" s="1"/>
  <c r="A6602" i="30" s="1"/>
  <c r="A6603" i="30" s="1"/>
  <c r="B4317" i="30"/>
  <c r="B4318" i="30"/>
  <c r="B4319" i="30"/>
  <c r="B4320" i="30"/>
  <c r="B4321" i="30"/>
  <c r="B4322" i="30"/>
  <c r="B4323" i="30"/>
  <c r="B4324" i="30"/>
  <c r="B4325" i="30"/>
  <c r="B4326" i="30"/>
  <c r="B4327" i="30"/>
  <c r="B4328" i="30"/>
  <c r="B4329" i="30"/>
  <c r="B4330" i="30"/>
  <c r="B4331" i="30"/>
  <c r="B4332" i="30"/>
  <c r="B4333" i="30"/>
  <c r="B4334" i="30"/>
  <c r="B4335" i="30"/>
  <c r="B4336" i="30"/>
  <c r="B4337" i="30"/>
  <c r="B4338" i="30"/>
  <c r="B4339" i="30"/>
  <c r="B4340" i="30"/>
  <c r="B4341" i="30"/>
  <c r="B4342" i="30"/>
  <c r="B4343" i="30"/>
  <c r="B4344" i="30"/>
  <c r="B4345" i="30"/>
  <c r="B4346" i="30"/>
  <c r="B4347" i="30"/>
  <c r="B4348" i="30"/>
  <c r="B4349" i="30"/>
  <c r="B4350" i="30"/>
  <c r="B4351" i="30"/>
  <c r="B4352" i="30"/>
  <c r="B4353" i="30"/>
  <c r="B4354" i="30"/>
  <c r="B4355" i="30"/>
  <c r="B4356" i="30"/>
  <c r="B4357" i="30"/>
  <c r="B4358" i="30"/>
  <c r="B4359" i="30"/>
  <c r="B4360" i="30"/>
  <c r="B4361" i="30"/>
  <c r="B4362" i="30"/>
  <c r="B4363" i="30"/>
  <c r="B4364" i="30"/>
  <c r="B4365" i="30"/>
  <c r="B4366" i="30"/>
  <c r="B4367" i="30"/>
  <c r="B4368" i="30"/>
  <c r="B4369" i="30"/>
  <c r="B4370" i="30"/>
  <c r="B4371" i="30"/>
  <c r="B4372" i="30"/>
  <c r="B4373" i="30"/>
  <c r="B4374" i="30"/>
  <c r="B4375" i="30"/>
  <c r="B4376" i="30"/>
  <c r="B4377" i="30"/>
  <c r="B4378" i="30"/>
  <c r="B4379" i="30"/>
  <c r="B4380" i="30"/>
  <c r="B4381" i="30"/>
  <c r="B4382" i="30"/>
  <c r="B4383" i="30"/>
  <c r="B4384" i="30"/>
  <c r="B4385" i="30"/>
  <c r="B4386" i="30"/>
  <c r="B4387" i="30"/>
  <c r="B4388" i="30"/>
  <c r="B4389" i="30"/>
  <c r="B4390" i="30"/>
  <c r="B4391" i="30"/>
  <c r="B4392" i="30"/>
  <c r="B4393" i="30"/>
  <c r="B4394" i="30"/>
  <c r="B4395" i="30"/>
  <c r="B4396" i="30"/>
  <c r="B4397" i="30"/>
  <c r="B4398" i="30"/>
  <c r="B4399" i="30"/>
  <c r="B4400" i="30"/>
  <c r="B4401" i="30"/>
  <c r="B4402" i="30"/>
  <c r="B4403" i="30"/>
  <c r="B4404" i="30"/>
  <c r="B4405" i="30"/>
  <c r="B4406" i="30"/>
  <c r="B4407" i="30"/>
  <c r="B4408" i="30"/>
  <c r="B4409" i="30"/>
  <c r="B4410" i="30"/>
  <c r="B4411" i="30"/>
  <c r="B4412" i="30"/>
  <c r="B4413" i="30"/>
  <c r="B4414" i="30"/>
  <c r="B4415" i="30"/>
  <c r="B4416" i="30"/>
  <c r="B4417" i="30"/>
  <c r="B4418" i="30"/>
  <c r="B4419" i="30"/>
  <c r="B4420" i="30"/>
  <c r="B4421" i="30"/>
  <c r="B4422" i="30"/>
  <c r="B4423" i="30"/>
  <c r="B4424" i="30"/>
  <c r="B4425" i="30"/>
  <c r="B4426" i="30"/>
  <c r="B4427" i="30"/>
  <c r="B4428" i="30"/>
  <c r="B4429" i="30"/>
  <c r="B4430" i="30"/>
  <c r="B4431" i="30"/>
  <c r="B4432" i="30"/>
  <c r="B4433" i="30"/>
  <c r="B4434" i="30"/>
  <c r="B4435" i="30"/>
  <c r="B4436" i="30"/>
  <c r="B4437" i="30"/>
  <c r="B4438" i="30"/>
  <c r="B4439" i="30"/>
  <c r="B4440" i="30"/>
  <c r="B4441" i="30"/>
  <c r="B4442" i="30"/>
  <c r="B4443" i="30"/>
  <c r="B4444" i="30"/>
  <c r="B4445" i="30"/>
  <c r="B4446" i="30"/>
  <c r="B4447" i="30"/>
  <c r="B4448" i="30"/>
  <c r="B4449" i="30"/>
  <c r="B4450" i="30"/>
  <c r="B4451" i="30"/>
  <c r="B4452" i="30"/>
  <c r="B4453" i="30"/>
  <c r="B4454" i="30"/>
  <c r="B4455" i="30"/>
  <c r="B4456" i="30"/>
  <c r="B4457" i="30"/>
  <c r="B4458" i="30"/>
  <c r="B4459" i="30"/>
  <c r="B4460" i="30"/>
  <c r="B4461" i="30"/>
  <c r="B4462" i="30"/>
  <c r="B4463" i="30"/>
  <c r="B4464" i="30"/>
  <c r="B4465" i="30"/>
  <c r="B4466" i="30"/>
  <c r="B4467" i="30"/>
  <c r="B4468" i="30"/>
  <c r="B4469" i="30"/>
  <c r="B4470" i="30"/>
  <c r="B4471" i="30"/>
  <c r="B4472" i="30"/>
  <c r="B4473" i="30"/>
  <c r="B4474" i="30"/>
  <c r="B4475" i="30"/>
  <c r="B4476" i="30"/>
  <c r="B4477" i="30"/>
  <c r="B4478" i="30"/>
  <c r="B4479" i="30"/>
  <c r="B4480" i="30"/>
  <c r="B4481" i="30"/>
  <c r="B4482" i="30"/>
  <c r="B4483" i="30"/>
  <c r="B4484" i="30"/>
  <c r="B4485" i="30"/>
  <c r="B4486" i="30"/>
  <c r="B4487" i="30"/>
  <c r="B4488" i="30"/>
  <c r="B4489" i="30"/>
  <c r="B4490" i="30"/>
  <c r="B4491" i="30"/>
  <c r="B4492" i="30"/>
  <c r="B4493" i="30"/>
  <c r="B4494" i="30"/>
  <c r="B4495" i="30"/>
  <c r="B4496" i="30"/>
  <c r="B4497" i="30"/>
  <c r="B4498" i="30"/>
  <c r="B4499" i="30"/>
  <c r="B4500" i="30"/>
  <c r="B4501" i="30"/>
  <c r="B4502" i="30"/>
  <c r="B4503" i="30"/>
  <c r="B4504" i="30"/>
  <c r="B4505" i="30"/>
  <c r="B4506" i="30"/>
  <c r="B4507" i="30"/>
  <c r="B4508" i="30"/>
  <c r="B4509" i="30"/>
  <c r="B4510" i="30"/>
  <c r="B4511" i="30"/>
  <c r="B4512" i="30"/>
  <c r="B4513" i="30"/>
  <c r="B4514" i="30"/>
  <c r="B4515" i="30"/>
  <c r="B4516" i="30"/>
  <c r="B4517" i="30"/>
  <c r="B4518" i="30"/>
  <c r="B4519" i="30"/>
  <c r="B4520" i="30"/>
  <c r="B4521" i="30"/>
  <c r="B4522" i="30"/>
  <c r="B4523" i="30"/>
  <c r="B4524" i="30"/>
  <c r="B4525" i="30"/>
  <c r="B4526" i="30"/>
  <c r="B4527" i="30"/>
  <c r="B4528" i="30"/>
  <c r="B4529" i="30"/>
  <c r="B4530" i="30"/>
  <c r="B4531" i="30"/>
  <c r="B4532" i="30"/>
  <c r="B4533" i="30"/>
  <c r="B4534" i="30"/>
  <c r="B4535" i="30"/>
  <c r="B4536" i="30"/>
  <c r="B4537" i="30"/>
  <c r="B4538" i="30"/>
  <c r="B4539" i="30"/>
  <c r="B4540" i="30"/>
  <c r="B4541" i="30"/>
  <c r="B4542" i="30"/>
  <c r="B4543" i="30"/>
  <c r="B4544" i="30"/>
  <c r="B4545" i="30"/>
  <c r="B4546" i="30"/>
  <c r="B4547" i="30"/>
  <c r="B4548" i="30"/>
  <c r="B4549" i="30"/>
  <c r="B4550" i="30"/>
  <c r="B4551" i="30"/>
  <c r="B4552" i="30"/>
  <c r="B4553" i="30"/>
  <c r="B4554" i="30"/>
  <c r="B4555" i="30"/>
  <c r="B4556" i="30"/>
  <c r="B4557" i="30"/>
  <c r="B4558" i="30"/>
  <c r="B4559" i="30"/>
  <c r="B4560" i="30"/>
  <c r="B4561" i="30"/>
  <c r="B4562" i="30"/>
  <c r="B4563" i="30"/>
  <c r="B4564" i="30"/>
  <c r="B4565" i="30"/>
  <c r="B4566" i="30"/>
  <c r="B4567" i="30"/>
  <c r="B4568" i="30"/>
  <c r="B4569" i="30"/>
  <c r="B4570" i="30"/>
  <c r="B4571" i="30"/>
  <c r="B4572" i="30"/>
  <c r="B4573" i="30"/>
  <c r="B4574" i="30"/>
  <c r="B4575" i="30"/>
  <c r="B4576" i="30"/>
  <c r="B4577" i="30"/>
  <c r="B4578" i="30"/>
  <c r="B4579" i="30"/>
  <c r="B4580" i="30"/>
  <c r="B4581" i="30"/>
  <c r="B4582" i="30"/>
  <c r="B4583" i="30"/>
  <c r="B4584" i="30"/>
  <c r="B4585" i="30"/>
  <c r="B4586" i="30"/>
  <c r="B4587" i="30"/>
  <c r="B4588" i="30"/>
  <c r="B4589" i="30"/>
  <c r="B4590" i="30"/>
  <c r="B4591" i="30"/>
  <c r="B4592" i="30"/>
  <c r="B4593" i="30"/>
  <c r="B4594" i="30"/>
  <c r="B4595" i="30"/>
  <c r="B4596" i="30"/>
  <c r="B4597" i="30"/>
  <c r="B4598" i="30"/>
  <c r="B4599" i="30"/>
  <c r="B4600" i="30"/>
  <c r="B4601" i="30"/>
  <c r="B4602" i="30"/>
  <c r="B4603" i="30"/>
  <c r="B4604" i="30"/>
  <c r="B4605" i="30"/>
  <c r="B4606" i="30"/>
  <c r="B4607" i="30"/>
  <c r="B4608" i="30"/>
  <c r="B4609" i="30"/>
  <c r="B4610" i="30"/>
  <c r="B4611" i="30"/>
  <c r="B4612" i="30"/>
  <c r="B4613" i="30"/>
  <c r="B4614" i="30"/>
  <c r="B4615" i="30"/>
  <c r="B4616" i="30"/>
  <c r="B4617" i="30"/>
  <c r="B4618" i="30"/>
  <c r="B4619" i="30"/>
  <c r="B4620" i="30"/>
  <c r="B4621" i="30"/>
  <c r="B4622" i="30"/>
  <c r="B4623" i="30"/>
  <c r="B4624" i="30"/>
  <c r="B4625" i="30"/>
  <c r="B4626" i="30"/>
  <c r="B4627" i="30"/>
  <c r="B4628" i="30"/>
  <c r="B4629" i="30"/>
  <c r="B4630" i="30"/>
  <c r="B4631" i="30"/>
  <c r="B4632" i="30"/>
  <c r="B4633" i="30"/>
  <c r="B4634" i="30"/>
  <c r="B4635" i="30"/>
  <c r="B4636" i="30"/>
  <c r="B4637" i="30"/>
  <c r="B4638" i="30"/>
  <c r="B4639" i="30"/>
  <c r="B4640" i="30"/>
  <c r="B4641" i="30"/>
  <c r="B4642" i="30"/>
  <c r="B4643" i="30"/>
  <c r="B4644" i="30"/>
  <c r="B4645" i="30"/>
  <c r="B4646" i="30"/>
  <c r="B4647" i="30"/>
  <c r="B4648" i="30"/>
  <c r="B4649" i="30"/>
  <c r="B4650" i="30"/>
  <c r="B4651" i="30"/>
  <c r="B4652" i="30"/>
  <c r="B4653" i="30"/>
  <c r="B4654" i="30"/>
  <c r="B4655" i="30"/>
  <c r="B4656" i="30"/>
  <c r="B4657" i="30"/>
  <c r="B4658" i="30"/>
  <c r="B4659" i="30"/>
  <c r="B4660" i="30"/>
  <c r="B4661" i="30"/>
  <c r="B4662" i="30"/>
  <c r="B4663" i="30"/>
  <c r="B4664" i="30"/>
  <c r="B4665" i="30"/>
  <c r="B4666" i="30"/>
  <c r="B4667" i="30"/>
  <c r="B4668" i="30"/>
  <c r="B4669" i="30"/>
  <c r="B4670" i="30"/>
  <c r="B4671" i="30"/>
  <c r="B4672" i="30"/>
  <c r="B4673" i="30"/>
  <c r="B4674" i="30"/>
  <c r="B4675" i="30"/>
  <c r="B4676" i="30"/>
  <c r="B4677" i="30"/>
  <c r="B4678" i="30"/>
  <c r="B4679" i="30"/>
  <c r="B4680" i="30"/>
  <c r="B4681" i="30"/>
  <c r="B4682" i="30"/>
  <c r="B4683" i="30"/>
  <c r="B4684" i="30"/>
  <c r="B4685" i="30"/>
  <c r="B4686" i="30"/>
  <c r="B4687" i="30"/>
  <c r="B4688" i="30"/>
  <c r="B4689" i="30"/>
  <c r="B4690" i="30"/>
  <c r="B4691" i="30"/>
  <c r="B4692" i="30"/>
  <c r="B4693" i="30"/>
  <c r="B4694" i="30"/>
  <c r="B4695" i="30"/>
  <c r="B4696" i="30"/>
  <c r="B4697" i="30"/>
  <c r="B4698" i="30"/>
  <c r="B4699" i="30"/>
  <c r="B4700" i="30"/>
  <c r="B4701" i="30"/>
  <c r="B4702" i="30"/>
  <c r="B4703" i="30"/>
  <c r="B4704" i="30"/>
  <c r="B4705" i="30"/>
  <c r="B4706" i="30"/>
  <c r="B4707" i="30"/>
  <c r="B4708" i="30"/>
  <c r="B4709" i="30"/>
  <c r="B4710" i="30"/>
  <c r="B4711" i="30"/>
  <c r="B4712" i="30"/>
  <c r="B4713" i="30"/>
  <c r="B4714" i="30"/>
  <c r="B4715" i="30"/>
  <c r="B4716" i="30"/>
  <c r="B4717" i="30"/>
  <c r="B4718" i="30"/>
  <c r="B4719" i="30"/>
  <c r="B4720" i="30"/>
  <c r="B4721" i="30"/>
  <c r="B4722" i="30"/>
  <c r="B4723" i="30"/>
  <c r="B4724" i="30"/>
  <c r="B4725" i="30"/>
  <c r="B4726" i="30"/>
  <c r="B4727" i="30"/>
  <c r="B4728" i="30"/>
  <c r="B4729" i="30"/>
  <c r="B4730" i="30"/>
  <c r="B4731" i="30"/>
  <c r="B4732" i="30"/>
  <c r="B4733" i="30"/>
  <c r="B4734" i="30"/>
  <c r="B4735" i="30"/>
  <c r="B4736" i="30"/>
  <c r="B4737" i="30"/>
  <c r="B4738" i="30"/>
  <c r="B4739" i="30"/>
  <c r="B4740" i="30"/>
  <c r="B4741" i="30"/>
  <c r="B4742" i="30"/>
  <c r="B4743" i="30"/>
  <c r="B4744" i="30"/>
  <c r="B4745" i="30"/>
  <c r="B4746" i="30"/>
  <c r="B4747" i="30"/>
  <c r="B4748" i="30"/>
  <c r="B4749" i="30"/>
  <c r="B4750" i="30"/>
  <c r="B4751" i="30"/>
  <c r="B4752" i="30"/>
  <c r="B4753" i="30"/>
  <c r="B4754" i="30"/>
  <c r="B4755" i="30"/>
  <c r="B4756" i="30"/>
  <c r="B4757" i="30"/>
  <c r="B4758" i="30"/>
  <c r="B4759" i="30"/>
  <c r="B4760" i="30"/>
  <c r="B4761" i="30"/>
  <c r="B4762" i="30"/>
  <c r="B4763" i="30"/>
  <c r="B4764" i="30"/>
  <c r="B4765" i="30"/>
  <c r="B4766" i="30"/>
  <c r="B4767" i="30"/>
  <c r="B4768" i="30"/>
  <c r="B4769" i="30"/>
  <c r="B4770" i="30"/>
  <c r="B4771" i="30"/>
  <c r="B4772" i="30"/>
  <c r="B4773" i="30"/>
  <c r="B4774" i="30"/>
  <c r="B4775" i="30"/>
  <c r="B4776" i="30"/>
  <c r="B4777" i="30"/>
  <c r="B4778" i="30"/>
  <c r="B4779" i="30"/>
  <c r="B4780" i="30"/>
  <c r="B4781" i="30"/>
  <c r="B4782" i="30"/>
  <c r="B4783" i="30"/>
  <c r="B4784" i="30"/>
  <c r="B4785" i="30"/>
  <c r="B4786" i="30"/>
  <c r="B4787" i="30"/>
  <c r="B4788" i="30"/>
  <c r="B4789" i="30"/>
  <c r="B4790" i="30"/>
  <c r="B4791" i="30"/>
  <c r="B4792" i="30"/>
  <c r="B4793" i="30"/>
  <c r="B4794" i="30"/>
  <c r="B4795" i="30"/>
  <c r="B4796" i="30"/>
  <c r="B4797" i="30"/>
  <c r="B4798" i="30"/>
  <c r="B4799" i="30"/>
  <c r="B4800" i="30"/>
  <c r="B4801" i="30"/>
  <c r="B4802" i="30"/>
  <c r="B4803" i="30"/>
  <c r="B4804" i="30"/>
  <c r="B4805" i="30"/>
  <c r="B4806" i="30"/>
  <c r="B4807" i="30"/>
  <c r="B4808" i="30"/>
  <c r="B4809" i="30"/>
  <c r="B4810" i="30"/>
  <c r="B4811" i="30"/>
  <c r="B4812" i="30"/>
  <c r="B4813" i="30"/>
  <c r="B4814" i="30"/>
  <c r="B4815" i="30"/>
  <c r="B4816" i="30"/>
  <c r="B4817" i="30"/>
  <c r="B4818" i="30"/>
  <c r="B4819" i="30"/>
  <c r="B4820" i="30"/>
  <c r="B4821" i="30"/>
  <c r="B4822" i="30"/>
  <c r="B4823" i="30"/>
  <c r="B4824" i="30"/>
  <c r="B4825" i="30"/>
  <c r="B4826" i="30"/>
  <c r="B4827" i="30"/>
  <c r="B4828" i="30"/>
  <c r="B4829" i="30"/>
  <c r="B4830" i="30"/>
  <c r="B4831" i="30"/>
  <c r="B4832" i="30"/>
  <c r="B4833" i="30"/>
  <c r="B4834" i="30"/>
  <c r="B4835" i="30"/>
  <c r="B4836" i="30"/>
  <c r="B4837" i="30"/>
  <c r="B4838" i="30"/>
  <c r="B4839" i="30"/>
  <c r="B4840" i="30"/>
  <c r="B4841" i="30"/>
  <c r="B4842" i="30"/>
  <c r="B4843" i="30"/>
  <c r="B4844" i="30"/>
  <c r="B4845" i="30"/>
  <c r="B4846" i="30"/>
  <c r="B4847" i="30"/>
  <c r="B4848" i="30"/>
  <c r="B4849" i="30"/>
  <c r="B4850" i="30"/>
  <c r="B4851" i="30"/>
  <c r="B4852" i="30"/>
  <c r="B4853" i="30"/>
  <c r="B4854" i="30"/>
  <c r="B4855" i="30"/>
  <c r="B4856" i="30"/>
  <c r="B4857" i="30"/>
  <c r="B4858" i="30"/>
  <c r="B4859" i="30"/>
  <c r="B4860" i="30"/>
  <c r="B4861" i="30"/>
  <c r="B4862" i="30"/>
  <c r="B4863" i="30"/>
  <c r="B4864" i="30"/>
  <c r="B4865" i="30"/>
  <c r="B4866" i="30"/>
  <c r="B4867" i="30"/>
  <c r="B4868" i="30"/>
  <c r="B4869" i="30"/>
  <c r="B4870" i="30"/>
  <c r="B4871" i="30"/>
  <c r="B4872" i="30"/>
  <c r="B4873" i="30"/>
  <c r="B4874" i="30"/>
  <c r="B4875" i="30"/>
  <c r="B4876" i="30"/>
  <c r="B4877" i="30"/>
  <c r="B4878" i="30"/>
  <c r="B4879" i="30"/>
  <c r="B4880" i="30"/>
  <c r="B4881" i="30"/>
  <c r="B4882" i="30"/>
  <c r="B4883" i="30"/>
  <c r="B4884" i="30"/>
  <c r="B4885" i="30"/>
  <c r="B4886" i="30"/>
  <c r="B4887" i="30"/>
  <c r="B4888" i="30"/>
  <c r="B4889" i="30"/>
  <c r="B4890" i="30"/>
  <c r="B4891" i="30"/>
  <c r="B4892" i="30"/>
  <c r="B4893" i="30"/>
  <c r="B4894" i="30"/>
  <c r="B4895" i="30"/>
  <c r="B4896" i="30"/>
  <c r="B4897" i="30"/>
  <c r="B4898" i="30"/>
  <c r="B4899" i="30"/>
  <c r="B4900" i="30"/>
  <c r="B4901" i="30"/>
  <c r="B4902" i="30"/>
  <c r="B4903" i="30"/>
  <c r="B4904" i="30"/>
  <c r="B4905" i="30"/>
  <c r="B4906" i="30"/>
  <c r="B4907" i="30"/>
  <c r="B4908" i="30"/>
  <c r="B4909" i="30"/>
  <c r="B4910" i="30"/>
  <c r="B4911" i="30"/>
  <c r="B4912" i="30"/>
  <c r="B4913" i="30"/>
  <c r="B4914" i="30"/>
  <c r="B4915" i="30"/>
  <c r="B4916" i="30"/>
  <c r="B4917" i="30"/>
  <c r="B4918" i="30"/>
  <c r="B4919" i="30"/>
  <c r="B4920" i="30"/>
  <c r="B4921" i="30"/>
  <c r="B4922" i="30"/>
  <c r="B4923" i="30"/>
  <c r="B4924" i="30"/>
  <c r="B4925" i="30"/>
  <c r="B4926" i="30"/>
  <c r="B4927" i="30"/>
  <c r="B4928" i="30"/>
  <c r="B4929" i="30"/>
  <c r="B4930" i="30"/>
  <c r="B4931" i="30"/>
  <c r="B4932" i="30"/>
  <c r="B4933" i="30"/>
  <c r="B4934" i="30"/>
  <c r="B4935" i="30"/>
  <c r="B4936" i="30"/>
  <c r="B4937" i="30"/>
  <c r="B4938" i="30"/>
  <c r="B4939" i="30"/>
  <c r="B4940" i="30"/>
  <c r="B4941" i="30"/>
  <c r="B4942" i="30"/>
  <c r="B4943" i="30"/>
  <c r="B4944" i="30"/>
  <c r="B4945" i="30"/>
  <c r="B4946" i="30"/>
  <c r="B4947" i="30"/>
  <c r="B4948" i="30"/>
  <c r="B4949" i="30"/>
  <c r="B4950" i="30"/>
  <c r="B4951" i="30"/>
  <c r="B4952" i="30"/>
  <c r="B4953" i="30"/>
  <c r="B4954" i="30"/>
  <c r="B4955" i="30"/>
  <c r="B4956" i="30"/>
  <c r="B4957" i="30"/>
  <c r="B4958" i="30"/>
  <c r="B4959" i="30"/>
  <c r="B4960" i="30"/>
  <c r="B4961" i="30"/>
  <c r="B4962" i="30"/>
  <c r="B4963" i="30"/>
  <c r="B4964" i="30"/>
  <c r="B4965" i="30"/>
  <c r="B4966" i="30"/>
  <c r="B4967" i="30"/>
  <c r="B4968" i="30"/>
  <c r="B4969" i="30"/>
  <c r="B4970" i="30"/>
  <c r="B4971" i="30"/>
  <c r="B4972" i="30"/>
  <c r="B4973" i="30"/>
  <c r="B4974" i="30"/>
  <c r="B4975" i="30"/>
  <c r="B4976" i="30"/>
  <c r="B4977" i="30"/>
  <c r="B4978" i="30"/>
  <c r="B4979" i="30"/>
  <c r="B4980" i="30"/>
  <c r="B4981" i="30"/>
  <c r="B4982" i="30"/>
  <c r="B4983" i="30"/>
  <c r="B4984" i="30"/>
  <c r="B4985" i="30"/>
  <c r="B4986" i="30"/>
  <c r="B4987" i="30"/>
  <c r="B4988" i="30"/>
  <c r="B4989" i="30"/>
  <c r="B4990" i="30"/>
  <c r="B4991" i="30"/>
  <c r="B4992" i="30"/>
  <c r="B4993" i="30"/>
  <c r="B4994" i="30"/>
  <c r="B4995" i="30"/>
  <c r="B4996" i="30"/>
  <c r="B4997" i="30"/>
  <c r="B4998" i="30"/>
  <c r="B4999" i="30"/>
  <c r="B5000" i="30"/>
  <c r="B5001" i="30"/>
  <c r="B5002" i="30"/>
  <c r="B5003" i="30"/>
  <c r="B5004" i="30"/>
  <c r="B5005" i="30"/>
  <c r="B5006" i="30"/>
  <c r="B5007" i="30"/>
  <c r="B5008" i="30"/>
  <c r="B5009" i="30"/>
  <c r="B5010" i="30"/>
  <c r="B5011" i="30"/>
  <c r="B5012" i="30"/>
  <c r="B5013" i="30"/>
  <c r="B5014" i="30"/>
  <c r="B5015" i="30"/>
  <c r="B5016" i="30"/>
  <c r="B5017" i="30"/>
  <c r="B5018" i="30"/>
  <c r="B5019" i="30"/>
  <c r="B5020" i="30"/>
  <c r="B5021" i="30"/>
  <c r="B5022" i="30"/>
  <c r="B5023" i="30"/>
  <c r="B5024" i="30"/>
  <c r="B5025" i="30"/>
  <c r="B5026" i="30"/>
  <c r="B5027" i="30"/>
  <c r="B5028" i="30"/>
  <c r="B5029" i="30"/>
  <c r="B5030" i="30"/>
  <c r="B5031" i="30"/>
  <c r="B5032" i="30"/>
  <c r="B5033" i="30"/>
  <c r="B5034" i="30"/>
  <c r="B5035" i="30"/>
  <c r="B5036" i="30"/>
  <c r="B5037" i="30"/>
  <c r="B5038" i="30"/>
  <c r="B5039" i="30"/>
  <c r="B5040" i="30"/>
  <c r="B5041" i="30"/>
  <c r="B5042" i="30"/>
  <c r="B5043" i="30"/>
  <c r="B5044" i="30"/>
  <c r="B5045" i="30"/>
  <c r="B5046" i="30"/>
  <c r="B5047" i="30"/>
  <c r="B5048" i="30"/>
  <c r="B5049" i="30"/>
  <c r="B5050" i="30"/>
  <c r="B5051" i="30"/>
  <c r="B5052" i="30"/>
  <c r="B5053" i="30"/>
  <c r="B5054" i="30"/>
  <c r="B5055" i="30"/>
  <c r="B5056" i="30"/>
  <c r="B5057" i="30"/>
  <c r="B5058" i="30"/>
  <c r="B5059" i="30"/>
  <c r="B5060" i="30"/>
  <c r="B5061" i="30"/>
  <c r="B5062" i="30"/>
  <c r="B5063" i="30"/>
  <c r="B5064" i="30"/>
  <c r="B5065" i="30"/>
  <c r="B5066" i="30"/>
  <c r="B5067" i="30"/>
  <c r="B5068" i="30"/>
  <c r="B5069" i="30"/>
  <c r="B5070" i="30"/>
  <c r="B5071" i="30"/>
  <c r="B5072" i="30"/>
  <c r="B5073" i="30"/>
  <c r="B5074" i="30"/>
  <c r="B5075" i="30"/>
  <c r="B5076" i="30"/>
  <c r="B5077" i="30"/>
  <c r="B5078" i="30"/>
  <c r="B5079" i="30"/>
  <c r="B5080" i="30"/>
  <c r="B5081" i="30"/>
  <c r="B5082" i="30"/>
  <c r="B5083" i="30"/>
  <c r="B5084" i="30"/>
  <c r="B5085" i="30"/>
  <c r="B5086" i="30"/>
  <c r="B5087" i="30"/>
  <c r="B5088" i="30"/>
  <c r="B5089" i="30"/>
  <c r="B5090" i="30"/>
  <c r="B5091" i="30"/>
  <c r="B5092" i="30"/>
  <c r="B5093" i="30"/>
  <c r="B5094" i="30"/>
  <c r="B5095" i="30"/>
  <c r="B5096" i="30"/>
  <c r="B5097" i="30"/>
  <c r="B5098" i="30"/>
  <c r="B5099" i="30"/>
  <c r="B5100" i="30"/>
  <c r="B5101" i="30"/>
  <c r="B5102" i="30"/>
  <c r="B5103" i="30"/>
  <c r="B5104" i="30"/>
  <c r="B5105" i="30"/>
  <c r="B5106" i="30"/>
  <c r="B5107" i="30"/>
  <c r="B5108" i="30"/>
  <c r="B5109" i="30"/>
  <c r="B5110" i="30"/>
  <c r="B5111" i="30"/>
  <c r="B5112" i="30"/>
  <c r="B5113" i="30"/>
  <c r="B5114" i="30"/>
  <c r="B5115" i="30"/>
  <c r="B5116" i="30"/>
  <c r="B5117" i="30"/>
  <c r="B5118" i="30"/>
  <c r="B5119" i="30"/>
  <c r="B5120" i="30"/>
  <c r="B5121" i="30"/>
  <c r="B5122" i="30"/>
  <c r="B5123" i="30"/>
  <c r="B5124" i="30"/>
  <c r="B5125" i="30"/>
  <c r="B5126" i="30"/>
  <c r="B5127" i="30"/>
  <c r="B5128" i="30"/>
  <c r="B5129" i="30"/>
  <c r="B5130" i="30"/>
  <c r="B5131" i="30"/>
  <c r="B5132" i="30"/>
  <c r="B5133" i="30"/>
  <c r="B5134" i="30"/>
  <c r="B5135" i="30"/>
  <c r="B5136" i="30"/>
  <c r="B5137" i="30"/>
  <c r="B5138" i="30"/>
  <c r="B5139" i="30"/>
  <c r="B5140" i="30"/>
  <c r="B5141" i="30"/>
  <c r="B5142" i="30"/>
  <c r="B5143" i="30"/>
  <c r="B5144" i="30"/>
  <c r="B5145" i="30"/>
  <c r="B5146" i="30"/>
  <c r="B5147" i="30"/>
  <c r="B5148" i="30"/>
  <c r="B5149" i="30"/>
  <c r="B5150" i="30"/>
  <c r="B5151" i="30"/>
  <c r="B5152" i="30"/>
  <c r="B5153" i="30"/>
  <c r="B5154" i="30"/>
  <c r="B5155" i="30"/>
  <c r="B5156" i="30"/>
  <c r="B5157" i="30"/>
  <c r="B5158" i="30"/>
  <c r="B5159" i="30"/>
  <c r="B5160" i="30"/>
  <c r="B5161" i="30"/>
  <c r="B5162" i="30"/>
  <c r="B5163" i="30"/>
  <c r="B5164" i="30"/>
  <c r="B5165" i="30"/>
  <c r="B5166" i="30"/>
  <c r="B5167" i="30"/>
  <c r="B5168" i="30"/>
  <c r="B5169" i="30"/>
  <c r="B5170" i="30"/>
  <c r="B5171" i="30"/>
  <c r="B5172" i="30"/>
  <c r="B5173" i="30"/>
  <c r="B5174" i="30"/>
  <c r="B5175" i="30"/>
  <c r="B5176" i="30"/>
  <c r="B5177" i="30"/>
  <c r="B5178" i="30"/>
  <c r="B5179" i="30"/>
  <c r="B5180" i="30"/>
  <c r="B5181" i="30"/>
  <c r="B5182" i="30"/>
  <c r="B5183" i="30"/>
  <c r="B5184" i="30"/>
  <c r="B5185" i="30"/>
  <c r="B5186" i="30"/>
  <c r="B5187" i="30"/>
  <c r="B5188" i="30"/>
  <c r="B5189" i="30"/>
  <c r="B5190" i="30"/>
  <c r="B5191" i="30"/>
  <c r="B5192" i="30"/>
  <c r="B5193" i="30"/>
  <c r="B5194" i="30"/>
  <c r="B5195" i="30"/>
  <c r="B5196" i="30"/>
  <c r="B5197" i="30"/>
  <c r="B5198" i="30"/>
  <c r="B5199" i="30"/>
  <c r="B5200" i="30"/>
  <c r="B5201" i="30"/>
  <c r="B5202" i="30"/>
  <c r="B5203" i="30"/>
  <c r="B5204" i="30"/>
  <c r="B5205" i="30"/>
  <c r="B5206" i="30"/>
  <c r="B5207" i="30"/>
  <c r="B5208" i="30"/>
  <c r="B5209" i="30"/>
  <c r="B5210" i="30"/>
  <c r="B5211" i="30"/>
  <c r="B5212" i="30"/>
  <c r="B5213" i="30"/>
  <c r="B5214" i="30"/>
  <c r="B5215" i="30"/>
  <c r="B5216" i="30"/>
  <c r="B5217" i="30"/>
  <c r="B5218" i="30"/>
  <c r="B5219" i="30"/>
  <c r="B5220" i="30"/>
  <c r="B5221" i="30"/>
  <c r="B5222" i="30"/>
  <c r="B5223" i="30"/>
  <c r="B5224" i="30"/>
  <c r="B5225" i="30"/>
  <c r="B5226" i="30"/>
  <c r="B5227" i="30"/>
  <c r="B5228" i="30"/>
  <c r="B5229" i="30"/>
  <c r="B5230" i="30"/>
  <c r="B5231" i="30"/>
  <c r="B5232" i="30"/>
  <c r="B5233" i="30"/>
  <c r="B5234" i="30"/>
  <c r="B5235" i="30"/>
  <c r="B5236" i="30"/>
  <c r="B5237" i="30"/>
  <c r="B5238" i="30"/>
  <c r="B5239" i="30"/>
  <c r="B5240" i="30"/>
  <c r="B5241" i="30"/>
  <c r="B5242" i="30"/>
  <c r="B5243" i="30"/>
  <c r="B5244" i="30"/>
  <c r="B5245" i="30"/>
  <c r="B5246" i="30"/>
  <c r="B5247" i="30"/>
  <c r="B5248" i="30"/>
  <c r="B5249" i="30"/>
  <c r="B5250" i="30"/>
  <c r="B5251" i="30"/>
  <c r="B5252" i="30"/>
  <c r="B5253" i="30"/>
  <c r="B5254" i="30"/>
  <c r="B5255" i="30"/>
  <c r="B5256" i="30"/>
  <c r="B5257" i="30"/>
  <c r="B5258" i="30"/>
  <c r="B5259" i="30"/>
  <c r="B5260" i="30"/>
  <c r="B5261" i="30"/>
  <c r="B5262" i="30"/>
  <c r="B5263" i="30"/>
  <c r="B5264" i="30"/>
  <c r="B5265" i="30"/>
  <c r="B5266" i="30"/>
  <c r="B5267" i="30"/>
  <c r="B5268" i="30"/>
  <c r="B5269" i="30"/>
  <c r="B5270" i="30"/>
  <c r="B5271" i="30"/>
  <c r="B5272" i="30"/>
  <c r="B5273" i="30"/>
  <c r="B5274" i="30"/>
  <c r="B5275" i="30"/>
  <c r="B5276" i="30"/>
  <c r="B5277" i="30"/>
  <c r="B5278" i="30"/>
  <c r="B5279" i="30"/>
  <c r="B5280" i="30"/>
  <c r="B5281" i="30"/>
  <c r="B5282" i="30"/>
  <c r="B5283" i="30"/>
  <c r="B5284" i="30"/>
  <c r="B5285" i="30"/>
  <c r="B5286" i="30"/>
  <c r="B5287" i="30"/>
  <c r="B5288" i="30"/>
  <c r="B5289" i="30"/>
  <c r="B5290" i="30"/>
  <c r="B5291" i="30"/>
  <c r="B5292" i="30"/>
  <c r="B5293" i="30"/>
  <c r="B5294" i="30"/>
  <c r="B5295" i="30"/>
  <c r="B5296" i="30"/>
  <c r="B5297" i="30"/>
  <c r="B5298" i="30"/>
  <c r="B5299" i="30"/>
  <c r="B5300" i="30"/>
  <c r="B5301" i="30"/>
  <c r="B5302" i="30"/>
  <c r="B5303" i="30"/>
  <c r="B5304" i="30"/>
  <c r="B5305" i="30"/>
  <c r="B5306" i="30"/>
  <c r="B5307" i="30"/>
  <c r="B5308" i="30"/>
  <c r="B5309" i="30"/>
  <c r="B5310" i="30"/>
  <c r="B5311" i="30"/>
  <c r="B5312" i="30"/>
  <c r="B5313" i="30"/>
  <c r="B5314" i="30"/>
  <c r="B5315" i="30"/>
  <c r="B5316" i="30"/>
  <c r="B5317" i="30"/>
  <c r="B5318" i="30"/>
  <c r="B5319" i="30"/>
  <c r="B5320" i="30"/>
  <c r="B5321" i="30"/>
  <c r="B5322" i="30"/>
  <c r="B5323" i="30"/>
  <c r="B5324" i="30"/>
  <c r="B5325" i="30"/>
  <c r="B5326" i="30"/>
  <c r="B5327" i="30"/>
  <c r="B5328" i="30"/>
  <c r="B5329" i="30"/>
  <c r="B5330" i="30"/>
  <c r="B5331" i="30"/>
  <c r="B5332" i="30"/>
  <c r="B5333" i="30"/>
  <c r="B5334" i="30"/>
  <c r="B5335" i="30"/>
  <c r="B5336" i="30"/>
  <c r="B5337" i="30"/>
  <c r="B5338" i="30"/>
  <c r="B5339" i="30"/>
  <c r="B5340" i="30"/>
  <c r="B5341" i="30"/>
  <c r="B5342" i="30"/>
  <c r="B5343" i="30"/>
  <c r="B5344" i="30"/>
  <c r="B5345" i="30"/>
  <c r="B5346" i="30"/>
  <c r="B5347" i="30"/>
  <c r="B5348" i="30"/>
  <c r="B5349" i="30"/>
  <c r="B5350" i="30"/>
  <c r="B5351" i="30"/>
  <c r="B5352" i="30"/>
  <c r="B5353" i="30"/>
  <c r="B5354" i="30"/>
  <c r="B5355" i="30"/>
  <c r="B5356" i="30"/>
  <c r="B5357" i="30"/>
  <c r="B5358" i="30"/>
  <c r="B5359" i="30"/>
  <c r="B5360" i="30"/>
  <c r="B5361" i="30"/>
  <c r="B5362" i="30"/>
  <c r="B5363" i="30"/>
  <c r="B5364" i="30"/>
  <c r="B5365" i="30"/>
  <c r="B5366" i="30"/>
  <c r="B5367" i="30"/>
  <c r="B5368" i="30"/>
  <c r="B5369" i="30"/>
  <c r="B5370" i="30"/>
  <c r="B5371" i="30"/>
  <c r="B5372" i="30"/>
  <c r="B5373" i="30"/>
  <c r="B5374" i="30"/>
  <c r="B5375" i="30"/>
  <c r="B5376" i="30"/>
  <c r="B5377" i="30"/>
  <c r="B5378" i="30"/>
  <c r="B5379" i="30"/>
  <c r="B5380" i="30"/>
  <c r="B5381" i="30"/>
  <c r="B5382" i="30"/>
  <c r="B5383" i="30"/>
  <c r="B5384" i="30"/>
  <c r="B5385" i="30"/>
  <c r="B5386" i="30"/>
  <c r="B5387" i="30"/>
  <c r="B5388" i="30"/>
  <c r="B5389" i="30"/>
  <c r="B5390" i="30"/>
  <c r="B5391" i="30"/>
  <c r="B5392" i="30"/>
  <c r="B5393" i="30"/>
  <c r="B5394" i="30"/>
  <c r="B5395" i="30"/>
  <c r="B5396" i="30"/>
  <c r="B5397" i="30"/>
  <c r="B5398" i="30"/>
  <c r="B5399" i="30"/>
  <c r="B5400" i="30"/>
  <c r="B5401" i="30"/>
  <c r="B5402" i="30"/>
  <c r="B5403" i="30"/>
  <c r="B5404" i="30"/>
  <c r="B5405" i="30"/>
  <c r="B5406" i="30"/>
  <c r="B5407" i="30"/>
  <c r="B5408" i="30"/>
  <c r="B5409" i="30"/>
  <c r="B5410" i="30"/>
  <c r="B5411" i="30"/>
  <c r="A4317" i="30"/>
  <c r="A4318" i="30" s="1"/>
  <c r="A4319" i="30" s="1"/>
  <c r="A4320" i="30"/>
  <c r="A4321" i="30" s="1"/>
  <c r="A4322" i="30" s="1"/>
  <c r="A4323" i="30" s="1"/>
  <c r="A4324" i="30" s="1"/>
  <c r="A4325" i="30" s="1"/>
  <c r="A4326" i="30" s="1"/>
  <c r="A4327" i="30" s="1"/>
  <c r="A4328" i="30" s="1"/>
  <c r="A4329" i="30" s="1"/>
  <c r="A4330" i="30" s="1"/>
  <c r="A4331" i="30" s="1"/>
  <c r="A4332" i="30" s="1"/>
  <c r="A4333" i="30" s="1"/>
  <c r="A4334" i="30" s="1"/>
  <c r="A4335" i="30" s="1"/>
  <c r="A4336" i="30" s="1"/>
  <c r="A4337" i="30" s="1"/>
  <c r="A4338" i="30" s="1"/>
  <c r="A4339" i="30" s="1"/>
  <c r="A4340" i="30" s="1"/>
  <c r="A4341" i="30" s="1"/>
  <c r="A4342" i="30" s="1"/>
  <c r="A4343" i="30" s="1"/>
  <c r="A4344" i="30" s="1"/>
  <c r="A4345" i="30" s="1"/>
  <c r="A4346" i="30" s="1"/>
  <c r="A4347" i="30" s="1"/>
  <c r="A4348" i="30" s="1"/>
  <c r="A4349" i="30" s="1"/>
  <c r="A4350" i="30" s="1"/>
  <c r="A4351" i="30" s="1"/>
  <c r="A4352" i="30" s="1"/>
  <c r="A4353" i="30" s="1"/>
  <c r="A4354" i="30" s="1"/>
  <c r="A4355" i="30" s="1"/>
  <c r="A4356" i="30" s="1"/>
  <c r="A4357" i="30" s="1"/>
  <c r="A4358" i="30" s="1"/>
  <c r="A4359" i="30" s="1"/>
  <c r="A4360" i="30" s="1"/>
  <c r="A4361" i="30" s="1"/>
  <c r="A4362" i="30" s="1"/>
  <c r="A4363" i="30" s="1"/>
  <c r="A4364" i="30" s="1"/>
  <c r="A4365" i="30" s="1"/>
  <c r="A4366" i="30" s="1"/>
  <c r="A4367" i="30" s="1"/>
  <c r="A4368" i="30" s="1"/>
  <c r="A4369" i="30" s="1"/>
  <c r="A4370" i="30" s="1"/>
  <c r="A4371" i="30" s="1"/>
  <c r="A4372" i="30" s="1"/>
  <c r="A4373" i="30" s="1"/>
  <c r="A4374" i="30" s="1"/>
  <c r="A4375" i="30" s="1"/>
  <c r="A4376" i="30" s="1"/>
  <c r="A4377" i="30" s="1"/>
  <c r="A4378" i="30" s="1"/>
  <c r="A4379" i="30" s="1"/>
  <c r="A4380" i="30" s="1"/>
  <c r="A4381" i="30" s="1"/>
  <c r="A4382" i="30" s="1"/>
  <c r="A4383" i="30" s="1"/>
  <c r="A4384" i="30" s="1"/>
  <c r="A4385" i="30" s="1"/>
  <c r="A4386" i="30" s="1"/>
  <c r="A4387" i="30" s="1"/>
  <c r="A4388" i="30" s="1"/>
  <c r="A4389" i="30" s="1"/>
  <c r="A4390" i="30" s="1"/>
  <c r="A4391" i="30" s="1"/>
  <c r="A4392" i="30" s="1"/>
  <c r="A4393" i="30" s="1"/>
  <c r="A4394" i="30" s="1"/>
  <c r="A4395" i="30" s="1"/>
  <c r="A4396" i="30" s="1"/>
  <c r="A4397" i="30" s="1"/>
  <c r="A4398" i="30" s="1"/>
  <c r="A4399" i="30" s="1"/>
  <c r="A4400" i="30" s="1"/>
  <c r="A4401" i="30" s="1"/>
  <c r="A4402" i="30" s="1"/>
  <c r="A4403" i="30" s="1"/>
  <c r="A4404" i="30" s="1"/>
  <c r="A4405" i="30" s="1"/>
  <c r="A4406" i="30" s="1"/>
  <c r="A4407" i="30" s="1"/>
  <c r="A4408" i="30" s="1"/>
  <c r="A4409" i="30" s="1"/>
  <c r="A4410" i="30" s="1"/>
  <c r="A4411" i="30" s="1"/>
  <c r="A4412" i="30" s="1"/>
  <c r="A4413" i="30" s="1"/>
  <c r="A4414" i="30" s="1"/>
  <c r="A4415" i="30" s="1"/>
  <c r="A4416" i="30" s="1"/>
  <c r="A4417" i="30" s="1"/>
  <c r="A4418" i="30" s="1"/>
  <c r="A4419" i="30" s="1"/>
  <c r="A4420" i="30" s="1"/>
  <c r="A4421" i="30" s="1"/>
  <c r="A4422" i="30" s="1"/>
  <c r="A4423" i="30" s="1"/>
  <c r="A4424" i="30" s="1"/>
  <c r="A4425" i="30" s="1"/>
  <c r="A4426" i="30" s="1"/>
  <c r="A4427" i="30" s="1"/>
  <c r="A4428" i="30" s="1"/>
  <c r="A4429" i="30" s="1"/>
  <c r="A4430" i="30" s="1"/>
  <c r="A4431" i="30" s="1"/>
  <c r="A4432" i="30" s="1"/>
  <c r="A4433" i="30" s="1"/>
  <c r="A4434" i="30" s="1"/>
  <c r="A4435" i="30" s="1"/>
  <c r="A4436" i="30" s="1"/>
  <c r="A4437" i="30" s="1"/>
  <c r="A4438" i="30" s="1"/>
  <c r="A4439" i="30" s="1"/>
  <c r="A4440" i="30" s="1"/>
  <c r="A4441" i="30" s="1"/>
  <c r="A4442" i="30" s="1"/>
  <c r="A4443" i="30" s="1"/>
  <c r="A4444" i="30" s="1"/>
  <c r="A4445" i="30" s="1"/>
  <c r="A4446" i="30" s="1"/>
  <c r="A4447" i="30" s="1"/>
  <c r="A4448" i="30" s="1"/>
  <c r="A4449" i="30" s="1"/>
  <c r="A4450" i="30" s="1"/>
  <c r="A4451" i="30" s="1"/>
  <c r="A4452" i="30" s="1"/>
  <c r="A4453" i="30" s="1"/>
  <c r="A4454" i="30" s="1"/>
  <c r="A4455" i="30" s="1"/>
  <c r="A4456" i="30" s="1"/>
  <c r="A4457" i="30" s="1"/>
  <c r="A4458" i="30" s="1"/>
  <c r="A4459" i="30" s="1"/>
  <c r="A4460" i="30" s="1"/>
  <c r="A4461" i="30" s="1"/>
  <c r="A4462" i="30" s="1"/>
  <c r="A4463" i="30" s="1"/>
  <c r="A4464" i="30" s="1"/>
  <c r="A4465" i="30" s="1"/>
  <c r="A4466" i="30" s="1"/>
  <c r="A4467" i="30" s="1"/>
  <c r="A4468" i="30" s="1"/>
  <c r="A4469" i="30" s="1"/>
  <c r="A4470" i="30" s="1"/>
  <c r="A4471" i="30" s="1"/>
  <c r="A4472" i="30" s="1"/>
  <c r="A4473" i="30" s="1"/>
  <c r="A4474" i="30" s="1"/>
  <c r="A4475" i="30" s="1"/>
  <c r="A4476" i="30" s="1"/>
  <c r="A4477" i="30" s="1"/>
  <c r="A4478" i="30" s="1"/>
  <c r="A4479" i="30" s="1"/>
  <c r="A4480" i="30" s="1"/>
  <c r="A4481" i="30" s="1"/>
  <c r="A4482" i="30" s="1"/>
  <c r="A4483" i="30" s="1"/>
  <c r="A4484" i="30" s="1"/>
  <c r="A4485" i="30" s="1"/>
  <c r="A4486" i="30" s="1"/>
  <c r="A4487" i="30" s="1"/>
  <c r="A4488" i="30" s="1"/>
  <c r="A4489" i="30" s="1"/>
  <c r="A4490" i="30" s="1"/>
  <c r="A4491" i="30" s="1"/>
  <c r="A4492" i="30" s="1"/>
  <c r="A4493" i="30" s="1"/>
  <c r="A4494" i="30" s="1"/>
  <c r="A4495" i="30" s="1"/>
  <c r="A4496" i="30" s="1"/>
  <c r="A4497" i="30" s="1"/>
  <c r="A4498" i="30" s="1"/>
  <c r="A4499" i="30" s="1"/>
  <c r="A4500" i="30" s="1"/>
  <c r="A4501" i="30" s="1"/>
  <c r="A4502" i="30" s="1"/>
  <c r="A4503" i="30" s="1"/>
  <c r="A4504" i="30" s="1"/>
  <c r="A4505" i="30" s="1"/>
  <c r="A4506" i="30" s="1"/>
  <c r="A4507" i="30" s="1"/>
  <c r="A4508" i="30" s="1"/>
  <c r="A4509" i="30" s="1"/>
  <c r="A4510" i="30" s="1"/>
  <c r="A4511" i="30" s="1"/>
  <c r="A4512" i="30" s="1"/>
  <c r="A4513" i="30" s="1"/>
  <c r="A4514" i="30" s="1"/>
  <c r="A4515" i="30" s="1"/>
  <c r="A4516" i="30" s="1"/>
  <c r="A4517" i="30" s="1"/>
  <c r="A4518" i="30" s="1"/>
  <c r="A4519" i="30" s="1"/>
  <c r="A4520" i="30" s="1"/>
  <c r="A4521" i="30" s="1"/>
  <c r="A4522" i="30" s="1"/>
  <c r="A4523" i="30" s="1"/>
  <c r="A4524" i="30" s="1"/>
  <c r="A4525" i="30" s="1"/>
  <c r="A4526" i="30" s="1"/>
  <c r="A4527" i="30" s="1"/>
  <c r="A4528" i="30" s="1"/>
  <c r="A4529" i="30" s="1"/>
  <c r="A4530" i="30" s="1"/>
  <c r="A4531" i="30" s="1"/>
  <c r="A4532" i="30" s="1"/>
  <c r="A4533" i="30" s="1"/>
  <c r="A4534" i="30" s="1"/>
  <c r="A4535" i="30" s="1"/>
  <c r="A4536" i="30" s="1"/>
  <c r="A4537" i="30" s="1"/>
  <c r="A4538" i="30" s="1"/>
  <c r="A4539" i="30" s="1"/>
  <c r="A4540" i="30" s="1"/>
  <c r="A4541" i="30" s="1"/>
  <c r="A4542" i="30" s="1"/>
  <c r="A4543" i="30" s="1"/>
  <c r="A4544" i="30" s="1"/>
  <c r="A4545" i="30" s="1"/>
  <c r="A4546" i="30" s="1"/>
  <c r="A4547" i="30" s="1"/>
  <c r="A4548" i="30" s="1"/>
  <c r="A4549" i="30" s="1"/>
  <c r="A4550" i="30" s="1"/>
  <c r="A4551" i="30" s="1"/>
  <c r="A4552" i="30" s="1"/>
  <c r="A4553" i="30" s="1"/>
  <c r="A4554" i="30" s="1"/>
  <c r="A4555" i="30" s="1"/>
  <c r="A4556" i="30" s="1"/>
  <c r="A4557" i="30" s="1"/>
  <c r="A4558" i="30" s="1"/>
  <c r="A4559" i="30" s="1"/>
  <c r="A4560" i="30" s="1"/>
  <c r="A4561" i="30" s="1"/>
  <c r="A4562" i="30" s="1"/>
  <c r="A4563" i="30" s="1"/>
  <c r="A4564" i="30" s="1"/>
  <c r="A4565" i="30" s="1"/>
  <c r="A4566" i="30" s="1"/>
  <c r="A4567" i="30" s="1"/>
  <c r="A4568" i="30" s="1"/>
  <c r="A4569" i="30" s="1"/>
  <c r="A4570" i="30" s="1"/>
  <c r="A4571" i="30" s="1"/>
  <c r="A4572" i="30" s="1"/>
  <c r="A4573" i="30" s="1"/>
  <c r="A4574" i="30" s="1"/>
  <c r="A4575" i="30" s="1"/>
  <c r="A4576" i="30" s="1"/>
  <c r="A4577" i="30" s="1"/>
  <c r="A4578" i="30" s="1"/>
  <c r="A4579" i="30" s="1"/>
  <c r="A4580" i="30" s="1"/>
  <c r="A4581" i="30" s="1"/>
  <c r="A4582" i="30" s="1"/>
  <c r="A4583" i="30" s="1"/>
  <c r="A4584" i="30" s="1"/>
  <c r="A4585" i="30" s="1"/>
  <c r="A4586" i="30" s="1"/>
  <c r="A4587" i="30" s="1"/>
  <c r="A4588" i="30" s="1"/>
  <c r="A4589" i="30" s="1"/>
  <c r="A4590" i="30" s="1"/>
  <c r="A4591" i="30" s="1"/>
  <c r="A4592" i="30" s="1"/>
  <c r="A4593" i="30" s="1"/>
  <c r="A4594" i="30" s="1"/>
  <c r="A4595" i="30" s="1"/>
  <c r="A4596" i="30" s="1"/>
  <c r="A4597" i="30" s="1"/>
  <c r="A4598" i="30" s="1"/>
  <c r="A4599" i="30" s="1"/>
  <c r="A4600" i="30" s="1"/>
  <c r="A4601" i="30" s="1"/>
  <c r="A4602" i="30" s="1"/>
  <c r="A4603" i="30" s="1"/>
  <c r="A4604" i="30" s="1"/>
  <c r="A4605" i="30" s="1"/>
  <c r="A4606" i="30" s="1"/>
  <c r="A4607" i="30" s="1"/>
  <c r="A4608" i="30" s="1"/>
  <c r="A4609" i="30" s="1"/>
  <c r="A4610" i="30" s="1"/>
  <c r="A4611" i="30" s="1"/>
  <c r="A4612" i="30" s="1"/>
  <c r="A4613" i="30" s="1"/>
  <c r="A4614" i="30" s="1"/>
  <c r="A4615" i="30" s="1"/>
  <c r="A4616" i="30" s="1"/>
  <c r="A4617" i="30" s="1"/>
  <c r="A4618" i="30" s="1"/>
  <c r="A4619" i="30" s="1"/>
  <c r="A4620" i="30" s="1"/>
  <c r="A4621" i="30" s="1"/>
  <c r="A4622" i="30" s="1"/>
  <c r="A4623" i="30" s="1"/>
  <c r="A4624" i="30" s="1"/>
  <c r="A4625" i="30" s="1"/>
  <c r="A4626" i="30" s="1"/>
  <c r="A4627" i="30" s="1"/>
  <c r="A4628" i="30" s="1"/>
  <c r="A4629" i="30" s="1"/>
  <c r="A4630" i="30" s="1"/>
  <c r="A4631" i="30" s="1"/>
  <c r="A4632" i="30" s="1"/>
  <c r="A4633" i="30" s="1"/>
  <c r="A4634" i="30" s="1"/>
  <c r="A4635" i="30" s="1"/>
  <c r="A4636" i="30" s="1"/>
  <c r="A4637" i="30" s="1"/>
  <c r="A4638" i="30" s="1"/>
  <c r="A4639" i="30" s="1"/>
  <c r="A4640" i="30" s="1"/>
  <c r="A4641" i="30" s="1"/>
  <c r="A4642" i="30" s="1"/>
  <c r="A4643" i="30" s="1"/>
  <c r="A4644" i="30" s="1"/>
  <c r="A4645" i="30" s="1"/>
  <c r="A4646" i="30" s="1"/>
  <c r="A4647" i="30" s="1"/>
  <c r="A4648" i="30" s="1"/>
  <c r="A4649" i="30" s="1"/>
  <c r="A4650" i="30" s="1"/>
  <c r="A4651" i="30" s="1"/>
  <c r="A4652" i="30" s="1"/>
  <c r="A4653" i="30" s="1"/>
  <c r="A4654" i="30" s="1"/>
  <c r="A4655" i="30" s="1"/>
  <c r="A4656" i="30" s="1"/>
  <c r="A4657" i="30" s="1"/>
  <c r="A4658" i="30" s="1"/>
  <c r="A4659" i="30" s="1"/>
  <c r="A4660" i="30" s="1"/>
  <c r="A4661" i="30" s="1"/>
  <c r="A4662" i="30" s="1"/>
  <c r="A4663" i="30" s="1"/>
  <c r="A4664" i="30" s="1"/>
  <c r="A4665" i="30" s="1"/>
  <c r="A4666" i="30" s="1"/>
  <c r="A4667" i="30" s="1"/>
  <c r="A4668" i="30" s="1"/>
  <c r="A4669" i="30" s="1"/>
  <c r="A4670" i="30" s="1"/>
  <c r="A4671" i="30" s="1"/>
  <c r="A4672" i="30" s="1"/>
  <c r="A4673" i="30" s="1"/>
  <c r="A4674" i="30" s="1"/>
  <c r="A4675" i="30" s="1"/>
  <c r="A4676" i="30" s="1"/>
  <c r="A4677" i="30" s="1"/>
  <c r="A4678" i="30" s="1"/>
  <c r="A4679" i="30" s="1"/>
  <c r="A4680" i="30" s="1"/>
  <c r="A4681" i="30" s="1"/>
  <c r="A4682" i="30" s="1"/>
  <c r="A4683" i="30" s="1"/>
  <c r="A4684" i="30" s="1"/>
  <c r="A4685" i="30" s="1"/>
  <c r="A4686" i="30" s="1"/>
  <c r="A4687" i="30" s="1"/>
  <c r="A4688" i="30" s="1"/>
  <c r="A4689" i="30" s="1"/>
  <c r="A4690" i="30" s="1"/>
  <c r="A4691" i="30" s="1"/>
  <c r="A4692" i="30" s="1"/>
  <c r="A4693" i="30" s="1"/>
  <c r="A4694" i="30" s="1"/>
  <c r="A4695" i="30" s="1"/>
  <c r="A4696" i="30" s="1"/>
  <c r="A4697" i="30" s="1"/>
  <c r="A4698" i="30" s="1"/>
  <c r="A4699" i="30" s="1"/>
  <c r="A4700" i="30" s="1"/>
  <c r="A4701" i="30" s="1"/>
  <c r="A4702" i="30" s="1"/>
  <c r="A4703" i="30" s="1"/>
  <c r="A4704" i="30" s="1"/>
  <c r="A4705" i="30" s="1"/>
  <c r="A4706" i="30" s="1"/>
  <c r="A4707" i="30" s="1"/>
  <c r="A4708" i="30" s="1"/>
  <c r="A4709" i="30" s="1"/>
  <c r="A4710" i="30" s="1"/>
  <c r="A4711" i="30" s="1"/>
  <c r="A4712" i="30" s="1"/>
  <c r="A4713" i="30" s="1"/>
  <c r="A4714" i="30" s="1"/>
  <c r="A4715" i="30" s="1"/>
  <c r="A4716" i="30" s="1"/>
  <c r="A4717" i="30" s="1"/>
  <c r="A4718" i="30" s="1"/>
  <c r="A4719" i="30" s="1"/>
  <c r="A4720" i="30" s="1"/>
  <c r="A4721" i="30" s="1"/>
  <c r="A4722" i="30" s="1"/>
  <c r="A4723" i="30" s="1"/>
  <c r="A4724" i="30" s="1"/>
  <c r="A4725" i="30" s="1"/>
  <c r="A4726" i="30" s="1"/>
  <c r="A4727" i="30" s="1"/>
  <c r="A4728" i="30" s="1"/>
  <c r="A4729" i="30" s="1"/>
  <c r="A4730" i="30" s="1"/>
  <c r="A4731" i="30" s="1"/>
  <c r="A4732" i="30" s="1"/>
  <c r="A4733" i="30" s="1"/>
  <c r="A4734" i="30" s="1"/>
  <c r="A4735" i="30" s="1"/>
  <c r="A4736" i="30" s="1"/>
  <c r="A4737" i="30" s="1"/>
  <c r="A4738" i="30" s="1"/>
  <c r="A4739" i="30" s="1"/>
  <c r="A4740" i="30" s="1"/>
  <c r="A4741" i="30" s="1"/>
  <c r="A4742" i="30" s="1"/>
  <c r="A4743" i="30" s="1"/>
  <c r="A4744" i="30" s="1"/>
  <c r="A4745" i="30" s="1"/>
  <c r="A4746" i="30" s="1"/>
  <c r="A4747" i="30" s="1"/>
  <c r="A4748" i="30" s="1"/>
  <c r="A4749" i="30" s="1"/>
  <c r="A4750" i="30" s="1"/>
  <c r="A4751" i="30" s="1"/>
  <c r="A4752" i="30" s="1"/>
  <c r="A4753" i="30" s="1"/>
  <c r="A4754" i="30" s="1"/>
  <c r="A4755" i="30" s="1"/>
  <c r="A4756" i="30" s="1"/>
  <c r="A4757" i="30" s="1"/>
  <c r="A4758" i="30" s="1"/>
  <c r="A4759" i="30" s="1"/>
  <c r="A4760" i="30" s="1"/>
  <c r="A4761" i="30" s="1"/>
  <c r="A4762" i="30" s="1"/>
  <c r="A4763" i="30" s="1"/>
  <c r="A4764" i="30" s="1"/>
  <c r="A4765" i="30" s="1"/>
  <c r="A4766" i="30" s="1"/>
  <c r="A4767" i="30" s="1"/>
  <c r="A4768" i="30" s="1"/>
  <c r="A4769" i="30" s="1"/>
  <c r="A4770" i="30" s="1"/>
  <c r="A4771" i="30" s="1"/>
  <c r="A4772" i="30" s="1"/>
  <c r="A4773" i="30" s="1"/>
  <c r="A4774" i="30" s="1"/>
  <c r="A4775" i="30" s="1"/>
  <c r="A4776" i="30" s="1"/>
  <c r="A4777" i="30" s="1"/>
  <c r="A4778" i="30" s="1"/>
  <c r="A4779" i="30" s="1"/>
  <c r="A4780" i="30" s="1"/>
  <c r="A4781" i="30" s="1"/>
  <c r="A4782" i="30" s="1"/>
  <c r="A4783" i="30" s="1"/>
  <c r="A4784" i="30" s="1"/>
  <c r="A4785" i="30" s="1"/>
  <c r="A4786" i="30" s="1"/>
  <c r="A4787" i="30" s="1"/>
  <c r="A4788" i="30" s="1"/>
  <c r="A4789" i="30" s="1"/>
  <c r="A4790" i="30" s="1"/>
  <c r="A4791" i="30" s="1"/>
  <c r="A4792" i="30" s="1"/>
  <c r="A4793" i="30" s="1"/>
  <c r="A4794" i="30" s="1"/>
  <c r="A4795" i="30" s="1"/>
  <c r="A4796" i="30" s="1"/>
  <c r="A4797" i="30" s="1"/>
  <c r="A4798" i="30" s="1"/>
  <c r="A4799" i="30" s="1"/>
  <c r="A4800" i="30" s="1"/>
  <c r="A4801" i="30" s="1"/>
  <c r="A4802" i="30" s="1"/>
  <c r="A4803" i="30" s="1"/>
  <c r="A4804" i="30" s="1"/>
  <c r="A4805" i="30" s="1"/>
  <c r="A4806" i="30" s="1"/>
  <c r="A4807" i="30" s="1"/>
  <c r="A4808" i="30" s="1"/>
  <c r="A4809" i="30" s="1"/>
  <c r="A4810" i="30" s="1"/>
  <c r="A4811" i="30" s="1"/>
  <c r="A4812" i="30" s="1"/>
  <c r="A4813" i="30" s="1"/>
  <c r="A4814" i="30" s="1"/>
  <c r="A4815" i="30" s="1"/>
  <c r="A4816" i="30" s="1"/>
  <c r="A4817" i="30" s="1"/>
  <c r="A4818" i="30" s="1"/>
  <c r="A4819" i="30" s="1"/>
  <c r="A4820" i="30" s="1"/>
  <c r="A4821" i="30" s="1"/>
  <c r="A4822" i="30" s="1"/>
  <c r="A4823" i="30" s="1"/>
  <c r="A4824" i="30" s="1"/>
  <c r="A4825" i="30" s="1"/>
  <c r="A4826" i="30" s="1"/>
  <c r="A4827" i="30" s="1"/>
  <c r="A4828" i="30" s="1"/>
  <c r="A4829" i="30" s="1"/>
  <c r="A4830" i="30" s="1"/>
  <c r="A4831" i="30" s="1"/>
  <c r="A4832" i="30" s="1"/>
  <c r="A4833" i="30" s="1"/>
  <c r="A4834" i="30" s="1"/>
  <c r="A4835" i="30" s="1"/>
  <c r="A4836" i="30" s="1"/>
  <c r="A4837" i="30" s="1"/>
  <c r="A4838" i="30" s="1"/>
  <c r="A4839" i="30" s="1"/>
  <c r="A4840" i="30" s="1"/>
  <c r="A4841" i="30" s="1"/>
  <c r="A4842" i="30" s="1"/>
  <c r="A4843" i="30" s="1"/>
  <c r="A4844" i="30" s="1"/>
  <c r="A4845" i="30" s="1"/>
  <c r="A4846" i="30" s="1"/>
  <c r="A4847" i="30" s="1"/>
  <c r="A4848" i="30" s="1"/>
  <c r="A4849" i="30" s="1"/>
  <c r="A4850" i="30" s="1"/>
  <c r="A4851" i="30" s="1"/>
  <c r="A4852" i="30" s="1"/>
  <c r="A4853" i="30" s="1"/>
  <c r="A4854" i="30" s="1"/>
  <c r="A4855" i="30" s="1"/>
  <c r="A4856" i="30" s="1"/>
  <c r="A4857" i="30" s="1"/>
  <c r="A4858" i="30" s="1"/>
  <c r="A4859" i="30" s="1"/>
  <c r="A4860" i="30" s="1"/>
  <c r="A4861" i="30" s="1"/>
  <c r="A4862" i="30" s="1"/>
  <c r="A4863" i="30" s="1"/>
  <c r="A4864" i="30" s="1"/>
  <c r="A4865" i="30" s="1"/>
  <c r="A4866" i="30" s="1"/>
  <c r="A4867" i="30" s="1"/>
  <c r="A4868" i="30" s="1"/>
  <c r="A4869" i="30" s="1"/>
  <c r="A4870" i="30" s="1"/>
  <c r="A4871" i="30" s="1"/>
  <c r="A4872" i="30" s="1"/>
  <c r="A4873" i="30" s="1"/>
  <c r="A4874" i="30" s="1"/>
  <c r="A4875" i="30" s="1"/>
  <c r="A4876" i="30" s="1"/>
  <c r="A4877" i="30" s="1"/>
  <c r="A4878" i="30" s="1"/>
  <c r="A4879" i="30" s="1"/>
  <c r="A4880" i="30" s="1"/>
  <c r="A4881" i="30" s="1"/>
  <c r="A4882" i="30" s="1"/>
  <c r="A4883" i="30" s="1"/>
  <c r="A4884" i="30" s="1"/>
  <c r="A4885" i="30" s="1"/>
  <c r="A4886" i="30" s="1"/>
  <c r="A4887" i="30" s="1"/>
  <c r="A4888" i="30" s="1"/>
  <c r="A4889" i="30" s="1"/>
  <c r="A4890" i="30" s="1"/>
  <c r="A4891" i="30" s="1"/>
  <c r="A4892" i="30" s="1"/>
  <c r="A4893" i="30" s="1"/>
  <c r="A4894" i="30" s="1"/>
  <c r="A4895" i="30" s="1"/>
  <c r="A4896" i="30" s="1"/>
  <c r="A4897" i="30" s="1"/>
  <c r="A4898" i="30" s="1"/>
  <c r="A4899" i="30" s="1"/>
  <c r="A4900" i="30" s="1"/>
  <c r="A4901" i="30" s="1"/>
  <c r="A4902" i="30" s="1"/>
  <c r="A4903" i="30" s="1"/>
  <c r="A4904" i="30" s="1"/>
  <c r="A4905" i="30" s="1"/>
  <c r="A4906" i="30" s="1"/>
  <c r="A4907" i="30" s="1"/>
  <c r="A4908" i="30" s="1"/>
  <c r="A4909" i="30" s="1"/>
  <c r="A4910" i="30" s="1"/>
  <c r="A4911" i="30" s="1"/>
  <c r="A4912" i="30" s="1"/>
  <c r="A4913" i="30" s="1"/>
  <c r="A4914" i="30" s="1"/>
  <c r="A4915" i="30" s="1"/>
  <c r="A4916" i="30" s="1"/>
  <c r="A4917" i="30" s="1"/>
  <c r="A4918" i="30" s="1"/>
  <c r="A4919" i="30" s="1"/>
  <c r="A4920" i="30" s="1"/>
  <c r="A4921" i="30" s="1"/>
  <c r="A4922" i="30" s="1"/>
  <c r="A4923" i="30" s="1"/>
  <c r="A4924" i="30" s="1"/>
  <c r="A4925" i="30" s="1"/>
  <c r="A4926" i="30" s="1"/>
  <c r="A4927" i="30" s="1"/>
  <c r="A4928" i="30" s="1"/>
  <c r="A4929" i="30" s="1"/>
  <c r="A4930" i="30" s="1"/>
  <c r="A4931" i="30" s="1"/>
  <c r="A4932" i="30" s="1"/>
  <c r="A4933" i="30" s="1"/>
  <c r="A4934" i="30" s="1"/>
  <c r="A4935" i="30" s="1"/>
  <c r="A4936" i="30" s="1"/>
  <c r="A4937" i="30" s="1"/>
  <c r="A4938" i="30" s="1"/>
  <c r="A4939" i="30" s="1"/>
  <c r="A4940" i="30" s="1"/>
  <c r="A4941" i="30" s="1"/>
  <c r="A4942" i="30" s="1"/>
  <c r="A4943" i="30" s="1"/>
  <c r="A4944" i="30" s="1"/>
  <c r="A4945" i="30" s="1"/>
  <c r="A4946" i="30" s="1"/>
  <c r="A4947" i="30" s="1"/>
  <c r="A4948" i="30" s="1"/>
  <c r="A4949" i="30" s="1"/>
  <c r="A4950" i="30" s="1"/>
  <c r="A4951" i="30" s="1"/>
  <c r="A4952" i="30" s="1"/>
  <c r="A4953" i="30" s="1"/>
  <c r="A4954" i="30" s="1"/>
  <c r="A4955" i="30" s="1"/>
  <c r="A4956" i="30" s="1"/>
  <c r="A4957" i="30" s="1"/>
  <c r="A4958" i="30" s="1"/>
  <c r="A4959" i="30" s="1"/>
  <c r="A4960" i="30" s="1"/>
  <c r="A4961" i="30" s="1"/>
  <c r="A4962" i="30" s="1"/>
  <c r="A4963" i="30" s="1"/>
  <c r="A4964" i="30" s="1"/>
  <c r="A4965" i="30" s="1"/>
  <c r="A4966" i="30" s="1"/>
  <c r="A4967" i="30" s="1"/>
  <c r="A4968" i="30" s="1"/>
  <c r="A4969" i="30" s="1"/>
  <c r="A4970" i="30" s="1"/>
  <c r="A4971" i="30" s="1"/>
  <c r="A4972" i="30" s="1"/>
  <c r="A4973" i="30" s="1"/>
  <c r="A4974" i="30" s="1"/>
  <c r="A4975" i="30" s="1"/>
  <c r="A4976" i="30" s="1"/>
  <c r="A4977" i="30" s="1"/>
  <c r="A4978" i="30" s="1"/>
  <c r="A4979" i="30" s="1"/>
  <c r="A4980" i="30" s="1"/>
  <c r="A4981" i="30" s="1"/>
  <c r="A4982" i="30" s="1"/>
  <c r="A4983" i="30" s="1"/>
  <c r="A4984" i="30" s="1"/>
  <c r="A4985" i="30" s="1"/>
  <c r="A4986" i="30" s="1"/>
  <c r="A4987" i="30" s="1"/>
  <c r="A4988" i="30" s="1"/>
  <c r="A4989" i="30" s="1"/>
  <c r="A4990" i="30" s="1"/>
  <c r="A4991" i="30" s="1"/>
  <c r="A4992" i="30" s="1"/>
  <c r="A4993" i="30" s="1"/>
  <c r="A4994" i="30" s="1"/>
  <c r="A4995" i="30" s="1"/>
  <c r="A4996" i="30" s="1"/>
  <c r="A4997" i="30" s="1"/>
  <c r="A4998" i="30" s="1"/>
  <c r="A4999" i="30" s="1"/>
  <c r="A5000" i="30" s="1"/>
  <c r="A5001" i="30" s="1"/>
  <c r="A5002" i="30" s="1"/>
  <c r="A5003" i="30" s="1"/>
  <c r="A5004" i="30" s="1"/>
  <c r="A5005" i="30" s="1"/>
  <c r="A5006" i="30" s="1"/>
  <c r="A5007" i="30" s="1"/>
  <c r="A5008" i="30" s="1"/>
  <c r="A5009" i="30" s="1"/>
  <c r="A5010" i="30" s="1"/>
  <c r="A5011" i="30" s="1"/>
  <c r="A5012" i="30" s="1"/>
  <c r="A5013" i="30" s="1"/>
  <c r="A5014" i="30" s="1"/>
  <c r="A5015" i="30" s="1"/>
  <c r="A5016" i="30" s="1"/>
  <c r="A5017" i="30" s="1"/>
  <c r="A5018" i="30" s="1"/>
  <c r="A5019" i="30" s="1"/>
  <c r="A5020" i="30" s="1"/>
  <c r="A5021" i="30" s="1"/>
  <c r="A5022" i="30" s="1"/>
  <c r="A5023" i="30" s="1"/>
  <c r="A5024" i="30" s="1"/>
  <c r="A5025" i="30" s="1"/>
  <c r="A5026" i="30" s="1"/>
  <c r="A5027" i="30" s="1"/>
  <c r="A5028" i="30" s="1"/>
  <c r="A5029" i="30" s="1"/>
  <c r="A5030" i="30" s="1"/>
  <c r="A5031" i="30" s="1"/>
  <c r="A5032" i="30" s="1"/>
  <c r="A5033" i="30" s="1"/>
  <c r="A5034" i="30" s="1"/>
  <c r="A5035" i="30" s="1"/>
  <c r="A5036" i="30" s="1"/>
  <c r="A5037" i="30" s="1"/>
  <c r="A5038" i="30" s="1"/>
  <c r="A5039" i="30" s="1"/>
  <c r="A5040" i="30" s="1"/>
  <c r="A5041" i="30" s="1"/>
  <c r="A5042" i="30" s="1"/>
  <c r="A5043" i="30" s="1"/>
  <c r="A5044" i="30" s="1"/>
  <c r="A5045" i="30" s="1"/>
  <c r="A5046" i="30" s="1"/>
  <c r="A5047" i="30" s="1"/>
  <c r="A5048" i="30" s="1"/>
  <c r="A5049" i="30" s="1"/>
  <c r="A5050" i="30" s="1"/>
  <c r="A5051" i="30" s="1"/>
  <c r="A5052" i="30" s="1"/>
  <c r="A5053" i="30" s="1"/>
  <c r="A5054" i="30" s="1"/>
  <c r="A5055" i="30" s="1"/>
  <c r="A5056" i="30" s="1"/>
  <c r="A5057" i="30" s="1"/>
  <c r="A5058" i="30" s="1"/>
  <c r="A5059" i="30" s="1"/>
  <c r="A5060" i="30" s="1"/>
  <c r="A5061" i="30" s="1"/>
  <c r="A5062" i="30" s="1"/>
  <c r="A5063" i="30" s="1"/>
  <c r="A5064" i="30" s="1"/>
  <c r="A5065" i="30" s="1"/>
  <c r="A5066" i="30" s="1"/>
  <c r="A5067" i="30" s="1"/>
  <c r="A5068" i="30" s="1"/>
  <c r="A5069" i="30" s="1"/>
  <c r="A5070" i="30" s="1"/>
  <c r="A5071" i="30" s="1"/>
  <c r="A5072" i="30" s="1"/>
  <c r="A5073" i="30" s="1"/>
  <c r="A5074" i="30" s="1"/>
  <c r="A5075" i="30" s="1"/>
  <c r="A5076" i="30" s="1"/>
  <c r="A5077" i="30" s="1"/>
  <c r="A5078" i="30" s="1"/>
  <c r="A5079" i="30" s="1"/>
  <c r="A5080" i="30" s="1"/>
  <c r="A5081" i="30" s="1"/>
  <c r="A5082" i="30" s="1"/>
  <c r="A5083" i="30" s="1"/>
  <c r="A5084" i="30" s="1"/>
  <c r="A5085" i="30" s="1"/>
  <c r="A5086" i="30" s="1"/>
  <c r="A5087" i="30" s="1"/>
  <c r="A5088" i="30" s="1"/>
  <c r="A5089" i="30" s="1"/>
  <c r="A5090" i="30" s="1"/>
  <c r="A5091" i="30" s="1"/>
  <c r="A5092" i="30" s="1"/>
  <c r="A5093" i="30" s="1"/>
  <c r="A5094" i="30" s="1"/>
  <c r="A5095" i="30" s="1"/>
  <c r="A5096" i="30" s="1"/>
  <c r="A5097" i="30" s="1"/>
  <c r="A5098" i="30" s="1"/>
  <c r="A5099" i="30" s="1"/>
  <c r="A5100" i="30" s="1"/>
  <c r="A5101" i="30" s="1"/>
  <c r="A5102" i="30" s="1"/>
  <c r="A5103" i="30" s="1"/>
  <c r="A5104" i="30" s="1"/>
  <c r="A5105" i="30" s="1"/>
  <c r="A5106" i="30" s="1"/>
  <c r="A5107" i="30" s="1"/>
  <c r="A5108" i="30" s="1"/>
  <c r="A5109" i="30" s="1"/>
  <c r="A5110" i="30" s="1"/>
  <c r="A5111" i="30" s="1"/>
  <c r="A5112" i="30" s="1"/>
  <c r="A5113" i="30" s="1"/>
  <c r="A5114" i="30" s="1"/>
  <c r="A5115" i="30" s="1"/>
  <c r="A5116" i="30" s="1"/>
  <c r="A5117" i="30" s="1"/>
  <c r="A5118" i="30" s="1"/>
  <c r="A5119" i="30" s="1"/>
  <c r="A5120" i="30" s="1"/>
  <c r="A5121" i="30" s="1"/>
  <c r="A5122" i="30" s="1"/>
  <c r="A5123" i="30" s="1"/>
  <c r="A5124" i="30" s="1"/>
  <c r="A5125" i="30" s="1"/>
  <c r="A5126" i="30" s="1"/>
  <c r="A5127" i="30" s="1"/>
  <c r="A5128" i="30" s="1"/>
  <c r="A5129" i="30" s="1"/>
  <c r="A5130" i="30" s="1"/>
  <c r="A5131" i="30" s="1"/>
  <c r="A5132" i="30" s="1"/>
  <c r="A5133" i="30" s="1"/>
  <c r="A5134" i="30" s="1"/>
  <c r="A5135" i="30" s="1"/>
  <c r="A5136" i="30" s="1"/>
  <c r="A5137" i="30" s="1"/>
  <c r="A5138" i="30" s="1"/>
  <c r="A5139" i="30" s="1"/>
  <c r="A5140" i="30" s="1"/>
  <c r="A5141" i="30" s="1"/>
  <c r="A5142" i="30" s="1"/>
  <c r="A5143" i="30" s="1"/>
  <c r="A5144" i="30" s="1"/>
  <c r="A5145" i="30" s="1"/>
  <c r="A5146" i="30" s="1"/>
  <c r="A5147" i="30" s="1"/>
  <c r="A5148" i="30" s="1"/>
  <c r="A5149" i="30" s="1"/>
  <c r="A5150" i="30" s="1"/>
  <c r="A5151" i="30" s="1"/>
  <c r="A5152" i="30" s="1"/>
  <c r="A5153" i="30" s="1"/>
  <c r="A5154" i="30" s="1"/>
  <c r="A5155" i="30" s="1"/>
  <c r="A5156" i="30" s="1"/>
  <c r="A5157" i="30" s="1"/>
  <c r="A5158" i="30" s="1"/>
  <c r="A5159" i="30" s="1"/>
  <c r="A5160" i="30" s="1"/>
  <c r="A5161" i="30" s="1"/>
  <c r="A5162" i="30" s="1"/>
  <c r="A5163" i="30" s="1"/>
  <c r="A5164" i="30" s="1"/>
  <c r="A5165" i="30" s="1"/>
  <c r="A5166" i="30" s="1"/>
  <c r="A5167" i="30" s="1"/>
  <c r="A5168" i="30" s="1"/>
  <c r="A5169" i="30" s="1"/>
  <c r="A5170" i="30" s="1"/>
  <c r="A5171" i="30" s="1"/>
  <c r="A5172" i="30" s="1"/>
  <c r="A5173" i="30" s="1"/>
  <c r="A5174" i="30" s="1"/>
  <c r="A5175" i="30" s="1"/>
  <c r="A5176" i="30" s="1"/>
  <c r="A5177" i="30" s="1"/>
  <c r="A5178" i="30" s="1"/>
  <c r="A5179" i="30" s="1"/>
  <c r="A5180" i="30" s="1"/>
  <c r="A5181" i="30" s="1"/>
  <c r="A5182" i="30" s="1"/>
  <c r="A5183" i="30" s="1"/>
  <c r="A5184" i="30" s="1"/>
  <c r="A5185" i="30" s="1"/>
  <c r="A5186" i="30" s="1"/>
  <c r="A5187" i="30" s="1"/>
  <c r="A5188" i="30" s="1"/>
  <c r="A5189" i="30" s="1"/>
  <c r="A5190" i="30" s="1"/>
  <c r="A5191" i="30" s="1"/>
  <c r="A5192" i="30" s="1"/>
  <c r="A5193" i="30" s="1"/>
  <c r="A5194" i="30" s="1"/>
  <c r="A5195" i="30" s="1"/>
  <c r="A5196" i="30" s="1"/>
  <c r="A5197" i="30" s="1"/>
  <c r="A5198" i="30" s="1"/>
  <c r="A5199" i="30" s="1"/>
  <c r="A5200" i="30" s="1"/>
  <c r="A5201" i="30" s="1"/>
  <c r="A5202" i="30" s="1"/>
  <c r="A5203" i="30" s="1"/>
  <c r="A5204" i="30" s="1"/>
  <c r="A5205" i="30" s="1"/>
  <c r="A5206" i="30" s="1"/>
  <c r="A5207" i="30" s="1"/>
  <c r="A5208" i="30" s="1"/>
  <c r="A5209" i="30" s="1"/>
  <c r="A5210" i="30" s="1"/>
  <c r="A5211" i="30" s="1"/>
  <c r="A5212" i="30" s="1"/>
  <c r="A5213" i="30" s="1"/>
  <c r="A5214" i="30" s="1"/>
  <c r="A5215" i="30" s="1"/>
  <c r="A5216" i="30" s="1"/>
  <c r="A5217" i="30" s="1"/>
  <c r="A5218" i="30" s="1"/>
  <c r="A5219" i="30" s="1"/>
  <c r="A5220" i="30" s="1"/>
  <c r="A5221" i="30" s="1"/>
  <c r="A5222" i="30" s="1"/>
  <c r="A5223" i="30" s="1"/>
  <c r="A5224" i="30" s="1"/>
  <c r="A5225" i="30" s="1"/>
  <c r="A5226" i="30" s="1"/>
  <c r="A5227" i="30" s="1"/>
  <c r="A5228" i="30" s="1"/>
  <c r="A5229" i="30" s="1"/>
  <c r="A5230" i="30" s="1"/>
  <c r="A5231" i="30" s="1"/>
  <c r="A5232" i="30" s="1"/>
  <c r="A5233" i="30" s="1"/>
  <c r="A5234" i="30" s="1"/>
  <c r="A5235" i="30" s="1"/>
  <c r="A5236" i="30" s="1"/>
  <c r="A5237" i="30" s="1"/>
  <c r="A5238" i="30" s="1"/>
  <c r="A5239" i="30" s="1"/>
  <c r="A5240" i="30" s="1"/>
  <c r="A5241" i="30" s="1"/>
  <c r="A5242" i="30" s="1"/>
  <c r="A5243" i="30" s="1"/>
  <c r="A5244" i="30" s="1"/>
  <c r="A5245" i="30" s="1"/>
  <c r="A5246" i="30" s="1"/>
  <c r="A5247" i="30" s="1"/>
  <c r="A5248" i="30" s="1"/>
  <c r="A5249" i="30" s="1"/>
  <c r="A5250" i="30" s="1"/>
  <c r="A5251" i="30" s="1"/>
  <c r="A5252" i="30" s="1"/>
  <c r="A5253" i="30" s="1"/>
  <c r="A5254" i="30" s="1"/>
  <c r="A5255" i="30" s="1"/>
  <c r="A5256" i="30" s="1"/>
  <c r="A5257" i="30" s="1"/>
  <c r="A5258" i="30" s="1"/>
  <c r="A5259" i="30" s="1"/>
  <c r="A5260" i="30" s="1"/>
  <c r="A5261" i="30" s="1"/>
  <c r="A5262" i="30" s="1"/>
  <c r="A5263" i="30" s="1"/>
  <c r="A5264" i="30" s="1"/>
  <c r="A5265" i="30" s="1"/>
  <c r="A5266" i="30" s="1"/>
  <c r="A5267" i="30" s="1"/>
  <c r="A5268" i="30" s="1"/>
  <c r="A5269" i="30" s="1"/>
  <c r="A5270" i="30" s="1"/>
  <c r="A5271" i="30" s="1"/>
  <c r="A5272" i="30" s="1"/>
  <c r="A5273" i="30" s="1"/>
  <c r="A5274" i="30" s="1"/>
  <c r="A5275" i="30" s="1"/>
  <c r="A5276" i="30" s="1"/>
  <c r="A5277" i="30" s="1"/>
  <c r="A5278" i="30" s="1"/>
  <c r="A5279" i="30" s="1"/>
  <c r="A5280" i="30" s="1"/>
  <c r="A5281" i="30" s="1"/>
  <c r="A5282" i="30" s="1"/>
  <c r="A5283" i="30" s="1"/>
  <c r="A5284" i="30" s="1"/>
  <c r="A5285" i="30" s="1"/>
  <c r="A5286" i="30" s="1"/>
  <c r="A5287" i="30" s="1"/>
  <c r="A5288" i="30" s="1"/>
  <c r="A5289" i="30" s="1"/>
  <c r="A5290" i="30" s="1"/>
  <c r="A5291" i="30" s="1"/>
  <c r="A5292" i="30" s="1"/>
  <c r="A5293" i="30" s="1"/>
  <c r="A5294" i="30" s="1"/>
  <c r="A5295" i="30" s="1"/>
  <c r="A5296" i="30" s="1"/>
  <c r="A5297" i="30" s="1"/>
  <c r="A5298" i="30" s="1"/>
  <c r="A5299" i="30" s="1"/>
  <c r="A5300" i="30" s="1"/>
  <c r="A5301" i="30" s="1"/>
  <c r="A5302" i="30" s="1"/>
  <c r="A5303" i="30" s="1"/>
  <c r="A5304" i="30" s="1"/>
  <c r="A5305" i="30" s="1"/>
  <c r="A5306" i="30" s="1"/>
  <c r="A5307" i="30" s="1"/>
  <c r="A5308" i="30" s="1"/>
  <c r="A5309" i="30" s="1"/>
  <c r="A5310" i="30" s="1"/>
  <c r="A5311" i="30" s="1"/>
  <c r="A5312" i="30" s="1"/>
  <c r="A5313" i="30" s="1"/>
  <c r="A5314" i="30" s="1"/>
  <c r="A5315" i="30" s="1"/>
  <c r="A5316" i="30" s="1"/>
  <c r="A5317" i="30" s="1"/>
  <c r="A5318" i="30" s="1"/>
  <c r="A5319" i="30" s="1"/>
  <c r="A5320" i="30" s="1"/>
  <c r="A5321" i="30" s="1"/>
  <c r="A5322" i="30" s="1"/>
  <c r="A5323" i="30" s="1"/>
  <c r="A5324" i="30" s="1"/>
  <c r="A5325" i="30" s="1"/>
  <c r="A5326" i="30" s="1"/>
  <c r="A5327" i="30" s="1"/>
  <c r="A5328" i="30" s="1"/>
  <c r="A5329" i="30" s="1"/>
  <c r="A5330" i="30" s="1"/>
  <c r="A5331" i="30" s="1"/>
  <c r="A5332" i="30" s="1"/>
  <c r="A5333" i="30" s="1"/>
  <c r="A5334" i="30" s="1"/>
  <c r="A5335" i="30" s="1"/>
  <c r="A5336" i="30" s="1"/>
  <c r="A5337" i="30" s="1"/>
  <c r="A5338" i="30" s="1"/>
  <c r="A5339" i="30" s="1"/>
  <c r="A5340" i="30" s="1"/>
  <c r="A5341" i="30" s="1"/>
  <c r="A5342" i="30" s="1"/>
  <c r="A5343" i="30" s="1"/>
  <c r="A5344" i="30" s="1"/>
  <c r="A5345" i="30" s="1"/>
  <c r="A5346" i="30" s="1"/>
  <c r="A5347" i="30" s="1"/>
  <c r="A5348" i="30" s="1"/>
  <c r="A5349" i="30" s="1"/>
  <c r="A5350" i="30" s="1"/>
  <c r="A5351" i="30" s="1"/>
  <c r="A5352" i="30" s="1"/>
  <c r="A5353" i="30" s="1"/>
  <c r="A5354" i="30" s="1"/>
  <c r="A5355" i="30" s="1"/>
  <c r="A5356" i="30" s="1"/>
  <c r="A5357" i="30" s="1"/>
  <c r="A5358" i="30" s="1"/>
  <c r="A5359" i="30" s="1"/>
  <c r="A5360" i="30" s="1"/>
  <c r="A5361" i="30" s="1"/>
  <c r="A5362" i="30" s="1"/>
  <c r="A5363" i="30" s="1"/>
  <c r="A5364" i="30" s="1"/>
  <c r="A5365" i="30" s="1"/>
  <c r="A5366" i="30" s="1"/>
  <c r="A5367" i="30" s="1"/>
  <c r="A5368" i="30" s="1"/>
  <c r="A5369" i="30" s="1"/>
  <c r="A5370" i="30" s="1"/>
  <c r="A5371" i="30" s="1"/>
  <c r="A5372" i="30" s="1"/>
  <c r="A5373" i="30" s="1"/>
  <c r="A5374" i="30" s="1"/>
  <c r="A5375" i="30" s="1"/>
  <c r="A5376" i="30" s="1"/>
  <c r="A5377" i="30" s="1"/>
  <c r="A5378" i="30" s="1"/>
  <c r="A5379" i="30" s="1"/>
  <c r="A5380" i="30" s="1"/>
  <c r="A5381" i="30" s="1"/>
  <c r="A5382" i="30" s="1"/>
  <c r="A5383" i="30" s="1"/>
  <c r="A5384" i="30" s="1"/>
  <c r="A5385" i="30" s="1"/>
  <c r="A5386" i="30" s="1"/>
  <c r="A5387" i="30" s="1"/>
  <c r="A5388" i="30" s="1"/>
  <c r="A5389" i="30" s="1"/>
  <c r="A5390" i="30" s="1"/>
  <c r="A5391" i="30" s="1"/>
  <c r="A5392" i="30" s="1"/>
  <c r="A5393" i="30" s="1"/>
  <c r="A5394" i="30" s="1"/>
  <c r="A5395" i="30" s="1"/>
  <c r="A5396" i="30" s="1"/>
  <c r="A5397" i="30" s="1"/>
  <c r="A5398" i="30" s="1"/>
  <c r="A5399" i="30" s="1"/>
  <c r="A5400" i="30" s="1"/>
  <c r="A5401" i="30" s="1"/>
  <c r="A5402" i="30" s="1"/>
  <c r="A5403" i="30" s="1"/>
  <c r="A5404" i="30" s="1"/>
  <c r="A5405" i="30" s="1"/>
  <c r="A5406" i="30" s="1"/>
  <c r="A5407" i="30" s="1"/>
  <c r="A5408" i="30" s="1"/>
  <c r="A5409" i="30" s="1"/>
  <c r="A5410" i="30" s="1"/>
  <c r="A5411" i="30" s="1"/>
  <c r="CD17" i="2" l="1"/>
  <c r="CD18" i="2"/>
  <c r="CD19" i="2"/>
  <c r="CD20" i="2"/>
  <c r="CD21" i="2"/>
  <c r="CD22" i="2"/>
  <c r="CD23" i="2"/>
  <c r="CD24" i="2"/>
  <c r="CD25" i="2"/>
  <c r="CD26" i="2"/>
  <c r="CD27" i="2"/>
  <c r="CD28" i="2"/>
  <c r="CD29" i="2"/>
  <c r="CD30" i="2"/>
  <c r="CD31" i="2"/>
  <c r="CD32" i="2"/>
  <c r="CD33" i="2"/>
  <c r="CD34" i="2"/>
  <c r="CD35" i="2"/>
  <c r="CD36" i="2"/>
  <c r="CD37" i="2"/>
  <c r="CD38" i="2"/>
  <c r="CD39" i="2"/>
  <c r="CD40" i="2"/>
  <c r="CD41" i="2"/>
  <c r="CD42" i="2"/>
  <c r="CD43" i="2"/>
  <c r="CD44" i="2"/>
  <c r="CD45" i="2"/>
  <c r="CD46" i="2"/>
  <c r="CD47" i="2"/>
  <c r="CD48" i="2"/>
  <c r="CD49" i="2"/>
  <c r="CD50" i="2"/>
  <c r="CD51" i="2"/>
  <c r="CD52" i="2"/>
  <c r="CD53" i="2"/>
  <c r="CD54" i="2"/>
  <c r="CD55" i="2"/>
  <c r="CD56" i="2"/>
  <c r="CD57" i="2"/>
  <c r="CD58" i="2"/>
  <c r="CD59" i="2"/>
  <c r="CD60" i="2"/>
  <c r="CD61" i="2"/>
  <c r="CD62" i="2"/>
  <c r="CD63" i="2"/>
  <c r="CD64" i="2"/>
  <c r="CD65" i="2"/>
  <c r="CD66" i="2"/>
  <c r="CD67" i="2"/>
  <c r="CD68" i="2"/>
  <c r="CD69" i="2"/>
  <c r="CD70" i="2"/>
  <c r="CD71" i="2"/>
  <c r="CD72" i="2"/>
  <c r="CD73" i="2"/>
  <c r="CD74" i="2"/>
  <c r="CD75" i="2"/>
  <c r="CD76" i="2"/>
  <c r="CD77" i="2"/>
  <c r="CD78" i="2"/>
  <c r="CD79" i="2"/>
  <c r="CD80" i="2"/>
  <c r="CD81" i="2"/>
  <c r="CD82" i="2"/>
  <c r="CD83" i="2"/>
  <c r="CD84" i="2"/>
  <c r="CD85" i="2"/>
  <c r="CD86" i="2"/>
  <c r="CD87" i="2"/>
  <c r="CD88" i="2"/>
  <c r="CD89" i="2"/>
  <c r="CD90" i="2"/>
  <c r="CD91" i="2"/>
  <c r="CD92" i="2"/>
  <c r="CD93" i="2"/>
  <c r="CD94" i="2"/>
  <c r="CD95" i="2"/>
  <c r="CD96" i="2"/>
  <c r="CD97" i="2"/>
  <c r="CD98" i="2"/>
  <c r="CD99" i="2"/>
  <c r="CD100" i="2"/>
  <c r="CD101" i="2"/>
  <c r="CD102" i="2"/>
  <c r="CD103" i="2"/>
  <c r="CD104" i="2"/>
  <c r="CD105" i="2"/>
  <c r="CD106" i="2"/>
  <c r="CD107" i="2"/>
  <c r="J759" i="32" l="1"/>
  <c r="Y5" i="30" l="1"/>
  <c r="Y6" i="30"/>
  <c r="Y7" i="30"/>
  <c r="Y8" i="30"/>
  <c r="Y9" i="30"/>
  <c r="Y10" i="30"/>
  <c r="Y11" i="30"/>
  <c r="Y12" i="30"/>
  <c r="Y13" i="30"/>
  <c r="Y14" i="30"/>
  <c r="Y15" i="30"/>
  <c r="Y16" i="30"/>
  <c r="Y17" i="30"/>
  <c r="Y18" i="30"/>
  <c r="Y19" i="30"/>
  <c r="Y20" i="30"/>
  <c r="Y21" i="30"/>
  <c r="Y22" i="30"/>
  <c r="Y23" i="30"/>
  <c r="Y24" i="30"/>
  <c r="Y25" i="30"/>
  <c r="Y26" i="30"/>
  <c r="Y27" i="30"/>
  <c r="Y28" i="30"/>
  <c r="Y29" i="30"/>
  <c r="Y30" i="30"/>
  <c r="Y31" i="30"/>
  <c r="Y32" i="30"/>
  <c r="Y33" i="30"/>
  <c r="Y34" i="30"/>
  <c r="Y35" i="30"/>
  <c r="Y4" i="30"/>
  <c r="Y3" i="30"/>
  <c r="Y2" i="30"/>
  <c r="F874" i="30" l="1"/>
  <c r="F873" i="30"/>
  <c r="F872" i="30"/>
  <c r="F871" i="30"/>
  <c r="F870" i="30"/>
  <c r="F869" i="30"/>
  <c r="F868" i="30"/>
  <c r="F867" i="30"/>
  <c r="F866" i="30"/>
  <c r="F865" i="30"/>
  <c r="F864" i="30"/>
  <c r="F863" i="30"/>
  <c r="F862" i="30"/>
  <c r="F861" i="30"/>
  <c r="F860" i="30"/>
  <c r="F859" i="30"/>
  <c r="F858" i="30"/>
  <c r="F857" i="30"/>
  <c r="F856" i="30"/>
  <c r="F855" i="30"/>
  <c r="F854" i="30"/>
  <c r="F853" i="30"/>
  <c r="F852" i="30"/>
  <c r="F851" i="30"/>
  <c r="F850" i="30"/>
  <c r="F849" i="30"/>
  <c r="F848" i="30"/>
  <c r="F847" i="30"/>
  <c r="F846" i="30"/>
  <c r="F845" i="30"/>
  <c r="F844" i="30"/>
  <c r="F843" i="30"/>
  <c r="F842" i="30"/>
  <c r="F841" i="30"/>
  <c r="F840" i="30"/>
  <c r="F839" i="30"/>
  <c r="F838" i="30"/>
  <c r="F837" i="30"/>
  <c r="F836" i="30"/>
  <c r="F835" i="30"/>
  <c r="F834" i="30"/>
  <c r="F833" i="30"/>
  <c r="F832" i="30"/>
  <c r="F831" i="30"/>
  <c r="F830" i="30"/>
  <c r="F829" i="30"/>
  <c r="F828" i="30"/>
  <c r="F827" i="30"/>
  <c r="F826" i="30"/>
  <c r="F825" i="30"/>
  <c r="F824" i="30"/>
  <c r="F823" i="30"/>
  <c r="F822" i="30"/>
  <c r="F821" i="30"/>
  <c r="F820" i="30"/>
  <c r="F819" i="30"/>
  <c r="F818" i="30"/>
  <c r="F817" i="30"/>
  <c r="F816" i="30"/>
  <c r="F815" i="30"/>
  <c r="F814" i="30"/>
  <c r="F813" i="30"/>
  <c r="F812" i="30"/>
  <c r="F811" i="30"/>
  <c r="F810" i="30"/>
  <c r="F809" i="30"/>
  <c r="F808" i="30"/>
  <c r="F807" i="30"/>
  <c r="F806" i="30"/>
  <c r="F805" i="30"/>
  <c r="F804" i="30"/>
  <c r="F803" i="30"/>
  <c r="F802" i="30"/>
  <c r="F801" i="30"/>
  <c r="F800" i="30"/>
  <c r="F799" i="30"/>
  <c r="F798" i="30"/>
  <c r="F797" i="30"/>
  <c r="F796" i="30"/>
  <c r="F795" i="30"/>
  <c r="F794" i="30"/>
  <c r="F793" i="30"/>
  <c r="F792" i="30"/>
  <c r="F791" i="30"/>
  <c r="F790" i="30"/>
  <c r="F789" i="30"/>
  <c r="F788" i="30"/>
  <c r="F787" i="30"/>
  <c r="F786" i="30"/>
  <c r="F785" i="30"/>
  <c r="F784" i="30"/>
  <c r="F783" i="30"/>
  <c r="F782" i="30"/>
  <c r="F781" i="30"/>
  <c r="F780" i="30"/>
  <c r="F779" i="30"/>
  <c r="F778" i="30"/>
  <c r="F777" i="30"/>
  <c r="F776" i="30"/>
  <c r="F775" i="30"/>
  <c r="F774" i="30"/>
  <c r="F773" i="30"/>
  <c r="F772" i="30"/>
  <c r="F771" i="30"/>
  <c r="F770" i="30"/>
  <c r="F769" i="30"/>
  <c r="F768" i="30"/>
  <c r="F767" i="30"/>
  <c r="F766" i="30"/>
  <c r="F765" i="30"/>
  <c r="F764" i="30"/>
  <c r="F763" i="30"/>
  <c r="F762" i="30"/>
  <c r="F761" i="30"/>
  <c r="F760" i="30"/>
  <c r="F759" i="30"/>
  <c r="F758" i="30"/>
  <c r="F757" i="30"/>
  <c r="F756" i="30"/>
  <c r="F755" i="30"/>
  <c r="F754" i="30"/>
  <c r="F753" i="30"/>
  <c r="F752" i="30"/>
  <c r="F751" i="30"/>
  <c r="F750" i="30"/>
  <c r="F749" i="30"/>
  <c r="F748" i="30"/>
  <c r="F747" i="30"/>
  <c r="F746" i="30"/>
  <c r="F745" i="30"/>
  <c r="F744" i="30"/>
  <c r="F743" i="30"/>
  <c r="F742" i="30"/>
  <c r="F741" i="30"/>
  <c r="F740" i="30"/>
  <c r="F739" i="30"/>
  <c r="F738" i="30"/>
  <c r="F737" i="30"/>
  <c r="F736" i="30"/>
  <c r="F735" i="30"/>
  <c r="F734" i="30"/>
  <c r="F733" i="30"/>
  <c r="F732" i="30"/>
  <c r="F731" i="30"/>
  <c r="F730" i="30"/>
  <c r="F729" i="30"/>
  <c r="F728" i="30"/>
  <c r="F727" i="30"/>
  <c r="F726" i="30"/>
  <c r="F725" i="30"/>
  <c r="F724" i="30"/>
  <c r="F723" i="30"/>
  <c r="F722" i="30"/>
  <c r="F721" i="30"/>
  <c r="F720" i="30"/>
  <c r="F719" i="30"/>
  <c r="F718" i="30"/>
  <c r="F717" i="30"/>
  <c r="F716" i="30"/>
  <c r="F715" i="30"/>
  <c r="F714" i="30"/>
  <c r="F713" i="30"/>
  <c r="F712" i="30"/>
  <c r="F711" i="30"/>
  <c r="F710" i="30"/>
  <c r="F709" i="30"/>
  <c r="F708" i="30"/>
  <c r="F707" i="30"/>
  <c r="F706" i="30"/>
  <c r="F705" i="30"/>
  <c r="F704" i="30"/>
  <c r="F703" i="30"/>
  <c r="F702" i="30"/>
  <c r="F701" i="30"/>
  <c r="F700" i="30"/>
  <c r="F699" i="30"/>
  <c r="F698" i="30"/>
  <c r="F697" i="30"/>
  <c r="F696" i="30"/>
  <c r="F695" i="30"/>
  <c r="F694" i="30"/>
  <c r="F693" i="30"/>
  <c r="F692" i="30"/>
  <c r="F691" i="30"/>
  <c r="F690" i="30"/>
  <c r="F689" i="30"/>
  <c r="F688" i="30"/>
  <c r="F687" i="30"/>
  <c r="F686" i="30"/>
  <c r="F685" i="30"/>
  <c r="F684" i="30"/>
  <c r="F683" i="30"/>
  <c r="F682" i="30"/>
  <c r="F681" i="30"/>
  <c r="F680" i="30"/>
  <c r="F679" i="30"/>
  <c r="F678" i="30"/>
  <c r="F677" i="30"/>
  <c r="F676" i="30"/>
  <c r="F675" i="30"/>
  <c r="F674" i="30"/>
  <c r="F673" i="30"/>
  <c r="F672" i="30"/>
  <c r="F671" i="30"/>
  <c r="F670" i="30"/>
  <c r="F669" i="30"/>
  <c r="F668" i="30"/>
  <c r="F667" i="30"/>
  <c r="F666" i="30"/>
  <c r="F665" i="30"/>
  <c r="F664" i="30"/>
  <c r="F663" i="30"/>
  <c r="F662" i="30"/>
  <c r="F661" i="30"/>
  <c r="F660" i="30"/>
  <c r="F659" i="30"/>
  <c r="F658" i="30"/>
  <c r="F657" i="30"/>
  <c r="F656" i="30"/>
  <c r="F655" i="30"/>
  <c r="F654" i="30"/>
  <c r="F653" i="30"/>
  <c r="F652" i="30"/>
  <c r="F651" i="30"/>
  <c r="F650" i="30"/>
  <c r="F649" i="30"/>
  <c r="F648" i="30"/>
  <c r="F647" i="30"/>
  <c r="F646" i="30"/>
  <c r="F645" i="30"/>
  <c r="F644" i="30"/>
  <c r="F643" i="30"/>
  <c r="F642" i="30"/>
  <c r="F641" i="30"/>
  <c r="F640" i="30"/>
  <c r="F639" i="30"/>
  <c r="F638" i="30"/>
  <c r="F637" i="30"/>
  <c r="F636" i="30"/>
  <c r="F635" i="30"/>
  <c r="F634" i="30"/>
  <c r="F633" i="30"/>
  <c r="F632" i="30"/>
  <c r="F631" i="30"/>
  <c r="F630" i="30"/>
  <c r="F629" i="30"/>
  <c r="F628" i="30"/>
  <c r="F627" i="30"/>
  <c r="F626" i="30"/>
  <c r="F625" i="30"/>
  <c r="F624" i="30"/>
  <c r="F623" i="30"/>
  <c r="F622" i="30"/>
  <c r="F621" i="30"/>
  <c r="F620" i="30"/>
  <c r="F619" i="30"/>
  <c r="F618" i="30"/>
  <c r="F617" i="30"/>
  <c r="F616" i="30"/>
  <c r="F615" i="30"/>
  <c r="F614" i="30"/>
  <c r="F613" i="30"/>
  <c r="F612" i="30"/>
  <c r="F611" i="30"/>
  <c r="F610" i="30"/>
  <c r="F609" i="30"/>
  <c r="F608" i="30"/>
  <c r="F607" i="30"/>
  <c r="F606" i="30"/>
  <c r="F605" i="30"/>
  <c r="F604" i="30"/>
  <c r="F603" i="30"/>
  <c r="F602" i="30"/>
  <c r="F601" i="30"/>
  <c r="F600" i="30"/>
  <c r="F599" i="30"/>
  <c r="F598" i="30"/>
  <c r="F597" i="30"/>
  <c r="F596" i="30"/>
  <c r="F595" i="30"/>
  <c r="F594" i="30"/>
  <c r="F593" i="30"/>
  <c r="F592" i="30"/>
  <c r="F591" i="30"/>
  <c r="F590" i="30"/>
  <c r="F589" i="30"/>
  <c r="F588" i="30"/>
  <c r="F587" i="30"/>
  <c r="F586" i="30"/>
  <c r="F585" i="30"/>
  <c r="F584" i="30"/>
  <c r="F583" i="30"/>
  <c r="F582" i="30"/>
  <c r="F581" i="30"/>
  <c r="F580" i="30"/>
  <c r="F579" i="30"/>
  <c r="F578" i="30"/>
  <c r="F577" i="30"/>
  <c r="F576" i="30"/>
  <c r="F575" i="30"/>
  <c r="F574" i="30"/>
  <c r="F573" i="30"/>
  <c r="F572" i="30"/>
  <c r="F571" i="30"/>
  <c r="F570" i="30"/>
  <c r="F569" i="30"/>
  <c r="F568" i="30"/>
  <c r="F567" i="30"/>
  <c r="F566" i="30"/>
  <c r="F565" i="30"/>
  <c r="F564" i="30"/>
  <c r="F563" i="30"/>
  <c r="F562" i="30"/>
  <c r="F561" i="30"/>
  <c r="F560" i="30"/>
  <c r="F559" i="30"/>
  <c r="F558" i="30"/>
  <c r="F557" i="30"/>
  <c r="F556" i="30"/>
  <c r="F555" i="30"/>
  <c r="F554" i="30"/>
  <c r="F553" i="30"/>
  <c r="F552" i="30"/>
  <c r="F551" i="30"/>
  <c r="F550" i="30"/>
  <c r="F549" i="30"/>
  <c r="F548" i="30"/>
  <c r="F547" i="30"/>
  <c r="F546" i="30"/>
  <c r="F545" i="30"/>
  <c r="F544" i="30"/>
  <c r="F543" i="30"/>
  <c r="F542" i="30"/>
  <c r="F541" i="30"/>
  <c r="F540" i="30"/>
  <c r="F539" i="30"/>
  <c r="F538" i="30"/>
  <c r="F537" i="30"/>
  <c r="F536" i="30"/>
  <c r="F535" i="30"/>
  <c r="F534" i="30"/>
  <c r="F533" i="30"/>
  <c r="F532" i="30"/>
  <c r="F531" i="30"/>
  <c r="F530" i="30"/>
  <c r="F529" i="30"/>
  <c r="F528" i="30"/>
  <c r="F527" i="30"/>
  <c r="F526" i="30"/>
  <c r="F525" i="30"/>
  <c r="F524" i="30"/>
  <c r="F523" i="30"/>
  <c r="F522" i="30"/>
  <c r="F521" i="30"/>
  <c r="F520" i="30"/>
  <c r="F519" i="30"/>
  <c r="F518" i="30"/>
  <c r="F517" i="30"/>
  <c r="F516" i="30"/>
  <c r="F515" i="30"/>
  <c r="F514" i="30"/>
  <c r="F513" i="30"/>
  <c r="F512" i="30"/>
  <c r="F511" i="30"/>
  <c r="F510" i="30"/>
  <c r="F509" i="30"/>
  <c r="F508" i="30"/>
  <c r="F507" i="30"/>
  <c r="F506" i="30"/>
  <c r="F505" i="30"/>
  <c r="F504" i="30"/>
  <c r="F503" i="30"/>
  <c r="F502" i="30"/>
  <c r="F501" i="30"/>
  <c r="F500" i="30"/>
  <c r="F499" i="30"/>
  <c r="F498" i="30"/>
  <c r="F497" i="30"/>
  <c r="F496" i="30"/>
  <c r="F495" i="30"/>
  <c r="F494" i="30"/>
  <c r="F493" i="30"/>
  <c r="F492" i="30"/>
  <c r="F491" i="30"/>
  <c r="F490" i="30"/>
  <c r="F489" i="30"/>
  <c r="F488" i="30"/>
  <c r="F487" i="30"/>
  <c r="F486" i="30"/>
  <c r="F485" i="30"/>
  <c r="F484" i="30"/>
  <c r="F483" i="30"/>
  <c r="F482" i="30"/>
  <c r="F481" i="30"/>
  <c r="F480" i="30"/>
  <c r="F479" i="30"/>
  <c r="F478" i="30"/>
  <c r="F477" i="30"/>
  <c r="F476" i="30"/>
  <c r="F475" i="30"/>
  <c r="F474" i="30"/>
  <c r="F473" i="30"/>
  <c r="F472" i="30"/>
  <c r="F471" i="30"/>
  <c r="F470" i="30"/>
  <c r="F469" i="30"/>
  <c r="F468" i="30"/>
  <c r="F467" i="30"/>
  <c r="F466" i="30"/>
  <c r="F465" i="30"/>
  <c r="F464" i="30"/>
  <c r="F463" i="30"/>
  <c r="F462" i="30"/>
  <c r="F461" i="30"/>
  <c r="F460" i="30"/>
  <c r="F459" i="30"/>
  <c r="F458" i="30"/>
  <c r="F457" i="30"/>
  <c r="F456" i="30"/>
  <c r="F455" i="30"/>
  <c r="F454" i="30"/>
  <c r="F453" i="30"/>
  <c r="F452" i="30"/>
  <c r="F451" i="30"/>
  <c r="F450" i="30"/>
  <c r="F449" i="30"/>
  <c r="F448" i="30"/>
  <c r="F447" i="30"/>
  <c r="F446" i="30"/>
  <c r="F445" i="30"/>
  <c r="F444" i="30"/>
  <c r="F443" i="30"/>
  <c r="F442" i="30"/>
  <c r="F441" i="30"/>
  <c r="F440" i="30"/>
  <c r="F439" i="30"/>
  <c r="F438" i="30"/>
  <c r="F437" i="30"/>
  <c r="F436" i="30"/>
  <c r="F435" i="30"/>
  <c r="F434" i="30"/>
  <c r="F433" i="30"/>
  <c r="F432" i="30"/>
  <c r="F431" i="30"/>
  <c r="F430" i="30"/>
  <c r="F429" i="30"/>
  <c r="F428" i="30"/>
  <c r="F427" i="30"/>
  <c r="F426" i="30"/>
  <c r="F425" i="30"/>
  <c r="F424" i="30"/>
  <c r="F423" i="30"/>
  <c r="F422" i="30"/>
  <c r="F421" i="30"/>
  <c r="F420" i="30"/>
  <c r="F419" i="30"/>
  <c r="F418" i="30"/>
  <c r="F417" i="30"/>
  <c r="F416" i="30"/>
  <c r="F415" i="30"/>
  <c r="F414" i="30"/>
  <c r="F413" i="30"/>
  <c r="F412" i="30"/>
  <c r="F411" i="30"/>
  <c r="F410" i="30"/>
  <c r="F409" i="30"/>
  <c r="F408" i="30"/>
  <c r="F407" i="30"/>
  <c r="F406" i="30"/>
  <c r="F405" i="30"/>
  <c r="F404" i="30"/>
  <c r="F403" i="30"/>
  <c r="F402" i="30"/>
  <c r="F401" i="30"/>
  <c r="F400" i="30"/>
  <c r="F399" i="30"/>
  <c r="F398" i="30"/>
  <c r="F397" i="30"/>
  <c r="F396" i="30"/>
  <c r="F395" i="30"/>
  <c r="F394" i="30"/>
  <c r="F393" i="30"/>
  <c r="F392" i="30"/>
  <c r="F391" i="30"/>
  <c r="F390" i="30"/>
  <c r="F389" i="30"/>
  <c r="F388" i="30"/>
  <c r="F387" i="30"/>
  <c r="F386" i="30"/>
  <c r="F385" i="30"/>
  <c r="F384" i="30"/>
  <c r="F383" i="30"/>
  <c r="F382" i="30"/>
  <c r="F381" i="30"/>
  <c r="F380" i="30"/>
  <c r="F379" i="30"/>
  <c r="F378" i="30"/>
  <c r="F377" i="30"/>
  <c r="F376" i="30"/>
  <c r="F375" i="30"/>
  <c r="F374" i="30"/>
  <c r="F373" i="30"/>
  <c r="F372" i="30"/>
  <c r="F371" i="30"/>
  <c r="F370" i="30"/>
  <c r="F369" i="30"/>
  <c r="F368" i="30"/>
  <c r="F367" i="30"/>
  <c r="F366" i="30"/>
  <c r="F365" i="30"/>
  <c r="F364" i="30"/>
  <c r="F363" i="30"/>
  <c r="F362" i="30"/>
  <c r="F361" i="30"/>
  <c r="F360" i="30"/>
  <c r="F359" i="30"/>
  <c r="F358" i="30"/>
  <c r="F357" i="30"/>
  <c r="F356" i="30"/>
  <c r="F355" i="30"/>
  <c r="F354" i="30"/>
  <c r="F353" i="30"/>
  <c r="F352" i="30"/>
  <c r="F351" i="30"/>
  <c r="F350" i="30"/>
  <c r="F349" i="30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F290" i="30"/>
  <c r="F289" i="30"/>
  <c r="F288" i="30"/>
  <c r="F287" i="30"/>
  <c r="F286" i="30"/>
  <c r="F285" i="30"/>
  <c r="F284" i="30"/>
  <c r="F283" i="30"/>
  <c r="F282" i="30"/>
  <c r="F281" i="30"/>
  <c r="F280" i="30"/>
  <c r="F279" i="30"/>
  <c r="F278" i="30"/>
  <c r="F277" i="30"/>
  <c r="F276" i="30"/>
  <c r="F275" i="30"/>
  <c r="F274" i="30"/>
  <c r="F273" i="30"/>
  <c r="F272" i="30"/>
  <c r="F271" i="30"/>
  <c r="F270" i="30"/>
  <c r="F269" i="30"/>
  <c r="F268" i="30"/>
  <c r="F267" i="30"/>
  <c r="F266" i="30"/>
  <c r="F265" i="30"/>
  <c r="F264" i="30"/>
  <c r="F263" i="30"/>
  <c r="F262" i="30"/>
  <c r="F261" i="30"/>
  <c r="F260" i="30"/>
  <c r="F259" i="30"/>
  <c r="F258" i="30"/>
  <c r="F257" i="30"/>
  <c r="F256" i="30"/>
  <c r="F255" i="30"/>
  <c r="F254" i="30"/>
  <c r="F253" i="30"/>
  <c r="F252" i="30"/>
  <c r="F251" i="30"/>
  <c r="F250" i="30"/>
  <c r="F249" i="30"/>
  <c r="F248" i="30"/>
  <c r="F247" i="30"/>
  <c r="F246" i="30"/>
  <c r="F245" i="30"/>
  <c r="F244" i="30"/>
  <c r="F243" i="30"/>
  <c r="F242" i="30"/>
  <c r="F241" i="30"/>
  <c r="F240" i="30"/>
  <c r="F239" i="30"/>
  <c r="F238" i="30"/>
  <c r="F237" i="30"/>
  <c r="F236" i="30"/>
  <c r="F235" i="30"/>
  <c r="F234" i="30"/>
  <c r="F233" i="30"/>
  <c r="F232" i="30"/>
  <c r="F231" i="30"/>
  <c r="F230" i="30"/>
  <c r="F229" i="30"/>
  <c r="F228" i="30"/>
  <c r="F227" i="30"/>
  <c r="F226" i="30"/>
  <c r="F225" i="30"/>
  <c r="F224" i="30"/>
  <c r="F223" i="30"/>
  <c r="F222" i="30"/>
  <c r="F221" i="30"/>
  <c r="F220" i="30"/>
  <c r="F219" i="30"/>
  <c r="F218" i="30"/>
  <c r="F217" i="30"/>
  <c r="F216" i="30"/>
  <c r="F215" i="30"/>
  <c r="F214" i="30"/>
  <c r="F213" i="30"/>
  <c r="F212" i="30"/>
  <c r="F211" i="30"/>
  <c r="F210" i="30"/>
  <c r="F209" i="30"/>
  <c r="F208" i="30"/>
  <c r="F207" i="30"/>
  <c r="F206" i="30"/>
  <c r="F205" i="30"/>
  <c r="F204" i="30"/>
  <c r="F203" i="30"/>
  <c r="F202" i="30"/>
  <c r="F201" i="30"/>
  <c r="F200" i="30"/>
  <c r="F199" i="30"/>
  <c r="F198" i="30"/>
  <c r="F197" i="30"/>
  <c r="F196" i="30"/>
  <c r="F195" i="30"/>
  <c r="F194" i="30"/>
  <c r="F193" i="30"/>
  <c r="F192" i="30"/>
  <c r="F191" i="30"/>
  <c r="F190" i="30"/>
  <c r="F189" i="30"/>
  <c r="F188" i="30"/>
  <c r="F187" i="30"/>
  <c r="F186" i="30"/>
  <c r="F185" i="30"/>
  <c r="F184" i="30"/>
  <c r="F183" i="30"/>
  <c r="F182" i="30"/>
  <c r="F181" i="30"/>
  <c r="F180" i="30"/>
  <c r="F179" i="30"/>
  <c r="F178" i="30"/>
  <c r="F177" i="30"/>
  <c r="F176" i="30"/>
  <c r="F175" i="30"/>
  <c r="F174" i="30"/>
  <c r="F173" i="30"/>
  <c r="F172" i="30"/>
  <c r="F171" i="30"/>
  <c r="F170" i="30"/>
  <c r="F169" i="30"/>
  <c r="F168" i="30"/>
  <c r="F167" i="30"/>
  <c r="F166" i="30"/>
  <c r="F165" i="30"/>
  <c r="F164" i="30"/>
  <c r="F163" i="30"/>
  <c r="F162" i="30"/>
  <c r="F161" i="30"/>
  <c r="F160" i="30"/>
  <c r="F159" i="30"/>
  <c r="F158" i="30"/>
  <c r="F157" i="30"/>
  <c r="F156" i="30"/>
  <c r="F155" i="30"/>
  <c r="F154" i="30"/>
  <c r="F153" i="30"/>
  <c r="F152" i="30"/>
  <c r="F151" i="30"/>
  <c r="F150" i="30"/>
  <c r="F149" i="30"/>
  <c r="F148" i="30"/>
  <c r="F147" i="30"/>
  <c r="F146" i="30"/>
  <c r="F145" i="30"/>
  <c r="F144" i="30"/>
  <c r="F143" i="30"/>
  <c r="F142" i="30"/>
  <c r="F141" i="30"/>
  <c r="F140" i="30"/>
  <c r="F139" i="30"/>
  <c r="F138" i="30"/>
  <c r="F137" i="30"/>
  <c r="F136" i="30"/>
  <c r="F135" i="30"/>
  <c r="F134" i="30"/>
  <c r="F133" i="30"/>
  <c r="F132" i="30"/>
  <c r="F131" i="30"/>
  <c r="F130" i="30"/>
  <c r="F129" i="30"/>
  <c r="F128" i="30"/>
  <c r="F127" i="30"/>
  <c r="F126" i="30"/>
  <c r="F125" i="30"/>
  <c r="F124" i="30"/>
  <c r="F123" i="30"/>
  <c r="F122" i="30"/>
  <c r="F121" i="30"/>
  <c r="F120" i="30"/>
  <c r="F119" i="30"/>
  <c r="F118" i="30"/>
  <c r="F117" i="30"/>
  <c r="F116" i="30"/>
  <c r="F115" i="30"/>
  <c r="F114" i="30"/>
  <c r="F113" i="30"/>
  <c r="F112" i="30"/>
  <c r="F111" i="30"/>
  <c r="F110" i="30"/>
  <c r="F109" i="30"/>
  <c r="F108" i="30"/>
  <c r="F107" i="30"/>
  <c r="F106" i="30"/>
  <c r="F105" i="30"/>
  <c r="F104" i="30"/>
  <c r="F103" i="30"/>
  <c r="F102" i="30"/>
  <c r="F101" i="30"/>
  <c r="F100" i="30"/>
  <c r="F99" i="30"/>
  <c r="F98" i="30"/>
  <c r="F97" i="30"/>
  <c r="F96" i="30"/>
  <c r="F95" i="30"/>
  <c r="F94" i="30"/>
  <c r="F93" i="30"/>
  <c r="F92" i="30"/>
  <c r="F91" i="30"/>
  <c r="F90" i="30"/>
  <c r="F89" i="30"/>
  <c r="F88" i="30"/>
  <c r="F87" i="30"/>
  <c r="F86" i="30"/>
  <c r="F85" i="30"/>
  <c r="F84" i="30"/>
  <c r="F83" i="30"/>
  <c r="F82" i="30"/>
  <c r="F81" i="30"/>
  <c r="F80" i="30"/>
  <c r="F79" i="30"/>
  <c r="F78" i="30"/>
  <c r="F77" i="30"/>
  <c r="F76" i="30"/>
  <c r="F75" i="30"/>
  <c r="F74" i="30"/>
  <c r="F73" i="30"/>
  <c r="F72" i="30"/>
  <c r="F71" i="30"/>
  <c r="F70" i="30"/>
  <c r="F69" i="30"/>
  <c r="F68" i="30"/>
  <c r="F67" i="30"/>
  <c r="F66" i="30"/>
  <c r="F65" i="30"/>
  <c r="F64" i="30"/>
  <c r="F63" i="30"/>
  <c r="F62" i="30"/>
  <c r="F61" i="30"/>
  <c r="F60" i="30"/>
  <c r="F59" i="30"/>
  <c r="F58" i="30"/>
  <c r="F57" i="30"/>
  <c r="F56" i="30"/>
  <c r="F55" i="30"/>
  <c r="F54" i="30"/>
  <c r="F53" i="30"/>
  <c r="F52" i="30"/>
  <c r="F51" i="30"/>
  <c r="F50" i="30"/>
  <c r="F49" i="30"/>
  <c r="F48" i="30"/>
  <c r="F47" i="30"/>
  <c r="F46" i="30"/>
  <c r="F45" i="30"/>
  <c r="F44" i="30"/>
  <c r="F43" i="30"/>
  <c r="F42" i="30"/>
  <c r="F41" i="30"/>
  <c r="F40" i="30"/>
  <c r="F39" i="30"/>
  <c r="F38" i="30"/>
  <c r="F37" i="30"/>
  <c r="F36" i="30"/>
  <c r="F35" i="30"/>
  <c r="F34" i="30"/>
  <c r="F33" i="30"/>
  <c r="F32" i="30"/>
  <c r="F31" i="30"/>
  <c r="F30" i="30"/>
  <c r="F29" i="30"/>
  <c r="F28" i="30"/>
  <c r="F27" i="30"/>
  <c r="F26" i="30"/>
  <c r="F25" i="30"/>
  <c r="F24" i="30"/>
  <c r="F23" i="30"/>
  <c r="F22" i="30"/>
  <c r="F21" i="30"/>
  <c r="F20" i="30"/>
  <c r="F19" i="30"/>
  <c r="F18" i="30"/>
  <c r="F17" i="30"/>
  <c r="F16" i="30"/>
  <c r="F15" i="30"/>
  <c r="F14" i="30"/>
  <c r="F13" i="30"/>
  <c r="F12" i="30"/>
  <c r="F11" i="30"/>
  <c r="F10" i="30"/>
  <c r="F9" i="30"/>
  <c r="F8" i="30"/>
  <c r="F7" i="30"/>
  <c r="F6" i="30"/>
  <c r="F5" i="30"/>
  <c r="F4" i="30"/>
  <c r="F3" i="30"/>
  <c r="F2" i="30"/>
  <c r="B4" i="30" l="1"/>
  <c r="B5" i="30"/>
  <c r="B6" i="30"/>
  <c r="B7" i="30"/>
  <c r="B8" i="30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202" i="30"/>
  <c r="B203" i="30"/>
  <c r="B204" i="30"/>
  <c r="B205" i="30"/>
  <c r="B206" i="30"/>
  <c r="B207" i="30"/>
  <c r="B208" i="30"/>
  <c r="B209" i="30"/>
  <c r="B210" i="30"/>
  <c r="B211" i="30"/>
  <c r="B212" i="30"/>
  <c r="B213" i="30"/>
  <c r="B214" i="30"/>
  <c r="B215" i="30"/>
  <c r="B216" i="30"/>
  <c r="B217" i="30"/>
  <c r="B218" i="30"/>
  <c r="B219" i="30"/>
  <c r="B220" i="30"/>
  <c r="B221" i="30"/>
  <c r="B222" i="30"/>
  <c r="B223" i="30"/>
  <c r="B224" i="30"/>
  <c r="B225" i="30"/>
  <c r="B226" i="30"/>
  <c r="B227" i="30"/>
  <c r="B228" i="30"/>
  <c r="B229" i="30"/>
  <c r="B230" i="30"/>
  <c r="B231" i="30"/>
  <c r="B232" i="30"/>
  <c r="B233" i="30"/>
  <c r="B234" i="30"/>
  <c r="B235" i="30"/>
  <c r="B236" i="30"/>
  <c r="B237" i="30"/>
  <c r="B238" i="30"/>
  <c r="B239" i="30"/>
  <c r="B240" i="30"/>
  <c r="B241" i="30"/>
  <c r="B242" i="30"/>
  <c r="B243" i="30"/>
  <c r="B244" i="30"/>
  <c r="B245" i="30"/>
  <c r="B246" i="30"/>
  <c r="B247" i="30"/>
  <c r="B248" i="30"/>
  <c r="B249" i="30"/>
  <c r="B250" i="30"/>
  <c r="B251" i="30"/>
  <c r="B252" i="30"/>
  <c r="B253" i="30"/>
  <c r="B254" i="30"/>
  <c r="B255" i="30"/>
  <c r="B256" i="30"/>
  <c r="B257" i="30"/>
  <c r="B258" i="30"/>
  <c r="B259" i="30"/>
  <c r="B260" i="30"/>
  <c r="B261" i="30"/>
  <c r="B262" i="30"/>
  <c r="B263" i="30"/>
  <c r="B264" i="30"/>
  <c r="B265" i="30"/>
  <c r="B266" i="30"/>
  <c r="B267" i="30"/>
  <c r="B268" i="30"/>
  <c r="B269" i="30"/>
  <c r="B270" i="30"/>
  <c r="B271" i="30"/>
  <c r="B272" i="30"/>
  <c r="B273" i="30"/>
  <c r="B274" i="30"/>
  <c r="B275" i="30"/>
  <c r="B276" i="30"/>
  <c r="B277" i="30"/>
  <c r="B278" i="30"/>
  <c r="B279" i="30"/>
  <c r="B280" i="30"/>
  <c r="B281" i="30"/>
  <c r="B282" i="30"/>
  <c r="B283" i="30"/>
  <c r="B284" i="30"/>
  <c r="B285" i="30"/>
  <c r="B286" i="30"/>
  <c r="B287" i="30"/>
  <c r="B288" i="30"/>
  <c r="B289" i="30"/>
  <c r="B290" i="30"/>
  <c r="B291" i="30"/>
  <c r="B292" i="30"/>
  <c r="B293" i="30"/>
  <c r="B294" i="30"/>
  <c r="B295" i="30"/>
  <c r="B296" i="30"/>
  <c r="B297" i="30"/>
  <c r="B298" i="30"/>
  <c r="B299" i="30"/>
  <c r="B300" i="30"/>
  <c r="B301" i="30"/>
  <c r="B302" i="30"/>
  <c r="B303" i="30"/>
  <c r="B304" i="30"/>
  <c r="B305" i="30"/>
  <c r="B306" i="30"/>
  <c r="B307" i="30"/>
  <c r="B308" i="30"/>
  <c r="B309" i="30"/>
  <c r="B310" i="30"/>
  <c r="B311" i="30"/>
  <c r="B312" i="30"/>
  <c r="B313" i="30"/>
  <c r="B314" i="30"/>
  <c r="B315" i="30"/>
  <c r="B316" i="30"/>
  <c r="B317" i="30"/>
  <c r="B318" i="30"/>
  <c r="B319" i="30"/>
  <c r="B320" i="30"/>
  <c r="B321" i="30"/>
  <c r="B322" i="30"/>
  <c r="B323" i="30"/>
  <c r="B324" i="30"/>
  <c r="B325" i="30"/>
  <c r="B326" i="30"/>
  <c r="B327" i="30"/>
  <c r="B328" i="30"/>
  <c r="B329" i="30"/>
  <c r="B330" i="30"/>
  <c r="B331" i="30"/>
  <c r="B332" i="30"/>
  <c r="B333" i="30"/>
  <c r="B334" i="30"/>
  <c r="B335" i="30"/>
  <c r="B336" i="30"/>
  <c r="B337" i="30"/>
  <c r="B338" i="30"/>
  <c r="B339" i="30"/>
  <c r="B340" i="30"/>
  <c r="B341" i="30"/>
  <c r="B342" i="30"/>
  <c r="B343" i="30"/>
  <c r="B344" i="30"/>
  <c r="B345" i="30"/>
  <c r="B346" i="30"/>
  <c r="B347" i="30"/>
  <c r="B348" i="30"/>
  <c r="B349" i="30"/>
  <c r="B350" i="30"/>
  <c r="B351" i="30"/>
  <c r="B352" i="30"/>
  <c r="B353" i="30"/>
  <c r="B354" i="30"/>
  <c r="B355" i="30"/>
  <c r="B356" i="30"/>
  <c r="B357" i="30"/>
  <c r="B358" i="30"/>
  <c r="B359" i="30"/>
  <c r="B360" i="30"/>
  <c r="B361" i="30"/>
  <c r="B362" i="30"/>
  <c r="B363" i="30"/>
  <c r="B364" i="30"/>
  <c r="B365" i="30"/>
  <c r="B366" i="30"/>
  <c r="B367" i="30"/>
  <c r="B368" i="30"/>
  <c r="B369" i="30"/>
  <c r="B370" i="30"/>
  <c r="B371" i="30"/>
  <c r="B372" i="30"/>
  <c r="B373" i="30"/>
  <c r="B374" i="30"/>
  <c r="B375" i="30"/>
  <c r="B376" i="30"/>
  <c r="B377" i="30"/>
  <c r="B378" i="30"/>
  <c r="B379" i="30"/>
  <c r="B380" i="30"/>
  <c r="B381" i="30"/>
  <c r="B382" i="30"/>
  <c r="B383" i="30"/>
  <c r="B384" i="30"/>
  <c r="B385" i="30"/>
  <c r="B386" i="30"/>
  <c r="B387" i="30"/>
  <c r="B388" i="30"/>
  <c r="B389" i="30"/>
  <c r="B390" i="30"/>
  <c r="B391" i="30"/>
  <c r="B392" i="30"/>
  <c r="B393" i="30"/>
  <c r="B394" i="30"/>
  <c r="B395" i="30"/>
  <c r="B396" i="30"/>
  <c r="B397" i="30"/>
  <c r="B398" i="30"/>
  <c r="B399" i="30"/>
  <c r="B400" i="30"/>
  <c r="B401" i="30"/>
  <c r="B402" i="30"/>
  <c r="B403" i="30"/>
  <c r="B404" i="30"/>
  <c r="B405" i="30"/>
  <c r="B406" i="30"/>
  <c r="B407" i="30"/>
  <c r="B408" i="30"/>
  <c r="B409" i="30"/>
  <c r="B410" i="30"/>
  <c r="B411" i="30"/>
  <c r="B412" i="30"/>
  <c r="B413" i="30"/>
  <c r="B414" i="30"/>
  <c r="B415" i="30"/>
  <c r="B416" i="30"/>
  <c r="B417" i="30"/>
  <c r="B418" i="30"/>
  <c r="B419" i="30"/>
  <c r="B420" i="30"/>
  <c r="B421" i="30"/>
  <c r="B422" i="30"/>
  <c r="B423" i="30"/>
  <c r="B424" i="30"/>
  <c r="B425" i="30"/>
  <c r="B426" i="30"/>
  <c r="B427" i="30"/>
  <c r="B428" i="30"/>
  <c r="B429" i="30"/>
  <c r="B430" i="30"/>
  <c r="B431" i="30"/>
  <c r="B432" i="30"/>
  <c r="B433" i="30"/>
  <c r="B434" i="30"/>
  <c r="B435" i="30"/>
  <c r="B436" i="30"/>
  <c r="B437" i="30"/>
  <c r="B438" i="30"/>
  <c r="B439" i="30"/>
  <c r="B440" i="30"/>
  <c r="B441" i="30"/>
  <c r="B442" i="30"/>
  <c r="B443" i="30"/>
  <c r="B444" i="30"/>
  <c r="B445" i="30"/>
  <c r="B446" i="30"/>
  <c r="B447" i="30"/>
  <c r="B448" i="30"/>
  <c r="B449" i="30"/>
  <c r="B450" i="30"/>
  <c r="B451" i="30"/>
  <c r="B452" i="30"/>
  <c r="B453" i="30"/>
  <c r="B454" i="30"/>
  <c r="B455" i="30"/>
  <c r="B456" i="30"/>
  <c r="B457" i="30"/>
  <c r="B458" i="30"/>
  <c r="B459" i="30"/>
  <c r="B460" i="30"/>
  <c r="B461" i="30"/>
  <c r="B462" i="30"/>
  <c r="B463" i="30"/>
  <c r="B464" i="30"/>
  <c r="B465" i="30"/>
  <c r="B466" i="30"/>
  <c r="B467" i="30"/>
  <c r="B468" i="30"/>
  <c r="B469" i="30"/>
  <c r="B470" i="30"/>
  <c r="B471" i="30"/>
  <c r="B472" i="30"/>
  <c r="B473" i="30"/>
  <c r="B474" i="30"/>
  <c r="B475" i="30"/>
  <c r="B476" i="30"/>
  <c r="B477" i="30"/>
  <c r="B478" i="30"/>
  <c r="B479" i="30"/>
  <c r="B480" i="30"/>
  <c r="B481" i="30"/>
  <c r="B482" i="30"/>
  <c r="B483" i="30"/>
  <c r="B484" i="30"/>
  <c r="B485" i="30"/>
  <c r="B486" i="30"/>
  <c r="B487" i="30"/>
  <c r="B488" i="30"/>
  <c r="B489" i="30"/>
  <c r="B490" i="30"/>
  <c r="B491" i="30"/>
  <c r="B492" i="30"/>
  <c r="B493" i="30"/>
  <c r="B494" i="30"/>
  <c r="B495" i="30"/>
  <c r="B496" i="30"/>
  <c r="B497" i="30"/>
  <c r="B498" i="30"/>
  <c r="B499" i="30"/>
  <c r="B500" i="30"/>
  <c r="B501" i="30"/>
  <c r="B502" i="30"/>
  <c r="B503" i="30"/>
  <c r="B504" i="30"/>
  <c r="B505" i="30"/>
  <c r="B506" i="30"/>
  <c r="B507" i="30"/>
  <c r="B508" i="30"/>
  <c r="B509" i="30"/>
  <c r="B510" i="30"/>
  <c r="B511" i="30"/>
  <c r="B512" i="30"/>
  <c r="B513" i="30"/>
  <c r="B514" i="30"/>
  <c r="B515" i="30"/>
  <c r="B516" i="30"/>
  <c r="B517" i="30"/>
  <c r="B518" i="30"/>
  <c r="B519" i="30"/>
  <c r="B520" i="30"/>
  <c r="B521" i="30"/>
  <c r="B522" i="30"/>
  <c r="B523" i="30"/>
  <c r="B524" i="30"/>
  <c r="B525" i="30"/>
  <c r="B526" i="30"/>
  <c r="B527" i="30"/>
  <c r="B528" i="30"/>
  <c r="B529" i="30"/>
  <c r="B530" i="30"/>
  <c r="B531" i="30"/>
  <c r="B532" i="30"/>
  <c r="B533" i="30"/>
  <c r="B534" i="30"/>
  <c r="B535" i="30"/>
  <c r="B536" i="30"/>
  <c r="B537" i="30"/>
  <c r="B538" i="30"/>
  <c r="B539" i="30"/>
  <c r="B540" i="30"/>
  <c r="B541" i="30"/>
  <c r="B542" i="30"/>
  <c r="B543" i="30"/>
  <c r="B544" i="30"/>
  <c r="B545" i="30"/>
  <c r="B546" i="30"/>
  <c r="B547" i="30"/>
  <c r="B548" i="30"/>
  <c r="B549" i="30"/>
  <c r="B550" i="30"/>
  <c r="B551" i="30"/>
  <c r="B552" i="30"/>
  <c r="B553" i="30"/>
  <c r="B554" i="30"/>
  <c r="B555" i="30"/>
  <c r="B556" i="30"/>
  <c r="B557" i="30"/>
  <c r="B558" i="30"/>
  <c r="B559" i="30"/>
  <c r="B560" i="30"/>
  <c r="B561" i="30"/>
  <c r="B562" i="30"/>
  <c r="B563" i="30"/>
  <c r="B564" i="30"/>
  <c r="B565" i="30"/>
  <c r="B566" i="30"/>
  <c r="B567" i="30"/>
  <c r="B568" i="30"/>
  <c r="B569" i="30"/>
  <c r="B570" i="30"/>
  <c r="B571" i="30"/>
  <c r="B572" i="30"/>
  <c r="B573" i="30"/>
  <c r="B574" i="30"/>
  <c r="B575" i="30"/>
  <c r="B576" i="30"/>
  <c r="B577" i="30"/>
  <c r="B578" i="30"/>
  <c r="B579" i="30"/>
  <c r="B580" i="30"/>
  <c r="B581" i="30"/>
  <c r="B582" i="30"/>
  <c r="B583" i="30"/>
  <c r="B584" i="30"/>
  <c r="B585" i="30"/>
  <c r="B586" i="30"/>
  <c r="B587" i="30"/>
  <c r="B588" i="30"/>
  <c r="B589" i="30"/>
  <c r="B590" i="30"/>
  <c r="B591" i="30"/>
  <c r="B592" i="30"/>
  <c r="B593" i="30"/>
  <c r="B594" i="30"/>
  <c r="B595" i="30"/>
  <c r="B596" i="30"/>
  <c r="B597" i="30"/>
  <c r="B598" i="30"/>
  <c r="B599" i="30"/>
  <c r="B600" i="30"/>
  <c r="B601" i="30"/>
  <c r="B602" i="30"/>
  <c r="B603" i="30"/>
  <c r="B604" i="30"/>
  <c r="B605" i="30"/>
  <c r="B606" i="30"/>
  <c r="B607" i="30"/>
  <c r="B608" i="30"/>
  <c r="B609" i="30"/>
  <c r="B610" i="30"/>
  <c r="B611" i="30"/>
  <c r="B612" i="30"/>
  <c r="B613" i="30"/>
  <c r="B614" i="30"/>
  <c r="B615" i="30"/>
  <c r="B616" i="30"/>
  <c r="B617" i="30"/>
  <c r="B618" i="30"/>
  <c r="B619" i="30"/>
  <c r="B620" i="30"/>
  <c r="B621" i="30"/>
  <c r="B622" i="30"/>
  <c r="B623" i="30"/>
  <c r="B624" i="30"/>
  <c r="B625" i="30"/>
  <c r="B626" i="30"/>
  <c r="B627" i="30"/>
  <c r="B628" i="30"/>
  <c r="B629" i="30"/>
  <c r="B630" i="30"/>
  <c r="B631" i="30"/>
  <c r="B632" i="30"/>
  <c r="B633" i="30"/>
  <c r="B634" i="30"/>
  <c r="B635" i="30"/>
  <c r="B636" i="30"/>
  <c r="B637" i="30"/>
  <c r="B638" i="30"/>
  <c r="B639" i="30"/>
  <c r="B640" i="30"/>
  <c r="B641" i="30"/>
  <c r="B642" i="30"/>
  <c r="B643" i="30"/>
  <c r="B644" i="30"/>
  <c r="B645" i="30"/>
  <c r="B646" i="30"/>
  <c r="B647" i="30"/>
  <c r="B648" i="30"/>
  <c r="B649" i="30"/>
  <c r="B650" i="30"/>
  <c r="B651" i="30"/>
  <c r="B652" i="30"/>
  <c r="B653" i="30"/>
  <c r="B654" i="30"/>
  <c r="B655" i="30"/>
  <c r="B656" i="30"/>
  <c r="B657" i="30"/>
  <c r="B658" i="30"/>
  <c r="B659" i="30"/>
  <c r="B660" i="30"/>
  <c r="B661" i="30"/>
  <c r="B662" i="30"/>
  <c r="B663" i="30"/>
  <c r="B664" i="30"/>
  <c r="B665" i="30"/>
  <c r="B666" i="30"/>
  <c r="B667" i="30"/>
  <c r="B668" i="30"/>
  <c r="B669" i="30"/>
  <c r="B670" i="30"/>
  <c r="B671" i="30"/>
  <c r="B672" i="30"/>
  <c r="B673" i="30"/>
  <c r="B674" i="30"/>
  <c r="B675" i="30"/>
  <c r="B676" i="30"/>
  <c r="B677" i="30"/>
  <c r="B678" i="30"/>
  <c r="B679" i="30"/>
  <c r="B680" i="30"/>
  <c r="B681" i="30"/>
  <c r="B682" i="30"/>
  <c r="B683" i="30"/>
  <c r="B684" i="30"/>
  <c r="B685" i="30"/>
  <c r="B686" i="30"/>
  <c r="B687" i="30"/>
  <c r="B688" i="30"/>
  <c r="B689" i="30"/>
  <c r="B690" i="30"/>
  <c r="B691" i="30"/>
  <c r="B692" i="30"/>
  <c r="B693" i="30"/>
  <c r="B694" i="30"/>
  <c r="B695" i="30"/>
  <c r="B696" i="30"/>
  <c r="B697" i="30"/>
  <c r="B698" i="30"/>
  <c r="B699" i="30"/>
  <c r="B700" i="30"/>
  <c r="B701" i="30"/>
  <c r="B702" i="30"/>
  <c r="B703" i="30"/>
  <c r="B704" i="30"/>
  <c r="B705" i="30"/>
  <c r="B706" i="30"/>
  <c r="B707" i="30"/>
  <c r="B708" i="30"/>
  <c r="B709" i="30"/>
  <c r="B710" i="30"/>
  <c r="B711" i="30"/>
  <c r="B712" i="30"/>
  <c r="B713" i="30"/>
  <c r="B714" i="30"/>
  <c r="B715" i="30"/>
  <c r="B716" i="30"/>
  <c r="B717" i="30"/>
  <c r="B718" i="30"/>
  <c r="B719" i="30"/>
  <c r="B720" i="30"/>
  <c r="B721" i="30"/>
  <c r="B722" i="30"/>
  <c r="B723" i="30"/>
  <c r="B724" i="30"/>
  <c r="B725" i="30"/>
  <c r="B726" i="30"/>
  <c r="B727" i="30"/>
  <c r="B728" i="30"/>
  <c r="B729" i="30"/>
  <c r="B730" i="30"/>
  <c r="B731" i="30"/>
  <c r="B732" i="30"/>
  <c r="B733" i="30"/>
  <c r="B734" i="30"/>
  <c r="B735" i="30"/>
  <c r="B736" i="30"/>
  <c r="B737" i="30"/>
  <c r="B738" i="30"/>
  <c r="B739" i="30"/>
  <c r="B740" i="30"/>
  <c r="B741" i="30"/>
  <c r="B742" i="30"/>
  <c r="B743" i="30"/>
  <c r="B744" i="30"/>
  <c r="B745" i="30"/>
  <c r="B746" i="30"/>
  <c r="B747" i="30"/>
  <c r="B748" i="30"/>
  <c r="B749" i="30"/>
  <c r="B750" i="30"/>
  <c r="B751" i="30"/>
  <c r="B752" i="30"/>
  <c r="B753" i="30"/>
  <c r="B754" i="30"/>
  <c r="B755" i="30"/>
  <c r="B756" i="30"/>
  <c r="B757" i="30"/>
  <c r="B758" i="30"/>
  <c r="B759" i="30"/>
  <c r="B760" i="30"/>
  <c r="B761" i="30"/>
  <c r="B762" i="30"/>
  <c r="B763" i="30"/>
  <c r="B764" i="30"/>
  <c r="B765" i="30"/>
  <c r="B766" i="30"/>
  <c r="B767" i="30"/>
  <c r="B768" i="30"/>
  <c r="B769" i="30"/>
  <c r="B770" i="30"/>
  <c r="B771" i="30"/>
  <c r="B772" i="30"/>
  <c r="B773" i="30"/>
  <c r="B774" i="30"/>
  <c r="B775" i="30"/>
  <c r="B776" i="30"/>
  <c r="B777" i="30"/>
  <c r="B778" i="30"/>
  <c r="B779" i="30"/>
  <c r="B780" i="30"/>
  <c r="B781" i="30"/>
  <c r="B782" i="30"/>
  <c r="B783" i="30"/>
  <c r="B784" i="30"/>
  <c r="B785" i="30"/>
  <c r="B786" i="30"/>
  <c r="B787" i="30"/>
  <c r="B788" i="30"/>
  <c r="B789" i="30"/>
  <c r="B790" i="30"/>
  <c r="B791" i="30"/>
  <c r="B792" i="30"/>
  <c r="B793" i="30"/>
  <c r="B794" i="30"/>
  <c r="B795" i="30"/>
  <c r="B796" i="30"/>
  <c r="B797" i="30"/>
  <c r="B798" i="30"/>
  <c r="B799" i="30"/>
  <c r="B800" i="30"/>
  <c r="B801" i="30"/>
  <c r="B802" i="30"/>
  <c r="B803" i="30"/>
  <c r="B804" i="30"/>
  <c r="B805" i="30"/>
  <c r="B806" i="30"/>
  <c r="B807" i="30"/>
  <c r="B808" i="30"/>
  <c r="B809" i="30"/>
  <c r="B810" i="30"/>
  <c r="B811" i="30"/>
  <c r="B812" i="30"/>
  <c r="B813" i="30"/>
  <c r="B814" i="30"/>
  <c r="B815" i="30"/>
  <c r="B816" i="30"/>
  <c r="B817" i="30"/>
  <c r="B818" i="30"/>
  <c r="B819" i="30"/>
  <c r="B820" i="30"/>
  <c r="B821" i="30"/>
  <c r="B822" i="30"/>
  <c r="B823" i="30"/>
  <c r="B824" i="30"/>
  <c r="B825" i="30"/>
  <c r="B826" i="30"/>
  <c r="B827" i="30"/>
  <c r="B828" i="30"/>
  <c r="B829" i="30"/>
  <c r="B830" i="30"/>
  <c r="B831" i="30"/>
  <c r="B832" i="30"/>
  <c r="B833" i="30"/>
  <c r="B834" i="30"/>
  <c r="B835" i="30"/>
  <c r="B836" i="30"/>
  <c r="B837" i="30"/>
  <c r="B838" i="30"/>
  <c r="B839" i="30"/>
  <c r="B840" i="30"/>
  <c r="B841" i="30"/>
  <c r="B842" i="30"/>
  <c r="B843" i="30"/>
  <c r="B844" i="30"/>
  <c r="B845" i="30"/>
  <c r="B846" i="30"/>
  <c r="B847" i="30"/>
  <c r="B848" i="30"/>
  <c r="B849" i="30"/>
  <c r="B850" i="30"/>
  <c r="B851" i="30"/>
  <c r="B852" i="30"/>
  <c r="B853" i="30"/>
  <c r="B854" i="30"/>
  <c r="B855" i="30"/>
  <c r="B856" i="30"/>
  <c r="B857" i="30"/>
  <c r="B858" i="30"/>
  <c r="B859" i="30"/>
  <c r="B860" i="30"/>
  <c r="B861" i="30"/>
  <c r="B862" i="30"/>
  <c r="B863" i="30"/>
  <c r="B864" i="30"/>
  <c r="B865" i="30"/>
  <c r="B866" i="30"/>
  <c r="B867" i="30"/>
  <c r="B868" i="30"/>
  <c r="B869" i="30"/>
  <c r="B870" i="30"/>
  <c r="B871" i="30"/>
  <c r="B872" i="30"/>
  <c r="B873" i="30"/>
  <c r="B874" i="30"/>
  <c r="B875" i="30"/>
  <c r="B876" i="30"/>
  <c r="B877" i="30"/>
  <c r="B878" i="30"/>
  <c r="B879" i="30"/>
  <c r="B880" i="30"/>
  <c r="B881" i="30"/>
  <c r="B882" i="30"/>
  <c r="B883" i="30"/>
  <c r="B884" i="30"/>
  <c r="B885" i="30"/>
  <c r="B886" i="30"/>
  <c r="B887" i="30"/>
  <c r="B888" i="30"/>
  <c r="B889" i="30"/>
  <c r="B890" i="30"/>
  <c r="B891" i="30"/>
  <c r="B892" i="30"/>
  <c r="B893" i="30"/>
  <c r="B894" i="30"/>
  <c r="B895" i="30"/>
  <c r="B896" i="30"/>
  <c r="B897" i="30"/>
  <c r="B898" i="30"/>
  <c r="B899" i="30"/>
  <c r="B900" i="30"/>
  <c r="B901" i="30"/>
  <c r="B902" i="30"/>
  <c r="B903" i="30"/>
  <c r="B904" i="30"/>
  <c r="B905" i="30"/>
  <c r="B906" i="30"/>
  <c r="B907" i="30"/>
  <c r="B908" i="30"/>
  <c r="B909" i="30"/>
  <c r="B910" i="30"/>
  <c r="B911" i="30"/>
  <c r="B912" i="30"/>
  <c r="B913" i="30"/>
  <c r="B914" i="30"/>
  <c r="B915" i="30"/>
  <c r="B916" i="30"/>
  <c r="B917" i="30"/>
  <c r="B918" i="30"/>
  <c r="B919" i="30"/>
  <c r="B920" i="30"/>
  <c r="B921" i="30"/>
  <c r="B922" i="30"/>
  <c r="B923" i="30"/>
  <c r="B924" i="30"/>
  <c r="B925" i="30"/>
  <c r="B926" i="30"/>
  <c r="B927" i="30"/>
  <c r="B928" i="30"/>
  <c r="B929" i="30"/>
  <c r="B930" i="30"/>
  <c r="B931" i="30"/>
  <c r="B932" i="30"/>
  <c r="B933" i="30"/>
  <c r="B934" i="30"/>
  <c r="B935" i="30"/>
  <c r="B936" i="30"/>
  <c r="B937" i="30"/>
  <c r="B938" i="30"/>
  <c r="B939" i="30"/>
  <c r="B940" i="30"/>
  <c r="B941" i="30"/>
  <c r="B942" i="30"/>
  <c r="B943" i="30"/>
  <c r="B944" i="30"/>
  <c r="B945" i="30"/>
  <c r="B946" i="30"/>
  <c r="B947" i="30"/>
  <c r="B948" i="30"/>
  <c r="B949" i="30"/>
  <c r="B950" i="30"/>
  <c r="B951" i="30"/>
  <c r="B952" i="30"/>
  <c r="B953" i="30"/>
  <c r="B954" i="30"/>
  <c r="B955" i="30"/>
  <c r="B956" i="30"/>
  <c r="B957" i="30"/>
  <c r="B958" i="30"/>
  <c r="B959" i="30"/>
  <c r="B960" i="30"/>
  <c r="B961" i="30"/>
  <c r="B962" i="30"/>
  <c r="B963" i="30"/>
  <c r="B964" i="30"/>
  <c r="B965" i="30"/>
  <c r="B966" i="30"/>
  <c r="B967" i="30"/>
  <c r="B968" i="30"/>
  <c r="B969" i="30"/>
  <c r="B970" i="30"/>
  <c r="B971" i="30"/>
  <c r="B972" i="30"/>
  <c r="B973" i="30"/>
  <c r="B974" i="30"/>
  <c r="B975" i="30"/>
  <c r="B976" i="30"/>
  <c r="B977" i="30"/>
  <c r="B978" i="30"/>
  <c r="B979" i="30"/>
  <c r="B980" i="30"/>
  <c r="B981" i="30"/>
  <c r="B982" i="30"/>
  <c r="B983" i="30"/>
  <c r="B984" i="30"/>
  <c r="B985" i="30"/>
  <c r="B986" i="30"/>
  <c r="B987" i="30"/>
  <c r="B988" i="30"/>
  <c r="B989" i="30"/>
  <c r="B990" i="30"/>
  <c r="B991" i="30"/>
  <c r="B992" i="30"/>
  <c r="B993" i="30"/>
  <c r="B994" i="30"/>
  <c r="B995" i="30"/>
  <c r="B996" i="30"/>
  <c r="B997" i="30"/>
  <c r="B998" i="30"/>
  <c r="B999" i="30"/>
  <c r="B1000" i="30"/>
  <c r="B1001" i="30"/>
  <c r="B1002" i="30"/>
  <c r="B1003" i="30"/>
  <c r="B1004" i="30"/>
  <c r="B1005" i="30"/>
  <c r="B1006" i="30"/>
  <c r="B1007" i="30"/>
  <c r="B1008" i="30"/>
  <c r="B1009" i="30"/>
  <c r="B1010" i="30"/>
  <c r="B1011" i="30"/>
  <c r="B1012" i="30"/>
  <c r="B1013" i="30"/>
  <c r="B1014" i="30"/>
  <c r="B1015" i="30"/>
  <c r="B1016" i="30"/>
  <c r="B1017" i="30"/>
  <c r="B1018" i="30"/>
  <c r="B1019" i="30"/>
  <c r="B1020" i="30"/>
  <c r="B1021" i="30"/>
  <c r="B1022" i="30"/>
  <c r="B1023" i="30"/>
  <c r="B1024" i="30"/>
  <c r="B1025" i="30"/>
  <c r="B1026" i="30"/>
  <c r="B1027" i="30"/>
  <c r="B1028" i="30"/>
  <c r="B1029" i="30"/>
  <c r="B1030" i="30"/>
  <c r="B1031" i="30"/>
  <c r="B1032" i="30"/>
  <c r="B1033" i="30"/>
  <c r="B1034" i="30"/>
  <c r="B1035" i="30"/>
  <c r="B1036" i="30"/>
  <c r="B1037" i="30"/>
  <c r="B1038" i="30"/>
  <c r="B1039" i="30"/>
  <c r="B1040" i="30"/>
  <c r="B1041" i="30"/>
  <c r="B1042" i="30"/>
  <c r="B1043" i="30"/>
  <c r="B1044" i="30"/>
  <c r="B1045" i="30"/>
  <c r="B1046" i="30"/>
  <c r="B1047" i="30"/>
  <c r="B1048" i="30"/>
  <c r="B1049" i="30"/>
  <c r="B1050" i="30"/>
  <c r="B1051" i="30"/>
  <c r="B1052" i="30"/>
  <c r="B1053" i="30"/>
  <c r="B1054" i="30"/>
  <c r="B1055" i="30"/>
  <c r="B1056" i="30"/>
  <c r="B1057" i="30"/>
  <c r="B1058" i="30"/>
  <c r="B1059" i="30"/>
  <c r="B1060" i="30"/>
  <c r="B1061" i="30"/>
  <c r="B1062" i="30"/>
  <c r="B1063" i="30"/>
  <c r="B1064" i="30"/>
  <c r="B1065" i="30"/>
  <c r="B1066" i="30"/>
  <c r="B1067" i="30"/>
  <c r="B1068" i="30"/>
  <c r="B1069" i="30"/>
  <c r="B1070" i="30"/>
  <c r="B1071" i="30"/>
  <c r="B1072" i="30"/>
  <c r="B1073" i="30"/>
  <c r="B1074" i="30"/>
  <c r="B1075" i="30"/>
  <c r="B1076" i="30"/>
  <c r="B1077" i="30"/>
  <c r="B1078" i="30"/>
  <c r="B1079" i="30"/>
  <c r="B1080" i="30"/>
  <c r="B1081" i="30"/>
  <c r="B1082" i="30"/>
  <c r="B1083" i="30"/>
  <c r="B1084" i="30"/>
  <c r="B1085" i="30"/>
  <c r="B1086" i="30"/>
  <c r="B1087" i="30"/>
  <c r="B1088" i="30"/>
  <c r="B1089" i="30"/>
  <c r="B1090" i="30"/>
  <c r="B1091" i="30"/>
  <c r="B1092" i="30"/>
  <c r="B1093" i="30"/>
  <c r="B1094" i="30"/>
  <c r="B1095" i="30"/>
  <c r="B1096" i="30"/>
  <c r="B1097" i="30"/>
  <c r="B1098" i="30"/>
  <c r="B1099" i="30"/>
  <c r="B1100" i="30"/>
  <c r="B1101" i="30"/>
  <c r="B1102" i="30"/>
  <c r="B1103" i="30"/>
  <c r="B1104" i="30"/>
  <c r="B1105" i="30"/>
  <c r="B1106" i="30"/>
  <c r="B1107" i="30"/>
  <c r="B1108" i="30"/>
  <c r="B1109" i="30"/>
  <c r="B1110" i="30"/>
  <c r="B1111" i="30"/>
  <c r="B1112" i="30"/>
  <c r="B1113" i="30"/>
  <c r="B1114" i="30"/>
  <c r="B1115" i="30"/>
  <c r="B1116" i="30"/>
  <c r="B1117" i="30"/>
  <c r="B1118" i="30"/>
  <c r="B1119" i="30"/>
  <c r="B1120" i="30"/>
  <c r="B1121" i="30"/>
  <c r="B1122" i="30"/>
  <c r="B1123" i="30"/>
  <c r="B1124" i="30"/>
  <c r="B1125" i="30"/>
  <c r="B1126" i="30"/>
  <c r="B1127" i="30"/>
  <c r="B1128" i="30"/>
  <c r="B1129" i="30"/>
  <c r="B1130" i="30"/>
  <c r="B1131" i="30"/>
  <c r="B1132" i="30"/>
  <c r="B1133" i="30"/>
  <c r="B1134" i="30"/>
  <c r="B1135" i="30"/>
  <c r="B1136" i="30"/>
  <c r="B1137" i="30"/>
  <c r="B1138" i="30"/>
  <c r="B1139" i="30"/>
  <c r="B1140" i="30"/>
  <c r="B1141" i="30"/>
  <c r="B1142" i="30"/>
  <c r="B1143" i="30"/>
  <c r="B1144" i="30"/>
  <c r="B1145" i="30"/>
  <c r="B1146" i="30"/>
  <c r="B1147" i="30"/>
  <c r="B1148" i="30"/>
  <c r="B1149" i="30"/>
  <c r="B1150" i="30"/>
  <c r="B1151" i="30"/>
  <c r="B1152" i="30"/>
  <c r="B1153" i="30"/>
  <c r="B1154" i="30"/>
  <c r="B1155" i="30"/>
  <c r="B1156" i="30"/>
  <c r="B1157" i="30"/>
  <c r="B1158" i="30"/>
  <c r="B1159" i="30"/>
  <c r="B1160" i="30"/>
  <c r="B1161" i="30"/>
  <c r="B1162" i="30"/>
  <c r="B1163" i="30"/>
  <c r="B1164" i="30"/>
  <c r="B1165" i="30"/>
  <c r="B1166" i="30"/>
  <c r="B1167" i="30"/>
  <c r="B1168" i="30"/>
  <c r="B1169" i="30"/>
  <c r="B1170" i="30"/>
  <c r="B1171" i="30"/>
  <c r="B1172" i="30"/>
  <c r="B1173" i="30"/>
  <c r="B1174" i="30"/>
  <c r="B1175" i="30"/>
  <c r="B1176" i="30"/>
  <c r="B1177" i="30"/>
  <c r="B1178" i="30"/>
  <c r="B1179" i="30"/>
  <c r="B1180" i="30"/>
  <c r="B1181" i="30"/>
  <c r="B1182" i="30"/>
  <c r="B1183" i="30"/>
  <c r="B1184" i="30"/>
  <c r="B1185" i="30"/>
  <c r="B1186" i="30"/>
  <c r="B1187" i="30"/>
  <c r="B1188" i="30"/>
  <c r="B1189" i="30"/>
  <c r="B1190" i="30"/>
  <c r="B1191" i="30"/>
  <c r="B1192" i="30"/>
  <c r="B1193" i="30"/>
  <c r="B1194" i="30"/>
  <c r="B1195" i="30"/>
  <c r="B1196" i="30"/>
  <c r="B1197" i="30"/>
  <c r="B1198" i="30"/>
  <c r="B1199" i="30"/>
  <c r="B1200" i="30"/>
  <c r="B1201" i="30"/>
  <c r="B1202" i="30"/>
  <c r="B1203" i="30"/>
  <c r="B1204" i="30"/>
  <c r="B1205" i="30"/>
  <c r="B1206" i="30"/>
  <c r="B1207" i="30"/>
  <c r="B1208" i="30"/>
  <c r="B1209" i="30"/>
  <c r="B1210" i="30"/>
  <c r="B1211" i="30"/>
  <c r="B1212" i="30"/>
  <c r="B1213" i="30"/>
  <c r="B1214" i="30"/>
  <c r="B1215" i="30"/>
  <c r="B1216" i="30"/>
  <c r="B1217" i="30"/>
  <c r="B1218" i="30"/>
  <c r="B1219" i="30"/>
  <c r="B1220" i="30"/>
  <c r="B1221" i="30"/>
  <c r="B1222" i="30"/>
  <c r="B1223" i="30"/>
  <c r="B1224" i="30"/>
  <c r="B1225" i="30"/>
  <c r="B1226" i="30"/>
  <c r="B1227" i="30"/>
  <c r="B1228" i="30"/>
  <c r="B1229" i="30"/>
  <c r="B1230" i="30"/>
  <c r="B1231" i="30"/>
  <c r="B1232" i="30"/>
  <c r="B1233" i="30"/>
  <c r="B1234" i="30"/>
  <c r="B1235" i="30"/>
  <c r="B1236" i="30"/>
  <c r="B1237" i="30"/>
  <c r="B1238" i="30"/>
  <c r="B1239" i="30"/>
  <c r="B1240" i="30"/>
  <c r="B1241" i="30"/>
  <c r="B1242" i="30"/>
  <c r="B1243" i="30"/>
  <c r="B1244" i="30"/>
  <c r="B1245" i="30"/>
  <c r="B1246" i="30"/>
  <c r="B1247" i="30"/>
  <c r="B1248" i="30"/>
  <c r="B1249" i="30"/>
  <c r="B1250" i="30"/>
  <c r="B1251" i="30"/>
  <c r="B1252" i="30"/>
  <c r="B1253" i="30"/>
  <c r="B1254" i="30"/>
  <c r="B1255" i="30"/>
  <c r="B1256" i="30"/>
  <c r="B1257" i="30"/>
  <c r="B1258" i="30"/>
  <c r="B1259" i="30"/>
  <c r="B1260" i="30"/>
  <c r="B1261" i="30"/>
  <c r="B1262" i="30"/>
  <c r="B1263" i="30"/>
  <c r="B1264" i="30"/>
  <c r="B1265" i="30"/>
  <c r="B1266" i="30"/>
  <c r="B1267" i="30"/>
  <c r="B1268" i="30"/>
  <c r="B1269" i="30"/>
  <c r="B1270" i="30"/>
  <c r="B1271" i="30"/>
  <c r="B1272" i="30"/>
  <c r="B1273" i="30"/>
  <c r="B1274" i="30"/>
  <c r="B1275" i="30"/>
  <c r="B1276" i="30"/>
  <c r="B1277" i="30"/>
  <c r="B1278" i="30"/>
  <c r="B1279" i="30"/>
  <c r="B1280" i="30"/>
  <c r="B1281" i="30"/>
  <c r="B1282" i="30"/>
  <c r="B1283" i="30"/>
  <c r="B1284" i="30"/>
  <c r="B1285" i="30"/>
  <c r="B1286" i="30"/>
  <c r="B1287" i="30"/>
  <c r="B1288" i="30"/>
  <c r="B1289" i="30"/>
  <c r="B1290" i="30"/>
  <c r="B1291" i="30"/>
  <c r="B1292" i="30"/>
  <c r="B1293" i="30"/>
  <c r="B1294" i="30"/>
  <c r="B1295" i="30"/>
  <c r="B1296" i="30"/>
  <c r="B1297" i="30"/>
  <c r="B1298" i="30"/>
  <c r="B1299" i="30"/>
  <c r="B1300" i="30"/>
  <c r="B1301" i="30"/>
  <c r="B1302" i="30"/>
  <c r="B1303" i="30"/>
  <c r="B1304" i="30"/>
  <c r="B1305" i="30"/>
  <c r="B1306" i="30"/>
  <c r="B1307" i="30"/>
  <c r="B1308" i="30"/>
  <c r="B1309" i="30"/>
  <c r="B1310" i="30"/>
  <c r="B1311" i="30"/>
  <c r="B1312" i="30"/>
  <c r="B1313" i="30"/>
  <c r="B1314" i="30"/>
  <c r="B1315" i="30"/>
  <c r="B1316" i="30"/>
  <c r="B1317" i="30"/>
  <c r="B1318" i="30"/>
  <c r="B1319" i="30"/>
  <c r="B1320" i="30"/>
  <c r="B1321" i="30"/>
  <c r="B1322" i="30"/>
  <c r="B1323" i="30"/>
  <c r="B1324" i="30"/>
  <c r="B1325" i="30"/>
  <c r="B1326" i="30"/>
  <c r="B1327" i="30"/>
  <c r="B1328" i="30"/>
  <c r="B1329" i="30"/>
  <c r="B1330" i="30"/>
  <c r="B1331" i="30"/>
  <c r="B1332" i="30"/>
  <c r="B1333" i="30"/>
  <c r="B1334" i="30"/>
  <c r="B1335" i="30"/>
  <c r="B1336" i="30"/>
  <c r="B1337" i="30"/>
  <c r="B1338" i="30"/>
  <c r="B1339" i="30"/>
  <c r="B1340" i="30"/>
  <c r="B1341" i="30"/>
  <c r="B1342" i="30"/>
  <c r="B1343" i="30"/>
  <c r="B1344" i="30"/>
  <c r="B1345" i="30"/>
  <c r="B1346" i="30"/>
  <c r="B1347" i="30"/>
  <c r="B1348" i="30"/>
  <c r="B1349" i="30"/>
  <c r="B1350" i="30"/>
  <c r="B1351" i="30"/>
  <c r="B1352" i="30"/>
  <c r="B1353" i="30"/>
  <c r="B1354" i="30"/>
  <c r="B1355" i="30"/>
  <c r="B1356" i="30"/>
  <c r="B1357" i="30"/>
  <c r="B1358" i="30"/>
  <c r="B1359" i="30"/>
  <c r="B1360" i="30"/>
  <c r="B1361" i="30"/>
  <c r="B1362" i="30"/>
  <c r="B1363" i="30"/>
  <c r="B1364" i="30"/>
  <c r="B1365" i="30"/>
  <c r="B1366" i="30"/>
  <c r="B1367" i="30"/>
  <c r="B1368" i="30"/>
  <c r="B1369" i="30"/>
  <c r="B1370" i="30"/>
  <c r="B1371" i="30"/>
  <c r="B1372" i="30"/>
  <c r="B1373" i="30"/>
  <c r="B1374" i="30"/>
  <c r="B1375" i="30"/>
  <c r="B1376" i="30"/>
  <c r="B1377" i="30"/>
  <c r="B1378" i="30"/>
  <c r="B1379" i="30"/>
  <c r="B1380" i="30"/>
  <c r="B1381" i="30"/>
  <c r="B1382" i="30"/>
  <c r="B1383" i="30"/>
  <c r="B1384" i="30"/>
  <c r="B1385" i="30"/>
  <c r="B1386" i="30"/>
  <c r="B1387" i="30"/>
  <c r="B1388" i="30"/>
  <c r="B1389" i="30"/>
  <c r="B1390" i="30"/>
  <c r="B1391" i="30"/>
  <c r="B1392" i="30"/>
  <c r="B1393" i="30"/>
  <c r="B1394" i="30"/>
  <c r="B1395" i="30"/>
  <c r="B1396" i="30"/>
  <c r="B1397" i="30"/>
  <c r="B1398" i="30"/>
  <c r="B1399" i="30"/>
  <c r="B1400" i="30"/>
  <c r="B1401" i="30"/>
  <c r="B1402" i="30"/>
  <c r="B1403" i="30"/>
  <c r="B1404" i="30"/>
  <c r="B1405" i="30"/>
  <c r="B1406" i="30"/>
  <c r="B1407" i="30"/>
  <c r="B1408" i="30"/>
  <c r="B1409" i="30"/>
  <c r="B1410" i="30"/>
  <c r="B1411" i="30"/>
  <c r="B1412" i="30"/>
  <c r="B1413" i="30"/>
  <c r="B1414" i="30"/>
  <c r="B1415" i="30"/>
  <c r="B1416" i="30"/>
  <c r="B1417" i="30"/>
  <c r="B1418" i="30"/>
  <c r="B1419" i="30"/>
  <c r="B1420" i="30"/>
  <c r="B1421" i="30"/>
  <c r="B1422" i="30"/>
  <c r="B1423" i="30"/>
  <c r="B1424" i="30"/>
  <c r="B1425" i="30"/>
  <c r="B1426" i="30"/>
  <c r="B1427" i="30"/>
  <c r="B1428" i="30"/>
  <c r="B1429" i="30"/>
  <c r="B1430" i="30"/>
  <c r="B1431" i="30"/>
  <c r="B1432" i="30"/>
  <c r="B1433" i="30"/>
  <c r="B1434" i="30"/>
  <c r="B1435" i="30"/>
  <c r="B1436" i="30"/>
  <c r="B1437" i="30"/>
  <c r="B1438" i="30"/>
  <c r="B1439" i="30"/>
  <c r="B1440" i="30"/>
  <c r="B1441" i="30"/>
  <c r="B1442" i="30"/>
  <c r="B1443" i="30"/>
  <c r="B1444" i="30"/>
  <c r="B1445" i="30"/>
  <c r="B1446" i="30"/>
  <c r="B1447" i="30"/>
  <c r="B1448" i="30"/>
  <c r="B1449" i="30"/>
  <c r="B1450" i="30"/>
  <c r="B1451" i="30"/>
  <c r="B1452" i="30"/>
  <c r="B1453" i="30"/>
  <c r="B1454" i="30"/>
  <c r="B1455" i="30"/>
  <c r="B1456" i="30"/>
  <c r="B1457" i="30"/>
  <c r="B1458" i="30"/>
  <c r="B1459" i="30"/>
  <c r="B1460" i="30"/>
  <c r="B1461" i="30"/>
  <c r="B1462" i="30"/>
  <c r="B1463" i="30"/>
  <c r="B1464" i="30"/>
  <c r="B1465" i="30"/>
  <c r="B1466" i="30"/>
  <c r="B1467" i="30"/>
  <c r="B1468" i="30"/>
  <c r="B1469" i="30"/>
  <c r="B1470" i="30"/>
  <c r="B1471" i="30"/>
  <c r="B1472" i="30"/>
  <c r="B1473" i="30"/>
  <c r="B1474" i="30"/>
  <c r="B1475" i="30"/>
  <c r="B1476" i="30"/>
  <c r="B1477" i="30"/>
  <c r="B1478" i="30"/>
  <c r="B1479" i="30"/>
  <c r="B1480" i="30"/>
  <c r="B1481" i="30"/>
  <c r="B1482" i="30"/>
  <c r="B1483" i="30"/>
  <c r="B1484" i="30"/>
  <c r="B1485" i="30"/>
  <c r="B1486" i="30"/>
  <c r="B1487" i="30"/>
  <c r="B1488" i="30"/>
  <c r="B1489" i="30"/>
  <c r="B1490" i="30"/>
  <c r="B1491" i="30"/>
  <c r="B1492" i="30"/>
  <c r="B1493" i="30"/>
  <c r="B1494" i="30"/>
  <c r="B1495" i="30"/>
  <c r="B1496" i="30"/>
  <c r="B1497" i="30"/>
  <c r="B1498" i="30"/>
  <c r="B1499" i="30"/>
  <c r="B1500" i="30"/>
  <c r="B1501" i="30"/>
  <c r="B1502" i="30"/>
  <c r="B1503" i="30"/>
  <c r="B1504" i="30"/>
  <c r="B1505" i="30"/>
  <c r="B1506" i="30"/>
  <c r="B1507" i="30"/>
  <c r="B1508" i="30"/>
  <c r="B1509" i="30"/>
  <c r="B1510" i="30"/>
  <c r="B1511" i="30"/>
  <c r="B1512" i="30"/>
  <c r="B1513" i="30"/>
  <c r="B1514" i="30"/>
  <c r="B1515" i="30"/>
  <c r="B1516" i="30"/>
  <c r="B1517" i="30"/>
  <c r="B1518" i="30"/>
  <c r="B1519" i="30"/>
  <c r="B1520" i="30"/>
  <c r="B1521" i="30"/>
  <c r="B1522" i="30"/>
  <c r="B1523" i="30"/>
  <c r="B1524" i="30"/>
  <c r="B1525" i="30"/>
  <c r="B1526" i="30"/>
  <c r="B1527" i="30"/>
  <c r="B1528" i="30"/>
  <c r="B1529" i="30"/>
  <c r="B1530" i="30"/>
  <c r="B1531" i="30"/>
  <c r="B1532" i="30"/>
  <c r="B1533" i="30"/>
  <c r="B1534" i="30"/>
  <c r="B1535" i="30"/>
  <c r="B1536" i="30"/>
  <c r="B1537" i="30"/>
  <c r="B1538" i="30"/>
  <c r="B1539" i="30"/>
  <c r="B1540" i="30"/>
  <c r="B1541" i="30"/>
  <c r="B1542" i="30"/>
  <c r="B1543" i="30"/>
  <c r="B1544" i="30"/>
  <c r="B1545" i="30"/>
  <c r="B1546" i="30"/>
  <c r="B1547" i="30"/>
  <c r="B1548" i="30"/>
  <c r="B1549" i="30"/>
  <c r="B1550" i="30"/>
  <c r="B1551" i="30"/>
  <c r="B1552" i="30"/>
  <c r="B1553" i="30"/>
  <c r="B1554" i="30"/>
  <c r="B1555" i="30"/>
  <c r="B1556" i="30"/>
  <c r="B1557" i="30"/>
  <c r="B1558" i="30"/>
  <c r="B1559" i="30"/>
  <c r="B1560" i="30"/>
  <c r="B1561" i="30"/>
  <c r="B1562" i="30"/>
  <c r="B1563" i="30"/>
  <c r="B1564" i="30"/>
  <c r="B1565" i="30"/>
  <c r="B1566" i="30"/>
  <c r="B1567" i="30"/>
  <c r="B1568" i="30"/>
  <c r="B1569" i="30"/>
  <c r="B1570" i="30"/>
  <c r="B1571" i="30"/>
  <c r="B1572" i="30"/>
  <c r="B1573" i="30"/>
  <c r="B1574" i="30"/>
  <c r="B1575" i="30"/>
  <c r="B1576" i="30"/>
  <c r="B1577" i="30"/>
  <c r="B1578" i="30"/>
  <c r="B1579" i="30"/>
  <c r="B1580" i="30"/>
  <c r="B1581" i="30"/>
  <c r="B1582" i="30"/>
  <c r="B1583" i="30"/>
  <c r="B1584" i="30"/>
  <c r="B1585" i="30"/>
  <c r="B1586" i="30"/>
  <c r="B1587" i="30"/>
  <c r="B1588" i="30"/>
  <c r="B1589" i="30"/>
  <c r="B1590" i="30"/>
  <c r="B1591" i="30"/>
  <c r="B1592" i="30"/>
  <c r="B1593" i="30"/>
  <c r="B1594" i="30"/>
  <c r="B1595" i="30"/>
  <c r="B1596" i="30"/>
  <c r="B1597" i="30"/>
  <c r="B1598" i="30"/>
  <c r="B1599" i="30"/>
  <c r="B1600" i="30"/>
  <c r="B1601" i="30"/>
  <c r="B1602" i="30"/>
  <c r="B1603" i="30"/>
  <c r="B1604" i="30"/>
  <c r="B1605" i="30"/>
  <c r="B1606" i="30"/>
  <c r="B1607" i="30"/>
  <c r="B1608" i="30"/>
  <c r="B1609" i="30"/>
  <c r="B1610" i="30"/>
  <c r="B1611" i="30"/>
  <c r="B1612" i="30"/>
  <c r="B1613" i="30"/>
  <c r="B1614" i="30"/>
  <c r="B1615" i="30"/>
  <c r="B1616" i="30"/>
  <c r="B1617" i="30"/>
  <c r="B1618" i="30"/>
  <c r="B1619" i="30"/>
  <c r="B1620" i="30"/>
  <c r="B1621" i="30"/>
  <c r="B1622" i="30"/>
  <c r="B1623" i="30"/>
  <c r="B1624" i="30"/>
  <c r="B1625" i="30"/>
  <c r="B1626" i="30"/>
  <c r="B1627" i="30"/>
  <c r="B1628" i="30"/>
  <c r="B1629" i="30"/>
  <c r="B1630" i="30"/>
  <c r="B1631" i="30"/>
  <c r="B1632" i="30"/>
  <c r="B1633" i="30"/>
  <c r="B1634" i="30"/>
  <c r="B1635" i="30"/>
  <c r="B1636" i="30"/>
  <c r="B1637" i="30"/>
  <c r="B1638" i="30"/>
  <c r="B1639" i="30"/>
  <c r="B1640" i="30"/>
  <c r="B1641" i="30"/>
  <c r="B1642" i="30"/>
  <c r="B1643" i="30"/>
  <c r="B1644" i="30"/>
  <c r="B1645" i="30"/>
  <c r="B1646" i="30"/>
  <c r="B1647" i="30"/>
  <c r="B1648" i="30"/>
  <c r="B1649" i="30"/>
  <c r="B1650" i="30"/>
  <c r="B1651" i="30"/>
  <c r="B1652" i="30"/>
  <c r="B1653" i="30"/>
  <c r="B1654" i="30"/>
  <c r="B1655" i="30"/>
  <c r="B1656" i="30"/>
  <c r="B1657" i="30"/>
  <c r="B1658" i="30"/>
  <c r="B1659" i="30"/>
  <c r="B1660" i="30"/>
  <c r="B1661" i="30"/>
  <c r="B1662" i="30"/>
  <c r="B1663" i="30"/>
  <c r="B1664" i="30"/>
  <c r="B1665" i="30"/>
  <c r="B1666" i="30"/>
  <c r="B1667" i="30"/>
  <c r="B1668" i="30"/>
  <c r="B1669" i="30"/>
  <c r="B1670" i="30"/>
  <c r="B1671" i="30"/>
  <c r="B1672" i="30"/>
  <c r="B1673" i="30"/>
  <c r="B1674" i="30"/>
  <c r="B1675" i="30"/>
  <c r="B1676" i="30"/>
  <c r="B1677" i="30"/>
  <c r="B1678" i="30"/>
  <c r="B1679" i="30"/>
  <c r="B1680" i="30"/>
  <c r="B1681" i="30"/>
  <c r="B1682" i="30"/>
  <c r="B1683" i="30"/>
  <c r="B1684" i="30"/>
  <c r="B1685" i="30"/>
  <c r="B1686" i="30"/>
  <c r="B1687" i="30"/>
  <c r="B1688" i="30"/>
  <c r="B1689" i="30"/>
  <c r="B1690" i="30"/>
  <c r="B1691" i="30"/>
  <c r="B1692" i="30"/>
  <c r="B1693" i="30"/>
  <c r="B1694" i="30"/>
  <c r="B1695" i="30"/>
  <c r="B1696" i="30"/>
  <c r="B1697" i="30"/>
  <c r="B1698" i="30"/>
  <c r="B1699" i="30"/>
  <c r="B1700" i="30"/>
  <c r="B1701" i="30"/>
  <c r="B1702" i="30"/>
  <c r="B1703" i="30"/>
  <c r="B1704" i="30"/>
  <c r="B1705" i="30"/>
  <c r="B1706" i="30"/>
  <c r="B1707" i="30"/>
  <c r="B1708" i="30"/>
  <c r="B1709" i="30"/>
  <c r="B1710" i="30"/>
  <c r="B1711" i="30"/>
  <c r="B1712" i="30"/>
  <c r="B1713" i="30"/>
  <c r="B1714" i="30"/>
  <c r="B1715" i="30"/>
  <c r="B1716" i="30"/>
  <c r="B1717" i="30"/>
  <c r="B1718" i="30"/>
  <c r="B1719" i="30"/>
  <c r="B1720" i="30"/>
  <c r="B1721" i="30"/>
  <c r="B1722" i="30"/>
  <c r="B1723" i="30"/>
  <c r="B1724" i="30"/>
  <c r="B1725" i="30"/>
  <c r="B1726" i="30"/>
  <c r="B1727" i="30"/>
  <c r="B1728" i="30"/>
  <c r="B1729" i="30"/>
  <c r="B1730" i="30"/>
  <c r="B1731" i="30"/>
  <c r="B1732" i="30"/>
  <c r="B1733" i="30"/>
  <c r="B1734" i="30"/>
  <c r="B1735" i="30"/>
  <c r="B1736" i="30"/>
  <c r="B1737" i="30"/>
  <c r="B1738" i="30"/>
  <c r="B1739" i="30"/>
  <c r="B1740" i="30"/>
  <c r="B1741" i="30"/>
  <c r="B1742" i="30"/>
  <c r="B1743" i="30"/>
  <c r="B1744" i="30"/>
  <c r="B1745" i="30"/>
  <c r="B1746" i="30"/>
  <c r="B1747" i="30"/>
  <c r="B1748" i="30"/>
  <c r="B1749" i="30"/>
  <c r="B1750" i="30"/>
  <c r="B1751" i="30"/>
  <c r="B1752" i="30"/>
  <c r="B1753" i="30"/>
  <c r="B1754" i="30"/>
  <c r="B1755" i="30"/>
  <c r="B1756" i="30"/>
  <c r="B1757" i="30"/>
  <c r="B1758" i="30"/>
  <c r="B1759" i="30"/>
  <c r="B1760" i="30"/>
  <c r="B1761" i="30"/>
  <c r="B1762" i="30"/>
  <c r="B1763" i="30"/>
  <c r="B1764" i="30"/>
  <c r="B1765" i="30"/>
  <c r="B1766" i="30"/>
  <c r="B1767" i="30"/>
  <c r="B1768" i="30"/>
  <c r="B1769" i="30"/>
  <c r="B1770" i="30"/>
  <c r="B1771" i="30"/>
  <c r="B1772" i="30"/>
  <c r="B1773" i="30"/>
  <c r="B1774" i="30"/>
  <c r="B1775" i="30"/>
  <c r="B1776" i="30"/>
  <c r="B1777" i="30"/>
  <c r="B1778" i="30"/>
  <c r="B1779" i="30"/>
  <c r="B1780" i="30"/>
  <c r="B1781" i="30"/>
  <c r="B1782" i="30"/>
  <c r="B1783" i="30"/>
  <c r="B1784" i="30"/>
  <c r="B1785" i="30"/>
  <c r="B1786" i="30"/>
  <c r="B1787" i="30"/>
  <c r="B1788" i="30"/>
  <c r="B1789" i="30"/>
  <c r="B1790" i="30"/>
  <c r="B1791" i="30"/>
  <c r="B1792" i="30"/>
  <c r="B1793" i="30"/>
  <c r="B1794" i="30"/>
  <c r="B1795" i="30"/>
  <c r="B1796" i="30"/>
  <c r="B1797" i="30"/>
  <c r="B1798" i="30"/>
  <c r="B1799" i="30"/>
  <c r="B1800" i="30"/>
  <c r="B1801" i="30"/>
  <c r="B1802" i="30"/>
  <c r="B1803" i="30"/>
  <c r="B1804" i="30"/>
  <c r="B1805" i="30"/>
  <c r="B1806" i="30"/>
  <c r="B1807" i="30"/>
  <c r="B1808" i="30"/>
  <c r="B1809" i="30"/>
  <c r="B1810" i="30"/>
  <c r="B1811" i="30"/>
  <c r="B1812" i="30"/>
  <c r="B1813" i="30"/>
  <c r="B1814" i="30"/>
  <c r="B1815" i="30"/>
  <c r="B1816" i="30"/>
  <c r="B1817" i="30"/>
  <c r="B1818" i="30"/>
  <c r="B1819" i="30"/>
  <c r="B1820" i="30"/>
  <c r="B1821" i="30"/>
  <c r="B1822" i="30"/>
  <c r="B1823" i="30"/>
  <c r="B1824" i="30"/>
  <c r="B1825" i="30"/>
  <c r="B1826" i="30"/>
  <c r="B1827" i="30"/>
  <c r="B1828" i="30"/>
  <c r="B1829" i="30"/>
  <c r="B1830" i="30"/>
  <c r="B1831" i="30"/>
  <c r="B1832" i="30"/>
  <c r="B1833" i="30"/>
  <c r="B1834" i="30"/>
  <c r="B1835" i="30"/>
  <c r="B1836" i="30"/>
  <c r="B1837" i="30"/>
  <c r="B1838" i="30"/>
  <c r="B1839" i="30"/>
  <c r="B1840" i="30"/>
  <c r="B1841" i="30"/>
  <c r="B1842" i="30"/>
  <c r="B1843" i="30"/>
  <c r="B1844" i="30"/>
  <c r="B1845" i="30"/>
  <c r="B1846" i="30"/>
  <c r="B1847" i="30"/>
  <c r="B1848" i="30"/>
  <c r="B1849" i="30"/>
  <c r="B1850" i="30"/>
  <c r="B1851" i="30"/>
  <c r="B1852" i="30"/>
  <c r="B1853" i="30"/>
  <c r="B1854" i="30"/>
  <c r="B1855" i="30"/>
  <c r="B1856" i="30"/>
  <c r="B1857" i="30"/>
  <c r="B1858" i="30"/>
  <c r="B1859" i="30"/>
  <c r="B1860" i="30"/>
  <c r="B1861" i="30"/>
  <c r="B1862" i="30"/>
  <c r="B1863" i="30"/>
  <c r="B1864" i="30"/>
  <c r="B1865" i="30"/>
  <c r="B1866" i="30"/>
  <c r="B1867" i="30"/>
  <c r="B1868" i="30"/>
  <c r="B1869" i="30"/>
  <c r="B1870" i="30"/>
  <c r="B1871" i="30"/>
  <c r="B1872" i="30"/>
  <c r="B1873" i="30"/>
  <c r="B1874" i="30"/>
  <c r="B1875" i="30"/>
  <c r="B1876" i="30"/>
  <c r="B1877" i="30"/>
  <c r="B1878" i="30"/>
  <c r="B1879" i="30"/>
  <c r="B1880" i="30"/>
  <c r="B1881" i="30"/>
  <c r="B1882" i="30"/>
  <c r="B1883" i="30"/>
  <c r="B1884" i="30"/>
  <c r="B1885" i="30"/>
  <c r="B1886" i="30"/>
  <c r="B1887" i="30"/>
  <c r="B1888" i="30"/>
  <c r="B1889" i="30"/>
  <c r="B1890" i="30"/>
  <c r="B1891" i="30"/>
  <c r="B1892" i="30"/>
  <c r="B1893" i="30"/>
  <c r="B1894" i="30"/>
  <c r="B1895" i="30"/>
  <c r="B1896" i="30"/>
  <c r="B1897" i="30"/>
  <c r="B1898" i="30"/>
  <c r="B1899" i="30"/>
  <c r="B1900" i="30"/>
  <c r="B1901" i="30"/>
  <c r="B1902" i="30"/>
  <c r="B1903" i="30"/>
  <c r="B1904" i="30"/>
  <c r="B1905" i="30"/>
  <c r="B1906" i="30"/>
  <c r="B1907" i="30"/>
  <c r="B1908" i="30"/>
  <c r="B1909" i="30"/>
  <c r="B1910" i="30"/>
  <c r="B1911" i="30"/>
  <c r="B1912" i="30"/>
  <c r="B1913" i="30"/>
  <c r="B1914" i="30"/>
  <c r="B1915" i="30"/>
  <c r="B1916" i="30"/>
  <c r="B1917" i="30"/>
  <c r="B1918" i="30"/>
  <c r="B1919" i="30"/>
  <c r="B1920" i="30"/>
  <c r="B1921" i="30"/>
  <c r="B1922" i="30"/>
  <c r="B1923" i="30"/>
  <c r="B1924" i="30"/>
  <c r="B1925" i="30"/>
  <c r="B1926" i="30"/>
  <c r="B1927" i="30"/>
  <c r="B1928" i="30"/>
  <c r="B1929" i="30"/>
  <c r="B1930" i="30"/>
  <c r="B1931" i="30"/>
  <c r="B1932" i="30"/>
  <c r="B1933" i="30"/>
  <c r="B1934" i="30"/>
  <c r="B1935" i="30"/>
  <c r="B1936" i="30"/>
  <c r="B1937" i="30"/>
  <c r="B1938" i="30"/>
  <c r="B1939" i="30"/>
  <c r="B1940" i="30"/>
  <c r="B1941" i="30"/>
  <c r="B1942" i="30"/>
  <c r="B1943" i="30"/>
  <c r="B1944" i="30"/>
  <c r="B1945" i="30"/>
  <c r="B1946" i="30"/>
  <c r="B1947" i="30"/>
  <c r="B1948" i="30"/>
  <c r="B1949" i="30"/>
  <c r="B1950" i="30"/>
  <c r="B1951" i="30"/>
  <c r="B1952" i="30"/>
  <c r="B1953" i="30"/>
  <c r="B1954" i="30"/>
  <c r="B1955" i="30"/>
  <c r="B1956" i="30"/>
  <c r="B1957" i="30"/>
  <c r="B1958" i="30"/>
  <c r="B1959" i="30"/>
  <c r="B1960" i="30"/>
  <c r="B1961" i="30"/>
  <c r="B1962" i="30"/>
  <c r="B1963" i="30"/>
  <c r="B1964" i="30"/>
  <c r="B1965" i="30"/>
  <c r="B1966" i="30"/>
  <c r="B1967" i="30"/>
  <c r="B1968" i="30"/>
  <c r="B1969" i="30"/>
  <c r="B1970" i="30"/>
  <c r="B1971" i="30"/>
  <c r="B1972" i="30"/>
  <c r="B1973" i="30"/>
  <c r="B1974" i="30"/>
  <c r="B1975" i="30"/>
  <c r="B1976" i="30"/>
  <c r="B1977" i="30"/>
  <c r="B1978" i="30"/>
  <c r="B1979" i="30"/>
  <c r="B1980" i="30"/>
  <c r="B1981" i="30"/>
  <c r="B1982" i="30"/>
  <c r="B1983" i="30"/>
  <c r="B1984" i="30"/>
  <c r="B1985" i="30"/>
  <c r="B1986" i="30"/>
  <c r="B1987" i="30"/>
  <c r="B1988" i="30"/>
  <c r="B1989" i="30"/>
  <c r="B1990" i="30"/>
  <c r="B1991" i="30"/>
  <c r="B1992" i="30"/>
  <c r="B1993" i="30"/>
  <c r="B1994" i="30"/>
  <c r="B1995" i="30"/>
  <c r="B1996" i="30"/>
  <c r="B1997" i="30"/>
  <c r="B1998" i="30"/>
  <c r="B1999" i="30"/>
  <c r="B2000" i="30"/>
  <c r="B2001" i="30"/>
  <c r="B2002" i="30"/>
  <c r="B2003" i="30"/>
  <c r="B2004" i="30"/>
  <c r="B2005" i="30"/>
  <c r="B2006" i="30"/>
  <c r="B2007" i="30"/>
  <c r="B2008" i="30"/>
  <c r="B2009" i="30"/>
  <c r="B2010" i="30"/>
  <c r="B2011" i="30"/>
  <c r="B2012" i="30"/>
  <c r="B2013" i="30"/>
  <c r="B2014" i="30"/>
  <c r="B2015" i="30"/>
  <c r="B2016" i="30"/>
  <c r="B2017" i="30"/>
  <c r="B2018" i="30"/>
  <c r="B2019" i="30"/>
  <c r="B2020" i="30"/>
  <c r="B2021" i="30"/>
  <c r="B2022" i="30"/>
  <c r="B2023" i="30"/>
  <c r="B2024" i="30"/>
  <c r="B2025" i="30"/>
  <c r="B2026" i="30"/>
  <c r="B2027" i="30"/>
  <c r="B2028" i="30"/>
  <c r="B2029" i="30"/>
  <c r="B2030" i="30"/>
  <c r="B2031" i="30"/>
  <c r="B2032" i="30"/>
  <c r="B2033" i="30"/>
  <c r="B2034" i="30"/>
  <c r="B2035" i="30"/>
  <c r="B2036" i="30"/>
  <c r="B2037" i="30"/>
  <c r="B2038" i="30"/>
  <c r="B2039" i="30"/>
  <c r="B2040" i="30"/>
  <c r="B2041" i="30"/>
  <c r="B2042" i="30"/>
  <c r="B2043" i="30"/>
  <c r="B2044" i="30"/>
  <c r="B2045" i="30"/>
  <c r="B2046" i="30"/>
  <c r="B2047" i="30"/>
  <c r="B2048" i="30"/>
  <c r="B2049" i="30"/>
  <c r="B2050" i="30"/>
  <c r="B2051" i="30"/>
  <c r="B2052" i="30"/>
  <c r="B2053" i="30"/>
  <c r="B2054" i="30"/>
  <c r="B2055" i="30"/>
  <c r="B2056" i="30"/>
  <c r="B2057" i="30"/>
  <c r="B2058" i="30"/>
  <c r="B2059" i="30"/>
  <c r="B2060" i="30"/>
  <c r="B2061" i="30"/>
  <c r="B2062" i="30"/>
  <c r="B2063" i="30"/>
  <c r="B2064" i="30"/>
  <c r="B2065" i="30"/>
  <c r="B2066" i="30"/>
  <c r="B2067" i="30"/>
  <c r="B2068" i="30"/>
  <c r="B2069" i="30"/>
  <c r="B2070" i="30"/>
  <c r="B2071" i="30"/>
  <c r="B2072" i="30"/>
  <c r="B2073" i="30"/>
  <c r="B2074" i="30"/>
  <c r="B2075" i="30"/>
  <c r="B2076" i="30"/>
  <c r="B2077" i="30"/>
  <c r="B2078" i="30"/>
  <c r="B2079" i="30"/>
  <c r="B2080" i="30"/>
  <c r="B2081" i="30"/>
  <c r="B2082" i="30"/>
  <c r="B2083" i="30"/>
  <c r="B2084" i="30"/>
  <c r="B2085" i="30"/>
  <c r="B2086" i="30"/>
  <c r="B2087" i="30"/>
  <c r="B2088" i="30"/>
  <c r="B2089" i="30"/>
  <c r="B2090" i="30"/>
  <c r="B2091" i="30"/>
  <c r="B2092" i="30"/>
  <c r="B2093" i="30"/>
  <c r="B2094" i="30"/>
  <c r="B2095" i="30"/>
  <c r="B2096" i="30"/>
  <c r="B2097" i="30"/>
  <c r="B2098" i="30"/>
  <c r="B2099" i="30"/>
  <c r="B2100" i="30"/>
  <c r="B2101" i="30"/>
  <c r="B2102" i="30"/>
  <c r="B2103" i="30"/>
  <c r="B2104" i="30"/>
  <c r="B2105" i="30"/>
  <c r="B2106" i="30"/>
  <c r="B2107" i="30"/>
  <c r="B2108" i="30"/>
  <c r="B2109" i="30"/>
  <c r="B2110" i="30"/>
  <c r="B2111" i="30"/>
  <c r="B2112" i="30"/>
  <c r="B2113" i="30"/>
  <c r="B2114" i="30"/>
  <c r="B2115" i="30"/>
  <c r="B2116" i="30"/>
  <c r="B2117" i="30"/>
  <c r="B2118" i="30"/>
  <c r="B2119" i="30"/>
  <c r="B2120" i="30"/>
  <c r="B2121" i="30"/>
  <c r="B2122" i="30"/>
  <c r="B2123" i="30"/>
  <c r="B2124" i="30"/>
  <c r="B2125" i="30"/>
  <c r="B2126" i="30"/>
  <c r="B2127" i="30"/>
  <c r="B2128" i="30"/>
  <c r="B2129" i="30"/>
  <c r="B2130" i="30"/>
  <c r="B2131" i="30"/>
  <c r="B2132" i="30"/>
  <c r="B2133" i="30"/>
  <c r="B2134" i="30"/>
  <c r="B2135" i="30"/>
  <c r="B2136" i="30"/>
  <c r="B2137" i="30"/>
  <c r="B2138" i="30"/>
  <c r="B2139" i="30"/>
  <c r="B2140" i="30"/>
  <c r="B2141" i="30"/>
  <c r="B2142" i="30"/>
  <c r="B2143" i="30"/>
  <c r="B2144" i="30"/>
  <c r="B2145" i="30"/>
  <c r="B2146" i="30"/>
  <c r="B2147" i="30"/>
  <c r="B2148" i="30"/>
  <c r="B2149" i="30"/>
  <c r="B2150" i="30"/>
  <c r="B2151" i="30"/>
  <c r="B2152" i="30"/>
  <c r="B2153" i="30"/>
  <c r="B2154" i="30"/>
  <c r="B2155" i="30"/>
  <c r="B2156" i="30"/>
  <c r="B2157" i="30"/>
  <c r="B2158" i="30"/>
  <c r="B2159" i="30"/>
  <c r="B2160" i="30"/>
  <c r="B2161" i="30"/>
  <c r="B2162" i="30"/>
  <c r="B2163" i="30"/>
  <c r="B2164" i="30"/>
  <c r="B2165" i="30"/>
  <c r="B2166" i="30"/>
  <c r="B2167" i="30"/>
  <c r="B2168" i="30"/>
  <c r="B2169" i="30"/>
  <c r="B2170" i="30"/>
  <c r="B2171" i="30"/>
  <c r="B2172" i="30"/>
  <c r="B2173" i="30"/>
  <c r="B2174" i="30"/>
  <c r="B2175" i="30"/>
  <c r="B2176" i="30"/>
  <c r="B2177" i="30"/>
  <c r="B2178" i="30"/>
  <c r="B2179" i="30"/>
  <c r="B2180" i="30"/>
  <c r="B2181" i="30"/>
  <c r="B2182" i="30"/>
  <c r="B2183" i="30"/>
  <c r="B2184" i="30"/>
  <c r="B2185" i="30"/>
  <c r="B2186" i="30"/>
  <c r="B2187" i="30"/>
  <c r="B2188" i="30"/>
  <c r="B2189" i="30"/>
  <c r="B2190" i="30"/>
  <c r="B2191" i="30"/>
  <c r="B2192" i="30"/>
  <c r="B2193" i="30"/>
  <c r="B2194" i="30"/>
  <c r="B2195" i="30"/>
  <c r="B2196" i="30"/>
  <c r="B2197" i="30"/>
  <c r="B2198" i="30"/>
  <c r="B2199" i="30"/>
  <c r="B2200" i="30"/>
  <c r="B2201" i="30"/>
  <c r="B2202" i="30"/>
  <c r="B2203" i="30"/>
  <c r="B2204" i="30"/>
  <c r="B2205" i="30"/>
  <c r="B2206" i="30"/>
  <c r="B2207" i="30"/>
  <c r="B2208" i="30"/>
  <c r="B2209" i="30"/>
  <c r="B2210" i="30"/>
  <c r="B2211" i="30"/>
  <c r="B2212" i="30"/>
  <c r="B2213" i="30"/>
  <c r="B2214" i="30"/>
  <c r="B2215" i="30"/>
  <c r="B2216" i="30"/>
  <c r="B2217" i="30"/>
  <c r="B2218" i="30"/>
  <c r="B2219" i="30"/>
  <c r="B2220" i="30"/>
  <c r="B2221" i="30"/>
  <c r="B2222" i="30"/>
  <c r="B2223" i="30"/>
  <c r="B2224" i="30"/>
  <c r="B2225" i="30"/>
  <c r="B2226" i="30"/>
  <c r="B2227" i="30"/>
  <c r="B2228" i="30"/>
  <c r="B2229" i="30"/>
  <c r="B2230" i="30"/>
  <c r="B2231" i="30"/>
  <c r="B2232" i="30"/>
  <c r="B2233" i="30"/>
  <c r="B2234" i="30"/>
  <c r="B2235" i="30"/>
  <c r="B2236" i="30"/>
  <c r="B2237" i="30"/>
  <c r="B2238" i="30"/>
  <c r="B2239" i="30"/>
  <c r="B2240" i="30"/>
  <c r="B2241" i="30"/>
  <c r="B2242" i="30"/>
  <c r="B2243" i="30"/>
  <c r="B2244" i="30"/>
  <c r="B2245" i="30"/>
  <c r="B2246" i="30"/>
  <c r="B2247" i="30"/>
  <c r="B2248" i="30"/>
  <c r="B2249" i="30"/>
  <c r="B2250" i="30"/>
  <c r="B2251" i="30"/>
  <c r="B2252" i="30"/>
  <c r="B2253" i="30"/>
  <c r="B2254" i="30"/>
  <c r="B2255" i="30"/>
  <c r="B2256" i="30"/>
  <c r="B2257" i="30"/>
  <c r="B2258" i="30"/>
  <c r="B2259" i="30"/>
  <c r="B2260" i="30"/>
  <c r="B2261" i="30"/>
  <c r="B2262" i="30"/>
  <c r="B2263" i="30"/>
  <c r="B2264" i="30"/>
  <c r="B2265" i="30"/>
  <c r="B2266" i="30"/>
  <c r="B2267" i="30"/>
  <c r="B2268" i="30"/>
  <c r="B2269" i="30"/>
  <c r="B2270" i="30"/>
  <c r="B2271" i="30"/>
  <c r="B2272" i="30"/>
  <c r="B2273" i="30"/>
  <c r="B2274" i="30"/>
  <c r="B2275" i="30"/>
  <c r="B2276" i="30"/>
  <c r="B2277" i="30"/>
  <c r="B2278" i="30"/>
  <c r="B2279" i="30"/>
  <c r="B2280" i="30"/>
  <c r="B2281" i="30"/>
  <c r="B2282" i="30"/>
  <c r="B2283" i="30"/>
  <c r="B2284" i="30"/>
  <c r="B2285" i="30"/>
  <c r="B2286" i="30"/>
  <c r="B2287" i="30"/>
  <c r="B2288" i="30"/>
  <c r="B2289" i="30"/>
  <c r="B2290" i="30"/>
  <c r="B2291" i="30"/>
  <c r="B2292" i="30"/>
  <c r="B2293" i="30"/>
  <c r="B2294" i="30"/>
  <c r="B2295" i="30"/>
  <c r="B2296" i="30"/>
  <c r="B2297" i="30"/>
  <c r="B2298" i="30"/>
  <c r="B2299" i="30"/>
  <c r="B2300" i="30"/>
  <c r="B2301" i="30"/>
  <c r="B2302" i="30"/>
  <c r="B2303" i="30"/>
  <c r="B2304" i="30"/>
  <c r="B2305" i="30"/>
  <c r="B2306" i="30"/>
  <c r="B2307" i="30"/>
  <c r="B2308" i="30"/>
  <c r="B2309" i="30"/>
  <c r="B2310" i="30"/>
  <c r="B2311" i="30"/>
  <c r="B2312" i="30"/>
  <c r="B2313" i="30"/>
  <c r="B2314" i="30"/>
  <c r="B2315" i="30"/>
  <c r="B2316" i="30"/>
  <c r="B2317" i="30"/>
  <c r="B2318" i="30"/>
  <c r="B2319" i="30"/>
  <c r="B2320" i="30"/>
  <c r="B2321" i="30"/>
  <c r="B2322" i="30"/>
  <c r="B2323" i="30"/>
  <c r="B2324" i="30"/>
  <c r="B2325" i="30"/>
  <c r="B2326" i="30"/>
  <c r="B2327" i="30"/>
  <c r="B2328" i="30"/>
  <c r="B2329" i="30"/>
  <c r="B2330" i="30"/>
  <c r="B2331" i="30"/>
  <c r="B2332" i="30"/>
  <c r="B2333" i="30"/>
  <c r="B2334" i="30"/>
  <c r="B2335" i="30"/>
  <c r="B2336" i="30"/>
  <c r="B2337" i="30"/>
  <c r="B2338" i="30"/>
  <c r="B2339" i="30"/>
  <c r="B2340" i="30"/>
  <c r="B2341" i="30"/>
  <c r="B2342" i="30"/>
  <c r="B2343" i="30"/>
  <c r="B2344" i="30"/>
  <c r="B2345" i="30"/>
  <c r="B2346" i="30"/>
  <c r="B2347" i="30"/>
  <c r="B2348" i="30"/>
  <c r="B2349" i="30"/>
  <c r="B2350" i="30"/>
  <c r="B2351" i="30"/>
  <c r="B2352" i="30"/>
  <c r="B2353" i="30"/>
  <c r="B2354" i="30"/>
  <c r="B2355" i="30"/>
  <c r="B2356" i="30"/>
  <c r="B2357" i="30"/>
  <c r="B2358" i="30"/>
  <c r="B2359" i="30"/>
  <c r="B2360" i="30"/>
  <c r="B2361" i="30"/>
  <c r="B2362" i="30"/>
  <c r="B2363" i="30"/>
  <c r="B2364" i="30"/>
  <c r="B2365" i="30"/>
  <c r="B2366" i="30"/>
  <c r="B2367" i="30"/>
  <c r="B2368" i="30"/>
  <c r="B2369" i="30"/>
  <c r="B2370" i="30"/>
  <c r="B2371" i="30"/>
  <c r="B2372" i="30"/>
  <c r="B2373" i="30"/>
  <c r="B2374" i="30"/>
  <c r="B2375" i="30"/>
  <c r="B2376" i="30"/>
  <c r="B2377" i="30"/>
  <c r="B2378" i="30"/>
  <c r="B2379" i="30"/>
  <c r="B2380" i="30"/>
  <c r="B2381" i="30"/>
  <c r="B2382" i="30"/>
  <c r="B2383" i="30"/>
  <c r="B2384" i="30"/>
  <c r="B2385" i="30"/>
  <c r="B2386" i="30"/>
  <c r="B2387" i="30"/>
  <c r="B2388" i="30"/>
  <c r="B2389" i="30"/>
  <c r="B2390" i="30"/>
  <c r="B2391" i="30"/>
  <c r="B2392" i="30"/>
  <c r="B2393" i="30"/>
  <c r="B2394" i="30"/>
  <c r="B2395" i="30"/>
  <c r="B2396" i="30"/>
  <c r="B2397" i="30"/>
  <c r="B2398" i="30"/>
  <c r="B2399" i="30"/>
  <c r="B2400" i="30"/>
  <c r="B2401" i="30"/>
  <c r="B2402" i="30"/>
  <c r="B2403" i="30"/>
  <c r="B2404" i="30"/>
  <c r="B2405" i="30"/>
  <c r="B2406" i="30"/>
  <c r="B2407" i="30"/>
  <c r="B2408" i="30"/>
  <c r="B2409" i="30"/>
  <c r="B2410" i="30"/>
  <c r="B2411" i="30"/>
  <c r="B2412" i="30"/>
  <c r="B2413" i="30"/>
  <c r="B2414" i="30"/>
  <c r="B2415" i="30"/>
  <c r="B2416" i="30"/>
  <c r="B2417" i="30"/>
  <c r="B2418" i="30"/>
  <c r="B2419" i="30"/>
  <c r="B2420" i="30"/>
  <c r="B2421" i="30"/>
  <c r="B2422" i="30"/>
  <c r="B2423" i="30"/>
  <c r="B2424" i="30"/>
  <c r="B2425" i="30"/>
  <c r="B2426" i="30"/>
  <c r="B2427" i="30"/>
  <c r="B2428" i="30"/>
  <c r="B2429" i="30"/>
  <c r="B2430" i="30"/>
  <c r="B2431" i="30"/>
  <c r="B2432" i="30"/>
  <c r="B2433" i="30"/>
  <c r="B2434" i="30"/>
  <c r="B2435" i="30"/>
  <c r="B2436" i="30"/>
  <c r="B2437" i="30"/>
  <c r="B2438" i="30"/>
  <c r="B2439" i="30"/>
  <c r="B2440" i="30"/>
  <c r="B2441" i="30"/>
  <c r="B2442" i="30"/>
  <c r="B2443" i="30"/>
  <c r="B2444" i="30"/>
  <c r="B2445" i="30"/>
  <c r="B2446" i="30"/>
  <c r="B2447" i="30"/>
  <c r="B2448" i="30"/>
  <c r="B2449" i="30"/>
  <c r="B2450" i="30"/>
  <c r="B2451" i="30"/>
  <c r="B2452" i="30"/>
  <c r="B2453" i="30"/>
  <c r="B2454" i="30"/>
  <c r="B2455" i="30"/>
  <c r="B2456" i="30"/>
  <c r="B2457" i="30"/>
  <c r="B2458" i="30"/>
  <c r="B2459" i="30"/>
  <c r="B2460" i="30"/>
  <c r="B2461" i="30"/>
  <c r="B2462" i="30"/>
  <c r="B2463" i="30"/>
  <c r="B2464" i="30"/>
  <c r="B2465" i="30"/>
  <c r="B2466" i="30"/>
  <c r="B2467" i="30"/>
  <c r="B2468" i="30"/>
  <c r="B2469" i="30"/>
  <c r="B2470" i="30"/>
  <c r="B2471" i="30"/>
  <c r="B2472" i="30"/>
  <c r="B2473" i="30"/>
  <c r="B2474" i="30"/>
  <c r="B2475" i="30"/>
  <c r="B2476" i="30"/>
  <c r="B2477" i="30"/>
  <c r="B2478" i="30"/>
  <c r="B2479" i="30"/>
  <c r="B2480" i="30"/>
  <c r="B2481" i="30"/>
  <c r="B2482" i="30"/>
  <c r="B2483" i="30"/>
  <c r="B2484" i="30"/>
  <c r="B2485" i="30"/>
  <c r="B2486" i="30"/>
  <c r="B2487" i="30"/>
  <c r="B2488" i="30"/>
  <c r="B2489" i="30"/>
  <c r="B2490" i="30"/>
  <c r="B2491" i="30"/>
  <c r="B2492" i="30"/>
  <c r="B2493" i="30"/>
  <c r="B2494" i="30"/>
  <c r="B2495" i="30"/>
  <c r="B2496" i="30"/>
  <c r="B2497" i="30"/>
  <c r="B2498" i="30"/>
  <c r="B2499" i="30"/>
  <c r="B2500" i="30"/>
  <c r="B2501" i="30"/>
  <c r="B2502" i="30"/>
  <c r="B2503" i="30"/>
  <c r="B2504" i="30"/>
  <c r="B2505" i="30"/>
  <c r="B2506" i="30"/>
  <c r="B2507" i="30"/>
  <c r="B2508" i="30"/>
  <c r="B2509" i="30"/>
  <c r="B2510" i="30"/>
  <c r="B2511" i="30"/>
  <c r="B2512" i="30"/>
  <c r="B2513" i="30"/>
  <c r="B2514" i="30"/>
  <c r="B2515" i="30"/>
  <c r="B2516" i="30"/>
  <c r="B2517" i="30"/>
  <c r="B2518" i="30"/>
  <c r="B2519" i="30"/>
  <c r="B2520" i="30"/>
  <c r="B2521" i="30"/>
  <c r="B2522" i="30"/>
  <c r="B2523" i="30"/>
  <c r="B2524" i="30"/>
  <c r="B2525" i="30"/>
  <c r="B2526" i="30"/>
  <c r="B2527" i="30"/>
  <c r="B2528" i="30"/>
  <c r="B2529" i="30"/>
  <c r="B2530" i="30"/>
  <c r="B2531" i="30"/>
  <c r="B2532" i="30"/>
  <c r="B2533" i="30"/>
  <c r="B2534" i="30"/>
  <c r="B2535" i="30"/>
  <c r="B2536" i="30"/>
  <c r="B2537" i="30"/>
  <c r="B2538" i="30"/>
  <c r="B2539" i="30"/>
  <c r="B2540" i="30"/>
  <c r="B2541" i="30"/>
  <c r="B2542" i="30"/>
  <c r="B2543" i="30"/>
  <c r="B2544" i="30"/>
  <c r="B2545" i="30"/>
  <c r="B2546" i="30"/>
  <c r="B2547" i="30"/>
  <c r="B2548" i="30"/>
  <c r="B2549" i="30"/>
  <c r="B2550" i="30"/>
  <c r="B2551" i="30"/>
  <c r="B2552" i="30"/>
  <c r="B2553" i="30"/>
  <c r="B2554" i="30"/>
  <c r="B2555" i="30"/>
  <c r="B2556" i="30"/>
  <c r="B2557" i="30"/>
  <c r="B2558" i="30"/>
  <c r="B2559" i="30"/>
  <c r="B2560" i="30"/>
  <c r="B2561" i="30"/>
  <c r="B2562" i="30"/>
  <c r="B2563" i="30"/>
  <c r="B2564" i="30"/>
  <c r="B2565" i="30"/>
  <c r="B2566" i="30"/>
  <c r="B2567" i="30"/>
  <c r="B2568" i="30"/>
  <c r="B2569" i="30"/>
  <c r="B2570" i="30"/>
  <c r="B2571" i="30"/>
  <c r="B2572" i="30"/>
  <c r="B2573" i="30"/>
  <c r="B2574" i="30"/>
  <c r="B2575" i="30"/>
  <c r="B2576" i="30"/>
  <c r="B2577" i="30"/>
  <c r="B2578" i="30"/>
  <c r="B2579" i="30"/>
  <c r="B2580" i="30"/>
  <c r="B2581" i="30"/>
  <c r="B2582" i="30"/>
  <c r="B2583" i="30"/>
  <c r="B2584" i="30"/>
  <c r="B2585" i="30"/>
  <c r="B2586" i="30"/>
  <c r="B2587" i="30"/>
  <c r="B2588" i="30"/>
  <c r="B2589" i="30"/>
  <c r="B2590" i="30"/>
  <c r="B2591" i="30"/>
  <c r="B2592" i="30"/>
  <c r="B2593" i="30"/>
  <c r="B2594" i="30"/>
  <c r="B2595" i="30"/>
  <c r="B2596" i="30"/>
  <c r="B2597" i="30"/>
  <c r="B2598" i="30"/>
  <c r="B2599" i="30"/>
  <c r="B2600" i="30"/>
  <c r="B2601" i="30"/>
  <c r="B2602" i="30"/>
  <c r="B2603" i="30"/>
  <c r="B2604" i="30"/>
  <c r="B2605" i="30"/>
  <c r="B2606" i="30"/>
  <c r="B2607" i="30"/>
  <c r="B2608" i="30"/>
  <c r="B2609" i="30"/>
  <c r="B2610" i="30"/>
  <c r="B2611" i="30"/>
  <c r="B2612" i="30"/>
  <c r="B2613" i="30"/>
  <c r="B2614" i="30"/>
  <c r="B2615" i="30"/>
  <c r="B2616" i="30"/>
  <c r="B2617" i="30"/>
  <c r="B2618" i="30"/>
  <c r="B2619" i="30"/>
  <c r="B2620" i="30"/>
  <c r="B2621" i="30"/>
  <c r="B2622" i="30"/>
  <c r="B2623" i="30"/>
  <c r="B2624" i="30"/>
  <c r="B2625" i="30"/>
  <c r="B2626" i="30"/>
  <c r="B2627" i="30"/>
  <c r="B2628" i="30"/>
  <c r="B2629" i="30"/>
  <c r="B2630" i="30"/>
  <c r="B2631" i="30"/>
  <c r="B2632" i="30"/>
  <c r="B2633" i="30"/>
  <c r="B2634" i="30"/>
  <c r="B2635" i="30"/>
  <c r="B2636" i="30"/>
  <c r="B2637" i="30"/>
  <c r="B2638" i="30"/>
  <c r="B2639" i="30"/>
  <c r="B2640" i="30"/>
  <c r="B2641" i="30"/>
  <c r="B2642" i="30"/>
  <c r="B2643" i="30"/>
  <c r="B2644" i="30"/>
  <c r="B2645" i="30"/>
  <c r="B2646" i="30"/>
  <c r="B2647" i="30"/>
  <c r="B2648" i="30"/>
  <c r="B2649" i="30"/>
  <c r="B2650" i="30"/>
  <c r="B2651" i="30"/>
  <c r="B2652" i="30"/>
  <c r="B2653" i="30"/>
  <c r="B2654" i="30"/>
  <c r="B2655" i="30"/>
  <c r="B2656" i="30"/>
  <c r="B2657" i="30"/>
  <c r="B2658" i="30"/>
  <c r="B2659" i="30"/>
  <c r="B2660" i="30"/>
  <c r="B2661" i="30"/>
  <c r="B2662" i="30"/>
  <c r="B2663" i="30"/>
  <c r="B2664" i="30"/>
  <c r="B2665" i="30"/>
  <c r="B2666" i="30"/>
  <c r="B2667" i="30"/>
  <c r="B2668" i="30"/>
  <c r="B2669" i="30"/>
  <c r="B2670" i="30"/>
  <c r="B2671" i="30"/>
  <c r="B2672" i="30"/>
  <c r="B2673" i="30"/>
  <c r="B2674" i="30"/>
  <c r="B2675" i="30"/>
  <c r="B2676" i="30"/>
  <c r="B2677" i="30"/>
  <c r="B2678" i="30"/>
  <c r="B2679" i="30"/>
  <c r="B2680" i="30"/>
  <c r="B2681" i="30"/>
  <c r="B2682" i="30"/>
  <c r="B2683" i="30"/>
  <c r="B2684" i="30"/>
  <c r="B2685" i="30"/>
  <c r="B2686" i="30"/>
  <c r="B2687" i="30"/>
  <c r="B2688" i="30"/>
  <c r="B2689" i="30"/>
  <c r="B2690" i="30"/>
  <c r="B2691" i="30"/>
  <c r="B2692" i="30"/>
  <c r="B2693" i="30"/>
  <c r="B2694" i="30"/>
  <c r="B2695" i="30"/>
  <c r="B2696" i="30"/>
  <c r="B2697" i="30"/>
  <c r="B2698" i="30"/>
  <c r="B2699" i="30"/>
  <c r="B2700" i="30"/>
  <c r="B2701" i="30"/>
  <c r="B2702" i="30"/>
  <c r="B2703" i="30"/>
  <c r="B2704" i="30"/>
  <c r="B2705" i="30"/>
  <c r="B2706" i="30"/>
  <c r="B2707" i="30"/>
  <c r="B2708" i="30"/>
  <c r="B2709" i="30"/>
  <c r="B2710" i="30"/>
  <c r="B2711" i="30"/>
  <c r="B2712" i="30"/>
  <c r="B2713" i="30"/>
  <c r="B2714" i="30"/>
  <c r="B2715" i="30"/>
  <c r="B2716" i="30"/>
  <c r="B2717" i="30"/>
  <c r="B2718" i="30"/>
  <c r="B2719" i="30"/>
  <c r="B2720" i="30"/>
  <c r="B2721" i="30"/>
  <c r="B2722" i="30"/>
  <c r="B2723" i="30"/>
  <c r="B2724" i="30"/>
  <c r="B2725" i="30"/>
  <c r="B2726" i="30"/>
  <c r="B2727" i="30"/>
  <c r="B2728" i="30"/>
  <c r="B2729" i="30"/>
  <c r="B2730" i="30"/>
  <c r="B2731" i="30"/>
  <c r="B2732" i="30"/>
  <c r="B2733" i="30"/>
  <c r="B2734" i="30"/>
  <c r="B2735" i="30"/>
  <c r="B2736" i="30"/>
  <c r="B2737" i="30"/>
  <c r="B2738" i="30"/>
  <c r="B2739" i="30"/>
  <c r="B2740" i="30"/>
  <c r="B2741" i="30"/>
  <c r="B2742" i="30"/>
  <c r="B2743" i="30"/>
  <c r="B2744" i="30"/>
  <c r="B2745" i="30"/>
  <c r="B2746" i="30"/>
  <c r="B2747" i="30"/>
  <c r="B2748" i="30"/>
  <c r="B2749" i="30"/>
  <c r="B2750" i="30"/>
  <c r="B2751" i="30"/>
  <c r="B2752" i="30"/>
  <c r="B2753" i="30"/>
  <c r="B2754" i="30"/>
  <c r="B2755" i="30"/>
  <c r="B2756" i="30"/>
  <c r="B2757" i="30"/>
  <c r="B2758" i="30"/>
  <c r="B2759" i="30"/>
  <c r="B2760" i="30"/>
  <c r="B2761" i="30"/>
  <c r="B2762" i="30"/>
  <c r="B2763" i="30"/>
  <c r="B2764" i="30"/>
  <c r="B2765" i="30"/>
  <c r="B2766" i="30"/>
  <c r="B2767" i="30"/>
  <c r="B2768" i="30"/>
  <c r="B2769" i="30"/>
  <c r="B2770" i="30"/>
  <c r="B2771" i="30"/>
  <c r="B2772" i="30"/>
  <c r="B2773" i="30"/>
  <c r="B2774" i="30"/>
  <c r="B2775" i="30"/>
  <c r="B2776" i="30"/>
  <c r="B2777" i="30"/>
  <c r="B2778" i="30"/>
  <c r="B2779" i="30"/>
  <c r="B2780" i="30"/>
  <c r="B2781" i="30"/>
  <c r="B2782" i="30"/>
  <c r="B2783" i="30"/>
  <c r="B2784" i="30"/>
  <c r="B2785" i="30"/>
  <c r="B2786" i="30"/>
  <c r="B2787" i="30"/>
  <c r="B2788" i="30"/>
  <c r="B2789" i="30"/>
  <c r="B2790" i="30"/>
  <c r="B2791" i="30"/>
  <c r="B2792" i="30"/>
  <c r="B2793" i="30"/>
  <c r="B2794" i="30"/>
  <c r="B2795" i="30"/>
  <c r="B2796" i="30"/>
  <c r="B2797" i="30"/>
  <c r="B2798" i="30"/>
  <c r="B2799" i="30"/>
  <c r="B2800" i="30"/>
  <c r="B2801" i="30"/>
  <c r="B2802" i="30"/>
  <c r="B2803" i="30"/>
  <c r="B2804" i="30"/>
  <c r="B2805" i="30"/>
  <c r="B2806" i="30"/>
  <c r="B2807" i="30"/>
  <c r="B2808" i="30"/>
  <c r="B2809" i="30"/>
  <c r="B2810" i="30"/>
  <c r="B2811" i="30"/>
  <c r="B2812" i="30"/>
  <c r="B2813" i="30"/>
  <c r="B2814" i="30"/>
  <c r="B2815" i="30"/>
  <c r="B2816" i="30"/>
  <c r="B2817" i="30"/>
  <c r="B2818" i="30"/>
  <c r="B2819" i="30"/>
  <c r="B2820" i="30"/>
  <c r="B2821" i="30"/>
  <c r="B2822" i="30"/>
  <c r="B2823" i="30"/>
  <c r="B2824" i="30"/>
  <c r="B2825" i="30"/>
  <c r="B2826" i="30"/>
  <c r="B2827" i="30"/>
  <c r="B2828" i="30"/>
  <c r="B2829" i="30"/>
  <c r="B2830" i="30"/>
  <c r="B2831" i="30"/>
  <c r="B2832" i="30"/>
  <c r="B2833" i="30"/>
  <c r="B2834" i="30"/>
  <c r="B2835" i="30"/>
  <c r="B2836" i="30"/>
  <c r="B2837" i="30"/>
  <c r="B2838" i="30"/>
  <c r="B2839" i="30"/>
  <c r="B2840" i="30"/>
  <c r="B2841" i="30"/>
  <c r="B2842" i="30"/>
  <c r="B2843" i="30"/>
  <c r="B2844" i="30"/>
  <c r="B2845" i="30"/>
  <c r="B2846" i="30"/>
  <c r="B2847" i="30"/>
  <c r="B2848" i="30"/>
  <c r="B2849" i="30"/>
  <c r="B2850" i="30"/>
  <c r="B2851" i="30"/>
  <c r="B2852" i="30"/>
  <c r="B2853" i="30"/>
  <c r="B2854" i="30"/>
  <c r="B2855" i="30"/>
  <c r="B2856" i="30"/>
  <c r="B2857" i="30"/>
  <c r="B2858" i="30"/>
  <c r="B2859" i="30"/>
  <c r="B2860" i="30"/>
  <c r="B2861" i="30"/>
  <c r="B2862" i="30"/>
  <c r="B2863" i="30"/>
  <c r="B2864" i="30"/>
  <c r="B2865" i="30"/>
  <c r="B2866" i="30"/>
  <c r="B2867" i="30"/>
  <c r="B2868" i="30"/>
  <c r="B2869" i="30"/>
  <c r="B2870" i="30"/>
  <c r="B2871" i="30"/>
  <c r="B2872" i="30"/>
  <c r="B2873" i="30"/>
  <c r="B2874" i="30"/>
  <c r="B2875" i="30"/>
  <c r="B2876" i="30"/>
  <c r="B2877" i="30"/>
  <c r="B2878" i="30"/>
  <c r="B2879" i="30"/>
  <c r="B2880" i="30"/>
  <c r="B2881" i="30"/>
  <c r="B2882" i="30"/>
  <c r="B2883" i="30"/>
  <c r="B2884" i="30"/>
  <c r="B2885" i="30"/>
  <c r="B2886" i="30"/>
  <c r="B2887" i="30"/>
  <c r="B2888" i="30"/>
  <c r="B2889" i="30"/>
  <c r="B2890" i="30"/>
  <c r="B2891" i="30"/>
  <c r="B2892" i="30"/>
  <c r="B2893" i="30"/>
  <c r="B2894" i="30"/>
  <c r="B2895" i="30"/>
  <c r="B2896" i="30"/>
  <c r="B2897" i="30"/>
  <c r="B2898" i="30"/>
  <c r="B2899" i="30"/>
  <c r="B2900" i="30"/>
  <c r="B2901" i="30"/>
  <c r="B2902" i="30"/>
  <c r="B2903" i="30"/>
  <c r="B2904" i="30"/>
  <c r="B2905" i="30"/>
  <c r="B2906" i="30"/>
  <c r="B2907" i="30"/>
  <c r="B2908" i="30"/>
  <c r="B2909" i="30"/>
  <c r="B2910" i="30"/>
  <c r="B2911" i="30"/>
  <c r="B2912" i="30"/>
  <c r="B2913" i="30"/>
  <c r="B2914" i="30"/>
  <c r="B2915" i="30"/>
  <c r="B2916" i="30"/>
  <c r="B2917" i="30"/>
  <c r="B2918" i="30"/>
  <c r="B2919" i="30"/>
  <c r="B2920" i="30"/>
  <c r="B2921" i="30"/>
  <c r="B2922" i="30"/>
  <c r="B2923" i="30"/>
  <c r="B2924" i="30"/>
  <c r="B2925" i="30"/>
  <c r="B2926" i="30"/>
  <c r="B2927" i="30"/>
  <c r="B2928" i="30"/>
  <c r="B2929" i="30"/>
  <c r="B2930" i="30"/>
  <c r="B2931" i="30"/>
  <c r="B2932" i="30"/>
  <c r="B2933" i="30"/>
  <c r="B2934" i="30"/>
  <c r="B2935" i="30"/>
  <c r="B2936" i="30"/>
  <c r="B2937" i="30"/>
  <c r="B2938" i="30"/>
  <c r="B2939" i="30"/>
  <c r="B2940" i="30"/>
  <c r="B2941" i="30"/>
  <c r="B2942" i="30"/>
  <c r="B2943" i="30"/>
  <c r="B2944" i="30"/>
  <c r="B2945" i="30"/>
  <c r="B2946" i="30"/>
  <c r="B2947" i="30"/>
  <c r="B2948" i="30"/>
  <c r="B2949" i="30"/>
  <c r="B2950" i="30"/>
  <c r="B2951" i="30"/>
  <c r="B2952" i="30"/>
  <c r="B2953" i="30"/>
  <c r="B2954" i="30"/>
  <c r="B2955" i="30"/>
  <c r="B2956" i="30"/>
  <c r="B2957" i="30"/>
  <c r="B2958" i="30"/>
  <c r="B2959" i="30"/>
  <c r="B2960" i="30"/>
  <c r="B2961" i="30"/>
  <c r="B2962" i="30"/>
  <c r="B2963" i="30"/>
  <c r="B2964" i="30"/>
  <c r="B2965" i="30"/>
  <c r="B2966" i="30"/>
  <c r="B2967" i="30"/>
  <c r="B2968" i="30"/>
  <c r="B2969" i="30"/>
  <c r="B2970" i="30"/>
  <c r="B2971" i="30"/>
  <c r="B2972" i="30"/>
  <c r="B2973" i="30"/>
  <c r="B2974" i="30"/>
  <c r="B2975" i="30"/>
  <c r="B2976" i="30"/>
  <c r="B2977" i="30"/>
  <c r="B2978" i="30"/>
  <c r="B2979" i="30"/>
  <c r="B2980" i="30"/>
  <c r="B2981" i="30"/>
  <c r="B2982" i="30"/>
  <c r="B2983" i="30"/>
  <c r="B2984" i="30"/>
  <c r="B2985" i="30"/>
  <c r="B2986" i="30"/>
  <c r="B2987" i="30"/>
  <c r="B2988" i="30"/>
  <c r="B2989" i="30"/>
  <c r="B2990" i="30"/>
  <c r="B2991" i="30"/>
  <c r="B2992" i="30"/>
  <c r="B2993" i="30"/>
  <c r="B2994" i="30"/>
  <c r="B2995" i="30"/>
  <c r="B2996" i="30"/>
  <c r="B2997" i="30"/>
  <c r="B2998" i="30"/>
  <c r="B2999" i="30"/>
  <c r="B3000" i="30"/>
  <c r="B3001" i="30"/>
  <c r="B3002" i="30"/>
  <c r="B3003" i="30"/>
  <c r="B3004" i="30"/>
  <c r="B3005" i="30"/>
  <c r="B3006" i="30"/>
  <c r="B3007" i="30"/>
  <c r="B3008" i="30"/>
  <c r="B3009" i="30"/>
  <c r="B3010" i="30"/>
  <c r="B3011" i="30"/>
  <c r="B3012" i="30"/>
  <c r="B3013" i="30"/>
  <c r="B3014" i="30"/>
  <c r="B3015" i="30"/>
  <c r="B3016" i="30"/>
  <c r="B3017" i="30"/>
  <c r="B3018" i="30"/>
  <c r="B3019" i="30"/>
  <c r="B3020" i="30"/>
  <c r="B3021" i="30"/>
  <c r="B3022" i="30"/>
  <c r="B3023" i="30"/>
  <c r="B3024" i="30"/>
  <c r="B3025" i="30"/>
  <c r="B3026" i="30"/>
  <c r="B3027" i="30"/>
  <c r="B3028" i="30"/>
  <c r="B3029" i="30"/>
  <c r="B3030" i="30"/>
  <c r="B3031" i="30"/>
  <c r="B3032" i="30"/>
  <c r="B3033" i="30"/>
  <c r="B3034" i="30"/>
  <c r="B3035" i="30"/>
  <c r="B3036" i="30"/>
  <c r="B3037" i="30"/>
  <c r="B3038" i="30"/>
  <c r="B3039" i="30"/>
  <c r="B3040" i="30"/>
  <c r="B3041" i="30"/>
  <c r="B3042" i="30"/>
  <c r="B3043" i="30"/>
  <c r="B3044" i="30"/>
  <c r="B3045" i="30"/>
  <c r="B3046" i="30"/>
  <c r="B3047" i="30"/>
  <c r="B3048" i="30"/>
  <c r="B3049" i="30"/>
  <c r="B3050" i="30"/>
  <c r="B3051" i="30"/>
  <c r="B3052" i="30"/>
  <c r="B3053" i="30"/>
  <c r="B3054" i="30"/>
  <c r="B3055" i="30"/>
  <c r="B3056" i="30"/>
  <c r="B3057" i="30"/>
  <c r="B3058" i="30"/>
  <c r="B3059" i="30"/>
  <c r="B3060" i="30"/>
  <c r="B3061" i="30"/>
  <c r="B3062" i="30"/>
  <c r="B3063" i="30"/>
  <c r="B3064" i="30"/>
  <c r="B3065" i="30"/>
  <c r="B3066" i="30"/>
  <c r="B3067" i="30"/>
  <c r="B3068" i="30"/>
  <c r="B3069" i="30"/>
  <c r="B3070" i="30"/>
  <c r="B3071" i="30"/>
  <c r="B3072" i="30"/>
  <c r="B3073" i="30"/>
  <c r="B3074" i="30"/>
  <c r="B3075" i="30"/>
  <c r="B3076" i="30"/>
  <c r="B3077" i="30"/>
  <c r="B3078" i="30"/>
  <c r="B3079" i="30"/>
  <c r="B3080" i="30"/>
  <c r="B3081" i="30"/>
  <c r="B3082" i="30"/>
  <c r="B3083" i="30"/>
  <c r="B3084" i="30"/>
  <c r="B3085" i="30"/>
  <c r="B3086" i="30"/>
  <c r="B3087" i="30"/>
  <c r="B3088" i="30"/>
  <c r="B3089" i="30"/>
  <c r="B3090" i="30"/>
  <c r="B3091" i="30"/>
  <c r="B3092" i="30"/>
  <c r="B3093" i="30"/>
  <c r="B3094" i="30"/>
  <c r="B3095" i="30"/>
  <c r="B3096" i="30"/>
  <c r="B3097" i="30"/>
  <c r="B3098" i="30"/>
  <c r="B3099" i="30"/>
  <c r="B3100" i="30"/>
  <c r="B3101" i="30"/>
  <c r="B3102" i="30"/>
  <c r="B3103" i="30"/>
  <c r="B3104" i="30"/>
  <c r="B3105" i="30"/>
  <c r="B3106" i="30"/>
  <c r="B3107" i="30"/>
  <c r="B3108" i="30"/>
  <c r="B3109" i="30"/>
  <c r="B3110" i="30"/>
  <c r="B3111" i="30"/>
  <c r="B3112" i="30"/>
  <c r="B3113" i="30"/>
  <c r="B3114" i="30"/>
  <c r="B3115" i="30"/>
  <c r="B3116" i="30"/>
  <c r="B3117" i="30"/>
  <c r="B3118" i="30"/>
  <c r="B3119" i="30"/>
  <c r="B3120" i="30"/>
  <c r="B3121" i="30"/>
  <c r="B3122" i="30"/>
  <c r="B3123" i="30"/>
  <c r="B3124" i="30"/>
  <c r="B3125" i="30"/>
  <c r="B3126" i="30"/>
  <c r="B3127" i="30"/>
  <c r="B3128" i="30"/>
  <c r="B3129" i="30"/>
  <c r="B3130" i="30"/>
  <c r="B3131" i="30"/>
  <c r="B3132" i="30"/>
  <c r="B3133" i="30"/>
  <c r="B3134" i="30"/>
  <c r="B3135" i="30"/>
  <c r="B3136" i="30"/>
  <c r="B3137" i="30"/>
  <c r="B3138" i="30"/>
  <c r="B3139" i="30"/>
  <c r="B3140" i="30"/>
  <c r="B3141" i="30"/>
  <c r="B3142" i="30"/>
  <c r="B3143" i="30"/>
  <c r="B3144" i="30"/>
  <c r="B3145" i="30"/>
  <c r="B3146" i="30"/>
  <c r="B3147" i="30"/>
  <c r="B3148" i="30"/>
  <c r="B3149" i="30"/>
  <c r="B3150" i="30"/>
  <c r="B3151" i="30"/>
  <c r="B3152" i="30"/>
  <c r="B3153" i="30"/>
  <c r="B3154" i="30"/>
  <c r="B3155" i="30"/>
  <c r="B3156" i="30"/>
  <c r="B3157" i="30"/>
  <c r="B3158" i="30"/>
  <c r="B3159" i="30"/>
  <c r="B3160" i="30"/>
  <c r="B3161" i="30"/>
  <c r="B3162" i="30"/>
  <c r="B3163" i="30"/>
  <c r="B3164" i="30"/>
  <c r="B3165" i="30"/>
  <c r="B3166" i="30"/>
  <c r="B3167" i="30"/>
  <c r="B3168" i="30"/>
  <c r="B3169" i="30"/>
  <c r="B3170" i="30"/>
  <c r="B3171" i="30"/>
  <c r="B3172" i="30"/>
  <c r="B3173" i="30"/>
  <c r="B3174" i="30"/>
  <c r="B3175" i="30"/>
  <c r="B3176" i="30"/>
  <c r="B3177" i="30"/>
  <c r="B3178" i="30"/>
  <c r="B3179" i="30"/>
  <c r="B3180" i="30"/>
  <c r="B3181" i="30"/>
  <c r="B3182" i="30"/>
  <c r="B3183" i="30"/>
  <c r="B3184" i="30"/>
  <c r="B3185" i="30"/>
  <c r="B3186" i="30"/>
  <c r="B3187" i="30"/>
  <c r="B3188" i="30"/>
  <c r="B3189" i="30"/>
  <c r="B3190" i="30"/>
  <c r="B3191" i="30"/>
  <c r="B3192" i="30"/>
  <c r="B3193" i="30"/>
  <c r="B3194" i="30"/>
  <c r="B3195" i="30"/>
  <c r="B3196" i="30"/>
  <c r="B3197" i="30"/>
  <c r="B3198" i="30"/>
  <c r="B3199" i="30"/>
  <c r="B3200" i="30"/>
  <c r="B3201" i="30"/>
  <c r="B3202" i="30"/>
  <c r="B3203" i="30"/>
  <c r="B3204" i="30"/>
  <c r="B3205" i="30"/>
  <c r="B3206" i="30"/>
  <c r="B3207" i="30"/>
  <c r="B3208" i="30"/>
  <c r="B3209" i="30"/>
  <c r="B3210" i="30"/>
  <c r="B3211" i="30"/>
  <c r="B3212" i="30"/>
  <c r="B3213" i="30"/>
  <c r="B3214" i="30"/>
  <c r="B3215" i="30"/>
  <c r="B3216" i="30"/>
  <c r="B3217" i="30"/>
  <c r="B3218" i="30"/>
  <c r="B3219" i="30"/>
  <c r="B3220" i="30"/>
  <c r="B3221" i="30"/>
  <c r="B3222" i="30"/>
  <c r="B3223" i="30"/>
  <c r="B3224" i="30"/>
  <c r="B3225" i="30"/>
  <c r="B3226" i="30"/>
  <c r="B3227" i="30"/>
  <c r="B3228" i="30"/>
  <c r="B3229" i="30"/>
  <c r="B3230" i="30"/>
  <c r="B3231" i="30"/>
  <c r="B3232" i="30"/>
  <c r="B3233" i="30"/>
  <c r="B3234" i="30"/>
  <c r="B3235" i="30"/>
  <c r="B3236" i="30"/>
  <c r="B3237" i="30"/>
  <c r="B3238" i="30"/>
  <c r="B3239" i="30"/>
  <c r="B3240" i="30"/>
  <c r="B3241" i="30"/>
  <c r="B3242" i="30"/>
  <c r="B3243" i="30"/>
  <c r="B3244" i="30"/>
  <c r="B3245" i="30"/>
  <c r="B3246" i="30"/>
  <c r="B3247" i="30"/>
  <c r="B3248" i="30"/>
  <c r="B3249" i="30"/>
  <c r="B3250" i="30"/>
  <c r="B3251" i="30"/>
  <c r="B3252" i="30"/>
  <c r="B3253" i="30"/>
  <c r="B3254" i="30"/>
  <c r="B3255" i="30"/>
  <c r="B3256" i="30"/>
  <c r="B3257" i="30"/>
  <c r="B3258" i="30"/>
  <c r="B3259" i="30"/>
  <c r="B3260" i="30"/>
  <c r="B3261" i="30"/>
  <c r="B3262" i="30"/>
  <c r="B3263" i="30"/>
  <c r="B3264" i="30"/>
  <c r="B3265" i="30"/>
  <c r="B3266" i="30"/>
  <c r="B3267" i="30"/>
  <c r="B3268" i="30"/>
  <c r="B3269" i="30"/>
  <c r="B3270" i="30"/>
  <c r="B3271" i="30"/>
  <c r="B3272" i="30"/>
  <c r="B3273" i="30"/>
  <c r="B3274" i="30"/>
  <c r="B3275" i="30"/>
  <c r="B3276" i="30"/>
  <c r="B3277" i="30"/>
  <c r="B3278" i="30"/>
  <c r="B3279" i="30"/>
  <c r="B3280" i="30"/>
  <c r="B3281" i="30"/>
  <c r="B3282" i="30"/>
  <c r="B3283" i="30"/>
  <c r="B3284" i="30"/>
  <c r="B3285" i="30"/>
  <c r="B3286" i="30"/>
  <c r="B3287" i="30"/>
  <c r="B3288" i="30"/>
  <c r="B3289" i="30"/>
  <c r="B3290" i="30"/>
  <c r="B3291" i="30"/>
  <c r="B3292" i="30"/>
  <c r="B3293" i="30"/>
  <c r="B3294" i="30"/>
  <c r="B3295" i="30"/>
  <c r="B3296" i="30"/>
  <c r="B3297" i="30"/>
  <c r="B3298" i="30"/>
  <c r="B3299" i="30"/>
  <c r="B3300" i="30"/>
  <c r="B3301" i="30"/>
  <c r="B3302" i="30"/>
  <c r="B3303" i="30"/>
  <c r="B3304" i="30"/>
  <c r="B3305" i="30"/>
  <c r="B3306" i="30"/>
  <c r="B3307" i="30"/>
  <c r="B3308" i="30"/>
  <c r="B3309" i="30"/>
  <c r="B3310" i="30"/>
  <c r="B3311" i="30"/>
  <c r="B3312" i="30"/>
  <c r="B3313" i="30"/>
  <c r="B3314" i="30"/>
  <c r="B3315" i="30"/>
  <c r="B3316" i="30"/>
  <c r="B3317" i="30"/>
  <c r="B3318" i="30"/>
  <c r="B3319" i="30"/>
  <c r="B3320" i="30"/>
  <c r="B3321" i="30"/>
  <c r="B3322" i="30"/>
  <c r="B3323" i="30"/>
  <c r="B3324" i="30"/>
  <c r="B3325" i="30"/>
  <c r="B3326" i="30"/>
  <c r="B3327" i="30"/>
  <c r="B3328" i="30"/>
  <c r="B3329" i="30"/>
  <c r="B3330" i="30"/>
  <c r="B3331" i="30"/>
  <c r="B3332" i="30"/>
  <c r="B3333" i="30"/>
  <c r="B3334" i="30"/>
  <c r="B3335" i="30"/>
  <c r="B3336" i="30"/>
  <c r="B3337" i="30"/>
  <c r="B3338" i="30"/>
  <c r="B3339" i="30"/>
  <c r="B3340" i="30"/>
  <c r="B3341" i="30"/>
  <c r="B3342" i="30"/>
  <c r="B3343" i="30"/>
  <c r="B3344" i="30"/>
  <c r="B3345" i="30"/>
  <c r="B3346" i="30"/>
  <c r="B3347" i="30"/>
  <c r="B3348" i="30"/>
  <c r="B3349" i="30"/>
  <c r="B3350" i="30"/>
  <c r="B3351" i="30"/>
  <c r="B3352" i="30"/>
  <c r="B3353" i="30"/>
  <c r="B3354" i="30"/>
  <c r="B3355" i="30"/>
  <c r="B3356" i="30"/>
  <c r="B3357" i="30"/>
  <c r="B3358" i="30"/>
  <c r="B3359" i="30"/>
  <c r="B3360" i="30"/>
  <c r="B3361" i="30"/>
  <c r="B3362" i="30"/>
  <c r="B3363" i="30"/>
  <c r="B3364" i="30"/>
  <c r="B3365" i="30"/>
  <c r="B3366" i="30"/>
  <c r="B3367" i="30"/>
  <c r="B3368" i="30"/>
  <c r="B3369" i="30"/>
  <c r="B3370" i="30"/>
  <c r="B3371" i="30"/>
  <c r="B3372" i="30"/>
  <c r="B3373" i="30"/>
  <c r="B3374" i="30"/>
  <c r="B3375" i="30"/>
  <c r="B3376" i="30"/>
  <c r="B3377" i="30"/>
  <c r="B3378" i="30"/>
  <c r="B3379" i="30"/>
  <c r="B3380" i="30"/>
  <c r="B3381" i="30"/>
  <c r="B3382" i="30"/>
  <c r="B3383" i="30"/>
  <c r="B3384" i="30"/>
  <c r="B3385" i="30"/>
  <c r="B3386" i="30"/>
  <c r="B3387" i="30"/>
  <c r="B3388" i="30"/>
  <c r="B3389" i="30"/>
  <c r="B3390" i="30"/>
  <c r="B3391" i="30"/>
  <c r="B3392" i="30"/>
  <c r="B3393" i="30"/>
  <c r="B3394" i="30"/>
  <c r="B3395" i="30"/>
  <c r="B3396" i="30"/>
  <c r="B3397" i="30"/>
  <c r="B3398" i="30"/>
  <c r="B3399" i="30"/>
  <c r="B3400" i="30"/>
  <c r="B3401" i="30"/>
  <c r="B3402" i="30"/>
  <c r="B3403" i="30"/>
  <c r="B3404" i="30"/>
  <c r="B3405" i="30"/>
  <c r="B3406" i="30"/>
  <c r="B3407" i="30"/>
  <c r="B3408" i="30"/>
  <c r="B3409" i="30"/>
  <c r="B3410" i="30"/>
  <c r="B3411" i="30"/>
  <c r="B3412" i="30"/>
  <c r="B3413" i="30"/>
  <c r="B3414" i="30"/>
  <c r="B3415" i="30"/>
  <c r="B3416" i="30"/>
  <c r="B3417" i="30"/>
  <c r="B3418" i="30"/>
  <c r="B3419" i="30"/>
  <c r="B3420" i="30"/>
  <c r="B3421" i="30"/>
  <c r="B3422" i="30"/>
  <c r="B3423" i="30"/>
  <c r="B3424" i="30"/>
  <c r="B3425" i="30"/>
  <c r="B3426" i="30"/>
  <c r="B3427" i="30"/>
  <c r="B3428" i="30"/>
  <c r="B3429" i="30"/>
  <c r="B3430" i="30"/>
  <c r="B3431" i="30"/>
  <c r="B3432" i="30"/>
  <c r="B3433" i="30"/>
  <c r="B3434" i="30"/>
  <c r="B3435" i="30"/>
  <c r="B3436" i="30"/>
  <c r="B3437" i="30"/>
  <c r="B3438" i="30"/>
  <c r="B3439" i="30"/>
  <c r="B3440" i="30"/>
  <c r="B3441" i="30"/>
  <c r="B3442" i="30"/>
  <c r="B3443" i="30"/>
  <c r="B3444" i="30"/>
  <c r="B3445" i="30"/>
  <c r="B3446" i="30"/>
  <c r="B3447" i="30"/>
  <c r="B3448" i="30"/>
  <c r="B3449" i="30"/>
  <c r="B3450" i="30"/>
  <c r="B3451" i="30"/>
  <c r="B3452" i="30"/>
  <c r="B3453" i="30"/>
  <c r="B3454" i="30"/>
  <c r="B3455" i="30"/>
  <c r="B3456" i="30"/>
  <c r="B3457" i="30"/>
  <c r="B3458" i="30"/>
  <c r="B3459" i="30"/>
  <c r="B3460" i="30"/>
  <c r="B3461" i="30"/>
  <c r="B3462" i="30"/>
  <c r="B3463" i="30"/>
  <c r="B3464" i="30"/>
  <c r="B3465" i="30"/>
  <c r="B3466" i="30"/>
  <c r="B3467" i="30"/>
  <c r="B3468" i="30"/>
  <c r="B3469" i="30"/>
  <c r="B3470" i="30"/>
  <c r="B3471" i="30"/>
  <c r="B3472" i="30"/>
  <c r="B3473" i="30"/>
  <c r="B3474" i="30"/>
  <c r="B3475" i="30"/>
  <c r="B3476" i="30"/>
  <c r="B3477" i="30"/>
  <c r="B3478" i="30"/>
  <c r="B3479" i="30"/>
  <c r="B3480" i="30"/>
  <c r="B3481" i="30"/>
  <c r="B3482" i="30"/>
  <c r="B3483" i="30"/>
  <c r="B3484" i="30"/>
  <c r="B3485" i="30"/>
  <c r="B3486" i="30"/>
  <c r="B3487" i="30"/>
  <c r="B3488" i="30"/>
  <c r="B3489" i="30"/>
  <c r="B3490" i="30"/>
  <c r="B3491" i="30"/>
  <c r="B3492" i="30"/>
  <c r="B3493" i="30"/>
  <c r="B3494" i="30"/>
  <c r="B3495" i="30"/>
  <c r="B3496" i="30"/>
  <c r="B3497" i="30"/>
  <c r="B3498" i="30"/>
  <c r="B3499" i="30"/>
  <c r="B3500" i="30"/>
  <c r="B3501" i="30"/>
  <c r="B3502" i="30"/>
  <c r="B3503" i="30"/>
  <c r="B3504" i="30"/>
  <c r="B3505" i="30"/>
  <c r="B3506" i="30"/>
  <c r="B3507" i="30"/>
  <c r="B3508" i="30"/>
  <c r="B3509" i="30"/>
  <c r="B3510" i="30"/>
  <c r="B3511" i="30"/>
  <c r="B3512" i="30"/>
  <c r="B3513" i="30"/>
  <c r="B3514" i="30"/>
  <c r="B3515" i="30"/>
  <c r="B3516" i="30"/>
  <c r="B3517" i="30"/>
  <c r="B3518" i="30"/>
  <c r="B3519" i="30"/>
  <c r="B3520" i="30"/>
  <c r="B3521" i="30"/>
  <c r="B3522" i="30"/>
  <c r="B3523" i="30"/>
  <c r="B3524" i="30"/>
  <c r="B3525" i="30"/>
  <c r="B3526" i="30"/>
  <c r="B3527" i="30"/>
  <c r="B3528" i="30"/>
  <c r="B3529" i="30"/>
  <c r="B3530" i="30"/>
  <c r="B3531" i="30"/>
  <c r="B3532" i="30"/>
  <c r="B3533" i="30"/>
  <c r="B3534" i="30"/>
  <c r="B3535" i="30"/>
  <c r="B3536" i="30"/>
  <c r="B3537" i="30"/>
  <c r="B3538" i="30"/>
  <c r="B3539" i="30"/>
  <c r="B3540" i="30"/>
  <c r="B3541" i="30"/>
  <c r="B3542" i="30"/>
  <c r="B3543" i="30"/>
  <c r="B3544" i="30"/>
  <c r="B3545" i="30"/>
  <c r="B3546" i="30"/>
  <c r="B3547" i="30"/>
  <c r="B3548" i="30"/>
  <c r="B3549" i="30"/>
  <c r="B3550" i="30"/>
  <c r="B3551" i="30"/>
  <c r="B3552" i="30"/>
  <c r="B3553" i="30"/>
  <c r="B3554" i="30"/>
  <c r="B3555" i="30"/>
  <c r="B3556" i="30"/>
  <c r="B3557" i="30"/>
  <c r="B3558" i="30"/>
  <c r="B3559" i="30"/>
  <c r="B3560" i="30"/>
  <c r="B3561" i="30"/>
  <c r="B3562" i="30"/>
  <c r="B3563" i="30"/>
  <c r="B3564" i="30"/>
  <c r="B3565" i="30"/>
  <c r="B3566" i="30"/>
  <c r="B3567" i="30"/>
  <c r="B3568" i="30"/>
  <c r="B3569" i="30"/>
  <c r="B3570" i="30"/>
  <c r="B3571" i="30"/>
  <c r="B3572" i="30"/>
  <c r="B3573" i="30"/>
  <c r="B3574" i="30"/>
  <c r="B3575" i="30"/>
  <c r="B3576" i="30"/>
  <c r="B3577" i="30"/>
  <c r="B3578" i="30"/>
  <c r="B3579" i="30"/>
  <c r="B3580" i="30"/>
  <c r="B3581" i="30"/>
  <c r="B3582" i="30"/>
  <c r="B3583" i="30"/>
  <c r="B3584" i="30"/>
  <c r="B3585" i="30"/>
  <c r="B3586" i="30"/>
  <c r="B3587" i="30"/>
  <c r="B3588" i="30"/>
  <c r="B3589" i="30"/>
  <c r="B3590" i="30"/>
  <c r="B3591" i="30"/>
  <c r="B3592" i="30"/>
  <c r="B3593" i="30"/>
  <c r="B3594" i="30"/>
  <c r="B3595" i="30"/>
  <c r="B3596" i="30"/>
  <c r="B3597" i="30"/>
  <c r="B3598" i="30"/>
  <c r="B3599" i="30"/>
  <c r="B3600" i="30"/>
  <c r="B3601" i="30"/>
  <c r="B3602" i="30"/>
  <c r="B3603" i="30"/>
  <c r="B3604" i="30"/>
  <c r="B3605" i="30"/>
  <c r="B3606" i="30"/>
  <c r="B3607" i="30"/>
  <c r="B3608" i="30"/>
  <c r="B3609" i="30"/>
  <c r="B3610" i="30"/>
  <c r="B3611" i="30"/>
  <c r="B3612" i="30"/>
  <c r="B3613" i="30"/>
  <c r="B3614" i="30"/>
  <c r="B3615" i="30"/>
  <c r="B3616" i="30"/>
  <c r="B3617" i="30"/>
  <c r="B3618" i="30"/>
  <c r="B3619" i="30"/>
  <c r="B3620" i="30"/>
  <c r="B3621" i="30"/>
  <c r="B3622" i="30"/>
  <c r="B3623" i="30"/>
  <c r="B3624" i="30"/>
  <c r="B3625" i="30"/>
  <c r="B3626" i="30"/>
  <c r="B3627" i="30"/>
  <c r="B3628" i="30"/>
  <c r="B3629" i="30"/>
  <c r="B3630" i="30"/>
  <c r="B3631" i="30"/>
  <c r="B3632" i="30"/>
  <c r="B3633" i="30"/>
  <c r="B3634" i="30"/>
  <c r="B3635" i="30"/>
  <c r="B3636" i="30"/>
  <c r="B3637" i="30"/>
  <c r="B3638" i="30"/>
  <c r="B3639" i="30"/>
  <c r="B3640" i="30"/>
  <c r="B3641" i="30"/>
  <c r="B3642" i="30"/>
  <c r="B3643" i="30"/>
  <c r="B3644" i="30"/>
  <c r="B3645" i="30"/>
  <c r="B3646" i="30"/>
  <c r="B3647" i="30"/>
  <c r="B3648" i="30"/>
  <c r="B3649" i="30"/>
  <c r="B3650" i="30"/>
  <c r="B3651" i="30"/>
  <c r="B3652" i="30"/>
  <c r="B3653" i="30"/>
  <c r="B3654" i="30"/>
  <c r="B3655" i="30"/>
  <c r="B3656" i="30"/>
  <c r="B3657" i="30"/>
  <c r="B3658" i="30"/>
  <c r="B3659" i="30"/>
  <c r="B3660" i="30"/>
  <c r="B3661" i="30"/>
  <c r="B3662" i="30"/>
  <c r="B3663" i="30"/>
  <c r="B3664" i="30"/>
  <c r="B3665" i="30"/>
  <c r="B3666" i="30"/>
  <c r="B3667" i="30"/>
  <c r="B3668" i="30"/>
  <c r="B3669" i="30"/>
  <c r="B3670" i="30"/>
  <c r="B3671" i="30"/>
  <c r="B3672" i="30"/>
  <c r="B3673" i="30"/>
  <c r="B3674" i="30"/>
  <c r="B3675" i="30"/>
  <c r="B3676" i="30"/>
  <c r="B3677" i="30"/>
  <c r="B3678" i="30"/>
  <c r="B3679" i="30"/>
  <c r="B3680" i="30"/>
  <c r="B3681" i="30"/>
  <c r="B3682" i="30"/>
  <c r="B3683" i="30"/>
  <c r="B3684" i="30"/>
  <c r="B3685" i="30"/>
  <c r="B3686" i="30"/>
  <c r="B3687" i="30"/>
  <c r="B3688" i="30"/>
  <c r="B3689" i="30"/>
  <c r="B3690" i="30"/>
  <c r="B3691" i="30"/>
  <c r="B3692" i="30"/>
  <c r="B3693" i="30"/>
  <c r="B3694" i="30"/>
  <c r="B3695" i="30"/>
  <c r="B3696" i="30"/>
  <c r="B3697" i="30"/>
  <c r="B3698" i="30"/>
  <c r="B3699" i="30"/>
  <c r="B3700" i="30"/>
  <c r="B3701" i="30"/>
  <c r="B3702" i="30"/>
  <c r="B3703" i="30"/>
  <c r="B3704" i="30"/>
  <c r="B3705" i="30"/>
  <c r="B3706" i="30"/>
  <c r="B3707" i="30"/>
  <c r="B3708" i="30"/>
  <c r="B3709" i="30"/>
  <c r="B3710" i="30"/>
  <c r="B3711" i="30"/>
  <c r="B3712" i="30"/>
  <c r="B3713" i="30"/>
  <c r="B3714" i="30"/>
  <c r="B3715" i="30"/>
  <c r="B3716" i="30"/>
  <c r="B3717" i="30"/>
  <c r="B3718" i="30"/>
  <c r="B3719" i="30"/>
  <c r="B3720" i="30"/>
  <c r="B3721" i="30"/>
  <c r="B3722" i="30"/>
  <c r="B3723" i="30"/>
  <c r="B3724" i="30"/>
  <c r="B3725" i="30"/>
  <c r="B3726" i="30"/>
  <c r="B3727" i="30"/>
  <c r="B3728" i="30"/>
  <c r="B3729" i="30"/>
  <c r="B3730" i="30"/>
  <c r="B3731" i="30"/>
  <c r="B3732" i="30"/>
  <c r="B3733" i="30"/>
  <c r="B3734" i="30"/>
  <c r="B3735" i="30"/>
  <c r="B3736" i="30"/>
  <c r="B3737" i="30"/>
  <c r="B3738" i="30"/>
  <c r="B3739" i="30"/>
  <c r="B3740" i="30"/>
  <c r="B3741" i="30"/>
  <c r="B3742" i="30"/>
  <c r="B3743" i="30"/>
  <c r="B3744" i="30"/>
  <c r="B3745" i="30"/>
  <c r="B3746" i="30"/>
  <c r="B3747" i="30"/>
  <c r="B3748" i="30"/>
  <c r="B3749" i="30"/>
  <c r="B3750" i="30"/>
  <c r="B3751" i="30"/>
  <c r="B3752" i="30"/>
  <c r="B3753" i="30"/>
  <c r="B3754" i="30"/>
  <c r="B3755" i="30"/>
  <c r="B3756" i="30"/>
  <c r="B3757" i="30"/>
  <c r="B3758" i="30"/>
  <c r="B3759" i="30"/>
  <c r="B3760" i="30"/>
  <c r="B3761" i="30"/>
  <c r="B3762" i="30"/>
  <c r="B3763" i="30"/>
  <c r="B3764" i="30"/>
  <c r="B3765" i="30"/>
  <c r="B3766" i="30"/>
  <c r="B3767" i="30"/>
  <c r="B3768" i="30"/>
  <c r="B3769" i="30"/>
  <c r="B3770" i="30"/>
  <c r="B3771" i="30"/>
  <c r="B3772" i="30"/>
  <c r="B3773" i="30"/>
  <c r="B3774" i="30"/>
  <c r="B3775" i="30"/>
  <c r="B3776" i="30"/>
  <c r="B3777" i="30"/>
  <c r="B3778" i="30"/>
  <c r="B3779" i="30"/>
  <c r="B3780" i="30"/>
  <c r="B3781" i="30"/>
  <c r="B3782" i="30"/>
  <c r="B3783" i="30"/>
  <c r="B3784" i="30"/>
  <c r="B3785" i="30"/>
  <c r="B3786" i="30"/>
  <c r="B3787" i="30"/>
  <c r="B3788" i="30"/>
  <c r="B3789" i="30"/>
  <c r="B3790" i="30"/>
  <c r="B3791" i="30"/>
  <c r="B3792" i="30"/>
  <c r="B3793" i="30"/>
  <c r="B3794" i="30"/>
  <c r="B3795" i="30"/>
  <c r="B3796" i="30"/>
  <c r="B3797" i="30"/>
  <c r="B3798" i="30"/>
  <c r="B3799" i="30"/>
  <c r="B3800" i="30"/>
  <c r="B3801" i="30"/>
  <c r="B3802" i="30"/>
  <c r="B3803" i="30"/>
  <c r="B3804" i="30"/>
  <c r="B3805" i="30"/>
  <c r="B3806" i="30"/>
  <c r="B3807" i="30"/>
  <c r="B3808" i="30"/>
  <c r="B3809" i="30"/>
  <c r="B3810" i="30"/>
  <c r="B3811" i="30"/>
  <c r="B3812" i="30"/>
  <c r="B3813" i="30"/>
  <c r="B3814" i="30"/>
  <c r="B3815" i="30"/>
  <c r="B3816" i="30"/>
  <c r="B3817" i="30"/>
  <c r="B3818" i="30"/>
  <c r="B3819" i="30"/>
  <c r="B3820" i="30"/>
  <c r="B3821" i="30"/>
  <c r="B3822" i="30"/>
  <c r="B3823" i="30"/>
  <c r="B3824" i="30"/>
  <c r="B3825" i="30"/>
  <c r="B3826" i="30"/>
  <c r="B3827" i="30"/>
  <c r="B3828" i="30"/>
  <c r="B3829" i="30"/>
  <c r="B3830" i="30"/>
  <c r="B3831" i="30"/>
  <c r="B3832" i="30"/>
  <c r="B3833" i="30"/>
  <c r="B3834" i="30"/>
  <c r="B3835" i="30"/>
  <c r="B3836" i="30"/>
  <c r="B3837" i="30"/>
  <c r="B3838" i="30"/>
  <c r="B3839" i="30"/>
  <c r="B3840" i="30"/>
  <c r="B3841" i="30"/>
  <c r="B3842" i="30"/>
  <c r="B3843" i="30"/>
  <c r="B3844" i="30"/>
  <c r="B3845" i="30"/>
  <c r="B3846" i="30"/>
  <c r="B3847" i="30"/>
  <c r="B3848" i="30"/>
  <c r="B3849" i="30"/>
  <c r="B3850" i="30"/>
  <c r="B3851" i="30"/>
  <c r="B3852" i="30"/>
  <c r="B3853" i="30"/>
  <c r="B3854" i="30"/>
  <c r="B3855" i="30"/>
  <c r="B3856" i="30"/>
  <c r="B3857" i="30"/>
  <c r="B3858" i="30"/>
  <c r="B3859" i="30"/>
  <c r="B3860" i="30"/>
  <c r="B3861" i="30"/>
  <c r="B3862" i="30"/>
  <c r="B3863" i="30"/>
  <c r="B3864" i="30"/>
  <c r="B3865" i="30"/>
  <c r="B3866" i="30"/>
  <c r="B3867" i="30"/>
  <c r="B3868" i="30"/>
  <c r="B3869" i="30"/>
  <c r="B3870" i="30"/>
  <c r="B3871" i="30"/>
  <c r="B3872" i="30"/>
  <c r="B3873" i="30"/>
  <c r="B3874" i="30"/>
  <c r="B3875" i="30"/>
  <c r="B3876" i="30"/>
  <c r="B3877" i="30"/>
  <c r="B3878" i="30"/>
  <c r="B3879" i="30"/>
  <c r="B3880" i="30"/>
  <c r="B3881" i="30"/>
  <c r="B3882" i="30"/>
  <c r="B3883" i="30"/>
  <c r="B3884" i="30"/>
  <c r="B3885" i="30"/>
  <c r="B3886" i="30"/>
  <c r="B3887" i="30"/>
  <c r="B3888" i="30"/>
  <c r="B3889" i="30"/>
  <c r="B3890" i="30"/>
  <c r="B3891" i="30"/>
  <c r="B3892" i="30"/>
  <c r="B3893" i="30"/>
  <c r="B3894" i="30"/>
  <c r="B3895" i="30"/>
  <c r="B3896" i="30"/>
  <c r="B3897" i="30"/>
  <c r="B3898" i="30"/>
  <c r="B3899" i="30"/>
  <c r="B3900" i="30"/>
  <c r="B3901" i="30"/>
  <c r="B3902" i="30"/>
  <c r="B3903" i="30"/>
  <c r="B3904" i="30"/>
  <c r="B3905" i="30"/>
  <c r="B3906" i="30"/>
  <c r="B3907" i="30"/>
  <c r="B3908" i="30"/>
  <c r="B3909" i="30"/>
  <c r="B3910" i="30"/>
  <c r="B3911" i="30"/>
  <c r="B3912" i="30"/>
  <c r="B3913" i="30"/>
  <c r="B3914" i="30"/>
  <c r="B3915" i="30"/>
  <c r="B3916" i="30"/>
  <c r="B3917" i="30"/>
  <c r="B3918" i="30"/>
  <c r="B3919" i="30"/>
  <c r="B3920" i="30"/>
  <c r="B3921" i="30"/>
  <c r="B3922" i="30"/>
  <c r="B3923" i="30"/>
  <c r="B3924" i="30"/>
  <c r="B3925" i="30"/>
  <c r="B3926" i="30"/>
  <c r="B3927" i="30"/>
  <c r="B3928" i="30"/>
  <c r="B3929" i="30"/>
  <c r="B3930" i="30"/>
  <c r="B3931" i="30"/>
  <c r="B3932" i="30"/>
  <c r="B3933" i="30"/>
  <c r="B3934" i="30"/>
  <c r="B3935" i="30"/>
  <c r="B3936" i="30"/>
  <c r="B3937" i="30"/>
  <c r="B3938" i="30"/>
  <c r="B3939" i="30"/>
  <c r="B3940" i="30"/>
  <c r="B3941" i="30"/>
  <c r="B3942" i="30"/>
  <c r="B3943" i="30"/>
  <c r="B3944" i="30"/>
  <c r="B3945" i="30"/>
  <c r="B3946" i="30"/>
  <c r="B3947" i="30"/>
  <c r="B3948" i="30"/>
  <c r="B3949" i="30"/>
  <c r="B3950" i="30"/>
  <c r="B3951" i="30"/>
  <c r="B3952" i="30"/>
  <c r="B3953" i="30"/>
  <c r="B3954" i="30"/>
  <c r="B3955" i="30"/>
  <c r="B3956" i="30"/>
  <c r="B3957" i="30"/>
  <c r="B3958" i="30"/>
  <c r="B3959" i="30"/>
  <c r="B3960" i="30"/>
  <c r="B3961" i="30"/>
  <c r="B3962" i="30"/>
  <c r="B3963" i="30"/>
  <c r="B3964" i="30"/>
  <c r="B3965" i="30"/>
  <c r="B3966" i="30"/>
  <c r="B3967" i="30"/>
  <c r="B3968" i="30"/>
  <c r="B3969" i="30"/>
  <c r="B3970" i="30"/>
  <c r="B3971" i="30"/>
  <c r="B3972" i="30"/>
  <c r="B3973" i="30"/>
  <c r="B3974" i="30"/>
  <c r="B3975" i="30"/>
  <c r="B3976" i="30"/>
  <c r="B3977" i="30"/>
  <c r="B3978" i="30"/>
  <c r="B3979" i="30"/>
  <c r="B3980" i="30"/>
  <c r="B3981" i="30"/>
  <c r="B3982" i="30"/>
  <c r="B3983" i="30"/>
  <c r="B3984" i="30"/>
  <c r="B3985" i="30"/>
  <c r="B3986" i="30"/>
  <c r="B3987" i="30"/>
  <c r="B3988" i="30"/>
  <c r="B3989" i="30"/>
  <c r="B3990" i="30"/>
  <c r="B3991" i="30"/>
  <c r="B3992" i="30"/>
  <c r="B3993" i="30"/>
  <c r="B3994" i="30"/>
  <c r="B3995" i="30"/>
  <c r="B3996" i="30"/>
  <c r="B3997" i="30"/>
  <c r="B3998" i="30"/>
  <c r="B3999" i="30"/>
  <c r="B4000" i="30"/>
  <c r="B4001" i="30"/>
  <c r="B4002" i="30"/>
  <c r="B4003" i="30"/>
  <c r="B4004" i="30"/>
  <c r="B4005" i="30"/>
  <c r="B4006" i="30"/>
  <c r="B4007" i="30"/>
  <c r="B4008" i="30"/>
  <c r="B4009" i="30"/>
  <c r="B4010" i="30"/>
  <c r="B4011" i="30"/>
  <c r="B4012" i="30"/>
  <c r="B4013" i="30"/>
  <c r="B4014" i="30"/>
  <c r="B4015" i="30"/>
  <c r="B4016" i="30"/>
  <c r="B4017" i="30"/>
  <c r="B4018" i="30"/>
  <c r="B4019" i="30"/>
  <c r="B4020" i="30"/>
  <c r="B4021" i="30"/>
  <c r="B4022" i="30"/>
  <c r="B4023" i="30"/>
  <c r="B4024" i="30"/>
  <c r="B4025" i="30"/>
  <c r="B4026" i="30"/>
  <c r="B4027" i="30"/>
  <c r="B4028" i="30"/>
  <c r="B4029" i="30"/>
  <c r="B4030" i="30"/>
  <c r="B4031" i="30"/>
  <c r="B4032" i="30"/>
  <c r="B4033" i="30"/>
  <c r="B4034" i="30"/>
  <c r="B4035" i="30"/>
  <c r="B4036" i="30"/>
  <c r="B4037" i="30"/>
  <c r="B4038" i="30"/>
  <c r="B4039" i="30"/>
  <c r="B4040" i="30"/>
  <c r="B4041" i="30"/>
  <c r="B4042" i="30"/>
  <c r="B4043" i="30"/>
  <c r="B4044" i="30"/>
  <c r="B4045" i="30"/>
  <c r="B4046" i="30"/>
  <c r="B4047" i="30"/>
  <c r="B4048" i="30"/>
  <c r="B4049" i="30"/>
  <c r="B4050" i="30"/>
  <c r="B4051" i="30"/>
  <c r="B4052" i="30"/>
  <c r="B4053" i="30"/>
  <c r="B4054" i="30"/>
  <c r="B4055" i="30"/>
  <c r="B4056" i="30"/>
  <c r="B4057" i="30"/>
  <c r="B4058" i="30"/>
  <c r="B4059" i="30"/>
  <c r="B4060" i="30"/>
  <c r="B4061" i="30"/>
  <c r="B4062" i="30"/>
  <c r="B4063" i="30"/>
  <c r="B4064" i="30"/>
  <c r="B4065" i="30"/>
  <c r="B4066" i="30"/>
  <c r="B4067" i="30"/>
  <c r="B4068" i="30"/>
  <c r="B4069" i="30"/>
  <c r="B4070" i="30"/>
  <c r="B4071" i="30"/>
  <c r="B4072" i="30"/>
  <c r="B4073" i="30"/>
  <c r="B4074" i="30"/>
  <c r="B4075" i="30"/>
  <c r="B4076" i="30"/>
  <c r="B4077" i="30"/>
  <c r="B4078" i="30"/>
  <c r="B4079" i="30"/>
  <c r="B4080" i="30"/>
  <c r="B4081" i="30"/>
  <c r="B4082" i="30"/>
  <c r="B4083" i="30"/>
  <c r="B4084" i="30"/>
  <c r="B4085" i="30"/>
  <c r="B4086" i="30"/>
  <c r="B4087" i="30"/>
  <c r="B4088" i="30"/>
  <c r="B4089" i="30"/>
  <c r="B4090" i="30"/>
  <c r="B4091" i="30"/>
  <c r="B4092" i="30"/>
  <c r="B4093" i="30"/>
  <c r="B4094" i="30"/>
  <c r="B4095" i="30"/>
  <c r="B4096" i="30"/>
  <c r="B4097" i="30"/>
  <c r="B4098" i="30"/>
  <c r="B4099" i="30"/>
  <c r="B4100" i="30"/>
  <c r="B4101" i="30"/>
  <c r="B4102" i="30"/>
  <c r="B4103" i="30"/>
  <c r="B4104" i="30"/>
  <c r="B4105" i="30"/>
  <c r="B4106" i="30"/>
  <c r="B4107" i="30"/>
  <c r="B4108" i="30"/>
  <c r="B4109" i="30"/>
  <c r="B4110" i="30"/>
  <c r="B4111" i="30"/>
  <c r="B4112" i="30"/>
  <c r="B4113" i="30"/>
  <c r="B4114" i="30"/>
  <c r="B4115" i="30"/>
  <c r="B4116" i="30"/>
  <c r="B4117" i="30"/>
  <c r="B4118" i="30"/>
  <c r="B4119" i="30"/>
  <c r="B4120" i="30"/>
  <c r="B4121" i="30"/>
  <c r="B4122" i="30"/>
  <c r="B4123" i="30"/>
  <c r="B4124" i="30"/>
  <c r="B4125" i="30"/>
  <c r="B4126" i="30"/>
  <c r="B4127" i="30"/>
  <c r="B4128" i="30"/>
  <c r="B4129" i="30"/>
  <c r="B4130" i="30"/>
  <c r="B4131" i="30"/>
  <c r="B4132" i="30"/>
  <c r="B4133" i="30"/>
  <c r="B4134" i="30"/>
  <c r="B4135" i="30"/>
  <c r="B4136" i="30"/>
  <c r="B4137" i="30"/>
  <c r="B4138" i="30"/>
  <c r="B4139" i="30"/>
  <c r="B4140" i="30"/>
  <c r="B4141" i="30"/>
  <c r="B4142" i="30"/>
  <c r="B4143" i="30"/>
  <c r="B4144" i="30"/>
  <c r="B4145" i="30"/>
  <c r="B4146" i="30"/>
  <c r="B4147" i="30"/>
  <c r="B4148" i="30"/>
  <c r="B4149" i="30"/>
  <c r="B4150" i="30"/>
  <c r="B4151" i="30"/>
  <c r="B4152" i="30"/>
  <c r="B4153" i="30"/>
  <c r="B4154" i="30"/>
  <c r="B4155" i="30"/>
  <c r="B4156" i="30"/>
  <c r="B4157" i="30"/>
  <c r="B4158" i="30"/>
  <c r="B4159" i="30"/>
  <c r="B4160" i="30"/>
  <c r="B4161" i="30"/>
  <c r="B4162" i="30"/>
  <c r="B4163" i="30"/>
  <c r="B4164" i="30"/>
  <c r="B4165" i="30"/>
  <c r="B4166" i="30"/>
  <c r="B4167" i="30"/>
  <c r="B4168" i="30"/>
  <c r="B4169" i="30"/>
  <c r="B4170" i="30"/>
  <c r="B4171" i="30"/>
  <c r="B4172" i="30"/>
  <c r="B4173" i="30"/>
  <c r="B4174" i="30"/>
  <c r="B4175" i="30"/>
  <c r="B4176" i="30"/>
  <c r="B4177" i="30"/>
  <c r="B4178" i="30"/>
  <c r="B4179" i="30"/>
  <c r="B4180" i="30"/>
  <c r="B4181" i="30"/>
  <c r="B4182" i="30"/>
  <c r="B4183" i="30"/>
  <c r="B4184" i="30"/>
  <c r="B4185" i="30"/>
  <c r="B4186" i="30"/>
  <c r="B4187" i="30"/>
  <c r="B4188" i="30"/>
  <c r="B4189" i="30"/>
  <c r="B4190" i="30"/>
  <c r="B4191" i="30"/>
  <c r="B4192" i="30"/>
  <c r="B4193" i="30"/>
  <c r="B4194" i="30"/>
  <c r="B4195" i="30"/>
  <c r="B4196" i="30"/>
  <c r="B4197" i="30"/>
  <c r="B4198" i="30"/>
  <c r="B4199" i="30"/>
  <c r="B4200" i="30"/>
  <c r="B4201" i="30"/>
  <c r="B4202" i="30"/>
  <c r="B4203" i="30"/>
  <c r="B4204" i="30"/>
  <c r="B4205" i="30"/>
  <c r="B4206" i="30"/>
  <c r="B4207" i="30"/>
  <c r="B4208" i="30"/>
  <c r="B4209" i="30"/>
  <c r="B4210" i="30"/>
  <c r="B4211" i="30"/>
  <c r="B4212" i="30"/>
  <c r="B4213" i="30"/>
  <c r="B4214" i="30"/>
  <c r="B4215" i="30"/>
  <c r="B4216" i="30"/>
  <c r="B4217" i="30"/>
  <c r="B4218" i="30"/>
  <c r="B4219" i="30"/>
  <c r="B4220" i="30"/>
  <c r="B4221" i="30"/>
  <c r="B4222" i="30"/>
  <c r="B4223" i="30"/>
  <c r="B4224" i="30"/>
  <c r="B4225" i="30"/>
  <c r="B4226" i="30"/>
  <c r="B4227" i="30"/>
  <c r="B4228" i="30"/>
  <c r="B4229" i="30"/>
  <c r="B4230" i="30"/>
  <c r="B4231" i="30"/>
  <c r="B4232" i="30"/>
  <c r="B4233" i="30"/>
  <c r="B4234" i="30"/>
  <c r="B4235" i="30"/>
  <c r="B4236" i="30"/>
  <c r="B4237" i="30"/>
  <c r="B4238" i="30"/>
  <c r="B4239" i="30"/>
  <c r="B4240" i="30"/>
  <c r="B4241" i="30"/>
  <c r="B4242" i="30"/>
  <c r="B4243" i="30"/>
  <c r="B4244" i="30"/>
  <c r="B4245" i="30"/>
  <c r="B4246" i="30"/>
  <c r="B4247" i="30"/>
  <c r="B4248" i="30"/>
  <c r="B4249" i="30"/>
  <c r="B4250" i="30"/>
  <c r="B4251" i="30"/>
  <c r="B4252" i="30"/>
  <c r="B4253" i="30"/>
  <c r="B4254" i="30"/>
  <c r="B4255" i="30"/>
  <c r="B4256" i="30"/>
  <c r="B4257" i="30"/>
  <c r="B4258" i="30"/>
  <c r="B4259" i="30"/>
  <c r="B4260" i="30"/>
  <c r="B4261" i="30"/>
  <c r="B4262" i="30"/>
  <c r="B4263" i="30"/>
  <c r="B4264" i="30"/>
  <c r="B4265" i="30"/>
  <c r="B4266" i="30"/>
  <c r="B4267" i="30"/>
  <c r="B4268" i="30"/>
  <c r="B4269" i="30"/>
  <c r="B4270" i="30"/>
  <c r="B4271" i="30"/>
  <c r="B4272" i="30"/>
  <c r="B4273" i="30"/>
  <c r="B4274" i="30"/>
  <c r="B4275" i="30"/>
  <c r="B4276" i="30"/>
  <c r="B4277" i="30"/>
  <c r="B4278" i="30"/>
  <c r="B4279" i="30"/>
  <c r="B4280" i="30"/>
  <c r="B4281" i="30"/>
  <c r="B4282" i="30"/>
  <c r="B4283" i="30"/>
  <c r="B4284" i="30"/>
  <c r="B4285" i="30"/>
  <c r="B4286" i="30"/>
  <c r="B4287" i="30"/>
  <c r="B4288" i="30"/>
  <c r="B4289" i="30"/>
  <c r="B4290" i="30"/>
  <c r="B4291" i="30"/>
  <c r="B4292" i="30"/>
  <c r="B4293" i="30"/>
  <c r="B4294" i="30"/>
  <c r="B4295" i="30"/>
  <c r="B4296" i="30"/>
  <c r="B4297" i="30"/>
  <c r="B4298" i="30"/>
  <c r="B4299" i="30"/>
  <c r="B4300" i="30"/>
  <c r="B4301" i="30"/>
  <c r="B4302" i="30"/>
  <c r="B4303" i="30"/>
  <c r="B4304" i="30"/>
  <c r="B4305" i="30"/>
  <c r="B4306" i="30"/>
  <c r="B4307" i="30"/>
  <c r="B4308" i="30"/>
  <c r="B4309" i="30"/>
  <c r="B4310" i="30"/>
  <c r="B4311" i="30"/>
  <c r="B4312" i="30"/>
  <c r="B4313" i="30"/>
  <c r="B4314" i="30"/>
  <c r="B4315" i="30"/>
  <c r="B4316" i="30"/>
  <c r="B3" i="30"/>
  <c r="B2" i="30"/>
  <c r="D2" i="30" s="1"/>
  <c r="X4" i="30"/>
  <c r="X5" i="30"/>
  <c r="X6" i="30"/>
  <c r="X7" i="30"/>
  <c r="X8" i="30"/>
  <c r="X9" i="30"/>
  <c r="X10" i="30"/>
  <c r="X11" i="30"/>
  <c r="X12" i="30"/>
  <c r="X13" i="30"/>
  <c r="X14" i="30"/>
  <c r="X15" i="30"/>
  <c r="X16" i="30"/>
  <c r="X17" i="30"/>
  <c r="X18" i="30"/>
  <c r="X19" i="30"/>
  <c r="D5936" i="30" s="1"/>
  <c r="X20" i="30"/>
  <c r="X21" i="30"/>
  <c r="X22" i="30"/>
  <c r="X23" i="30"/>
  <c r="X24" i="30"/>
  <c r="X25" i="30"/>
  <c r="X26" i="30"/>
  <c r="X27" i="30"/>
  <c r="X28" i="30"/>
  <c r="X29" i="30"/>
  <c r="X30" i="30"/>
  <c r="X31" i="30"/>
  <c r="X32" i="30"/>
  <c r="X33" i="30"/>
  <c r="X34" i="30"/>
  <c r="X35" i="30"/>
  <c r="X3" i="30"/>
  <c r="X2" i="30"/>
  <c r="X1" i="30"/>
  <c r="W4" i="30"/>
  <c r="W5" i="30"/>
  <c r="W6" i="30"/>
  <c r="W7" i="30"/>
  <c r="W8" i="30"/>
  <c r="W9" i="30"/>
  <c r="W10" i="30"/>
  <c r="W11" i="30"/>
  <c r="W12" i="30"/>
  <c r="W13" i="30"/>
  <c r="W14" i="30"/>
  <c r="W15" i="30"/>
  <c r="W16" i="30"/>
  <c r="W17" i="30"/>
  <c r="W18" i="30"/>
  <c r="W19" i="30"/>
  <c r="W20" i="30"/>
  <c r="W21" i="30"/>
  <c r="W22" i="30"/>
  <c r="W23" i="30"/>
  <c r="W24" i="30"/>
  <c r="W25" i="30"/>
  <c r="W26" i="30"/>
  <c r="W27" i="30"/>
  <c r="W28" i="30"/>
  <c r="W29" i="30"/>
  <c r="W30" i="30"/>
  <c r="W31" i="30"/>
  <c r="W32" i="30"/>
  <c r="W33" i="30"/>
  <c r="W34" i="30"/>
  <c r="W35" i="30"/>
  <c r="W3" i="30"/>
  <c r="W2" i="30"/>
  <c r="W1" i="30"/>
  <c r="Q24" i="30"/>
  <c r="Q21" i="30"/>
  <c r="A4" i="2"/>
  <c r="A5" i="2"/>
  <c r="A6" i="2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3" i="2"/>
  <c r="A3" i="30"/>
  <c r="A4" i="30" s="1"/>
  <c r="B5" i="33"/>
  <c r="B6" i="33"/>
  <c r="B7" i="33"/>
  <c r="B8" i="33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4" i="33"/>
  <c r="D5571" i="30" l="1"/>
  <c r="D6302" i="30"/>
  <c r="A5" i="30"/>
  <c r="C5" i="33"/>
  <c r="A5" i="33"/>
  <c r="A6" i="33" s="1"/>
  <c r="C4" i="33"/>
  <c r="J31" i="32"/>
  <c r="J33" i="32" s="1"/>
  <c r="J35" i="32" s="1"/>
  <c r="J37" i="32" s="1"/>
  <c r="J39" i="32" s="1"/>
  <c r="J41" i="32" s="1"/>
  <c r="J43" i="32" s="1"/>
  <c r="J45" i="32" s="1"/>
  <c r="J47" i="32" s="1"/>
  <c r="J49" i="32" s="1"/>
  <c r="J51" i="32" s="1"/>
  <c r="J53" i="32" s="1"/>
  <c r="J55" i="32" s="1"/>
  <c r="J57" i="32" s="1"/>
  <c r="J59" i="32" s="1"/>
  <c r="J61" i="32" s="1"/>
  <c r="J63" i="32" s="1"/>
  <c r="J65" i="32" s="1"/>
  <c r="J67" i="32" s="1"/>
  <c r="J69" i="32" s="1"/>
  <c r="J71" i="32" s="1"/>
  <c r="J73" i="32" s="1"/>
  <c r="J75" i="32" s="1"/>
  <c r="J77" i="32" s="1"/>
  <c r="J79" i="32" s="1"/>
  <c r="J81" i="32" s="1"/>
  <c r="J83" i="32" s="1"/>
  <c r="J85" i="32" s="1"/>
  <c r="J87" i="32" s="1"/>
  <c r="J89" i="32" s="1"/>
  <c r="J91" i="32" s="1"/>
  <c r="J93" i="32" s="1"/>
  <c r="J95" i="32" s="1"/>
  <c r="J97" i="32" s="1"/>
  <c r="J99" i="32" s="1"/>
  <c r="J101" i="32" s="1"/>
  <c r="J103" i="32" s="1"/>
  <c r="J105" i="32" s="1"/>
  <c r="J107" i="32" s="1"/>
  <c r="J109" i="32" s="1"/>
  <c r="J111" i="32" s="1"/>
  <c r="J113" i="32" s="1"/>
  <c r="J115" i="32" s="1"/>
  <c r="J117" i="32" s="1"/>
  <c r="J119" i="32" s="1"/>
  <c r="J121" i="32" s="1"/>
  <c r="J123" i="32" s="1"/>
  <c r="J125" i="32" s="1"/>
  <c r="J127" i="32" s="1"/>
  <c r="J129" i="32" s="1"/>
  <c r="J131" i="32" s="1"/>
  <c r="J133" i="32" s="1"/>
  <c r="J135" i="32" s="1"/>
  <c r="J137" i="32" s="1"/>
  <c r="J139" i="32" s="1"/>
  <c r="J141" i="32" s="1"/>
  <c r="J143" i="32" s="1"/>
  <c r="J145" i="32" s="1"/>
  <c r="J147" i="32" s="1"/>
  <c r="J149" i="32" s="1"/>
  <c r="J151" i="32" s="1"/>
  <c r="J153" i="32" s="1"/>
  <c r="J155" i="32" s="1"/>
  <c r="J157" i="32" s="1"/>
  <c r="J159" i="32" s="1"/>
  <c r="J161" i="32" s="1"/>
  <c r="J163" i="32" s="1"/>
  <c r="J165" i="32" s="1"/>
  <c r="J167" i="32" s="1"/>
  <c r="J169" i="32" s="1"/>
  <c r="J171" i="32" s="1"/>
  <c r="J173" i="32" s="1"/>
  <c r="J175" i="32" s="1"/>
  <c r="J177" i="32" s="1"/>
  <c r="J179" i="32" s="1"/>
  <c r="J181" i="32" s="1"/>
  <c r="J183" i="32" s="1"/>
  <c r="J185" i="32" s="1"/>
  <c r="J187" i="32" s="1"/>
  <c r="J189" i="32" s="1"/>
  <c r="J191" i="32" s="1"/>
  <c r="J193" i="32" s="1"/>
  <c r="J195" i="32" s="1"/>
  <c r="J197" i="32" s="1"/>
  <c r="J199" i="32" s="1"/>
  <c r="J201" i="32" s="1"/>
  <c r="J203" i="32" s="1"/>
  <c r="J205" i="32" s="1"/>
  <c r="J207" i="32" s="1"/>
  <c r="J209" i="32" s="1"/>
  <c r="J211" i="32" s="1"/>
  <c r="J213" i="32" s="1"/>
  <c r="J215" i="32" s="1"/>
  <c r="J217" i="32" s="1"/>
  <c r="J219" i="32" s="1"/>
  <c r="J221" i="32" s="1"/>
  <c r="J223" i="32" s="1"/>
  <c r="J225" i="32" s="1"/>
  <c r="J227" i="32" s="1"/>
  <c r="J229" i="32" s="1"/>
  <c r="J231" i="32" s="1"/>
  <c r="J233" i="32" s="1"/>
  <c r="J235" i="32" s="1"/>
  <c r="J237" i="32" s="1"/>
  <c r="J239" i="32" s="1"/>
  <c r="J241" i="32" s="1"/>
  <c r="J243" i="32" s="1"/>
  <c r="J245" i="32" s="1"/>
  <c r="J247" i="32" s="1"/>
  <c r="J249" i="32" s="1"/>
  <c r="J251" i="32" s="1"/>
  <c r="J253" i="32" s="1"/>
  <c r="J255" i="32" s="1"/>
  <c r="J257" i="32" s="1"/>
  <c r="J259" i="32" s="1"/>
  <c r="J261" i="32" s="1"/>
  <c r="J263" i="32" s="1"/>
  <c r="J265" i="32" s="1"/>
  <c r="J267" i="32" s="1"/>
  <c r="J269" i="32" s="1"/>
  <c r="J271" i="32" s="1"/>
  <c r="J273" i="32" s="1"/>
  <c r="J275" i="32" s="1"/>
  <c r="J277" i="32" s="1"/>
  <c r="J279" i="32" s="1"/>
  <c r="J281" i="32" s="1"/>
  <c r="J283" i="32" s="1"/>
  <c r="J285" i="32" s="1"/>
  <c r="J287" i="32" s="1"/>
  <c r="J289" i="32" s="1"/>
  <c r="J291" i="32" s="1"/>
  <c r="J293" i="32" s="1"/>
  <c r="J295" i="32" s="1"/>
  <c r="J297" i="32" s="1"/>
  <c r="J299" i="32" s="1"/>
  <c r="J301" i="32" s="1"/>
  <c r="J303" i="32" s="1"/>
  <c r="J305" i="32" s="1"/>
  <c r="J307" i="32" s="1"/>
  <c r="J309" i="32" s="1"/>
  <c r="J311" i="32" s="1"/>
  <c r="J313" i="32" s="1"/>
  <c r="J315" i="32" s="1"/>
  <c r="J317" i="32" s="1"/>
  <c r="J319" i="32" s="1"/>
  <c r="J321" i="32" s="1"/>
  <c r="J323" i="32" s="1"/>
  <c r="J325" i="32" s="1"/>
  <c r="J327" i="32" s="1"/>
  <c r="J329" i="32" s="1"/>
  <c r="J331" i="32" s="1"/>
  <c r="J333" i="32" s="1"/>
  <c r="J335" i="32" s="1"/>
  <c r="J337" i="32" s="1"/>
  <c r="J339" i="32" s="1"/>
  <c r="J341" i="32" s="1"/>
  <c r="J343" i="32" s="1"/>
  <c r="J345" i="32" s="1"/>
  <c r="J347" i="32" s="1"/>
  <c r="J349" i="32" s="1"/>
  <c r="J351" i="32" s="1"/>
  <c r="J353" i="32" s="1"/>
  <c r="J355" i="32" s="1"/>
  <c r="J357" i="32" s="1"/>
  <c r="J359" i="32" s="1"/>
  <c r="J361" i="32" s="1"/>
  <c r="J363" i="32" s="1"/>
  <c r="J365" i="32" s="1"/>
  <c r="J367" i="32" s="1"/>
  <c r="J369" i="32" s="1"/>
  <c r="J371" i="32" s="1"/>
  <c r="J373" i="32" s="1"/>
  <c r="J375" i="32" s="1"/>
  <c r="J377" i="32" s="1"/>
  <c r="J379" i="32" s="1"/>
  <c r="J381" i="32" s="1"/>
  <c r="J383" i="32" s="1"/>
  <c r="J385" i="32" s="1"/>
  <c r="J387" i="32" s="1"/>
  <c r="J389" i="32" s="1"/>
  <c r="J391" i="32" s="1"/>
  <c r="J393" i="32" s="1"/>
  <c r="J395" i="32" s="1"/>
  <c r="J397" i="32" s="1"/>
  <c r="J399" i="32" s="1"/>
  <c r="J401" i="32" s="1"/>
  <c r="J403" i="32" s="1"/>
  <c r="J405" i="32" s="1"/>
  <c r="J407" i="32" s="1"/>
  <c r="J409" i="32" s="1"/>
  <c r="J411" i="32" s="1"/>
  <c r="J413" i="32" s="1"/>
  <c r="J415" i="32" s="1"/>
  <c r="J417" i="32" s="1"/>
  <c r="J419" i="32" s="1"/>
  <c r="J421" i="32" s="1"/>
  <c r="J423" i="32" s="1"/>
  <c r="J425" i="32" s="1"/>
  <c r="J427" i="32" s="1"/>
  <c r="J429" i="32" s="1"/>
  <c r="J431" i="32" s="1"/>
  <c r="J433" i="32" s="1"/>
  <c r="J435" i="32" s="1"/>
  <c r="J437" i="32" s="1"/>
  <c r="J439" i="32" s="1"/>
  <c r="J441" i="32" s="1"/>
  <c r="J443" i="32" s="1"/>
  <c r="J445" i="32" s="1"/>
  <c r="J447" i="32" s="1"/>
  <c r="J449" i="32" s="1"/>
  <c r="J451" i="32" s="1"/>
  <c r="J453" i="32" s="1"/>
  <c r="J455" i="32" s="1"/>
  <c r="J457" i="32" s="1"/>
  <c r="J459" i="32" s="1"/>
  <c r="J461" i="32" s="1"/>
  <c r="J463" i="32" s="1"/>
  <c r="J465" i="32" s="1"/>
  <c r="J467" i="32" s="1"/>
  <c r="J469" i="32" s="1"/>
  <c r="J471" i="32" s="1"/>
  <c r="J473" i="32" s="1"/>
  <c r="J475" i="32" s="1"/>
  <c r="J477" i="32" s="1"/>
  <c r="J479" i="32" s="1"/>
  <c r="J481" i="32" s="1"/>
  <c r="J483" i="32" s="1"/>
  <c r="J485" i="32" s="1"/>
  <c r="J487" i="32" s="1"/>
  <c r="J489" i="32" s="1"/>
  <c r="J491" i="32" s="1"/>
  <c r="J493" i="32" s="1"/>
  <c r="J495" i="32" s="1"/>
  <c r="J497" i="32" s="1"/>
  <c r="J499" i="32" s="1"/>
  <c r="J501" i="32" s="1"/>
  <c r="J503" i="32" s="1"/>
  <c r="J505" i="32" s="1"/>
  <c r="J507" i="32" s="1"/>
  <c r="J509" i="32" s="1"/>
  <c r="J511" i="32" s="1"/>
  <c r="J513" i="32" s="1"/>
  <c r="J515" i="32" s="1"/>
  <c r="J517" i="32" s="1"/>
  <c r="J519" i="32" s="1"/>
  <c r="J521" i="32" s="1"/>
  <c r="J523" i="32" s="1"/>
  <c r="J525" i="32" s="1"/>
  <c r="J527" i="32" s="1"/>
  <c r="J529" i="32" s="1"/>
  <c r="J531" i="32" s="1"/>
  <c r="J533" i="32" s="1"/>
  <c r="J535" i="32" s="1"/>
  <c r="J537" i="32" s="1"/>
  <c r="J539" i="32" s="1"/>
  <c r="J541" i="32" s="1"/>
  <c r="J543" i="32" s="1"/>
  <c r="J545" i="32" s="1"/>
  <c r="J547" i="32" s="1"/>
  <c r="J549" i="32" s="1"/>
  <c r="J551" i="32" s="1"/>
  <c r="J553" i="32" s="1"/>
  <c r="J555" i="32" s="1"/>
  <c r="J557" i="32" s="1"/>
  <c r="J559" i="32" s="1"/>
  <c r="J561" i="32" s="1"/>
  <c r="J563" i="32" s="1"/>
  <c r="J565" i="32" s="1"/>
  <c r="J567" i="32" s="1"/>
  <c r="J569" i="32" s="1"/>
  <c r="J571" i="32" s="1"/>
  <c r="J573" i="32" s="1"/>
  <c r="J575" i="32" s="1"/>
  <c r="J577" i="32" s="1"/>
  <c r="J579" i="32" s="1"/>
  <c r="J581" i="32" s="1"/>
  <c r="J583" i="32" s="1"/>
  <c r="J585" i="32" s="1"/>
  <c r="J587" i="32" s="1"/>
  <c r="J589" i="32" s="1"/>
  <c r="J591" i="32" s="1"/>
  <c r="J593" i="32" s="1"/>
  <c r="J595" i="32" s="1"/>
  <c r="J597" i="32" s="1"/>
  <c r="J599" i="32" s="1"/>
  <c r="J601" i="32" s="1"/>
  <c r="J603" i="32" s="1"/>
  <c r="J605" i="32" s="1"/>
  <c r="J607" i="32" s="1"/>
  <c r="J609" i="32" s="1"/>
  <c r="J611" i="32" s="1"/>
  <c r="J613" i="32" s="1"/>
  <c r="J615" i="32" s="1"/>
  <c r="J617" i="32" s="1"/>
  <c r="J619" i="32" s="1"/>
  <c r="J621" i="32" s="1"/>
  <c r="J623" i="32" s="1"/>
  <c r="J625" i="32" s="1"/>
  <c r="J627" i="32" s="1"/>
  <c r="J629" i="32" s="1"/>
  <c r="J631" i="32" s="1"/>
  <c r="J633" i="32" s="1"/>
  <c r="J635" i="32" s="1"/>
  <c r="J637" i="32" s="1"/>
  <c r="J639" i="32" s="1"/>
  <c r="J641" i="32" s="1"/>
  <c r="J643" i="32" s="1"/>
  <c r="J645" i="32" s="1"/>
  <c r="J647" i="32" s="1"/>
  <c r="J649" i="32" s="1"/>
  <c r="J651" i="32" s="1"/>
  <c r="J653" i="32" s="1"/>
  <c r="J655" i="32" s="1"/>
  <c r="J657" i="32" s="1"/>
  <c r="J659" i="32" s="1"/>
  <c r="J661" i="32" s="1"/>
  <c r="J663" i="32" s="1"/>
  <c r="J665" i="32" s="1"/>
  <c r="J667" i="32" s="1"/>
  <c r="J669" i="32" s="1"/>
  <c r="J671" i="32" s="1"/>
  <c r="J673" i="32" s="1"/>
  <c r="J675" i="32" s="1"/>
  <c r="J677" i="32" s="1"/>
  <c r="J679" i="32" s="1"/>
  <c r="J681" i="32" s="1"/>
  <c r="J683" i="32" s="1"/>
  <c r="J685" i="32" s="1"/>
  <c r="J687" i="32" s="1"/>
  <c r="J689" i="32" s="1"/>
  <c r="J691" i="32" s="1"/>
  <c r="J693" i="32" s="1"/>
  <c r="J695" i="32" s="1"/>
  <c r="J697" i="32" s="1"/>
  <c r="J699" i="32" s="1"/>
  <c r="J701" i="32" s="1"/>
  <c r="J703" i="32" s="1"/>
  <c r="J705" i="32" s="1"/>
  <c r="J707" i="32" s="1"/>
  <c r="J709" i="32" s="1"/>
  <c r="J711" i="32" s="1"/>
  <c r="J713" i="32" s="1"/>
  <c r="J715" i="32" s="1"/>
  <c r="J717" i="32" s="1"/>
  <c r="J719" i="32" s="1"/>
  <c r="J721" i="32" s="1"/>
  <c r="J723" i="32" s="1"/>
  <c r="J725" i="32" s="1"/>
  <c r="J727" i="32" s="1"/>
  <c r="J729" i="32" s="1"/>
  <c r="J731" i="32" s="1"/>
  <c r="J733" i="32" s="1"/>
  <c r="J735" i="32" s="1"/>
  <c r="J737" i="32" s="1"/>
  <c r="J739" i="32" s="1"/>
  <c r="J741" i="32" s="1"/>
  <c r="J743" i="32" s="1"/>
  <c r="J745" i="32" s="1"/>
  <c r="J747" i="32" s="1"/>
  <c r="J749" i="32" s="1"/>
  <c r="J751" i="32" s="1"/>
  <c r="J753" i="32" s="1"/>
  <c r="J755" i="32" s="1"/>
  <c r="J757" i="32" s="1"/>
  <c r="N29" i="32"/>
  <c r="J14" i="32"/>
  <c r="R10" i="32"/>
  <c r="Z14" i="32" s="1"/>
  <c r="Q18" i="30" s="1"/>
  <c r="D5937" i="30" s="1"/>
  <c r="D5938" i="30" s="1"/>
  <c r="D5939" i="30" s="1"/>
  <c r="D5940" i="30" s="1"/>
  <c r="D5941" i="30" s="1"/>
  <c r="D5942" i="30" s="1"/>
  <c r="D5943" i="30" s="1"/>
  <c r="D5944" i="30" s="1"/>
  <c r="D5945" i="30" s="1"/>
  <c r="D5946" i="30" s="1"/>
  <c r="D5947" i="30" s="1"/>
  <c r="D5948" i="30" s="1"/>
  <c r="D5949" i="30" s="1"/>
  <c r="D5950" i="30" s="1"/>
  <c r="D5951" i="30" s="1"/>
  <c r="D5952" i="30" s="1"/>
  <c r="D5953" i="30" s="1"/>
  <c r="D5954" i="30" s="1"/>
  <c r="D5955" i="30" s="1"/>
  <c r="D5956" i="30" s="1"/>
  <c r="D5957" i="30" s="1"/>
  <c r="D5958" i="30" s="1"/>
  <c r="D5959" i="30" s="1"/>
  <c r="D5960" i="30" s="1"/>
  <c r="D5961" i="30" s="1"/>
  <c r="D5962" i="30" s="1"/>
  <c r="D5963" i="30" s="1"/>
  <c r="D5964" i="30" s="1"/>
  <c r="D5965" i="30" s="1"/>
  <c r="D5966" i="30" s="1"/>
  <c r="D5967" i="30" s="1"/>
  <c r="D5968" i="30" s="1"/>
  <c r="D5969" i="30" s="1"/>
  <c r="D5970" i="30" s="1"/>
  <c r="D5971" i="30" s="1"/>
  <c r="D5972" i="30" s="1"/>
  <c r="D5973" i="30" s="1"/>
  <c r="D5974" i="30" s="1"/>
  <c r="D5975" i="30" s="1"/>
  <c r="D5976" i="30" s="1"/>
  <c r="D5977" i="30" s="1"/>
  <c r="D5978" i="30" s="1"/>
  <c r="D5979" i="30" s="1"/>
  <c r="D5980" i="30" s="1"/>
  <c r="D5981" i="30" s="1"/>
  <c r="D5982" i="30" s="1"/>
  <c r="D5983" i="30" s="1"/>
  <c r="D5984" i="30" s="1"/>
  <c r="D5985" i="30" s="1"/>
  <c r="D5986" i="30" s="1"/>
  <c r="D5987" i="30" s="1"/>
  <c r="D5988" i="30" s="1"/>
  <c r="D5989" i="30" s="1"/>
  <c r="D5990" i="30" s="1"/>
  <c r="D5991" i="30" s="1"/>
  <c r="D5992" i="30" s="1"/>
  <c r="D5993" i="30" s="1"/>
  <c r="D5994" i="30" s="1"/>
  <c r="D5995" i="30" s="1"/>
  <c r="D5996" i="30" s="1"/>
  <c r="D5997" i="30" s="1"/>
  <c r="D5998" i="30" s="1"/>
  <c r="D5999" i="30" s="1"/>
  <c r="D6000" i="30" s="1"/>
  <c r="D6001" i="30" s="1"/>
  <c r="D6002" i="30" s="1"/>
  <c r="D6003" i="30" s="1"/>
  <c r="D6004" i="30" s="1"/>
  <c r="D6005" i="30" s="1"/>
  <c r="D6006" i="30" s="1"/>
  <c r="D6007" i="30" s="1"/>
  <c r="D6008" i="30" s="1"/>
  <c r="D6009" i="30" s="1"/>
  <c r="D6010" i="30" s="1"/>
  <c r="D6011" i="30" s="1"/>
  <c r="D6012" i="30" s="1"/>
  <c r="D6013" i="30" s="1"/>
  <c r="D6014" i="30" s="1"/>
  <c r="D6015" i="30" s="1"/>
  <c r="D6016" i="30" s="1"/>
  <c r="D6017" i="30" s="1"/>
  <c r="D6018" i="30" s="1"/>
  <c r="D6019" i="30" s="1"/>
  <c r="D6020" i="30" s="1"/>
  <c r="D6021" i="30" s="1"/>
  <c r="D6022" i="30" s="1"/>
  <c r="D6023" i="30" s="1"/>
  <c r="D6024" i="30" s="1"/>
  <c r="D6025" i="30" s="1"/>
  <c r="D6026" i="30" s="1"/>
  <c r="D6027" i="30" s="1"/>
  <c r="D6028" i="30" s="1"/>
  <c r="D6029" i="30" s="1"/>
  <c r="D6030" i="30" s="1"/>
  <c r="D6031" i="30" s="1"/>
  <c r="D6032" i="30" s="1"/>
  <c r="D6033" i="30" s="1"/>
  <c r="D6034" i="30" s="1"/>
  <c r="D6035" i="30" s="1"/>
  <c r="D6036" i="30" s="1"/>
  <c r="D6037" i="30" s="1"/>
  <c r="D6038" i="30" s="1"/>
  <c r="D6039" i="30" s="1"/>
  <c r="D6040" i="30" s="1"/>
  <c r="D6041" i="30" s="1"/>
  <c r="D6042" i="30" s="1"/>
  <c r="D6043" i="30" s="1"/>
  <c r="D6044" i="30" s="1"/>
  <c r="D6045" i="30" s="1"/>
  <c r="D6046" i="30" s="1"/>
  <c r="D6047" i="30" s="1"/>
  <c r="D6048" i="30" s="1"/>
  <c r="D6049" i="30" s="1"/>
  <c r="D6050" i="30" s="1"/>
  <c r="D6051" i="30" s="1"/>
  <c r="D6052" i="30" s="1"/>
  <c r="D6053" i="30" s="1"/>
  <c r="D6054" i="30" s="1"/>
  <c r="D6055" i="30" s="1"/>
  <c r="D6056" i="30" s="1"/>
  <c r="D6057" i="30" s="1"/>
  <c r="D6058" i="30" s="1"/>
  <c r="D6059" i="30" s="1"/>
  <c r="D6060" i="30" s="1"/>
  <c r="D6061" i="30" s="1"/>
  <c r="D6062" i="30" s="1"/>
  <c r="D6063" i="30" s="1"/>
  <c r="D6064" i="30" s="1"/>
  <c r="D6065" i="30" s="1"/>
  <c r="D6066" i="30" s="1"/>
  <c r="D6067" i="30" s="1"/>
  <c r="D6068" i="30" s="1"/>
  <c r="D6069" i="30" s="1"/>
  <c r="D6070" i="30" s="1"/>
  <c r="D6071" i="30" s="1"/>
  <c r="D6072" i="30" s="1"/>
  <c r="D6073" i="30" s="1"/>
  <c r="D6074" i="30" s="1"/>
  <c r="D6075" i="30" s="1"/>
  <c r="D6076" i="30" s="1"/>
  <c r="D6077" i="30" s="1"/>
  <c r="D6078" i="30" s="1"/>
  <c r="D6079" i="30" s="1"/>
  <c r="D6080" i="30" s="1"/>
  <c r="D6081" i="30" s="1"/>
  <c r="D6082" i="30" s="1"/>
  <c r="D6083" i="30" s="1"/>
  <c r="D6084" i="30" s="1"/>
  <c r="D6085" i="30" s="1"/>
  <c r="D6086" i="30" s="1"/>
  <c r="D6087" i="30" s="1"/>
  <c r="D6088" i="30" s="1"/>
  <c r="D6089" i="30" s="1"/>
  <c r="D6090" i="30" s="1"/>
  <c r="D6091" i="30" s="1"/>
  <c r="D6092" i="30" s="1"/>
  <c r="D6093" i="30" s="1"/>
  <c r="D6094" i="30" s="1"/>
  <c r="D6095" i="30" s="1"/>
  <c r="D6096" i="30" s="1"/>
  <c r="D6097" i="30" s="1"/>
  <c r="D6098" i="30" s="1"/>
  <c r="D6099" i="30" s="1"/>
  <c r="D6100" i="30" s="1"/>
  <c r="D6101" i="30" s="1"/>
  <c r="D6102" i="30" s="1"/>
  <c r="D6103" i="30" s="1"/>
  <c r="D6104" i="30" s="1"/>
  <c r="D6105" i="30" s="1"/>
  <c r="D6106" i="30" s="1"/>
  <c r="D6107" i="30" s="1"/>
  <c r="D6108" i="30" s="1"/>
  <c r="D6109" i="30" s="1"/>
  <c r="D6110" i="30" s="1"/>
  <c r="D6111" i="30" s="1"/>
  <c r="D6112" i="30" s="1"/>
  <c r="D6113" i="30" s="1"/>
  <c r="D6114" i="30" s="1"/>
  <c r="D6115" i="30" s="1"/>
  <c r="D6116" i="30" s="1"/>
  <c r="D6117" i="30" s="1"/>
  <c r="D6118" i="30" s="1"/>
  <c r="D6119" i="30" s="1"/>
  <c r="D6120" i="30" s="1"/>
  <c r="D6121" i="30" s="1"/>
  <c r="D6122" i="30" s="1"/>
  <c r="D6123" i="30" s="1"/>
  <c r="D6124" i="30" s="1"/>
  <c r="D6125" i="30" s="1"/>
  <c r="D6126" i="30" s="1"/>
  <c r="D6127" i="30" s="1"/>
  <c r="D6128" i="30" s="1"/>
  <c r="D6129" i="30" s="1"/>
  <c r="D6130" i="30" s="1"/>
  <c r="D6131" i="30" s="1"/>
  <c r="D6132" i="30" s="1"/>
  <c r="D6133" i="30" s="1"/>
  <c r="D6134" i="30" s="1"/>
  <c r="D6135" i="30" s="1"/>
  <c r="D6136" i="30" s="1"/>
  <c r="D6137" i="30" s="1"/>
  <c r="D6138" i="30" s="1"/>
  <c r="D6139" i="30" s="1"/>
  <c r="D6140" i="30" s="1"/>
  <c r="D6141" i="30" s="1"/>
  <c r="D6142" i="30" s="1"/>
  <c r="D6143" i="30" s="1"/>
  <c r="D6144" i="30" s="1"/>
  <c r="D6145" i="30" s="1"/>
  <c r="D6146" i="30" s="1"/>
  <c r="D6147" i="30" s="1"/>
  <c r="D6148" i="30" s="1"/>
  <c r="D6149" i="30" s="1"/>
  <c r="D6150" i="30" s="1"/>
  <c r="D6151" i="30" s="1"/>
  <c r="D6152" i="30" s="1"/>
  <c r="D6153" i="30" s="1"/>
  <c r="D6154" i="30" s="1"/>
  <c r="D6155" i="30" s="1"/>
  <c r="D6156" i="30" s="1"/>
  <c r="D6157" i="30" s="1"/>
  <c r="D6158" i="30" s="1"/>
  <c r="D6159" i="30" s="1"/>
  <c r="D6160" i="30" s="1"/>
  <c r="D6161" i="30" s="1"/>
  <c r="D6162" i="30" s="1"/>
  <c r="D6163" i="30" s="1"/>
  <c r="D6164" i="30" s="1"/>
  <c r="D6165" i="30" s="1"/>
  <c r="D6166" i="30" s="1"/>
  <c r="D6167" i="30" s="1"/>
  <c r="D6168" i="30" s="1"/>
  <c r="D6169" i="30" s="1"/>
  <c r="D6170" i="30" s="1"/>
  <c r="D6171" i="30" s="1"/>
  <c r="D6172" i="30" s="1"/>
  <c r="D6173" i="30" s="1"/>
  <c r="D6174" i="30" s="1"/>
  <c r="D6175" i="30" s="1"/>
  <c r="D6176" i="30" s="1"/>
  <c r="D6177" i="30" s="1"/>
  <c r="D6178" i="30" s="1"/>
  <c r="D6179" i="30" s="1"/>
  <c r="D6180" i="30" s="1"/>
  <c r="D6181" i="30" s="1"/>
  <c r="D6182" i="30" s="1"/>
  <c r="D6183" i="30" s="1"/>
  <c r="D6184" i="30" s="1"/>
  <c r="D6185" i="30" s="1"/>
  <c r="D6186" i="30" s="1"/>
  <c r="D6187" i="30" s="1"/>
  <c r="D6188" i="30" s="1"/>
  <c r="D6189" i="30" s="1"/>
  <c r="D6190" i="30" s="1"/>
  <c r="D6191" i="30" s="1"/>
  <c r="D6192" i="30" s="1"/>
  <c r="D6193" i="30" s="1"/>
  <c r="D6194" i="30" s="1"/>
  <c r="D6195" i="30" s="1"/>
  <c r="D6196" i="30" s="1"/>
  <c r="D6197" i="30" s="1"/>
  <c r="D6198" i="30" s="1"/>
  <c r="D6199" i="30" s="1"/>
  <c r="D6200" i="30" s="1"/>
  <c r="D6201" i="30" s="1"/>
  <c r="D6202" i="30" s="1"/>
  <c r="D6203" i="30" s="1"/>
  <c r="D6204" i="30" s="1"/>
  <c r="D6205" i="30" s="1"/>
  <c r="D6206" i="30" s="1"/>
  <c r="D6207" i="30" s="1"/>
  <c r="D6208" i="30" s="1"/>
  <c r="D6209" i="30" s="1"/>
  <c r="D6210" i="30" s="1"/>
  <c r="D6303" i="30" l="1"/>
  <c r="D6304" i="30" s="1"/>
  <c r="D6305" i="30" s="1"/>
  <c r="D6306" i="30" s="1"/>
  <c r="D6307" i="30" s="1"/>
  <c r="D6308" i="30" s="1"/>
  <c r="D6309" i="30" s="1"/>
  <c r="D6310" i="30" s="1"/>
  <c r="D6311" i="30" s="1"/>
  <c r="D6312" i="30" s="1"/>
  <c r="D6313" i="30" s="1"/>
  <c r="D6314" i="30" s="1"/>
  <c r="D6315" i="30" s="1"/>
  <c r="D6316" i="30" s="1"/>
  <c r="D6317" i="30" s="1"/>
  <c r="D6318" i="30" s="1"/>
  <c r="D6319" i="30" s="1"/>
  <c r="D6320" i="30" s="1"/>
  <c r="D6321" i="30" s="1"/>
  <c r="D6322" i="30" s="1"/>
  <c r="D6323" i="30" s="1"/>
  <c r="D6324" i="30" s="1"/>
  <c r="D6325" i="30" s="1"/>
  <c r="D6326" i="30" s="1"/>
  <c r="D6327" i="30" s="1"/>
  <c r="D6328" i="30" s="1"/>
  <c r="D6329" i="30" s="1"/>
  <c r="D6330" i="30" s="1"/>
  <c r="D6331" i="30" s="1"/>
  <c r="D6332" i="30" s="1"/>
  <c r="D6333" i="30" s="1"/>
  <c r="D6334" i="30" s="1"/>
  <c r="D6335" i="30" s="1"/>
  <c r="D6336" i="30" s="1"/>
  <c r="D6337" i="30" s="1"/>
  <c r="D6338" i="30" s="1"/>
  <c r="D6339" i="30" s="1"/>
  <c r="D6340" i="30" s="1"/>
  <c r="D6341" i="30" s="1"/>
  <c r="D6342" i="30" s="1"/>
  <c r="D6343" i="30" s="1"/>
  <c r="D6344" i="30" s="1"/>
  <c r="D6345" i="30" s="1"/>
  <c r="D6346" i="30" s="1"/>
  <c r="D6347" i="30" s="1"/>
  <c r="D6348" i="30" s="1"/>
  <c r="D6349" i="30" s="1"/>
  <c r="D6350" i="30" s="1"/>
  <c r="D6351" i="30" s="1"/>
  <c r="D6352" i="30" s="1"/>
  <c r="D6353" i="30" s="1"/>
  <c r="D6354" i="30" s="1"/>
  <c r="D6355" i="30" s="1"/>
  <c r="D6356" i="30" s="1"/>
  <c r="D6357" i="30" s="1"/>
  <c r="D6358" i="30" s="1"/>
  <c r="D6359" i="30" s="1"/>
  <c r="D6360" i="30" s="1"/>
  <c r="D6361" i="30" s="1"/>
  <c r="D6362" i="30" s="1"/>
  <c r="D6363" i="30" s="1"/>
  <c r="D6364" i="30" s="1"/>
  <c r="D6365" i="30" s="1"/>
  <c r="D6366" i="30" s="1"/>
  <c r="D6367" i="30" s="1"/>
  <c r="D6368" i="30" s="1"/>
  <c r="D6369" i="30" s="1"/>
  <c r="D6370" i="30" s="1"/>
  <c r="D6371" i="30" s="1"/>
  <c r="D6372" i="30" s="1"/>
  <c r="D6373" i="30" s="1"/>
  <c r="D6374" i="30" s="1"/>
  <c r="D6375" i="30" s="1"/>
  <c r="D6376" i="30" s="1"/>
  <c r="D6377" i="30" s="1"/>
  <c r="D6378" i="30" s="1"/>
  <c r="D6379" i="30" s="1"/>
  <c r="D6380" i="30" s="1"/>
  <c r="D6381" i="30" s="1"/>
  <c r="D6382" i="30" s="1"/>
  <c r="D6383" i="30" s="1"/>
  <c r="D6384" i="30" s="1"/>
  <c r="D6385" i="30" s="1"/>
  <c r="D6386" i="30" s="1"/>
  <c r="D6387" i="30" s="1"/>
  <c r="D6388" i="30" s="1"/>
  <c r="D6389" i="30" s="1"/>
  <c r="D6390" i="30" s="1"/>
  <c r="D6391" i="30" s="1"/>
  <c r="D6392" i="30" s="1"/>
  <c r="D6393" i="30" s="1"/>
  <c r="D6394" i="30" s="1"/>
  <c r="D6395" i="30" s="1"/>
  <c r="D6396" i="30" s="1"/>
  <c r="D6397" i="30" s="1"/>
  <c r="D6398" i="30" s="1"/>
  <c r="D6399" i="30" s="1"/>
  <c r="D6400" i="30" s="1"/>
  <c r="D6401" i="30" s="1"/>
  <c r="D6402" i="30" s="1"/>
  <c r="D6403" i="30" s="1"/>
  <c r="D6404" i="30" s="1"/>
  <c r="D6405" i="30" s="1"/>
  <c r="D6406" i="30" s="1"/>
  <c r="D6407" i="30" s="1"/>
  <c r="D6408" i="30" s="1"/>
  <c r="D6409" i="30" s="1"/>
  <c r="D6410" i="30" s="1"/>
  <c r="D6411" i="30" s="1"/>
  <c r="D6412" i="30" s="1"/>
  <c r="D6413" i="30" s="1"/>
  <c r="D6414" i="30" s="1"/>
  <c r="D6415" i="30" s="1"/>
  <c r="D6416" i="30" s="1"/>
  <c r="D6417" i="30" s="1"/>
  <c r="D6418" i="30" s="1"/>
  <c r="D6419" i="30" s="1"/>
  <c r="D6420" i="30" s="1"/>
  <c r="D6421" i="30" s="1"/>
  <c r="D6422" i="30" s="1"/>
  <c r="D6423" i="30" s="1"/>
  <c r="D6424" i="30" s="1"/>
  <c r="D6425" i="30" s="1"/>
  <c r="D6426" i="30" s="1"/>
  <c r="D6427" i="30" s="1"/>
  <c r="D6428" i="30" s="1"/>
  <c r="D6429" i="30" s="1"/>
  <c r="D6430" i="30" s="1"/>
  <c r="D6431" i="30" s="1"/>
  <c r="D6432" i="30" s="1"/>
  <c r="D6433" i="30" s="1"/>
  <c r="D6434" i="30" s="1"/>
  <c r="D6435" i="30" s="1"/>
  <c r="D6436" i="30" s="1"/>
  <c r="D6437" i="30" s="1"/>
  <c r="D6438" i="30" s="1"/>
  <c r="D6439" i="30" s="1"/>
  <c r="D6440" i="30" s="1"/>
  <c r="D6441" i="30" s="1"/>
  <c r="D6442" i="30" s="1"/>
  <c r="D6443" i="30" s="1"/>
  <c r="D6444" i="30" s="1"/>
  <c r="D6445" i="30" s="1"/>
  <c r="D6446" i="30" s="1"/>
  <c r="D6447" i="30" s="1"/>
  <c r="D6448" i="30" s="1"/>
  <c r="D6449" i="30" s="1"/>
  <c r="D6450" i="30" s="1"/>
  <c r="D6451" i="30" s="1"/>
  <c r="D6452" i="30" s="1"/>
  <c r="D6453" i="30" s="1"/>
  <c r="D6454" i="30" s="1"/>
  <c r="D6455" i="30" s="1"/>
  <c r="D6456" i="30" s="1"/>
  <c r="D6457" i="30" s="1"/>
  <c r="D6458" i="30" s="1"/>
  <c r="D6459" i="30" s="1"/>
  <c r="D6460" i="30" s="1"/>
  <c r="D6461" i="30" s="1"/>
  <c r="D6462" i="30" s="1"/>
  <c r="D6463" i="30" s="1"/>
  <c r="D6464" i="30" s="1"/>
  <c r="D6465" i="30" s="1"/>
  <c r="D6466" i="30" s="1"/>
  <c r="D6467" i="30" s="1"/>
  <c r="D6468" i="30" s="1"/>
  <c r="D6469" i="30" s="1"/>
  <c r="D6470" i="30" s="1"/>
  <c r="D6471" i="30" s="1"/>
  <c r="D6472" i="30" s="1"/>
  <c r="D6473" i="30" s="1"/>
  <c r="D6474" i="30" s="1"/>
  <c r="D6475" i="30" s="1"/>
  <c r="D6476" i="30" s="1"/>
  <c r="D6477" i="30" s="1"/>
  <c r="D6478" i="30" s="1"/>
  <c r="D6479" i="30" s="1"/>
  <c r="D6480" i="30" s="1"/>
  <c r="D6481" i="30" s="1"/>
  <c r="D6482" i="30" s="1"/>
  <c r="D6483" i="30" s="1"/>
  <c r="D6484" i="30" s="1"/>
  <c r="D6485" i="30" s="1"/>
  <c r="D6486" i="30" s="1"/>
  <c r="D6487" i="30" s="1"/>
  <c r="D6488" i="30" s="1"/>
  <c r="D6489" i="30" s="1"/>
  <c r="D6490" i="30" s="1"/>
  <c r="D6491" i="30" s="1"/>
  <c r="D6492" i="30" s="1"/>
  <c r="D6493" i="30" s="1"/>
  <c r="D6494" i="30" s="1"/>
  <c r="D6495" i="30" s="1"/>
  <c r="D6496" i="30" s="1"/>
  <c r="D6497" i="30" s="1"/>
  <c r="D6498" i="30" s="1"/>
  <c r="D6499" i="30" s="1"/>
  <c r="D6500" i="30" s="1"/>
  <c r="D6501" i="30" s="1"/>
  <c r="D6502" i="30" s="1"/>
  <c r="D6503" i="30" s="1"/>
  <c r="D6504" i="30" s="1"/>
  <c r="D6505" i="30" s="1"/>
  <c r="D6506" i="30" s="1"/>
  <c r="D6507" i="30" s="1"/>
  <c r="D6508" i="30" s="1"/>
  <c r="D6509" i="30" s="1"/>
  <c r="D6510" i="30" s="1"/>
  <c r="D6511" i="30" s="1"/>
  <c r="D6512" i="30" s="1"/>
  <c r="D6513" i="30" s="1"/>
  <c r="D6514" i="30" s="1"/>
  <c r="D6515" i="30" s="1"/>
  <c r="D6516" i="30" s="1"/>
  <c r="D6517" i="30" s="1"/>
  <c r="D6518" i="30" s="1"/>
  <c r="D6519" i="30" s="1"/>
  <c r="D6520" i="30" s="1"/>
  <c r="D6521" i="30" s="1"/>
  <c r="D6522" i="30" s="1"/>
  <c r="D6523" i="30" s="1"/>
  <c r="D6524" i="30" s="1"/>
  <c r="D6525" i="30" s="1"/>
  <c r="D6526" i="30" s="1"/>
  <c r="D6527" i="30" s="1"/>
  <c r="D6528" i="30" s="1"/>
  <c r="D6529" i="30" s="1"/>
  <c r="D6530" i="30" s="1"/>
  <c r="D6531" i="30" s="1"/>
  <c r="D6532" i="30" s="1"/>
  <c r="D6533" i="30" s="1"/>
  <c r="D6534" i="30" s="1"/>
  <c r="D6535" i="30" s="1"/>
  <c r="D6536" i="30" s="1"/>
  <c r="D6537" i="30" s="1"/>
  <c r="D6538" i="30" s="1"/>
  <c r="D6539" i="30" s="1"/>
  <c r="D6540" i="30" s="1"/>
  <c r="D6541" i="30" s="1"/>
  <c r="D6542" i="30" s="1"/>
  <c r="D6543" i="30" s="1"/>
  <c r="D6544" i="30" s="1"/>
  <c r="D6545" i="30" s="1"/>
  <c r="D6546" i="30" s="1"/>
  <c r="D6547" i="30" s="1"/>
  <c r="D6548" i="30" s="1"/>
  <c r="D6549" i="30" s="1"/>
  <c r="D6550" i="30" s="1"/>
  <c r="D6551" i="30" s="1"/>
  <c r="D6552" i="30" s="1"/>
  <c r="D6553" i="30" s="1"/>
  <c r="D6554" i="30" s="1"/>
  <c r="D6555" i="30" s="1"/>
  <c r="D6556" i="30" s="1"/>
  <c r="D6557" i="30" s="1"/>
  <c r="D6558" i="30" s="1"/>
  <c r="D6559" i="30" s="1"/>
  <c r="D6560" i="30" s="1"/>
  <c r="D6561" i="30" s="1"/>
  <c r="D6562" i="30" s="1"/>
  <c r="D6563" i="30" s="1"/>
  <c r="D6564" i="30" s="1"/>
  <c r="D6565" i="30" s="1"/>
  <c r="D6566" i="30" s="1"/>
  <c r="D6567" i="30" s="1"/>
  <c r="D6568" i="30" s="1"/>
  <c r="D6569" i="30" s="1"/>
  <c r="D6570" i="30" s="1"/>
  <c r="D6571" i="30" s="1"/>
  <c r="D6572" i="30" s="1"/>
  <c r="D6573" i="30" s="1"/>
  <c r="D6574" i="30" s="1"/>
  <c r="D6575" i="30" s="1"/>
  <c r="D6576" i="30" s="1"/>
  <c r="D5572" i="30"/>
  <c r="D5573" i="30" s="1"/>
  <c r="D5574" i="30" s="1"/>
  <c r="D5575" i="30" s="1"/>
  <c r="D5576" i="30" s="1"/>
  <c r="D5577" i="30" s="1"/>
  <c r="D5578" i="30" s="1"/>
  <c r="D5579" i="30" s="1"/>
  <c r="D5580" i="30" s="1"/>
  <c r="D5581" i="30" s="1"/>
  <c r="D5582" i="30" s="1"/>
  <c r="D5583" i="30" s="1"/>
  <c r="D5584" i="30" s="1"/>
  <c r="D5585" i="30" s="1"/>
  <c r="D5586" i="30" s="1"/>
  <c r="D5587" i="30" s="1"/>
  <c r="D5588" i="30" s="1"/>
  <c r="D5589" i="30" s="1"/>
  <c r="D5590" i="30" s="1"/>
  <c r="D5591" i="30" s="1"/>
  <c r="D5592" i="30" s="1"/>
  <c r="D5593" i="30" s="1"/>
  <c r="D5594" i="30" s="1"/>
  <c r="D5595" i="30" s="1"/>
  <c r="D5596" i="30" s="1"/>
  <c r="D5597" i="30" s="1"/>
  <c r="D5598" i="30" s="1"/>
  <c r="D5599" i="30" s="1"/>
  <c r="D5600" i="30" s="1"/>
  <c r="D5601" i="30" s="1"/>
  <c r="D5602" i="30" s="1"/>
  <c r="D5603" i="30" s="1"/>
  <c r="D5604" i="30" s="1"/>
  <c r="D5605" i="30" s="1"/>
  <c r="D5606" i="30" s="1"/>
  <c r="D5607" i="30" s="1"/>
  <c r="D5608" i="30" s="1"/>
  <c r="D5609" i="30" s="1"/>
  <c r="D5610" i="30" s="1"/>
  <c r="D5611" i="30" s="1"/>
  <c r="D5612" i="30" s="1"/>
  <c r="D5613" i="30" s="1"/>
  <c r="D5614" i="30" s="1"/>
  <c r="D5615" i="30" s="1"/>
  <c r="D5616" i="30" s="1"/>
  <c r="D5617" i="30" s="1"/>
  <c r="D5618" i="30" s="1"/>
  <c r="D5619" i="30" s="1"/>
  <c r="D5620" i="30" s="1"/>
  <c r="D5621" i="30" s="1"/>
  <c r="D5622" i="30" s="1"/>
  <c r="D5623" i="30" s="1"/>
  <c r="D5624" i="30" s="1"/>
  <c r="D5625" i="30" s="1"/>
  <c r="D5626" i="30" s="1"/>
  <c r="D5627" i="30" s="1"/>
  <c r="D5628" i="30" s="1"/>
  <c r="D5629" i="30" s="1"/>
  <c r="D5630" i="30" s="1"/>
  <c r="D5631" i="30" s="1"/>
  <c r="D5632" i="30" s="1"/>
  <c r="D5633" i="30" s="1"/>
  <c r="D5634" i="30" s="1"/>
  <c r="D5635" i="30" s="1"/>
  <c r="D5636" i="30" s="1"/>
  <c r="D5637" i="30" s="1"/>
  <c r="D5638" i="30" s="1"/>
  <c r="D5639" i="30" s="1"/>
  <c r="D5640" i="30" s="1"/>
  <c r="D5641" i="30" s="1"/>
  <c r="D5642" i="30" s="1"/>
  <c r="D5643" i="30" s="1"/>
  <c r="D5644" i="30" s="1"/>
  <c r="D5645" i="30" s="1"/>
  <c r="D5646" i="30" s="1"/>
  <c r="D5647" i="30" s="1"/>
  <c r="D5648" i="30" s="1"/>
  <c r="D5649" i="30" s="1"/>
  <c r="D5650" i="30" s="1"/>
  <c r="D5651" i="30" s="1"/>
  <c r="D5652" i="30" s="1"/>
  <c r="D5653" i="30" s="1"/>
  <c r="D5654" i="30" s="1"/>
  <c r="D5655" i="30" s="1"/>
  <c r="D5656" i="30" s="1"/>
  <c r="D5657" i="30" s="1"/>
  <c r="D5658" i="30" s="1"/>
  <c r="D5659" i="30" s="1"/>
  <c r="D5660" i="30" s="1"/>
  <c r="D5661" i="30" s="1"/>
  <c r="D5662" i="30" s="1"/>
  <c r="D5663" i="30" s="1"/>
  <c r="D5664" i="30" s="1"/>
  <c r="D5665" i="30" s="1"/>
  <c r="D5666" i="30" s="1"/>
  <c r="D5667" i="30" s="1"/>
  <c r="D5668" i="30" s="1"/>
  <c r="D5669" i="30" s="1"/>
  <c r="D5670" i="30" s="1"/>
  <c r="D5671" i="30" s="1"/>
  <c r="D5672" i="30" s="1"/>
  <c r="D5673" i="30" s="1"/>
  <c r="D5674" i="30" s="1"/>
  <c r="D5675" i="30" s="1"/>
  <c r="D5676" i="30" s="1"/>
  <c r="D5677" i="30" s="1"/>
  <c r="D5678" i="30" s="1"/>
  <c r="D5679" i="30" s="1"/>
  <c r="D5680" i="30" s="1"/>
  <c r="D5681" i="30" s="1"/>
  <c r="D5682" i="30" s="1"/>
  <c r="D5683" i="30" s="1"/>
  <c r="D5684" i="30" s="1"/>
  <c r="D5685" i="30" s="1"/>
  <c r="D5686" i="30" s="1"/>
  <c r="D5687" i="30" s="1"/>
  <c r="D5688" i="30" s="1"/>
  <c r="D5689" i="30" s="1"/>
  <c r="D5690" i="30" s="1"/>
  <c r="D5691" i="30" s="1"/>
  <c r="D5692" i="30" s="1"/>
  <c r="D5693" i="30" s="1"/>
  <c r="D5694" i="30" s="1"/>
  <c r="D5695" i="30" s="1"/>
  <c r="D5696" i="30" s="1"/>
  <c r="D5697" i="30" s="1"/>
  <c r="D5698" i="30" s="1"/>
  <c r="D5699" i="30" s="1"/>
  <c r="D5700" i="30" s="1"/>
  <c r="D5701" i="30" s="1"/>
  <c r="D5702" i="30" s="1"/>
  <c r="D5703" i="30" s="1"/>
  <c r="D5704" i="30" s="1"/>
  <c r="D5705" i="30" s="1"/>
  <c r="D5706" i="30" s="1"/>
  <c r="D5707" i="30" s="1"/>
  <c r="D5708" i="30" s="1"/>
  <c r="D5709" i="30" s="1"/>
  <c r="D5710" i="30" s="1"/>
  <c r="D5711" i="30" s="1"/>
  <c r="D5712" i="30" s="1"/>
  <c r="D5713" i="30" s="1"/>
  <c r="D5714" i="30" s="1"/>
  <c r="D5715" i="30" s="1"/>
  <c r="D5716" i="30" s="1"/>
  <c r="D5717" i="30" s="1"/>
  <c r="D5718" i="30" s="1"/>
  <c r="D5719" i="30" s="1"/>
  <c r="D5720" i="30" s="1"/>
  <c r="D5721" i="30" s="1"/>
  <c r="D5722" i="30" s="1"/>
  <c r="D5723" i="30" s="1"/>
  <c r="D5724" i="30" s="1"/>
  <c r="D5725" i="30" s="1"/>
  <c r="D5726" i="30" s="1"/>
  <c r="D5727" i="30" s="1"/>
  <c r="D5728" i="30" s="1"/>
  <c r="D5729" i="30" s="1"/>
  <c r="D5730" i="30" s="1"/>
  <c r="D5731" i="30" s="1"/>
  <c r="D5732" i="30" s="1"/>
  <c r="D5733" i="30" s="1"/>
  <c r="D5734" i="30" s="1"/>
  <c r="D5735" i="30" s="1"/>
  <c r="D5736" i="30" s="1"/>
  <c r="D5737" i="30" s="1"/>
  <c r="D5738" i="30" s="1"/>
  <c r="D5739" i="30" s="1"/>
  <c r="D5740" i="30" s="1"/>
  <c r="D5741" i="30" s="1"/>
  <c r="D5742" i="30" s="1"/>
  <c r="D5743" i="30" s="1"/>
  <c r="D5744" i="30" s="1"/>
  <c r="D5745" i="30" s="1"/>
  <c r="D5746" i="30" s="1"/>
  <c r="D5747" i="30" s="1"/>
  <c r="D5748" i="30" s="1"/>
  <c r="D5749" i="30" s="1"/>
  <c r="D5750" i="30" s="1"/>
  <c r="D5751" i="30" s="1"/>
  <c r="D5752" i="30" s="1"/>
  <c r="D5753" i="30" s="1"/>
  <c r="D5754" i="30" s="1"/>
  <c r="D5755" i="30" s="1"/>
  <c r="D5756" i="30" s="1"/>
  <c r="D5757" i="30" s="1"/>
  <c r="D5758" i="30" s="1"/>
  <c r="D5759" i="30" s="1"/>
  <c r="D5760" i="30" s="1"/>
  <c r="D5761" i="30" s="1"/>
  <c r="D5762" i="30" s="1"/>
  <c r="D5763" i="30" s="1"/>
  <c r="D5764" i="30" s="1"/>
  <c r="D5765" i="30" s="1"/>
  <c r="D5766" i="30" s="1"/>
  <c r="D5767" i="30" s="1"/>
  <c r="D5768" i="30" s="1"/>
  <c r="D5769" i="30" s="1"/>
  <c r="D5770" i="30" s="1"/>
  <c r="D5771" i="30" s="1"/>
  <c r="D5772" i="30" s="1"/>
  <c r="D5773" i="30" s="1"/>
  <c r="D5774" i="30" s="1"/>
  <c r="D5775" i="30" s="1"/>
  <c r="D5776" i="30" s="1"/>
  <c r="D5777" i="30" s="1"/>
  <c r="D5778" i="30" s="1"/>
  <c r="D5779" i="30" s="1"/>
  <c r="D5780" i="30" s="1"/>
  <c r="D5781" i="30" s="1"/>
  <c r="D5782" i="30" s="1"/>
  <c r="D5783" i="30" s="1"/>
  <c r="D5784" i="30" s="1"/>
  <c r="D5785" i="30" s="1"/>
  <c r="D5786" i="30" s="1"/>
  <c r="D5787" i="30" s="1"/>
  <c r="D5788" i="30" s="1"/>
  <c r="D5789" i="30" s="1"/>
  <c r="D5790" i="30" s="1"/>
  <c r="D5791" i="30" s="1"/>
  <c r="D5792" i="30" s="1"/>
  <c r="D5793" i="30" s="1"/>
  <c r="D5794" i="30" s="1"/>
  <c r="D5795" i="30" s="1"/>
  <c r="D5796" i="30" s="1"/>
  <c r="D5797" i="30" s="1"/>
  <c r="D5798" i="30" s="1"/>
  <c r="D5799" i="30" s="1"/>
  <c r="D5800" i="30" s="1"/>
  <c r="D5801" i="30" s="1"/>
  <c r="D5802" i="30" s="1"/>
  <c r="D5803" i="30" s="1"/>
  <c r="D5804" i="30" s="1"/>
  <c r="D5805" i="30" s="1"/>
  <c r="D5806" i="30" s="1"/>
  <c r="D5807" i="30" s="1"/>
  <c r="D5808" i="30" s="1"/>
  <c r="D5809" i="30" s="1"/>
  <c r="D5810" i="30" s="1"/>
  <c r="D5811" i="30" s="1"/>
  <c r="D5812" i="30" s="1"/>
  <c r="D5813" i="30" s="1"/>
  <c r="D5814" i="30" s="1"/>
  <c r="D5815" i="30" s="1"/>
  <c r="D5816" i="30" s="1"/>
  <c r="D5817" i="30" s="1"/>
  <c r="D5818" i="30" s="1"/>
  <c r="D5819" i="30" s="1"/>
  <c r="D5820" i="30" s="1"/>
  <c r="D5821" i="30" s="1"/>
  <c r="D5822" i="30" s="1"/>
  <c r="D5823" i="30" s="1"/>
  <c r="D5824" i="30" s="1"/>
  <c r="D5825" i="30" s="1"/>
  <c r="D5826" i="30" s="1"/>
  <c r="D5827" i="30" s="1"/>
  <c r="D5828" i="30" s="1"/>
  <c r="D5829" i="30" s="1"/>
  <c r="D5830" i="30" s="1"/>
  <c r="D5831" i="30" s="1"/>
  <c r="D5832" i="30" s="1"/>
  <c r="D5833" i="30" s="1"/>
  <c r="D5834" i="30" s="1"/>
  <c r="D5835" i="30" s="1"/>
  <c r="D5836" i="30" s="1"/>
  <c r="D5837" i="30" s="1"/>
  <c r="D5838" i="30" s="1"/>
  <c r="D5839" i="30" s="1"/>
  <c r="D5840" i="30" s="1"/>
  <c r="D5841" i="30" s="1"/>
  <c r="D5842" i="30" s="1"/>
  <c r="D5843" i="30" s="1"/>
  <c r="D5844" i="30" s="1"/>
  <c r="D5845" i="30" s="1"/>
  <c r="N31" i="32"/>
  <c r="A6" i="30"/>
  <c r="C6" i="33"/>
  <c r="A7" i="33"/>
  <c r="A4" i="29"/>
  <c r="A5" i="29" s="1"/>
  <c r="A6" i="29" s="1"/>
  <c r="A7" i="29" s="1"/>
  <c r="A8" i="29" s="1"/>
  <c r="A9" i="29" s="1"/>
  <c r="A10" i="29" s="1"/>
  <c r="A11" i="29" s="1"/>
  <c r="A12" i="29" s="1"/>
  <c r="A13" i="29" s="1"/>
  <c r="A14" i="29" s="1"/>
  <c r="A15" i="29" s="1"/>
  <c r="A16" i="29" s="1"/>
  <c r="A17" i="29" s="1"/>
  <c r="A18" i="29" s="1"/>
  <c r="A19" i="29" s="1"/>
  <c r="A20" i="29" s="1"/>
  <c r="A21" i="29" s="1"/>
  <c r="A22" i="29" s="1"/>
  <c r="A23" i="29" s="1"/>
  <c r="A24" i="29" s="1"/>
  <c r="A25" i="29" s="1"/>
  <c r="A26" i="29" s="1"/>
  <c r="A27" i="29" s="1"/>
  <c r="A28" i="29" s="1"/>
  <c r="A29" i="29" s="1"/>
  <c r="A30" i="29" s="1"/>
  <c r="A31" i="29" s="1"/>
  <c r="A32" i="29" s="1"/>
  <c r="A33" i="29" s="1"/>
  <c r="A34" i="29" s="1"/>
  <c r="A35" i="29" s="1"/>
  <c r="A36" i="29" s="1"/>
  <c r="A37" i="29" s="1"/>
  <c r="A38" i="29" s="1"/>
  <c r="A39" i="29" s="1"/>
  <c r="A40" i="29" s="1"/>
  <c r="A41" i="29" s="1"/>
  <c r="A42" i="29" s="1"/>
  <c r="A43" i="29" s="1"/>
  <c r="A44" i="29" s="1"/>
  <c r="A45" i="29" s="1"/>
  <c r="A46" i="29" s="1"/>
  <c r="A47" i="29" s="1"/>
  <c r="A48" i="29" s="1"/>
  <c r="A49" i="29" s="1"/>
  <c r="A50" i="29" s="1"/>
  <c r="A51" i="29" s="1"/>
  <c r="A52" i="29" s="1"/>
  <c r="A53" i="29" s="1"/>
  <c r="A54" i="29" s="1"/>
  <c r="A3" i="29"/>
  <c r="D6211" i="30" l="1"/>
  <c r="D6212" i="30" s="1"/>
  <c r="D6213" i="30" s="1"/>
  <c r="D6214" i="30" s="1"/>
  <c r="D6215" i="30" s="1"/>
  <c r="D6216" i="30" s="1"/>
  <c r="D6217" i="30" s="1"/>
  <c r="D6218" i="30" s="1"/>
  <c r="D6219" i="30" s="1"/>
  <c r="D6220" i="30" s="1"/>
  <c r="D6221" i="30" s="1"/>
  <c r="D6222" i="30" s="1"/>
  <c r="D6223" i="30" s="1"/>
  <c r="D6224" i="30" s="1"/>
  <c r="D6225" i="30" s="1"/>
  <c r="D6226" i="30" s="1"/>
  <c r="D6227" i="30" s="1"/>
  <c r="D6228" i="30" s="1"/>
  <c r="D6229" i="30" s="1"/>
  <c r="D6230" i="30" s="1"/>
  <c r="D6231" i="30" s="1"/>
  <c r="D6232" i="30" s="1"/>
  <c r="D6233" i="30" s="1"/>
  <c r="D6234" i="30" s="1"/>
  <c r="D6235" i="30" s="1"/>
  <c r="D6236" i="30" s="1"/>
  <c r="D6237" i="30" s="1"/>
  <c r="D6238" i="30" s="1"/>
  <c r="D6239" i="30" s="1"/>
  <c r="D6240" i="30" s="1"/>
  <c r="D6241" i="30" s="1"/>
  <c r="D6242" i="30" s="1"/>
  <c r="D6243" i="30" s="1"/>
  <c r="D6244" i="30" s="1"/>
  <c r="D6245" i="30" s="1"/>
  <c r="D6246" i="30" s="1"/>
  <c r="D6247" i="30" s="1"/>
  <c r="D6248" i="30" s="1"/>
  <c r="D6249" i="30" s="1"/>
  <c r="D6250" i="30" s="1"/>
  <c r="D6251" i="30" s="1"/>
  <c r="D6252" i="30" s="1"/>
  <c r="D6253" i="30" s="1"/>
  <c r="D6254" i="30" s="1"/>
  <c r="D6255" i="30" s="1"/>
  <c r="D6256" i="30" s="1"/>
  <c r="D6257" i="30" s="1"/>
  <c r="D6258" i="30" s="1"/>
  <c r="D6259" i="30" s="1"/>
  <c r="D6260" i="30" s="1"/>
  <c r="D6261" i="30" s="1"/>
  <c r="D6262" i="30" s="1"/>
  <c r="D6263" i="30" s="1"/>
  <c r="D6264" i="30" s="1"/>
  <c r="D6265" i="30" s="1"/>
  <c r="D6266" i="30" s="1"/>
  <c r="D6267" i="30" s="1"/>
  <c r="D6268" i="30" s="1"/>
  <c r="D6269" i="30" s="1"/>
  <c r="D6270" i="30" s="1"/>
  <c r="D6271" i="30" s="1"/>
  <c r="D6272" i="30" s="1"/>
  <c r="D6273" i="30" s="1"/>
  <c r="D6274" i="30" s="1"/>
  <c r="D6275" i="30" s="1"/>
  <c r="D6276" i="30" s="1"/>
  <c r="D6277" i="30" s="1"/>
  <c r="D6278" i="30" s="1"/>
  <c r="D6279" i="30" s="1"/>
  <c r="D6280" i="30" s="1"/>
  <c r="D6281" i="30" s="1"/>
  <c r="D6282" i="30" s="1"/>
  <c r="D6283" i="30" s="1"/>
  <c r="D6284" i="30" s="1"/>
  <c r="D6285" i="30" s="1"/>
  <c r="D6286" i="30" s="1"/>
  <c r="D6287" i="30" s="1"/>
  <c r="D6288" i="30" s="1"/>
  <c r="D6289" i="30" s="1"/>
  <c r="D6290" i="30" s="1"/>
  <c r="D6291" i="30" s="1"/>
  <c r="D6292" i="30" s="1"/>
  <c r="D6293" i="30" s="1"/>
  <c r="D6294" i="30" s="1"/>
  <c r="D6295" i="30" s="1"/>
  <c r="D6296" i="30" s="1"/>
  <c r="D6297" i="30" s="1"/>
  <c r="D6298" i="30" s="1"/>
  <c r="D6299" i="30" s="1"/>
  <c r="D6300" i="30" s="1"/>
  <c r="D6301" i="30" s="1"/>
  <c r="D6577" i="30"/>
  <c r="D6578" i="30" s="1"/>
  <c r="D6579" i="30" s="1"/>
  <c r="D6580" i="30" s="1"/>
  <c r="D6581" i="30" s="1"/>
  <c r="D6582" i="30" s="1"/>
  <c r="D6583" i="30" s="1"/>
  <c r="D6584" i="30" s="1"/>
  <c r="D6585" i="30" s="1"/>
  <c r="D6586" i="30" s="1"/>
  <c r="D6587" i="30" s="1"/>
  <c r="D6588" i="30" s="1"/>
  <c r="D6589" i="30" s="1"/>
  <c r="D6590" i="30" s="1"/>
  <c r="D6591" i="30" s="1"/>
  <c r="D6592" i="30" s="1"/>
  <c r="D6593" i="30" s="1"/>
  <c r="D6594" i="30" s="1"/>
  <c r="D6595" i="30" s="1"/>
  <c r="D6596" i="30" s="1"/>
  <c r="D6597" i="30" s="1"/>
  <c r="D6598" i="30" s="1"/>
  <c r="D6599" i="30" s="1"/>
  <c r="D6600" i="30" s="1"/>
  <c r="D6601" i="30" s="1"/>
  <c r="D6602" i="30" s="1"/>
  <c r="D6603" i="30" s="1"/>
  <c r="D5846" i="30"/>
  <c r="D5847" i="30" s="1"/>
  <c r="D5848" i="30" s="1"/>
  <c r="D5849" i="30" s="1"/>
  <c r="D5850" i="30" s="1"/>
  <c r="D5851" i="30" s="1"/>
  <c r="D5852" i="30" s="1"/>
  <c r="D5853" i="30" s="1"/>
  <c r="D5854" i="30" s="1"/>
  <c r="D5855" i="30" s="1"/>
  <c r="D5856" i="30" s="1"/>
  <c r="D5857" i="30" s="1"/>
  <c r="D5858" i="30" s="1"/>
  <c r="D5859" i="30" s="1"/>
  <c r="D5860" i="30" s="1"/>
  <c r="D5861" i="30" s="1"/>
  <c r="D5862" i="30" s="1"/>
  <c r="D5863" i="30" s="1"/>
  <c r="D5864" i="30" s="1"/>
  <c r="D5865" i="30" s="1"/>
  <c r="D5866" i="30" s="1"/>
  <c r="D5867" i="30" s="1"/>
  <c r="D5868" i="30" s="1"/>
  <c r="D5869" i="30" s="1"/>
  <c r="D5870" i="30" s="1"/>
  <c r="D5871" i="30" s="1"/>
  <c r="D5872" i="30" s="1"/>
  <c r="D5873" i="30" s="1"/>
  <c r="D5874" i="30" s="1"/>
  <c r="D5875" i="30" s="1"/>
  <c r="D5876" i="30" s="1"/>
  <c r="D5877" i="30" s="1"/>
  <c r="D5878" i="30" s="1"/>
  <c r="D5879" i="30" s="1"/>
  <c r="D5880" i="30" s="1"/>
  <c r="D5881" i="30" s="1"/>
  <c r="D5882" i="30" s="1"/>
  <c r="D5883" i="30" s="1"/>
  <c r="D5884" i="30" s="1"/>
  <c r="D5885" i="30" s="1"/>
  <c r="D5886" i="30" s="1"/>
  <c r="D5887" i="30" s="1"/>
  <c r="D5888" i="30" s="1"/>
  <c r="D5889" i="30" s="1"/>
  <c r="D5890" i="30" s="1"/>
  <c r="D5891" i="30" s="1"/>
  <c r="D5892" i="30" s="1"/>
  <c r="D5893" i="30" s="1"/>
  <c r="D5894" i="30" s="1"/>
  <c r="D5895" i="30" s="1"/>
  <c r="D5896" i="30" s="1"/>
  <c r="D5897" i="30" s="1"/>
  <c r="D5898" i="30" s="1"/>
  <c r="D5899" i="30" s="1"/>
  <c r="D5900" i="30" s="1"/>
  <c r="D5901" i="30" s="1"/>
  <c r="D5902" i="30" s="1"/>
  <c r="D5903" i="30" s="1"/>
  <c r="D5904" i="30" s="1"/>
  <c r="D5905" i="30" s="1"/>
  <c r="D5906" i="30" s="1"/>
  <c r="D5907" i="30" s="1"/>
  <c r="D5908" i="30" s="1"/>
  <c r="D5909" i="30" s="1"/>
  <c r="D5910" i="30" s="1"/>
  <c r="D5911" i="30" s="1"/>
  <c r="D5912" i="30" s="1"/>
  <c r="D5913" i="30" s="1"/>
  <c r="D5914" i="30" s="1"/>
  <c r="D5915" i="30" s="1"/>
  <c r="D5916" i="30" s="1"/>
  <c r="D5917" i="30" s="1"/>
  <c r="D5918" i="30" s="1"/>
  <c r="D5919" i="30" s="1"/>
  <c r="D5920" i="30" s="1"/>
  <c r="D5921" i="30" s="1"/>
  <c r="D5922" i="30" s="1"/>
  <c r="D5923" i="30" s="1"/>
  <c r="D5924" i="30" s="1"/>
  <c r="D5925" i="30" s="1"/>
  <c r="D5926" i="30" s="1"/>
  <c r="D5927" i="30" s="1"/>
  <c r="D5928" i="30" s="1"/>
  <c r="D5929" i="30" s="1"/>
  <c r="D5930" i="30" s="1"/>
  <c r="D5931" i="30" s="1"/>
  <c r="D5932" i="30" s="1"/>
  <c r="D5933" i="30" s="1"/>
  <c r="D5934" i="30" s="1"/>
  <c r="D5935" i="30" s="1"/>
  <c r="N33" i="32"/>
  <c r="A7" i="30"/>
  <c r="A8" i="33"/>
  <c r="C7" i="33"/>
  <c r="A55" i="29"/>
  <c r="A56" i="29" s="1"/>
  <c r="A57" i="29" s="1"/>
  <c r="A58" i="29" s="1"/>
  <c r="A59" i="29" s="1"/>
  <c r="A60" i="29" s="1"/>
  <c r="A61" i="29" s="1"/>
  <c r="A62" i="29" s="1"/>
  <c r="A63" i="29" s="1"/>
  <c r="A64" i="29" s="1"/>
  <c r="A65" i="29" s="1"/>
  <c r="A66" i="29" s="1"/>
  <c r="A67" i="29" s="1"/>
  <c r="A68" i="29" s="1"/>
  <c r="A69" i="29" s="1"/>
  <c r="A70" i="29" s="1"/>
  <c r="A71" i="29" s="1"/>
  <c r="A72" i="29" s="1"/>
  <c r="A73" i="29" s="1"/>
  <c r="A74" i="29" s="1"/>
  <c r="A75" i="29" s="1"/>
  <c r="A76" i="29" s="1"/>
  <c r="A77" i="29" s="1"/>
  <c r="A78" i="29" s="1"/>
  <c r="A79" i="29" s="1"/>
  <c r="A80" i="29" s="1"/>
  <c r="A81" i="29" s="1"/>
  <c r="A82" i="29" s="1"/>
  <c r="A83" i="29" s="1"/>
  <c r="A84" i="29" s="1"/>
  <c r="A85" i="29" s="1"/>
  <c r="A86" i="29" s="1"/>
  <c r="A87" i="29" s="1"/>
  <c r="A88" i="29" s="1"/>
  <c r="A89" i="29" s="1"/>
  <c r="A90" i="29" s="1"/>
  <c r="A91" i="29" s="1"/>
  <c r="A92" i="29" s="1"/>
  <c r="A93" i="29" s="1"/>
  <c r="A94" i="29" s="1"/>
  <c r="A95" i="29" s="1"/>
  <c r="A96" i="29" s="1"/>
  <c r="A97" i="29" s="1"/>
  <c r="A98" i="29" s="1"/>
  <c r="A99" i="29" s="1"/>
  <c r="A100" i="29" s="1"/>
  <c r="A101" i="29" s="1"/>
  <c r="A102" i="29" s="1"/>
  <c r="A103" i="29" s="1"/>
  <c r="A104" i="29" s="1"/>
  <c r="A105" i="29" s="1"/>
  <c r="A106" i="29" s="1"/>
  <c r="A107" i="29" s="1"/>
  <c r="N35" i="32" l="1"/>
  <c r="A8" i="30"/>
  <c r="A9" i="33"/>
  <c r="C8" i="33"/>
  <c r="A20" i="21"/>
  <c r="A19" i="21"/>
  <c r="N37" i="32" l="1"/>
  <c r="A9" i="30"/>
  <c r="C9" i="33"/>
  <c r="A10" i="33"/>
  <c r="A18" i="21"/>
  <c r="N39" i="32" l="1"/>
  <c r="A10" i="30"/>
  <c r="C10" i="33"/>
  <c r="A11" i="33"/>
  <c r="A17" i="21"/>
  <c r="N41" i="32" l="1"/>
  <c r="A11" i="30"/>
  <c r="A12" i="33"/>
  <c r="C11" i="33"/>
  <c r="A16" i="21"/>
  <c r="N43" i="32" l="1"/>
  <c r="A12" i="30"/>
  <c r="A13" i="33"/>
  <c r="C12" i="33"/>
  <c r="A15" i="21"/>
  <c r="N45" i="32" l="1"/>
  <c r="A13" i="30"/>
  <c r="C13" i="33"/>
  <c r="A14" i="33"/>
  <c r="A14" i="21"/>
  <c r="N47" i="32" l="1"/>
  <c r="A14" i="30"/>
  <c r="C14" i="33"/>
  <c r="A15" i="33"/>
  <c r="A13" i="21"/>
  <c r="N49" i="32" l="1"/>
  <c r="R47" i="32"/>
  <c r="A15" i="30"/>
  <c r="A16" i="33"/>
  <c r="C15" i="33"/>
  <c r="A12" i="21"/>
  <c r="R39" i="32" l="1"/>
  <c r="R35" i="32"/>
  <c r="R31" i="32"/>
  <c r="R29" i="32"/>
  <c r="R37" i="32"/>
  <c r="R41" i="32"/>
  <c r="R33" i="32"/>
  <c r="R43" i="32"/>
  <c r="R45" i="32"/>
  <c r="N51" i="32"/>
  <c r="R49" i="32"/>
  <c r="A16" i="30"/>
  <c r="A17" i="33"/>
  <c r="C16" i="33"/>
  <c r="A1" i="28"/>
  <c r="CR2" i="28" s="1"/>
  <c r="DS109" i="28"/>
  <c r="DO109" i="28"/>
  <c r="DK109" i="28"/>
  <c r="DS108" i="28"/>
  <c r="DO108" i="28"/>
  <c r="DK108" i="28"/>
  <c r="DS107" i="28"/>
  <c r="DO107" i="28"/>
  <c r="DK107" i="28"/>
  <c r="DS106" i="28"/>
  <c r="DO106" i="28"/>
  <c r="DK106" i="28"/>
  <c r="DS105" i="28"/>
  <c r="DO105" i="28"/>
  <c r="DK105" i="28"/>
  <c r="DS104" i="28"/>
  <c r="DO104" i="28"/>
  <c r="DK104" i="28"/>
  <c r="DS103" i="28"/>
  <c r="DO103" i="28"/>
  <c r="DK103" i="28"/>
  <c r="DS102" i="28"/>
  <c r="DO102" i="28"/>
  <c r="DK102" i="28"/>
  <c r="DS101" i="28"/>
  <c r="DO101" i="28"/>
  <c r="DK101" i="28"/>
  <c r="DS100" i="28"/>
  <c r="DO100" i="28"/>
  <c r="DK100" i="28"/>
  <c r="DS99" i="28"/>
  <c r="DO99" i="28"/>
  <c r="DK99" i="28"/>
  <c r="DS98" i="28"/>
  <c r="DO98" i="28"/>
  <c r="DK98" i="28"/>
  <c r="DS97" i="28"/>
  <c r="DO97" i="28"/>
  <c r="DK97" i="28"/>
  <c r="DS96" i="28"/>
  <c r="DO96" i="28"/>
  <c r="DK96" i="28"/>
  <c r="DS95" i="28"/>
  <c r="DO95" i="28"/>
  <c r="DK95" i="28"/>
  <c r="DS94" i="28"/>
  <c r="DO94" i="28"/>
  <c r="DK94" i="28"/>
  <c r="DS93" i="28"/>
  <c r="DO93" i="28"/>
  <c r="DK93" i="28"/>
  <c r="DS92" i="28"/>
  <c r="DO92" i="28"/>
  <c r="DK92" i="28"/>
  <c r="DS91" i="28"/>
  <c r="DO91" i="28"/>
  <c r="DK91" i="28"/>
  <c r="DS90" i="28"/>
  <c r="DO90" i="28"/>
  <c r="DK90" i="28"/>
  <c r="DS89" i="28"/>
  <c r="DO89" i="28"/>
  <c r="DK89" i="28"/>
  <c r="DS88" i="28"/>
  <c r="DO88" i="28"/>
  <c r="DK88" i="28"/>
  <c r="DS87" i="28"/>
  <c r="DO87" i="28"/>
  <c r="DK87" i="28"/>
  <c r="DS86" i="28"/>
  <c r="DO86" i="28"/>
  <c r="DK86" i="28"/>
  <c r="DS85" i="28"/>
  <c r="DO85" i="28"/>
  <c r="DK85" i="28"/>
  <c r="DS84" i="28"/>
  <c r="DO84" i="28"/>
  <c r="DK84" i="28"/>
  <c r="DS83" i="28"/>
  <c r="DO83" i="28"/>
  <c r="DK83" i="28"/>
  <c r="DS82" i="28"/>
  <c r="DO82" i="28"/>
  <c r="DK82" i="28"/>
  <c r="DS81" i="28"/>
  <c r="DO81" i="28"/>
  <c r="DK81" i="28"/>
  <c r="DS80" i="28"/>
  <c r="DO80" i="28"/>
  <c r="DK80" i="28"/>
  <c r="DS79" i="28"/>
  <c r="DO79" i="28"/>
  <c r="DK79" i="28"/>
  <c r="DS78" i="28"/>
  <c r="DO78" i="28"/>
  <c r="DK78" i="28"/>
  <c r="DS77" i="28"/>
  <c r="DO77" i="28"/>
  <c r="DK77" i="28"/>
  <c r="DS76" i="28"/>
  <c r="DO76" i="28"/>
  <c r="DK76" i="28"/>
  <c r="DS75" i="28"/>
  <c r="DO75" i="28"/>
  <c r="DK75" i="28"/>
  <c r="DS74" i="28"/>
  <c r="DO74" i="28"/>
  <c r="DK74" i="28"/>
  <c r="DS73" i="28"/>
  <c r="DO73" i="28"/>
  <c r="DK73" i="28"/>
  <c r="DS72" i="28"/>
  <c r="DO72" i="28"/>
  <c r="DK72" i="28"/>
  <c r="DS71" i="28"/>
  <c r="DO71" i="28"/>
  <c r="DK71" i="28"/>
  <c r="DS70" i="28"/>
  <c r="DO70" i="28"/>
  <c r="DK70" i="28"/>
  <c r="DS69" i="28"/>
  <c r="DO69" i="28"/>
  <c r="DK69" i="28"/>
  <c r="DS68" i="28"/>
  <c r="DO68" i="28"/>
  <c r="DK68" i="28"/>
  <c r="DS67" i="28"/>
  <c r="DO67" i="28"/>
  <c r="DK67" i="28"/>
  <c r="DS66" i="28"/>
  <c r="DO66" i="28"/>
  <c r="DK66" i="28"/>
  <c r="DS65" i="28"/>
  <c r="DO65" i="28"/>
  <c r="DK65" i="28"/>
  <c r="DS64" i="28"/>
  <c r="DO64" i="28"/>
  <c r="DK64" i="28"/>
  <c r="DS63" i="28"/>
  <c r="DO63" i="28"/>
  <c r="DK63" i="28"/>
  <c r="DS62" i="28"/>
  <c r="DO62" i="28"/>
  <c r="DK62" i="28"/>
  <c r="DS61" i="28"/>
  <c r="DO61" i="28"/>
  <c r="DK61" i="28"/>
  <c r="DS60" i="28"/>
  <c r="DO60" i="28"/>
  <c r="DK60" i="28"/>
  <c r="DS59" i="28"/>
  <c r="DO59" i="28"/>
  <c r="DK59" i="28"/>
  <c r="DS58" i="28"/>
  <c r="DO58" i="28"/>
  <c r="DK58" i="28"/>
  <c r="DS57" i="28"/>
  <c r="DO57" i="28"/>
  <c r="DK57" i="28"/>
  <c r="DS56" i="28"/>
  <c r="DO56" i="28"/>
  <c r="DK56" i="28"/>
  <c r="DS55" i="28"/>
  <c r="DO55" i="28"/>
  <c r="DK55" i="28"/>
  <c r="DS54" i="28"/>
  <c r="DO54" i="28"/>
  <c r="DK54" i="28"/>
  <c r="DS53" i="28"/>
  <c r="DO53" i="28"/>
  <c r="DK53" i="28"/>
  <c r="DS52" i="28"/>
  <c r="DO52" i="28"/>
  <c r="DK52" i="28"/>
  <c r="DS51" i="28"/>
  <c r="DO51" i="28"/>
  <c r="DK51" i="28"/>
  <c r="DS50" i="28"/>
  <c r="DO50" i="28"/>
  <c r="DK50" i="28"/>
  <c r="DS49" i="28"/>
  <c r="DO49" i="28"/>
  <c r="DK49" i="28"/>
  <c r="DS48" i="28"/>
  <c r="DO48" i="28"/>
  <c r="DK48" i="28"/>
  <c r="DS47" i="28"/>
  <c r="DO47" i="28"/>
  <c r="DK47" i="28"/>
  <c r="DS46" i="28"/>
  <c r="DO46" i="28"/>
  <c r="DK46" i="28"/>
  <c r="DS45" i="28"/>
  <c r="DO45" i="28"/>
  <c r="DK45" i="28"/>
  <c r="DS44" i="28"/>
  <c r="DO44" i="28"/>
  <c r="DK44" i="28"/>
  <c r="DS43" i="28"/>
  <c r="DO43" i="28"/>
  <c r="DK43" i="28"/>
  <c r="DS42" i="28"/>
  <c r="DO42" i="28"/>
  <c r="DK42" i="28"/>
  <c r="DS41" i="28"/>
  <c r="DO41" i="28"/>
  <c r="DK41" i="28"/>
  <c r="DS40" i="28"/>
  <c r="DO40" i="28"/>
  <c r="DK40" i="28"/>
  <c r="DS39" i="28"/>
  <c r="DO39" i="28"/>
  <c r="DK39" i="28"/>
  <c r="DS38" i="28"/>
  <c r="DO38" i="28"/>
  <c r="DK38" i="28"/>
  <c r="DS37" i="28"/>
  <c r="DO37" i="28"/>
  <c r="DK37" i="28"/>
  <c r="DS36" i="28"/>
  <c r="DO36" i="28"/>
  <c r="DK36" i="28"/>
  <c r="DS35" i="28"/>
  <c r="DO35" i="28"/>
  <c r="DK35" i="28"/>
  <c r="DS34" i="28"/>
  <c r="DO34" i="28"/>
  <c r="DK34" i="28"/>
  <c r="DS33" i="28"/>
  <c r="DO33" i="28"/>
  <c r="DK33" i="28"/>
  <c r="DS32" i="28"/>
  <c r="DO32" i="28"/>
  <c r="DK32" i="28"/>
  <c r="DS31" i="28"/>
  <c r="DO31" i="28"/>
  <c r="DK31" i="28"/>
  <c r="DS30" i="28"/>
  <c r="DO30" i="28"/>
  <c r="DK30" i="28"/>
  <c r="DS29" i="28"/>
  <c r="DO29" i="28"/>
  <c r="DK29" i="28"/>
  <c r="DS28" i="28"/>
  <c r="DO28" i="28"/>
  <c r="DK28" i="28"/>
  <c r="DS27" i="28"/>
  <c r="DO27" i="28"/>
  <c r="DK27" i="28"/>
  <c r="DS26" i="28"/>
  <c r="DO26" i="28"/>
  <c r="DK26" i="28"/>
  <c r="DS25" i="28"/>
  <c r="DO25" i="28"/>
  <c r="DK25" i="28"/>
  <c r="DS24" i="28"/>
  <c r="DO24" i="28"/>
  <c r="DK24" i="28"/>
  <c r="DS23" i="28"/>
  <c r="DO23" i="28"/>
  <c r="DK23" i="28"/>
  <c r="DS22" i="28"/>
  <c r="DO22" i="28"/>
  <c r="DK22" i="28"/>
  <c r="DS21" i="28"/>
  <c r="DO21" i="28"/>
  <c r="DK21" i="28"/>
  <c r="DS20" i="28"/>
  <c r="DO20" i="28"/>
  <c r="DK20" i="28"/>
  <c r="DS19" i="28"/>
  <c r="DO19" i="28"/>
  <c r="DK19" i="28"/>
  <c r="DS18" i="28"/>
  <c r="DO18" i="28"/>
  <c r="DK18" i="28"/>
  <c r="DS17" i="28"/>
  <c r="DO17" i="28"/>
  <c r="DK17" i="28"/>
  <c r="DS16" i="28"/>
  <c r="DO16" i="28"/>
  <c r="DK16" i="28"/>
  <c r="DS15" i="28"/>
  <c r="DO15" i="28"/>
  <c r="DK15" i="28"/>
  <c r="DS14" i="28"/>
  <c r="DO14" i="28"/>
  <c r="DK14" i="28"/>
  <c r="DS13" i="28"/>
  <c r="DO13" i="28"/>
  <c r="DK13" i="28"/>
  <c r="DS12" i="28"/>
  <c r="DO12" i="28"/>
  <c r="DK12" i="28"/>
  <c r="DS11" i="28"/>
  <c r="DO11" i="28"/>
  <c r="DK11" i="28"/>
  <c r="DS10" i="28"/>
  <c r="DO10" i="28"/>
  <c r="DK10" i="28"/>
  <c r="DS9" i="28"/>
  <c r="DO9" i="28"/>
  <c r="DK9" i="28"/>
  <c r="DS8" i="28"/>
  <c r="DO8" i="28"/>
  <c r="DK8" i="28"/>
  <c r="DS7" i="28"/>
  <c r="DO7" i="28"/>
  <c r="DK7" i="28"/>
  <c r="DS6" i="28"/>
  <c r="DO6" i="28"/>
  <c r="DK6" i="28"/>
  <c r="DS5" i="28"/>
  <c r="DO5" i="28"/>
  <c r="DK5" i="28"/>
  <c r="DS4" i="28"/>
  <c r="DO4" i="28"/>
  <c r="DK4" i="28"/>
  <c r="DS3" i="28"/>
  <c r="DO3" i="28"/>
  <c r="DK3" i="28"/>
  <c r="N53" i="32" l="1"/>
  <c r="R51" i="32"/>
  <c r="A17" i="30"/>
  <c r="C17" i="33"/>
  <c r="A18" i="33"/>
  <c r="AR2" i="28"/>
  <c r="AR98" i="28" s="1"/>
  <c r="BL2" i="28"/>
  <c r="BL100" i="28" s="1"/>
  <c r="CJ2" i="28"/>
  <c r="CJ85" i="28" s="1"/>
  <c r="L2" i="28"/>
  <c r="L27" i="28" s="1"/>
  <c r="AB2" i="28"/>
  <c r="AB109" i="28" s="1"/>
  <c r="P2" i="28"/>
  <c r="P104" i="28" s="1"/>
  <c r="AF2" i="28"/>
  <c r="AF18" i="28" s="1"/>
  <c r="AV2" i="28"/>
  <c r="AV11" i="28" s="1"/>
  <c r="BP2" i="28"/>
  <c r="BP72" i="28" s="1"/>
  <c r="CV2" i="28"/>
  <c r="CV101" i="28" s="1"/>
  <c r="D2" i="28"/>
  <c r="D24" i="28" s="1"/>
  <c r="T2" i="28"/>
  <c r="T49" i="28" s="1"/>
  <c r="AJ2" i="28"/>
  <c r="AJ97" i="28" s="1"/>
  <c r="AZ2" i="28"/>
  <c r="AZ91" i="28" s="1"/>
  <c r="BT2" i="28"/>
  <c r="BT18" i="28" s="1"/>
  <c r="CZ2" i="28"/>
  <c r="H2" i="28"/>
  <c r="X2" i="28"/>
  <c r="X83" i="28" s="1"/>
  <c r="AN2" i="28"/>
  <c r="AN69" i="28" s="1"/>
  <c r="BD2" i="28"/>
  <c r="CF2" i="28"/>
  <c r="CF103" i="28" s="1"/>
  <c r="BH2" i="28"/>
  <c r="BH86" i="28" s="1"/>
  <c r="BX2" i="28"/>
  <c r="BX32" i="28" s="1"/>
  <c r="CN2" i="28"/>
  <c r="DD2" i="28"/>
  <c r="CB2" i="28"/>
  <c r="CB102" i="28" s="1"/>
  <c r="BH66" i="28"/>
  <c r="DD108" i="28"/>
  <c r="X98" i="28"/>
  <c r="X61" i="28"/>
  <c r="X17" i="28"/>
  <c r="X3" i="28"/>
  <c r="P71" i="28"/>
  <c r="P54" i="28"/>
  <c r="P17" i="28"/>
  <c r="P12" i="28"/>
  <c r="BL93" i="28"/>
  <c r="BL88" i="28"/>
  <c r="BL73" i="28"/>
  <c r="BL63" i="28"/>
  <c r="BL54" i="28"/>
  <c r="BL45" i="28"/>
  <c r="BL34" i="28"/>
  <c r="BL27" i="28"/>
  <c r="BL3" i="28"/>
  <c r="CB108" i="28"/>
  <c r="CB93" i="28"/>
  <c r="CB86" i="28"/>
  <c r="CB73" i="28"/>
  <c r="CB65" i="28"/>
  <c r="CB56" i="28"/>
  <c r="CB45" i="28"/>
  <c r="CB41" i="28"/>
  <c r="CB27" i="28"/>
  <c r="CB3" i="28"/>
  <c r="CB4" i="28"/>
  <c r="CR108" i="28"/>
  <c r="CR109" i="28"/>
  <c r="CR106" i="28"/>
  <c r="CR107" i="28"/>
  <c r="CR105" i="28"/>
  <c r="CR103" i="28"/>
  <c r="CR104" i="28"/>
  <c r="CR102" i="28"/>
  <c r="CR101" i="28"/>
  <c r="CR99" i="28"/>
  <c r="CR97" i="28"/>
  <c r="CR100" i="28"/>
  <c r="CR96" i="28"/>
  <c r="CR94" i="28"/>
  <c r="CR98" i="28"/>
  <c r="CR95" i="28"/>
  <c r="CR93" i="28"/>
  <c r="CR91" i="28"/>
  <c r="CR89" i="28"/>
  <c r="CR92" i="28"/>
  <c r="CR90" i="28"/>
  <c r="CR86" i="28"/>
  <c r="CR84" i="28"/>
  <c r="CR82" i="28"/>
  <c r="CR88" i="28"/>
  <c r="CR87" i="28"/>
  <c r="CR85" i="28"/>
  <c r="CR83" i="28"/>
  <c r="CR81" i="28"/>
  <c r="CR80" i="28"/>
  <c r="CR78" i="28"/>
  <c r="CR76" i="28"/>
  <c r="CR74" i="28"/>
  <c r="CR72" i="28"/>
  <c r="CR79" i="28"/>
  <c r="CR77" i="28"/>
  <c r="CR75" i="28"/>
  <c r="CR73" i="28"/>
  <c r="CR71" i="28"/>
  <c r="CR70" i="28"/>
  <c r="CR66" i="28"/>
  <c r="CR69" i="28"/>
  <c r="CR65" i="28"/>
  <c r="CR63" i="28"/>
  <c r="CR61" i="28"/>
  <c r="CR59" i="28"/>
  <c r="CR57" i="28"/>
  <c r="CR55" i="28"/>
  <c r="CR53" i="28"/>
  <c r="CR51" i="28"/>
  <c r="CR49" i="28"/>
  <c r="CR47" i="28"/>
  <c r="CR68" i="28"/>
  <c r="CR67" i="28"/>
  <c r="CR64" i="28"/>
  <c r="CR62" i="28"/>
  <c r="CR60" i="28"/>
  <c r="CR58" i="28"/>
  <c r="CR56" i="28"/>
  <c r="CR54" i="28"/>
  <c r="CR52" i="28"/>
  <c r="CR50" i="28"/>
  <c r="CR48" i="28"/>
  <c r="CR46" i="28"/>
  <c r="CR45" i="28"/>
  <c r="CR44" i="28"/>
  <c r="CR42" i="28"/>
  <c r="CR40" i="28"/>
  <c r="CR43" i="28"/>
  <c r="CR39" i="28"/>
  <c r="CR35" i="28"/>
  <c r="CR28" i="28"/>
  <c r="CR26" i="28"/>
  <c r="CR24" i="28"/>
  <c r="CR22" i="28"/>
  <c r="CR20" i="28"/>
  <c r="CR18" i="28"/>
  <c r="CR16" i="28"/>
  <c r="CR38" i="28"/>
  <c r="CR34" i="28"/>
  <c r="CR37" i="28"/>
  <c r="CR33" i="28"/>
  <c r="CR31" i="28"/>
  <c r="CR29" i="28"/>
  <c r="CR27" i="28"/>
  <c r="CR25" i="28"/>
  <c r="CR23" i="28"/>
  <c r="CR21" i="28"/>
  <c r="CR19" i="28"/>
  <c r="CR17" i="28"/>
  <c r="CR15" i="28"/>
  <c r="CR13" i="28"/>
  <c r="CR41" i="28"/>
  <c r="CR36" i="28"/>
  <c r="CR32" i="28"/>
  <c r="CR30" i="28"/>
  <c r="CR14" i="28"/>
  <c r="CR11" i="28"/>
  <c r="CR9" i="28"/>
  <c r="CR7" i="28"/>
  <c r="CR5" i="28"/>
  <c r="CR3" i="28"/>
  <c r="CR12" i="28"/>
  <c r="CR10" i="28"/>
  <c r="CR8" i="28"/>
  <c r="CR6" i="28"/>
  <c r="CR4" i="28"/>
  <c r="AR101" i="28"/>
  <c r="AR85" i="28"/>
  <c r="AR70" i="28"/>
  <c r="AR60" i="28"/>
  <c r="AR28" i="28"/>
  <c r="AR23" i="28"/>
  <c r="AR8" i="28"/>
  <c r="AJ56" i="28"/>
  <c r="AZ105" i="28"/>
  <c r="AZ84" i="28"/>
  <c r="AZ83" i="28"/>
  <c r="AZ63" i="28"/>
  <c r="AZ53" i="28"/>
  <c r="AZ46" i="28"/>
  <c r="AZ43" i="28"/>
  <c r="AZ27" i="28"/>
  <c r="AZ15" i="28"/>
  <c r="AZ4" i="28"/>
  <c r="BP89" i="28"/>
  <c r="BP22" i="28"/>
  <c r="BP39" i="28"/>
  <c r="CF109" i="28"/>
  <c r="CF95" i="28"/>
  <c r="CF76" i="28"/>
  <c r="CF63" i="28"/>
  <c r="CF69" i="28"/>
  <c r="CF45" i="28"/>
  <c r="CF26" i="28"/>
  <c r="CF25" i="28"/>
  <c r="CF11" i="28"/>
  <c r="CF4" i="28"/>
  <c r="CV96" i="28"/>
  <c r="CV98" i="28"/>
  <c r="CV93" i="28"/>
  <c r="CV86" i="28"/>
  <c r="CV87" i="28"/>
  <c r="CV85" i="28"/>
  <c r="CV88" i="28"/>
  <c r="CV76" i="28"/>
  <c r="CV79" i="28"/>
  <c r="CV77" i="28"/>
  <c r="CV68" i="28"/>
  <c r="CV64" i="28"/>
  <c r="CV59" i="28"/>
  <c r="CV55" i="28"/>
  <c r="CV47" i="28"/>
  <c r="CV66" i="28"/>
  <c r="CV62" i="28"/>
  <c r="CV60" i="28"/>
  <c r="CV52" i="28"/>
  <c r="CV48" i="28"/>
  <c r="CV42" i="28"/>
  <c r="CV40" i="28"/>
  <c r="CV33" i="28"/>
  <c r="CV30" i="28"/>
  <c r="CV22" i="28"/>
  <c r="CV18" i="28"/>
  <c r="CV35" i="28"/>
  <c r="CV29" i="28"/>
  <c r="CV21" i="28"/>
  <c r="CV19" i="28"/>
  <c r="CV39" i="28"/>
  <c r="CV34" i="28"/>
  <c r="CV7" i="28"/>
  <c r="CV5" i="28"/>
  <c r="CV10" i="28"/>
  <c r="CV8" i="28"/>
  <c r="E2" i="28"/>
  <c r="I2" i="28"/>
  <c r="M2" i="28"/>
  <c r="Q2" i="28"/>
  <c r="U2" i="28"/>
  <c r="Y2" i="28"/>
  <c r="AC2" i="28"/>
  <c r="AG2" i="28"/>
  <c r="AK2" i="28"/>
  <c r="AO2" i="28"/>
  <c r="AS2" i="28"/>
  <c r="AW2" i="28"/>
  <c r="BA2" i="28"/>
  <c r="BE2" i="28"/>
  <c r="BI2" i="28"/>
  <c r="BM2" i="28"/>
  <c r="BQ2" i="28"/>
  <c r="BU2" i="28"/>
  <c r="BY2" i="28"/>
  <c r="CC2" i="28"/>
  <c r="CG2" i="28"/>
  <c r="CK2" i="28"/>
  <c r="CO2" i="28"/>
  <c r="CS2" i="28"/>
  <c r="CW2" i="28"/>
  <c r="DA2" i="28"/>
  <c r="DE2" i="28"/>
  <c r="F2" i="28"/>
  <c r="J2" i="28"/>
  <c r="N2" i="28"/>
  <c r="R2" i="28"/>
  <c r="V2" i="28"/>
  <c r="Z2" i="28"/>
  <c r="AD2" i="28"/>
  <c r="AH2" i="28"/>
  <c r="AL2" i="28"/>
  <c r="AP2" i="28"/>
  <c r="AT2" i="28"/>
  <c r="AX2" i="28"/>
  <c r="BB2" i="28"/>
  <c r="BF2" i="28"/>
  <c r="BJ2" i="28"/>
  <c r="BN2" i="28"/>
  <c r="BR2" i="28"/>
  <c r="BV2" i="28"/>
  <c r="BZ2" i="28"/>
  <c r="CD2" i="28"/>
  <c r="CH2" i="28"/>
  <c r="CL2" i="28"/>
  <c r="CP2" i="28"/>
  <c r="CT2" i="28"/>
  <c r="CX2" i="28"/>
  <c r="DB2" i="28"/>
  <c r="C2" i="28"/>
  <c r="G2" i="28"/>
  <c r="K2" i="28"/>
  <c r="O2" i="28"/>
  <c r="S2" i="28"/>
  <c r="W2" i="28"/>
  <c r="AA2" i="28"/>
  <c r="AE2" i="28"/>
  <c r="AI2" i="28"/>
  <c r="AM2" i="28"/>
  <c r="AQ2" i="28"/>
  <c r="AU2" i="28"/>
  <c r="AY2" i="28"/>
  <c r="BC2" i="28"/>
  <c r="BG2" i="28"/>
  <c r="BK2" i="28"/>
  <c r="BO2" i="28"/>
  <c r="BS2" i="28"/>
  <c r="BW2" i="28"/>
  <c r="CA2" i="28"/>
  <c r="CE2" i="28"/>
  <c r="CI2" i="28"/>
  <c r="CM2" i="28"/>
  <c r="CQ2" i="28"/>
  <c r="CU2" i="28"/>
  <c r="CY2" i="28"/>
  <c r="DC2" i="28"/>
  <c r="G17" i="27"/>
  <c r="N55" i="32" l="1"/>
  <c r="R53" i="32"/>
  <c r="A18" i="30"/>
  <c r="C18" i="33"/>
  <c r="A19" i="33"/>
  <c r="CV4" i="28"/>
  <c r="CV3" i="28"/>
  <c r="CV31" i="28"/>
  <c r="CV15" i="28"/>
  <c r="CV27" i="28"/>
  <c r="CV16" i="28"/>
  <c r="CV26" i="28"/>
  <c r="CV43" i="28"/>
  <c r="CV46" i="28"/>
  <c r="CV56" i="28"/>
  <c r="CV70" i="28"/>
  <c r="CV53" i="28"/>
  <c r="CV63" i="28"/>
  <c r="CV75" i="28"/>
  <c r="CV74" i="28"/>
  <c r="CV81" i="28"/>
  <c r="CV84" i="28"/>
  <c r="CV91" i="28"/>
  <c r="CV107" i="28"/>
  <c r="AZ31" i="28"/>
  <c r="AZ26" i="28"/>
  <c r="AZ70" i="28"/>
  <c r="AZ74" i="28"/>
  <c r="AZ97" i="28"/>
  <c r="CB17" i="28"/>
  <c r="CB39" i="28"/>
  <c r="CB53" i="28"/>
  <c r="CB85" i="28"/>
  <c r="CB103" i="28"/>
  <c r="BL15" i="28"/>
  <c r="BL39" i="28"/>
  <c r="BL53" i="28"/>
  <c r="BL83" i="28"/>
  <c r="BL103" i="28"/>
  <c r="P35" i="28"/>
  <c r="P95" i="28"/>
  <c r="X62" i="28"/>
  <c r="BH15" i="28"/>
  <c r="CV14" i="28"/>
  <c r="CV11" i="28"/>
  <c r="CV13" i="28"/>
  <c r="CV23" i="28"/>
  <c r="CV36" i="28"/>
  <c r="CV24" i="28"/>
  <c r="CV37" i="28"/>
  <c r="CV45" i="28"/>
  <c r="CV54" i="28"/>
  <c r="CV65" i="28"/>
  <c r="CV51" i="28"/>
  <c r="CV61" i="28"/>
  <c r="CV71" i="28"/>
  <c r="CV72" i="28"/>
  <c r="CV92" i="28"/>
  <c r="CV90" i="28"/>
  <c r="CV89" i="28"/>
  <c r="AZ3" i="28"/>
  <c r="AZ16" i="28"/>
  <c r="AZ56" i="28"/>
  <c r="AZ75" i="28"/>
  <c r="CB14" i="28"/>
  <c r="CB22" i="28"/>
  <c r="CB67" i="28"/>
  <c r="CB74" i="28"/>
  <c r="BL14" i="28"/>
  <c r="BL20" i="28"/>
  <c r="BL67" i="28"/>
  <c r="BL74" i="28"/>
  <c r="P38" i="28"/>
  <c r="P83" i="28"/>
  <c r="X40" i="28"/>
  <c r="AB85" i="28"/>
  <c r="T36" i="28"/>
  <c r="P55" i="28"/>
  <c r="X34" i="28"/>
  <c r="BH36" i="28"/>
  <c r="CB107" i="28"/>
  <c r="CB105" i="28"/>
  <c r="CB97" i="28"/>
  <c r="CB98" i="28"/>
  <c r="CB90" i="28"/>
  <c r="CB87" i="28"/>
  <c r="CB78" i="28"/>
  <c r="CB75" i="28"/>
  <c r="CB69" i="28"/>
  <c r="CB57" i="28"/>
  <c r="CB68" i="28"/>
  <c r="CB58" i="28"/>
  <c r="CB48" i="28"/>
  <c r="CB43" i="28"/>
  <c r="CB24" i="28"/>
  <c r="CB38" i="28"/>
  <c r="CB29" i="28"/>
  <c r="CB19" i="28"/>
  <c r="CB32" i="28"/>
  <c r="CB5" i="28"/>
  <c r="CB6" i="28"/>
  <c r="CB109" i="28"/>
  <c r="CB104" i="28"/>
  <c r="CB96" i="28"/>
  <c r="CB91" i="28"/>
  <c r="CB84" i="28"/>
  <c r="CB81" i="28"/>
  <c r="CB72" i="28"/>
  <c r="CB71" i="28"/>
  <c r="CB61" i="28"/>
  <c r="CB51" i="28"/>
  <c r="CB64" i="28"/>
  <c r="CB52" i="28"/>
  <c r="CB44" i="28"/>
  <c r="CB35" i="28"/>
  <c r="CB18" i="28"/>
  <c r="CB37" i="28"/>
  <c r="CB25" i="28"/>
  <c r="CB13" i="28"/>
  <c r="CB11" i="28"/>
  <c r="CB12" i="28"/>
  <c r="CB106" i="28"/>
  <c r="CB99" i="28"/>
  <c r="CB94" i="28"/>
  <c r="CB89" i="28"/>
  <c r="CB88" i="28"/>
  <c r="CB80" i="28"/>
  <c r="CB79" i="28"/>
  <c r="CB66" i="28"/>
  <c r="CB59" i="28"/>
  <c r="CB49" i="28"/>
  <c r="CB60" i="28"/>
  <c r="CB50" i="28"/>
  <c r="CB42" i="28"/>
  <c r="CB26" i="28"/>
  <c r="CB16" i="28"/>
  <c r="CB33" i="28"/>
  <c r="CB21" i="28"/>
  <c r="CB36" i="28"/>
  <c r="CB9" i="28"/>
  <c r="CB8" i="28"/>
  <c r="BH100" i="28"/>
  <c r="BH89" i="28"/>
  <c r="BH67" i="28"/>
  <c r="BH28" i="28"/>
  <c r="BH21" i="28"/>
  <c r="BH8" i="28"/>
  <c r="BH108" i="28"/>
  <c r="BH72" i="28"/>
  <c r="BH60" i="28"/>
  <c r="BH32" i="28"/>
  <c r="BH11" i="28"/>
  <c r="BH101" i="28"/>
  <c r="BH75" i="28"/>
  <c r="BH44" i="28"/>
  <c r="BH23" i="28"/>
  <c r="BH5" i="28"/>
  <c r="X108" i="28"/>
  <c r="X100" i="28"/>
  <c r="X92" i="28"/>
  <c r="X75" i="28"/>
  <c r="X68" i="28"/>
  <c r="X41" i="28"/>
  <c r="X18" i="28"/>
  <c r="X25" i="28"/>
  <c r="X5" i="28"/>
  <c r="X106" i="28"/>
  <c r="X95" i="28"/>
  <c r="X74" i="28"/>
  <c r="X59" i="28"/>
  <c r="X54" i="28"/>
  <c r="X28" i="28"/>
  <c r="X37" i="28"/>
  <c r="X15" i="28"/>
  <c r="X10" i="28"/>
  <c r="X103" i="28"/>
  <c r="X86" i="28"/>
  <c r="X77" i="28"/>
  <c r="X53" i="28"/>
  <c r="X46" i="28"/>
  <c r="X20" i="28"/>
  <c r="X33" i="28"/>
  <c r="X32" i="28"/>
  <c r="AZ109" i="28"/>
  <c r="AZ107" i="28"/>
  <c r="AZ101" i="28"/>
  <c r="AZ98" i="28"/>
  <c r="AZ86" i="28"/>
  <c r="AZ87" i="28"/>
  <c r="AZ76" i="28"/>
  <c r="AZ77" i="28"/>
  <c r="AZ64" i="28"/>
  <c r="AZ55" i="28"/>
  <c r="AZ66" i="28"/>
  <c r="AZ60" i="28"/>
  <c r="AZ48" i="28"/>
  <c r="AZ40" i="28"/>
  <c r="AZ30" i="28"/>
  <c r="AZ18" i="28"/>
  <c r="AZ29" i="28"/>
  <c r="AZ19" i="28"/>
  <c r="AZ34" i="28"/>
  <c r="AZ5" i="28"/>
  <c r="AZ8" i="28"/>
  <c r="AZ108" i="28"/>
  <c r="AZ104" i="28"/>
  <c r="AZ100" i="28"/>
  <c r="AZ89" i="28"/>
  <c r="AZ90" i="28"/>
  <c r="AZ81" i="28"/>
  <c r="AZ72" i="28"/>
  <c r="AZ71" i="28"/>
  <c r="AZ61" i="28"/>
  <c r="AZ51" i="28"/>
  <c r="AZ65" i="28"/>
  <c r="AZ54" i="28"/>
  <c r="AZ45" i="28"/>
  <c r="AZ37" i="28"/>
  <c r="AZ24" i="28"/>
  <c r="AZ36" i="28"/>
  <c r="AZ23" i="28"/>
  <c r="AZ13" i="28"/>
  <c r="AZ11" i="28"/>
  <c r="AZ14" i="28"/>
  <c r="AZ106" i="28"/>
  <c r="AZ102" i="28"/>
  <c r="AZ96" i="28"/>
  <c r="AZ88" i="28"/>
  <c r="AZ93" i="28"/>
  <c r="AZ92" i="28"/>
  <c r="AZ79" i="28"/>
  <c r="AZ68" i="28"/>
  <c r="AZ59" i="28"/>
  <c r="AZ47" i="28"/>
  <c r="AZ62" i="28"/>
  <c r="AZ52" i="28"/>
  <c r="AZ42" i="28"/>
  <c r="AZ33" i="28"/>
  <c r="AZ22" i="28"/>
  <c r="AZ35" i="28"/>
  <c r="AZ21" i="28"/>
  <c r="AZ39" i="28"/>
  <c r="AZ7" i="28"/>
  <c r="AZ10" i="28"/>
  <c r="CV109" i="28"/>
  <c r="CV106" i="28"/>
  <c r="CV102" i="28"/>
  <c r="CV105" i="28"/>
  <c r="CV97" i="28"/>
  <c r="CV108" i="28"/>
  <c r="CV104" i="28"/>
  <c r="CV100" i="28"/>
  <c r="P106" i="28"/>
  <c r="P107" i="28"/>
  <c r="P98" i="28"/>
  <c r="P84" i="28"/>
  <c r="P77" i="28"/>
  <c r="P57" i="28"/>
  <c r="P62" i="28"/>
  <c r="P43" i="28"/>
  <c r="P16" i="28"/>
  <c r="P25" i="28"/>
  <c r="P7" i="28"/>
  <c r="P101" i="28"/>
  <c r="P92" i="28"/>
  <c r="P78" i="28"/>
  <c r="P70" i="28"/>
  <c r="P47" i="28"/>
  <c r="P48" i="28"/>
  <c r="P32" i="28"/>
  <c r="P33" i="28"/>
  <c r="P36" i="28"/>
  <c r="P10" i="28"/>
  <c r="P100" i="28"/>
  <c r="P86" i="28"/>
  <c r="P76" i="28"/>
  <c r="P63" i="28"/>
  <c r="P64" i="28"/>
  <c r="P46" i="28"/>
  <c r="P22" i="28"/>
  <c r="P27" i="28"/>
  <c r="P30" i="28"/>
  <c r="BL108" i="28"/>
  <c r="BL105" i="28"/>
  <c r="BL97" i="28"/>
  <c r="BL95" i="28"/>
  <c r="BL90" i="28"/>
  <c r="BL87" i="28"/>
  <c r="BL76" i="28"/>
  <c r="BL75" i="28"/>
  <c r="BL69" i="28"/>
  <c r="BL55" i="28"/>
  <c r="BL68" i="28"/>
  <c r="BL58" i="28"/>
  <c r="BL46" i="28"/>
  <c r="BL43" i="28"/>
  <c r="BL24" i="28"/>
  <c r="BL38" i="28"/>
  <c r="BL29" i="28"/>
  <c r="BL19" i="28"/>
  <c r="BL30" i="28"/>
  <c r="BL5" i="28"/>
  <c r="BL6" i="28"/>
  <c r="BL101" i="28"/>
  <c r="BL96" i="28"/>
  <c r="BL91" i="28"/>
  <c r="BL84" i="28"/>
  <c r="BL81" i="28"/>
  <c r="BL72" i="28"/>
  <c r="BL70" i="28"/>
  <c r="BL61" i="28"/>
  <c r="BL51" i="28"/>
  <c r="BL62" i="28"/>
  <c r="BL52" i="28"/>
  <c r="BL44" i="28"/>
  <c r="BL28" i="28"/>
  <c r="BL18" i="28"/>
  <c r="BL37" i="28"/>
  <c r="BL23" i="28"/>
  <c r="BL13" i="28"/>
  <c r="BL11" i="28"/>
  <c r="BL10" i="28"/>
  <c r="BL107" i="28"/>
  <c r="BL99" i="28"/>
  <c r="BL94" i="28"/>
  <c r="BL92" i="28"/>
  <c r="BL82" i="28"/>
  <c r="BL80" i="28"/>
  <c r="BL77" i="28"/>
  <c r="BL66" i="28"/>
  <c r="BL59" i="28"/>
  <c r="BL47" i="28"/>
  <c r="BL60" i="28"/>
  <c r="BL50" i="28"/>
  <c r="BL40" i="28"/>
  <c r="BL26" i="28"/>
  <c r="BL16" i="28"/>
  <c r="BL31" i="28"/>
  <c r="BL21" i="28"/>
  <c r="BL36" i="28"/>
  <c r="BL7" i="28"/>
  <c r="BL8" i="28"/>
  <c r="X52" i="28"/>
  <c r="X70" i="28"/>
  <c r="X66" i="28"/>
  <c r="X81" i="28"/>
  <c r="X88" i="28"/>
  <c r="X101" i="28"/>
  <c r="BH6" i="28"/>
  <c r="BH14" i="28"/>
  <c r="BH30" i="28"/>
  <c r="BH43" i="28"/>
  <c r="BH49" i="28"/>
  <c r="BH87" i="28"/>
  <c r="BH107" i="28"/>
  <c r="AB21" i="28"/>
  <c r="AB40" i="28"/>
  <c r="AB57" i="28"/>
  <c r="AF27" i="28"/>
  <c r="BX78" i="28"/>
  <c r="CJ38" i="28"/>
  <c r="CJ57" i="28"/>
  <c r="CN85" i="28"/>
  <c r="CN49" i="28"/>
  <c r="BD104" i="28"/>
  <c r="BD5" i="28"/>
  <c r="BD90" i="28"/>
  <c r="CZ72" i="28"/>
  <c r="CZ104" i="28"/>
  <c r="CZ63" i="28"/>
  <c r="CZ34" i="28"/>
  <c r="T95" i="28"/>
  <c r="T69" i="28"/>
  <c r="T41" i="28"/>
  <c r="T27" i="28"/>
  <c r="T3" i="28"/>
  <c r="T80" i="28"/>
  <c r="T60" i="28"/>
  <c r="T30" i="28"/>
  <c r="T19" i="28"/>
  <c r="T8" i="28"/>
  <c r="AV84" i="28"/>
  <c r="AV72" i="28"/>
  <c r="AV62" i="28"/>
  <c r="AV20" i="28"/>
  <c r="L109" i="28"/>
  <c r="L80" i="28"/>
  <c r="L3" i="28"/>
  <c r="L65" i="28"/>
  <c r="L105" i="28"/>
  <c r="L40" i="28"/>
  <c r="T22" i="28"/>
  <c r="T57" i="28"/>
  <c r="AV99" i="28"/>
  <c r="BD46" i="28"/>
  <c r="L82" i="28"/>
  <c r="T11" i="28"/>
  <c r="T45" i="28"/>
  <c r="T109" i="28"/>
  <c r="T39" i="28"/>
  <c r="T52" i="28"/>
  <c r="AF104" i="28"/>
  <c r="CJ96" i="28"/>
  <c r="AN108" i="28"/>
  <c r="CV6" i="28"/>
  <c r="CV12" i="28"/>
  <c r="CV9" i="28"/>
  <c r="CV38" i="28"/>
  <c r="CV17" i="28"/>
  <c r="CV25" i="28"/>
  <c r="CV32" i="28"/>
  <c r="CV20" i="28"/>
  <c r="CV28" i="28"/>
  <c r="CV41" i="28"/>
  <c r="CV44" i="28"/>
  <c r="CV50" i="28"/>
  <c r="CV58" i="28"/>
  <c r="CV69" i="28"/>
  <c r="CV49" i="28"/>
  <c r="CV57" i="28"/>
  <c r="CV67" i="28"/>
  <c r="CV73" i="28"/>
  <c r="CV80" i="28"/>
  <c r="CV78" i="28"/>
  <c r="CV83" i="28"/>
  <c r="CV82" i="28"/>
  <c r="CV95" i="28"/>
  <c r="CV94" i="28"/>
  <c r="CV99" i="28"/>
  <c r="CV103" i="28"/>
  <c r="AZ6" i="28"/>
  <c r="AZ12" i="28"/>
  <c r="AZ9" i="28"/>
  <c r="AZ38" i="28"/>
  <c r="AZ17" i="28"/>
  <c r="AZ25" i="28"/>
  <c r="AZ32" i="28"/>
  <c r="AZ20" i="28"/>
  <c r="AZ28" i="28"/>
  <c r="AZ41" i="28"/>
  <c r="AZ44" i="28"/>
  <c r="AZ50" i="28"/>
  <c r="AZ58" i="28"/>
  <c r="AZ69" i="28"/>
  <c r="AZ49" i="28"/>
  <c r="AZ57" i="28"/>
  <c r="AZ67" i="28"/>
  <c r="AZ73" i="28"/>
  <c r="AZ80" i="28"/>
  <c r="AZ78" i="28"/>
  <c r="AZ85" i="28"/>
  <c r="AZ82" i="28"/>
  <c r="AZ95" i="28"/>
  <c r="AZ94" i="28"/>
  <c r="AZ99" i="28"/>
  <c r="AZ103" i="28"/>
  <c r="CB10" i="28"/>
  <c r="CB7" i="28"/>
  <c r="CB30" i="28"/>
  <c r="CB15" i="28"/>
  <c r="CB23" i="28"/>
  <c r="CB31" i="28"/>
  <c r="CB34" i="28"/>
  <c r="CB20" i="28"/>
  <c r="CB28" i="28"/>
  <c r="CB40" i="28"/>
  <c r="CB46" i="28"/>
  <c r="CB54" i="28"/>
  <c r="CB62" i="28"/>
  <c r="CB47" i="28"/>
  <c r="CB55" i="28"/>
  <c r="CB63" i="28"/>
  <c r="CB70" i="28"/>
  <c r="CB77" i="28"/>
  <c r="CB76" i="28"/>
  <c r="CB83" i="28"/>
  <c r="CB82" i="28"/>
  <c r="CB92" i="28"/>
  <c r="CB95" i="28"/>
  <c r="CB100" i="28"/>
  <c r="CB101" i="28"/>
  <c r="BL4" i="28"/>
  <c r="BL12" i="28"/>
  <c r="BL9" i="28"/>
  <c r="BL32" i="28"/>
  <c r="BL17" i="28"/>
  <c r="BL25" i="28"/>
  <c r="BL33" i="28"/>
  <c r="BL41" i="28"/>
  <c r="BL22" i="28"/>
  <c r="BL35" i="28"/>
  <c r="BL42" i="28"/>
  <c r="BL48" i="28"/>
  <c r="BL56" i="28"/>
  <c r="BL64" i="28"/>
  <c r="BL49" i="28"/>
  <c r="BL57" i="28"/>
  <c r="BL65" i="28"/>
  <c r="BL71" i="28"/>
  <c r="BL79" i="28"/>
  <c r="BL78" i="28"/>
  <c r="BL85" i="28"/>
  <c r="BL86" i="28"/>
  <c r="BL89" i="28"/>
  <c r="BL98" i="28"/>
  <c r="BL102" i="28"/>
  <c r="BL104" i="28"/>
  <c r="P4" i="28"/>
  <c r="P9" i="28"/>
  <c r="P19" i="28"/>
  <c r="P37" i="28"/>
  <c r="P24" i="28"/>
  <c r="P42" i="28"/>
  <c r="P56" i="28"/>
  <c r="P49" i="28"/>
  <c r="P65" i="28"/>
  <c r="P79" i="28"/>
  <c r="P85" i="28"/>
  <c r="P89" i="28"/>
  <c r="P102" i="28"/>
  <c r="X8" i="28"/>
  <c r="X11" i="28"/>
  <c r="X23" i="28"/>
  <c r="X30" i="28"/>
  <c r="X26" i="28"/>
  <c r="X44" i="28"/>
  <c r="X60" i="28"/>
  <c r="X51" i="28"/>
  <c r="X69" i="28"/>
  <c r="X72" i="28"/>
  <c r="X90" i="28"/>
  <c r="X93" i="28"/>
  <c r="X99" i="28"/>
  <c r="BH3" i="28"/>
  <c r="BH13" i="28"/>
  <c r="BH29" i="28"/>
  <c r="BH22" i="28"/>
  <c r="BH54" i="28"/>
  <c r="BH59" i="28"/>
  <c r="BH81" i="28"/>
  <c r="AF71" i="28"/>
  <c r="CJ19" i="28"/>
  <c r="CJ56" i="28"/>
  <c r="BX92" i="28"/>
  <c r="BX42" i="28"/>
  <c r="BX47" i="28"/>
  <c r="CJ108" i="28"/>
  <c r="CJ104" i="28"/>
  <c r="CJ82" i="28"/>
  <c r="CJ73" i="28"/>
  <c r="CJ67" i="28"/>
  <c r="CJ31" i="28"/>
  <c r="CJ27" i="28"/>
  <c r="CJ14" i="28"/>
  <c r="CJ106" i="28"/>
  <c r="CJ89" i="28"/>
  <c r="CJ79" i="28"/>
  <c r="CJ49" i="28"/>
  <c r="CJ40" i="28"/>
  <c r="CJ39" i="28"/>
  <c r="CJ9" i="28"/>
  <c r="BX99" i="28"/>
  <c r="CJ4" i="28"/>
  <c r="CJ22" i="28"/>
  <c r="CJ64" i="28"/>
  <c r="CJ97" i="28"/>
  <c r="BH109" i="28"/>
  <c r="BH102" i="28"/>
  <c r="BH91" i="28"/>
  <c r="BH92" i="28"/>
  <c r="BH74" i="28"/>
  <c r="BH70" i="28"/>
  <c r="BH51" i="28"/>
  <c r="BH62" i="28"/>
  <c r="BH46" i="28"/>
  <c r="BH33" i="28"/>
  <c r="BH39" i="28"/>
  <c r="BH35" i="28"/>
  <c r="BH25" i="28"/>
  <c r="BH17" i="28"/>
  <c r="BH34" i="28"/>
  <c r="BH7" i="28"/>
  <c r="BH10" i="28"/>
  <c r="BH103" i="28"/>
  <c r="BH98" i="28"/>
  <c r="BH84" i="28"/>
  <c r="BH90" i="28"/>
  <c r="BH80" i="28"/>
  <c r="BH57" i="28"/>
  <c r="BH64" i="28"/>
  <c r="BH52" i="28"/>
  <c r="BH41" i="28"/>
  <c r="BH20" i="28"/>
  <c r="BH31" i="28"/>
  <c r="BH27" i="28"/>
  <c r="BH19" i="28"/>
  <c r="BH38" i="28"/>
  <c r="BH9" i="28"/>
  <c r="BH12" i="28"/>
  <c r="BH4" i="28"/>
  <c r="DH60" i="28" s="1"/>
  <c r="X107" i="28"/>
  <c r="X104" i="28"/>
  <c r="X102" i="28"/>
  <c r="X94" i="28"/>
  <c r="X89" i="28"/>
  <c r="X82" i="28"/>
  <c r="X85" i="28"/>
  <c r="X76" i="28"/>
  <c r="X79" i="28"/>
  <c r="X73" i="28"/>
  <c r="X63" i="28"/>
  <c r="X55" i="28"/>
  <c r="X47" i="28"/>
  <c r="X64" i="28"/>
  <c r="X56" i="28"/>
  <c r="X48" i="28"/>
  <c r="X45" i="28"/>
  <c r="X31" i="28"/>
  <c r="X22" i="28"/>
  <c r="X38" i="28"/>
  <c r="X39" i="28"/>
  <c r="X27" i="28"/>
  <c r="X19" i="28"/>
  <c r="X36" i="28"/>
  <c r="X7" i="28"/>
  <c r="X12" i="28"/>
  <c r="X4" i="28"/>
  <c r="X109" i="28"/>
  <c r="X105" i="28"/>
  <c r="X97" i="28"/>
  <c r="X96" i="28"/>
  <c r="X91" i="28"/>
  <c r="X84" i="28"/>
  <c r="X87" i="28"/>
  <c r="X78" i="28"/>
  <c r="X80" i="28"/>
  <c r="X71" i="28"/>
  <c r="X65" i="28"/>
  <c r="X57" i="28"/>
  <c r="X49" i="28"/>
  <c r="X67" i="28"/>
  <c r="X58" i="28"/>
  <c r="X50" i="28"/>
  <c r="X42" i="28"/>
  <c r="X35" i="28"/>
  <c r="X24" i="28"/>
  <c r="X16" i="28"/>
  <c r="X43" i="28"/>
  <c r="X29" i="28"/>
  <c r="X21" i="28"/>
  <c r="X13" i="28"/>
  <c r="X9" i="28"/>
  <c r="X14" i="28"/>
  <c r="X6" i="28"/>
  <c r="P109" i="28"/>
  <c r="P103" i="28"/>
  <c r="P97" i="28"/>
  <c r="P94" i="28"/>
  <c r="P91" i="28"/>
  <c r="P88" i="28"/>
  <c r="P87" i="28"/>
  <c r="P80" i="28"/>
  <c r="P72" i="28"/>
  <c r="P73" i="28"/>
  <c r="P69" i="28"/>
  <c r="P59" i="28"/>
  <c r="P51" i="28"/>
  <c r="P67" i="28"/>
  <c r="P58" i="28"/>
  <c r="P50" i="28"/>
  <c r="P44" i="28"/>
  <c r="P39" i="28"/>
  <c r="P26" i="28"/>
  <c r="P18" i="28"/>
  <c r="P41" i="28"/>
  <c r="P29" i="28"/>
  <c r="P21" i="28"/>
  <c r="P13" i="28"/>
  <c r="P11" i="28"/>
  <c r="P3" i="28"/>
  <c r="P6" i="28"/>
  <c r="P108" i="28"/>
  <c r="P105" i="28"/>
  <c r="P99" i="28"/>
  <c r="P96" i="28"/>
  <c r="P93" i="28"/>
  <c r="P90" i="28"/>
  <c r="P82" i="28"/>
  <c r="P81" i="28"/>
  <c r="P74" i="28"/>
  <c r="P75" i="28"/>
  <c r="P66" i="28"/>
  <c r="P61" i="28"/>
  <c r="P53" i="28"/>
  <c r="P68" i="28"/>
  <c r="P60" i="28"/>
  <c r="P52" i="28"/>
  <c r="P45" i="28"/>
  <c r="P40" i="28"/>
  <c r="P28" i="28"/>
  <c r="P20" i="28"/>
  <c r="P34" i="28"/>
  <c r="P31" i="28"/>
  <c r="P23" i="28"/>
  <c r="P15" i="28"/>
  <c r="P14" i="28"/>
  <c r="P5" i="28"/>
  <c r="P8" i="28"/>
  <c r="BL106" i="28"/>
  <c r="BL109" i="28"/>
  <c r="AN93" i="28"/>
  <c r="AN34" i="28"/>
  <c r="BT104" i="28"/>
  <c r="BT60" i="28"/>
  <c r="BT76" i="28"/>
  <c r="AF103" i="28"/>
  <c r="AF83" i="28"/>
  <c r="AF40" i="28"/>
  <c r="AF5" i="28"/>
  <c r="AF91" i="28"/>
  <c r="AF54" i="28"/>
  <c r="AF41" i="28"/>
  <c r="AF51" i="28"/>
  <c r="BX11" i="28"/>
  <c r="CJ36" i="28"/>
  <c r="CJ48" i="28"/>
  <c r="CJ76" i="28"/>
  <c r="BT5" i="28"/>
  <c r="D59" i="28"/>
  <c r="CF8" i="28"/>
  <c r="CF38" i="28"/>
  <c r="CF35" i="28"/>
  <c r="CF30" i="28"/>
  <c r="CF50" i="28"/>
  <c r="CF47" i="28"/>
  <c r="CF64" i="28"/>
  <c r="CF88" i="28"/>
  <c r="CF94" i="28"/>
  <c r="BP8" i="28"/>
  <c r="BP19" i="28"/>
  <c r="BP45" i="28"/>
  <c r="BP108" i="28"/>
  <c r="AJ4" i="28"/>
  <c r="AJ61" i="28"/>
  <c r="AR5" i="28"/>
  <c r="AR30" i="28"/>
  <c r="AR41" i="28"/>
  <c r="AR69" i="28"/>
  <c r="AR80" i="28"/>
  <c r="AR84" i="28"/>
  <c r="AR103" i="28"/>
  <c r="AB6" i="28"/>
  <c r="AB29" i="28"/>
  <c r="AB50" i="28"/>
  <c r="AB67" i="28"/>
  <c r="AB82" i="28"/>
  <c r="CF12" i="28"/>
  <c r="CF15" i="28"/>
  <c r="CF36" i="28"/>
  <c r="CF41" i="28"/>
  <c r="CF56" i="28"/>
  <c r="CF51" i="28"/>
  <c r="CF73" i="28"/>
  <c r="CF83" i="28"/>
  <c r="CF99" i="28"/>
  <c r="BP3" i="28"/>
  <c r="BP27" i="28"/>
  <c r="BP51" i="28"/>
  <c r="AJ15" i="28"/>
  <c r="AJ83" i="28"/>
  <c r="AR14" i="28"/>
  <c r="AR36" i="28"/>
  <c r="AR44" i="28"/>
  <c r="AR51" i="28"/>
  <c r="AR72" i="28"/>
  <c r="AR89" i="28"/>
  <c r="AR108" i="28"/>
  <c r="AB3" i="28"/>
  <c r="AB18" i="28"/>
  <c r="AB58" i="28"/>
  <c r="AB71" i="28"/>
  <c r="AB96" i="28"/>
  <c r="CF7" i="28"/>
  <c r="CF19" i="28"/>
  <c r="CF20" i="28"/>
  <c r="CF42" i="28"/>
  <c r="CF60" i="28"/>
  <c r="CF57" i="28"/>
  <c r="CF79" i="28"/>
  <c r="CF90" i="28"/>
  <c r="BP11" i="28"/>
  <c r="BP36" i="28"/>
  <c r="AJ26" i="28"/>
  <c r="AR15" i="28"/>
  <c r="AR20" i="28"/>
  <c r="AR52" i="28"/>
  <c r="AR59" i="28"/>
  <c r="AR90" i="28"/>
  <c r="AB13" i="28"/>
  <c r="AB26" i="28"/>
  <c r="AB65" i="28"/>
  <c r="AB78" i="28"/>
  <c r="AB105" i="28"/>
  <c r="AB99" i="28"/>
  <c r="AB11" i="28"/>
  <c r="AB32" i="28"/>
  <c r="AB42" i="28"/>
  <c r="AB49" i="28"/>
  <c r="AB79" i="28"/>
  <c r="AB95" i="28"/>
  <c r="H51" i="28"/>
  <c r="H17" i="28"/>
  <c r="AJ98" i="28"/>
  <c r="AJ76" i="28"/>
  <c r="AJ53" i="28"/>
  <c r="AJ48" i="28"/>
  <c r="AJ18" i="28"/>
  <c r="AJ34" i="28"/>
  <c r="AJ93" i="28"/>
  <c r="AJ79" i="28"/>
  <c r="AJ66" i="28"/>
  <c r="AJ42" i="28"/>
  <c r="AJ35" i="28"/>
  <c r="AJ7" i="28"/>
  <c r="AJ104" i="28"/>
  <c r="AJ82" i="28"/>
  <c r="AJ71" i="28"/>
  <c r="AJ64" i="28"/>
  <c r="AJ37" i="28"/>
  <c r="AJ23" i="28"/>
  <c r="AJ12" i="28"/>
  <c r="BP105" i="28"/>
  <c r="BP86" i="28"/>
  <c r="BP75" i="28"/>
  <c r="BP70" i="28"/>
  <c r="BP43" i="28"/>
  <c r="BP101" i="28"/>
  <c r="BP87" i="28"/>
  <c r="BP64" i="28"/>
  <c r="BP60" i="28"/>
  <c r="BP30" i="28"/>
  <c r="BP96" i="28"/>
  <c r="BP92" i="28"/>
  <c r="BP59" i="28"/>
  <c r="BP52" i="28"/>
  <c r="AB106" i="28"/>
  <c r="AB104" i="28"/>
  <c r="AB97" i="28"/>
  <c r="AB94" i="28"/>
  <c r="AB88" i="28"/>
  <c r="AB93" i="28"/>
  <c r="AB83" i="28"/>
  <c r="AB76" i="28"/>
  <c r="AB77" i="28"/>
  <c r="AB73" i="28"/>
  <c r="AB63" i="28"/>
  <c r="AB55" i="28"/>
  <c r="AB47" i="28"/>
  <c r="AB64" i="28"/>
  <c r="AB56" i="28"/>
  <c r="AB48" i="28"/>
  <c r="AB43" i="28"/>
  <c r="AB37" i="28"/>
  <c r="AB24" i="28"/>
  <c r="AB16" i="28"/>
  <c r="AB31" i="28"/>
  <c r="AB27" i="28"/>
  <c r="AB19" i="28"/>
  <c r="AB38" i="28"/>
  <c r="AB9" i="28"/>
  <c r="AB12" i="28"/>
  <c r="AB4" i="28"/>
  <c r="AB107" i="28"/>
  <c r="AB102" i="28"/>
  <c r="AB100" i="28"/>
  <c r="AB91" i="28"/>
  <c r="AB86" i="28"/>
  <c r="AB92" i="28"/>
  <c r="AB81" i="28"/>
  <c r="AB74" i="28"/>
  <c r="AB75" i="28"/>
  <c r="AB68" i="28"/>
  <c r="AB61" i="28"/>
  <c r="AB53" i="28"/>
  <c r="AB66" i="28"/>
  <c r="AB62" i="28"/>
  <c r="AB54" i="28"/>
  <c r="AB46" i="28"/>
  <c r="AB41" i="28"/>
  <c r="AB33" i="28"/>
  <c r="AB22" i="28"/>
  <c r="AB39" i="28"/>
  <c r="AB35" i="28"/>
  <c r="AB25" i="28"/>
  <c r="AB17" i="28"/>
  <c r="AB34" i="28"/>
  <c r="AB7" i="28"/>
  <c r="AB10" i="28"/>
  <c r="AB108" i="28"/>
  <c r="AB103" i="28"/>
  <c r="AB101" i="28"/>
  <c r="AB98" i="28"/>
  <c r="AB89" i="28"/>
  <c r="AB84" i="28"/>
  <c r="AB87" i="28"/>
  <c r="AB90" i="28"/>
  <c r="AB72" i="28"/>
  <c r="AB80" i="28"/>
  <c r="AB70" i="28"/>
  <c r="AB59" i="28"/>
  <c r="AB51" i="28"/>
  <c r="AB69" i="28"/>
  <c r="AB60" i="28"/>
  <c r="AB52" i="28"/>
  <c r="AB44" i="28"/>
  <c r="AB45" i="28"/>
  <c r="AB28" i="28"/>
  <c r="AB20" i="28"/>
  <c r="AB36" i="28"/>
  <c r="AB30" i="28"/>
  <c r="AB23" i="28"/>
  <c r="AB15" i="28"/>
  <c r="AB14" i="28"/>
  <c r="AB5" i="28"/>
  <c r="AB8" i="28"/>
  <c r="AR109" i="28"/>
  <c r="AR105" i="28"/>
  <c r="AR99" i="28"/>
  <c r="AR96" i="28"/>
  <c r="AR95" i="28"/>
  <c r="AR82" i="28"/>
  <c r="AR83" i="28"/>
  <c r="AR78" i="28"/>
  <c r="AR79" i="28"/>
  <c r="AR71" i="28"/>
  <c r="AR67" i="28"/>
  <c r="AR57" i="28"/>
  <c r="AR49" i="28"/>
  <c r="AR65" i="28"/>
  <c r="AR58" i="28"/>
  <c r="AR50" i="28"/>
  <c r="AR42" i="28"/>
  <c r="AR45" i="28"/>
  <c r="AR26" i="28"/>
  <c r="AR18" i="28"/>
  <c r="AR32" i="28"/>
  <c r="AR29" i="28"/>
  <c r="AR21" i="28"/>
  <c r="AR13" i="28"/>
  <c r="AR11" i="28"/>
  <c r="AR3" i="28"/>
  <c r="AR6" i="28"/>
  <c r="AR106" i="28"/>
  <c r="AR104" i="28"/>
  <c r="AR97" i="28"/>
  <c r="AR94" i="28"/>
  <c r="AR88" i="28"/>
  <c r="AR92" i="28"/>
  <c r="AR81" i="28"/>
  <c r="AR76" i="28"/>
  <c r="AR77" i="28"/>
  <c r="AR68" i="28"/>
  <c r="AR63" i="28"/>
  <c r="AR55" i="28"/>
  <c r="AR47" i="28"/>
  <c r="AR64" i="28"/>
  <c r="AR56" i="28"/>
  <c r="AR48" i="28"/>
  <c r="AR40" i="28"/>
  <c r="AR37" i="28"/>
  <c r="AR24" i="28"/>
  <c r="AR16" i="28"/>
  <c r="AR31" i="28"/>
  <c r="AR27" i="28"/>
  <c r="AR19" i="28"/>
  <c r="AR38" i="28"/>
  <c r="AR9" i="28"/>
  <c r="AR12" i="28"/>
  <c r="AR4" i="28"/>
  <c r="AR107" i="28"/>
  <c r="AR102" i="28"/>
  <c r="AR100" i="28"/>
  <c r="AR91" i="28"/>
  <c r="AR86" i="28"/>
  <c r="AR87" i="28"/>
  <c r="AR93" i="28"/>
  <c r="AR74" i="28"/>
  <c r="AR75" i="28"/>
  <c r="AR73" i="28"/>
  <c r="AR61" i="28"/>
  <c r="AR53" i="28"/>
  <c r="AR66" i="28"/>
  <c r="AR62" i="28"/>
  <c r="AR54" i="28"/>
  <c r="AR46" i="28"/>
  <c r="AR43" i="28"/>
  <c r="AR33" i="28"/>
  <c r="AR22" i="28"/>
  <c r="AR39" i="28"/>
  <c r="AR35" i="28"/>
  <c r="AR25" i="28"/>
  <c r="AR17" i="28"/>
  <c r="AR34" i="28"/>
  <c r="AR7" i="28"/>
  <c r="AR10" i="28"/>
  <c r="BH16" i="28"/>
  <c r="BH24" i="28"/>
  <c r="BH37" i="28"/>
  <c r="BH40" i="28"/>
  <c r="BH48" i="28"/>
  <c r="BH56" i="28"/>
  <c r="BH65" i="28"/>
  <c r="BH73" i="28"/>
  <c r="BH53" i="28"/>
  <c r="BH61" i="28"/>
  <c r="BH68" i="28"/>
  <c r="BH77" i="28"/>
  <c r="BH76" i="28"/>
  <c r="BH83" i="28"/>
  <c r="BH93" i="28"/>
  <c r="BH88" i="28"/>
  <c r="BH94" i="28"/>
  <c r="BH97" i="28"/>
  <c r="BH104" i="28"/>
  <c r="BH106" i="28"/>
  <c r="BH18" i="28"/>
  <c r="BH26" i="28"/>
  <c r="BH45" i="28"/>
  <c r="BH42" i="28"/>
  <c r="BH50" i="28"/>
  <c r="BH58" i="28"/>
  <c r="BH69" i="28"/>
  <c r="BH47" i="28"/>
  <c r="BH55" i="28"/>
  <c r="BH63" i="28"/>
  <c r="BH71" i="28"/>
  <c r="BH79" i="28"/>
  <c r="BH78" i="28"/>
  <c r="BH85" i="28"/>
  <c r="BH82" i="28"/>
  <c r="BH95" i="28"/>
  <c r="BH96" i="28"/>
  <c r="BH99" i="28"/>
  <c r="BH105" i="28"/>
  <c r="AF12" i="28"/>
  <c r="AF32" i="28"/>
  <c r="AF23" i="28"/>
  <c r="AF38" i="28"/>
  <c r="AF35" i="28"/>
  <c r="AF48" i="28"/>
  <c r="AF47" i="28"/>
  <c r="AF69" i="28"/>
  <c r="AF78" i="28"/>
  <c r="AF92" i="28"/>
  <c r="AF97" i="28"/>
  <c r="BX3" i="28"/>
  <c r="BX29" i="28"/>
  <c r="BX41" i="28"/>
  <c r="BX69" i="28"/>
  <c r="BX80" i="28"/>
  <c r="BX94" i="28"/>
  <c r="CJ10" i="28"/>
  <c r="CJ7" i="28"/>
  <c r="CJ32" i="28"/>
  <c r="CJ17" i="28"/>
  <c r="CJ25" i="28"/>
  <c r="CJ37" i="28"/>
  <c r="CJ34" i="28"/>
  <c r="CJ20" i="28"/>
  <c r="CJ28" i="28"/>
  <c r="CJ45" i="28"/>
  <c r="CJ46" i="28"/>
  <c r="CJ54" i="28"/>
  <c r="CJ62" i="28"/>
  <c r="CJ47" i="28"/>
  <c r="CJ55" i="28"/>
  <c r="CJ63" i="28"/>
  <c r="CJ66" i="28"/>
  <c r="CJ77" i="28"/>
  <c r="CJ74" i="28"/>
  <c r="CJ83" i="28"/>
  <c r="CJ92" i="28"/>
  <c r="CJ88" i="28"/>
  <c r="CJ95" i="28"/>
  <c r="CJ100" i="28"/>
  <c r="CJ102" i="28"/>
  <c r="CJ107" i="28"/>
  <c r="BT8" i="28"/>
  <c r="BT29" i="28"/>
  <c r="BT52" i="28"/>
  <c r="BT73" i="28"/>
  <c r="AN11" i="28"/>
  <c r="AN51" i="28"/>
  <c r="AN99" i="28"/>
  <c r="D54" i="28"/>
  <c r="AF4" i="28"/>
  <c r="AF9" i="28"/>
  <c r="AF15" i="28"/>
  <c r="AF31" i="28"/>
  <c r="AF22" i="28"/>
  <c r="AF42" i="28"/>
  <c r="AF58" i="28"/>
  <c r="AF57" i="28"/>
  <c r="AF77" i="28"/>
  <c r="AF87" i="28"/>
  <c r="AF98" i="28"/>
  <c r="AF107" i="28"/>
  <c r="BX13" i="28"/>
  <c r="BX18" i="28"/>
  <c r="BX50" i="28"/>
  <c r="BX55" i="28"/>
  <c r="BX83" i="28"/>
  <c r="BX105" i="28"/>
  <c r="CJ6" i="28"/>
  <c r="CJ3" i="28"/>
  <c r="CJ11" i="28"/>
  <c r="CJ13" i="28"/>
  <c r="CJ21" i="28"/>
  <c r="CJ29" i="28"/>
  <c r="CJ43" i="28"/>
  <c r="CJ16" i="28"/>
  <c r="CJ24" i="28"/>
  <c r="CJ35" i="28"/>
  <c r="CJ42" i="28"/>
  <c r="CJ50" i="28"/>
  <c r="CJ58" i="28"/>
  <c r="CJ68" i="28"/>
  <c r="CJ51" i="28"/>
  <c r="CJ59" i="28"/>
  <c r="CJ65" i="28"/>
  <c r="CJ71" i="28"/>
  <c r="CJ80" i="28"/>
  <c r="CJ78" i="28"/>
  <c r="CJ87" i="28"/>
  <c r="CJ84" i="28"/>
  <c r="CJ91" i="28"/>
  <c r="CJ94" i="28"/>
  <c r="CJ99" i="28"/>
  <c r="CJ105" i="28"/>
  <c r="CJ109" i="28"/>
  <c r="BT13" i="28"/>
  <c r="BT26" i="28"/>
  <c r="BT70" i="28"/>
  <c r="BT96" i="28"/>
  <c r="AN26" i="28"/>
  <c r="AN72" i="28"/>
  <c r="D100" i="28"/>
  <c r="AF8" i="28"/>
  <c r="AF14" i="28"/>
  <c r="AF19" i="28"/>
  <c r="AF37" i="28"/>
  <c r="AF26" i="28"/>
  <c r="AF45" i="28"/>
  <c r="AF64" i="28"/>
  <c r="AF63" i="28"/>
  <c r="AF72" i="28"/>
  <c r="AF86" i="28"/>
  <c r="AF100" i="28"/>
  <c r="AF109" i="28"/>
  <c r="BX6" i="28"/>
  <c r="BX21" i="28"/>
  <c r="BX26" i="28"/>
  <c r="BX58" i="28"/>
  <c r="BX63" i="28"/>
  <c r="CJ8" i="28"/>
  <c r="CJ5" i="28"/>
  <c r="CJ12" i="28"/>
  <c r="CJ15" i="28"/>
  <c r="CJ23" i="28"/>
  <c r="CJ33" i="28"/>
  <c r="CJ30" i="28"/>
  <c r="CJ18" i="28"/>
  <c r="CJ26" i="28"/>
  <c r="CJ41" i="28"/>
  <c r="CJ44" i="28"/>
  <c r="CJ52" i="28"/>
  <c r="CJ60" i="28"/>
  <c r="CJ70" i="28"/>
  <c r="CJ53" i="28"/>
  <c r="CJ61" i="28"/>
  <c r="CJ69" i="28"/>
  <c r="CJ75" i="28"/>
  <c r="CJ72" i="28"/>
  <c r="CJ81" i="28"/>
  <c r="CJ90" i="28"/>
  <c r="CJ86" i="28"/>
  <c r="CJ93" i="28"/>
  <c r="CJ98" i="28"/>
  <c r="CJ101" i="28"/>
  <c r="CJ103" i="28"/>
  <c r="BT21" i="28"/>
  <c r="BT41" i="28"/>
  <c r="BT61" i="28"/>
  <c r="AN8" i="28"/>
  <c r="AN44" i="28"/>
  <c r="T106" i="28"/>
  <c r="T104" i="28"/>
  <c r="T97" i="28"/>
  <c r="T98" i="28"/>
  <c r="T88" i="28"/>
  <c r="T90" i="28"/>
  <c r="T83" i="28"/>
  <c r="T76" i="28"/>
  <c r="T79" i="28"/>
  <c r="T71" i="28"/>
  <c r="T61" i="28"/>
  <c r="T107" i="28"/>
  <c r="T102" i="28"/>
  <c r="T100" i="28"/>
  <c r="T91" i="28"/>
  <c r="T86" i="28"/>
  <c r="T93" i="28"/>
  <c r="T81" i="28"/>
  <c r="T74" i="28"/>
  <c r="T77" i="28"/>
  <c r="T68" i="28"/>
  <c r="T108" i="28"/>
  <c r="T105" i="28"/>
  <c r="T101" i="28"/>
  <c r="T96" i="28"/>
  <c r="T89" i="28"/>
  <c r="T84" i="28"/>
  <c r="T87" i="28"/>
  <c r="T92" i="28"/>
  <c r="T72" i="28"/>
  <c r="T75" i="28"/>
  <c r="T67" i="28"/>
  <c r="T5" i="28"/>
  <c r="T31" i="28"/>
  <c r="T13" i="28"/>
  <c r="T21" i="28"/>
  <c r="T29" i="28"/>
  <c r="T16" i="28"/>
  <c r="T24" i="28"/>
  <c r="T33" i="28"/>
  <c r="T43" i="28"/>
  <c r="T46" i="28"/>
  <c r="T54" i="28"/>
  <c r="T62" i="28"/>
  <c r="T70" i="28"/>
  <c r="T51" i="28"/>
  <c r="T59" i="28"/>
  <c r="T78" i="28"/>
  <c r="T94" i="28"/>
  <c r="CN11" i="28"/>
  <c r="AV13" i="28"/>
  <c r="AV35" i="28"/>
  <c r="AV51" i="28"/>
  <c r="AV81" i="28"/>
  <c r="AV109" i="28"/>
  <c r="CZ28" i="28"/>
  <c r="BD17" i="28"/>
  <c r="BD70" i="28"/>
  <c r="BD95" i="28"/>
  <c r="L11" i="28"/>
  <c r="L31" i="28"/>
  <c r="L42" i="28"/>
  <c r="L47" i="28"/>
  <c r="L79" i="28"/>
  <c r="L95" i="28"/>
  <c r="CN99" i="28"/>
  <c r="CN79" i="28"/>
  <c r="CN69" i="28"/>
  <c r="CN45" i="28"/>
  <c r="CN29" i="28"/>
  <c r="CN3" i="28"/>
  <c r="CN95" i="28"/>
  <c r="CN71" i="28"/>
  <c r="CN58" i="28"/>
  <c r="CN26" i="28"/>
  <c r="CN21" i="28"/>
  <c r="CN6" i="28"/>
  <c r="CN106" i="28"/>
  <c r="CN93" i="28"/>
  <c r="CN67" i="28"/>
  <c r="CN50" i="28"/>
  <c r="CN18" i="28"/>
  <c r="CN13" i="28"/>
  <c r="CZ102" i="28"/>
  <c r="CZ93" i="28"/>
  <c r="CZ87" i="28"/>
  <c r="CZ75" i="28"/>
  <c r="CZ61" i="28"/>
  <c r="CZ68" i="28"/>
  <c r="CZ44" i="28"/>
  <c r="CZ24" i="28"/>
  <c r="CZ30" i="28"/>
  <c r="CZ15" i="28"/>
  <c r="CZ3" i="28"/>
  <c r="CZ108" i="28"/>
  <c r="CZ99" i="28"/>
  <c r="CZ91" i="28"/>
  <c r="CZ81" i="28"/>
  <c r="CZ71" i="28"/>
  <c r="CZ55" i="28"/>
  <c r="CZ58" i="28"/>
  <c r="CZ42" i="28"/>
  <c r="CZ20" i="28"/>
  <c r="CZ29" i="28"/>
  <c r="CZ32" i="28"/>
  <c r="CZ10" i="28"/>
  <c r="CZ109" i="28"/>
  <c r="CZ100" i="28"/>
  <c r="CZ84" i="28"/>
  <c r="CZ74" i="28"/>
  <c r="CZ66" i="28"/>
  <c r="CZ51" i="28"/>
  <c r="CZ54" i="28"/>
  <c r="CZ41" i="28"/>
  <c r="CZ38" i="28"/>
  <c r="CZ25" i="28"/>
  <c r="CZ12" i="28"/>
  <c r="L106" i="28"/>
  <c r="L104" i="28"/>
  <c r="L97" i="28"/>
  <c r="L94" i="28"/>
  <c r="L88" i="28"/>
  <c r="L92" i="28"/>
  <c r="L81" i="28"/>
  <c r="L76" i="28"/>
  <c r="L77" i="28"/>
  <c r="L68" i="28"/>
  <c r="L61" i="28"/>
  <c r="L53" i="28"/>
  <c r="L66" i="28"/>
  <c r="L64" i="28"/>
  <c r="L56" i="28"/>
  <c r="L48" i="28"/>
  <c r="L45" i="28"/>
  <c r="L37" i="28"/>
  <c r="L24" i="28"/>
  <c r="L16" i="28"/>
  <c r="L35" i="28"/>
  <c r="L25" i="28"/>
  <c r="L17" i="28"/>
  <c r="L34" i="28"/>
  <c r="L9" i="28"/>
  <c r="L12" i="28"/>
  <c r="L4" i="28"/>
  <c r="L107" i="28"/>
  <c r="L102" i="28"/>
  <c r="L100" i="28"/>
  <c r="L91" i="28"/>
  <c r="L86" i="28"/>
  <c r="L87" i="28"/>
  <c r="L93" i="28"/>
  <c r="L74" i="28"/>
  <c r="L75" i="28"/>
  <c r="L70" i="28"/>
  <c r="L59" i="28"/>
  <c r="L51" i="28"/>
  <c r="L73" i="28"/>
  <c r="L62" i="28"/>
  <c r="L54" i="28"/>
  <c r="L46" i="28"/>
  <c r="L43" i="28"/>
  <c r="L33" i="28"/>
  <c r="L22" i="28"/>
  <c r="L39" i="28"/>
  <c r="L30" i="28"/>
  <c r="L23" i="28"/>
  <c r="L15" i="28"/>
  <c r="L32" i="28"/>
  <c r="L7" i="28"/>
  <c r="L10" i="28"/>
  <c r="L108" i="28"/>
  <c r="L103" i="28"/>
  <c r="L101" i="28"/>
  <c r="L98" i="28"/>
  <c r="L89" i="28"/>
  <c r="L84" i="28"/>
  <c r="L85" i="28"/>
  <c r="L90" i="28"/>
  <c r="L72" i="28"/>
  <c r="L71" i="28"/>
  <c r="L67" i="28"/>
  <c r="L57" i="28"/>
  <c r="L49" i="28"/>
  <c r="L69" i="28"/>
  <c r="L60" i="28"/>
  <c r="L52" i="28"/>
  <c r="L44" i="28"/>
  <c r="L41" i="28"/>
  <c r="L28" i="28"/>
  <c r="L20" i="28"/>
  <c r="L36" i="28"/>
  <c r="L29" i="28"/>
  <c r="L21" i="28"/>
  <c r="L13" i="28"/>
  <c r="L14" i="28"/>
  <c r="L5" i="28"/>
  <c r="L8" i="28"/>
  <c r="T10" i="28"/>
  <c r="T4" i="28"/>
  <c r="T12" i="28"/>
  <c r="T7" i="28"/>
  <c r="T34" i="28"/>
  <c r="T15" i="28"/>
  <c r="T23" i="28"/>
  <c r="T35" i="28"/>
  <c r="T18" i="28"/>
  <c r="T26" i="28"/>
  <c r="T37" i="28"/>
  <c r="T42" i="28"/>
  <c r="T48" i="28"/>
  <c r="T56" i="28"/>
  <c r="T64" i="28"/>
  <c r="T66" i="28"/>
  <c r="T53" i="28"/>
  <c r="T63" i="28"/>
  <c r="T85" i="28"/>
  <c r="T99" i="28"/>
  <c r="CN32" i="28"/>
  <c r="CN105" i="28"/>
  <c r="AV23" i="28"/>
  <c r="AV44" i="28"/>
  <c r="AV61" i="28"/>
  <c r="CZ5" i="28"/>
  <c r="CZ52" i="28"/>
  <c r="CZ92" i="28"/>
  <c r="BD34" i="28"/>
  <c r="BD63" i="28"/>
  <c r="L38" i="28"/>
  <c r="L18" i="28"/>
  <c r="L50" i="28"/>
  <c r="L55" i="28"/>
  <c r="L78" i="28"/>
  <c r="L96" i="28"/>
  <c r="BD99" i="28"/>
  <c r="BD93" i="28"/>
  <c r="BD83" i="28"/>
  <c r="BD75" i="28"/>
  <c r="BD57" i="28"/>
  <c r="BD60" i="28"/>
  <c r="BD44" i="28"/>
  <c r="BD24" i="28"/>
  <c r="BD33" i="28"/>
  <c r="BD36" i="28"/>
  <c r="BD14" i="28"/>
  <c r="BD108" i="28"/>
  <c r="BD102" i="28"/>
  <c r="BD86" i="28"/>
  <c r="BD76" i="28"/>
  <c r="BD73" i="28"/>
  <c r="BD53" i="28"/>
  <c r="BD56" i="28"/>
  <c r="BD45" i="28"/>
  <c r="BD16" i="28"/>
  <c r="BD27" i="28"/>
  <c r="BD32" i="28"/>
  <c r="BD4" i="28"/>
  <c r="BD106" i="28"/>
  <c r="BD94" i="28"/>
  <c r="BD82" i="28"/>
  <c r="BD74" i="28"/>
  <c r="BD64" i="28"/>
  <c r="BD47" i="28"/>
  <c r="BD54" i="28"/>
  <c r="BD35" i="28"/>
  <c r="BD38" i="28"/>
  <c r="BD23" i="28"/>
  <c r="BD7" i="28"/>
  <c r="AV107" i="28"/>
  <c r="AV100" i="28"/>
  <c r="AV91" i="28"/>
  <c r="AV82" i="28"/>
  <c r="AV80" i="28"/>
  <c r="AV77" i="28"/>
  <c r="AV66" i="28"/>
  <c r="AV59" i="28"/>
  <c r="AV47" i="28"/>
  <c r="AV60" i="28"/>
  <c r="AV50" i="28"/>
  <c r="AV40" i="28"/>
  <c r="AV28" i="28"/>
  <c r="AV18" i="28"/>
  <c r="AV31" i="28"/>
  <c r="AV21" i="28"/>
  <c r="AV36" i="28"/>
  <c r="AV7" i="28"/>
  <c r="AV8" i="28"/>
  <c r="AV103" i="28"/>
  <c r="AV96" i="28"/>
  <c r="AV92" i="28"/>
  <c r="AV87" i="28"/>
  <c r="AV76" i="28"/>
  <c r="AV75" i="28"/>
  <c r="AV69" i="28"/>
  <c r="AV55" i="28"/>
  <c r="AV68" i="28"/>
  <c r="AV58" i="28"/>
  <c r="AV46" i="28"/>
  <c r="AV43" i="28"/>
  <c r="AV26" i="28"/>
  <c r="AV38" i="28"/>
  <c r="AV29" i="28"/>
  <c r="AV19" i="28"/>
  <c r="AV30" i="28"/>
  <c r="AV5" i="28"/>
  <c r="AV6" i="28"/>
  <c r="AV108" i="28"/>
  <c r="AV101" i="28"/>
  <c r="AV94" i="28"/>
  <c r="AV88" i="28"/>
  <c r="AV83" i="28"/>
  <c r="AV74" i="28"/>
  <c r="AV73" i="28"/>
  <c r="AV63" i="28"/>
  <c r="AV53" i="28"/>
  <c r="AV67" i="28"/>
  <c r="AV54" i="28"/>
  <c r="AV45" i="28"/>
  <c r="AV41" i="28"/>
  <c r="AV22" i="28"/>
  <c r="AV34" i="28"/>
  <c r="AV27" i="28"/>
  <c r="AV15" i="28"/>
  <c r="AV14" i="28"/>
  <c r="AV3" i="28"/>
  <c r="T6" i="28"/>
  <c r="T14" i="28"/>
  <c r="T9" i="28"/>
  <c r="T38" i="28"/>
  <c r="T17" i="28"/>
  <c r="T25" i="28"/>
  <c r="T32" i="28"/>
  <c r="T20" i="28"/>
  <c r="T28" i="28"/>
  <c r="T40" i="28"/>
  <c r="T44" i="28"/>
  <c r="T50" i="28"/>
  <c r="T58" i="28"/>
  <c r="T65" i="28"/>
  <c r="T47" i="28"/>
  <c r="T55" i="28"/>
  <c r="T73" i="28"/>
  <c r="T82" i="28"/>
  <c r="T103" i="28"/>
  <c r="CN42" i="28"/>
  <c r="AV10" i="28"/>
  <c r="AV37" i="28"/>
  <c r="AV52" i="28"/>
  <c r="AV70" i="28"/>
  <c r="AV93" i="28"/>
  <c r="CZ21" i="28"/>
  <c r="CZ70" i="28"/>
  <c r="CZ95" i="28"/>
  <c r="BD28" i="28"/>
  <c r="BD77" i="28"/>
  <c r="L6" i="28"/>
  <c r="L19" i="28"/>
  <c r="L26" i="28"/>
  <c r="L58" i="28"/>
  <c r="L63" i="28"/>
  <c r="L83" i="28"/>
  <c r="L99" i="28"/>
  <c r="DD106" i="28"/>
  <c r="DD72" i="28"/>
  <c r="DD14" i="28"/>
  <c r="DD44" i="28"/>
  <c r="CF107" i="28"/>
  <c r="CF102" i="28"/>
  <c r="CF100" i="28"/>
  <c r="CF91" i="28"/>
  <c r="CF84" i="28"/>
  <c r="CF87" i="28"/>
  <c r="CF92" i="28"/>
  <c r="CF74" i="28"/>
  <c r="CF77" i="28"/>
  <c r="CF68" i="28"/>
  <c r="CF61" i="28"/>
  <c r="CF53" i="28"/>
  <c r="CF66" i="28"/>
  <c r="CF62" i="28"/>
  <c r="CF54" i="28"/>
  <c r="CF46" i="28"/>
  <c r="CF40" i="28"/>
  <c r="CF33" i="28"/>
  <c r="CF24" i="28"/>
  <c r="CF16" i="28"/>
  <c r="CF29" i="28"/>
  <c r="CF21" i="28"/>
  <c r="CF13" i="28"/>
  <c r="CF31" i="28"/>
  <c r="CF5" i="28"/>
  <c r="CF10" i="28"/>
  <c r="CF108" i="28"/>
  <c r="CF105" i="28"/>
  <c r="CF96" i="28"/>
  <c r="CF89" i="28"/>
  <c r="CF82" i="28"/>
  <c r="CF85" i="28"/>
  <c r="CF72" i="28"/>
  <c r="CF101" i="28"/>
  <c r="H106" i="28"/>
  <c r="H104" i="28"/>
  <c r="H94" i="28"/>
  <c r="H82" i="28"/>
  <c r="H76" i="28"/>
  <c r="H73" i="28"/>
  <c r="H55" i="28"/>
  <c r="H64" i="28"/>
  <c r="H48" i="28"/>
  <c r="H31" i="28"/>
  <c r="H16" i="28"/>
  <c r="H39" i="28"/>
  <c r="H29" i="28"/>
  <c r="H21" i="28"/>
  <c r="H13" i="28"/>
  <c r="H9" i="28"/>
  <c r="H14" i="28"/>
  <c r="H6" i="28"/>
  <c r="H99" i="28"/>
  <c r="H89" i="28"/>
  <c r="H81" i="28"/>
  <c r="H69" i="28"/>
  <c r="H47" i="28"/>
  <c r="H52" i="28"/>
  <c r="H26" i="28"/>
  <c r="H34" i="28"/>
  <c r="H32" i="28"/>
  <c r="H19" i="28"/>
  <c r="H36" i="28"/>
  <c r="H3" i="28"/>
  <c r="H4" i="28"/>
  <c r="H102" i="28"/>
  <c r="H90" i="28"/>
  <c r="H75" i="28"/>
  <c r="H68" i="28"/>
  <c r="H45" i="28"/>
  <c r="H38" i="28"/>
  <c r="H27" i="28"/>
  <c r="H15" i="28"/>
  <c r="H5" i="28"/>
  <c r="H108" i="28"/>
  <c r="H98" i="28"/>
  <c r="H85" i="28"/>
  <c r="H63" i="28"/>
  <c r="H60" i="28"/>
  <c r="H40" i="28"/>
  <c r="H30" i="28"/>
  <c r="H25" i="28"/>
  <c r="H43" i="28"/>
  <c r="H12" i="28"/>
  <c r="H107" i="28"/>
  <c r="H93" i="28"/>
  <c r="H72" i="28"/>
  <c r="H59" i="28"/>
  <c r="H56" i="28"/>
  <c r="H22" i="28"/>
  <c r="H37" i="28"/>
  <c r="H23" i="28"/>
  <c r="H11" i="28"/>
  <c r="H10" i="28"/>
  <c r="AJ108" i="28"/>
  <c r="AJ105" i="28"/>
  <c r="AJ101" i="28"/>
  <c r="AJ96" i="28"/>
  <c r="AJ89" i="28"/>
  <c r="AJ86" i="28"/>
  <c r="AJ87" i="28"/>
  <c r="AJ92" i="28"/>
  <c r="AJ72" i="28"/>
  <c r="AJ75" i="28"/>
  <c r="AJ67" i="28"/>
  <c r="AJ57" i="28"/>
  <c r="AJ49" i="28"/>
  <c r="AJ69" i="28"/>
  <c r="AJ60" i="28"/>
  <c r="AJ52" i="28"/>
  <c r="AJ45" i="28"/>
  <c r="AJ43" i="28"/>
  <c r="AJ30" i="28"/>
  <c r="AJ22" i="28"/>
  <c r="AJ36" i="28"/>
  <c r="AJ27" i="28"/>
  <c r="AJ19" i="28"/>
  <c r="AJ39" i="28"/>
  <c r="AJ11" i="28"/>
  <c r="AJ3" i="28"/>
  <c r="AJ8" i="28"/>
  <c r="AJ99" i="28"/>
  <c r="AJ95" i="28"/>
  <c r="AJ85" i="28"/>
  <c r="AJ78" i="28"/>
  <c r="AJ73" i="28"/>
  <c r="AJ63" i="28"/>
  <c r="AJ55" i="28"/>
  <c r="AJ65" i="28"/>
  <c r="AJ58" i="28"/>
  <c r="AJ50" i="28"/>
  <c r="AJ41" i="28"/>
  <c r="AJ28" i="28"/>
  <c r="AJ20" i="28"/>
  <c r="AJ25" i="28"/>
  <c r="AJ17" i="28"/>
  <c r="AJ38" i="28"/>
  <c r="AJ9" i="28"/>
  <c r="AJ6" i="28"/>
  <c r="AJ109" i="28"/>
  <c r="AJ103" i="28"/>
  <c r="AJ94" i="28"/>
  <c r="AJ84" i="28"/>
  <c r="AJ80" i="28"/>
  <c r="AJ47" i="28"/>
  <c r="AJ44" i="28"/>
  <c r="AJ32" i="28"/>
  <c r="AJ14" i="28"/>
  <c r="AJ106" i="28"/>
  <c r="BP106" i="28"/>
  <c r="BP104" i="28"/>
  <c r="BP97" i="28"/>
  <c r="BP98" i="28"/>
  <c r="BP93" i="28"/>
  <c r="BP82" i="28"/>
  <c r="BP83" i="28"/>
  <c r="BP76" i="28"/>
  <c r="BP79" i="28"/>
  <c r="BP71" i="28"/>
  <c r="BP63" i="28"/>
  <c r="BP55" i="28"/>
  <c r="BP47" i="28"/>
  <c r="BP65" i="28"/>
  <c r="BP56" i="28"/>
  <c r="BP48" i="28"/>
  <c r="BP42" i="28"/>
  <c r="BP37" i="28"/>
  <c r="BP26" i="28"/>
  <c r="BP18" i="28"/>
  <c r="BP35" i="28"/>
  <c r="BP23" i="28"/>
  <c r="BP15" i="28"/>
  <c r="BP34" i="28"/>
  <c r="BP7" i="28"/>
  <c r="BP14" i="28"/>
  <c r="BP4" i="28"/>
  <c r="BP107" i="28"/>
  <c r="BP102" i="28"/>
  <c r="BP100" i="28"/>
  <c r="BP88" i="28"/>
  <c r="BP90" i="28"/>
  <c r="BP81" i="28"/>
  <c r="BP77" i="28"/>
  <c r="BP68" i="28"/>
  <c r="BP61" i="28"/>
  <c r="BP53" i="28"/>
  <c r="BP62" i="28"/>
  <c r="BP54" i="28"/>
  <c r="BP46" i="28"/>
  <c r="BP40" i="28"/>
  <c r="BP24" i="28"/>
  <c r="BP16" i="28"/>
  <c r="BP29" i="28"/>
  <c r="BP21" i="28"/>
  <c r="BP13" i="28"/>
  <c r="BP5" i="28"/>
  <c r="BP10" i="28"/>
  <c r="BP91" i="28"/>
  <c r="BP74" i="28"/>
  <c r="BP66" i="28"/>
  <c r="BP33" i="28"/>
  <c r="BP31" i="28"/>
  <c r="CF14" i="28"/>
  <c r="CF9" i="28"/>
  <c r="CF39" i="28"/>
  <c r="CF23" i="28"/>
  <c r="CF32" i="28"/>
  <c r="CF22" i="28"/>
  <c r="CF37" i="28"/>
  <c r="CF44" i="28"/>
  <c r="CF52" i="28"/>
  <c r="CF65" i="28"/>
  <c r="CF49" i="28"/>
  <c r="CF59" i="28"/>
  <c r="CF71" i="28"/>
  <c r="CF80" i="28"/>
  <c r="CF81" i="28"/>
  <c r="CF86" i="28"/>
  <c r="CF97" i="28"/>
  <c r="CF106" i="28"/>
  <c r="BP12" i="28"/>
  <c r="BP38" i="28"/>
  <c r="BP25" i="28"/>
  <c r="BP20" i="28"/>
  <c r="BP41" i="28"/>
  <c r="BP50" i="28"/>
  <c r="BP69" i="28"/>
  <c r="BP57" i="28"/>
  <c r="BP73" i="28"/>
  <c r="BP78" i="28"/>
  <c r="BP84" i="28"/>
  <c r="BP94" i="28"/>
  <c r="BP103" i="28"/>
  <c r="AJ10" i="28"/>
  <c r="AJ31" i="28"/>
  <c r="AJ21" i="28"/>
  <c r="AJ16" i="28"/>
  <c r="AJ33" i="28"/>
  <c r="AJ46" i="28"/>
  <c r="AJ62" i="28"/>
  <c r="AJ51" i="28"/>
  <c r="AJ68" i="28"/>
  <c r="AJ74" i="28"/>
  <c r="AJ90" i="28"/>
  <c r="AJ91" i="28"/>
  <c r="AJ102" i="28"/>
  <c r="H33" i="28"/>
  <c r="H79" i="28"/>
  <c r="H8" i="28"/>
  <c r="H18" i="28"/>
  <c r="H86" i="28"/>
  <c r="CF6" i="28"/>
  <c r="CF3" i="28"/>
  <c r="CF34" i="28"/>
  <c r="CF17" i="28"/>
  <c r="CF27" i="28"/>
  <c r="CF18" i="28"/>
  <c r="CF28" i="28"/>
  <c r="CF43" i="28"/>
  <c r="CF48" i="28"/>
  <c r="CF58" i="28"/>
  <c r="CF70" i="28"/>
  <c r="CF55" i="28"/>
  <c r="CF67" i="28"/>
  <c r="CF75" i="28"/>
  <c r="CF78" i="28"/>
  <c r="CF93" i="28"/>
  <c r="CF98" i="28"/>
  <c r="CF104" i="28"/>
  <c r="BP6" i="28"/>
  <c r="BP9" i="28"/>
  <c r="BP17" i="28"/>
  <c r="BP32" i="28"/>
  <c r="BP28" i="28"/>
  <c r="BP44" i="28"/>
  <c r="BP58" i="28"/>
  <c r="BP49" i="28"/>
  <c r="BP67" i="28"/>
  <c r="BP80" i="28"/>
  <c r="BP85" i="28"/>
  <c r="BP95" i="28"/>
  <c r="BP99" i="28"/>
  <c r="BP109" i="28"/>
  <c r="AJ5" i="28"/>
  <c r="AJ13" i="28"/>
  <c r="AJ29" i="28"/>
  <c r="AJ24" i="28"/>
  <c r="AJ40" i="28"/>
  <c r="AJ54" i="28"/>
  <c r="AJ70" i="28"/>
  <c r="AJ59" i="28"/>
  <c r="AJ77" i="28"/>
  <c r="AJ81" i="28"/>
  <c r="AJ88" i="28"/>
  <c r="AJ100" i="28"/>
  <c r="AJ107" i="28"/>
  <c r="H7" i="28"/>
  <c r="H44" i="28"/>
  <c r="H103" i="28"/>
  <c r="CN107" i="28"/>
  <c r="CN94" i="28"/>
  <c r="CN78" i="28"/>
  <c r="CN57" i="28"/>
  <c r="BD109" i="28"/>
  <c r="BD105" i="28"/>
  <c r="BD97" i="28"/>
  <c r="BD96" i="28"/>
  <c r="BD91" i="28"/>
  <c r="BD84" i="28"/>
  <c r="BD87" i="28"/>
  <c r="BD78" i="28"/>
  <c r="BD80" i="28"/>
  <c r="BD71" i="28"/>
  <c r="BD65" i="28"/>
  <c r="BD59" i="28"/>
  <c r="BD51" i="28"/>
  <c r="BD68" i="28"/>
  <c r="BD58" i="28"/>
  <c r="BD50" i="28"/>
  <c r="BD42" i="28"/>
  <c r="BD43" i="28"/>
  <c r="BD26" i="28"/>
  <c r="BD18" i="28"/>
  <c r="BD30" i="28"/>
  <c r="BD29" i="28"/>
  <c r="BD21" i="28"/>
  <c r="BD13" i="28"/>
  <c r="BD11" i="28"/>
  <c r="BD3" i="28"/>
  <c r="BD6" i="28"/>
  <c r="BD107" i="28"/>
  <c r="BD101" i="28"/>
  <c r="BD98" i="28"/>
  <c r="BD89" i="28"/>
  <c r="BD92" i="28"/>
  <c r="BD81" i="28"/>
  <c r="BD79" i="28"/>
  <c r="BD66" i="28"/>
  <c r="BD61" i="28"/>
  <c r="BD49" i="28"/>
  <c r="BD62" i="28"/>
  <c r="BD52" i="28"/>
  <c r="BD40" i="28"/>
  <c r="BD31" i="28"/>
  <c r="BD20" i="28"/>
  <c r="BD39" i="28"/>
  <c r="BD25" i="28"/>
  <c r="BD15" i="28"/>
  <c r="BD9" i="28"/>
  <c r="BD10" i="28"/>
  <c r="CZ106" i="28"/>
  <c r="CZ105" i="28"/>
  <c r="CZ97" i="28"/>
  <c r="CZ96" i="28"/>
  <c r="CZ89" i="28"/>
  <c r="CZ82" i="28"/>
  <c r="CZ85" i="28"/>
  <c r="CZ76" i="28"/>
  <c r="CZ79" i="28"/>
  <c r="CZ73" i="28"/>
  <c r="CZ64" i="28"/>
  <c r="CZ57" i="28"/>
  <c r="CZ49" i="28"/>
  <c r="CZ67" i="28"/>
  <c r="CZ56" i="28"/>
  <c r="CZ48" i="28"/>
  <c r="CZ40" i="28"/>
  <c r="CZ31" i="28"/>
  <c r="CZ22" i="28"/>
  <c r="CZ43" i="28"/>
  <c r="CZ39" i="28"/>
  <c r="CZ27" i="28"/>
  <c r="CZ19" i="28"/>
  <c r="CZ36" i="28"/>
  <c r="CZ9" i="28"/>
  <c r="CZ14" i="28"/>
  <c r="CZ4" i="28"/>
  <c r="CZ107" i="28"/>
  <c r="CZ101" i="28"/>
  <c r="CZ94" i="28"/>
  <c r="CZ88" i="28"/>
  <c r="CZ90" i="28"/>
  <c r="CZ78" i="28"/>
  <c r="CZ77" i="28"/>
  <c r="CZ69" i="28"/>
  <c r="CZ59" i="28"/>
  <c r="CZ47" i="28"/>
  <c r="CZ60" i="28"/>
  <c r="CZ50" i="28"/>
  <c r="CZ45" i="28"/>
  <c r="CZ26" i="28"/>
  <c r="CZ16" i="28"/>
  <c r="CZ37" i="28"/>
  <c r="CZ23" i="28"/>
  <c r="CZ13" i="28"/>
  <c r="CZ7" i="28"/>
  <c r="CZ8" i="28"/>
  <c r="AV106" i="28"/>
  <c r="AV104" i="28"/>
  <c r="AV102" i="28"/>
  <c r="AV98" i="28"/>
  <c r="AV89" i="28"/>
  <c r="AV86" i="28"/>
  <c r="AV85" i="28"/>
  <c r="AV78" i="28"/>
  <c r="AV79" i="28"/>
  <c r="AV71" i="28"/>
  <c r="AV65" i="28"/>
  <c r="AV57" i="28"/>
  <c r="AV49" i="28"/>
  <c r="AV64" i="28"/>
  <c r="AV56" i="28"/>
  <c r="AV48" i="28"/>
  <c r="AV42" i="28"/>
  <c r="AV39" i="28"/>
  <c r="AV24" i="28"/>
  <c r="AV16" i="28"/>
  <c r="AV33" i="28"/>
  <c r="AV25" i="28"/>
  <c r="AV17" i="28"/>
  <c r="AV32" i="28"/>
  <c r="AV9" i="28"/>
  <c r="AV12" i="28"/>
  <c r="AV4" i="28"/>
  <c r="AV90" i="28"/>
  <c r="AV95" i="28"/>
  <c r="AV97" i="28"/>
  <c r="AV105" i="28"/>
  <c r="CZ6" i="28"/>
  <c r="CZ11" i="28"/>
  <c r="CZ17" i="28"/>
  <c r="CZ33" i="28"/>
  <c r="CZ18" i="28"/>
  <c r="CZ35" i="28"/>
  <c r="CZ46" i="28"/>
  <c r="CZ62" i="28"/>
  <c r="CZ53" i="28"/>
  <c r="CZ65" i="28"/>
  <c r="CZ80" i="28"/>
  <c r="CZ83" i="28"/>
  <c r="CZ86" i="28"/>
  <c r="CZ98" i="28"/>
  <c r="CZ103" i="28"/>
  <c r="BD8" i="28"/>
  <c r="BD12" i="28"/>
  <c r="BD19" i="28"/>
  <c r="BD37" i="28"/>
  <c r="BD22" i="28"/>
  <c r="BD41" i="28"/>
  <c r="BD48" i="28"/>
  <c r="BD67" i="28"/>
  <c r="BD55" i="28"/>
  <c r="BD69" i="28"/>
  <c r="BD72" i="28"/>
  <c r="BD85" i="28"/>
  <c r="BD88" i="28"/>
  <c r="BD100" i="28"/>
  <c r="BD103" i="28"/>
  <c r="BX108" i="28"/>
  <c r="BX106" i="28"/>
  <c r="BX95" i="28"/>
  <c r="BX79" i="28"/>
  <c r="AN102" i="28"/>
  <c r="AN90" i="28"/>
  <c r="AN60" i="28"/>
  <c r="AN23" i="28"/>
  <c r="BT108" i="28"/>
  <c r="BT82" i="28"/>
  <c r="BT53" i="28"/>
  <c r="BT44" i="28"/>
  <c r="BT30" i="28"/>
  <c r="BT12" i="28"/>
  <c r="D74" i="28"/>
  <c r="D81" i="28"/>
  <c r="D13" i="28"/>
  <c r="AF10" i="28"/>
  <c r="AF7" i="28"/>
  <c r="AF30" i="28"/>
  <c r="AF13" i="28"/>
  <c r="AF21" i="28"/>
  <c r="AF29" i="28"/>
  <c r="AF34" i="28"/>
  <c r="AF20" i="28"/>
  <c r="AF28" i="28"/>
  <c r="AF43" i="28"/>
  <c r="AF46" i="28"/>
  <c r="AF56" i="28"/>
  <c r="AF67" i="28"/>
  <c r="AF55" i="28"/>
  <c r="AF65" i="28"/>
  <c r="AF73" i="28"/>
  <c r="AF76" i="28"/>
  <c r="AF85" i="28"/>
  <c r="AF88" i="28"/>
  <c r="AF95" i="28"/>
  <c r="AF102" i="28"/>
  <c r="BX8" i="28"/>
  <c r="BX14" i="28"/>
  <c r="BX23" i="28"/>
  <c r="BX36" i="28"/>
  <c r="BX28" i="28"/>
  <c r="BX44" i="28"/>
  <c r="BX60" i="28"/>
  <c r="BX49" i="28"/>
  <c r="BX67" i="28"/>
  <c r="BX72" i="28"/>
  <c r="BX85" i="28"/>
  <c r="BX89" i="28"/>
  <c r="BX101" i="28"/>
  <c r="BT3" i="28"/>
  <c r="BT43" i="28"/>
  <c r="BT27" i="28"/>
  <c r="BT16" i="28"/>
  <c r="BT35" i="28"/>
  <c r="BT50" i="28"/>
  <c r="BT68" i="28"/>
  <c r="BT59" i="28"/>
  <c r="BT72" i="28"/>
  <c r="BT93" i="28"/>
  <c r="AN4" i="28"/>
  <c r="AN19" i="28"/>
  <c r="AN22" i="28"/>
  <c r="AN56" i="28"/>
  <c r="AN63" i="28"/>
  <c r="AN85" i="28"/>
  <c r="D31" i="28"/>
  <c r="D46" i="28"/>
  <c r="BX107" i="28"/>
  <c r="BX102" i="28"/>
  <c r="BX100" i="28"/>
  <c r="BX91" i="28"/>
  <c r="BX84" i="28"/>
  <c r="BX87" i="28"/>
  <c r="BX93" i="28"/>
  <c r="BX74" i="28"/>
  <c r="BX75" i="28"/>
  <c r="BX70" i="28"/>
  <c r="BX59" i="28"/>
  <c r="BX51" i="28"/>
  <c r="BX64" i="28"/>
  <c r="BX62" i="28"/>
  <c r="BX54" i="28"/>
  <c r="BX46" i="28"/>
  <c r="BX45" i="28"/>
  <c r="BX33" i="28"/>
  <c r="BX22" i="28"/>
  <c r="BX39" i="28"/>
  <c r="BX35" i="28"/>
  <c r="BX25" i="28"/>
  <c r="BX17" i="28"/>
  <c r="BX34" i="28"/>
  <c r="BX7" i="28"/>
  <c r="BX10" i="28"/>
  <c r="BX109" i="28"/>
  <c r="BX104" i="28"/>
  <c r="BX97" i="28"/>
  <c r="BX96" i="28"/>
  <c r="BX86" i="28"/>
  <c r="BX88" i="28"/>
  <c r="BX81" i="28"/>
  <c r="BX76" i="28"/>
  <c r="BX77" i="28"/>
  <c r="BX68" i="28"/>
  <c r="BX61" i="28"/>
  <c r="BX53" i="28"/>
  <c r="BX66" i="28"/>
  <c r="BX65" i="28"/>
  <c r="BX56" i="28"/>
  <c r="BX48" i="28"/>
  <c r="BX40" i="28"/>
  <c r="BX37" i="28"/>
  <c r="BX24" i="28"/>
  <c r="BX16" i="28"/>
  <c r="BX31" i="28"/>
  <c r="BX27" i="28"/>
  <c r="BX19" i="28"/>
  <c r="BX38" i="28"/>
  <c r="BX9" i="28"/>
  <c r="BX12" i="28"/>
  <c r="BX4" i="28"/>
  <c r="AN109" i="28"/>
  <c r="AN105" i="28"/>
  <c r="AN97" i="28"/>
  <c r="AN96" i="28"/>
  <c r="AN91" i="28"/>
  <c r="AN84" i="28"/>
  <c r="AN87" i="28"/>
  <c r="AN78" i="28"/>
  <c r="AN80" i="28"/>
  <c r="AN71" i="28"/>
  <c r="AN65" i="28"/>
  <c r="AN57" i="28"/>
  <c r="AN49" i="28"/>
  <c r="AN67" i="28"/>
  <c r="AN58" i="28"/>
  <c r="AN50" i="28"/>
  <c r="AN42" i="28"/>
  <c r="AN35" i="28"/>
  <c r="AN24" i="28"/>
  <c r="AN16" i="28"/>
  <c r="AN30" i="28"/>
  <c r="AN29" i="28"/>
  <c r="AN21" i="28"/>
  <c r="AN13" i="28"/>
  <c r="AN9" i="28"/>
  <c r="AN14" i="28"/>
  <c r="AN6" i="28"/>
  <c r="AN106" i="28"/>
  <c r="AN101" i="28"/>
  <c r="AN100" i="28"/>
  <c r="AN95" i="28"/>
  <c r="AN88" i="28"/>
  <c r="AN92" i="28"/>
  <c r="AN83" i="28"/>
  <c r="AN74" i="28"/>
  <c r="AN77" i="28"/>
  <c r="AN66" i="28"/>
  <c r="AN61" i="28"/>
  <c r="AN53" i="28"/>
  <c r="AN70" i="28"/>
  <c r="AN62" i="28"/>
  <c r="AN54" i="28"/>
  <c r="AN46" i="28"/>
  <c r="AN45" i="28"/>
  <c r="AN28" i="28"/>
  <c r="AN20" i="28"/>
  <c r="AN38" i="28"/>
  <c r="AN37" i="28"/>
  <c r="AN25" i="28"/>
  <c r="AN17" i="28"/>
  <c r="AN32" i="28"/>
  <c r="AN5" i="28"/>
  <c r="AN10" i="28"/>
  <c r="AN104" i="28"/>
  <c r="AN94" i="28"/>
  <c r="AN82" i="28"/>
  <c r="AN76" i="28"/>
  <c r="AN73" i="28"/>
  <c r="AN55" i="28"/>
  <c r="AN64" i="28"/>
  <c r="AN48" i="28"/>
  <c r="AN31" i="28"/>
  <c r="AN43" i="28"/>
  <c r="AN27" i="28"/>
  <c r="AN36" i="28"/>
  <c r="AN12" i="28"/>
  <c r="AN103" i="28"/>
  <c r="AN98" i="28"/>
  <c r="AN86" i="28"/>
  <c r="AN81" i="28"/>
  <c r="AN75" i="28"/>
  <c r="AN59" i="28"/>
  <c r="AN68" i="28"/>
  <c r="AN52" i="28"/>
  <c r="AN41" i="28"/>
  <c r="AN18" i="28"/>
  <c r="AN33" i="28"/>
  <c r="AN15" i="28"/>
  <c r="AN3" i="28"/>
  <c r="BT107" i="28"/>
  <c r="BT101" i="28"/>
  <c r="BT100" i="28"/>
  <c r="BT95" i="28"/>
  <c r="BT88" i="28"/>
  <c r="BT92" i="28"/>
  <c r="BT83" i="28"/>
  <c r="BT74" i="28"/>
  <c r="BT77" i="28"/>
  <c r="BT66" i="28"/>
  <c r="BT109" i="28"/>
  <c r="BT105" i="28"/>
  <c r="BT97" i="28"/>
  <c r="BT94" i="28"/>
  <c r="BT91" i="28"/>
  <c r="BT84" i="28"/>
  <c r="BT87" i="28"/>
  <c r="BT78" i="28"/>
  <c r="BT80" i="28"/>
  <c r="BT71" i="28"/>
  <c r="BT65" i="28"/>
  <c r="BT103" i="28"/>
  <c r="BT98" i="28"/>
  <c r="BT86" i="28"/>
  <c r="BT81" i="28"/>
  <c r="BT75" i="28"/>
  <c r="BT63" i="28"/>
  <c r="BT55" i="28"/>
  <c r="BT47" i="28"/>
  <c r="BT62" i="28"/>
  <c r="BT54" i="28"/>
  <c r="BT46" i="28"/>
  <c r="BT45" i="28"/>
  <c r="BT28" i="28"/>
  <c r="BT20" i="28"/>
  <c r="BT34" i="28"/>
  <c r="BT33" i="28"/>
  <c r="BT23" i="28"/>
  <c r="BT15" i="28"/>
  <c r="BT32" i="28"/>
  <c r="BT7" i="28"/>
  <c r="BT10" i="28"/>
  <c r="BT106" i="28"/>
  <c r="BT102" i="28"/>
  <c r="BT89" i="28"/>
  <c r="BT85" i="28"/>
  <c r="BT79" i="28"/>
  <c r="BT64" i="28"/>
  <c r="BT57" i="28"/>
  <c r="BT49" i="28"/>
  <c r="BT67" i="28"/>
  <c r="BT56" i="28"/>
  <c r="BT48" i="28"/>
  <c r="BT40" i="28"/>
  <c r="BT31" i="28"/>
  <c r="BT22" i="28"/>
  <c r="BT38" i="28"/>
  <c r="BT37" i="28"/>
  <c r="BT25" i="28"/>
  <c r="BT17" i="28"/>
  <c r="BT36" i="28"/>
  <c r="BT9" i="28"/>
  <c r="BT14" i="28"/>
  <c r="BT4" i="28"/>
  <c r="D106" i="28"/>
  <c r="D104" i="28"/>
  <c r="D97" i="28"/>
  <c r="D98" i="28"/>
  <c r="D93" i="28"/>
  <c r="D82" i="28"/>
  <c r="D83" i="28"/>
  <c r="D76" i="28"/>
  <c r="D79" i="28"/>
  <c r="D71" i="28"/>
  <c r="D61" i="28"/>
  <c r="D53" i="28"/>
  <c r="D66" i="28"/>
  <c r="D64" i="28"/>
  <c r="D56" i="28"/>
  <c r="D48" i="28"/>
  <c r="D45" i="28"/>
  <c r="D37" i="28"/>
  <c r="D26" i="28"/>
  <c r="D18" i="28"/>
  <c r="D35" i="28"/>
  <c r="D23" i="28"/>
  <c r="D15" i="28"/>
  <c r="D34" i="28"/>
  <c r="D7" i="28"/>
  <c r="D12" i="28"/>
  <c r="D4" i="28"/>
  <c r="D108" i="28"/>
  <c r="D105" i="28"/>
  <c r="D101" i="28"/>
  <c r="D96" i="28"/>
  <c r="D89" i="28"/>
  <c r="D86" i="28"/>
  <c r="D87" i="28"/>
  <c r="D92" i="28"/>
  <c r="D72" i="28"/>
  <c r="D75" i="28"/>
  <c r="D67" i="28"/>
  <c r="D57" i="28"/>
  <c r="D49" i="28"/>
  <c r="D69" i="28"/>
  <c r="D60" i="28"/>
  <c r="D52" i="28"/>
  <c r="D44" i="28"/>
  <c r="D41" i="28"/>
  <c r="D30" i="28"/>
  <c r="D22" i="28"/>
  <c r="D36" i="28"/>
  <c r="D27" i="28"/>
  <c r="D19" i="28"/>
  <c r="D39" i="28"/>
  <c r="D11" i="28"/>
  <c r="D3" i="28"/>
  <c r="D8" i="28"/>
  <c r="D109" i="28"/>
  <c r="D103" i="28"/>
  <c r="D99" i="28"/>
  <c r="D94" i="28"/>
  <c r="D95" i="28"/>
  <c r="D84" i="28"/>
  <c r="D85" i="28"/>
  <c r="D78" i="28"/>
  <c r="D80" i="28"/>
  <c r="D73" i="28"/>
  <c r="D63" i="28"/>
  <c r="D55" i="28"/>
  <c r="D47" i="28"/>
  <c r="D65" i="28"/>
  <c r="D58" i="28"/>
  <c r="D50" i="28"/>
  <c r="D42" i="28"/>
  <c r="D40" i="28"/>
  <c r="D28" i="28"/>
  <c r="D20" i="28"/>
  <c r="D32" i="28"/>
  <c r="D25" i="28"/>
  <c r="D17" i="28"/>
  <c r="D38" i="28"/>
  <c r="D9" i="28"/>
  <c r="D14" i="28"/>
  <c r="D6" i="28"/>
  <c r="D102" i="28"/>
  <c r="D90" i="28"/>
  <c r="D68" i="28"/>
  <c r="D62" i="28"/>
  <c r="D33" i="28"/>
  <c r="D21" i="28"/>
  <c r="D10" i="28"/>
  <c r="D107" i="28"/>
  <c r="D88" i="28"/>
  <c r="D77" i="28"/>
  <c r="D70" i="28"/>
  <c r="D43" i="28"/>
  <c r="D29" i="28"/>
  <c r="D5" i="28"/>
  <c r="AF108" i="28"/>
  <c r="AF105" i="28"/>
  <c r="AF99" i="28"/>
  <c r="AF96" i="28"/>
  <c r="AF93" i="28"/>
  <c r="AF90" i="28"/>
  <c r="AF82" i="28"/>
  <c r="AF81" i="28"/>
  <c r="AF74" i="28"/>
  <c r="AF75" i="28"/>
  <c r="AF66" i="28"/>
  <c r="AF61" i="28"/>
  <c r="AF53" i="28"/>
  <c r="AF68" i="28"/>
  <c r="AF60" i="28"/>
  <c r="AF52" i="28"/>
  <c r="AF6" i="28"/>
  <c r="AF3" i="28"/>
  <c r="AF11" i="28"/>
  <c r="AF36" i="28"/>
  <c r="AF17" i="28"/>
  <c r="AF25" i="28"/>
  <c r="AF33" i="28"/>
  <c r="AF16" i="28"/>
  <c r="AF24" i="28"/>
  <c r="AF39" i="28"/>
  <c r="AF44" i="28"/>
  <c r="AF50" i="28"/>
  <c r="AF62" i="28"/>
  <c r="AF49" i="28"/>
  <c r="AF59" i="28"/>
  <c r="AF70" i="28"/>
  <c r="AF79" i="28"/>
  <c r="AF80" i="28"/>
  <c r="AF84" i="28"/>
  <c r="AF89" i="28"/>
  <c r="AF94" i="28"/>
  <c r="AF101" i="28"/>
  <c r="AF106" i="28"/>
  <c r="BX5" i="28"/>
  <c r="BX15" i="28"/>
  <c r="BX30" i="28"/>
  <c r="BX20" i="28"/>
  <c r="BX43" i="28"/>
  <c r="BX52" i="28"/>
  <c r="BX73" i="28"/>
  <c r="BX57" i="28"/>
  <c r="BX71" i="28"/>
  <c r="BX90" i="28"/>
  <c r="BX82" i="28"/>
  <c r="BX98" i="28"/>
  <c r="BX103" i="28"/>
  <c r="BT6" i="28"/>
  <c r="BT11" i="28"/>
  <c r="BT19" i="28"/>
  <c r="BT39" i="28"/>
  <c r="BT24" i="28"/>
  <c r="BT42" i="28"/>
  <c r="BT58" i="28"/>
  <c r="BT51" i="28"/>
  <c r="BT69" i="28"/>
  <c r="BT90" i="28"/>
  <c r="BT99" i="28"/>
  <c r="AN7" i="28"/>
  <c r="AN39" i="28"/>
  <c r="AN40" i="28"/>
  <c r="AN47" i="28"/>
  <c r="AN79" i="28"/>
  <c r="AN89" i="28"/>
  <c r="AN107" i="28"/>
  <c r="D16" i="28"/>
  <c r="D51" i="28"/>
  <c r="D91" i="28"/>
  <c r="H24" i="28"/>
  <c r="H35" i="28"/>
  <c r="H42" i="28"/>
  <c r="H50" i="28"/>
  <c r="H58" i="28"/>
  <c r="H67" i="28"/>
  <c r="H49" i="28"/>
  <c r="H57" i="28"/>
  <c r="H65" i="28"/>
  <c r="H71" i="28"/>
  <c r="H80" i="28"/>
  <c r="H78" i="28"/>
  <c r="H87" i="28"/>
  <c r="H84" i="28"/>
  <c r="H91" i="28"/>
  <c r="H96" i="28"/>
  <c r="H97" i="28"/>
  <c r="H105" i="28"/>
  <c r="H109" i="28"/>
  <c r="DD51" i="28"/>
  <c r="H20" i="28"/>
  <c r="H28" i="28"/>
  <c r="H41" i="28"/>
  <c r="H46" i="28"/>
  <c r="H54" i="28"/>
  <c r="H62" i="28"/>
  <c r="H70" i="28"/>
  <c r="H53" i="28"/>
  <c r="H61" i="28"/>
  <c r="H66" i="28"/>
  <c r="H77" i="28"/>
  <c r="H74" i="28"/>
  <c r="H83" i="28"/>
  <c r="H92" i="28"/>
  <c r="H88" i="28"/>
  <c r="H95" i="28"/>
  <c r="H100" i="28"/>
  <c r="H101" i="28"/>
  <c r="DD36" i="28"/>
  <c r="DD89" i="28"/>
  <c r="DD15" i="28"/>
  <c r="DD20" i="28"/>
  <c r="DD52" i="28"/>
  <c r="DD59" i="28"/>
  <c r="DD90" i="28"/>
  <c r="DD98" i="28"/>
  <c r="DD8" i="28"/>
  <c r="DD23" i="28"/>
  <c r="DD28" i="28"/>
  <c r="DD60" i="28"/>
  <c r="DD70" i="28"/>
  <c r="DD85" i="28"/>
  <c r="DD101" i="28"/>
  <c r="DD5" i="28"/>
  <c r="DD30" i="28"/>
  <c r="DD41" i="28"/>
  <c r="DD64" i="28"/>
  <c r="DD80" i="28"/>
  <c r="DD82" i="28"/>
  <c r="DD107" i="28"/>
  <c r="DD10" i="28"/>
  <c r="DD7" i="28"/>
  <c r="DD34" i="28"/>
  <c r="DD17" i="28"/>
  <c r="DD25" i="28"/>
  <c r="DD35" i="28"/>
  <c r="DD39" i="28"/>
  <c r="DD22" i="28"/>
  <c r="DD33" i="28"/>
  <c r="DD43" i="28"/>
  <c r="DD46" i="28"/>
  <c r="DD54" i="28"/>
  <c r="DD62" i="28"/>
  <c r="DD66" i="28"/>
  <c r="DD53" i="28"/>
  <c r="DD61" i="28"/>
  <c r="DD73" i="28"/>
  <c r="DD75" i="28"/>
  <c r="DD74" i="28"/>
  <c r="DD93" i="28"/>
  <c r="DD87" i="28"/>
  <c r="DD84" i="28"/>
  <c r="DD91" i="28"/>
  <c r="DD100" i="28"/>
  <c r="DD102" i="28"/>
  <c r="DD104" i="28"/>
  <c r="DD4" i="28"/>
  <c r="DD12" i="28"/>
  <c r="DD9" i="28"/>
  <c r="DD38" i="28"/>
  <c r="DD19" i="28"/>
  <c r="DD27" i="28"/>
  <c r="DD31" i="28"/>
  <c r="DD16" i="28"/>
  <c r="DD24" i="28"/>
  <c r="DD37" i="28"/>
  <c r="DD40" i="28"/>
  <c r="DD48" i="28"/>
  <c r="DD56" i="28"/>
  <c r="DD65" i="28"/>
  <c r="DD47" i="28"/>
  <c r="DD55" i="28"/>
  <c r="DD63" i="28"/>
  <c r="DD68" i="28"/>
  <c r="DD77" i="28"/>
  <c r="DD76" i="28"/>
  <c r="DD81" i="28"/>
  <c r="DD88" i="28"/>
  <c r="DD86" i="28"/>
  <c r="DD96" i="28"/>
  <c r="DD97" i="28"/>
  <c r="DD105" i="28"/>
  <c r="DD109" i="28"/>
  <c r="DD6" i="28"/>
  <c r="DD3" i="28"/>
  <c r="DD11" i="28"/>
  <c r="DD13" i="28"/>
  <c r="DD21" i="28"/>
  <c r="DD29" i="28"/>
  <c r="DD32" i="28"/>
  <c r="DD18" i="28"/>
  <c r="DD26" i="28"/>
  <c r="DD45" i="28"/>
  <c r="DD42" i="28"/>
  <c r="DD50" i="28"/>
  <c r="DD58" i="28"/>
  <c r="DD69" i="28"/>
  <c r="DD49" i="28"/>
  <c r="DD57" i="28"/>
  <c r="DD67" i="28"/>
  <c r="DD71" i="28"/>
  <c r="DD79" i="28"/>
  <c r="DD78" i="28"/>
  <c r="DD83" i="28"/>
  <c r="DD92" i="28"/>
  <c r="DD95" i="28"/>
  <c r="DD94" i="28"/>
  <c r="DD99" i="28"/>
  <c r="DD103" i="28"/>
  <c r="CN4" i="28"/>
  <c r="CN12" i="28"/>
  <c r="CN9" i="28"/>
  <c r="CN38" i="28"/>
  <c r="CN19" i="28"/>
  <c r="CN27" i="28"/>
  <c r="CN31" i="28"/>
  <c r="CN16" i="28"/>
  <c r="CN24" i="28"/>
  <c r="CN37" i="28"/>
  <c r="CN40" i="28"/>
  <c r="CN48" i="28"/>
  <c r="CN56" i="28"/>
  <c r="CN65" i="28"/>
  <c r="CN47" i="28"/>
  <c r="CN55" i="28"/>
  <c r="CN63" i="28"/>
  <c r="CN73" i="28"/>
  <c r="CN77" i="28"/>
  <c r="CN76" i="28"/>
  <c r="CN83" i="28"/>
  <c r="CN92" i="28"/>
  <c r="CN86" i="28"/>
  <c r="CN96" i="28"/>
  <c r="CN97" i="28"/>
  <c r="CN104" i="28"/>
  <c r="CN109" i="28"/>
  <c r="CN8" i="28"/>
  <c r="CN5" i="28"/>
  <c r="CN14" i="28"/>
  <c r="CN15" i="28"/>
  <c r="CN23" i="28"/>
  <c r="CN30" i="28"/>
  <c r="CN36" i="28"/>
  <c r="CN20" i="28"/>
  <c r="CN28" i="28"/>
  <c r="CN41" i="28"/>
  <c r="CN44" i="28"/>
  <c r="CN52" i="28"/>
  <c r="CN60" i="28"/>
  <c r="CN64" i="28"/>
  <c r="CN51" i="28"/>
  <c r="CN59" i="28"/>
  <c r="CN70" i="28"/>
  <c r="CN80" i="28"/>
  <c r="CN72" i="28"/>
  <c r="CN90" i="28"/>
  <c r="CN87" i="28"/>
  <c r="CN82" i="28"/>
  <c r="CN89" i="28"/>
  <c r="CN98" i="28"/>
  <c r="CN101" i="28"/>
  <c r="CN103" i="28"/>
  <c r="CN108" i="28"/>
  <c r="CN10" i="28"/>
  <c r="CN7" i="28"/>
  <c r="CN34" i="28"/>
  <c r="CN17" i="28"/>
  <c r="CN25" i="28"/>
  <c r="CN35" i="28"/>
  <c r="CN39" i="28"/>
  <c r="CN22" i="28"/>
  <c r="CN33" i="28"/>
  <c r="CN43" i="28"/>
  <c r="CN46" i="28"/>
  <c r="CN54" i="28"/>
  <c r="CN62" i="28"/>
  <c r="CN66" i="28"/>
  <c r="CN53" i="28"/>
  <c r="CN61" i="28"/>
  <c r="CN68" i="28"/>
  <c r="CN75" i="28"/>
  <c r="CN74" i="28"/>
  <c r="CN81" i="28"/>
  <c r="CN88" i="28"/>
  <c r="CN84" i="28"/>
  <c r="CN91" i="28"/>
  <c r="CN100" i="28"/>
  <c r="CN102" i="28"/>
  <c r="DC109" i="28"/>
  <c r="DC108" i="28"/>
  <c r="DC107" i="28"/>
  <c r="DC106" i="28"/>
  <c r="DC105" i="28"/>
  <c r="DC104" i="28"/>
  <c r="DC103" i="28"/>
  <c r="DC102" i="28"/>
  <c r="DC101" i="28"/>
  <c r="DC99" i="28"/>
  <c r="DC100" i="28"/>
  <c r="DC96" i="28"/>
  <c r="DC95" i="28"/>
  <c r="DC93" i="28"/>
  <c r="DC98" i="28"/>
  <c r="DC97" i="28"/>
  <c r="DC94" i="28"/>
  <c r="DC92" i="28"/>
  <c r="DC91" i="28"/>
  <c r="DC90" i="28"/>
  <c r="DC89" i="28"/>
  <c r="DC88" i="28"/>
  <c r="DC87" i="28"/>
  <c r="DC85" i="28"/>
  <c r="DC86" i="28"/>
  <c r="DC80" i="28"/>
  <c r="DC78" i="28"/>
  <c r="DC84" i="28"/>
  <c r="DC83" i="28"/>
  <c r="DC82" i="28"/>
  <c r="DC81" i="28"/>
  <c r="DC77" i="28"/>
  <c r="DC73" i="28"/>
  <c r="DC70" i="28"/>
  <c r="DC68" i="28"/>
  <c r="DC66" i="28"/>
  <c r="DC79" i="28"/>
  <c r="DC72" i="28"/>
  <c r="DC76" i="28"/>
  <c r="DC75" i="28"/>
  <c r="DC74" i="28"/>
  <c r="DC71" i="28"/>
  <c r="DC69" i="28"/>
  <c r="DC67" i="28"/>
  <c r="DC65" i="28"/>
  <c r="DC62" i="28"/>
  <c r="DC60" i="28"/>
  <c r="DC63" i="28"/>
  <c r="DC61" i="28"/>
  <c r="DC59" i="28"/>
  <c r="DC64" i="28"/>
  <c r="DC58" i="28"/>
  <c r="DC45" i="28"/>
  <c r="DC43" i="28"/>
  <c r="DC57" i="28"/>
  <c r="DC56" i="28"/>
  <c r="DC55" i="28"/>
  <c r="DC54" i="28"/>
  <c r="DC53" i="28"/>
  <c r="DC52" i="28"/>
  <c r="DC51" i="28"/>
  <c r="DC50" i="28"/>
  <c r="DC49" i="28"/>
  <c r="DC48" i="28"/>
  <c r="DC47" i="28"/>
  <c r="DC46" i="28"/>
  <c r="DC44" i="28"/>
  <c r="DC42" i="28"/>
  <c r="DC38" i="28"/>
  <c r="DC36" i="28"/>
  <c r="DC34" i="28"/>
  <c r="DC32" i="28"/>
  <c r="DC40" i="28"/>
  <c r="DC39" i="28"/>
  <c r="DC37" i="28"/>
  <c r="DC35" i="28"/>
  <c r="DC33" i="28"/>
  <c r="DC31" i="28"/>
  <c r="DC41" i="28"/>
  <c r="DC28" i="28"/>
  <c r="DC26" i="28"/>
  <c r="DC24" i="28"/>
  <c r="DC30" i="28"/>
  <c r="DC29" i="28"/>
  <c r="DC27" i="28"/>
  <c r="DC25" i="28"/>
  <c r="DC23" i="28"/>
  <c r="DC10" i="28"/>
  <c r="DC14" i="28"/>
  <c r="DC9" i="28"/>
  <c r="DC7" i="28"/>
  <c r="DC8" i="28"/>
  <c r="DC4" i="28"/>
  <c r="DC13" i="28"/>
  <c r="DC11" i="28"/>
  <c r="DC5" i="28"/>
  <c r="DC3" i="28"/>
  <c r="DC22" i="28"/>
  <c r="DC21" i="28"/>
  <c r="DC20" i="28"/>
  <c r="DC19" i="28"/>
  <c r="DC18" i="28"/>
  <c r="DC17" i="28"/>
  <c r="DC16" i="28"/>
  <c r="DC15" i="28"/>
  <c r="DC12" i="28"/>
  <c r="DC6" i="28"/>
  <c r="CM109" i="28"/>
  <c r="CM108" i="28"/>
  <c r="CM107" i="28"/>
  <c r="CM106" i="28"/>
  <c r="CM105" i="28"/>
  <c r="CM104" i="28"/>
  <c r="CM103" i="28"/>
  <c r="CM102" i="28"/>
  <c r="CM101" i="28"/>
  <c r="CM99" i="28"/>
  <c r="CM100" i="28"/>
  <c r="CM96" i="28"/>
  <c r="CM95" i="28"/>
  <c r="CM93" i="28"/>
  <c r="CM98" i="28"/>
  <c r="CM97" i="28"/>
  <c r="CM94" i="28"/>
  <c r="CM92" i="28"/>
  <c r="CM91" i="28"/>
  <c r="CM90" i="28"/>
  <c r="CM89" i="28"/>
  <c r="CM88" i="28"/>
  <c r="CM87" i="28"/>
  <c r="CM85" i="28"/>
  <c r="CM86" i="28"/>
  <c r="CM80" i="28"/>
  <c r="CM78" i="28"/>
  <c r="CM84" i="28"/>
  <c r="CM83" i="28"/>
  <c r="CM82" i="28"/>
  <c r="CM81" i="28"/>
  <c r="CM77" i="28"/>
  <c r="CM73" i="28"/>
  <c r="CM70" i="28"/>
  <c r="CM68" i="28"/>
  <c r="CM66" i="28"/>
  <c r="CM79" i="28"/>
  <c r="CM72" i="28"/>
  <c r="CM76" i="28"/>
  <c r="CM75" i="28"/>
  <c r="CM74" i="28"/>
  <c r="CM71" i="28"/>
  <c r="CM69" i="28"/>
  <c r="CM67" i="28"/>
  <c r="CM65" i="28"/>
  <c r="CM62" i="28"/>
  <c r="CM60" i="28"/>
  <c r="CM63" i="28"/>
  <c r="CM61" i="28"/>
  <c r="CM59" i="28"/>
  <c r="CM64" i="28"/>
  <c r="CM58" i="28"/>
  <c r="CM45" i="28"/>
  <c r="CM43" i="28"/>
  <c r="CM57" i="28"/>
  <c r="CM56" i="28"/>
  <c r="CM55" i="28"/>
  <c r="CM54" i="28"/>
  <c r="CM53" i="28"/>
  <c r="CM52" i="28"/>
  <c r="CM51" i="28"/>
  <c r="CM50" i="28"/>
  <c r="CM49" i="28"/>
  <c r="CM48" i="28"/>
  <c r="CM47" i="28"/>
  <c r="CM46" i="28"/>
  <c r="CM44" i="28"/>
  <c r="CM42" i="28"/>
  <c r="CM38" i="28"/>
  <c r="CM36" i="28"/>
  <c r="CM34" i="28"/>
  <c r="CM32" i="28"/>
  <c r="CM40" i="28"/>
  <c r="CM39" i="28"/>
  <c r="CM37" i="28"/>
  <c r="CM35" i="28"/>
  <c r="CM33" i="28"/>
  <c r="CM31" i="28"/>
  <c r="CM41" i="28"/>
  <c r="CM28" i="28"/>
  <c r="CM26" i="28"/>
  <c r="CM24" i="28"/>
  <c r="CM30" i="28"/>
  <c r="CM29" i="28"/>
  <c r="CM27" i="28"/>
  <c r="CM25" i="28"/>
  <c r="CM23" i="28"/>
  <c r="CM10" i="28"/>
  <c r="CM14" i="28"/>
  <c r="CM9" i="28"/>
  <c r="CM7" i="28"/>
  <c r="CM8" i="28"/>
  <c r="CM4" i="28"/>
  <c r="CM13" i="28"/>
  <c r="CM11" i="28"/>
  <c r="CM5" i="28"/>
  <c r="CM3" i="28"/>
  <c r="CM22" i="28"/>
  <c r="CM21" i="28"/>
  <c r="CM20" i="28"/>
  <c r="CM19" i="28"/>
  <c r="CM18" i="28"/>
  <c r="CM17" i="28"/>
  <c r="CM16" i="28"/>
  <c r="CM15" i="28"/>
  <c r="CM12" i="28"/>
  <c r="CM6" i="28"/>
  <c r="BW109" i="28"/>
  <c r="BW108" i="28"/>
  <c r="BW107" i="28"/>
  <c r="BW106" i="28"/>
  <c r="BW105" i="28"/>
  <c r="BW104" i="28"/>
  <c r="BW103" i="28"/>
  <c r="BW102" i="28"/>
  <c r="BW101" i="28"/>
  <c r="BW99" i="28"/>
  <c r="BW100" i="28"/>
  <c r="BW96" i="28"/>
  <c r="BW95" i="28"/>
  <c r="BW93" i="28"/>
  <c r="BW98" i="28"/>
  <c r="BW97" i="28"/>
  <c r="BW94" i="28"/>
  <c r="BW92" i="28"/>
  <c r="BW91" i="28"/>
  <c r="BW90" i="28"/>
  <c r="BW89" i="28"/>
  <c r="BW88" i="28"/>
  <c r="BW87" i="28"/>
  <c r="BW85" i="28"/>
  <c r="BW86" i="28"/>
  <c r="BW80" i="28"/>
  <c r="BW78" i="28"/>
  <c r="BW84" i="28"/>
  <c r="BW83" i="28"/>
  <c r="BW82" i="28"/>
  <c r="BW81" i="28"/>
  <c r="BW77" i="28"/>
  <c r="BW73" i="28"/>
  <c r="BW70" i="28"/>
  <c r="BW68" i="28"/>
  <c r="BW66" i="28"/>
  <c r="BW79" i="28"/>
  <c r="BW72" i="28"/>
  <c r="BW76" i="28"/>
  <c r="BW75" i="28"/>
  <c r="BW74" i="28"/>
  <c r="BW71" i="28"/>
  <c r="BW69" i="28"/>
  <c r="BW67" i="28"/>
  <c r="BW65" i="28"/>
  <c r="BW62" i="28"/>
  <c r="BW60" i="28"/>
  <c r="BW63" i="28"/>
  <c r="BW61" i="28"/>
  <c r="BW59" i="28"/>
  <c r="BW64" i="28"/>
  <c r="BW58" i="28"/>
  <c r="BW45" i="28"/>
  <c r="BW43" i="28"/>
  <c r="BW57" i="28"/>
  <c r="BW56" i="28"/>
  <c r="BW55" i="28"/>
  <c r="BW54" i="28"/>
  <c r="BW53" i="28"/>
  <c r="BW52" i="28"/>
  <c r="BW51" i="28"/>
  <c r="BW50" i="28"/>
  <c r="BW49" i="28"/>
  <c r="BW48" i="28"/>
  <c r="BW47" i="28"/>
  <c r="BW46" i="28"/>
  <c r="BW44" i="28"/>
  <c r="BW42" i="28"/>
  <c r="BW38" i="28"/>
  <c r="BW36" i="28"/>
  <c r="BW34" i="28"/>
  <c r="BW32" i="28"/>
  <c r="BW40" i="28"/>
  <c r="BW39" i="28"/>
  <c r="BW37" i="28"/>
  <c r="BW35" i="28"/>
  <c r="BW33" i="28"/>
  <c r="BW31" i="28"/>
  <c r="BW28" i="28"/>
  <c r="BW26" i="28"/>
  <c r="BW24" i="28"/>
  <c r="BW41" i="28"/>
  <c r="BW30" i="28"/>
  <c r="BW29" i="28"/>
  <c r="BW27" i="28"/>
  <c r="BW25" i="28"/>
  <c r="BW23" i="28"/>
  <c r="BW10" i="28"/>
  <c r="BW14" i="28"/>
  <c r="BW9" i="28"/>
  <c r="BW7" i="28"/>
  <c r="BW8" i="28"/>
  <c r="BW4" i="28"/>
  <c r="BW13" i="28"/>
  <c r="BW11" i="28"/>
  <c r="BW5" i="28"/>
  <c r="BW3" i="28"/>
  <c r="BW22" i="28"/>
  <c r="BW21" i="28"/>
  <c r="BW20" i="28"/>
  <c r="BW19" i="28"/>
  <c r="BW18" i="28"/>
  <c r="BW17" i="28"/>
  <c r="BW16" i="28"/>
  <c r="BW15" i="28"/>
  <c r="BW12" i="28"/>
  <c r="BW6" i="28"/>
  <c r="BG109" i="28"/>
  <c r="BG106" i="28"/>
  <c r="BG107" i="28"/>
  <c r="BG108" i="28"/>
  <c r="BG105" i="28"/>
  <c r="BG104" i="28"/>
  <c r="BG103" i="28"/>
  <c r="BG102" i="28"/>
  <c r="BG101" i="28"/>
  <c r="BG99" i="28"/>
  <c r="BG100" i="28"/>
  <c r="BG95" i="28"/>
  <c r="BG93" i="28"/>
  <c r="BG98" i="28"/>
  <c r="BG96" i="28"/>
  <c r="BG97" i="28"/>
  <c r="BG94" i="28"/>
  <c r="BG92" i="28"/>
  <c r="BG91" i="28"/>
  <c r="BG90" i="28"/>
  <c r="BG89" i="28"/>
  <c r="BG88" i="28"/>
  <c r="BG87" i="28"/>
  <c r="BG85" i="28"/>
  <c r="BG86" i="28"/>
  <c r="BG80" i="28"/>
  <c r="BG78" i="28"/>
  <c r="BG84" i="28"/>
  <c r="BG83" i="28"/>
  <c r="BG82" i="28"/>
  <c r="BG81" i="28"/>
  <c r="BG77" i="28"/>
  <c r="BG73" i="28"/>
  <c r="BG70" i="28"/>
  <c r="BG68" i="28"/>
  <c r="BG66" i="28"/>
  <c r="BG79" i="28"/>
  <c r="BG72" i="28"/>
  <c r="BG76" i="28"/>
  <c r="BG75" i="28"/>
  <c r="BG74" i="28"/>
  <c r="BG71" i="28"/>
  <c r="BG69" i="28"/>
  <c r="BG67" i="28"/>
  <c r="BG65" i="28"/>
  <c r="BG62" i="28"/>
  <c r="BG60" i="28"/>
  <c r="BG63" i="28"/>
  <c r="BG61" i="28"/>
  <c r="BG59" i="28"/>
  <c r="BG64" i="28"/>
  <c r="BG58" i="28"/>
  <c r="BG45" i="28"/>
  <c r="BG43" i="28"/>
  <c r="BG57" i="28"/>
  <c r="BG56" i="28"/>
  <c r="BG55" i="28"/>
  <c r="BG54" i="28"/>
  <c r="BG53" i="28"/>
  <c r="BG52" i="28"/>
  <c r="BG51" i="28"/>
  <c r="BG50" i="28"/>
  <c r="BG49" i="28"/>
  <c r="BG48" i="28"/>
  <c r="BG47" i="28"/>
  <c r="BG46" i="28"/>
  <c r="BG44" i="28"/>
  <c r="BG42" i="28"/>
  <c r="BG38" i="28"/>
  <c r="BG36" i="28"/>
  <c r="BG34" i="28"/>
  <c r="BG32" i="28"/>
  <c r="BG40" i="28"/>
  <c r="BG39" i="28"/>
  <c r="BG37" i="28"/>
  <c r="BG35" i="28"/>
  <c r="BG33" i="28"/>
  <c r="BG31" i="28"/>
  <c r="BG28" i="28"/>
  <c r="BG26" i="28"/>
  <c r="BG24" i="28"/>
  <c r="BG41" i="28"/>
  <c r="BG30" i="28"/>
  <c r="BG29" i="28"/>
  <c r="BG27" i="28"/>
  <c r="BG25" i="28"/>
  <c r="BG23" i="28"/>
  <c r="BG10" i="28"/>
  <c r="BG14" i="28"/>
  <c r="BG9" i="28"/>
  <c r="BG7" i="28"/>
  <c r="BG8" i="28"/>
  <c r="BG4" i="28"/>
  <c r="BG13" i="28"/>
  <c r="BG11" i="28"/>
  <c r="BG5" i="28"/>
  <c r="BG3" i="28"/>
  <c r="BG22" i="28"/>
  <c r="BG21" i="28"/>
  <c r="BG20" i="28"/>
  <c r="BG19" i="28"/>
  <c r="BG18" i="28"/>
  <c r="BG17" i="28"/>
  <c r="BG16" i="28"/>
  <c r="BG15" i="28"/>
  <c r="BG12" i="28"/>
  <c r="BG6" i="28"/>
  <c r="AQ109" i="28"/>
  <c r="AQ106" i="28"/>
  <c r="AQ108" i="28"/>
  <c r="AQ107" i="28"/>
  <c r="AQ105" i="28"/>
  <c r="AQ104" i="28"/>
  <c r="AQ103" i="28"/>
  <c r="AQ102" i="28"/>
  <c r="AQ101" i="28"/>
  <c r="AQ99" i="28"/>
  <c r="AQ100" i="28"/>
  <c r="AQ95" i="28"/>
  <c r="AQ93" i="28"/>
  <c r="AQ98" i="28"/>
  <c r="AQ96" i="28"/>
  <c r="AQ97" i="28"/>
  <c r="AQ94" i="28"/>
  <c r="AQ92" i="28"/>
  <c r="AQ91" i="28"/>
  <c r="AQ90" i="28"/>
  <c r="AQ89" i="28"/>
  <c r="AQ88" i="28"/>
  <c r="AQ87" i="28"/>
  <c r="AQ85" i="28"/>
  <c r="AQ86" i="28"/>
  <c r="AQ80" i="28"/>
  <c r="AQ78" i="28"/>
  <c r="AQ84" i="28"/>
  <c r="AQ83" i="28"/>
  <c r="AQ82" i="28"/>
  <c r="AQ81" i="28"/>
  <c r="AQ77" i="28"/>
  <c r="AQ73" i="28"/>
  <c r="AQ70" i="28"/>
  <c r="AQ68" i="28"/>
  <c r="AQ66" i="28"/>
  <c r="AQ79" i="28"/>
  <c r="AQ72" i="28"/>
  <c r="AQ76" i="28"/>
  <c r="AQ75" i="28"/>
  <c r="AQ74" i="28"/>
  <c r="AQ71" i="28"/>
  <c r="AQ69" i="28"/>
  <c r="AQ67" i="28"/>
  <c r="AQ65" i="28"/>
  <c r="AQ64" i="28"/>
  <c r="AQ62" i="28"/>
  <c r="AQ60" i="28"/>
  <c r="AQ63" i="28"/>
  <c r="AQ61" i="28"/>
  <c r="AQ59" i="28"/>
  <c r="AQ58" i="28"/>
  <c r="AQ45" i="28"/>
  <c r="AQ43" i="28"/>
  <c r="AQ57" i="28"/>
  <c r="AQ56" i="28"/>
  <c r="AQ55" i="28"/>
  <c r="AQ54" i="28"/>
  <c r="AQ53" i="28"/>
  <c r="AQ52" i="28"/>
  <c r="AQ51" i="28"/>
  <c r="AQ50" i="28"/>
  <c r="AQ49" i="28"/>
  <c r="AQ48" i="28"/>
  <c r="AQ47" i="28"/>
  <c r="AQ46" i="28"/>
  <c r="AQ44" i="28"/>
  <c r="AQ42" i="28"/>
  <c r="AQ38" i="28"/>
  <c r="AQ36" i="28"/>
  <c r="AQ34" i="28"/>
  <c r="AQ32" i="28"/>
  <c r="AQ40" i="28"/>
  <c r="AQ39" i="28"/>
  <c r="AQ37" i="28"/>
  <c r="AQ35" i="28"/>
  <c r="AQ33" i="28"/>
  <c r="AQ31" i="28"/>
  <c r="AQ41" i="28"/>
  <c r="AQ28" i="28"/>
  <c r="AQ26" i="28"/>
  <c r="AQ24" i="28"/>
  <c r="AQ30" i="28"/>
  <c r="AQ29" i="28"/>
  <c r="AQ27" i="28"/>
  <c r="AQ25" i="28"/>
  <c r="AQ23" i="28"/>
  <c r="AQ10" i="28"/>
  <c r="AQ14" i="28"/>
  <c r="AQ9" i="28"/>
  <c r="AQ7" i="28"/>
  <c r="AQ12" i="28"/>
  <c r="AQ8" i="28"/>
  <c r="AQ4" i="28"/>
  <c r="AQ13" i="28"/>
  <c r="AQ11" i="28"/>
  <c r="AQ5" i="28"/>
  <c r="AQ3" i="28"/>
  <c r="AQ22" i="28"/>
  <c r="AQ21" i="28"/>
  <c r="AQ20" i="28"/>
  <c r="AQ19" i="28"/>
  <c r="AQ18" i="28"/>
  <c r="AQ17" i="28"/>
  <c r="AQ16" i="28"/>
  <c r="AQ15" i="28"/>
  <c r="AQ6" i="28"/>
  <c r="AA109" i="28"/>
  <c r="AA108" i="28"/>
  <c r="AA106" i="28"/>
  <c r="AA107" i="28"/>
  <c r="AA105" i="28"/>
  <c r="AA104" i="28"/>
  <c r="AA103" i="28"/>
  <c r="AA102" i="28"/>
  <c r="AA101" i="28"/>
  <c r="AA99" i="28"/>
  <c r="AA100" i="28"/>
  <c r="AA95" i="28"/>
  <c r="AA93" i="28"/>
  <c r="AA98" i="28"/>
  <c r="AA96" i="28"/>
  <c r="AA97" i="28"/>
  <c r="AA94" i="28"/>
  <c r="AA92" i="28"/>
  <c r="AA91" i="28"/>
  <c r="AA90" i="28"/>
  <c r="AA89" i="28"/>
  <c r="AA88" i="28"/>
  <c r="AA87" i="28"/>
  <c r="AA86" i="28"/>
  <c r="AA80" i="28"/>
  <c r="AA78" i="28"/>
  <c r="AA85" i="28"/>
  <c r="AA84" i="28"/>
  <c r="AA83" i="28"/>
  <c r="AA82" i="28"/>
  <c r="AA81" i="28"/>
  <c r="AA77" i="28"/>
  <c r="AA73" i="28"/>
  <c r="AA70" i="28"/>
  <c r="AA68" i="28"/>
  <c r="AA66" i="28"/>
  <c r="AA79" i="28"/>
  <c r="AA72" i="28"/>
  <c r="AA76" i="28"/>
  <c r="AA75" i="28"/>
  <c r="AA74" i="28"/>
  <c r="AA71" i="28"/>
  <c r="AA69" i="28"/>
  <c r="AA67" i="28"/>
  <c r="AA65" i="28"/>
  <c r="AA64" i="28"/>
  <c r="AA62" i="28"/>
  <c r="AA60" i="28"/>
  <c r="AA63" i="28"/>
  <c r="AA61" i="28"/>
  <c r="AA59" i="28"/>
  <c r="AA58" i="28"/>
  <c r="AA45" i="28"/>
  <c r="AA43" i="28"/>
  <c r="AA57" i="28"/>
  <c r="AA56" i="28"/>
  <c r="AA55" i="28"/>
  <c r="AA54" i="28"/>
  <c r="AA53" i="28"/>
  <c r="AA52" i="28"/>
  <c r="AA51" i="28"/>
  <c r="AA50" i="28"/>
  <c r="AA49" i="28"/>
  <c r="AA48" i="28"/>
  <c r="AA47" i="28"/>
  <c r="AA46" i="28"/>
  <c r="AA44" i="28"/>
  <c r="AA42" i="28"/>
  <c r="AA40" i="28"/>
  <c r="AA38" i="28"/>
  <c r="AA36" i="28"/>
  <c r="AA34" i="28"/>
  <c r="AA32" i="28"/>
  <c r="AA39" i="28"/>
  <c r="AA37" i="28"/>
  <c r="AA35" i="28"/>
  <c r="AA33" i="28"/>
  <c r="AA31" i="28"/>
  <c r="AA41" i="28"/>
  <c r="AA28" i="28"/>
  <c r="AA26" i="28"/>
  <c r="AA24" i="28"/>
  <c r="AA30" i="28"/>
  <c r="AA29" i="28"/>
  <c r="AA27" i="28"/>
  <c r="AA25" i="28"/>
  <c r="AA23" i="28"/>
  <c r="AA10" i="28"/>
  <c r="AA14" i="28"/>
  <c r="AA9" i="28"/>
  <c r="AA7" i="28"/>
  <c r="AA12" i="28"/>
  <c r="AA8" i="28"/>
  <c r="AA4" i="28"/>
  <c r="AA13" i="28"/>
  <c r="AA11" i="28"/>
  <c r="AA5" i="28"/>
  <c r="AA3" i="28"/>
  <c r="AA22" i="28"/>
  <c r="AA21" i="28"/>
  <c r="AA20" i="28"/>
  <c r="AA19" i="28"/>
  <c r="AA18" i="28"/>
  <c r="AA17" i="28"/>
  <c r="AA16" i="28"/>
  <c r="AA15" i="28"/>
  <c r="AA6" i="28"/>
  <c r="K109" i="28"/>
  <c r="K108" i="28"/>
  <c r="K106" i="28"/>
  <c r="K107" i="28"/>
  <c r="K105" i="28"/>
  <c r="K104" i="28"/>
  <c r="K103" i="28"/>
  <c r="K102" i="28"/>
  <c r="K101" i="28"/>
  <c r="K99" i="28"/>
  <c r="K100" i="28"/>
  <c r="K95" i="28"/>
  <c r="K93" i="28"/>
  <c r="K98" i="28"/>
  <c r="K96" i="28"/>
  <c r="K97" i="28"/>
  <c r="K94" i="28"/>
  <c r="K92" i="28"/>
  <c r="K91" i="28"/>
  <c r="K90" i="28"/>
  <c r="K89" i="28"/>
  <c r="K88" i="28"/>
  <c r="K87" i="28"/>
  <c r="K86" i="28"/>
  <c r="K80" i="28"/>
  <c r="K78" i="28"/>
  <c r="K85" i="28"/>
  <c r="K84" i="28"/>
  <c r="K83" i="28"/>
  <c r="K82" i="28"/>
  <c r="K81" i="28"/>
  <c r="K77" i="28"/>
  <c r="K73" i="28"/>
  <c r="K70" i="28"/>
  <c r="K68" i="28"/>
  <c r="K66" i="28"/>
  <c r="K79" i="28"/>
  <c r="K72" i="28"/>
  <c r="K76" i="28"/>
  <c r="K75" i="28"/>
  <c r="K74" i="28"/>
  <c r="K71" i="28"/>
  <c r="K69" i="28"/>
  <c r="K67" i="28"/>
  <c r="K65" i="28"/>
  <c r="K64" i="28"/>
  <c r="K62" i="28"/>
  <c r="K60" i="28"/>
  <c r="K63" i="28"/>
  <c r="K61" i="28"/>
  <c r="K59" i="28"/>
  <c r="K58" i="28"/>
  <c r="K45" i="28"/>
  <c r="K43" i="28"/>
  <c r="K57" i="28"/>
  <c r="K56" i="28"/>
  <c r="K55" i="28"/>
  <c r="K54" i="28"/>
  <c r="K53" i="28"/>
  <c r="K52" i="28"/>
  <c r="K51" i="28"/>
  <c r="K50" i="28"/>
  <c r="K49" i="28"/>
  <c r="K48" i="28"/>
  <c r="K47" i="28"/>
  <c r="K46" i="28"/>
  <c r="K44" i="28"/>
  <c r="K42" i="28"/>
  <c r="K40" i="28"/>
  <c r="K38" i="28"/>
  <c r="K36" i="28"/>
  <c r="K34" i="28"/>
  <c r="K39" i="28"/>
  <c r="K37" i="28"/>
  <c r="K35" i="28"/>
  <c r="K33" i="28"/>
  <c r="K31" i="28"/>
  <c r="K32" i="28"/>
  <c r="K28" i="28"/>
  <c r="K26" i="28"/>
  <c r="K24" i="28"/>
  <c r="K41" i="28"/>
  <c r="K30" i="28"/>
  <c r="K29" i="28"/>
  <c r="K27" i="28"/>
  <c r="K25" i="28"/>
  <c r="K23" i="28"/>
  <c r="K10" i="28"/>
  <c r="K14" i="28"/>
  <c r="K9" i="28"/>
  <c r="K7" i="28"/>
  <c r="K12" i="28"/>
  <c r="K8" i="28"/>
  <c r="K13" i="28"/>
  <c r="K11" i="28"/>
  <c r="K5" i="28"/>
  <c r="K3" i="28"/>
  <c r="K22" i="28"/>
  <c r="K21" i="28"/>
  <c r="K20" i="28"/>
  <c r="K19" i="28"/>
  <c r="K18" i="28"/>
  <c r="K17" i="28"/>
  <c r="K16" i="28"/>
  <c r="K15" i="28"/>
  <c r="K6" i="28"/>
  <c r="K4" i="28"/>
  <c r="DB109" i="28"/>
  <c r="DB108" i="28"/>
  <c r="DB107" i="28"/>
  <c r="DB106" i="28"/>
  <c r="DB105" i="28"/>
  <c r="DB102" i="28"/>
  <c r="DB104" i="28"/>
  <c r="DB103" i="28"/>
  <c r="DB100" i="28"/>
  <c r="DB98" i="28"/>
  <c r="DB96" i="28"/>
  <c r="DB101" i="28"/>
  <c r="DB99" i="28"/>
  <c r="DB97" i="28"/>
  <c r="DB95" i="28"/>
  <c r="DB93" i="28"/>
  <c r="DB94" i="28"/>
  <c r="DB92" i="28"/>
  <c r="DB90" i="28"/>
  <c r="DB88" i="28"/>
  <c r="DB87" i="28"/>
  <c r="DB85" i="28"/>
  <c r="DB83" i="28"/>
  <c r="DB81" i="28"/>
  <c r="DB89" i="28"/>
  <c r="DB86" i="28"/>
  <c r="DB84" i="28"/>
  <c r="DB82" i="28"/>
  <c r="DB80" i="28"/>
  <c r="DB91" i="28"/>
  <c r="DB79" i="28"/>
  <c r="DB77" i="28"/>
  <c r="DB75" i="28"/>
  <c r="DB73" i="28"/>
  <c r="DB78" i="28"/>
  <c r="DB76" i="28"/>
  <c r="DB74" i="28"/>
  <c r="DB70" i="28"/>
  <c r="DB72" i="28"/>
  <c r="DB69" i="28"/>
  <c r="DB65" i="28"/>
  <c r="DB64" i="28"/>
  <c r="DB68" i="28"/>
  <c r="DB62" i="28"/>
  <c r="DB60" i="28"/>
  <c r="DB58" i="28"/>
  <c r="DB56" i="28"/>
  <c r="DB54" i="28"/>
  <c r="DB52" i="28"/>
  <c r="DB50" i="28"/>
  <c r="DB48" i="28"/>
  <c r="DB46" i="28"/>
  <c r="DB71" i="28"/>
  <c r="DB67" i="28"/>
  <c r="DB66" i="28"/>
  <c r="DB63" i="28"/>
  <c r="DB61" i="28"/>
  <c r="DB59" i="28"/>
  <c r="DB57" i="28"/>
  <c r="DB55" i="28"/>
  <c r="DB53" i="28"/>
  <c r="DB51" i="28"/>
  <c r="DB49" i="28"/>
  <c r="DB47" i="28"/>
  <c r="DB45" i="28"/>
  <c r="DB43" i="28"/>
  <c r="DB41" i="28"/>
  <c r="DB44" i="28"/>
  <c r="DB40" i="28"/>
  <c r="DB39" i="28"/>
  <c r="DB42" i="28"/>
  <c r="DB38" i="28"/>
  <c r="DB34" i="28"/>
  <c r="DB30" i="28"/>
  <c r="DB29" i="28"/>
  <c r="DB27" i="28"/>
  <c r="DB25" i="28"/>
  <c r="DB23" i="28"/>
  <c r="DB21" i="28"/>
  <c r="DB19" i="28"/>
  <c r="DB17" i="28"/>
  <c r="DB15" i="28"/>
  <c r="DB37" i="28"/>
  <c r="DB33" i="28"/>
  <c r="DB36" i="28"/>
  <c r="DB32" i="28"/>
  <c r="DB31" i="28"/>
  <c r="DB28" i="28"/>
  <c r="DB26" i="28"/>
  <c r="DB24" i="28"/>
  <c r="DB22" i="28"/>
  <c r="DB20" i="28"/>
  <c r="DB18" i="28"/>
  <c r="DB16" i="28"/>
  <c r="DB14" i="28"/>
  <c r="DB12" i="28"/>
  <c r="DB35" i="28"/>
  <c r="DB10" i="28"/>
  <c r="DB8" i="28"/>
  <c r="DB6" i="28"/>
  <c r="DB4" i="28"/>
  <c r="DB13" i="28"/>
  <c r="DB11" i="28"/>
  <c r="DB9" i="28"/>
  <c r="DB7" i="28"/>
  <c r="DB5" i="28"/>
  <c r="DB3" i="28"/>
  <c r="CL109" i="28"/>
  <c r="CL108" i="28"/>
  <c r="CL107" i="28"/>
  <c r="CL106" i="28"/>
  <c r="CL105" i="28"/>
  <c r="CL104" i="28"/>
  <c r="CL102" i="28"/>
  <c r="CL103" i="28"/>
  <c r="CL100" i="28"/>
  <c r="CL98" i="28"/>
  <c r="CL96" i="28"/>
  <c r="CL101" i="28"/>
  <c r="CL99" i="28"/>
  <c r="CL97" i="28"/>
  <c r="CL95" i="28"/>
  <c r="CL93" i="28"/>
  <c r="CL94" i="28"/>
  <c r="CL92" i="28"/>
  <c r="CL90" i="28"/>
  <c r="CL88" i="28"/>
  <c r="CL87" i="28"/>
  <c r="CL85" i="28"/>
  <c r="CL83" i="28"/>
  <c r="CL81" i="28"/>
  <c r="CL89" i="28"/>
  <c r="CL86" i="28"/>
  <c r="CL84" i="28"/>
  <c r="CL82" i="28"/>
  <c r="CL80" i="28"/>
  <c r="CL91" i="28"/>
  <c r="CL79" i="28"/>
  <c r="CL77" i="28"/>
  <c r="CL75" i="28"/>
  <c r="CL73" i="28"/>
  <c r="CL78" i="28"/>
  <c r="CL76" i="28"/>
  <c r="CL74" i="28"/>
  <c r="CL70" i="28"/>
  <c r="CL72" i="28"/>
  <c r="CL69" i="28"/>
  <c r="CL65" i="28"/>
  <c r="CL64" i="28"/>
  <c r="CL68" i="28"/>
  <c r="CL62" i="28"/>
  <c r="CL60" i="28"/>
  <c r="CL58" i="28"/>
  <c r="CL56" i="28"/>
  <c r="CL54" i="28"/>
  <c r="CL52" i="28"/>
  <c r="CL50" i="28"/>
  <c r="CL48" i="28"/>
  <c r="CL46" i="28"/>
  <c r="CL71" i="28"/>
  <c r="CL67" i="28"/>
  <c r="CL66" i="28"/>
  <c r="CL63" i="28"/>
  <c r="CL61" i="28"/>
  <c r="CL59" i="28"/>
  <c r="CL57" i="28"/>
  <c r="CL55" i="28"/>
  <c r="CL53" i="28"/>
  <c r="CL51" i="28"/>
  <c r="CL49" i="28"/>
  <c r="CL47" i="28"/>
  <c r="CL45" i="28"/>
  <c r="CL43" i="28"/>
  <c r="CL41" i="28"/>
  <c r="CL44" i="28"/>
  <c r="CL40" i="28"/>
  <c r="CL39" i="28"/>
  <c r="CL38" i="28"/>
  <c r="CL34" i="28"/>
  <c r="CL30" i="28"/>
  <c r="CL29" i="28"/>
  <c r="CL27" i="28"/>
  <c r="CL25" i="28"/>
  <c r="CL23" i="28"/>
  <c r="CL21" i="28"/>
  <c r="CL19" i="28"/>
  <c r="CL17" i="28"/>
  <c r="CL15" i="28"/>
  <c r="CL37" i="28"/>
  <c r="CL33" i="28"/>
  <c r="CL36" i="28"/>
  <c r="CL32" i="28"/>
  <c r="CL31" i="28"/>
  <c r="CL28" i="28"/>
  <c r="CL26" i="28"/>
  <c r="CL24" i="28"/>
  <c r="CL22" i="28"/>
  <c r="CL20" i="28"/>
  <c r="CL18" i="28"/>
  <c r="CL16" i="28"/>
  <c r="CL14" i="28"/>
  <c r="CL12" i="28"/>
  <c r="CL42" i="28"/>
  <c r="CL35" i="28"/>
  <c r="CL10" i="28"/>
  <c r="CL8" i="28"/>
  <c r="CL6" i="28"/>
  <c r="CL4" i="28"/>
  <c r="CL13" i="28"/>
  <c r="CL11" i="28"/>
  <c r="CL9" i="28"/>
  <c r="CL7" i="28"/>
  <c r="CL5" i="28"/>
  <c r="CL3" i="28"/>
  <c r="BV109" i="28"/>
  <c r="BV108" i="28"/>
  <c r="BV107" i="28"/>
  <c r="BV106" i="28"/>
  <c r="BV105" i="28"/>
  <c r="BV104" i="28"/>
  <c r="BV102" i="28"/>
  <c r="BV103" i="28"/>
  <c r="BV100" i="28"/>
  <c r="BV98" i="28"/>
  <c r="BV96" i="28"/>
  <c r="BV101" i="28"/>
  <c r="BV99" i="28"/>
  <c r="BV97" i="28"/>
  <c r="BV95" i="28"/>
  <c r="BV93" i="28"/>
  <c r="BV94" i="28"/>
  <c r="BV92" i="28"/>
  <c r="BV90" i="28"/>
  <c r="BV88" i="28"/>
  <c r="BV87" i="28"/>
  <c r="BV85" i="28"/>
  <c r="BV83" i="28"/>
  <c r="BV81" i="28"/>
  <c r="BV89" i="28"/>
  <c r="BV86" i="28"/>
  <c r="BV84" i="28"/>
  <c r="BV82" i="28"/>
  <c r="BV80" i="28"/>
  <c r="BV91" i="28"/>
  <c r="BV79" i="28"/>
  <c r="BV77" i="28"/>
  <c r="BV75" i="28"/>
  <c r="BV73" i="28"/>
  <c r="BV78" i="28"/>
  <c r="BV76" i="28"/>
  <c r="BV74" i="28"/>
  <c r="BV70" i="28"/>
  <c r="BV72" i="28"/>
  <c r="BV69" i="28"/>
  <c r="BV65" i="28"/>
  <c r="BV64" i="28"/>
  <c r="BV68" i="28"/>
  <c r="BV62" i="28"/>
  <c r="BV60" i="28"/>
  <c r="BV58" i="28"/>
  <c r="BV56" i="28"/>
  <c r="BV54" i="28"/>
  <c r="BV52" i="28"/>
  <c r="BV50" i="28"/>
  <c r="BV48" i="28"/>
  <c r="BV46" i="28"/>
  <c r="BV71" i="28"/>
  <c r="BV67" i="28"/>
  <c r="BV66" i="28"/>
  <c r="BV63" i="28"/>
  <c r="BV61" i="28"/>
  <c r="BV59" i="28"/>
  <c r="BV57" i="28"/>
  <c r="BV55" i="28"/>
  <c r="BV53" i="28"/>
  <c r="BV51" i="28"/>
  <c r="BV49" i="28"/>
  <c r="BV47" i="28"/>
  <c r="BV45" i="28"/>
  <c r="BV43" i="28"/>
  <c r="BV41" i="28"/>
  <c r="BV44" i="28"/>
  <c r="BV40" i="28"/>
  <c r="BV39" i="28"/>
  <c r="BV38" i="28"/>
  <c r="BV34" i="28"/>
  <c r="BV30" i="28"/>
  <c r="BV29" i="28"/>
  <c r="BV27" i="28"/>
  <c r="BV25" i="28"/>
  <c r="BV23" i="28"/>
  <c r="BV21" i="28"/>
  <c r="BV19" i="28"/>
  <c r="BV17" i="28"/>
  <c r="BV15" i="28"/>
  <c r="BV37" i="28"/>
  <c r="BV33" i="28"/>
  <c r="BV42" i="28"/>
  <c r="BV36" i="28"/>
  <c r="BV32" i="28"/>
  <c r="BV31" i="28"/>
  <c r="BV28" i="28"/>
  <c r="BV26" i="28"/>
  <c r="BV24" i="28"/>
  <c r="BV22" i="28"/>
  <c r="BV20" i="28"/>
  <c r="BV18" i="28"/>
  <c r="BV16" i="28"/>
  <c r="BV14" i="28"/>
  <c r="BV12" i="28"/>
  <c r="BV35" i="28"/>
  <c r="BV10" i="28"/>
  <c r="BV8" i="28"/>
  <c r="BV6" i="28"/>
  <c r="BV4" i="28"/>
  <c r="BV13" i="28"/>
  <c r="BV11" i="28"/>
  <c r="BV9" i="28"/>
  <c r="BV7" i="28"/>
  <c r="BV5" i="28"/>
  <c r="BV3" i="28"/>
  <c r="BF109" i="28"/>
  <c r="BF108" i="28"/>
  <c r="BF107" i="28"/>
  <c r="BF105" i="28"/>
  <c r="BF106" i="28"/>
  <c r="BF104" i="28"/>
  <c r="BF102" i="28"/>
  <c r="BF103" i="28"/>
  <c r="BF100" i="28"/>
  <c r="BF98" i="28"/>
  <c r="BF101" i="28"/>
  <c r="BF99" i="28"/>
  <c r="BF97" i="28"/>
  <c r="BF95" i="28"/>
  <c r="BF93" i="28"/>
  <c r="BF96" i="28"/>
  <c r="BF94" i="28"/>
  <c r="BF92" i="28"/>
  <c r="BF90" i="28"/>
  <c r="BF87" i="28"/>
  <c r="BF85" i="28"/>
  <c r="BF83" i="28"/>
  <c r="BF81" i="28"/>
  <c r="BF89" i="28"/>
  <c r="BF88" i="28"/>
  <c r="BF86" i="28"/>
  <c r="BF84" i="28"/>
  <c r="BF82" i="28"/>
  <c r="BF80" i="28"/>
  <c r="BF91" i="28"/>
  <c r="BF79" i="28"/>
  <c r="BF77" i="28"/>
  <c r="BF75" i="28"/>
  <c r="BF73" i="28"/>
  <c r="BF78" i="28"/>
  <c r="BF76" i="28"/>
  <c r="BF74" i="28"/>
  <c r="BF70" i="28"/>
  <c r="BF72" i="28"/>
  <c r="BF69" i="28"/>
  <c r="BF65" i="28"/>
  <c r="BF64" i="28"/>
  <c r="BF68" i="28"/>
  <c r="BF62" i="28"/>
  <c r="BF60" i="28"/>
  <c r="BF58" i="28"/>
  <c r="BF56" i="28"/>
  <c r="BF54" i="28"/>
  <c r="BF52" i="28"/>
  <c r="BF50" i="28"/>
  <c r="BF48" i="28"/>
  <c r="BF46" i="28"/>
  <c r="BF71" i="28"/>
  <c r="BF67" i="28"/>
  <c r="BF66" i="28"/>
  <c r="BF63" i="28"/>
  <c r="BF61" i="28"/>
  <c r="BF59" i="28"/>
  <c r="BF57" i="28"/>
  <c r="BF55" i="28"/>
  <c r="BF53" i="28"/>
  <c r="BF51" i="28"/>
  <c r="BF49" i="28"/>
  <c r="BF47" i="28"/>
  <c r="BF45" i="28"/>
  <c r="BF43" i="28"/>
  <c r="BF41" i="28"/>
  <c r="BF44" i="28"/>
  <c r="BF40" i="28"/>
  <c r="BF39" i="28"/>
  <c r="BF38" i="28"/>
  <c r="BF34" i="28"/>
  <c r="BF30" i="28"/>
  <c r="BF29" i="28"/>
  <c r="BF27" i="28"/>
  <c r="BF25" i="28"/>
  <c r="BF23" i="28"/>
  <c r="BF21" i="28"/>
  <c r="BF19" i="28"/>
  <c r="BF17" i="28"/>
  <c r="BF15" i="28"/>
  <c r="BF42" i="28"/>
  <c r="BF37" i="28"/>
  <c r="BF33" i="28"/>
  <c r="BF36" i="28"/>
  <c r="BF32" i="28"/>
  <c r="BF31" i="28"/>
  <c r="BF28" i="28"/>
  <c r="BF26" i="28"/>
  <c r="BF24" i="28"/>
  <c r="BF22" i="28"/>
  <c r="BF20" i="28"/>
  <c r="BF18" i="28"/>
  <c r="BF16" i="28"/>
  <c r="BF14" i="28"/>
  <c r="BF12" i="28"/>
  <c r="BF35" i="28"/>
  <c r="BF10" i="28"/>
  <c r="BF8" i="28"/>
  <c r="BF6" i="28"/>
  <c r="BF4" i="28"/>
  <c r="BF13" i="28"/>
  <c r="BF11" i="28"/>
  <c r="BF9" i="28"/>
  <c r="BF7" i="28"/>
  <c r="BF5" i="28"/>
  <c r="BF3" i="28"/>
  <c r="AP109" i="28"/>
  <c r="AP108" i="28"/>
  <c r="AP107" i="28"/>
  <c r="AP105" i="28"/>
  <c r="AP106" i="28"/>
  <c r="AP104" i="28"/>
  <c r="AP102" i="28"/>
  <c r="AP103" i="28"/>
  <c r="AP100" i="28"/>
  <c r="AP98" i="28"/>
  <c r="AP101" i="28"/>
  <c r="AP99" i="28"/>
  <c r="AP97" i="28"/>
  <c r="AP95" i="28"/>
  <c r="AP93" i="28"/>
  <c r="AP96" i="28"/>
  <c r="AP94" i="28"/>
  <c r="AP92" i="28"/>
  <c r="AP90" i="28"/>
  <c r="AP87" i="28"/>
  <c r="AP85" i="28"/>
  <c r="AP83" i="28"/>
  <c r="AP81" i="28"/>
  <c r="AP89" i="28"/>
  <c r="AP88" i="28"/>
  <c r="AP86" i="28"/>
  <c r="AP84" i="28"/>
  <c r="AP82" i="28"/>
  <c r="AP80" i="28"/>
  <c r="AP91" i="28"/>
  <c r="AP79" i="28"/>
  <c r="AP77" i="28"/>
  <c r="AP75" i="28"/>
  <c r="AP73" i="28"/>
  <c r="AP78" i="28"/>
  <c r="AP76" i="28"/>
  <c r="AP74" i="28"/>
  <c r="AP70" i="28"/>
  <c r="AP72" i="28"/>
  <c r="AP69" i="28"/>
  <c r="AP65" i="28"/>
  <c r="AP68" i="28"/>
  <c r="AP64" i="28"/>
  <c r="AP62" i="28"/>
  <c r="AP60" i="28"/>
  <c r="AP58" i="28"/>
  <c r="AP56" i="28"/>
  <c r="AP54" i="28"/>
  <c r="AP52" i="28"/>
  <c r="AP50" i="28"/>
  <c r="AP48" i="28"/>
  <c r="AP46" i="28"/>
  <c r="AP71" i="28"/>
  <c r="AP67" i="28"/>
  <c r="AP66" i="28"/>
  <c r="AP63" i="28"/>
  <c r="AP61" i="28"/>
  <c r="AP59" i="28"/>
  <c r="AP57" i="28"/>
  <c r="AP55" i="28"/>
  <c r="AP53" i="28"/>
  <c r="AP51" i="28"/>
  <c r="AP49" i="28"/>
  <c r="AP47" i="28"/>
  <c r="AP45" i="28"/>
  <c r="AP43" i="28"/>
  <c r="AP41" i="28"/>
  <c r="AP44" i="28"/>
  <c r="AP40" i="28"/>
  <c r="AP39" i="28"/>
  <c r="AP42" i="28"/>
  <c r="AP38" i="28"/>
  <c r="AP34" i="28"/>
  <c r="AP30" i="28"/>
  <c r="AP29" i="28"/>
  <c r="AP27" i="28"/>
  <c r="AP25" i="28"/>
  <c r="AP23" i="28"/>
  <c r="AP21" i="28"/>
  <c r="AP19" i="28"/>
  <c r="AP17" i="28"/>
  <c r="AP15" i="28"/>
  <c r="AP37" i="28"/>
  <c r="AP33" i="28"/>
  <c r="AP36" i="28"/>
  <c r="AP32" i="28"/>
  <c r="AP31" i="28"/>
  <c r="AP28" i="28"/>
  <c r="AP26" i="28"/>
  <c r="AP24" i="28"/>
  <c r="AP22" i="28"/>
  <c r="AP20" i="28"/>
  <c r="AP18" i="28"/>
  <c r="AP16" i="28"/>
  <c r="AP14" i="28"/>
  <c r="AP35" i="28"/>
  <c r="AP12" i="28"/>
  <c r="AP10" i="28"/>
  <c r="AP8" i="28"/>
  <c r="AP6" i="28"/>
  <c r="AP4" i="28"/>
  <c r="AP13" i="28"/>
  <c r="AP11" i="28"/>
  <c r="AP9" i="28"/>
  <c r="AP7" i="28"/>
  <c r="AP5" i="28"/>
  <c r="AP3" i="28"/>
  <c r="Z109" i="28"/>
  <c r="Z108" i="28"/>
  <c r="Z107" i="28"/>
  <c r="Z105" i="28"/>
  <c r="Z106" i="28"/>
  <c r="Z104" i="28"/>
  <c r="Z102" i="28"/>
  <c r="Z103" i="28"/>
  <c r="Z100" i="28"/>
  <c r="Z98" i="28"/>
  <c r="Z101" i="28"/>
  <c r="Z99" i="28"/>
  <c r="Z97" i="28"/>
  <c r="Z95" i="28"/>
  <c r="Z93" i="28"/>
  <c r="Z96" i="28"/>
  <c r="Z94" i="28"/>
  <c r="Z92" i="28"/>
  <c r="Z90" i="28"/>
  <c r="Z87" i="28"/>
  <c r="Z85" i="28"/>
  <c r="Z83" i="28"/>
  <c r="Z81" i="28"/>
  <c r="Z89" i="28"/>
  <c r="Z88" i="28"/>
  <c r="Z86" i="28"/>
  <c r="Z84" i="28"/>
  <c r="Z82" i="28"/>
  <c r="Z80" i="28"/>
  <c r="Z91" i="28"/>
  <c r="Z79" i="28"/>
  <c r="Z77" i="28"/>
  <c r="Z75" i="28"/>
  <c r="Z73" i="28"/>
  <c r="Z78" i="28"/>
  <c r="Z76" i="28"/>
  <c r="Z74" i="28"/>
  <c r="Z70" i="28"/>
  <c r="Z72" i="28"/>
  <c r="Z69" i="28"/>
  <c r="Z65" i="28"/>
  <c r="Z68" i="28"/>
  <c r="Z64" i="28"/>
  <c r="Z62" i="28"/>
  <c r="Z60" i="28"/>
  <c r="Z58" i="28"/>
  <c r="Z56" i="28"/>
  <c r="Z54" i="28"/>
  <c r="Z52" i="28"/>
  <c r="Z50" i="28"/>
  <c r="Z48" i="28"/>
  <c r="Z46" i="28"/>
  <c r="Z71" i="28"/>
  <c r="Z67" i="28"/>
  <c r="Z66" i="28"/>
  <c r="Z63" i="28"/>
  <c r="Z61" i="28"/>
  <c r="Z59" i="28"/>
  <c r="Z57" i="28"/>
  <c r="Z55" i="28"/>
  <c r="Z53" i="28"/>
  <c r="Z51" i="28"/>
  <c r="Z49" i="28"/>
  <c r="Z47" i="28"/>
  <c r="Z45" i="28"/>
  <c r="Z43" i="28"/>
  <c r="Z41" i="28"/>
  <c r="Z44" i="28"/>
  <c r="Z39" i="28"/>
  <c r="Z38" i="28"/>
  <c r="Z34" i="28"/>
  <c r="Z30" i="28"/>
  <c r="Z29" i="28"/>
  <c r="Z27" i="28"/>
  <c r="Z25" i="28"/>
  <c r="Z23" i="28"/>
  <c r="Z21" i="28"/>
  <c r="Z19" i="28"/>
  <c r="Z17" i="28"/>
  <c r="Z15" i="28"/>
  <c r="Z37" i="28"/>
  <c r="Z33" i="28"/>
  <c r="Z40" i="28"/>
  <c r="Z36" i="28"/>
  <c r="Z32" i="28"/>
  <c r="Z31" i="28"/>
  <c r="Z28" i="28"/>
  <c r="Z26" i="28"/>
  <c r="Z24" i="28"/>
  <c r="Z22" i="28"/>
  <c r="Z20" i="28"/>
  <c r="Z18" i="28"/>
  <c r="Z16" i="28"/>
  <c r="Z14" i="28"/>
  <c r="Z42" i="28"/>
  <c r="Z35" i="28"/>
  <c r="Z12" i="28"/>
  <c r="Z10" i="28"/>
  <c r="Z8" i="28"/>
  <c r="Z6" i="28"/>
  <c r="Z4" i="28"/>
  <c r="Z13" i="28"/>
  <c r="Z11" i="28"/>
  <c r="Z9" i="28"/>
  <c r="Z7" i="28"/>
  <c r="Z5" i="28"/>
  <c r="Z3" i="28"/>
  <c r="J109" i="28"/>
  <c r="J108" i="28"/>
  <c r="J107" i="28"/>
  <c r="J105" i="28"/>
  <c r="J106" i="28"/>
  <c r="J104" i="28"/>
  <c r="J102" i="28"/>
  <c r="J103" i="28"/>
  <c r="J100" i="28"/>
  <c r="J98" i="28"/>
  <c r="J101" i="28"/>
  <c r="J99" i="28"/>
  <c r="J97" i="28"/>
  <c r="J95" i="28"/>
  <c r="J93" i="28"/>
  <c r="J96" i="28"/>
  <c r="J94" i="28"/>
  <c r="J92" i="28"/>
  <c r="J90" i="28"/>
  <c r="J87" i="28"/>
  <c r="J85" i="28"/>
  <c r="J83" i="28"/>
  <c r="J81" i="28"/>
  <c r="J89" i="28"/>
  <c r="J88" i="28"/>
  <c r="J86" i="28"/>
  <c r="J84" i="28"/>
  <c r="J82" i="28"/>
  <c r="J80" i="28"/>
  <c r="J91" i="28"/>
  <c r="J79" i="28"/>
  <c r="J77" i="28"/>
  <c r="J75" i="28"/>
  <c r="J73" i="28"/>
  <c r="J78" i="28"/>
  <c r="J76" i="28"/>
  <c r="J74" i="28"/>
  <c r="J70" i="28"/>
  <c r="J72" i="28"/>
  <c r="J69" i="28"/>
  <c r="J65" i="28"/>
  <c r="J68" i="28"/>
  <c r="J64" i="28"/>
  <c r="J62" i="28"/>
  <c r="J60" i="28"/>
  <c r="J58" i="28"/>
  <c r="J56" i="28"/>
  <c r="J54" i="28"/>
  <c r="J52" i="28"/>
  <c r="J50" i="28"/>
  <c r="J48" i="28"/>
  <c r="J46" i="28"/>
  <c r="J71" i="28"/>
  <c r="J67" i="28"/>
  <c r="J66" i="28"/>
  <c r="J63" i="28"/>
  <c r="J61" i="28"/>
  <c r="J59" i="28"/>
  <c r="J57" i="28"/>
  <c r="J55" i="28"/>
  <c r="J53" i="28"/>
  <c r="J51" i="28"/>
  <c r="J49" i="28"/>
  <c r="J47" i="28"/>
  <c r="J45" i="28"/>
  <c r="J43" i="28"/>
  <c r="J41" i="28"/>
  <c r="J44" i="28"/>
  <c r="J39" i="28"/>
  <c r="J38" i="28"/>
  <c r="J34" i="28"/>
  <c r="J30" i="28"/>
  <c r="J29" i="28"/>
  <c r="J27" i="28"/>
  <c r="J25" i="28"/>
  <c r="J23" i="28"/>
  <c r="J21" i="28"/>
  <c r="J19" i="28"/>
  <c r="J17" i="28"/>
  <c r="J15" i="28"/>
  <c r="J37" i="28"/>
  <c r="J33" i="28"/>
  <c r="J32" i="28"/>
  <c r="J42" i="28"/>
  <c r="J40" i="28"/>
  <c r="J36" i="28"/>
  <c r="J31" i="28"/>
  <c r="J28" i="28"/>
  <c r="J26" i="28"/>
  <c r="J24" i="28"/>
  <c r="J22" i="28"/>
  <c r="J20" i="28"/>
  <c r="J18" i="28"/>
  <c r="J16" i="28"/>
  <c r="J14" i="28"/>
  <c r="J35" i="28"/>
  <c r="J12" i="28"/>
  <c r="J10" i="28"/>
  <c r="J8" i="28"/>
  <c r="J6" i="28"/>
  <c r="J4" i="28"/>
  <c r="J13" i="28"/>
  <c r="J11" i="28"/>
  <c r="J9" i="28"/>
  <c r="J7" i="28"/>
  <c r="J5" i="28"/>
  <c r="J3" i="28"/>
  <c r="DA109" i="28"/>
  <c r="DA108" i="28"/>
  <c r="DA106" i="28"/>
  <c r="DA107" i="28"/>
  <c r="DA103" i="28"/>
  <c r="DA105" i="28"/>
  <c r="DA102" i="28"/>
  <c r="DA104" i="28"/>
  <c r="DA101" i="28"/>
  <c r="DA100" i="28"/>
  <c r="DA99" i="28"/>
  <c r="DA94" i="28"/>
  <c r="DA97" i="28"/>
  <c r="DA96" i="28"/>
  <c r="DA98" i="28"/>
  <c r="DA95" i="28"/>
  <c r="DA93" i="28"/>
  <c r="DA92" i="28"/>
  <c r="DA91" i="28"/>
  <c r="DA90" i="28"/>
  <c r="DA89" i="28"/>
  <c r="DA88" i="28"/>
  <c r="DA86" i="28"/>
  <c r="DA84" i="28"/>
  <c r="DA85" i="28"/>
  <c r="DA87" i="28"/>
  <c r="DA80" i="28"/>
  <c r="DA79" i="28"/>
  <c r="DA77" i="28"/>
  <c r="DA83" i="28"/>
  <c r="DA82" i="28"/>
  <c r="DA81" i="28"/>
  <c r="DA71" i="28"/>
  <c r="DA69" i="28"/>
  <c r="DA67" i="28"/>
  <c r="DA65" i="28"/>
  <c r="DA78" i="28"/>
  <c r="DA73" i="28"/>
  <c r="DA70" i="28"/>
  <c r="DA68" i="28"/>
  <c r="DA66" i="28"/>
  <c r="DA64" i="28"/>
  <c r="DA63" i="28"/>
  <c r="DA61" i="28"/>
  <c r="DA76" i="28"/>
  <c r="DA75" i="28"/>
  <c r="DA74" i="28"/>
  <c r="DA72" i="28"/>
  <c r="DA62" i="28"/>
  <c r="DA60" i="28"/>
  <c r="DA58" i="28"/>
  <c r="DA57" i="28"/>
  <c r="DA44" i="28"/>
  <c r="DA59" i="28"/>
  <c r="DA45" i="28"/>
  <c r="DA43" i="28"/>
  <c r="DA40" i="28"/>
  <c r="DA39" i="28"/>
  <c r="DA37" i="28"/>
  <c r="DA35" i="28"/>
  <c r="DA33" i="28"/>
  <c r="DA56" i="28"/>
  <c r="DA55" i="28"/>
  <c r="DA54" i="28"/>
  <c r="DA53" i="28"/>
  <c r="DA52" i="28"/>
  <c r="DA51" i="28"/>
  <c r="DA50" i="28"/>
  <c r="DA49" i="28"/>
  <c r="DA48" i="28"/>
  <c r="DA47" i="28"/>
  <c r="DA46" i="28"/>
  <c r="DA42" i="28"/>
  <c r="DA41" i="28"/>
  <c r="DA38" i="28"/>
  <c r="DA36" i="28"/>
  <c r="DA34" i="28"/>
  <c r="DA32" i="28"/>
  <c r="DA30" i="28"/>
  <c r="DA29" i="28"/>
  <c r="DA27" i="28"/>
  <c r="DA25" i="28"/>
  <c r="DA23" i="28"/>
  <c r="DA31" i="28"/>
  <c r="DA28" i="28"/>
  <c r="DA26" i="28"/>
  <c r="DA24" i="28"/>
  <c r="DA22" i="28"/>
  <c r="DA21" i="28"/>
  <c r="DA20" i="28"/>
  <c r="DA19" i="28"/>
  <c r="DA16" i="28"/>
  <c r="DA5" i="28"/>
  <c r="DA6" i="28"/>
  <c r="DA4" i="28"/>
  <c r="DA15" i="28"/>
  <c r="DA12" i="28"/>
  <c r="DA14" i="28"/>
  <c r="DA10" i="28"/>
  <c r="DA8" i="28"/>
  <c r="DA11" i="28"/>
  <c r="DA7" i="28"/>
  <c r="DA18" i="28"/>
  <c r="DA17" i="28"/>
  <c r="DA13" i="28"/>
  <c r="DA9" i="28"/>
  <c r="DA3" i="28"/>
  <c r="CK109" i="28"/>
  <c r="CK108" i="28"/>
  <c r="CK106" i="28"/>
  <c r="CK107" i="28"/>
  <c r="CK103" i="28"/>
  <c r="CK105" i="28"/>
  <c r="CK104" i="28"/>
  <c r="CK102" i="28"/>
  <c r="CK101" i="28"/>
  <c r="CK100" i="28"/>
  <c r="CK99" i="28"/>
  <c r="CK94" i="28"/>
  <c r="CK97" i="28"/>
  <c r="CK96" i="28"/>
  <c r="CK98" i="28"/>
  <c r="CK95" i="28"/>
  <c r="CK93" i="28"/>
  <c r="CK92" i="28"/>
  <c r="CK91" i="28"/>
  <c r="CK90" i="28"/>
  <c r="CK89" i="28"/>
  <c r="CK88" i="28"/>
  <c r="CK86" i="28"/>
  <c r="CK84" i="28"/>
  <c r="CK85" i="28"/>
  <c r="CK87" i="28"/>
  <c r="CK80" i="28"/>
  <c r="CK79" i="28"/>
  <c r="CK77" i="28"/>
  <c r="CK71" i="28"/>
  <c r="CK69" i="28"/>
  <c r="CK67" i="28"/>
  <c r="CK65" i="28"/>
  <c r="CK78" i="28"/>
  <c r="CK73" i="28"/>
  <c r="CK83" i="28"/>
  <c r="CK82" i="28"/>
  <c r="CK81" i="28"/>
  <c r="CK70" i="28"/>
  <c r="CK68" i="28"/>
  <c r="CK66" i="28"/>
  <c r="CK64" i="28"/>
  <c r="CK63" i="28"/>
  <c r="CK61" i="28"/>
  <c r="CK72" i="28"/>
  <c r="CK62" i="28"/>
  <c r="CK60" i="28"/>
  <c r="CK58" i="28"/>
  <c r="CK76" i="28"/>
  <c r="CK75" i="28"/>
  <c r="CK74" i="28"/>
  <c r="CK57" i="28"/>
  <c r="CK44" i="28"/>
  <c r="CK59" i="28"/>
  <c r="CK45" i="28"/>
  <c r="CK43" i="28"/>
  <c r="CK56" i="28"/>
  <c r="CK55" i="28"/>
  <c r="CK54" i="28"/>
  <c r="CK53" i="28"/>
  <c r="CK52" i="28"/>
  <c r="CK51" i="28"/>
  <c r="CK50" i="28"/>
  <c r="CK49" i="28"/>
  <c r="CK48" i="28"/>
  <c r="CK47" i="28"/>
  <c r="CK46" i="28"/>
  <c r="CK40" i="28"/>
  <c r="CK39" i="28"/>
  <c r="CK37" i="28"/>
  <c r="CK35" i="28"/>
  <c r="CK33" i="28"/>
  <c r="CK42" i="28"/>
  <c r="CK41" i="28"/>
  <c r="CK38" i="28"/>
  <c r="CK36" i="28"/>
  <c r="CK34" i="28"/>
  <c r="CK32" i="28"/>
  <c r="CK30" i="28"/>
  <c r="CK29" i="28"/>
  <c r="CK27" i="28"/>
  <c r="CK25" i="28"/>
  <c r="CK23" i="28"/>
  <c r="CK31" i="28"/>
  <c r="CK28" i="28"/>
  <c r="CK26" i="28"/>
  <c r="CK24" i="28"/>
  <c r="CK22" i="28"/>
  <c r="CK21" i="28"/>
  <c r="CK20" i="28"/>
  <c r="CK19" i="28"/>
  <c r="CK16" i="28"/>
  <c r="CK5" i="28"/>
  <c r="CK6" i="28"/>
  <c r="CK4" i="28"/>
  <c r="CK15" i="28"/>
  <c r="CK12" i="28"/>
  <c r="CK14" i="28"/>
  <c r="CK10" i="28"/>
  <c r="CK8" i="28"/>
  <c r="CK11" i="28"/>
  <c r="CK7" i="28"/>
  <c r="CK18" i="28"/>
  <c r="CK17" i="28"/>
  <c r="CK13" i="28"/>
  <c r="CK9" i="28"/>
  <c r="CK3" i="28"/>
  <c r="BU109" i="28"/>
  <c r="BU108" i="28"/>
  <c r="BU106" i="28"/>
  <c r="BU107" i="28"/>
  <c r="BU103" i="28"/>
  <c r="BU105" i="28"/>
  <c r="BU104" i="28"/>
  <c r="BU102" i="28"/>
  <c r="BU101" i="28"/>
  <c r="BU100" i="28"/>
  <c r="BU99" i="28"/>
  <c r="BU94" i="28"/>
  <c r="BU97" i="28"/>
  <c r="BU96" i="28"/>
  <c r="BU98" i="28"/>
  <c r="BU95" i="28"/>
  <c r="BU93" i="28"/>
  <c r="BU92" i="28"/>
  <c r="BU91" i="28"/>
  <c r="BU90" i="28"/>
  <c r="BU89" i="28"/>
  <c r="BU88" i="28"/>
  <c r="BU86" i="28"/>
  <c r="BU84" i="28"/>
  <c r="BU85" i="28"/>
  <c r="BU87" i="28"/>
  <c r="BU80" i="28"/>
  <c r="BU79" i="28"/>
  <c r="BU77" i="28"/>
  <c r="BU83" i="28"/>
  <c r="BU82" i="28"/>
  <c r="BU81" i="28"/>
  <c r="BU71" i="28"/>
  <c r="BU69" i="28"/>
  <c r="BU67" i="28"/>
  <c r="BU65" i="28"/>
  <c r="BU78" i="28"/>
  <c r="BU73" i="28"/>
  <c r="BU70" i="28"/>
  <c r="BU68" i="28"/>
  <c r="BU66" i="28"/>
  <c r="BU64" i="28"/>
  <c r="BU72" i="28"/>
  <c r="BU63" i="28"/>
  <c r="BU61" i="28"/>
  <c r="BU76" i="28"/>
  <c r="BU75" i="28"/>
  <c r="BU74" i="28"/>
  <c r="BU62" i="28"/>
  <c r="BU60" i="28"/>
  <c r="BU58" i="28"/>
  <c r="BU57" i="28"/>
  <c r="BU44" i="28"/>
  <c r="BU59" i="28"/>
  <c r="BU45" i="28"/>
  <c r="BU43" i="28"/>
  <c r="BU40" i="28"/>
  <c r="BU39" i="28"/>
  <c r="BU37" i="28"/>
  <c r="BU35" i="28"/>
  <c r="BU33" i="28"/>
  <c r="BU56" i="28"/>
  <c r="BU55" i="28"/>
  <c r="BU54" i="28"/>
  <c r="BU53" i="28"/>
  <c r="BU52" i="28"/>
  <c r="BU51" i="28"/>
  <c r="BU50" i="28"/>
  <c r="BU49" i="28"/>
  <c r="BU48" i="28"/>
  <c r="BU47" i="28"/>
  <c r="BU46" i="28"/>
  <c r="BU42" i="28"/>
  <c r="BU41" i="28"/>
  <c r="BU38" i="28"/>
  <c r="BU36" i="28"/>
  <c r="BU34" i="28"/>
  <c r="BU32" i="28"/>
  <c r="BU30" i="28"/>
  <c r="BU29" i="28"/>
  <c r="BU27" i="28"/>
  <c r="BU25" i="28"/>
  <c r="BU23" i="28"/>
  <c r="BU31" i="28"/>
  <c r="BU28" i="28"/>
  <c r="BU26" i="28"/>
  <c r="BU24" i="28"/>
  <c r="BU22" i="28"/>
  <c r="BU21" i="28"/>
  <c r="BU20" i="28"/>
  <c r="BU19" i="28"/>
  <c r="BU16" i="28"/>
  <c r="BU5" i="28"/>
  <c r="BU6" i="28"/>
  <c r="BU4" i="28"/>
  <c r="BU15" i="28"/>
  <c r="BU12" i="28"/>
  <c r="BU14" i="28"/>
  <c r="BU10" i="28"/>
  <c r="BU8" i="28"/>
  <c r="BU11" i="28"/>
  <c r="BU7" i="28"/>
  <c r="BU18" i="28"/>
  <c r="BU17" i="28"/>
  <c r="BU13" i="28"/>
  <c r="BU9" i="28"/>
  <c r="BU3" i="28"/>
  <c r="BE109" i="28"/>
  <c r="BE108" i="28"/>
  <c r="BE107" i="28"/>
  <c r="BE106" i="28"/>
  <c r="BE103" i="28"/>
  <c r="BE105" i="28"/>
  <c r="BE104" i="28"/>
  <c r="BE102" i="28"/>
  <c r="BE101" i="28"/>
  <c r="BE100" i="28"/>
  <c r="BE99" i="28"/>
  <c r="BE96" i="28"/>
  <c r="BE94" i="28"/>
  <c r="BE97" i="28"/>
  <c r="BE98" i="28"/>
  <c r="BE95" i="28"/>
  <c r="BE93" i="28"/>
  <c r="BE92" i="28"/>
  <c r="BE91" i="28"/>
  <c r="BE90" i="28"/>
  <c r="BE89" i="28"/>
  <c r="BE88" i="28"/>
  <c r="BE86" i="28"/>
  <c r="BE84" i="28"/>
  <c r="BE85" i="28"/>
  <c r="BE87" i="28"/>
  <c r="BE80" i="28"/>
  <c r="BE79" i="28"/>
  <c r="BE77" i="28"/>
  <c r="BE71" i="28"/>
  <c r="BE69" i="28"/>
  <c r="BE67" i="28"/>
  <c r="BE65" i="28"/>
  <c r="BE78" i="28"/>
  <c r="BE73" i="28"/>
  <c r="BE83" i="28"/>
  <c r="BE82" i="28"/>
  <c r="BE81" i="28"/>
  <c r="BE70" i="28"/>
  <c r="BE68" i="28"/>
  <c r="BE66" i="28"/>
  <c r="BE64" i="28"/>
  <c r="BE63" i="28"/>
  <c r="BE61" i="28"/>
  <c r="BE62" i="28"/>
  <c r="BE60" i="28"/>
  <c r="BE58" i="28"/>
  <c r="BE76" i="28"/>
  <c r="BE75" i="28"/>
  <c r="BE74" i="28"/>
  <c r="BE72" i="28"/>
  <c r="BE57" i="28"/>
  <c r="BE44" i="28"/>
  <c r="BE59" i="28"/>
  <c r="BE45" i="28"/>
  <c r="BE43" i="28"/>
  <c r="BE56" i="28"/>
  <c r="BE55" i="28"/>
  <c r="BE54" i="28"/>
  <c r="BE53" i="28"/>
  <c r="BE52" i="28"/>
  <c r="BE51" i="28"/>
  <c r="BE50" i="28"/>
  <c r="BE49" i="28"/>
  <c r="BE48" i="28"/>
  <c r="BE47" i="28"/>
  <c r="BE46" i="28"/>
  <c r="BE40" i="28"/>
  <c r="BE39" i="28"/>
  <c r="BE37" i="28"/>
  <c r="BE35" i="28"/>
  <c r="BE33" i="28"/>
  <c r="BE42" i="28"/>
  <c r="BE41" i="28"/>
  <c r="BE38" i="28"/>
  <c r="BE36" i="28"/>
  <c r="BE34" i="28"/>
  <c r="BE32" i="28"/>
  <c r="BE30" i="28"/>
  <c r="BE29" i="28"/>
  <c r="BE27" i="28"/>
  <c r="BE25" i="28"/>
  <c r="BE23" i="28"/>
  <c r="BE31" i="28"/>
  <c r="BE28" i="28"/>
  <c r="BE26" i="28"/>
  <c r="BE24" i="28"/>
  <c r="BE22" i="28"/>
  <c r="BE21" i="28"/>
  <c r="BE20" i="28"/>
  <c r="BE19" i="28"/>
  <c r="BE16" i="28"/>
  <c r="BE5" i="28"/>
  <c r="BE6" i="28"/>
  <c r="BE4" i="28"/>
  <c r="BE15" i="28"/>
  <c r="BE12" i="28"/>
  <c r="BE14" i="28"/>
  <c r="BE10" i="28"/>
  <c r="BE8" i="28"/>
  <c r="BE11" i="28"/>
  <c r="BE7" i="28"/>
  <c r="BE18" i="28"/>
  <c r="BE17" i="28"/>
  <c r="BE13" i="28"/>
  <c r="BE9" i="28"/>
  <c r="BE3" i="28"/>
  <c r="AO109" i="28"/>
  <c r="AO108" i="28"/>
  <c r="AO107" i="28"/>
  <c r="AO106" i="28"/>
  <c r="AO103" i="28"/>
  <c r="AO105" i="28"/>
  <c r="AO104" i="28"/>
  <c r="AO102" i="28"/>
  <c r="AO101" i="28"/>
  <c r="AO100" i="28"/>
  <c r="AO99" i="28"/>
  <c r="AO96" i="28"/>
  <c r="AO94" i="28"/>
  <c r="AO97" i="28"/>
  <c r="AO98" i="28"/>
  <c r="AO95" i="28"/>
  <c r="AO93" i="28"/>
  <c r="AO92" i="28"/>
  <c r="AO91" i="28"/>
  <c r="AO90" i="28"/>
  <c r="AO89" i="28"/>
  <c r="AO88" i="28"/>
  <c r="AO86" i="28"/>
  <c r="AO84" i="28"/>
  <c r="AO85" i="28"/>
  <c r="AO87" i="28"/>
  <c r="AO80" i="28"/>
  <c r="AO79" i="28"/>
  <c r="AO77" i="28"/>
  <c r="AO83" i="28"/>
  <c r="AO82" i="28"/>
  <c r="AO81" i="28"/>
  <c r="AO71" i="28"/>
  <c r="AO69" i="28"/>
  <c r="AO67" i="28"/>
  <c r="AO65" i="28"/>
  <c r="AO78" i="28"/>
  <c r="AO73" i="28"/>
  <c r="AO70" i="28"/>
  <c r="AO68" i="28"/>
  <c r="AO66" i="28"/>
  <c r="AO63" i="28"/>
  <c r="AO61" i="28"/>
  <c r="AO76" i="28"/>
  <c r="AO75" i="28"/>
  <c r="AO74" i="28"/>
  <c r="AO72" i="28"/>
  <c r="AO64" i="28"/>
  <c r="AO62" i="28"/>
  <c r="AO60" i="28"/>
  <c r="AO58" i="28"/>
  <c r="AO57" i="28"/>
  <c r="AO44" i="28"/>
  <c r="AO59" i="28"/>
  <c r="AO45" i="28"/>
  <c r="AO43" i="28"/>
  <c r="AO40" i="28"/>
  <c r="AO39" i="28"/>
  <c r="AO37" i="28"/>
  <c r="AO35" i="28"/>
  <c r="AO33" i="28"/>
  <c r="AO56" i="28"/>
  <c r="AO55" i="28"/>
  <c r="AO54" i="28"/>
  <c r="AO53" i="28"/>
  <c r="AO52" i="28"/>
  <c r="AO51" i="28"/>
  <c r="AO50" i="28"/>
  <c r="AO49" i="28"/>
  <c r="AO48" i="28"/>
  <c r="AO47" i="28"/>
  <c r="AO46" i="28"/>
  <c r="AO42" i="28"/>
  <c r="AO41" i="28"/>
  <c r="AO38" i="28"/>
  <c r="AO36" i="28"/>
  <c r="AO34" i="28"/>
  <c r="AO32" i="28"/>
  <c r="AO30" i="28"/>
  <c r="AO29" i="28"/>
  <c r="AO27" i="28"/>
  <c r="AO25" i="28"/>
  <c r="AO23" i="28"/>
  <c r="AO31" i="28"/>
  <c r="AO28" i="28"/>
  <c r="AO26" i="28"/>
  <c r="AO24" i="28"/>
  <c r="AO22" i="28"/>
  <c r="AO21" i="28"/>
  <c r="AO20" i="28"/>
  <c r="AO19" i="28"/>
  <c r="AO16" i="28"/>
  <c r="AO5" i="28"/>
  <c r="AO6" i="28"/>
  <c r="AO4" i="28"/>
  <c r="AO15" i="28"/>
  <c r="AO14" i="28"/>
  <c r="AO12" i="28"/>
  <c r="AO10" i="28"/>
  <c r="AO8" i="28"/>
  <c r="AO11" i="28"/>
  <c r="AO7" i="28"/>
  <c r="AO18" i="28"/>
  <c r="AO17" i="28"/>
  <c r="AO13" i="28"/>
  <c r="AO9" i="28"/>
  <c r="AO3" i="28"/>
  <c r="Y109" i="28"/>
  <c r="Y108" i="28"/>
  <c r="Y107" i="28"/>
  <c r="Y106" i="28"/>
  <c r="Y103" i="28"/>
  <c r="Y105" i="28"/>
  <c r="Y104" i="28"/>
  <c r="Y102" i="28"/>
  <c r="Y101" i="28"/>
  <c r="Y100" i="28"/>
  <c r="Y99" i="28"/>
  <c r="Y96" i="28"/>
  <c r="Y94" i="28"/>
  <c r="Y97" i="28"/>
  <c r="Y98" i="28"/>
  <c r="Y95" i="28"/>
  <c r="Y93" i="28"/>
  <c r="Y92" i="28"/>
  <c r="Y91" i="28"/>
  <c r="Y90" i="28"/>
  <c r="Y89" i="28"/>
  <c r="Y88" i="28"/>
  <c r="Y86" i="28"/>
  <c r="Y85" i="28"/>
  <c r="Y84" i="28"/>
  <c r="Y87" i="28"/>
  <c r="Y80" i="28"/>
  <c r="Y79" i="28"/>
  <c r="Y77" i="28"/>
  <c r="Y71" i="28"/>
  <c r="Y69" i="28"/>
  <c r="Y67" i="28"/>
  <c r="Y65" i="28"/>
  <c r="Y78" i="28"/>
  <c r="Y73" i="28"/>
  <c r="Y83" i="28"/>
  <c r="Y82" i="28"/>
  <c r="Y81" i="28"/>
  <c r="Y70" i="28"/>
  <c r="Y68" i="28"/>
  <c r="Y66" i="28"/>
  <c r="Y63" i="28"/>
  <c r="Y61" i="28"/>
  <c r="Y72" i="28"/>
  <c r="Y64" i="28"/>
  <c r="Y62" i="28"/>
  <c r="Y60" i="28"/>
  <c r="Y58" i="28"/>
  <c r="Y76" i="28"/>
  <c r="Y75" i="28"/>
  <c r="Y74" i="28"/>
  <c r="Y57" i="28"/>
  <c r="Y44" i="28"/>
  <c r="Y59" i="28"/>
  <c r="Y45" i="28"/>
  <c r="Y43" i="28"/>
  <c r="Y56" i="28"/>
  <c r="Y55" i="28"/>
  <c r="Y54" i="28"/>
  <c r="Y53" i="28"/>
  <c r="Y52" i="28"/>
  <c r="Y51" i="28"/>
  <c r="Y50" i="28"/>
  <c r="Y49" i="28"/>
  <c r="Y48" i="28"/>
  <c r="Y47" i="28"/>
  <c r="Y46" i="28"/>
  <c r="Y39" i="28"/>
  <c r="Y37" i="28"/>
  <c r="Y35" i="28"/>
  <c r="Y33" i="28"/>
  <c r="Y42" i="28"/>
  <c r="Y41" i="28"/>
  <c r="Y40" i="28"/>
  <c r="Y38" i="28"/>
  <c r="Y36" i="28"/>
  <c r="Y34" i="28"/>
  <c r="Y32" i="28"/>
  <c r="Y30" i="28"/>
  <c r="Y29" i="28"/>
  <c r="Y27" i="28"/>
  <c r="Y25" i="28"/>
  <c r="Y23" i="28"/>
  <c r="Y31" i="28"/>
  <c r="Y28" i="28"/>
  <c r="Y26" i="28"/>
  <c r="Y24" i="28"/>
  <c r="Y22" i="28"/>
  <c r="Y21" i="28"/>
  <c r="Y20" i="28"/>
  <c r="Y19" i="28"/>
  <c r="Y16" i="28"/>
  <c r="Y5" i="28"/>
  <c r="Y6" i="28"/>
  <c r="Y4" i="28"/>
  <c r="Y15" i="28"/>
  <c r="Y14" i="28"/>
  <c r="Y12" i="28"/>
  <c r="Y10" i="28"/>
  <c r="Y8" i="28"/>
  <c r="Y11" i="28"/>
  <c r="Y7" i="28"/>
  <c r="Y18" i="28"/>
  <c r="Y17" i="28"/>
  <c r="Y13" i="28"/>
  <c r="Y9" i="28"/>
  <c r="Y3" i="28"/>
  <c r="I109" i="28"/>
  <c r="I108" i="28"/>
  <c r="I107" i="28"/>
  <c r="I106" i="28"/>
  <c r="I103" i="28"/>
  <c r="I105" i="28"/>
  <c r="I104" i="28"/>
  <c r="I102" i="28"/>
  <c r="I101" i="28"/>
  <c r="I100" i="28"/>
  <c r="I99" i="28"/>
  <c r="I96" i="28"/>
  <c r="I94" i="28"/>
  <c r="I97" i="28"/>
  <c r="I98" i="28"/>
  <c r="I95" i="28"/>
  <c r="I93" i="28"/>
  <c r="I92" i="28"/>
  <c r="I91" i="28"/>
  <c r="I90" i="28"/>
  <c r="I89" i="28"/>
  <c r="I88" i="28"/>
  <c r="I86" i="28"/>
  <c r="I85" i="28"/>
  <c r="I84" i="28"/>
  <c r="I87" i="28"/>
  <c r="I80" i="28"/>
  <c r="I79" i="28"/>
  <c r="I77" i="28"/>
  <c r="I83" i="28"/>
  <c r="I82" i="28"/>
  <c r="I81" i="28"/>
  <c r="I71" i="28"/>
  <c r="I69" i="28"/>
  <c r="I67" i="28"/>
  <c r="I65" i="28"/>
  <c r="I78" i="28"/>
  <c r="I73" i="28"/>
  <c r="I70" i="28"/>
  <c r="I68" i="28"/>
  <c r="I66" i="28"/>
  <c r="I72" i="28"/>
  <c r="I63" i="28"/>
  <c r="I61" i="28"/>
  <c r="I76" i="28"/>
  <c r="I75" i="28"/>
  <c r="I74" i="28"/>
  <c r="I64" i="28"/>
  <c r="I62" i="28"/>
  <c r="I60" i="28"/>
  <c r="I58" i="28"/>
  <c r="I57" i="28"/>
  <c r="I44" i="28"/>
  <c r="I59" i="28"/>
  <c r="I45" i="28"/>
  <c r="I43" i="28"/>
  <c r="I39" i="28"/>
  <c r="I37" i="28"/>
  <c r="I35" i="28"/>
  <c r="I33" i="28"/>
  <c r="I56" i="28"/>
  <c r="I55" i="28"/>
  <c r="I54" i="28"/>
  <c r="I53" i="28"/>
  <c r="I52" i="28"/>
  <c r="I51" i="28"/>
  <c r="I50" i="28"/>
  <c r="I49" i="28"/>
  <c r="I48" i="28"/>
  <c r="I47" i="28"/>
  <c r="I46" i="28"/>
  <c r="I42" i="28"/>
  <c r="I41" i="28"/>
  <c r="I40" i="28"/>
  <c r="I38" i="28"/>
  <c r="I36" i="28"/>
  <c r="I34" i="28"/>
  <c r="I32" i="28"/>
  <c r="I30" i="28"/>
  <c r="I29" i="28"/>
  <c r="I27" i="28"/>
  <c r="I25" i="28"/>
  <c r="I23" i="28"/>
  <c r="I31" i="28"/>
  <c r="I28" i="28"/>
  <c r="I26" i="28"/>
  <c r="I24" i="28"/>
  <c r="I22" i="28"/>
  <c r="I21" i="28"/>
  <c r="I20" i="28"/>
  <c r="I19" i="28"/>
  <c r="I16" i="28"/>
  <c r="I5" i="28"/>
  <c r="I6" i="28"/>
  <c r="I4" i="28"/>
  <c r="I15" i="28"/>
  <c r="I14" i="28"/>
  <c r="I12" i="28"/>
  <c r="I10" i="28"/>
  <c r="I8" i="28"/>
  <c r="I11" i="28"/>
  <c r="I7" i="28"/>
  <c r="I18" i="28"/>
  <c r="I17" i="28"/>
  <c r="I13" i="28"/>
  <c r="I9" i="28"/>
  <c r="I3" i="28"/>
  <c r="X110" i="28"/>
  <c r="CY108" i="28"/>
  <c r="CY109" i="28"/>
  <c r="CY107" i="28"/>
  <c r="CY106" i="28"/>
  <c r="CY104" i="28"/>
  <c r="CY103" i="28"/>
  <c r="CY105" i="28"/>
  <c r="CY101" i="28"/>
  <c r="CY99" i="28"/>
  <c r="CY102" i="28"/>
  <c r="CY95" i="28"/>
  <c r="CY93" i="28"/>
  <c r="CY100" i="28"/>
  <c r="CY98" i="28"/>
  <c r="CY97" i="28"/>
  <c r="CY96" i="28"/>
  <c r="CY92" i="28"/>
  <c r="CY94" i="28"/>
  <c r="CY91" i="28"/>
  <c r="CY89" i="28"/>
  <c r="CY88" i="28"/>
  <c r="CY90" i="28"/>
  <c r="CY87" i="28"/>
  <c r="CY85" i="28"/>
  <c r="CY84" i="28"/>
  <c r="CY83" i="28"/>
  <c r="CY82" i="28"/>
  <c r="CY81" i="28"/>
  <c r="CY86" i="28"/>
  <c r="CY78" i="28"/>
  <c r="CY76" i="28"/>
  <c r="CY75" i="28"/>
  <c r="CY74" i="28"/>
  <c r="CY72" i="28"/>
  <c r="CY70" i="28"/>
  <c r="CY68" i="28"/>
  <c r="CY66" i="28"/>
  <c r="CY80" i="28"/>
  <c r="CY77" i="28"/>
  <c r="CY79" i="28"/>
  <c r="CY71" i="28"/>
  <c r="CY69" i="28"/>
  <c r="CY67" i="28"/>
  <c r="CY65" i="28"/>
  <c r="CY62" i="28"/>
  <c r="CY60" i="28"/>
  <c r="CY73" i="28"/>
  <c r="CY64" i="28"/>
  <c r="CY63" i="28"/>
  <c r="CY61" i="28"/>
  <c r="CY59" i="28"/>
  <c r="CY57" i="28"/>
  <c r="CY56" i="28"/>
  <c r="CY55" i="28"/>
  <c r="CY54" i="28"/>
  <c r="CY53" i="28"/>
  <c r="CY52" i="28"/>
  <c r="CY51" i="28"/>
  <c r="CY50" i="28"/>
  <c r="CY49" i="28"/>
  <c r="CY48" i="28"/>
  <c r="CY47" i="28"/>
  <c r="CY46" i="28"/>
  <c r="CY43" i="28"/>
  <c r="CY58" i="28"/>
  <c r="CY44" i="28"/>
  <c r="CY41" i="28"/>
  <c r="CY38" i="28"/>
  <c r="CY36" i="28"/>
  <c r="CY34" i="28"/>
  <c r="CY32" i="28"/>
  <c r="CY39" i="28"/>
  <c r="CY37" i="28"/>
  <c r="CY35" i="28"/>
  <c r="CY33" i="28"/>
  <c r="CY31" i="28"/>
  <c r="CY45" i="28"/>
  <c r="CY42" i="28"/>
  <c r="CY28" i="28"/>
  <c r="CY26" i="28"/>
  <c r="CY24" i="28"/>
  <c r="CY30" i="28"/>
  <c r="CY40" i="28"/>
  <c r="CY29" i="28"/>
  <c r="CY27" i="28"/>
  <c r="CY25" i="28"/>
  <c r="CY23" i="28"/>
  <c r="CY14" i="28"/>
  <c r="CY10" i="28"/>
  <c r="CY22" i="28"/>
  <c r="CY21" i="28"/>
  <c r="CY20" i="28"/>
  <c r="CY19" i="28"/>
  <c r="CY18" i="28"/>
  <c r="CY17" i="28"/>
  <c r="CY16" i="28"/>
  <c r="CY15" i="28"/>
  <c r="CY13" i="28"/>
  <c r="CY9" i="28"/>
  <c r="CY7" i="28"/>
  <c r="CY8" i="28"/>
  <c r="CY4" i="28"/>
  <c r="CY12" i="28"/>
  <c r="CY11" i="28"/>
  <c r="CY5" i="28"/>
  <c r="CY3" i="28"/>
  <c r="CY6" i="28"/>
  <c r="CI108" i="28"/>
  <c r="CI109" i="28"/>
  <c r="CI107" i="28"/>
  <c r="CI106" i="28"/>
  <c r="CI104" i="28"/>
  <c r="CI103" i="28"/>
  <c r="CI105" i="28"/>
  <c r="CI101" i="28"/>
  <c r="CI99" i="28"/>
  <c r="CI102" i="28"/>
  <c r="CI95" i="28"/>
  <c r="CI93" i="28"/>
  <c r="CI100" i="28"/>
  <c r="CI98" i="28"/>
  <c r="CI97" i="28"/>
  <c r="CI96" i="28"/>
  <c r="CI92" i="28"/>
  <c r="CI94" i="28"/>
  <c r="CI91" i="28"/>
  <c r="CI89" i="28"/>
  <c r="CI88" i="28"/>
  <c r="CI90" i="28"/>
  <c r="CI87" i="28"/>
  <c r="CI85" i="28"/>
  <c r="CI84" i="28"/>
  <c r="CI83" i="28"/>
  <c r="CI82" i="28"/>
  <c r="CI81" i="28"/>
  <c r="CI86" i="28"/>
  <c r="CI78" i="28"/>
  <c r="CI80" i="28"/>
  <c r="CI76" i="28"/>
  <c r="CI75" i="28"/>
  <c r="CI74" i="28"/>
  <c r="CI72" i="28"/>
  <c r="CI70" i="28"/>
  <c r="CI68" i="28"/>
  <c r="CI66" i="28"/>
  <c r="CI77" i="28"/>
  <c r="CI79" i="28"/>
  <c r="CI71" i="28"/>
  <c r="CI69" i="28"/>
  <c r="CI67" i="28"/>
  <c r="CI65" i="28"/>
  <c r="CI62" i="28"/>
  <c r="CI60" i="28"/>
  <c r="CI73" i="28"/>
  <c r="CI64" i="28"/>
  <c r="CI63" i="28"/>
  <c r="CI61" i="28"/>
  <c r="CI59" i="28"/>
  <c r="CI57" i="28"/>
  <c r="CI56" i="28"/>
  <c r="CI55" i="28"/>
  <c r="CI54" i="28"/>
  <c r="CI53" i="28"/>
  <c r="CI52" i="28"/>
  <c r="CI51" i="28"/>
  <c r="CI50" i="28"/>
  <c r="CI49" i="28"/>
  <c r="CI48" i="28"/>
  <c r="CI47" i="28"/>
  <c r="CI46" i="28"/>
  <c r="CI43" i="28"/>
  <c r="CI58" i="28"/>
  <c r="CI44" i="28"/>
  <c r="CI41" i="28"/>
  <c r="CI38" i="28"/>
  <c r="CI36" i="28"/>
  <c r="CI34" i="28"/>
  <c r="CI32" i="28"/>
  <c r="CI45" i="28"/>
  <c r="CI39" i="28"/>
  <c r="CI37" i="28"/>
  <c r="CI35" i="28"/>
  <c r="CI33" i="28"/>
  <c r="CI31" i="28"/>
  <c r="CI42" i="28"/>
  <c r="CI28" i="28"/>
  <c r="CI26" i="28"/>
  <c r="CI24" i="28"/>
  <c r="CI40" i="28"/>
  <c r="CI30" i="28"/>
  <c r="CI29" i="28"/>
  <c r="CI27" i="28"/>
  <c r="CI25" i="28"/>
  <c r="CI23" i="28"/>
  <c r="CI14" i="28"/>
  <c r="CI10" i="28"/>
  <c r="CI22" i="28"/>
  <c r="CI21" i="28"/>
  <c r="CI20" i="28"/>
  <c r="CI19" i="28"/>
  <c r="CI18" i="28"/>
  <c r="CI17" i="28"/>
  <c r="CI16" i="28"/>
  <c r="CI15" i="28"/>
  <c r="CI13" i="28"/>
  <c r="CI9" i="28"/>
  <c r="CI7" i="28"/>
  <c r="CI8" i="28"/>
  <c r="CI4" i="28"/>
  <c r="CI12" i="28"/>
  <c r="CI11" i="28"/>
  <c r="CI5" i="28"/>
  <c r="CI3" i="28"/>
  <c r="CI6" i="28"/>
  <c r="BS108" i="28"/>
  <c r="BS109" i="28"/>
  <c r="BS107" i="28"/>
  <c r="BS106" i="28"/>
  <c r="BS104" i="28"/>
  <c r="BS103" i="28"/>
  <c r="BS105" i="28"/>
  <c r="BS101" i="28"/>
  <c r="BS99" i="28"/>
  <c r="BS102" i="28"/>
  <c r="BS95" i="28"/>
  <c r="BS93" i="28"/>
  <c r="BS100" i="28"/>
  <c r="BS98" i="28"/>
  <c r="BS97" i="28"/>
  <c r="BS96" i="28"/>
  <c r="BS92" i="28"/>
  <c r="BS94" i="28"/>
  <c r="BS91" i="28"/>
  <c r="BS89" i="28"/>
  <c r="BS88" i="28"/>
  <c r="BS90" i="28"/>
  <c r="BS87" i="28"/>
  <c r="BS85" i="28"/>
  <c r="BS84" i="28"/>
  <c r="BS83" i="28"/>
  <c r="BS82" i="28"/>
  <c r="BS81" i="28"/>
  <c r="BS86" i="28"/>
  <c r="BS78" i="28"/>
  <c r="BS80" i="28"/>
  <c r="BS76" i="28"/>
  <c r="BS75" i="28"/>
  <c r="BS74" i="28"/>
  <c r="BS72" i="28"/>
  <c r="BS70" i="28"/>
  <c r="BS68" i="28"/>
  <c r="BS66" i="28"/>
  <c r="BS77" i="28"/>
  <c r="BS79" i="28"/>
  <c r="BS71" i="28"/>
  <c r="BS69" i="28"/>
  <c r="BS67" i="28"/>
  <c r="BS65" i="28"/>
  <c r="BS73" i="28"/>
  <c r="BS62" i="28"/>
  <c r="BS60" i="28"/>
  <c r="BS64" i="28"/>
  <c r="BS63" i="28"/>
  <c r="BS61" i="28"/>
  <c r="BS59" i="28"/>
  <c r="BS57" i="28"/>
  <c r="BS56" i="28"/>
  <c r="BS55" i="28"/>
  <c r="BS54" i="28"/>
  <c r="BS53" i="28"/>
  <c r="BS52" i="28"/>
  <c r="BS51" i="28"/>
  <c r="BS50" i="28"/>
  <c r="BS49" i="28"/>
  <c r="BS48" i="28"/>
  <c r="BS47" i="28"/>
  <c r="BS46" i="28"/>
  <c r="BS43" i="28"/>
  <c r="BS58" i="28"/>
  <c r="BS44" i="28"/>
  <c r="BS41" i="28"/>
  <c r="BS38" i="28"/>
  <c r="BS36" i="28"/>
  <c r="BS34" i="28"/>
  <c r="BS32" i="28"/>
  <c r="BS45" i="28"/>
  <c r="BS39" i="28"/>
  <c r="BS37" i="28"/>
  <c r="BS35" i="28"/>
  <c r="BS33" i="28"/>
  <c r="BS31" i="28"/>
  <c r="BS42" i="28"/>
  <c r="BS40" i="28"/>
  <c r="BS28" i="28"/>
  <c r="BS26" i="28"/>
  <c r="BS24" i="28"/>
  <c r="BS30" i="28"/>
  <c r="BS29" i="28"/>
  <c r="BS27" i="28"/>
  <c r="BS25" i="28"/>
  <c r="BS23" i="28"/>
  <c r="BS14" i="28"/>
  <c r="BS10" i="28"/>
  <c r="BS22" i="28"/>
  <c r="BS21" i="28"/>
  <c r="BS20" i="28"/>
  <c r="BS19" i="28"/>
  <c r="BS18" i="28"/>
  <c r="BS17" i="28"/>
  <c r="BS16" i="28"/>
  <c r="BS15" i="28"/>
  <c r="BS13" i="28"/>
  <c r="BS9" i="28"/>
  <c r="BS7" i="28"/>
  <c r="BS8" i="28"/>
  <c r="BS4" i="28"/>
  <c r="BS12" i="28"/>
  <c r="BS11" i="28"/>
  <c r="BS5" i="28"/>
  <c r="BS3" i="28"/>
  <c r="BS6" i="28"/>
  <c r="BC108" i="28"/>
  <c r="BC109" i="28"/>
  <c r="BC107" i="28"/>
  <c r="BC106" i="28"/>
  <c r="BC104" i="28"/>
  <c r="BC103" i="28"/>
  <c r="BC105" i="28"/>
  <c r="BC101" i="28"/>
  <c r="BC99" i="28"/>
  <c r="BC102" i="28"/>
  <c r="BC95" i="28"/>
  <c r="BC93" i="28"/>
  <c r="BC100" i="28"/>
  <c r="BC98" i="28"/>
  <c r="BC97" i="28"/>
  <c r="BC96" i="28"/>
  <c r="BC92" i="28"/>
  <c r="BC94" i="28"/>
  <c r="BC91" i="28"/>
  <c r="BC89" i="28"/>
  <c r="BC88" i="28"/>
  <c r="BC90" i="28"/>
  <c r="BC87" i="28"/>
  <c r="BC85" i="28"/>
  <c r="BC84" i="28"/>
  <c r="BC83" i="28"/>
  <c r="BC82" i="28"/>
  <c r="BC81" i="28"/>
  <c r="BC86" i="28"/>
  <c r="BC78" i="28"/>
  <c r="BC76" i="28"/>
  <c r="BC75" i="28"/>
  <c r="BC74" i="28"/>
  <c r="BC72" i="28"/>
  <c r="BC70" i="28"/>
  <c r="BC68" i="28"/>
  <c r="BC66" i="28"/>
  <c r="BC77" i="28"/>
  <c r="BC80" i="28"/>
  <c r="BC79" i="28"/>
  <c r="BC71" i="28"/>
  <c r="BC69" i="28"/>
  <c r="BC67" i="28"/>
  <c r="BC65" i="28"/>
  <c r="BC62" i="28"/>
  <c r="BC60" i="28"/>
  <c r="BC64" i="28"/>
  <c r="BC63" i="28"/>
  <c r="BC61" i="28"/>
  <c r="BC59" i="28"/>
  <c r="BC73" i="28"/>
  <c r="BC57" i="28"/>
  <c r="BC56" i="28"/>
  <c r="BC55" i="28"/>
  <c r="BC54" i="28"/>
  <c r="BC53" i="28"/>
  <c r="BC52" i="28"/>
  <c r="BC51" i="28"/>
  <c r="BC50" i="28"/>
  <c r="BC49" i="28"/>
  <c r="BC48" i="28"/>
  <c r="BC47" i="28"/>
  <c r="BC46" i="28"/>
  <c r="BC43" i="28"/>
  <c r="BC58" i="28"/>
  <c r="BC44" i="28"/>
  <c r="BC45" i="28"/>
  <c r="BC41" i="28"/>
  <c r="BC38" i="28"/>
  <c r="BC36" i="28"/>
  <c r="BC34" i="28"/>
  <c r="BC32" i="28"/>
  <c r="BC39" i="28"/>
  <c r="BC37" i="28"/>
  <c r="BC35" i="28"/>
  <c r="BC33" i="28"/>
  <c r="BC31" i="28"/>
  <c r="BC42" i="28"/>
  <c r="BC40" i="28"/>
  <c r="BC28" i="28"/>
  <c r="BC26" i="28"/>
  <c r="BC24" i="28"/>
  <c r="BC30" i="28"/>
  <c r="BC29" i="28"/>
  <c r="BC27" i="28"/>
  <c r="BC25" i="28"/>
  <c r="BC23" i="28"/>
  <c r="BC14" i="28"/>
  <c r="BC10" i="28"/>
  <c r="BC22" i="28"/>
  <c r="BC21" i="28"/>
  <c r="BC20" i="28"/>
  <c r="BC19" i="28"/>
  <c r="BC18" i="28"/>
  <c r="BC17" i="28"/>
  <c r="BC16" i="28"/>
  <c r="BC15" i="28"/>
  <c r="BC13" i="28"/>
  <c r="BC9" i="28"/>
  <c r="BC7" i="28"/>
  <c r="BC8" i="28"/>
  <c r="BC4" i="28"/>
  <c r="BC12" i="28"/>
  <c r="BC11" i="28"/>
  <c r="BC5" i="28"/>
  <c r="BC3" i="28"/>
  <c r="BC6" i="28"/>
  <c r="AM108" i="28"/>
  <c r="AM109" i="28"/>
  <c r="AM107" i="28"/>
  <c r="AM106" i="28"/>
  <c r="AM104" i="28"/>
  <c r="AM103" i="28"/>
  <c r="AM105" i="28"/>
  <c r="AM101" i="28"/>
  <c r="AM99" i="28"/>
  <c r="AM102" i="28"/>
  <c r="AM95" i="28"/>
  <c r="AM93" i="28"/>
  <c r="AM100" i="28"/>
  <c r="AM98" i="28"/>
  <c r="AM97" i="28"/>
  <c r="AM96" i="28"/>
  <c r="AM92" i="28"/>
  <c r="AM94" i="28"/>
  <c r="AM91" i="28"/>
  <c r="AM89" i="28"/>
  <c r="AM88" i="28"/>
  <c r="AM90" i="28"/>
  <c r="AM87" i="28"/>
  <c r="AM85" i="28"/>
  <c r="AM84" i="28"/>
  <c r="AM83" i="28"/>
  <c r="AM82" i="28"/>
  <c r="AM81" i="28"/>
  <c r="AM86" i="28"/>
  <c r="AM78" i="28"/>
  <c r="AM76" i="28"/>
  <c r="AM75" i="28"/>
  <c r="AM74" i="28"/>
  <c r="AM72" i="28"/>
  <c r="AM70" i="28"/>
  <c r="AM68" i="28"/>
  <c r="AM66" i="28"/>
  <c r="AM80" i="28"/>
  <c r="AM77" i="28"/>
  <c r="AM79" i="28"/>
  <c r="AM71" i="28"/>
  <c r="AM69" i="28"/>
  <c r="AM67" i="28"/>
  <c r="AM65" i="28"/>
  <c r="AM64" i="28"/>
  <c r="AM62" i="28"/>
  <c r="AM60" i="28"/>
  <c r="AM73" i="28"/>
  <c r="AM63" i="28"/>
  <c r="AM61" i="28"/>
  <c r="AM59" i="28"/>
  <c r="AM57" i="28"/>
  <c r="AM56" i="28"/>
  <c r="AM55" i="28"/>
  <c r="AM54" i="28"/>
  <c r="AM53" i="28"/>
  <c r="AM52" i="28"/>
  <c r="AM51" i="28"/>
  <c r="AM50" i="28"/>
  <c r="AM49" i="28"/>
  <c r="AM48" i="28"/>
  <c r="AM47" i="28"/>
  <c r="AM46" i="28"/>
  <c r="AM43" i="28"/>
  <c r="AM58" i="28"/>
  <c r="AM44" i="28"/>
  <c r="AM41" i="28"/>
  <c r="AM38" i="28"/>
  <c r="AM36" i="28"/>
  <c r="AM34" i="28"/>
  <c r="AM32" i="28"/>
  <c r="AM39" i="28"/>
  <c r="AM37" i="28"/>
  <c r="AM35" i="28"/>
  <c r="AM33" i="28"/>
  <c r="AM31" i="28"/>
  <c r="AM45" i="28"/>
  <c r="AM42" i="28"/>
  <c r="AM28" i="28"/>
  <c r="AM26" i="28"/>
  <c r="AM24" i="28"/>
  <c r="AM30" i="28"/>
  <c r="AM40" i="28"/>
  <c r="AM29" i="28"/>
  <c r="AM27" i="28"/>
  <c r="AM25" i="28"/>
  <c r="AM23" i="28"/>
  <c r="AM14" i="28"/>
  <c r="AM10" i="28"/>
  <c r="AM22" i="28"/>
  <c r="AM21" i="28"/>
  <c r="AM20" i="28"/>
  <c r="AM19" i="28"/>
  <c r="AM18" i="28"/>
  <c r="AM17" i="28"/>
  <c r="AM16" i="28"/>
  <c r="AM15" i="28"/>
  <c r="AM13" i="28"/>
  <c r="AM9" i="28"/>
  <c r="AM7" i="28"/>
  <c r="AM12" i="28"/>
  <c r="AM8" i="28"/>
  <c r="AM4" i="28"/>
  <c r="AM11" i="28"/>
  <c r="AM5" i="28"/>
  <c r="AM3" i="28"/>
  <c r="AM6" i="28"/>
  <c r="W108" i="28"/>
  <c r="W109" i="28"/>
  <c r="W107" i="28"/>
  <c r="W106" i="28"/>
  <c r="W104" i="28"/>
  <c r="W103" i="28"/>
  <c r="W105" i="28"/>
  <c r="W101" i="28"/>
  <c r="W99" i="28"/>
  <c r="W102" i="28"/>
  <c r="W95" i="28"/>
  <c r="W93" i="28"/>
  <c r="W100" i="28"/>
  <c r="W98" i="28"/>
  <c r="W97" i="28"/>
  <c r="W96" i="28"/>
  <c r="W92" i="28"/>
  <c r="W94" i="28"/>
  <c r="W91" i="28"/>
  <c r="W89" i="28"/>
  <c r="W88" i="28"/>
  <c r="W90" i="28"/>
  <c r="W87" i="28"/>
  <c r="W85" i="28"/>
  <c r="W84" i="28"/>
  <c r="W83" i="28"/>
  <c r="W82" i="28"/>
  <c r="W81" i="28"/>
  <c r="W86" i="28"/>
  <c r="W78" i="28"/>
  <c r="W80" i="28"/>
  <c r="W76" i="28"/>
  <c r="W75" i="28"/>
  <c r="W74" i="28"/>
  <c r="W72" i="28"/>
  <c r="W70" i="28"/>
  <c r="W68" i="28"/>
  <c r="W66" i="28"/>
  <c r="W77" i="28"/>
  <c r="W79" i="28"/>
  <c r="W71" i="28"/>
  <c r="W69" i="28"/>
  <c r="W67" i="28"/>
  <c r="W65" i="28"/>
  <c r="W64" i="28"/>
  <c r="W62" i="28"/>
  <c r="W60" i="28"/>
  <c r="W73" i="28"/>
  <c r="W63" i="28"/>
  <c r="W61" i="28"/>
  <c r="W59" i="28"/>
  <c r="W57" i="28"/>
  <c r="W56" i="28"/>
  <c r="W55" i="28"/>
  <c r="W54" i="28"/>
  <c r="W53" i="28"/>
  <c r="W52" i="28"/>
  <c r="W51" i="28"/>
  <c r="W50" i="28"/>
  <c r="W49" i="28"/>
  <c r="W48" i="28"/>
  <c r="W47" i="28"/>
  <c r="W46" i="28"/>
  <c r="W43" i="28"/>
  <c r="W58" i="28"/>
  <c r="W44" i="28"/>
  <c r="W41" i="28"/>
  <c r="W40" i="28"/>
  <c r="W38" i="28"/>
  <c r="W36" i="28"/>
  <c r="W34" i="28"/>
  <c r="W32" i="28"/>
  <c r="W45" i="28"/>
  <c r="W39" i="28"/>
  <c r="W37" i="28"/>
  <c r="W35" i="28"/>
  <c r="W33" i="28"/>
  <c r="W31" i="28"/>
  <c r="W42" i="28"/>
  <c r="W28" i="28"/>
  <c r="W26" i="28"/>
  <c r="W24" i="28"/>
  <c r="W30" i="28"/>
  <c r="W29" i="28"/>
  <c r="W27" i="28"/>
  <c r="W25" i="28"/>
  <c r="W23" i="28"/>
  <c r="W14" i="28"/>
  <c r="W10" i="28"/>
  <c r="W22" i="28"/>
  <c r="W21" i="28"/>
  <c r="W20" i="28"/>
  <c r="W19" i="28"/>
  <c r="W18" i="28"/>
  <c r="W17" i="28"/>
  <c r="W16" i="28"/>
  <c r="W15" i="28"/>
  <c r="W13" i="28"/>
  <c r="W9" i="28"/>
  <c r="W7" i="28"/>
  <c r="W12" i="28"/>
  <c r="W8" i="28"/>
  <c r="W4" i="28"/>
  <c r="W11" i="28"/>
  <c r="W5" i="28"/>
  <c r="W3" i="28"/>
  <c r="W6" i="28"/>
  <c r="G108" i="28"/>
  <c r="G109" i="28"/>
  <c r="G107" i="28"/>
  <c r="G106" i="28"/>
  <c r="G104" i="28"/>
  <c r="G103" i="28"/>
  <c r="G105" i="28"/>
  <c r="G101" i="28"/>
  <c r="G99" i="28"/>
  <c r="G102" i="28"/>
  <c r="G95" i="28"/>
  <c r="G93" i="28"/>
  <c r="G100" i="28"/>
  <c r="G98" i="28"/>
  <c r="G97" i="28"/>
  <c r="G96" i="28"/>
  <c r="G92" i="28"/>
  <c r="G94" i="28"/>
  <c r="G91" i="28"/>
  <c r="G89" i="28"/>
  <c r="G88" i="28"/>
  <c r="G90" i="28"/>
  <c r="G87" i="28"/>
  <c r="G85" i="28"/>
  <c r="G84" i="28"/>
  <c r="G83" i="28"/>
  <c r="G82" i="28"/>
  <c r="G81" i="28"/>
  <c r="G86" i="28"/>
  <c r="G78" i="28"/>
  <c r="G80" i="28"/>
  <c r="G76" i="28"/>
  <c r="G75" i="28"/>
  <c r="G74" i="28"/>
  <c r="G72" i="28"/>
  <c r="G70" i="28"/>
  <c r="G68" i="28"/>
  <c r="G66" i="28"/>
  <c r="G77" i="28"/>
  <c r="G79" i="28"/>
  <c r="G71" i="28"/>
  <c r="G69" i="28"/>
  <c r="G67" i="28"/>
  <c r="G65" i="28"/>
  <c r="G73" i="28"/>
  <c r="G64" i="28"/>
  <c r="G62" i="28"/>
  <c r="G60" i="28"/>
  <c r="G63" i="28"/>
  <c r="G61" i="28"/>
  <c r="G59" i="28"/>
  <c r="G57" i="28"/>
  <c r="G56" i="28"/>
  <c r="G55" i="28"/>
  <c r="G54" i="28"/>
  <c r="G53" i="28"/>
  <c r="G52" i="28"/>
  <c r="G51" i="28"/>
  <c r="G50" i="28"/>
  <c r="G49" i="28"/>
  <c r="G48" i="28"/>
  <c r="G47" i="28"/>
  <c r="G46" i="28"/>
  <c r="G45" i="28"/>
  <c r="G43" i="28"/>
  <c r="G58" i="28"/>
  <c r="G44" i="28"/>
  <c r="G41" i="28"/>
  <c r="G40" i="28"/>
  <c r="G38" i="28"/>
  <c r="G36" i="28"/>
  <c r="G34" i="28"/>
  <c r="G39" i="28"/>
  <c r="G37" i="28"/>
  <c r="G35" i="28"/>
  <c r="G33" i="28"/>
  <c r="G31" i="28"/>
  <c r="G42" i="28"/>
  <c r="G28" i="28"/>
  <c r="G26" i="28"/>
  <c r="G24" i="28"/>
  <c r="G30" i="28"/>
  <c r="G32" i="28"/>
  <c r="G29" i="28"/>
  <c r="G27" i="28"/>
  <c r="G25" i="28"/>
  <c r="G23" i="28"/>
  <c r="G14" i="28"/>
  <c r="G10" i="28"/>
  <c r="G22" i="28"/>
  <c r="G21" i="28"/>
  <c r="G20" i="28"/>
  <c r="G19" i="28"/>
  <c r="G18" i="28"/>
  <c r="G17" i="28"/>
  <c r="G16" i="28"/>
  <c r="G15" i="28"/>
  <c r="G13" i="28"/>
  <c r="G9" i="28"/>
  <c r="G7" i="28"/>
  <c r="G12" i="28"/>
  <c r="G8" i="28"/>
  <c r="G11" i="28"/>
  <c r="G5" i="28"/>
  <c r="G3" i="28"/>
  <c r="G6" i="28"/>
  <c r="G4" i="28"/>
  <c r="CX109" i="28"/>
  <c r="CX107" i="28"/>
  <c r="CX105" i="28"/>
  <c r="CX108" i="28"/>
  <c r="CX106" i="28"/>
  <c r="CX104" i="28"/>
  <c r="CX102" i="28"/>
  <c r="CX103" i="28"/>
  <c r="CX100" i="28"/>
  <c r="CX98" i="28"/>
  <c r="CX96" i="28"/>
  <c r="CX101" i="28"/>
  <c r="CX99" i="28"/>
  <c r="CX95" i="28"/>
  <c r="CX93" i="28"/>
  <c r="CX97" i="28"/>
  <c r="CX92" i="28"/>
  <c r="CX90" i="28"/>
  <c r="CX88" i="28"/>
  <c r="CX94" i="28"/>
  <c r="CX87" i="28"/>
  <c r="CX85" i="28"/>
  <c r="CX83" i="28"/>
  <c r="CX81" i="28"/>
  <c r="CX91" i="28"/>
  <c r="CX89" i="28"/>
  <c r="CX86" i="28"/>
  <c r="CX84" i="28"/>
  <c r="CX82" i="28"/>
  <c r="CX80" i="28"/>
  <c r="CX79" i="28"/>
  <c r="CX77" i="28"/>
  <c r="CX75" i="28"/>
  <c r="CX73" i="28"/>
  <c r="CX78" i="28"/>
  <c r="CX76" i="28"/>
  <c r="CX74" i="28"/>
  <c r="CX72" i="28"/>
  <c r="CX70" i="28"/>
  <c r="CX67" i="28"/>
  <c r="CX66" i="28"/>
  <c r="CX62" i="28"/>
  <c r="CX60" i="28"/>
  <c r="CX58" i="28"/>
  <c r="CX56" i="28"/>
  <c r="CX54" i="28"/>
  <c r="CX52" i="28"/>
  <c r="CX50" i="28"/>
  <c r="CX48" i="28"/>
  <c r="CX46" i="28"/>
  <c r="CX69" i="28"/>
  <c r="CX65" i="28"/>
  <c r="CX71" i="28"/>
  <c r="CX68" i="28"/>
  <c r="CX64" i="28"/>
  <c r="CX63" i="28"/>
  <c r="CX61" i="28"/>
  <c r="CX59" i="28"/>
  <c r="CX57" i="28"/>
  <c r="CX55" i="28"/>
  <c r="CX53" i="28"/>
  <c r="CX51" i="28"/>
  <c r="CX49" i="28"/>
  <c r="CX47" i="28"/>
  <c r="CX45" i="28"/>
  <c r="CX43" i="28"/>
  <c r="CX41" i="28"/>
  <c r="CX42" i="28"/>
  <c r="CX44" i="28"/>
  <c r="CX40" i="28"/>
  <c r="CX39" i="28"/>
  <c r="CX36" i="28"/>
  <c r="CX32" i="28"/>
  <c r="CX29" i="28"/>
  <c r="CX27" i="28"/>
  <c r="CX25" i="28"/>
  <c r="CX23" i="28"/>
  <c r="CX21" i="28"/>
  <c r="CX19" i="28"/>
  <c r="CX17" i="28"/>
  <c r="CX15" i="28"/>
  <c r="CX35" i="28"/>
  <c r="CX31" i="28"/>
  <c r="CX38" i="28"/>
  <c r="CX34" i="28"/>
  <c r="CX28" i="28"/>
  <c r="CX26" i="28"/>
  <c r="CX24" i="28"/>
  <c r="CX22" i="28"/>
  <c r="CX20" i="28"/>
  <c r="CX18" i="28"/>
  <c r="CX16" i="28"/>
  <c r="CX14" i="28"/>
  <c r="CX12" i="28"/>
  <c r="CX37" i="28"/>
  <c r="CX33" i="28"/>
  <c r="CX30" i="28"/>
  <c r="CX10" i="28"/>
  <c r="CX8" i="28"/>
  <c r="CX6" i="28"/>
  <c r="CX4" i="28"/>
  <c r="CX13" i="28"/>
  <c r="CX11" i="28"/>
  <c r="CX9" i="28"/>
  <c r="CX7" i="28"/>
  <c r="CX5" i="28"/>
  <c r="CX3" i="28"/>
  <c r="CH109" i="28"/>
  <c r="CH107" i="28"/>
  <c r="CH105" i="28"/>
  <c r="CH108" i="28"/>
  <c r="CH106" i="28"/>
  <c r="CH104" i="28"/>
  <c r="CH102" i="28"/>
  <c r="CH103" i="28"/>
  <c r="CH100" i="28"/>
  <c r="CH98" i="28"/>
  <c r="CH96" i="28"/>
  <c r="CH101" i="28"/>
  <c r="CH99" i="28"/>
  <c r="CH95" i="28"/>
  <c r="CH93" i="28"/>
  <c r="CH97" i="28"/>
  <c r="CH92" i="28"/>
  <c r="CH90" i="28"/>
  <c r="CH88" i="28"/>
  <c r="CH94" i="28"/>
  <c r="CH87" i="28"/>
  <c r="CH85" i="28"/>
  <c r="CH83" i="28"/>
  <c r="CH81" i="28"/>
  <c r="CH91" i="28"/>
  <c r="CH89" i="28"/>
  <c r="CH86" i="28"/>
  <c r="CH84" i="28"/>
  <c r="CH82" i="28"/>
  <c r="CH80" i="28"/>
  <c r="CH79" i="28"/>
  <c r="CH77" i="28"/>
  <c r="CH75" i="28"/>
  <c r="CH73" i="28"/>
  <c r="CH78" i="28"/>
  <c r="CH76" i="28"/>
  <c r="CH74" i="28"/>
  <c r="CH72" i="28"/>
  <c r="CH70" i="28"/>
  <c r="CH67" i="28"/>
  <c r="CH66" i="28"/>
  <c r="CH62" i="28"/>
  <c r="CH60" i="28"/>
  <c r="CH58" i="28"/>
  <c r="CH56" i="28"/>
  <c r="CH54" i="28"/>
  <c r="CH52" i="28"/>
  <c r="CH50" i="28"/>
  <c r="CH48" i="28"/>
  <c r="CH46" i="28"/>
  <c r="CH69" i="28"/>
  <c r="CH65" i="28"/>
  <c r="CH71" i="28"/>
  <c r="CH68" i="28"/>
  <c r="CH64" i="28"/>
  <c r="CH63" i="28"/>
  <c r="CH61" i="28"/>
  <c r="CH59" i="28"/>
  <c r="CH57" i="28"/>
  <c r="CH55" i="28"/>
  <c r="CH53" i="28"/>
  <c r="CH51" i="28"/>
  <c r="CH49" i="28"/>
  <c r="CH47" i="28"/>
  <c r="CH45" i="28"/>
  <c r="CH43" i="28"/>
  <c r="CH41" i="28"/>
  <c r="CH42" i="28"/>
  <c r="CH44" i="28"/>
  <c r="CH40" i="28"/>
  <c r="CH39" i="28"/>
  <c r="CH36" i="28"/>
  <c r="CH32" i="28"/>
  <c r="CH29" i="28"/>
  <c r="CH27" i="28"/>
  <c r="CH25" i="28"/>
  <c r="CH23" i="28"/>
  <c r="CH21" i="28"/>
  <c r="CH19" i="28"/>
  <c r="CH17" i="28"/>
  <c r="CH15" i="28"/>
  <c r="CH35" i="28"/>
  <c r="CH31" i="28"/>
  <c r="CH38" i="28"/>
  <c r="CH34" i="28"/>
  <c r="CH28" i="28"/>
  <c r="CH26" i="28"/>
  <c r="CH24" i="28"/>
  <c r="CH22" i="28"/>
  <c r="CH20" i="28"/>
  <c r="CH18" i="28"/>
  <c r="CH16" i="28"/>
  <c r="CH14" i="28"/>
  <c r="CH12" i="28"/>
  <c r="CH37" i="28"/>
  <c r="CH33" i="28"/>
  <c r="CH30" i="28"/>
  <c r="CH10" i="28"/>
  <c r="CH8" i="28"/>
  <c r="CH6" i="28"/>
  <c r="CH4" i="28"/>
  <c r="CH13" i="28"/>
  <c r="CH11" i="28"/>
  <c r="CH9" i="28"/>
  <c r="CH7" i="28"/>
  <c r="CH5" i="28"/>
  <c r="CH3" i="28"/>
  <c r="BR109" i="28"/>
  <c r="BR107" i="28"/>
  <c r="BR105" i="28"/>
  <c r="BR108" i="28"/>
  <c r="BR106" i="28"/>
  <c r="BR104" i="28"/>
  <c r="BR102" i="28"/>
  <c r="BR103" i="28"/>
  <c r="BR100" i="28"/>
  <c r="BR98" i="28"/>
  <c r="BR96" i="28"/>
  <c r="BR101" i="28"/>
  <c r="BR99" i="28"/>
  <c r="BR95" i="28"/>
  <c r="BR93" i="28"/>
  <c r="BR97" i="28"/>
  <c r="BR92" i="28"/>
  <c r="BR90" i="28"/>
  <c r="BR94" i="28"/>
  <c r="BR87" i="28"/>
  <c r="BR85" i="28"/>
  <c r="BR83" i="28"/>
  <c r="BR81" i="28"/>
  <c r="BR91" i="28"/>
  <c r="BR89" i="28"/>
  <c r="BR88" i="28"/>
  <c r="BR86" i="28"/>
  <c r="BR84" i="28"/>
  <c r="BR82" i="28"/>
  <c r="BR80" i="28"/>
  <c r="BR79" i="28"/>
  <c r="BR77" i="28"/>
  <c r="BR75" i="28"/>
  <c r="BR73" i="28"/>
  <c r="BR78" i="28"/>
  <c r="BR76" i="28"/>
  <c r="BR74" i="28"/>
  <c r="BR72" i="28"/>
  <c r="BR70" i="28"/>
  <c r="BR67" i="28"/>
  <c r="BR66" i="28"/>
  <c r="BR62" i="28"/>
  <c r="BR60" i="28"/>
  <c r="BR58" i="28"/>
  <c r="BR56" i="28"/>
  <c r="BR54" i="28"/>
  <c r="BR52" i="28"/>
  <c r="BR50" i="28"/>
  <c r="BR48" i="28"/>
  <c r="BR46" i="28"/>
  <c r="BR69" i="28"/>
  <c r="BR65" i="28"/>
  <c r="BR71" i="28"/>
  <c r="BR68" i="28"/>
  <c r="BR64" i="28"/>
  <c r="BR63" i="28"/>
  <c r="BR61" i="28"/>
  <c r="BR59" i="28"/>
  <c r="BR57" i="28"/>
  <c r="BR55" i="28"/>
  <c r="BR53" i="28"/>
  <c r="BR51" i="28"/>
  <c r="BR49" i="28"/>
  <c r="BR47" i="28"/>
  <c r="BR45" i="28"/>
  <c r="BR43" i="28"/>
  <c r="BR41" i="28"/>
  <c r="BR42" i="28"/>
  <c r="BR44" i="28"/>
  <c r="BR40" i="28"/>
  <c r="BR39" i="28"/>
  <c r="BR36" i="28"/>
  <c r="BR32" i="28"/>
  <c r="BR29" i="28"/>
  <c r="BR27" i="28"/>
  <c r="BR25" i="28"/>
  <c r="BR23" i="28"/>
  <c r="BR21" i="28"/>
  <c r="BR19" i="28"/>
  <c r="BR17" i="28"/>
  <c r="BR15" i="28"/>
  <c r="BR35" i="28"/>
  <c r="BR31" i="28"/>
  <c r="BR38" i="28"/>
  <c r="BR34" i="28"/>
  <c r="BR28" i="28"/>
  <c r="BR26" i="28"/>
  <c r="BR24" i="28"/>
  <c r="BR22" i="28"/>
  <c r="BR20" i="28"/>
  <c r="BR18" i="28"/>
  <c r="BR16" i="28"/>
  <c r="BR14" i="28"/>
  <c r="BR12" i="28"/>
  <c r="BR37" i="28"/>
  <c r="BR33" i="28"/>
  <c r="BR30" i="28"/>
  <c r="BR10" i="28"/>
  <c r="BR8" i="28"/>
  <c r="BR6" i="28"/>
  <c r="BR4" i="28"/>
  <c r="BR13" i="28"/>
  <c r="BR11" i="28"/>
  <c r="BR9" i="28"/>
  <c r="BR7" i="28"/>
  <c r="BR5" i="28"/>
  <c r="BR3" i="28"/>
  <c r="BB109" i="28"/>
  <c r="BB107" i="28"/>
  <c r="BB108" i="28"/>
  <c r="BB105" i="28"/>
  <c r="BB106" i="28"/>
  <c r="BB104" i="28"/>
  <c r="BB102" i="28"/>
  <c r="BB103" i="28"/>
  <c r="BB100" i="28"/>
  <c r="BB98" i="28"/>
  <c r="BB101" i="28"/>
  <c r="BB99" i="28"/>
  <c r="BB95" i="28"/>
  <c r="BB93" i="28"/>
  <c r="BB97" i="28"/>
  <c r="BB96" i="28"/>
  <c r="BB92" i="28"/>
  <c r="BB90" i="28"/>
  <c r="BB94" i="28"/>
  <c r="BB87" i="28"/>
  <c r="BB85" i="28"/>
  <c r="BB83" i="28"/>
  <c r="BB81" i="28"/>
  <c r="BB91" i="28"/>
  <c r="BB89" i="28"/>
  <c r="BB88" i="28"/>
  <c r="BB86" i="28"/>
  <c r="BB84" i="28"/>
  <c r="BB82" i="28"/>
  <c r="BB80" i="28"/>
  <c r="BB79" i="28"/>
  <c r="BB77" i="28"/>
  <c r="BB75" i="28"/>
  <c r="BB73" i="28"/>
  <c r="BB78" i="28"/>
  <c r="BB76" i="28"/>
  <c r="BB74" i="28"/>
  <c r="BB72" i="28"/>
  <c r="BB70" i="28"/>
  <c r="BB67" i="28"/>
  <c r="BB66" i="28"/>
  <c r="BB62" i="28"/>
  <c r="BB60" i="28"/>
  <c r="BB58" i="28"/>
  <c r="BB56" i="28"/>
  <c r="BB54" i="28"/>
  <c r="BB52" i="28"/>
  <c r="BB50" i="28"/>
  <c r="BB48" i="28"/>
  <c r="BB46" i="28"/>
  <c r="BB69" i="28"/>
  <c r="BB65" i="28"/>
  <c r="BB71" i="28"/>
  <c r="BB68" i="28"/>
  <c r="BB64" i="28"/>
  <c r="BB63" i="28"/>
  <c r="BB61" i="28"/>
  <c r="BB59" i="28"/>
  <c r="BB57" i="28"/>
  <c r="BB55" i="28"/>
  <c r="BB53" i="28"/>
  <c r="BB51" i="28"/>
  <c r="BB49" i="28"/>
  <c r="BB47" i="28"/>
  <c r="BB45" i="28"/>
  <c r="BB43" i="28"/>
  <c r="BB41" i="28"/>
  <c r="BB42" i="28"/>
  <c r="BB44" i="28"/>
  <c r="BB40" i="28"/>
  <c r="BB39" i="28"/>
  <c r="BB36" i="28"/>
  <c r="BB32" i="28"/>
  <c r="BB29" i="28"/>
  <c r="BB27" i="28"/>
  <c r="BB25" i="28"/>
  <c r="BB23" i="28"/>
  <c r="BB21" i="28"/>
  <c r="BB19" i="28"/>
  <c r="BB17" i="28"/>
  <c r="BB15" i="28"/>
  <c r="BB35" i="28"/>
  <c r="BB31" i="28"/>
  <c r="BB38" i="28"/>
  <c r="BB34" i="28"/>
  <c r="BB28" i="28"/>
  <c r="BB26" i="28"/>
  <c r="BB24" i="28"/>
  <c r="BB22" i="28"/>
  <c r="BB20" i="28"/>
  <c r="BB18" i="28"/>
  <c r="BB16" i="28"/>
  <c r="BB14" i="28"/>
  <c r="BB12" i="28"/>
  <c r="BB37" i="28"/>
  <c r="BB33" i="28"/>
  <c r="BB30" i="28"/>
  <c r="BB10" i="28"/>
  <c r="BB8" i="28"/>
  <c r="BB6" i="28"/>
  <c r="BB4" i="28"/>
  <c r="BB13" i="28"/>
  <c r="BB11" i="28"/>
  <c r="BB9" i="28"/>
  <c r="BB7" i="28"/>
  <c r="BB5" i="28"/>
  <c r="BB3" i="28"/>
  <c r="AL109" i="28"/>
  <c r="AL107" i="28"/>
  <c r="AL105" i="28"/>
  <c r="AL106" i="28"/>
  <c r="AL108" i="28"/>
  <c r="AL104" i="28"/>
  <c r="AL102" i="28"/>
  <c r="AL103" i="28"/>
  <c r="AL100" i="28"/>
  <c r="AL98" i="28"/>
  <c r="AL101" i="28"/>
  <c r="AL99" i="28"/>
  <c r="AL95" i="28"/>
  <c r="AL93" i="28"/>
  <c r="AL97" i="28"/>
  <c r="AL96" i="28"/>
  <c r="AL92" i="28"/>
  <c r="AL90" i="28"/>
  <c r="AL94" i="28"/>
  <c r="AL87" i="28"/>
  <c r="AL85" i="28"/>
  <c r="AL83" i="28"/>
  <c r="AL81" i="28"/>
  <c r="AL91" i="28"/>
  <c r="AL89" i="28"/>
  <c r="AL88" i="28"/>
  <c r="AL86" i="28"/>
  <c r="AL84" i="28"/>
  <c r="AL82" i="28"/>
  <c r="AL80" i="28"/>
  <c r="AL79" i="28"/>
  <c r="AL77" i="28"/>
  <c r="AL75" i="28"/>
  <c r="AL73" i="28"/>
  <c r="AL78" i="28"/>
  <c r="AL76" i="28"/>
  <c r="AL74" i="28"/>
  <c r="AL72" i="28"/>
  <c r="AL70" i="28"/>
  <c r="AL67" i="28"/>
  <c r="AL66" i="28"/>
  <c r="AL64" i="28"/>
  <c r="AL62" i="28"/>
  <c r="AL60" i="28"/>
  <c r="AL58" i="28"/>
  <c r="AL56" i="28"/>
  <c r="AL54" i="28"/>
  <c r="AL52" i="28"/>
  <c r="AL50" i="28"/>
  <c r="AL48" i="28"/>
  <c r="AL46" i="28"/>
  <c r="AL69" i="28"/>
  <c r="AL65" i="28"/>
  <c r="AL71" i="28"/>
  <c r="AL68" i="28"/>
  <c r="AL63" i="28"/>
  <c r="AL61" i="28"/>
  <c r="AL59" i="28"/>
  <c r="AL57" i="28"/>
  <c r="AL55" i="28"/>
  <c r="AL53" i="28"/>
  <c r="AL51" i="28"/>
  <c r="AL49" i="28"/>
  <c r="AL47" i="28"/>
  <c r="AL45" i="28"/>
  <c r="AL43" i="28"/>
  <c r="AL41" i="28"/>
  <c r="AL42" i="28"/>
  <c r="AL44" i="28"/>
  <c r="AL40" i="28"/>
  <c r="AL39" i="28"/>
  <c r="AL36" i="28"/>
  <c r="AL32" i="28"/>
  <c r="AL29" i="28"/>
  <c r="AL27" i="28"/>
  <c r="AL25" i="28"/>
  <c r="AL23" i="28"/>
  <c r="AL21" i="28"/>
  <c r="AL19" i="28"/>
  <c r="AL17" i="28"/>
  <c r="AL15" i="28"/>
  <c r="AL35" i="28"/>
  <c r="AL31" i="28"/>
  <c r="AL38" i="28"/>
  <c r="AL34" i="28"/>
  <c r="AL28" i="28"/>
  <c r="AL26" i="28"/>
  <c r="AL24" i="28"/>
  <c r="AL22" i="28"/>
  <c r="AL20" i="28"/>
  <c r="AL18" i="28"/>
  <c r="AL16" i="28"/>
  <c r="AL14" i="28"/>
  <c r="AL37" i="28"/>
  <c r="AL33" i="28"/>
  <c r="AL30" i="28"/>
  <c r="AL12" i="28"/>
  <c r="AL10" i="28"/>
  <c r="AL8" i="28"/>
  <c r="AL6" i="28"/>
  <c r="AL4" i="28"/>
  <c r="AL13" i="28"/>
  <c r="AL11" i="28"/>
  <c r="AL9" i="28"/>
  <c r="AL7" i="28"/>
  <c r="AL5" i="28"/>
  <c r="AL3" i="28"/>
  <c r="V109" i="28"/>
  <c r="V107" i="28"/>
  <c r="V105" i="28"/>
  <c r="V108" i="28"/>
  <c r="V106" i="28"/>
  <c r="V104" i="28"/>
  <c r="V102" i="28"/>
  <c r="V103" i="28"/>
  <c r="V100" i="28"/>
  <c r="V98" i="28"/>
  <c r="V101" i="28"/>
  <c r="V99" i="28"/>
  <c r="V95" i="28"/>
  <c r="V93" i="28"/>
  <c r="V97" i="28"/>
  <c r="V96" i="28"/>
  <c r="V92" i="28"/>
  <c r="V90" i="28"/>
  <c r="V94" i="28"/>
  <c r="V87" i="28"/>
  <c r="V85" i="28"/>
  <c r="V83" i="28"/>
  <c r="V81" i="28"/>
  <c r="V91" i="28"/>
  <c r="V89" i="28"/>
  <c r="V88" i="28"/>
  <c r="V86" i="28"/>
  <c r="V84" i="28"/>
  <c r="V82" i="28"/>
  <c r="V80" i="28"/>
  <c r="V79" i="28"/>
  <c r="V77" i="28"/>
  <c r="V75" i="28"/>
  <c r="V73" i="28"/>
  <c r="V78" i="28"/>
  <c r="V76" i="28"/>
  <c r="V74" i="28"/>
  <c r="V72" i="28"/>
  <c r="V70" i="28"/>
  <c r="V67" i="28"/>
  <c r="V66" i="28"/>
  <c r="V64" i="28"/>
  <c r="V62" i="28"/>
  <c r="V60" i="28"/>
  <c r="V58" i="28"/>
  <c r="V56" i="28"/>
  <c r="V54" i="28"/>
  <c r="V52" i="28"/>
  <c r="V50" i="28"/>
  <c r="V48" i="28"/>
  <c r="V46" i="28"/>
  <c r="V69" i="28"/>
  <c r="V65" i="28"/>
  <c r="V71" i="28"/>
  <c r="V68" i="28"/>
  <c r="V63" i="28"/>
  <c r="V61" i="28"/>
  <c r="V59" i="28"/>
  <c r="V57" i="28"/>
  <c r="V55" i="28"/>
  <c r="V53" i="28"/>
  <c r="V51" i="28"/>
  <c r="V49" i="28"/>
  <c r="V47" i="28"/>
  <c r="V45" i="28"/>
  <c r="V43" i="28"/>
  <c r="V41" i="28"/>
  <c r="V42" i="28"/>
  <c r="V44" i="28"/>
  <c r="V39" i="28"/>
  <c r="V36" i="28"/>
  <c r="V32" i="28"/>
  <c r="V29" i="28"/>
  <c r="V27" i="28"/>
  <c r="V25" i="28"/>
  <c r="V23" i="28"/>
  <c r="V21" i="28"/>
  <c r="V19" i="28"/>
  <c r="V17" i="28"/>
  <c r="V15" i="28"/>
  <c r="V35" i="28"/>
  <c r="V31" i="28"/>
  <c r="V38" i="28"/>
  <c r="V34" i="28"/>
  <c r="V28" i="28"/>
  <c r="V26" i="28"/>
  <c r="V24" i="28"/>
  <c r="V22" i="28"/>
  <c r="V20" i="28"/>
  <c r="V18" i="28"/>
  <c r="V16" i="28"/>
  <c r="V14" i="28"/>
  <c r="V40" i="28"/>
  <c r="V37" i="28"/>
  <c r="V33" i="28"/>
  <c r="V30" i="28"/>
  <c r="V12" i="28"/>
  <c r="V10" i="28"/>
  <c r="V8" i="28"/>
  <c r="V6" i="28"/>
  <c r="V4" i="28"/>
  <c r="V13" i="28"/>
  <c r="V11" i="28"/>
  <c r="V9" i="28"/>
  <c r="V7" i="28"/>
  <c r="V5" i="28"/>
  <c r="V3" i="28"/>
  <c r="F109" i="28"/>
  <c r="F107" i="28"/>
  <c r="F105" i="28"/>
  <c r="F108" i="28"/>
  <c r="F106" i="28"/>
  <c r="F104" i="28"/>
  <c r="F102" i="28"/>
  <c r="F103" i="28"/>
  <c r="F100" i="28"/>
  <c r="F98" i="28"/>
  <c r="F101" i="28"/>
  <c r="F99" i="28"/>
  <c r="F95" i="28"/>
  <c r="F93" i="28"/>
  <c r="F97" i="28"/>
  <c r="F96" i="28"/>
  <c r="F92" i="28"/>
  <c r="F90" i="28"/>
  <c r="F94" i="28"/>
  <c r="F87" i="28"/>
  <c r="F85" i="28"/>
  <c r="F83" i="28"/>
  <c r="F81" i="28"/>
  <c r="F91" i="28"/>
  <c r="F89" i="28"/>
  <c r="F88" i="28"/>
  <c r="F86" i="28"/>
  <c r="F84" i="28"/>
  <c r="F82" i="28"/>
  <c r="F80" i="28"/>
  <c r="F79" i="28"/>
  <c r="F77" i="28"/>
  <c r="F75" i="28"/>
  <c r="F73" i="28"/>
  <c r="F78" i="28"/>
  <c r="F76" i="28"/>
  <c r="F74" i="28"/>
  <c r="F72" i="28"/>
  <c r="F70" i="28"/>
  <c r="F67" i="28"/>
  <c r="F66" i="28"/>
  <c r="F64" i="28"/>
  <c r="F62" i="28"/>
  <c r="F60" i="28"/>
  <c r="F58" i="28"/>
  <c r="F56" i="28"/>
  <c r="F54" i="28"/>
  <c r="F52" i="28"/>
  <c r="F50" i="28"/>
  <c r="F48" i="28"/>
  <c r="F46" i="28"/>
  <c r="F69" i="28"/>
  <c r="F65" i="28"/>
  <c r="F71" i="28"/>
  <c r="F68" i="28"/>
  <c r="F63" i="28"/>
  <c r="F61" i="28"/>
  <c r="F59" i="28"/>
  <c r="F57" i="28"/>
  <c r="F55" i="28"/>
  <c r="F53" i="28"/>
  <c r="F51" i="28"/>
  <c r="F49" i="28"/>
  <c r="F47" i="28"/>
  <c r="F45" i="28"/>
  <c r="F43" i="28"/>
  <c r="F41" i="28"/>
  <c r="F42" i="28"/>
  <c r="F44" i="28"/>
  <c r="F39" i="28"/>
  <c r="F36" i="28"/>
  <c r="F32" i="28"/>
  <c r="F29" i="28"/>
  <c r="F27" i="28"/>
  <c r="F25" i="28"/>
  <c r="F23" i="28"/>
  <c r="F21" i="28"/>
  <c r="F19" i="28"/>
  <c r="F17" i="28"/>
  <c r="F15" i="28"/>
  <c r="F35" i="28"/>
  <c r="F31" i="28"/>
  <c r="F38" i="28"/>
  <c r="F34" i="28"/>
  <c r="F28" i="28"/>
  <c r="F26" i="28"/>
  <c r="F24" i="28"/>
  <c r="F22" i="28"/>
  <c r="F20" i="28"/>
  <c r="F18" i="28"/>
  <c r="F16" i="28"/>
  <c r="F14" i="28"/>
  <c r="F40" i="28"/>
  <c r="F37" i="28"/>
  <c r="F33" i="28"/>
  <c r="F30" i="28"/>
  <c r="F12" i="28"/>
  <c r="F10" i="28"/>
  <c r="F8" i="28"/>
  <c r="F6" i="28"/>
  <c r="F4" i="28"/>
  <c r="F13" i="28"/>
  <c r="F11" i="28"/>
  <c r="F9" i="28"/>
  <c r="F7" i="28"/>
  <c r="F5" i="28"/>
  <c r="F3" i="28"/>
  <c r="CW109" i="28"/>
  <c r="CW108" i="28"/>
  <c r="CW106" i="28"/>
  <c r="CW107" i="28"/>
  <c r="CW105" i="28"/>
  <c r="CW103" i="28"/>
  <c r="CW104" i="28"/>
  <c r="CW102" i="28"/>
  <c r="CW101" i="28"/>
  <c r="CW100" i="28"/>
  <c r="CW97" i="28"/>
  <c r="CW96" i="28"/>
  <c r="CW94" i="28"/>
  <c r="CW99" i="28"/>
  <c r="CW98" i="28"/>
  <c r="CW95" i="28"/>
  <c r="CW93" i="28"/>
  <c r="CW92" i="28"/>
  <c r="CW90" i="28"/>
  <c r="CW91" i="28"/>
  <c r="CW89" i="28"/>
  <c r="CW88" i="28"/>
  <c r="CW86" i="28"/>
  <c r="CW80" i="28"/>
  <c r="CW85" i="28"/>
  <c r="CW84" i="28"/>
  <c r="CW83" i="28"/>
  <c r="CW82" i="28"/>
  <c r="CW81" i="28"/>
  <c r="CW79" i="28"/>
  <c r="CW77" i="28"/>
  <c r="CW87" i="28"/>
  <c r="CW73" i="28"/>
  <c r="CW71" i="28"/>
  <c r="CW69" i="28"/>
  <c r="CW67" i="28"/>
  <c r="CW65" i="28"/>
  <c r="CW76" i="28"/>
  <c r="CW75" i="28"/>
  <c r="CW74" i="28"/>
  <c r="CW78" i="28"/>
  <c r="CW72" i="28"/>
  <c r="CW70" i="28"/>
  <c r="CW68" i="28"/>
  <c r="CW66" i="28"/>
  <c r="CW64" i="28"/>
  <c r="CW63" i="28"/>
  <c r="CW61" i="28"/>
  <c r="CW62" i="28"/>
  <c r="CW60" i="28"/>
  <c r="CW58" i="28"/>
  <c r="CW45" i="28"/>
  <c r="CW44" i="28"/>
  <c r="CW57" i="28"/>
  <c r="CW56" i="28"/>
  <c r="CW55" i="28"/>
  <c r="CW54" i="28"/>
  <c r="CW53" i="28"/>
  <c r="CW52" i="28"/>
  <c r="CW51" i="28"/>
  <c r="CW50" i="28"/>
  <c r="CW49" i="28"/>
  <c r="CW48" i="28"/>
  <c r="CW47" i="28"/>
  <c r="CW46" i="28"/>
  <c r="CW59" i="28"/>
  <c r="CW43" i="28"/>
  <c r="CW39" i="28"/>
  <c r="CW37" i="28"/>
  <c r="CW35" i="28"/>
  <c r="CW33" i="28"/>
  <c r="CW38" i="28"/>
  <c r="CW36" i="28"/>
  <c r="CW34" i="28"/>
  <c r="CW32" i="28"/>
  <c r="CW30" i="28"/>
  <c r="CW40" i="28"/>
  <c r="CW42" i="28"/>
  <c r="CW29" i="28"/>
  <c r="CW27" i="28"/>
  <c r="CW25" i="28"/>
  <c r="CW23" i="28"/>
  <c r="CW41" i="28"/>
  <c r="CW31" i="28"/>
  <c r="CW28" i="28"/>
  <c r="CW26" i="28"/>
  <c r="CW24" i="28"/>
  <c r="CW5" i="28"/>
  <c r="CW14" i="28"/>
  <c r="CW6" i="28"/>
  <c r="CW4" i="28"/>
  <c r="CW22" i="28"/>
  <c r="CW21" i="28"/>
  <c r="CW20" i="28"/>
  <c r="CW19" i="28"/>
  <c r="CW18" i="28"/>
  <c r="CW17" i="28"/>
  <c r="CW16" i="28"/>
  <c r="CW15" i="28"/>
  <c r="CW10" i="28"/>
  <c r="CW8" i="28"/>
  <c r="CW11" i="28"/>
  <c r="CW7" i="28"/>
  <c r="CW13" i="28"/>
  <c r="CW12" i="28"/>
  <c r="CW9" i="28"/>
  <c r="CW3" i="28"/>
  <c r="CG109" i="28"/>
  <c r="CG108" i="28"/>
  <c r="CG106" i="28"/>
  <c r="CG107" i="28"/>
  <c r="CG105" i="28"/>
  <c r="CG103" i="28"/>
  <c r="CG104" i="28"/>
  <c r="CG102" i="28"/>
  <c r="CG101" i="28"/>
  <c r="CG100" i="28"/>
  <c r="CG97" i="28"/>
  <c r="CG96" i="28"/>
  <c r="CG94" i="28"/>
  <c r="CG99" i="28"/>
  <c r="CG98" i="28"/>
  <c r="CG95" i="28"/>
  <c r="CG93" i="28"/>
  <c r="CG92" i="28"/>
  <c r="CG90" i="28"/>
  <c r="CG91" i="28"/>
  <c r="CG89" i="28"/>
  <c r="CG88" i="28"/>
  <c r="CG86" i="28"/>
  <c r="CG80" i="28"/>
  <c r="CG85" i="28"/>
  <c r="CG84" i="28"/>
  <c r="CG83" i="28"/>
  <c r="CG82" i="28"/>
  <c r="CG81" i="28"/>
  <c r="CG79" i="28"/>
  <c r="CG77" i="28"/>
  <c r="CG87" i="28"/>
  <c r="CG73" i="28"/>
  <c r="CG71" i="28"/>
  <c r="CG69" i="28"/>
  <c r="CG67" i="28"/>
  <c r="CG65" i="28"/>
  <c r="CG76" i="28"/>
  <c r="CG75" i="28"/>
  <c r="CG74" i="28"/>
  <c r="CG78" i="28"/>
  <c r="CG72" i="28"/>
  <c r="CG70" i="28"/>
  <c r="CG68" i="28"/>
  <c r="CG66" i="28"/>
  <c r="CG64" i="28"/>
  <c r="CG63" i="28"/>
  <c r="CG61" i="28"/>
  <c r="CG62" i="28"/>
  <c r="CG60" i="28"/>
  <c r="CG58" i="28"/>
  <c r="CG45" i="28"/>
  <c r="CG44" i="28"/>
  <c r="CG57" i="28"/>
  <c r="CG56" i="28"/>
  <c r="CG55" i="28"/>
  <c r="CG54" i="28"/>
  <c r="CG53" i="28"/>
  <c r="CG52" i="28"/>
  <c r="CG51" i="28"/>
  <c r="CG50" i="28"/>
  <c r="CG49" i="28"/>
  <c r="CG48" i="28"/>
  <c r="CG47" i="28"/>
  <c r="CG46" i="28"/>
  <c r="CG59" i="28"/>
  <c r="CG43" i="28"/>
  <c r="CG39" i="28"/>
  <c r="CG37" i="28"/>
  <c r="CG35" i="28"/>
  <c r="CG33" i="28"/>
  <c r="CG38" i="28"/>
  <c r="CG36" i="28"/>
  <c r="CG34" i="28"/>
  <c r="CG32" i="28"/>
  <c r="CG30" i="28"/>
  <c r="CG40" i="28"/>
  <c r="CG42" i="28"/>
  <c r="CG41" i="28"/>
  <c r="CG29" i="28"/>
  <c r="CG27" i="28"/>
  <c r="CG25" i="28"/>
  <c r="CG23" i="28"/>
  <c r="CG31" i="28"/>
  <c r="CG28" i="28"/>
  <c r="CG26" i="28"/>
  <c r="CG24" i="28"/>
  <c r="CG5" i="28"/>
  <c r="CG14" i="28"/>
  <c r="CG6" i="28"/>
  <c r="CG4" i="28"/>
  <c r="CG22" i="28"/>
  <c r="CG21" i="28"/>
  <c r="CG20" i="28"/>
  <c r="CG19" i="28"/>
  <c r="CG18" i="28"/>
  <c r="CG17" i="28"/>
  <c r="CG16" i="28"/>
  <c r="CG15" i="28"/>
  <c r="CG10" i="28"/>
  <c r="CG8" i="28"/>
  <c r="CG11" i="28"/>
  <c r="CG7" i="28"/>
  <c r="CG13" i="28"/>
  <c r="CG12" i="28"/>
  <c r="CG9" i="28"/>
  <c r="CG3" i="28"/>
  <c r="BQ109" i="28"/>
  <c r="BQ108" i="28"/>
  <c r="BQ106" i="28"/>
  <c r="BQ107" i="28"/>
  <c r="BQ105" i="28"/>
  <c r="BQ103" i="28"/>
  <c r="BQ104" i="28"/>
  <c r="BQ102" i="28"/>
  <c r="BQ101" i="28"/>
  <c r="BQ100" i="28"/>
  <c r="BQ97" i="28"/>
  <c r="BQ96" i="28"/>
  <c r="BQ94" i="28"/>
  <c r="BQ99" i="28"/>
  <c r="BQ98" i="28"/>
  <c r="BQ95" i="28"/>
  <c r="BQ93" i="28"/>
  <c r="BQ92" i="28"/>
  <c r="BQ90" i="28"/>
  <c r="BQ91" i="28"/>
  <c r="BQ89" i="28"/>
  <c r="BQ88" i="28"/>
  <c r="BQ86" i="28"/>
  <c r="BQ80" i="28"/>
  <c r="BQ85" i="28"/>
  <c r="BQ84" i="28"/>
  <c r="BQ83" i="28"/>
  <c r="BQ82" i="28"/>
  <c r="BQ81" i="28"/>
  <c r="BQ79" i="28"/>
  <c r="BQ77" i="28"/>
  <c r="BQ87" i="28"/>
  <c r="BQ73" i="28"/>
  <c r="BQ71" i="28"/>
  <c r="BQ69" i="28"/>
  <c r="BQ67" i="28"/>
  <c r="BQ65" i="28"/>
  <c r="BQ76" i="28"/>
  <c r="BQ75" i="28"/>
  <c r="BQ74" i="28"/>
  <c r="BQ78" i="28"/>
  <c r="BQ72" i="28"/>
  <c r="BQ70" i="28"/>
  <c r="BQ68" i="28"/>
  <c r="BQ66" i="28"/>
  <c r="BQ64" i="28"/>
  <c r="BQ63" i="28"/>
  <c r="BQ61" i="28"/>
  <c r="BQ62" i="28"/>
  <c r="BQ60" i="28"/>
  <c r="BQ58" i="28"/>
  <c r="BQ45" i="28"/>
  <c r="BQ44" i="28"/>
  <c r="BQ57" i="28"/>
  <c r="BQ56" i="28"/>
  <c r="BQ55" i="28"/>
  <c r="BQ54" i="28"/>
  <c r="BQ53" i="28"/>
  <c r="BQ52" i="28"/>
  <c r="BQ51" i="28"/>
  <c r="BQ50" i="28"/>
  <c r="BQ49" i="28"/>
  <c r="BQ48" i="28"/>
  <c r="BQ47" i="28"/>
  <c r="BQ46" i="28"/>
  <c r="BQ59" i="28"/>
  <c r="BQ43" i="28"/>
  <c r="BQ39" i="28"/>
  <c r="BQ37" i="28"/>
  <c r="BQ35" i="28"/>
  <c r="BQ33" i="28"/>
  <c r="BQ38" i="28"/>
  <c r="BQ36" i="28"/>
  <c r="BQ34" i="28"/>
  <c r="BQ32" i="28"/>
  <c r="BQ30" i="28"/>
  <c r="BQ40" i="28"/>
  <c r="BQ41" i="28"/>
  <c r="BQ29" i="28"/>
  <c r="BQ27" i="28"/>
  <c r="BQ25" i="28"/>
  <c r="BQ23" i="28"/>
  <c r="BQ31" i="28"/>
  <c r="BQ42" i="28"/>
  <c r="BQ28" i="28"/>
  <c r="BQ26" i="28"/>
  <c r="BQ24" i="28"/>
  <c r="BQ5" i="28"/>
  <c r="BQ14" i="28"/>
  <c r="BQ6" i="28"/>
  <c r="BQ4" i="28"/>
  <c r="BQ22" i="28"/>
  <c r="BQ21" i="28"/>
  <c r="BQ20" i="28"/>
  <c r="BQ19" i="28"/>
  <c r="BQ18" i="28"/>
  <c r="BQ17" i="28"/>
  <c r="BQ16" i="28"/>
  <c r="BQ15" i="28"/>
  <c r="BQ10" i="28"/>
  <c r="BQ8" i="28"/>
  <c r="BQ11" i="28"/>
  <c r="BQ7" i="28"/>
  <c r="BQ13" i="28"/>
  <c r="BQ12" i="28"/>
  <c r="BQ9" i="28"/>
  <c r="BQ3" i="28"/>
  <c r="BA109" i="28"/>
  <c r="BA108" i="28"/>
  <c r="BA107" i="28"/>
  <c r="BA106" i="28"/>
  <c r="BA105" i="28"/>
  <c r="BA103" i="28"/>
  <c r="BA104" i="28"/>
  <c r="BA102" i="28"/>
  <c r="BA101" i="28"/>
  <c r="BA100" i="28"/>
  <c r="BA97" i="28"/>
  <c r="BA96" i="28"/>
  <c r="BA94" i="28"/>
  <c r="BA99" i="28"/>
  <c r="BA98" i="28"/>
  <c r="BA95" i="28"/>
  <c r="BA93" i="28"/>
  <c r="BA92" i="28"/>
  <c r="BA90" i="28"/>
  <c r="BA91" i="28"/>
  <c r="BA89" i="28"/>
  <c r="BA88" i="28"/>
  <c r="BA86" i="28"/>
  <c r="BA80" i="28"/>
  <c r="BA85" i="28"/>
  <c r="BA84" i="28"/>
  <c r="BA83" i="28"/>
  <c r="BA82" i="28"/>
  <c r="BA81" i="28"/>
  <c r="BA79" i="28"/>
  <c r="BA77" i="28"/>
  <c r="BA87" i="28"/>
  <c r="BA73" i="28"/>
  <c r="BA71" i="28"/>
  <c r="BA69" i="28"/>
  <c r="BA67" i="28"/>
  <c r="BA65" i="28"/>
  <c r="BA76" i="28"/>
  <c r="BA75" i="28"/>
  <c r="BA74" i="28"/>
  <c r="BA78" i="28"/>
  <c r="BA72" i="28"/>
  <c r="BA70" i="28"/>
  <c r="BA68" i="28"/>
  <c r="BA66" i="28"/>
  <c r="BA64" i="28"/>
  <c r="BA63" i="28"/>
  <c r="BA61" i="28"/>
  <c r="BA62" i="28"/>
  <c r="BA60" i="28"/>
  <c r="BA58" i="28"/>
  <c r="BA45" i="28"/>
  <c r="BA44" i="28"/>
  <c r="BA57" i="28"/>
  <c r="BA56" i="28"/>
  <c r="BA55" i="28"/>
  <c r="BA54" i="28"/>
  <c r="BA53" i="28"/>
  <c r="BA52" i="28"/>
  <c r="BA51" i="28"/>
  <c r="BA50" i="28"/>
  <c r="BA49" i="28"/>
  <c r="BA48" i="28"/>
  <c r="BA47" i="28"/>
  <c r="BA46" i="28"/>
  <c r="BA59" i="28"/>
  <c r="BA43" i="28"/>
  <c r="BA39" i="28"/>
  <c r="BA37" i="28"/>
  <c r="BA35" i="28"/>
  <c r="BA33" i="28"/>
  <c r="BA38" i="28"/>
  <c r="BA36" i="28"/>
  <c r="BA34" i="28"/>
  <c r="BA32" i="28"/>
  <c r="BA30" i="28"/>
  <c r="BA40" i="28"/>
  <c r="BA29" i="28"/>
  <c r="BA27" i="28"/>
  <c r="BA25" i="28"/>
  <c r="BA23" i="28"/>
  <c r="BA42" i="28"/>
  <c r="BA31" i="28"/>
  <c r="BA41" i="28"/>
  <c r="BA28" i="28"/>
  <c r="BA26" i="28"/>
  <c r="BA24" i="28"/>
  <c r="BA5" i="28"/>
  <c r="BA14" i="28"/>
  <c r="BA6" i="28"/>
  <c r="BA4" i="28"/>
  <c r="BA22" i="28"/>
  <c r="BA21" i="28"/>
  <c r="BA20" i="28"/>
  <c r="BA19" i="28"/>
  <c r="BA18" i="28"/>
  <c r="BA17" i="28"/>
  <c r="BA16" i="28"/>
  <c r="BA15" i="28"/>
  <c r="BA10" i="28"/>
  <c r="BA8" i="28"/>
  <c r="BA11" i="28"/>
  <c r="BA7" i="28"/>
  <c r="BA13" i="28"/>
  <c r="BA12" i="28"/>
  <c r="BA9" i="28"/>
  <c r="BA3" i="28"/>
  <c r="AK109" i="28"/>
  <c r="AK108" i="28"/>
  <c r="AK107" i="28"/>
  <c r="AK106" i="28"/>
  <c r="AK105" i="28"/>
  <c r="AK103" i="28"/>
  <c r="AK104" i="28"/>
  <c r="AK102" i="28"/>
  <c r="AK101" i="28"/>
  <c r="AK100" i="28"/>
  <c r="AK97" i="28"/>
  <c r="AK96" i="28"/>
  <c r="AK94" i="28"/>
  <c r="AK99" i="28"/>
  <c r="AK98" i="28"/>
  <c r="AK95" i="28"/>
  <c r="AK93" i="28"/>
  <c r="AK92" i="28"/>
  <c r="AK90" i="28"/>
  <c r="AK91" i="28"/>
  <c r="AK89" i="28"/>
  <c r="AK88" i="28"/>
  <c r="AK86" i="28"/>
  <c r="AK80" i="28"/>
  <c r="AK85" i="28"/>
  <c r="AK84" i="28"/>
  <c r="AK83" i="28"/>
  <c r="AK82" i="28"/>
  <c r="AK81" i="28"/>
  <c r="AK79" i="28"/>
  <c r="AK77" i="28"/>
  <c r="AK87" i="28"/>
  <c r="AK73" i="28"/>
  <c r="AK71" i="28"/>
  <c r="AK69" i="28"/>
  <c r="AK67" i="28"/>
  <c r="AK65" i="28"/>
  <c r="AK76" i="28"/>
  <c r="AK75" i="28"/>
  <c r="AK74" i="28"/>
  <c r="AK78" i="28"/>
  <c r="AK72" i="28"/>
  <c r="AK70" i="28"/>
  <c r="AK68" i="28"/>
  <c r="AK66" i="28"/>
  <c r="AK63" i="28"/>
  <c r="AK61" i="28"/>
  <c r="AK64" i="28"/>
  <c r="AK62" i="28"/>
  <c r="AK60" i="28"/>
  <c r="AK58" i="28"/>
  <c r="AK45" i="28"/>
  <c r="AK44" i="28"/>
  <c r="AK57" i="28"/>
  <c r="AK56" i="28"/>
  <c r="AK55" i="28"/>
  <c r="AK54" i="28"/>
  <c r="AK53" i="28"/>
  <c r="AK52" i="28"/>
  <c r="AK51" i="28"/>
  <c r="AK50" i="28"/>
  <c r="AK49" i="28"/>
  <c r="AK48" i="28"/>
  <c r="AK47" i="28"/>
  <c r="AK46" i="28"/>
  <c r="AK59" i="28"/>
  <c r="AK43" i="28"/>
  <c r="AK39" i="28"/>
  <c r="AK37" i="28"/>
  <c r="AK35" i="28"/>
  <c r="AK33" i="28"/>
  <c r="AK38" i="28"/>
  <c r="AK36" i="28"/>
  <c r="AK34" i="28"/>
  <c r="AK32" i="28"/>
  <c r="AK30" i="28"/>
  <c r="AK40" i="28"/>
  <c r="AK42" i="28"/>
  <c r="AK29" i="28"/>
  <c r="AK27" i="28"/>
  <c r="AK25" i="28"/>
  <c r="AK23" i="28"/>
  <c r="AK41" i="28"/>
  <c r="AK31" i="28"/>
  <c r="AK28" i="28"/>
  <c r="AK26" i="28"/>
  <c r="AK24" i="28"/>
  <c r="AK5" i="28"/>
  <c r="AK14" i="28"/>
  <c r="AK6" i="28"/>
  <c r="AK4" i="28"/>
  <c r="AK22" i="28"/>
  <c r="AK21" i="28"/>
  <c r="AK20" i="28"/>
  <c r="AK19" i="28"/>
  <c r="AK18" i="28"/>
  <c r="AK17" i="28"/>
  <c r="AK16" i="28"/>
  <c r="AK15" i="28"/>
  <c r="AK12" i="28"/>
  <c r="AK10" i="28"/>
  <c r="AK8" i="28"/>
  <c r="AK11" i="28"/>
  <c r="AK7" i="28"/>
  <c r="AK13" i="28"/>
  <c r="AK9" i="28"/>
  <c r="AK3" i="28"/>
  <c r="U109" i="28"/>
  <c r="U108" i="28"/>
  <c r="U107" i="28"/>
  <c r="U106" i="28"/>
  <c r="U105" i="28"/>
  <c r="U103" i="28"/>
  <c r="U104" i="28"/>
  <c r="U102" i="28"/>
  <c r="U101" i="28"/>
  <c r="U100" i="28"/>
  <c r="U97" i="28"/>
  <c r="U96" i="28"/>
  <c r="U94" i="28"/>
  <c r="U99" i="28"/>
  <c r="U98" i="28"/>
  <c r="U95" i="28"/>
  <c r="U93" i="28"/>
  <c r="U92" i="28"/>
  <c r="U90" i="28"/>
  <c r="U91" i="28"/>
  <c r="U89" i="28"/>
  <c r="U88" i="28"/>
  <c r="U86" i="28"/>
  <c r="U80" i="28"/>
  <c r="U85" i="28"/>
  <c r="U84" i="28"/>
  <c r="U83" i="28"/>
  <c r="U82" i="28"/>
  <c r="U81" i="28"/>
  <c r="U79" i="28"/>
  <c r="U77" i="28"/>
  <c r="U87" i="28"/>
  <c r="U73" i="28"/>
  <c r="U71" i="28"/>
  <c r="U69" i="28"/>
  <c r="U67" i="28"/>
  <c r="U65" i="28"/>
  <c r="U76" i="28"/>
  <c r="U75" i="28"/>
  <c r="U74" i="28"/>
  <c r="U78" i="28"/>
  <c r="U72" i="28"/>
  <c r="U70" i="28"/>
  <c r="U68" i="28"/>
  <c r="U66" i="28"/>
  <c r="U63" i="28"/>
  <c r="U61" i="28"/>
  <c r="U64" i="28"/>
  <c r="U62" i="28"/>
  <c r="U60" i="28"/>
  <c r="U58" i="28"/>
  <c r="U45" i="28"/>
  <c r="U44" i="28"/>
  <c r="U57" i="28"/>
  <c r="U56" i="28"/>
  <c r="U55" i="28"/>
  <c r="U54" i="28"/>
  <c r="U53" i="28"/>
  <c r="U52" i="28"/>
  <c r="U51" i="28"/>
  <c r="U50" i="28"/>
  <c r="U49" i="28"/>
  <c r="U48" i="28"/>
  <c r="U47" i="28"/>
  <c r="U46" i="28"/>
  <c r="U59" i="28"/>
  <c r="U43" i="28"/>
  <c r="U39" i="28"/>
  <c r="U37" i="28"/>
  <c r="U35" i="28"/>
  <c r="U33" i="28"/>
  <c r="U40" i="28"/>
  <c r="U38" i="28"/>
  <c r="U36" i="28"/>
  <c r="U34" i="28"/>
  <c r="U32" i="28"/>
  <c r="U30" i="28"/>
  <c r="U42" i="28"/>
  <c r="U41" i="28"/>
  <c r="U29" i="28"/>
  <c r="U27" i="28"/>
  <c r="U25" i="28"/>
  <c r="U23" i="28"/>
  <c r="U31" i="28"/>
  <c r="U28" i="28"/>
  <c r="U26" i="28"/>
  <c r="U24" i="28"/>
  <c r="U5" i="28"/>
  <c r="U14" i="28"/>
  <c r="U6" i="28"/>
  <c r="U4" i="28"/>
  <c r="U22" i="28"/>
  <c r="U21" i="28"/>
  <c r="U20" i="28"/>
  <c r="U19" i="28"/>
  <c r="U18" i="28"/>
  <c r="U17" i="28"/>
  <c r="U16" i="28"/>
  <c r="U15" i="28"/>
  <c r="U12" i="28"/>
  <c r="U10" i="28"/>
  <c r="U8" i="28"/>
  <c r="U11" i="28"/>
  <c r="U7" i="28"/>
  <c r="U13" i="28"/>
  <c r="U9" i="28"/>
  <c r="U3" i="28"/>
  <c r="E109" i="28"/>
  <c r="E108" i="28"/>
  <c r="E107" i="28"/>
  <c r="E106" i="28"/>
  <c r="E105" i="28"/>
  <c r="E103" i="28"/>
  <c r="E104" i="28"/>
  <c r="E102" i="28"/>
  <c r="E101" i="28"/>
  <c r="E100" i="28"/>
  <c r="E97" i="28"/>
  <c r="E96" i="28"/>
  <c r="E94" i="28"/>
  <c r="E99" i="28"/>
  <c r="E98" i="28"/>
  <c r="E95" i="28"/>
  <c r="E93" i="28"/>
  <c r="E92" i="28"/>
  <c r="E90" i="28"/>
  <c r="E91" i="28"/>
  <c r="E89" i="28"/>
  <c r="E88" i="28"/>
  <c r="E86" i="28"/>
  <c r="E80" i="28"/>
  <c r="E85" i="28"/>
  <c r="E84" i="28"/>
  <c r="E83" i="28"/>
  <c r="E82" i="28"/>
  <c r="E81" i="28"/>
  <c r="E79" i="28"/>
  <c r="E77" i="28"/>
  <c r="E87" i="28"/>
  <c r="E73" i="28"/>
  <c r="E71" i="28"/>
  <c r="E69" i="28"/>
  <c r="E67" i="28"/>
  <c r="E65" i="28"/>
  <c r="E76" i="28"/>
  <c r="E75" i="28"/>
  <c r="E74" i="28"/>
  <c r="E78" i="28"/>
  <c r="E72" i="28"/>
  <c r="E70" i="28"/>
  <c r="E68" i="28"/>
  <c r="E66" i="28"/>
  <c r="E63" i="28"/>
  <c r="E61" i="28"/>
  <c r="E64" i="28"/>
  <c r="E62" i="28"/>
  <c r="E60" i="28"/>
  <c r="E58" i="28"/>
  <c r="E44" i="28"/>
  <c r="E57" i="28"/>
  <c r="E56" i="28"/>
  <c r="E55" i="28"/>
  <c r="E54" i="28"/>
  <c r="E53" i="28"/>
  <c r="E52" i="28"/>
  <c r="E51" i="28"/>
  <c r="E50" i="28"/>
  <c r="E49" i="28"/>
  <c r="E48" i="28"/>
  <c r="E47" i="28"/>
  <c r="E46" i="28"/>
  <c r="E59" i="28"/>
  <c r="E45" i="28"/>
  <c r="E43" i="28"/>
  <c r="E39" i="28"/>
  <c r="E37" i="28"/>
  <c r="E35" i="28"/>
  <c r="E33" i="28"/>
  <c r="E40" i="28"/>
  <c r="E38" i="28"/>
  <c r="E36" i="28"/>
  <c r="E34" i="28"/>
  <c r="E32" i="28"/>
  <c r="E30" i="28"/>
  <c r="E41" i="28"/>
  <c r="E29" i="28"/>
  <c r="E27" i="28"/>
  <c r="E25" i="28"/>
  <c r="E23" i="28"/>
  <c r="E31" i="28"/>
  <c r="E42" i="28"/>
  <c r="E28" i="28"/>
  <c r="E26" i="28"/>
  <c r="E24" i="28"/>
  <c r="E5" i="28"/>
  <c r="E14" i="28"/>
  <c r="E6" i="28"/>
  <c r="E4" i="28"/>
  <c r="E22" i="28"/>
  <c r="E21" i="28"/>
  <c r="E20" i="28"/>
  <c r="E19" i="28"/>
  <c r="E18" i="28"/>
  <c r="E17" i="28"/>
  <c r="E16" i="28"/>
  <c r="E15" i="28"/>
  <c r="E12" i="28"/>
  <c r="E10" i="28"/>
  <c r="E8" i="28"/>
  <c r="E11" i="28"/>
  <c r="E7" i="28"/>
  <c r="E13" i="28"/>
  <c r="E9" i="28"/>
  <c r="E3" i="28"/>
  <c r="DH64" i="28"/>
  <c r="CU109" i="28"/>
  <c r="CU108" i="28"/>
  <c r="CU107" i="28"/>
  <c r="CU106" i="28"/>
  <c r="CU104" i="28"/>
  <c r="CU105" i="28"/>
  <c r="CU103" i="28"/>
  <c r="CU102" i="28"/>
  <c r="CU101" i="28"/>
  <c r="CU99" i="28"/>
  <c r="CU98" i="28"/>
  <c r="CU95" i="28"/>
  <c r="CU93" i="28"/>
  <c r="CU97" i="28"/>
  <c r="CU100" i="28"/>
  <c r="CU96" i="28"/>
  <c r="CU94" i="28"/>
  <c r="CU92" i="28"/>
  <c r="CU91" i="28"/>
  <c r="CU88" i="28"/>
  <c r="CU90" i="28"/>
  <c r="CU89" i="28"/>
  <c r="CU87" i="28"/>
  <c r="CU85" i="28"/>
  <c r="CU78" i="28"/>
  <c r="CU86" i="28"/>
  <c r="CU84" i="28"/>
  <c r="CU83" i="28"/>
  <c r="CU82" i="28"/>
  <c r="CU81" i="28"/>
  <c r="CU80" i="28"/>
  <c r="CU79" i="28"/>
  <c r="CU70" i="28"/>
  <c r="CU68" i="28"/>
  <c r="CU66" i="28"/>
  <c r="CU77" i="28"/>
  <c r="CU76" i="28"/>
  <c r="CU75" i="28"/>
  <c r="CU74" i="28"/>
  <c r="CU73" i="28"/>
  <c r="CU71" i="28"/>
  <c r="CU69" i="28"/>
  <c r="CU67" i="28"/>
  <c r="CU65" i="28"/>
  <c r="CU62" i="28"/>
  <c r="CU60" i="28"/>
  <c r="CU64" i="28"/>
  <c r="CU63" i="28"/>
  <c r="CU61" i="28"/>
  <c r="CU59" i="28"/>
  <c r="CU72" i="28"/>
  <c r="CU43" i="28"/>
  <c r="CU58" i="28"/>
  <c r="CU57" i="28"/>
  <c r="CU56" i="28"/>
  <c r="CU55" i="28"/>
  <c r="CU54" i="28"/>
  <c r="CU53" i="28"/>
  <c r="CU52" i="28"/>
  <c r="CU51" i="28"/>
  <c r="CU50" i="28"/>
  <c r="CU49" i="28"/>
  <c r="CU48" i="28"/>
  <c r="CU47" i="28"/>
  <c r="CU46" i="28"/>
  <c r="CU45" i="28"/>
  <c r="CU44" i="28"/>
  <c r="CU40" i="28"/>
  <c r="CU38" i="28"/>
  <c r="CU36" i="28"/>
  <c r="CU34" i="28"/>
  <c r="CU32" i="28"/>
  <c r="CU42" i="28"/>
  <c r="CU39" i="28"/>
  <c r="CU37" i="28"/>
  <c r="CU35" i="28"/>
  <c r="CU33" i="28"/>
  <c r="CU31" i="28"/>
  <c r="CU41" i="28"/>
  <c r="CU30" i="28"/>
  <c r="CU28" i="28"/>
  <c r="CU26" i="28"/>
  <c r="CU24" i="28"/>
  <c r="CU29" i="28"/>
  <c r="CU27" i="28"/>
  <c r="CU25" i="28"/>
  <c r="CU23" i="28"/>
  <c r="CU10" i="28"/>
  <c r="CU12" i="28"/>
  <c r="CU9" i="28"/>
  <c r="CU7" i="28"/>
  <c r="CU8" i="28"/>
  <c r="CU4" i="28"/>
  <c r="CU11" i="28"/>
  <c r="CU5" i="28"/>
  <c r="CU3" i="28"/>
  <c r="CU22" i="28"/>
  <c r="CU21" i="28"/>
  <c r="CU20" i="28"/>
  <c r="CU19" i="28"/>
  <c r="CU18" i="28"/>
  <c r="CU17" i="28"/>
  <c r="CU16" i="28"/>
  <c r="CU15" i="28"/>
  <c r="CU14" i="28"/>
  <c r="CU13" i="28"/>
  <c r="CU6" i="28"/>
  <c r="CE109" i="28"/>
  <c r="CE108" i="28"/>
  <c r="CE107" i="28"/>
  <c r="CE106" i="28"/>
  <c r="CE104" i="28"/>
  <c r="CE105" i="28"/>
  <c r="CE103" i="28"/>
  <c r="CE102" i="28"/>
  <c r="CE101" i="28"/>
  <c r="CE99" i="28"/>
  <c r="CE98" i="28"/>
  <c r="CE95" i="28"/>
  <c r="CE93" i="28"/>
  <c r="CE97" i="28"/>
  <c r="CE100" i="28"/>
  <c r="CE96" i="28"/>
  <c r="CE94" i="28"/>
  <c r="CE92" i="28"/>
  <c r="CE91" i="28"/>
  <c r="CE88" i="28"/>
  <c r="CE90" i="28"/>
  <c r="CE89" i="28"/>
  <c r="CE87" i="28"/>
  <c r="CE85" i="28"/>
  <c r="CE78" i="28"/>
  <c r="CE86" i="28"/>
  <c r="CE84" i="28"/>
  <c r="CE83" i="28"/>
  <c r="CE82" i="28"/>
  <c r="CE81" i="28"/>
  <c r="CE80" i="28"/>
  <c r="CE79" i="28"/>
  <c r="CE70" i="28"/>
  <c r="CE68" i="28"/>
  <c r="CE66" i="28"/>
  <c r="CE77" i="28"/>
  <c r="CE76" i="28"/>
  <c r="CE75" i="28"/>
  <c r="CE74" i="28"/>
  <c r="CE73" i="28"/>
  <c r="CE71" i="28"/>
  <c r="CE69" i="28"/>
  <c r="CE67" i="28"/>
  <c r="CE65" i="28"/>
  <c r="CE62" i="28"/>
  <c r="CE60" i="28"/>
  <c r="CE64" i="28"/>
  <c r="CE72" i="28"/>
  <c r="CE63" i="28"/>
  <c r="CE61" i="28"/>
  <c r="CE59" i="28"/>
  <c r="CE43" i="28"/>
  <c r="CE58" i="28"/>
  <c r="CE57" i="28"/>
  <c r="CE56" i="28"/>
  <c r="CE55" i="28"/>
  <c r="CE54" i="28"/>
  <c r="CE53" i="28"/>
  <c r="CE52" i="28"/>
  <c r="CE51" i="28"/>
  <c r="CE50" i="28"/>
  <c r="CE49" i="28"/>
  <c r="CE48" i="28"/>
  <c r="CE47" i="28"/>
  <c r="CE46" i="28"/>
  <c r="CE45" i="28"/>
  <c r="CE44" i="28"/>
  <c r="CE40" i="28"/>
  <c r="CE38" i="28"/>
  <c r="CE36" i="28"/>
  <c r="CE34" i="28"/>
  <c r="CE32" i="28"/>
  <c r="CE42" i="28"/>
  <c r="CE39" i="28"/>
  <c r="CE37" i="28"/>
  <c r="CE35" i="28"/>
  <c r="CE33" i="28"/>
  <c r="CE31" i="28"/>
  <c r="CE41" i="28"/>
  <c r="CE30" i="28"/>
  <c r="CE28" i="28"/>
  <c r="CE26" i="28"/>
  <c r="CE24" i="28"/>
  <c r="CE29" i="28"/>
  <c r="CE27" i="28"/>
  <c r="CE25" i="28"/>
  <c r="CE23" i="28"/>
  <c r="CE10" i="28"/>
  <c r="CE12" i="28"/>
  <c r="CE9" i="28"/>
  <c r="CE7" i="28"/>
  <c r="CE8" i="28"/>
  <c r="CE4" i="28"/>
  <c r="CE11" i="28"/>
  <c r="CE5" i="28"/>
  <c r="CE3" i="28"/>
  <c r="CE22" i="28"/>
  <c r="CE21" i="28"/>
  <c r="CE20" i="28"/>
  <c r="CE19" i="28"/>
  <c r="CE18" i="28"/>
  <c r="CE17" i="28"/>
  <c r="CE16" i="28"/>
  <c r="CE15" i="28"/>
  <c r="CE14" i="28"/>
  <c r="CE13" i="28"/>
  <c r="CE6" i="28"/>
  <c r="BO109" i="28"/>
  <c r="BO108" i="28"/>
  <c r="BO107" i="28"/>
  <c r="BO106" i="28"/>
  <c r="BO104" i="28"/>
  <c r="BO105" i="28"/>
  <c r="BO103" i="28"/>
  <c r="BO102" i="28"/>
  <c r="BO101" i="28"/>
  <c r="BO99" i="28"/>
  <c r="BO98" i="28"/>
  <c r="BO95" i="28"/>
  <c r="BO93" i="28"/>
  <c r="BO97" i="28"/>
  <c r="BO100" i="28"/>
  <c r="BO96" i="28"/>
  <c r="BO94" i="28"/>
  <c r="BO92" i="28"/>
  <c r="BO91" i="28"/>
  <c r="BO88" i="28"/>
  <c r="BO90" i="28"/>
  <c r="BO89" i="28"/>
  <c r="BO87" i="28"/>
  <c r="BO85" i="28"/>
  <c r="BO78" i="28"/>
  <c r="BO86" i="28"/>
  <c r="BO84" i="28"/>
  <c r="BO83" i="28"/>
  <c r="BO82" i="28"/>
  <c r="BO81" i="28"/>
  <c r="BO80" i="28"/>
  <c r="BO79" i="28"/>
  <c r="BO70" i="28"/>
  <c r="BO68" i="28"/>
  <c r="BO66" i="28"/>
  <c r="BO77" i="28"/>
  <c r="BO76" i="28"/>
  <c r="BO75" i="28"/>
  <c r="BO74" i="28"/>
  <c r="BO73" i="28"/>
  <c r="BO71" i="28"/>
  <c r="BO69" i="28"/>
  <c r="BO67" i="28"/>
  <c r="BO65" i="28"/>
  <c r="BO62" i="28"/>
  <c r="BO60" i="28"/>
  <c r="BO72" i="28"/>
  <c r="BO64" i="28"/>
  <c r="BO63" i="28"/>
  <c r="BO61" i="28"/>
  <c r="BO59" i="28"/>
  <c r="BO43" i="28"/>
  <c r="BO58" i="28"/>
  <c r="BO57" i="28"/>
  <c r="BO56" i="28"/>
  <c r="BO55" i="28"/>
  <c r="BO54" i="28"/>
  <c r="BO53" i="28"/>
  <c r="BO52" i="28"/>
  <c r="BO51" i="28"/>
  <c r="BO50" i="28"/>
  <c r="BO49" i="28"/>
  <c r="BO48" i="28"/>
  <c r="BO47" i="28"/>
  <c r="BO46" i="28"/>
  <c r="BO45" i="28"/>
  <c r="BO44" i="28"/>
  <c r="BO40" i="28"/>
  <c r="BO38" i="28"/>
  <c r="BO36" i="28"/>
  <c r="BO34" i="28"/>
  <c r="BO32" i="28"/>
  <c r="BO42" i="28"/>
  <c r="BO39" i="28"/>
  <c r="BO37" i="28"/>
  <c r="BO35" i="28"/>
  <c r="BO33" i="28"/>
  <c r="BO31" i="28"/>
  <c r="BO41" i="28"/>
  <c r="BO30" i="28"/>
  <c r="BO28" i="28"/>
  <c r="BO26" i="28"/>
  <c r="BO24" i="28"/>
  <c r="BO29" i="28"/>
  <c r="BO27" i="28"/>
  <c r="BO25" i="28"/>
  <c r="BO23" i="28"/>
  <c r="BO10" i="28"/>
  <c r="BO12" i="28"/>
  <c r="BO9" i="28"/>
  <c r="BO7" i="28"/>
  <c r="BO8" i="28"/>
  <c r="BO4" i="28"/>
  <c r="BO11" i="28"/>
  <c r="BO5" i="28"/>
  <c r="BO3" i="28"/>
  <c r="BO22" i="28"/>
  <c r="BO21" i="28"/>
  <c r="BO20" i="28"/>
  <c r="BO19" i="28"/>
  <c r="BO18" i="28"/>
  <c r="BO17" i="28"/>
  <c r="BO16" i="28"/>
  <c r="BO15" i="28"/>
  <c r="BO14" i="28"/>
  <c r="BO13" i="28"/>
  <c r="BO6" i="28"/>
  <c r="AY109" i="28"/>
  <c r="AY108" i="28"/>
  <c r="AY107" i="28"/>
  <c r="AY106" i="28"/>
  <c r="AY104" i="28"/>
  <c r="AY105" i="28"/>
  <c r="AY103" i="28"/>
  <c r="AY102" i="28"/>
  <c r="AY101" i="28"/>
  <c r="AY99" i="28"/>
  <c r="AY98" i="28"/>
  <c r="AY95" i="28"/>
  <c r="AY93" i="28"/>
  <c r="AY97" i="28"/>
  <c r="AY100" i="28"/>
  <c r="AY96" i="28"/>
  <c r="AY94" i="28"/>
  <c r="AY92" i="28"/>
  <c r="AY91" i="28"/>
  <c r="AY88" i="28"/>
  <c r="AY90" i="28"/>
  <c r="AY89" i="28"/>
  <c r="AY87" i="28"/>
  <c r="AY85" i="28"/>
  <c r="AY78" i="28"/>
  <c r="AY86" i="28"/>
  <c r="AY84" i="28"/>
  <c r="AY83" i="28"/>
  <c r="AY82" i="28"/>
  <c r="AY81" i="28"/>
  <c r="AY80" i="28"/>
  <c r="AY79" i="28"/>
  <c r="AY70" i="28"/>
  <c r="AY68" i="28"/>
  <c r="AY66" i="28"/>
  <c r="AY77" i="28"/>
  <c r="AY76" i="28"/>
  <c r="AY75" i="28"/>
  <c r="AY74" i="28"/>
  <c r="AY73" i="28"/>
  <c r="AY71" i="28"/>
  <c r="AY69" i="28"/>
  <c r="AY67" i="28"/>
  <c r="AY65" i="28"/>
  <c r="AY72" i="28"/>
  <c r="AY62" i="28"/>
  <c r="AY60" i="28"/>
  <c r="AY64" i="28"/>
  <c r="AY63" i="28"/>
  <c r="AY61" i="28"/>
  <c r="AY59" i="28"/>
  <c r="AY43" i="28"/>
  <c r="AY58" i="28"/>
  <c r="AY57" i="28"/>
  <c r="AY56" i="28"/>
  <c r="AY55" i="28"/>
  <c r="AY54" i="28"/>
  <c r="AY53" i="28"/>
  <c r="AY52" i="28"/>
  <c r="AY51" i="28"/>
  <c r="AY50" i="28"/>
  <c r="AY49" i="28"/>
  <c r="AY48" i="28"/>
  <c r="AY47" i="28"/>
  <c r="AY46" i="28"/>
  <c r="AY45" i="28"/>
  <c r="AY44" i="28"/>
  <c r="AY40" i="28"/>
  <c r="AY38" i="28"/>
  <c r="AY36" i="28"/>
  <c r="AY34" i="28"/>
  <c r="AY32" i="28"/>
  <c r="AY42" i="28"/>
  <c r="AY39" i="28"/>
  <c r="AY37" i="28"/>
  <c r="AY35" i="28"/>
  <c r="AY33" i="28"/>
  <c r="AY31" i="28"/>
  <c r="AY41" i="28"/>
  <c r="AY30" i="28"/>
  <c r="AY28" i="28"/>
  <c r="AY26" i="28"/>
  <c r="AY24" i="28"/>
  <c r="AY29" i="28"/>
  <c r="AY27" i="28"/>
  <c r="AY25" i="28"/>
  <c r="AY23" i="28"/>
  <c r="AY10" i="28"/>
  <c r="AY12" i="28"/>
  <c r="AY9" i="28"/>
  <c r="AY7" i="28"/>
  <c r="AY8" i="28"/>
  <c r="AY4" i="28"/>
  <c r="AY11" i="28"/>
  <c r="AY5" i="28"/>
  <c r="AY3" i="28"/>
  <c r="AY22" i="28"/>
  <c r="AY21" i="28"/>
  <c r="AY20" i="28"/>
  <c r="AY19" i="28"/>
  <c r="AY18" i="28"/>
  <c r="AY17" i="28"/>
  <c r="AY16" i="28"/>
  <c r="AY15" i="28"/>
  <c r="AY14" i="28"/>
  <c r="AY13" i="28"/>
  <c r="AY6" i="28"/>
  <c r="AI109" i="28"/>
  <c r="AI108" i="28"/>
  <c r="AI107" i="28"/>
  <c r="AI106" i="28"/>
  <c r="AI104" i="28"/>
  <c r="AI105" i="28"/>
  <c r="AI103" i="28"/>
  <c r="AI102" i="28"/>
  <c r="AI101" i="28"/>
  <c r="AI99" i="28"/>
  <c r="AI98" i="28"/>
  <c r="AI95" i="28"/>
  <c r="AI93" i="28"/>
  <c r="AI97" i="28"/>
  <c r="AI100" i="28"/>
  <c r="AI96" i="28"/>
  <c r="AI94" i="28"/>
  <c r="AI92" i="28"/>
  <c r="AI91" i="28"/>
  <c r="AI88" i="28"/>
  <c r="AI90" i="28"/>
  <c r="AI89" i="28"/>
  <c r="AI87" i="28"/>
  <c r="AI78" i="28"/>
  <c r="AI86" i="28"/>
  <c r="AI85" i="28"/>
  <c r="AI84" i="28"/>
  <c r="AI83" i="28"/>
  <c r="AI82" i="28"/>
  <c r="AI81" i="28"/>
  <c r="AI80" i="28"/>
  <c r="AI79" i="28"/>
  <c r="AI70" i="28"/>
  <c r="AI68" i="28"/>
  <c r="AI66" i="28"/>
  <c r="AI77" i="28"/>
  <c r="AI76" i="28"/>
  <c r="AI75" i="28"/>
  <c r="AI74" i="28"/>
  <c r="AI73" i="28"/>
  <c r="AI71" i="28"/>
  <c r="AI69" i="28"/>
  <c r="AI67" i="28"/>
  <c r="AI65" i="28"/>
  <c r="AI64" i="28"/>
  <c r="AI62" i="28"/>
  <c r="AI60" i="28"/>
  <c r="AI63" i="28"/>
  <c r="AI61" i="28"/>
  <c r="AI59" i="28"/>
  <c r="AI72" i="28"/>
  <c r="AI43" i="28"/>
  <c r="AI58" i="28"/>
  <c r="AI57" i="28"/>
  <c r="AI56" i="28"/>
  <c r="AI55" i="28"/>
  <c r="AI54" i="28"/>
  <c r="AI53" i="28"/>
  <c r="AI52" i="28"/>
  <c r="AI51" i="28"/>
  <c r="AI50" i="28"/>
  <c r="AI49" i="28"/>
  <c r="AI48" i="28"/>
  <c r="AI47" i="28"/>
  <c r="AI46" i="28"/>
  <c r="AI45" i="28"/>
  <c r="AI44" i="28"/>
  <c r="AI40" i="28"/>
  <c r="AI38" i="28"/>
  <c r="AI36" i="28"/>
  <c r="AI34" i="28"/>
  <c r="AI32" i="28"/>
  <c r="AI42" i="28"/>
  <c r="AI39" i="28"/>
  <c r="AI37" i="28"/>
  <c r="AI35" i="28"/>
  <c r="AI33" i="28"/>
  <c r="AI31" i="28"/>
  <c r="AI41" i="28"/>
  <c r="AI30" i="28"/>
  <c r="AI28" i="28"/>
  <c r="AI26" i="28"/>
  <c r="AI24" i="28"/>
  <c r="AI29" i="28"/>
  <c r="AI27" i="28"/>
  <c r="AI25" i="28"/>
  <c r="AI23" i="28"/>
  <c r="AI10" i="28"/>
  <c r="AI9" i="28"/>
  <c r="AI7" i="28"/>
  <c r="AI12" i="28"/>
  <c r="AI8" i="28"/>
  <c r="AI4" i="28"/>
  <c r="AI11" i="28"/>
  <c r="AI5" i="28"/>
  <c r="AI3" i="28"/>
  <c r="AI22" i="28"/>
  <c r="AI21" i="28"/>
  <c r="AI20" i="28"/>
  <c r="AI19" i="28"/>
  <c r="AI18" i="28"/>
  <c r="AI17" i="28"/>
  <c r="AI16" i="28"/>
  <c r="AI15" i="28"/>
  <c r="AI14" i="28"/>
  <c r="AI13" i="28"/>
  <c r="AI6" i="28"/>
  <c r="S109" i="28"/>
  <c r="S108" i="28"/>
  <c r="S107" i="28"/>
  <c r="S106" i="28"/>
  <c r="S104" i="28"/>
  <c r="S105" i="28"/>
  <c r="S103" i="28"/>
  <c r="S102" i="28"/>
  <c r="S101" i="28"/>
  <c r="S99" i="28"/>
  <c r="S98" i="28"/>
  <c r="S95" i="28"/>
  <c r="S93" i="28"/>
  <c r="S97" i="28"/>
  <c r="S100" i="28"/>
  <c r="S96" i="28"/>
  <c r="S94" i="28"/>
  <c r="S92" i="28"/>
  <c r="S91" i="28"/>
  <c r="S88" i="28"/>
  <c r="S90" i="28"/>
  <c r="S89" i="28"/>
  <c r="S87" i="28"/>
  <c r="S78" i="28"/>
  <c r="S86" i="28"/>
  <c r="S85" i="28"/>
  <c r="S84" i="28"/>
  <c r="S83" i="28"/>
  <c r="S82" i="28"/>
  <c r="S81" i="28"/>
  <c r="S80" i="28"/>
  <c r="S79" i="28"/>
  <c r="S70" i="28"/>
  <c r="S68" i="28"/>
  <c r="S66" i="28"/>
  <c r="S77" i="28"/>
  <c r="S76" i="28"/>
  <c r="S75" i="28"/>
  <c r="S74" i="28"/>
  <c r="S73" i="28"/>
  <c r="S71" i="28"/>
  <c r="S69" i="28"/>
  <c r="S67" i="28"/>
  <c r="S65" i="28"/>
  <c r="S64" i="28"/>
  <c r="S62" i="28"/>
  <c r="S60" i="28"/>
  <c r="S72" i="28"/>
  <c r="S63" i="28"/>
  <c r="S61" i="28"/>
  <c r="S59" i="28"/>
  <c r="S43" i="28"/>
  <c r="S58" i="28"/>
  <c r="S57" i="28"/>
  <c r="S56" i="28"/>
  <c r="S55" i="28"/>
  <c r="S54" i="28"/>
  <c r="S53" i="28"/>
  <c r="S52" i="28"/>
  <c r="S51" i="28"/>
  <c r="S50" i="28"/>
  <c r="S49" i="28"/>
  <c r="S48" i="28"/>
  <c r="S47" i="28"/>
  <c r="S46" i="28"/>
  <c r="S45" i="28"/>
  <c r="S44" i="28"/>
  <c r="S40" i="28"/>
  <c r="S38" i="28"/>
  <c r="S36" i="28"/>
  <c r="S34" i="28"/>
  <c r="S42" i="28"/>
  <c r="S39" i="28"/>
  <c r="S37" i="28"/>
  <c r="S35" i="28"/>
  <c r="S33" i="28"/>
  <c r="S31" i="28"/>
  <c r="S41" i="28"/>
  <c r="S30" i="28"/>
  <c r="S28" i="28"/>
  <c r="S26" i="28"/>
  <c r="S24" i="28"/>
  <c r="S32" i="28"/>
  <c r="S29" i="28"/>
  <c r="S27" i="28"/>
  <c r="S25" i="28"/>
  <c r="S23" i="28"/>
  <c r="S10" i="28"/>
  <c r="S9" i="28"/>
  <c r="S7" i="28"/>
  <c r="S12" i="28"/>
  <c r="S8" i="28"/>
  <c r="S11" i="28"/>
  <c r="S5" i="28"/>
  <c r="S3" i="28"/>
  <c r="S22" i="28"/>
  <c r="S21" i="28"/>
  <c r="S20" i="28"/>
  <c r="S19" i="28"/>
  <c r="S18" i="28"/>
  <c r="S17" i="28"/>
  <c r="S16" i="28"/>
  <c r="S15" i="28"/>
  <c r="S14" i="28"/>
  <c r="S13" i="28"/>
  <c r="S6" i="28"/>
  <c r="S4" i="28"/>
  <c r="C109" i="28"/>
  <c r="C108" i="28"/>
  <c r="C107" i="28"/>
  <c r="C106" i="28"/>
  <c r="C104" i="28"/>
  <c r="C105" i="28"/>
  <c r="C103" i="28"/>
  <c r="C102" i="28"/>
  <c r="C101" i="28"/>
  <c r="C99" i="28"/>
  <c r="C98" i="28"/>
  <c r="C95" i="28"/>
  <c r="C93" i="28"/>
  <c r="C97" i="28"/>
  <c r="C100" i="28"/>
  <c r="C96" i="28"/>
  <c r="C94" i="28"/>
  <c r="C92" i="28"/>
  <c r="C91" i="28"/>
  <c r="C88" i="28"/>
  <c r="C90" i="28"/>
  <c r="C89" i="28"/>
  <c r="C87" i="28"/>
  <c r="C78" i="28"/>
  <c r="C86" i="28"/>
  <c r="C85" i="28"/>
  <c r="C84" i="28"/>
  <c r="C83" i="28"/>
  <c r="C82" i="28"/>
  <c r="C81" i="28"/>
  <c r="C80" i="28"/>
  <c r="C79" i="28"/>
  <c r="C70" i="28"/>
  <c r="C68" i="28"/>
  <c r="C66" i="28"/>
  <c r="C77" i="28"/>
  <c r="C76" i="28"/>
  <c r="C75" i="28"/>
  <c r="C74" i="28"/>
  <c r="C73" i="28"/>
  <c r="C71" i="28"/>
  <c r="C69" i="28"/>
  <c r="C67" i="28"/>
  <c r="C65" i="28"/>
  <c r="C64" i="28"/>
  <c r="C62" i="28"/>
  <c r="C60" i="28"/>
  <c r="C72" i="28"/>
  <c r="C63" i="28"/>
  <c r="C61" i="28"/>
  <c r="C59" i="28"/>
  <c r="C45" i="28"/>
  <c r="C43" i="28"/>
  <c r="C58" i="28"/>
  <c r="C57" i="28"/>
  <c r="C56" i="28"/>
  <c r="C55" i="28"/>
  <c r="C54" i="28"/>
  <c r="C53" i="28"/>
  <c r="C52" i="28"/>
  <c r="C51" i="28"/>
  <c r="C50" i="28"/>
  <c r="C49" i="28"/>
  <c r="C48" i="28"/>
  <c r="C47" i="28"/>
  <c r="C46" i="28"/>
  <c r="C44" i="28"/>
  <c r="C40" i="28"/>
  <c r="C38" i="28"/>
  <c r="C36" i="28"/>
  <c r="C34" i="28"/>
  <c r="C42" i="28"/>
  <c r="C39" i="28"/>
  <c r="C37" i="28"/>
  <c r="C35" i="28"/>
  <c r="C33" i="28"/>
  <c r="C31" i="28"/>
  <c r="C41" i="28"/>
  <c r="C30" i="28"/>
  <c r="C28" i="28"/>
  <c r="C26" i="28"/>
  <c r="C24" i="28"/>
  <c r="C32" i="28"/>
  <c r="C29" i="28"/>
  <c r="C27" i="28"/>
  <c r="C25" i="28"/>
  <c r="C23" i="28"/>
  <c r="C10" i="28"/>
  <c r="C9" i="28"/>
  <c r="C7" i="28"/>
  <c r="C12" i="28"/>
  <c r="C8" i="28"/>
  <c r="C11" i="28"/>
  <c r="C5" i="28"/>
  <c r="C3" i="28"/>
  <c r="C22" i="28"/>
  <c r="C21" i="28"/>
  <c r="C20" i="28"/>
  <c r="C19" i="28"/>
  <c r="C18" i="28"/>
  <c r="C17" i="28"/>
  <c r="C16" i="28"/>
  <c r="C15" i="28"/>
  <c r="C14" i="28"/>
  <c r="C13" i="28"/>
  <c r="C6" i="28"/>
  <c r="C4" i="28"/>
  <c r="CT109" i="28"/>
  <c r="CT108" i="28"/>
  <c r="CT107" i="28"/>
  <c r="CT105" i="28"/>
  <c r="CT106" i="28"/>
  <c r="CT104" i="28"/>
  <c r="CT102" i="28"/>
  <c r="CT103" i="28"/>
  <c r="CT100" i="28"/>
  <c r="CT98" i="28"/>
  <c r="CT96" i="28"/>
  <c r="CT101" i="28"/>
  <c r="CT99" i="28"/>
  <c r="CT95" i="28"/>
  <c r="CT93" i="28"/>
  <c r="CT97" i="28"/>
  <c r="CT94" i="28"/>
  <c r="CT92" i="28"/>
  <c r="CT90" i="28"/>
  <c r="CT88" i="28"/>
  <c r="CT89" i="28"/>
  <c r="CT87" i="28"/>
  <c r="CT85" i="28"/>
  <c r="CT83" i="28"/>
  <c r="CT81" i="28"/>
  <c r="CT86" i="28"/>
  <c r="CT84" i="28"/>
  <c r="CT82" i="28"/>
  <c r="CT80" i="28"/>
  <c r="CT91" i="28"/>
  <c r="CT79" i="28"/>
  <c r="CT77" i="28"/>
  <c r="CT75" i="28"/>
  <c r="CT73" i="28"/>
  <c r="CT78" i="28"/>
  <c r="CT76" i="28"/>
  <c r="CT74" i="28"/>
  <c r="CT72" i="28"/>
  <c r="CT70" i="28"/>
  <c r="CT71" i="28"/>
  <c r="CT69" i="28"/>
  <c r="CT65" i="28"/>
  <c r="CT68" i="28"/>
  <c r="CT62" i="28"/>
  <c r="CT60" i="28"/>
  <c r="CT58" i="28"/>
  <c r="CT56" i="28"/>
  <c r="CT54" i="28"/>
  <c r="CT52" i="28"/>
  <c r="CT50" i="28"/>
  <c r="CT48" i="28"/>
  <c r="CT46" i="28"/>
  <c r="CT67" i="28"/>
  <c r="CT64" i="28"/>
  <c r="CT66" i="28"/>
  <c r="CT63" i="28"/>
  <c r="CT61" i="28"/>
  <c r="CT59" i="28"/>
  <c r="CT57" i="28"/>
  <c r="CT55" i="28"/>
  <c r="CT53" i="28"/>
  <c r="CT51" i="28"/>
  <c r="CT49" i="28"/>
  <c r="CT47" i="28"/>
  <c r="CT45" i="28"/>
  <c r="CT43" i="28"/>
  <c r="CT41" i="28"/>
  <c r="CT44" i="28"/>
  <c r="CT42" i="28"/>
  <c r="CT39" i="28"/>
  <c r="CT40" i="28"/>
  <c r="CT38" i="28"/>
  <c r="CT34" i="28"/>
  <c r="CT31" i="28"/>
  <c r="CT29" i="28"/>
  <c r="CT27" i="28"/>
  <c r="CT25" i="28"/>
  <c r="CT23" i="28"/>
  <c r="CT21" i="28"/>
  <c r="CT19" i="28"/>
  <c r="CT17" i="28"/>
  <c r="CT15" i="28"/>
  <c r="CT37" i="28"/>
  <c r="CT33" i="28"/>
  <c r="CT36" i="28"/>
  <c r="CT32" i="28"/>
  <c r="CT30" i="28"/>
  <c r="CT28" i="28"/>
  <c r="CT26" i="28"/>
  <c r="CT24" i="28"/>
  <c r="CT22" i="28"/>
  <c r="CT20" i="28"/>
  <c r="CT18" i="28"/>
  <c r="CT16" i="28"/>
  <c r="CT14" i="28"/>
  <c r="CT12" i="28"/>
  <c r="CT35" i="28"/>
  <c r="CT13" i="28"/>
  <c r="CT10" i="28"/>
  <c r="CT8" i="28"/>
  <c r="CT6" i="28"/>
  <c r="CT4" i="28"/>
  <c r="CT11" i="28"/>
  <c r="CT9" i="28"/>
  <c r="CT7" i="28"/>
  <c r="CT5" i="28"/>
  <c r="CT3" i="28"/>
  <c r="CD109" i="28"/>
  <c r="CD108" i="28"/>
  <c r="CD107" i="28"/>
  <c r="CD105" i="28"/>
  <c r="CD106" i="28"/>
  <c r="CD104" i="28"/>
  <c r="CD102" i="28"/>
  <c r="CD103" i="28"/>
  <c r="CD100" i="28"/>
  <c r="CD98" i="28"/>
  <c r="CD96" i="28"/>
  <c r="CD101" i="28"/>
  <c r="CD99" i="28"/>
  <c r="CD95" i="28"/>
  <c r="CD93" i="28"/>
  <c r="CD97" i="28"/>
  <c r="CD94" i="28"/>
  <c r="CD92" i="28"/>
  <c r="CD90" i="28"/>
  <c r="CD88" i="28"/>
  <c r="CD89" i="28"/>
  <c r="CD87" i="28"/>
  <c r="CD85" i="28"/>
  <c r="CD83" i="28"/>
  <c r="CD81" i="28"/>
  <c r="CD86" i="28"/>
  <c r="CD84" i="28"/>
  <c r="CD82" i="28"/>
  <c r="CD80" i="28"/>
  <c r="CD91" i="28"/>
  <c r="CD79" i="28"/>
  <c r="CD77" i="28"/>
  <c r="CD75" i="28"/>
  <c r="CD73" i="28"/>
  <c r="CD78" i="28"/>
  <c r="CD76" i="28"/>
  <c r="CD74" i="28"/>
  <c r="CD72" i="28"/>
  <c r="CD70" i="28"/>
  <c r="CD71" i="28"/>
  <c r="CD69" i="28"/>
  <c r="CD65" i="28"/>
  <c r="CD68" i="28"/>
  <c r="CD62" i="28"/>
  <c r="CD60" i="28"/>
  <c r="CD58" i="28"/>
  <c r="CD56" i="28"/>
  <c r="CD54" i="28"/>
  <c r="CD52" i="28"/>
  <c r="CD50" i="28"/>
  <c r="CD48" i="28"/>
  <c r="CD46" i="28"/>
  <c r="CD67" i="28"/>
  <c r="CD64" i="28"/>
  <c r="CD66" i="28"/>
  <c r="CD63" i="28"/>
  <c r="CD61" i="28"/>
  <c r="CD59" i="28"/>
  <c r="CD57" i="28"/>
  <c r="CD55" i="28"/>
  <c r="CD53" i="28"/>
  <c r="CD51" i="28"/>
  <c r="CD49" i="28"/>
  <c r="CD47" i="28"/>
  <c r="CD45" i="28"/>
  <c r="CD43" i="28"/>
  <c r="CD41" i="28"/>
  <c r="CD44" i="28"/>
  <c r="CD42" i="28"/>
  <c r="CD39" i="28"/>
  <c r="CD38" i="28"/>
  <c r="CD34" i="28"/>
  <c r="CD31" i="28"/>
  <c r="CD29" i="28"/>
  <c r="CD27" i="28"/>
  <c r="CD25" i="28"/>
  <c r="CD23" i="28"/>
  <c r="CD21" i="28"/>
  <c r="CD19" i="28"/>
  <c r="CD17" i="28"/>
  <c r="CD15" i="28"/>
  <c r="CD37" i="28"/>
  <c r="CD33" i="28"/>
  <c r="CD36" i="28"/>
  <c r="CD32" i="28"/>
  <c r="CD30" i="28"/>
  <c r="CD28" i="28"/>
  <c r="CD26" i="28"/>
  <c r="CD24" i="28"/>
  <c r="CD22" i="28"/>
  <c r="CD20" i="28"/>
  <c r="CD18" i="28"/>
  <c r="CD16" i="28"/>
  <c r="CD14" i="28"/>
  <c r="CD12" i="28"/>
  <c r="CD40" i="28"/>
  <c r="CD35" i="28"/>
  <c r="CD13" i="28"/>
  <c r="CD10" i="28"/>
  <c r="CD8" i="28"/>
  <c r="CD6" i="28"/>
  <c r="CD4" i="28"/>
  <c r="CD11" i="28"/>
  <c r="CD9" i="28"/>
  <c r="CD7" i="28"/>
  <c r="CD5" i="28"/>
  <c r="CD3" i="28"/>
  <c r="BN109" i="28"/>
  <c r="BN108" i="28"/>
  <c r="BN107" i="28"/>
  <c r="BN105" i="28"/>
  <c r="BN106" i="28"/>
  <c r="BN104" i="28"/>
  <c r="BN102" i="28"/>
  <c r="BN103" i="28"/>
  <c r="BN100" i="28"/>
  <c r="BN98" i="28"/>
  <c r="BN101" i="28"/>
  <c r="BN99" i="28"/>
  <c r="BN95" i="28"/>
  <c r="BN93" i="28"/>
  <c r="BN97" i="28"/>
  <c r="BN96" i="28"/>
  <c r="BN94" i="28"/>
  <c r="BN92" i="28"/>
  <c r="BN90" i="28"/>
  <c r="BN89" i="28"/>
  <c r="BN87" i="28"/>
  <c r="BN85" i="28"/>
  <c r="BN83" i="28"/>
  <c r="BN81" i="28"/>
  <c r="BN88" i="28"/>
  <c r="BN86" i="28"/>
  <c r="BN84" i="28"/>
  <c r="BN82" i="28"/>
  <c r="BN80" i="28"/>
  <c r="BN91" i="28"/>
  <c r="BN79" i="28"/>
  <c r="BN77" i="28"/>
  <c r="BN75" i="28"/>
  <c r="BN73" i="28"/>
  <c r="BN78" i="28"/>
  <c r="BN76" i="28"/>
  <c r="BN74" i="28"/>
  <c r="BN72" i="28"/>
  <c r="BN70" i="28"/>
  <c r="BN71" i="28"/>
  <c r="BN69" i="28"/>
  <c r="BN65" i="28"/>
  <c r="BN68" i="28"/>
  <c r="BN62" i="28"/>
  <c r="BN60" i="28"/>
  <c r="BN58" i="28"/>
  <c r="BN56" i="28"/>
  <c r="BN54" i="28"/>
  <c r="BN52" i="28"/>
  <c r="BN50" i="28"/>
  <c r="BN48" i="28"/>
  <c r="BN46" i="28"/>
  <c r="BN67" i="28"/>
  <c r="BN64" i="28"/>
  <c r="BN66" i="28"/>
  <c r="BN63" i="28"/>
  <c r="BN61" i="28"/>
  <c r="BN59" i="28"/>
  <c r="BN57" i="28"/>
  <c r="BN55" i="28"/>
  <c r="BN53" i="28"/>
  <c r="BN51" i="28"/>
  <c r="BN49" i="28"/>
  <c r="BN47" i="28"/>
  <c r="BN45" i="28"/>
  <c r="BN43" i="28"/>
  <c r="BN41" i="28"/>
  <c r="BN44" i="28"/>
  <c r="BN42" i="28"/>
  <c r="BN39" i="28"/>
  <c r="BN38" i="28"/>
  <c r="BN34" i="28"/>
  <c r="BN31" i="28"/>
  <c r="BN29" i="28"/>
  <c r="BN27" i="28"/>
  <c r="BN25" i="28"/>
  <c r="BN23" i="28"/>
  <c r="BN21" i="28"/>
  <c r="BN19" i="28"/>
  <c r="BN17" i="28"/>
  <c r="BN15" i="28"/>
  <c r="BN37" i="28"/>
  <c r="BN33" i="28"/>
  <c r="BN40" i="28"/>
  <c r="BN36" i="28"/>
  <c r="BN32" i="28"/>
  <c r="BN30" i="28"/>
  <c r="BN28" i="28"/>
  <c r="BN26" i="28"/>
  <c r="BN24" i="28"/>
  <c r="BN22" i="28"/>
  <c r="BN20" i="28"/>
  <c r="BN18" i="28"/>
  <c r="BN16" i="28"/>
  <c r="BN14" i="28"/>
  <c r="BN12" i="28"/>
  <c r="BN35" i="28"/>
  <c r="BN13" i="28"/>
  <c r="BN10" i="28"/>
  <c r="BN8" i="28"/>
  <c r="BN6" i="28"/>
  <c r="BN4" i="28"/>
  <c r="BN11" i="28"/>
  <c r="BN9" i="28"/>
  <c r="BN7" i="28"/>
  <c r="BN5" i="28"/>
  <c r="BN3" i="28"/>
  <c r="AX109" i="28"/>
  <c r="AX108" i="28"/>
  <c r="AX107" i="28"/>
  <c r="AX105" i="28"/>
  <c r="AX106" i="28"/>
  <c r="AX104" i="28"/>
  <c r="AX102" i="28"/>
  <c r="AX103" i="28"/>
  <c r="AX100" i="28"/>
  <c r="AX98" i="28"/>
  <c r="AX101" i="28"/>
  <c r="AX99" i="28"/>
  <c r="AX95" i="28"/>
  <c r="AX93" i="28"/>
  <c r="AX97" i="28"/>
  <c r="AX96" i="28"/>
  <c r="AX94" i="28"/>
  <c r="AX92" i="28"/>
  <c r="AX90" i="28"/>
  <c r="AX89" i="28"/>
  <c r="AX87" i="28"/>
  <c r="AX85" i="28"/>
  <c r="AX83" i="28"/>
  <c r="AX81" i="28"/>
  <c r="AX88" i="28"/>
  <c r="AX86" i="28"/>
  <c r="AX84" i="28"/>
  <c r="AX82" i="28"/>
  <c r="AX80" i="28"/>
  <c r="AX91" i="28"/>
  <c r="AX79" i="28"/>
  <c r="AX77" i="28"/>
  <c r="AX75" i="28"/>
  <c r="AX73" i="28"/>
  <c r="AX78" i="28"/>
  <c r="AX76" i="28"/>
  <c r="AX74" i="28"/>
  <c r="AX72" i="28"/>
  <c r="AX70" i="28"/>
  <c r="AX71" i="28"/>
  <c r="AX69" i="28"/>
  <c r="AX65" i="28"/>
  <c r="AX68" i="28"/>
  <c r="AX62" i="28"/>
  <c r="AX60" i="28"/>
  <c r="AX58" i="28"/>
  <c r="AX56" i="28"/>
  <c r="AX54" i="28"/>
  <c r="AX52" i="28"/>
  <c r="AX50" i="28"/>
  <c r="AX48" i="28"/>
  <c r="AX46" i="28"/>
  <c r="AX67" i="28"/>
  <c r="AX64" i="28"/>
  <c r="AX66" i="28"/>
  <c r="AX63" i="28"/>
  <c r="AX61" i="28"/>
  <c r="AX59" i="28"/>
  <c r="AX57" i="28"/>
  <c r="AX55" i="28"/>
  <c r="AX53" i="28"/>
  <c r="AX51" i="28"/>
  <c r="AX49" i="28"/>
  <c r="AX47" i="28"/>
  <c r="AX45" i="28"/>
  <c r="AX43" i="28"/>
  <c r="AX41" i="28"/>
  <c r="AX44" i="28"/>
  <c r="AX42" i="28"/>
  <c r="AX39" i="28"/>
  <c r="AX38" i="28"/>
  <c r="AX34" i="28"/>
  <c r="AX31" i="28"/>
  <c r="AX29" i="28"/>
  <c r="AX27" i="28"/>
  <c r="AX25" i="28"/>
  <c r="AX23" i="28"/>
  <c r="AX21" i="28"/>
  <c r="AX19" i="28"/>
  <c r="AX17" i="28"/>
  <c r="AX15" i="28"/>
  <c r="AX40" i="28"/>
  <c r="AX37" i="28"/>
  <c r="AX33" i="28"/>
  <c r="AX36" i="28"/>
  <c r="AX32" i="28"/>
  <c r="AX30" i="28"/>
  <c r="AX28" i="28"/>
  <c r="AX26" i="28"/>
  <c r="AX24" i="28"/>
  <c r="AX22" i="28"/>
  <c r="AX20" i="28"/>
  <c r="AX18" i="28"/>
  <c r="AX16" i="28"/>
  <c r="AX14" i="28"/>
  <c r="AX12" i="28"/>
  <c r="AX35" i="28"/>
  <c r="AX13" i="28"/>
  <c r="AX10" i="28"/>
  <c r="AX8" i="28"/>
  <c r="AX6" i="28"/>
  <c r="AX4" i="28"/>
  <c r="AX11" i="28"/>
  <c r="AX9" i="28"/>
  <c r="AX7" i="28"/>
  <c r="AX5" i="28"/>
  <c r="AX3" i="28"/>
  <c r="AH109" i="28"/>
  <c r="AH108" i="28"/>
  <c r="AH107" i="28"/>
  <c r="AH105" i="28"/>
  <c r="AH106" i="28"/>
  <c r="AH104" i="28"/>
  <c r="AH102" i="28"/>
  <c r="AH103" i="28"/>
  <c r="AH100" i="28"/>
  <c r="AH98" i="28"/>
  <c r="AH101" i="28"/>
  <c r="AH99" i="28"/>
  <c r="AH95" i="28"/>
  <c r="AH93" i="28"/>
  <c r="AH97" i="28"/>
  <c r="AH96" i="28"/>
  <c r="AH94" i="28"/>
  <c r="AH92" i="28"/>
  <c r="AH90" i="28"/>
  <c r="AH89" i="28"/>
  <c r="AH87" i="28"/>
  <c r="AH85" i="28"/>
  <c r="AH83" i="28"/>
  <c r="AH81" i="28"/>
  <c r="AH88" i="28"/>
  <c r="AH86" i="28"/>
  <c r="AH84" i="28"/>
  <c r="AH82" i="28"/>
  <c r="AH80" i="28"/>
  <c r="AH91" i="28"/>
  <c r="AH79" i="28"/>
  <c r="AH77" i="28"/>
  <c r="AH75" i="28"/>
  <c r="AH73" i="28"/>
  <c r="AH78" i="28"/>
  <c r="AH76" i="28"/>
  <c r="AH74" i="28"/>
  <c r="AH72" i="28"/>
  <c r="AH70" i="28"/>
  <c r="AH71" i="28"/>
  <c r="AH69" i="28"/>
  <c r="AH65" i="28"/>
  <c r="AH68" i="28"/>
  <c r="AH64" i="28"/>
  <c r="AH62" i="28"/>
  <c r="AH60" i="28"/>
  <c r="AH58" i="28"/>
  <c r="AH56" i="28"/>
  <c r="AH54" i="28"/>
  <c r="AH52" i="28"/>
  <c r="AH50" i="28"/>
  <c r="AH48" i="28"/>
  <c r="AH46" i="28"/>
  <c r="AH67" i="28"/>
  <c r="AH66" i="28"/>
  <c r="AH63" i="28"/>
  <c r="AH61" i="28"/>
  <c r="AH59" i="28"/>
  <c r="AH57" i="28"/>
  <c r="AH55" i="28"/>
  <c r="AH53" i="28"/>
  <c r="AH51" i="28"/>
  <c r="AH49" i="28"/>
  <c r="AH47" i="28"/>
  <c r="AH45" i="28"/>
  <c r="AH43" i="28"/>
  <c r="AH41" i="28"/>
  <c r="AH44" i="28"/>
  <c r="AH42" i="28"/>
  <c r="AH39" i="28"/>
  <c r="AH40" i="28"/>
  <c r="AH38" i="28"/>
  <c r="AH34" i="28"/>
  <c r="AH31" i="28"/>
  <c r="AH29" i="28"/>
  <c r="AH27" i="28"/>
  <c r="AH25" i="28"/>
  <c r="AH23" i="28"/>
  <c r="AH21" i="28"/>
  <c r="AH19" i="28"/>
  <c r="AH17" i="28"/>
  <c r="AH15" i="28"/>
  <c r="AH37" i="28"/>
  <c r="AH33" i="28"/>
  <c r="AH36" i="28"/>
  <c r="AH32" i="28"/>
  <c r="AH30" i="28"/>
  <c r="AH28" i="28"/>
  <c r="AH26" i="28"/>
  <c r="AH24" i="28"/>
  <c r="AH22" i="28"/>
  <c r="AH20" i="28"/>
  <c r="AH18" i="28"/>
  <c r="AH16" i="28"/>
  <c r="AH14" i="28"/>
  <c r="AH35" i="28"/>
  <c r="AH13" i="28"/>
  <c r="AH12" i="28"/>
  <c r="AH10" i="28"/>
  <c r="AH8" i="28"/>
  <c r="AH6" i="28"/>
  <c r="AH4" i="28"/>
  <c r="AH11" i="28"/>
  <c r="AH9" i="28"/>
  <c r="AH7" i="28"/>
  <c r="AH5" i="28"/>
  <c r="AH3" i="28"/>
  <c r="R109" i="28"/>
  <c r="R108" i="28"/>
  <c r="R107" i="28"/>
  <c r="R105" i="28"/>
  <c r="R106" i="28"/>
  <c r="R104" i="28"/>
  <c r="R102" i="28"/>
  <c r="R103" i="28"/>
  <c r="R100" i="28"/>
  <c r="R98" i="28"/>
  <c r="R101" i="28"/>
  <c r="R99" i="28"/>
  <c r="R95" i="28"/>
  <c r="R93" i="28"/>
  <c r="R97" i="28"/>
  <c r="R96" i="28"/>
  <c r="R94" i="28"/>
  <c r="R92" i="28"/>
  <c r="R90" i="28"/>
  <c r="R89" i="28"/>
  <c r="R87" i="28"/>
  <c r="R85" i="28"/>
  <c r="R83" i="28"/>
  <c r="R81" i="28"/>
  <c r="R88" i="28"/>
  <c r="R86" i="28"/>
  <c r="R84" i="28"/>
  <c r="R82" i="28"/>
  <c r="R80" i="28"/>
  <c r="R91" i="28"/>
  <c r="R79" i="28"/>
  <c r="R77" i="28"/>
  <c r="R75" i="28"/>
  <c r="R73" i="28"/>
  <c r="R78" i="28"/>
  <c r="R76" i="28"/>
  <c r="R74" i="28"/>
  <c r="R72" i="28"/>
  <c r="R70" i="28"/>
  <c r="R71" i="28"/>
  <c r="R69" i="28"/>
  <c r="R65" i="28"/>
  <c r="R68" i="28"/>
  <c r="R64" i="28"/>
  <c r="R62" i="28"/>
  <c r="R60" i="28"/>
  <c r="R58" i="28"/>
  <c r="R56" i="28"/>
  <c r="R54" i="28"/>
  <c r="R52" i="28"/>
  <c r="R50" i="28"/>
  <c r="R48" i="28"/>
  <c r="R46" i="28"/>
  <c r="R67" i="28"/>
  <c r="R66" i="28"/>
  <c r="R63" i="28"/>
  <c r="R61" i="28"/>
  <c r="R59" i="28"/>
  <c r="R57" i="28"/>
  <c r="R55" i="28"/>
  <c r="R53" i="28"/>
  <c r="R51" i="28"/>
  <c r="R49" i="28"/>
  <c r="R47" i="28"/>
  <c r="R45" i="28"/>
  <c r="R43" i="28"/>
  <c r="R41" i="28"/>
  <c r="R44" i="28"/>
  <c r="R42" i="28"/>
  <c r="R39" i="28"/>
  <c r="R40" i="28"/>
  <c r="R38" i="28"/>
  <c r="R34" i="28"/>
  <c r="R31" i="28"/>
  <c r="R29" i="28"/>
  <c r="R27" i="28"/>
  <c r="R25" i="28"/>
  <c r="R23" i="28"/>
  <c r="R21" i="28"/>
  <c r="R19" i="28"/>
  <c r="R17" i="28"/>
  <c r="R15" i="28"/>
  <c r="R37" i="28"/>
  <c r="R33" i="28"/>
  <c r="R36" i="28"/>
  <c r="R30" i="28"/>
  <c r="R28" i="28"/>
  <c r="R26" i="28"/>
  <c r="R24" i="28"/>
  <c r="R22" i="28"/>
  <c r="R20" i="28"/>
  <c r="R18" i="28"/>
  <c r="R16" i="28"/>
  <c r="R14" i="28"/>
  <c r="R35" i="28"/>
  <c r="R32" i="28"/>
  <c r="R13" i="28"/>
  <c r="R12" i="28"/>
  <c r="R10" i="28"/>
  <c r="R8" i="28"/>
  <c r="R6" i="28"/>
  <c r="R4" i="28"/>
  <c r="R11" i="28"/>
  <c r="R9" i="28"/>
  <c r="R7" i="28"/>
  <c r="R5" i="28"/>
  <c r="R3" i="28"/>
  <c r="CS109" i="28"/>
  <c r="CS108" i="28"/>
  <c r="CS107" i="28"/>
  <c r="CS106" i="28"/>
  <c r="CS103" i="28"/>
  <c r="CS104" i="28"/>
  <c r="CS102" i="28"/>
  <c r="CS105" i="28"/>
  <c r="CS101" i="28"/>
  <c r="CS100" i="28"/>
  <c r="CS94" i="28"/>
  <c r="CS98" i="28"/>
  <c r="CS99" i="28"/>
  <c r="CS97" i="28"/>
  <c r="CS96" i="28"/>
  <c r="CS95" i="28"/>
  <c r="CS93" i="28"/>
  <c r="CS92" i="28"/>
  <c r="CS91" i="28"/>
  <c r="CS89" i="28"/>
  <c r="CS88" i="28"/>
  <c r="CS90" i="28"/>
  <c r="CS86" i="28"/>
  <c r="CS87" i="28"/>
  <c r="CS84" i="28"/>
  <c r="CS79" i="28"/>
  <c r="CS77" i="28"/>
  <c r="CS85" i="28"/>
  <c r="CS78" i="28"/>
  <c r="CS71" i="28"/>
  <c r="CS69" i="28"/>
  <c r="CS67" i="28"/>
  <c r="CS65" i="28"/>
  <c r="CS83" i="28"/>
  <c r="CS82" i="28"/>
  <c r="CS81" i="28"/>
  <c r="CS72" i="28"/>
  <c r="CS80" i="28"/>
  <c r="CS70" i="28"/>
  <c r="CS68" i="28"/>
  <c r="CS66" i="28"/>
  <c r="CS64" i="28"/>
  <c r="CS63" i="28"/>
  <c r="CS61" i="28"/>
  <c r="CS76" i="28"/>
  <c r="CS75" i="28"/>
  <c r="CS74" i="28"/>
  <c r="CS62" i="28"/>
  <c r="CS60" i="28"/>
  <c r="CS58" i="28"/>
  <c r="CS73" i="28"/>
  <c r="CS59" i="28"/>
  <c r="CS57" i="28"/>
  <c r="CS44" i="28"/>
  <c r="CS43" i="28"/>
  <c r="CS45" i="28"/>
  <c r="CS42" i="28"/>
  <c r="CS41" i="28"/>
  <c r="CS39" i="28"/>
  <c r="CS37" i="28"/>
  <c r="CS35" i="28"/>
  <c r="CS33" i="28"/>
  <c r="CS40" i="28"/>
  <c r="CS38" i="28"/>
  <c r="CS36" i="28"/>
  <c r="CS34" i="28"/>
  <c r="CS32" i="28"/>
  <c r="CS30" i="28"/>
  <c r="CS56" i="28"/>
  <c r="CS55" i="28"/>
  <c r="CS54" i="28"/>
  <c r="CS53" i="28"/>
  <c r="CS52" i="28"/>
  <c r="CS51" i="28"/>
  <c r="CS50" i="28"/>
  <c r="CS49" i="28"/>
  <c r="CS48" i="28"/>
  <c r="CS47" i="28"/>
  <c r="CS46" i="28"/>
  <c r="CS31" i="28"/>
  <c r="CS29" i="28"/>
  <c r="CS27" i="28"/>
  <c r="CS25" i="28"/>
  <c r="CS23" i="28"/>
  <c r="CS28" i="28"/>
  <c r="CS26" i="28"/>
  <c r="CS24" i="28"/>
  <c r="CS22" i="28"/>
  <c r="CS21" i="28"/>
  <c r="CS20" i="28"/>
  <c r="CS19" i="28"/>
  <c r="CS16" i="28"/>
  <c r="CS14" i="28"/>
  <c r="CS5" i="28"/>
  <c r="CS6" i="28"/>
  <c r="CS4" i="28"/>
  <c r="CS15" i="28"/>
  <c r="CS13" i="28"/>
  <c r="CS12" i="28"/>
  <c r="CS10" i="28"/>
  <c r="CS8" i="28"/>
  <c r="CS11" i="28"/>
  <c r="CS7" i="28"/>
  <c r="CS18" i="28"/>
  <c r="CS17" i="28"/>
  <c r="CS9" i="28"/>
  <c r="CS3" i="28"/>
  <c r="CC109" i="28"/>
  <c r="CC107" i="28"/>
  <c r="CC108" i="28"/>
  <c r="CC106" i="28"/>
  <c r="CC103" i="28"/>
  <c r="CC104" i="28"/>
  <c r="CC102" i="28"/>
  <c r="CC105" i="28"/>
  <c r="CC101" i="28"/>
  <c r="CC100" i="28"/>
  <c r="CC94" i="28"/>
  <c r="CC98" i="28"/>
  <c r="CC99" i="28"/>
  <c r="CC97" i="28"/>
  <c r="CC96" i="28"/>
  <c r="CC95" i="28"/>
  <c r="CC93" i="28"/>
  <c r="CC92" i="28"/>
  <c r="CC91" i="28"/>
  <c r="CC89" i="28"/>
  <c r="CC88" i="28"/>
  <c r="CC90" i="28"/>
  <c r="CC86" i="28"/>
  <c r="CC87" i="28"/>
  <c r="CC84" i="28"/>
  <c r="CC79" i="28"/>
  <c r="CC77" i="28"/>
  <c r="CC85" i="28"/>
  <c r="CC83" i="28"/>
  <c r="CC82" i="28"/>
  <c r="CC81" i="28"/>
  <c r="CC78" i="28"/>
  <c r="CC71" i="28"/>
  <c r="CC69" i="28"/>
  <c r="CC67" i="28"/>
  <c r="CC65" i="28"/>
  <c r="CC80" i="28"/>
  <c r="CC72" i="28"/>
  <c r="CC70" i="28"/>
  <c r="CC68" i="28"/>
  <c r="CC66" i="28"/>
  <c r="CC64" i="28"/>
  <c r="CC76" i="28"/>
  <c r="CC75" i="28"/>
  <c r="CC74" i="28"/>
  <c r="CC63" i="28"/>
  <c r="CC61" i="28"/>
  <c r="CC73" i="28"/>
  <c r="CC62" i="28"/>
  <c r="CC60" i="28"/>
  <c r="CC58" i="28"/>
  <c r="CC59" i="28"/>
  <c r="CC57" i="28"/>
  <c r="CC44" i="28"/>
  <c r="CC43" i="28"/>
  <c r="CC42" i="28"/>
  <c r="CC41" i="28"/>
  <c r="CC39" i="28"/>
  <c r="CC37" i="28"/>
  <c r="CC35" i="28"/>
  <c r="CC33" i="28"/>
  <c r="CC56" i="28"/>
  <c r="CC55" i="28"/>
  <c r="CC54" i="28"/>
  <c r="CC53" i="28"/>
  <c r="CC52" i="28"/>
  <c r="CC51" i="28"/>
  <c r="CC50" i="28"/>
  <c r="CC49" i="28"/>
  <c r="CC48" i="28"/>
  <c r="CC47" i="28"/>
  <c r="CC46" i="28"/>
  <c r="CC40" i="28"/>
  <c r="CC38" i="28"/>
  <c r="CC36" i="28"/>
  <c r="CC34" i="28"/>
  <c r="CC32" i="28"/>
  <c r="CC30" i="28"/>
  <c r="CC45" i="28"/>
  <c r="CC31" i="28"/>
  <c r="CC29" i="28"/>
  <c r="CC27" i="28"/>
  <c r="CC25" i="28"/>
  <c r="CC23" i="28"/>
  <c r="CC28" i="28"/>
  <c r="CC26" i="28"/>
  <c r="CC24" i="28"/>
  <c r="CC22" i="28"/>
  <c r="CC21" i="28"/>
  <c r="CC20" i="28"/>
  <c r="CC19" i="28"/>
  <c r="CC16" i="28"/>
  <c r="CC14" i="28"/>
  <c r="CC5" i="28"/>
  <c r="CC6" i="28"/>
  <c r="CC4" i="28"/>
  <c r="CC15" i="28"/>
  <c r="CC13" i="28"/>
  <c r="CC12" i="28"/>
  <c r="CC10" i="28"/>
  <c r="CC8" i="28"/>
  <c r="CC11" i="28"/>
  <c r="CC7" i="28"/>
  <c r="CC18" i="28"/>
  <c r="CC17" i="28"/>
  <c r="CC9" i="28"/>
  <c r="CC3" i="28"/>
  <c r="BM109" i="28"/>
  <c r="BM107" i="28"/>
  <c r="BM108" i="28"/>
  <c r="BM106" i="28"/>
  <c r="BM103" i="28"/>
  <c r="BM104" i="28"/>
  <c r="BM102" i="28"/>
  <c r="BM105" i="28"/>
  <c r="BM101" i="28"/>
  <c r="BM100" i="28"/>
  <c r="BM96" i="28"/>
  <c r="BM94" i="28"/>
  <c r="BM98" i="28"/>
  <c r="BM99" i="28"/>
  <c r="BM97" i="28"/>
  <c r="BM95" i="28"/>
  <c r="BM93" i="28"/>
  <c r="BM92" i="28"/>
  <c r="BM91" i="28"/>
  <c r="BM89" i="28"/>
  <c r="BM90" i="28"/>
  <c r="BM88" i="28"/>
  <c r="BM86" i="28"/>
  <c r="BM87" i="28"/>
  <c r="BM84" i="28"/>
  <c r="BM79" i="28"/>
  <c r="BM77" i="28"/>
  <c r="BM85" i="28"/>
  <c r="BM78" i="28"/>
  <c r="BM80" i="28"/>
  <c r="BM71" i="28"/>
  <c r="BM69" i="28"/>
  <c r="BM67" i="28"/>
  <c r="BM65" i="28"/>
  <c r="BM83" i="28"/>
  <c r="BM82" i="28"/>
  <c r="BM81" i="28"/>
  <c r="BM72" i="28"/>
  <c r="BM70" i="28"/>
  <c r="BM68" i="28"/>
  <c r="BM66" i="28"/>
  <c r="BM64" i="28"/>
  <c r="BM63" i="28"/>
  <c r="BM61" i="28"/>
  <c r="BM73" i="28"/>
  <c r="BM76" i="28"/>
  <c r="BM75" i="28"/>
  <c r="BM74" i="28"/>
  <c r="BM62" i="28"/>
  <c r="BM60" i="28"/>
  <c r="BM58" i="28"/>
  <c r="BM59" i="28"/>
  <c r="BM57" i="28"/>
  <c r="BM44" i="28"/>
  <c r="BM43" i="28"/>
  <c r="BM42" i="28"/>
  <c r="BM41" i="28"/>
  <c r="BM39" i="28"/>
  <c r="BM37" i="28"/>
  <c r="BM35" i="28"/>
  <c r="BM33" i="28"/>
  <c r="BM45" i="28"/>
  <c r="BM40" i="28"/>
  <c r="BM38" i="28"/>
  <c r="BM36" i="28"/>
  <c r="BM34" i="28"/>
  <c r="BM32" i="28"/>
  <c r="BM30" i="28"/>
  <c r="BM56" i="28"/>
  <c r="BM55" i="28"/>
  <c r="BM54" i="28"/>
  <c r="BM53" i="28"/>
  <c r="BM52" i="28"/>
  <c r="BM51" i="28"/>
  <c r="BM50" i="28"/>
  <c r="BM49" i="28"/>
  <c r="BM48" i="28"/>
  <c r="BM47" i="28"/>
  <c r="BM46" i="28"/>
  <c r="BM31" i="28"/>
  <c r="BM29" i="28"/>
  <c r="BM27" i="28"/>
  <c r="BM25" i="28"/>
  <c r="BM23" i="28"/>
  <c r="BM28" i="28"/>
  <c r="BM26" i="28"/>
  <c r="BM24" i="28"/>
  <c r="BM22" i="28"/>
  <c r="BM21" i="28"/>
  <c r="BM20" i="28"/>
  <c r="BM19" i="28"/>
  <c r="BM16" i="28"/>
  <c r="BM14" i="28"/>
  <c r="BM5" i="28"/>
  <c r="BM6" i="28"/>
  <c r="BM4" i="28"/>
  <c r="BM15" i="28"/>
  <c r="BM13" i="28"/>
  <c r="BM12" i="28"/>
  <c r="BM10" i="28"/>
  <c r="BM8" i="28"/>
  <c r="BM11" i="28"/>
  <c r="BM7" i="28"/>
  <c r="BM18" i="28"/>
  <c r="BM17" i="28"/>
  <c r="BM9" i="28"/>
  <c r="BM3" i="28"/>
  <c r="AW109" i="28"/>
  <c r="AW108" i="28"/>
  <c r="AW107" i="28"/>
  <c r="AW106" i="28"/>
  <c r="AW103" i="28"/>
  <c r="AW104" i="28"/>
  <c r="AW102" i="28"/>
  <c r="AW105" i="28"/>
  <c r="AW101" i="28"/>
  <c r="AW100" i="28"/>
  <c r="AW96" i="28"/>
  <c r="AW94" i="28"/>
  <c r="AW98" i="28"/>
  <c r="AW99" i="28"/>
  <c r="AW97" i="28"/>
  <c r="AW95" i="28"/>
  <c r="AW93" i="28"/>
  <c r="AW92" i="28"/>
  <c r="AW91" i="28"/>
  <c r="AW89" i="28"/>
  <c r="AW90" i="28"/>
  <c r="AW88" i="28"/>
  <c r="AW86" i="28"/>
  <c r="AW87" i="28"/>
  <c r="AW84" i="28"/>
  <c r="AW79" i="28"/>
  <c r="AW77" i="28"/>
  <c r="AW85" i="28"/>
  <c r="AW83" i="28"/>
  <c r="AW82" i="28"/>
  <c r="AW81" i="28"/>
  <c r="AW80" i="28"/>
  <c r="AW78" i="28"/>
  <c r="AW71" i="28"/>
  <c r="AW69" i="28"/>
  <c r="AW67" i="28"/>
  <c r="AW65" i="28"/>
  <c r="AW72" i="28"/>
  <c r="AW70" i="28"/>
  <c r="AW68" i="28"/>
  <c r="AW66" i="28"/>
  <c r="AW64" i="28"/>
  <c r="AW76" i="28"/>
  <c r="AW75" i="28"/>
  <c r="AW74" i="28"/>
  <c r="AW73" i="28"/>
  <c r="AW63" i="28"/>
  <c r="AW61" i="28"/>
  <c r="AW62" i="28"/>
  <c r="AW60" i="28"/>
  <c r="AW58" i="28"/>
  <c r="AW59" i="28"/>
  <c r="AW57" i="28"/>
  <c r="AW44" i="28"/>
  <c r="AW43" i="28"/>
  <c r="AW42" i="28"/>
  <c r="AW41" i="28"/>
  <c r="AW39" i="28"/>
  <c r="AW37" i="28"/>
  <c r="AW35" i="28"/>
  <c r="AW33" i="28"/>
  <c r="AW56" i="28"/>
  <c r="AW55" i="28"/>
  <c r="AW54" i="28"/>
  <c r="AW53" i="28"/>
  <c r="AW52" i="28"/>
  <c r="AW51" i="28"/>
  <c r="AW50" i="28"/>
  <c r="AW49" i="28"/>
  <c r="AW48" i="28"/>
  <c r="AW47" i="28"/>
  <c r="AW46" i="28"/>
  <c r="AW45" i="28"/>
  <c r="AW40" i="28"/>
  <c r="AW38" i="28"/>
  <c r="AW36" i="28"/>
  <c r="AW34" i="28"/>
  <c r="AW32" i="28"/>
  <c r="AW30" i="28"/>
  <c r="AW31" i="28"/>
  <c r="AW29" i="28"/>
  <c r="AW27" i="28"/>
  <c r="AW25" i="28"/>
  <c r="AW23" i="28"/>
  <c r="AW28" i="28"/>
  <c r="AW26" i="28"/>
  <c r="AW24" i="28"/>
  <c r="AW22" i="28"/>
  <c r="AW21" i="28"/>
  <c r="AW20" i="28"/>
  <c r="AW19" i="28"/>
  <c r="AW16" i="28"/>
  <c r="AW14" i="28"/>
  <c r="AW5" i="28"/>
  <c r="AW6" i="28"/>
  <c r="AW4" i="28"/>
  <c r="AW15" i="28"/>
  <c r="AW13" i="28"/>
  <c r="AW12" i="28"/>
  <c r="AW10" i="28"/>
  <c r="AW8" i="28"/>
  <c r="AW11" i="28"/>
  <c r="AW7" i="28"/>
  <c r="AW18" i="28"/>
  <c r="AW17" i="28"/>
  <c r="AW9" i="28"/>
  <c r="AW3" i="28"/>
  <c r="AG109" i="28"/>
  <c r="AG108" i="28"/>
  <c r="AG107" i="28"/>
  <c r="AG106" i="28"/>
  <c r="AG103" i="28"/>
  <c r="AG104" i="28"/>
  <c r="AG102" i="28"/>
  <c r="AG105" i="28"/>
  <c r="AG101" i="28"/>
  <c r="AG100" i="28"/>
  <c r="AG96" i="28"/>
  <c r="AG94" i="28"/>
  <c r="AG98" i="28"/>
  <c r="AG99" i="28"/>
  <c r="AG97" i="28"/>
  <c r="AG95" i="28"/>
  <c r="AG93" i="28"/>
  <c r="AG92" i="28"/>
  <c r="AG91" i="28"/>
  <c r="AG89" i="28"/>
  <c r="AG90" i="28"/>
  <c r="AG88" i="28"/>
  <c r="AG86" i="28"/>
  <c r="AG87" i="28"/>
  <c r="AG85" i="28"/>
  <c r="AG84" i="28"/>
  <c r="AG79" i="28"/>
  <c r="AG77" i="28"/>
  <c r="AG78" i="28"/>
  <c r="AG71" i="28"/>
  <c r="AG69" i="28"/>
  <c r="AG67" i="28"/>
  <c r="AG65" i="28"/>
  <c r="AG83" i="28"/>
  <c r="AG82" i="28"/>
  <c r="AG81" i="28"/>
  <c r="AG72" i="28"/>
  <c r="AG80" i="28"/>
  <c r="AG70" i="28"/>
  <c r="AG68" i="28"/>
  <c r="AG66" i="28"/>
  <c r="AG63" i="28"/>
  <c r="AG61" i="28"/>
  <c r="AG76" i="28"/>
  <c r="AG75" i="28"/>
  <c r="AG74" i="28"/>
  <c r="AG64" i="28"/>
  <c r="AG62" i="28"/>
  <c r="AG60" i="28"/>
  <c r="AG58" i="28"/>
  <c r="AG73" i="28"/>
  <c r="AG59" i="28"/>
  <c r="AG57" i="28"/>
  <c r="AG44" i="28"/>
  <c r="AG43" i="28"/>
  <c r="AG45" i="28"/>
  <c r="AG42" i="28"/>
  <c r="AG41" i="28"/>
  <c r="AG39" i="28"/>
  <c r="AG37" i="28"/>
  <c r="AG35" i="28"/>
  <c r="AG33" i="28"/>
  <c r="AG40" i="28"/>
  <c r="AG38" i="28"/>
  <c r="AG36" i="28"/>
  <c r="AG34" i="28"/>
  <c r="AG32" i="28"/>
  <c r="AG30" i="28"/>
  <c r="AG56" i="28"/>
  <c r="AG55" i="28"/>
  <c r="AG54" i="28"/>
  <c r="AG53" i="28"/>
  <c r="AG52" i="28"/>
  <c r="AG51" i="28"/>
  <c r="AG50" i="28"/>
  <c r="AG49" i="28"/>
  <c r="AG48" i="28"/>
  <c r="AG47" i="28"/>
  <c r="AG46" i="28"/>
  <c r="AG31" i="28"/>
  <c r="AG29" i="28"/>
  <c r="AG27" i="28"/>
  <c r="AG25" i="28"/>
  <c r="AG23" i="28"/>
  <c r="AG28" i="28"/>
  <c r="AG26" i="28"/>
  <c r="AG24" i="28"/>
  <c r="AG22" i="28"/>
  <c r="AG21" i="28"/>
  <c r="AG20" i="28"/>
  <c r="AG19" i="28"/>
  <c r="AG16" i="28"/>
  <c r="AG14" i="28"/>
  <c r="AG5" i="28"/>
  <c r="AG6" i="28"/>
  <c r="AG4" i="28"/>
  <c r="AG15" i="28"/>
  <c r="AG13" i="28"/>
  <c r="AG12" i="28"/>
  <c r="AG10" i="28"/>
  <c r="AG8" i="28"/>
  <c r="AG11" i="28"/>
  <c r="AG7" i="28"/>
  <c r="AG18" i="28"/>
  <c r="AG17" i="28"/>
  <c r="AG9" i="28"/>
  <c r="AG3" i="28"/>
  <c r="Q109" i="28"/>
  <c r="Q107" i="28"/>
  <c r="Q108" i="28"/>
  <c r="Q106" i="28"/>
  <c r="Q103" i="28"/>
  <c r="Q104" i="28"/>
  <c r="Q102" i="28"/>
  <c r="Q105" i="28"/>
  <c r="Q101" i="28"/>
  <c r="Q100" i="28"/>
  <c r="Q96" i="28"/>
  <c r="Q94" i="28"/>
  <c r="Q98" i="28"/>
  <c r="Q99" i="28"/>
  <c r="Q97" i="28"/>
  <c r="Q95" i="28"/>
  <c r="Q93" i="28"/>
  <c r="Q92" i="28"/>
  <c r="Q91" i="28"/>
  <c r="Q89" i="28"/>
  <c r="Q90" i="28"/>
  <c r="Q88" i="28"/>
  <c r="Q86" i="28"/>
  <c r="Q87" i="28"/>
  <c r="Q85" i="28"/>
  <c r="Q84" i="28"/>
  <c r="Q79" i="28"/>
  <c r="Q77" i="28"/>
  <c r="Q83" i="28"/>
  <c r="Q82" i="28"/>
  <c r="Q81" i="28"/>
  <c r="Q78" i="28"/>
  <c r="Q71" i="28"/>
  <c r="Q69" i="28"/>
  <c r="Q67" i="28"/>
  <c r="Q65" i="28"/>
  <c r="Q80" i="28"/>
  <c r="Q72" i="28"/>
  <c r="Q70" i="28"/>
  <c r="Q68" i="28"/>
  <c r="Q66" i="28"/>
  <c r="Q76" i="28"/>
  <c r="Q75" i="28"/>
  <c r="Q74" i="28"/>
  <c r="Q63" i="28"/>
  <c r="Q61" i="28"/>
  <c r="Q73" i="28"/>
  <c r="Q64" i="28"/>
  <c r="Q62" i="28"/>
  <c r="Q60" i="28"/>
  <c r="Q58" i="28"/>
  <c r="Q59" i="28"/>
  <c r="Q57" i="28"/>
  <c r="Q44" i="28"/>
  <c r="Q43" i="28"/>
  <c r="Q42" i="28"/>
  <c r="Q41" i="28"/>
  <c r="Q39" i="28"/>
  <c r="Q37" i="28"/>
  <c r="Q35" i="28"/>
  <c r="Q33" i="28"/>
  <c r="Q56" i="28"/>
  <c r="Q55" i="28"/>
  <c r="Q54" i="28"/>
  <c r="Q53" i="28"/>
  <c r="Q52" i="28"/>
  <c r="Q51" i="28"/>
  <c r="Q50" i="28"/>
  <c r="Q49" i="28"/>
  <c r="Q48" i="28"/>
  <c r="Q47" i="28"/>
  <c r="Q46" i="28"/>
  <c r="Q40" i="28"/>
  <c r="Q38" i="28"/>
  <c r="Q36" i="28"/>
  <c r="Q34" i="28"/>
  <c r="Q32" i="28"/>
  <c r="Q30" i="28"/>
  <c r="Q45" i="28"/>
  <c r="Q31" i="28"/>
  <c r="Q29" i="28"/>
  <c r="Q27" i="28"/>
  <c r="Q25" i="28"/>
  <c r="Q23" i="28"/>
  <c r="Q28" i="28"/>
  <c r="Q26" i="28"/>
  <c r="Q24" i="28"/>
  <c r="Q22" i="28"/>
  <c r="Q21" i="28"/>
  <c r="Q20" i="28"/>
  <c r="Q19" i="28"/>
  <c r="Q16" i="28"/>
  <c r="Q14" i="28"/>
  <c r="Q5" i="28"/>
  <c r="Q6" i="28"/>
  <c r="Q4" i="28"/>
  <c r="Q15" i="28"/>
  <c r="Q13" i="28"/>
  <c r="Q12" i="28"/>
  <c r="Q10" i="28"/>
  <c r="Q8" i="28"/>
  <c r="Q11" i="28"/>
  <c r="Q7" i="28"/>
  <c r="Q18" i="28"/>
  <c r="Q17" i="28"/>
  <c r="Q9" i="28"/>
  <c r="Q3" i="28"/>
  <c r="CQ109" i="28"/>
  <c r="CQ108" i="28"/>
  <c r="CQ106" i="28"/>
  <c r="CQ107" i="28"/>
  <c r="CQ104" i="28"/>
  <c r="CQ105" i="28"/>
  <c r="CQ103" i="28"/>
  <c r="CQ102" i="28"/>
  <c r="CQ101" i="28"/>
  <c r="CQ99" i="28"/>
  <c r="CQ97" i="28"/>
  <c r="CQ95" i="28"/>
  <c r="CQ93" i="28"/>
  <c r="CQ96" i="28"/>
  <c r="CQ100" i="28"/>
  <c r="CQ98" i="28"/>
  <c r="CQ92" i="28"/>
  <c r="CQ94" i="28"/>
  <c r="CQ91" i="28"/>
  <c r="CQ90" i="28"/>
  <c r="CQ89" i="28"/>
  <c r="CQ88" i="28"/>
  <c r="CQ87" i="28"/>
  <c r="CQ85" i="28"/>
  <c r="CQ86" i="28"/>
  <c r="CQ84" i="28"/>
  <c r="CQ83" i="28"/>
  <c r="CQ82" i="28"/>
  <c r="CQ81" i="28"/>
  <c r="CQ80" i="28"/>
  <c r="CQ78" i="28"/>
  <c r="CQ79" i="28"/>
  <c r="CQ76" i="28"/>
  <c r="CQ75" i="28"/>
  <c r="CQ74" i="28"/>
  <c r="CQ70" i="28"/>
  <c r="CQ68" i="28"/>
  <c r="CQ66" i="28"/>
  <c r="CQ73" i="28"/>
  <c r="CQ72" i="28"/>
  <c r="CQ71" i="28"/>
  <c r="CQ69" i="28"/>
  <c r="CQ67" i="28"/>
  <c r="CQ65" i="28"/>
  <c r="CQ77" i="28"/>
  <c r="CQ64" i="28"/>
  <c r="CQ62" i="28"/>
  <c r="CQ60" i="28"/>
  <c r="CQ63" i="28"/>
  <c r="CQ61" i="28"/>
  <c r="CQ59" i="28"/>
  <c r="CQ58" i="28"/>
  <c r="CQ57" i="28"/>
  <c r="CQ56" i="28"/>
  <c r="CQ55" i="28"/>
  <c r="CQ54" i="28"/>
  <c r="CQ53" i="28"/>
  <c r="CQ52" i="28"/>
  <c r="CQ51" i="28"/>
  <c r="CQ50" i="28"/>
  <c r="CQ49" i="28"/>
  <c r="CQ48" i="28"/>
  <c r="CQ47" i="28"/>
  <c r="CQ46" i="28"/>
  <c r="CQ43" i="28"/>
  <c r="CQ45" i="28"/>
  <c r="CQ44" i="28"/>
  <c r="CQ38" i="28"/>
  <c r="CQ36" i="28"/>
  <c r="CQ34" i="28"/>
  <c r="CQ32" i="28"/>
  <c r="CQ41" i="28"/>
  <c r="CQ39" i="28"/>
  <c r="CQ37" i="28"/>
  <c r="CQ35" i="28"/>
  <c r="CQ33" i="28"/>
  <c r="CQ31" i="28"/>
  <c r="CQ40" i="28"/>
  <c r="CQ30" i="28"/>
  <c r="CQ28" i="28"/>
  <c r="CQ26" i="28"/>
  <c r="CQ24" i="28"/>
  <c r="CQ42" i="28"/>
  <c r="CQ29" i="28"/>
  <c r="CQ27" i="28"/>
  <c r="CQ25" i="28"/>
  <c r="CQ23" i="28"/>
  <c r="CQ10" i="28"/>
  <c r="CQ22" i="28"/>
  <c r="CQ21" i="28"/>
  <c r="CQ20" i="28"/>
  <c r="CQ19" i="28"/>
  <c r="CQ18" i="28"/>
  <c r="CQ17" i="28"/>
  <c r="CQ16" i="28"/>
  <c r="CQ15" i="28"/>
  <c r="CQ9" i="28"/>
  <c r="CQ7" i="28"/>
  <c r="CQ12" i="28"/>
  <c r="CQ8" i="28"/>
  <c r="CQ4" i="28"/>
  <c r="CQ14" i="28"/>
  <c r="CQ11" i="28"/>
  <c r="CQ5" i="28"/>
  <c r="CQ3" i="28"/>
  <c r="CQ13" i="28"/>
  <c r="CQ6" i="28"/>
  <c r="CA109" i="28"/>
  <c r="CA108" i="28"/>
  <c r="CA106" i="28"/>
  <c r="CA107" i="28"/>
  <c r="CA104" i="28"/>
  <c r="CA105" i="28"/>
  <c r="CA103" i="28"/>
  <c r="CA101" i="28"/>
  <c r="CA99" i="28"/>
  <c r="CA102" i="28"/>
  <c r="CA97" i="28"/>
  <c r="CA95" i="28"/>
  <c r="CA93" i="28"/>
  <c r="CA96" i="28"/>
  <c r="CA100" i="28"/>
  <c r="CA98" i="28"/>
  <c r="CA92" i="28"/>
  <c r="CA94" i="28"/>
  <c r="CA91" i="28"/>
  <c r="CA90" i="28"/>
  <c r="CA89" i="28"/>
  <c r="CA88" i="28"/>
  <c r="CA87" i="28"/>
  <c r="CA85" i="28"/>
  <c r="CA86" i="28"/>
  <c r="CA84" i="28"/>
  <c r="CA83" i="28"/>
  <c r="CA82" i="28"/>
  <c r="CA81" i="28"/>
  <c r="CA80" i="28"/>
  <c r="CA78" i="28"/>
  <c r="CA79" i="28"/>
  <c r="CA76" i="28"/>
  <c r="CA75" i="28"/>
  <c r="CA74" i="28"/>
  <c r="CA70" i="28"/>
  <c r="CA68" i="28"/>
  <c r="CA66" i="28"/>
  <c r="CA73" i="28"/>
  <c r="CA72" i="28"/>
  <c r="CA71" i="28"/>
  <c r="CA69" i="28"/>
  <c r="CA67" i="28"/>
  <c r="CA65" i="28"/>
  <c r="CA64" i="28"/>
  <c r="CA62" i="28"/>
  <c r="CA60" i="28"/>
  <c r="CA77" i="28"/>
  <c r="CA63" i="28"/>
  <c r="CA61" i="28"/>
  <c r="CA59" i="28"/>
  <c r="CA58" i="28"/>
  <c r="CA57" i="28"/>
  <c r="CA56" i="28"/>
  <c r="CA55" i="28"/>
  <c r="CA54" i="28"/>
  <c r="CA53" i="28"/>
  <c r="CA52" i="28"/>
  <c r="CA51" i="28"/>
  <c r="CA50" i="28"/>
  <c r="CA49" i="28"/>
  <c r="CA48" i="28"/>
  <c r="CA47" i="28"/>
  <c r="CA46" i="28"/>
  <c r="CA43" i="28"/>
  <c r="CA45" i="28"/>
  <c r="CA44" i="28"/>
  <c r="CA38" i="28"/>
  <c r="CA36" i="28"/>
  <c r="CA34" i="28"/>
  <c r="CA32" i="28"/>
  <c r="CA41" i="28"/>
  <c r="CA39" i="28"/>
  <c r="CA37" i="28"/>
  <c r="CA35" i="28"/>
  <c r="CA33" i="28"/>
  <c r="CA31" i="28"/>
  <c r="CA40" i="28"/>
  <c r="CA30" i="28"/>
  <c r="CA42" i="28"/>
  <c r="CA28" i="28"/>
  <c r="CA26" i="28"/>
  <c r="CA24" i="28"/>
  <c r="CA29" i="28"/>
  <c r="CA27" i="28"/>
  <c r="CA25" i="28"/>
  <c r="CA23" i="28"/>
  <c r="CA10" i="28"/>
  <c r="CA22" i="28"/>
  <c r="CA21" i="28"/>
  <c r="CA20" i="28"/>
  <c r="CA19" i="28"/>
  <c r="CA18" i="28"/>
  <c r="CA17" i="28"/>
  <c r="CA16" i="28"/>
  <c r="CA15" i="28"/>
  <c r="CA9" i="28"/>
  <c r="CA7" i="28"/>
  <c r="CA12" i="28"/>
  <c r="CA8" i="28"/>
  <c r="CA4" i="28"/>
  <c r="CA14" i="28"/>
  <c r="CA11" i="28"/>
  <c r="CA5" i="28"/>
  <c r="CA3" i="28"/>
  <c r="CA13" i="28"/>
  <c r="CA6" i="28"/>
  <c r="BK109" i="28"/>
  <c r="BK108" i="28"/>
  <c r="BK106" i="28"/>
  <c r="BK107" i="28"/>
  <c r="BK104" i="28"/>
  <c r="BK105" i="28"/>
  <c r="BK103" i="28"/>
  <c r="BK101" i="28"/>
  <c r="BK99" i="28"/>
  <c r="BK102" i="28"/>
  <c r="BK97" i="28"/>
  <c r="BK95" i="28"/>
  <c r="BK93" i="28"/>
  <c r="BK96" i="28"/>
  <c r="BK100" i="28"/>
  <c r="BK98" i="28"/>
  <c r="BK92" i="28"/>
  <c r="BK94" i="28"/>
  <c r="BK91" i="28"/>
  <c r="BK90" i="28"/>
  <c r="BK88" i="28"/>
  <c r="BK89" i="28"/>
  <c r="BK87" i="28"/>
  <c r="BK85" i="28"/>
  <c r="BK86" i="28"/>
  <c r="BK84" i="28"/>
  <c r="BK83" i="28"/>
  <c r="BK82" i="28"/>
  <c r="BK81" i="28"/>
  <c r="BK80" i="28"/>
  <c r="BK78" i="28"/>
  <c r="BK79" i="28"/>
  <c r="BK76" i="28"/>
  <c r="BK75" i="28"/>
  <c r="BK74" i="28"/>
  <c r="BK70" i="28"/>
  <c r="BK68" i="28"/>
  <c r="BK66" i="28"/>
  <c r="BK73" i="28"/>
  <c r="BK72" i="28"/>
  <c r="BK71" i="28"/>
  <c r="BK69" i="28"/>
  <c r="BK67" i="28"/>
  <c r="BK65" i="28"/>
  <c r="BK64" i="28"/>
  <c r="BK62" i="28"/>
  <c r="BK60" i="28"/>
  <c r="BK77" i="28"/>
  <c r="BK63" i="28"/>
  <c r="BK61" i="28"/>
  <c r="BK59" i="28"/>
  <c r="BK58" i="28"/>
  <c r="BK57" i="28"/>
  <c r="BK56" i="28"/>
  <c r="BK55" i="28"/>
  <c r="BK54" i="28"/>
  <c r="BK53" i="28"/>
  <c r="BK52" i="28"/>
  <c r="BK51" i="28"/>
  <c r="BK50" i="28"/>
  <c r="BK49" i="28"/>
  <c r="BK48" i="28"/>
  <c r="BK47" i="28"/>
  <c r="BK46" i="28"/>
  <c r="BK43" i="28"/>
  <c r="BK45" i="28"/>
  <c r="BK44" i="28"/>
  <c r="BK38" i="28"/>
  <c r="BK36" i="28"/>
  <c r="BK34" i="28"/>
  <c r="BK32" i="28"/>
  <c r="BK41" i="28"/>
  <c r="BK39" i="28"/>
  <c r="BK37" i="28"/>
  <c r="BK35" i="28"/>
  <c r="BK33" i="28"/>
  <c r="BK31" i="28"/>
  <c r="BK40" i="28"/>
  <c r="BK42" i="28"/>
  <c r="BK30" i="28"/>
  <c r="BK28" i="28"/>
  <c r="BK26" i="28"/>
  <c r="BK24" i="28"/>
  <c r="BK29" i="28"/>
  <c r="BK27" i="28"/>
  <c r="BK25" i="28"/>
  <c r="BK23" i="28"/>
  <c r="BK10" i="28"/>
  <c r="BK22" i="28"/>
  <c r="BK21" i="28"/>
  <c r="BK20" i="28"/>
  <c r="BK19" i="28"/>
  <c r="BK18" i="28"/>
  <c r="BK17" i="28"/>
  <c r="BK16" i="28"/>
  <c r="BK15" i="28"/>
  <c r="BK9" i="28"/>
  <c r="BK7" i="28"/>
  <c r="BK12" i="28"/>
  <c r="BK8" i="28"/>
  <c r="BK4" i="28"/>
  <c r="BK14" i="28"/>
  <c r="BK11" i="28"/>
  <c r="BK5" i="28"/>
  <c r="BK3" i="28"/>
  <c r="BK13" i="28"/>
  <c r="BK6" i="28"/>
  <c r="AU109" i="28"/>
  <c r="AU108" i="28"/>
  <c r="AU106" i="28"/>
  <c r="AU107" i="28"/>
  <c r="AU104" i="28"/>
  <c r="AU105" i="28"/>
  <c r="AU103" i="28"/>
  <c r="AU101" i="28"/>
  <c r="AU99" i="28"/>
  <c r="AU102" i="28"/>
  <c r="AU97" i="28"/>
  <c r="AU95" i="28"/>
  <c r="AU93" i="28"/>
  <c r="AU96" i="28"/>
  <c r="AU100" i="28"/>
  <c r="AU98" i="28"/>
  <c r="AU92" i="28"/>
  <c r="AU94" i="28"/>
  <c r="AU91" i="28"/>
  <c r="AU90" i="28"/>
  <c r="AU88" i="28"/>
  <c r="AU89" i="28"/>
  <c r="AU87" i="28"/>
  <c r="AU85" i="28"/>
  <c r="AU86" i="28"/>
  <c r="AU84" i="28"/>
  <c r="AU83" i="28"/>
  <c r="AU82" i="28"/>
  <c r="AU81" i="28"/>
  <c r="AU80" i="28"/>
  <c r="AU78" i="28"/>
  <c r="AU79" i="28"/>
  <c r="AU76" i="28"/>
  <c r="AU75" i="28"/>
  <c r="AU74" i="28"/>
  <c r="AU70" i="28"/>
  <c r="AU68" i="28"/>
  <c r="AU66" i="28"/>
  <c r="AU73" i="28"/>
  <c r="AU72" i="28"/>
  <c r="AU71" i="28"/>
  <c r="AU69" i="28"/>
  <c r="AU67" i="28"/>
  <c r="AU65" i="28"/>
  <c r="AU64" i="28"/>
  <c r="AU62" i="28"/>
  <c r="AU60" i="28"/>
  <c r="AU63" i="28"/>
  <c r="AU61" i="28"/>
  <c r="AU59" i="28"/>
  <c r="AU77" i="28"/>
  <c r="AU58" i="28"/>
  <c r="AU57" i="28"/>
  <c r="AU56" i="28"/>
  <c r="AU55" i="28"/>
  <c r="AU54" i="28"/>
  <c r="AU53" i="28"/>
  <c r="AU52" i="28"/>
  <c r="AU51" i="28"/>
  <c r="AU50" i="28"/>
  <c r="AU49" i="28"/>
  <c r="AU48" i="28"/>
  <c r="AU47" i="28"/>
  <c r="AU46" i="28"/>
  <c r="AU43" i="28"/>
  <c r="AU45" i="28"/>
  <c r="AU44" i="28"/>
  <c r="AU38" i="28"/>
  <c r="AU36" i="28"/>
  <c r="AU34" i="28"/>
  <c r="AU32" i="28"/>
  <c r="AU41" i="28"/>
  <c r="AU39" i="28"/>
  <c r="AU37" i="28"/>
  <c r="AU35" i="28"/>
  <c r="AU33" i="28"/>
  <c r="AU31" i="28"/>
  <c r="AU40" i="28"/>
  <c r="AU30" i="28"/>
  <c r="AU28" i="28"/>
  <c r="AU26" i="28"/>
  <c r="AU24" i="28"/>
  <c r="AU42" i="28"/>
  <c r="AU29" i="28"/>
  <c r="AU27" i="28"/>
  <c r="AU25" i="28"/>
  <c r="AU23" i="28"/>
  <c r="AU10" i="28"/>
  <c r="AU22" i="28"/>
  <c r="AU21" i="28"/>
  <c r="AU20" i="28"/>
  <c r="AU19" i="28"/>
  <c r="AU18" i="28"/>
  <c r="AU17" i="28"/>
  <c r="AU16" i="28"/>
  <c r="AU15" i="28"/>
  <c r="AU9" i="28"/>
  <c r="AU7" i="28"/>
  <c r="AU12" i="28"/>
  <c r="AU8" i="28"/>
  <c r="AU4" i="28"/>
  <c r="AU14" i="28"/>
  <c r="AU11" i="28"/>
  <c r="AU5" i="28"/>
  <c r="AU3" i="28"/>
  <c r="AU13" i="28"/>
  <c r="AU6" i="28"/>
  <c r="AE109" i="28"/>
  <c r="AE108" i="28"/>
  <c r="AE106" i="28"/>
  <c r="AE107" i="28"/>
  <c r="AE104" i="28"/>
  <c r="AE105" i="28"/>
  <c r="AE103" i="28"/>
  <c r="AE101" i="28"/>
  <c r="AE99" i="28"/>
  <c r="AE102" i="28"/>
  <c r="AE97" i="28"/>
  <c r="AE95" i="28"/>
  <c r="AE93" i="28"/>
  <c r="AE96" i="28"/>
  <c r="AE100" i="28"/>
  <c r="AE98" i="28"/>
  <c r="AE92" i="28"/>
  <c r="AE94" i="28"/>
  <c r="AE91" i="28"/>
  <c r="AE90" i="28"/>
  <c r="AE88" i="28"/>
  <c r="AE89" i="28"/>
  <c r="AE87" i="28"/>
  <c r="AE86" i="28"/>
  <c r="AE85" i="28"/>
  <c r="AE84" i="28"/>
  <c r="AE83" i="28"/>
  <c r="AE82" i="28"/>
  <c r="AE81" i="28"/>
  <c r="AE80" i="28"/>
  <c r="AE78" i="28"/>
  <c r="AE79" i="28"/>
  <c r="AE76" i="28"/>
  <c r="AE75" i="28"/>
  <c r="AE74" i="28"/>
  <c r="AE70" i="28"/>
  <c r="AE68" i="28"/>
  <c r="AE66" i="28"/>
  <c r="AE73" i="28"/>
  <c r="AE72" i="28"/>
  <c r="AE71" i="28"/>
  <c r="AE69" i="28"/>
  <c r="AE67" i="28"/>
  <c r="AE65" i="28"/>
  <c r="AE77" i="28"/>
  <c r="AE64" i="28"/>
  <c r="AE62" i="28"/>
  <c r="AE60" i="28"/>
  <c r="AE63" i="28"/>
  <c r="AE61" i="28"/>
  <c r="AE59" i="28"/>
  <c r="AE58" i="28"/>
  <c r="AE57" i="28"/>
  <c r="AE56" i="28"/>
  <c r="AE55" i="28"/>
  <c r="AE54" i="28"/>
  <c r="AE53" i="28"/>
  <c r="AE52" i="28"/>
  <c r="AE51" i="28"/>
  <c r="AE50" i="28"/>
  <c r="AE49" i="28"/>
  <c r="AE48" i="28"/>
  <c r="AE47" i="28"/>
  <c r="AE46" i="28"/>
  <c r="AE43" i="28"/>
  <c r="AE45" i="28"/>
  <c r="AE44" i="28"/>
  <c r="AE40" i="28"/>
  <c r="AE38" i="28"/>
  <c r="AE36" i="28"/>
  <c r="AE34" i="28"/>
  <c r="AE32" i="28"/>
  <c r="AE41" i="28"/>
  <c r="AE39" i="28"/>
  <c r="AE37" i="28"/>
  <c r="AE35" i="28"/>
  <c r="AE33" i="28"/>
  <c r="AE31" i="28"/>
  <c r="AE30" i="28"/>
  <c r="AE28" i="28"/>
  <c r="AE26" i="28"/>
  <c r="AE24" i="28"/>
  <c r="AE42" i="28"/>
  <c r="AE29" i="28"/>
  <c r="AE27" i="28"/>
  <c r="AE25" i="28"/>
  <c r="AE23" i="28"/>
  <c r="AE10" i="28"/>
  <c r="AE22" i="28"/>
  <c r="AE21" i="28"/>
  <c r="AE20" i="28"/>
  <c r="AE19" i="28"/>
  <c r="AE18" i="28"/>
  <c r="AE17" i="28"/>
  <c r="AE16" i="28"/>
  <c r="AE15" i="28"/>
  <c r="AE9" i="28"/>
  <c r="AE7" i="28"/>
  <c r="AE12" i="28"/>
  <c r="AE8" i="28"/>
  <c r="AE4" i="28"/>
  <c r="AE14" i="28"/>
  <c r="AE11" i="28"/>
  <c r="AE5" i="28"/>
  <c r="AE3" i="28"/>
  <c r="AE13" i="28"/>
  <c r="AE6" i="28"/>
  <c r="O109" i="28"/>
  <c r="O108" i="28"/>
  <c r="O106" i="28"/>
  <c r="O107" i="28"/>
  <c r="O104" i="28"/>
  <c r="O105" i="28"/>
  <c r="O103" i="28"/>
  <c r="O101" i="28"/>
  <c r="O99" i="28"/>
  <c r="O102" i="28"/>
  <c r="O97" i="28"/>
  <c r="O95" i="28"/>
  <c r="O93" i="28"/>
  <c r="O96" i="28"/>
  <c r="O100" i="28"/>
  <c r="O98" i="28"/>
  <c r="O92" i="28"/>
  <c r="O94" i="28"/>
  <c r="O91" i="28"/>
  <c r="O90" i="28"/>
  <c r="O88" i="28"/>
  <c r="O89" i="28"/>
  <c r="O87" i="28"/>
  <c r="O86" i="28"/>
  <c r="O85" i="28"/>
  <c r="O84" i="28"/>
  <c r="O83" i="28"/>
  <c r="O82" i="28"/>
  <c r="O81" i="28"/>
  <c r="O80" i="28"/>
  <c r="O78" i="28"/>
  <c r="O79" i="28"/>
  <c r="O76" i="28"/>
  <c r="O75" i="28"/>
  <c r="O74" i="28"/>
  <c r="O70" i="28"/>
  <c r="O68" i="28"/>
  <c r="O66" i="28"/>
  <c r="O73" i="28"/>
  <c r="O72" i="28"/>
  <c r="O71" i="28"/>
  <c r="O69" i="28"/>
  <c r="O67" i="28"/>
  <c r="O65" i="28"/>
  <c r="O64" i="28"/>
  <c r="O62" i="28"/>
  <c r="O60" i="28"/>
  <c r="O77" i="28"/>
  <c r="O63" i="28"/>
  <c r="O61" i="28"/>
  <c r="O59" i="28"/>
  <c r="O58" i="28"/>
  <c r="O57" i="28"/>
  <c r="O56" i="28"/>
  <c r="O55" i="28"/>
  <c r="O54" i="28"/>
  <c r="O53" i="28"/>
  <c r="O52" i="28"/>
  <c r="O51" i="28"/>
  <c r="O50" i="28"/>
  <c r="O49" i="28"/>
  <c r="O48" i="28"/>
  <c r="O47" i="28"/>
  <c r="O46" i="28"/>
  <c r="O43" i="28"/>
  <c r="O45" i="28"/>
  <c r="O44" i="28"/>
  <c r="O40" i="28"/>
  <c r="O38" i="28"/>
  <c r="O36" i="28"/>
  <c r="O34" i="28"/>
  <c r="O41" i="28"/>
  <c r="O39" i="28"/>
  <c r="O37" i="28"/>
  <c r="O35" i="28"/>
  <c r="O33" i="28"/>
  <c r="O31" i="28"/>
  <c r="O30" i="28"/>
  <c r="O42" i="28"/>
  <c r="O32" i="28"/>
  <c r="O28" i="28"/>
  <c r="O26" i="28"/>
  <c r="O24" i="28"/>
  <c r="O29" i="28"/>
  <c r="O27" i="28"/>
  <c r="O25" i="28"/>
  <c r="O23" i="28"/>
  <c r="O10" i="28"/>
  <c r="O22" i="28"/>
  <c r="O21" i="28"/>
  <c r="O20" i="28"/>
  <c r="O19" i="28"/>
  <c r="O18" i="28"/>
  <c r="O17" i="28"/>
  <c r="O16" i="28"/>
  <c r="O15" i="28"/>
  <c r="O9" i="28"/>
  <c r="O7" i="28"/>
  <c r="O12" i="28"/>
  <c r="O8" i="28"/>
  <c r="O14" i="28"/>
  <c r="O11" i="28"/>
  <c r="O5" i="28"/>
  <c r="O3" i="28"/>
  <c r="O13" i="28"/>
  <c r="O6" i="28"/>
  <c r="O4" i="28"/>
  <c r="CP109" i="28"/>
  <c r="CP107" i="28"/>
  <c r="CP108" i="28"/>
  <c r="CP105" i="28"/>
  <c r="CP106" i="28"/>
  <c r="CP104" i="28"/>
  <c r="CP102" i="28"/>
  <c r="CP103" i="28"/>
  <c r="CP100" i="28"/>
  <c r="CP98" i="28"/>
  <c r="CP96" i="28"/>
  <c r="CP101" i="28"/>
  <c r="CP99" i="28"/>
  <c r="CP97" i="28"/>
  <c r="CP95" i="28"/>
  <c r="CP93" i="28"/>
  <c r="CP92" i="28"/>
  <c r="CP90" i="28"/>
  <c r="CP88" i="28"/>
  <c r="CP94" i="28"/>
  <c r="CP87" i="28"/>
  <c r="CP85" i="28"/>
  <c r="CP83" i="28"/>
  <c r="CP81" i="28"/>
  <c r="CP91" i="28"/>
  <c r="CP86" i="28"/>
  <c r="CP84" i="28"/>
  <c r="CP82" i="28"/>
  <c r="CP80" i="28"/>
  <c r="CP89" i="28"/>
  <c r="CP79" i="28"/>
  <c r="CP77" i="28"/>
  <c r="CP75" i="28"/>
  <c r="CP73" i="28"/>
  <c r="CP78" i="28"/>
  <c r="CP76" i="28"/>
  <c r="CP74" i="28"/>
  <c r="CP70" i="28"/>
  <c r="CP72" i="28"/>
  <c r="CP67" i="28"/>
  <c r="CP71" i="28"/>
  <c r="CP66" i="28"/>
  <c r="CP64" i="28"/>
  <c r="CP62" i="28"/>
  <c r="CP60" i="28"/>
  <c r="CP58" i="28"/>
  <c r="CP56" i="28"/>
  <c r="CP54" i="28"/>
  <c r="CP52" i="28"/>
  <c r="CP50" i="28"/>
  <c r="CP48" i="28"/>
  <c r="CP46" i="28"/>
  <c r="CP69" i="28"/>
  <c r="CP65" i="28"/>
  <c r="CP68" i="28"/>
  <c r="CP63" i="28"/>
  <c r="CP61" i="28"/>
  <c r="CP59" i="28"/>
  <c r="CP57" i="28"/>
  <c r="CP55" i="28"/>
  <c r="CP53" i="28"/>
  <c r="CP51" i="28"/>
  <c r="CP49" i="28"/>
  <c r="CP47" i="28"/>
  <c r="CP45" i="28"/>
  <c r="CP43" i="28"/>
  <c r="CP41" i="28"/>
  <c r="CP44" i="28"/>
  <c r="CP40" i="28"/>
  <c r="CP42" i="28"/>
  <c r="CP39" i="28"/>
  <c r="CP36" i="28"/>
  <c r="CP32" i="28"/>
  <c r="CP29" i="28"/>
  <c r="CP27" i="28"/>
  <c r="CP25" i="28"/>
  <c r="CP23" i="28"/>
  <c r="CP21" i="28"/>
  <c r="CP19" i="28"/>
  <c r="CP17" i="28"/>
  <c r="CP15" i="28"/>
  <c r="CP35" i="28"/>
  <c r="CP30" i="28"/>
  <c r="CP38" i="28"/>
  <c r="CP34" i="28"/>
  <c r="CP28" i="28"/>
  <c r="CP26" i="28"/>
  <c r="CP24" i="28"/>
  <c r="CP22" i="28"/>
  <c r="CP20" i="28"/>
  <c r="CP18" i="28"/>
  <c r="CP16" i="28"/>
  <c r="CP14" i="28"/>
  <c r="CP12" i="28"/>
  <c r="CP37" i="28"/>
  <c r="CP33" i="28"/>
  <c r="CP31" i="28"/>
  <c r="CP10" i="28"/>
  <c r="CP8" i="28"/>
  <c r="CP6" i="28"/>
  <c r="CP4" i="28"/>
  <c r="CP11" i="28"/>
  <c r="CP9" i="28"/>
  <c r="CP7" i="28"/>
  <c r="CP5" i="28"/>
  <c r="CP3" i="28"/>
  <c r="CP13" i="28"/>
  <c r="BZ109" i="28"/>
  <c r="BZ107" i="28"/>
  <c r="BZ108" i="28"/>
  <c r="BZ105" i="28"/>
  <c r="BZ106" i="28"/>
  <c r="BZ104" i="28"/>
  <c r="BZ102" i="28"/>
  <c r="BZ103" i="28"/>
  <c r="BZ100" i="28"/>
  <c r="BZ98" i="28"/>
  <c r="BZ96" i="28"/>
  <c r="BZ101" i="28"/>
  <c r="BZ99" i="28"/>
  <c r="BZ97" i="28"/>
  <c r="BZ95" i="28"/>
  <c r="BZ93" i="28"/>
  <c r="BZ92" i="28"/>
  <c r="BZ90" i="28"/>
  <c r="BZ88" i="28"/>
  <c r="BZ94" i="28"/>
  <c r="BZ87" i="28"/>
  <c r="BZ85" i="28"/>
  <c r="BZ83" i="28"/>
  <c r="BZ81" i="28"/>
  <c r="BZ91" i="28"/>
  <c r="BZ86" i="28"/>
  <c r="BZ84" i="28"/>
  <c r="BZ82" i="28"/>
  <c r="BZ80" i="28"/>
  <c r="BZ89" i="28"/>
  <c r="BZ79" i="28"/>
  <c r="BZ77" i="28"/>
  <c r="BZ75" i="28"/>
  <c r="BZ73" i="28"/>
  <c r="BZ78" i="28"/>
  <c r="BZ76" i="28"/>
  <c r="BZ74" i="28"/>
  <c r="BZ70" i="28"/>
  <c r="BZ67" i="28"/>
  <c r="BZ71" i="28"/>
  <c r="BZ66" i="28"/>
  <c r="BZ64" i="28"/>
  <c r="BZ62" i="28"/>
  <c r="BZ60" i="28"/>
  <c r="BZ58" i="28"/>
  <c r="BZ56" i="28"/>
  <c r="BZ54" i="28"/>
  <c r="BZ52" i="28"/>
  <c r="BZ50" i="28"/>
  <c r="BZ48" i="28"/>
  <c r="BZ46" i="28"/>
  <c r="BZ69" i="28"/>
  <c r="BZ65" i="28"/>
  <c r="BZ72" i="28"/>
  <c r="BZ68" i="28"/>
  <c r="BZ63" i="28"/>
  <c r="BZ61" i="28"/>
  <c r="BZ59" i="28"/>
  <c r="BZ57" i="28"/>
  <c r="BZ55" i="28"/>
  <c r="BZ53" i="28"/>
  <c r="BZ51" i="28"/>
  <c r="BZ49" i="28"/>
  <c r="BZ47" i="28"/>
  <c r="BZ45" i="28"/>
  <c r="BZ43" i="28"/>
  <c r="BZ41" i="28"/>
  <c r="BZ44" i="28"/>
  <c r="BZ40" i="28"/>
  <c r="BZ42" i="28"/>
  <c r="BZ39" i="28"/>
  <c r="BZ36" i="28"/>
  <c r="BZ32" i="28"/>
  <c r="BZ29" i="28"/>
  <c r="BZ27" i="28"/>
  <c r="BZ25" i="28"/>
  <c r="BZ23" i="28"/>
  <c r="BZ21" i="28"/>
  <c r="BZ19" i="28"/>
  <c r="BZ17" i="28"/>
  <c r="BZ15" i="28"/>
  <c r="BZ35" i="28"/>
  <c r="BZ30" i="28"/>
  <c r="BZ38" i="28"/>
  <c r="BZ34" i="28"/>
  <c r="BZ28" i="28"/>
  <c r="BZ26" i="28"/>
  <c r="BZ24" i="28"/>
  <c r="BZ22" i="28"/>
  <c r="BZ20" i="28"/>
  <c r="BZ18" i="28"/>
  <c r="BZ16" i="28"/>
  <c r="BZ14" i="28"/>
  <c r="BZ12" i="28"/>
  <c r="BZ37" i="28"/>
  <c r="BZ33" i="28"/>
  <c r="BZ31" i="28"/>
  <c r="BZ10" i="28"/>
  <c r="BZ8" i="28"/>
  <c r="BZ6" i="28"/>
  <c r="BZ4" i="28"/>
  <c r="BZ11" i="28"/>
  <c r="BZ9" i="28"/>
  <c r="BZ7" i="28"/>
  <c r="BZ5" i="28"/>
  <c r="BZ3" i="28"/>
  <c r="BZ13" i="28"/>
  <c r="BJ109" i="28"/>
  <c r="BJ107" i="28"/>
  <c r="BJ108" i="28"/>
  <c r="BJ105" i="28"/>
  <c r="BJ106" i="28"/>
  <c r="BJ104" i="28"/>
  <c r="BJ102" i="28"/>
  <c r="BJ103" i="28"/>
  <c r="BJ100" i="28"/>
  <c r="BJ98" i="28"/>
  <c r="BJ101" i="28"/>
  <c r="BJ99" i="28"/>
  <c r="BJ97" i="28"/>
  <c r="BJ95" i="28"/>
  <c r="BJ93" i="28"/>
  <c r="BJ96" i="28"/>
  <c r="BJ92" i="28"/>
  <c r="BJ90" i="28"/>
  <c r="BJ94" i="28"/>
  <c r="BJ87" i="28"/>
  <c r="BJ85" i="28"/>
  <c r="BJ83" i="28"/>
  <c r="BJ81" i="28"/>
  <c r="BJ91" i="28"/>
  <c r="BJ88" i="28"/>
  <c r="BJ86" i="28"/>
  <c r="BJ84" i="28"/>
  <c r="BJ82" i="28"/>
  <c r="BJ80" i="28"/>
  <c r="BJ89" i="28"/>
  <c r="BJ79" i="28"/>
  <c r="BJ77" i="28"/>
  <c r="BJ75" i="28"/>
  <c r="BJ73" i="28"/>
  <c r="BJ78" i="28"/>
  <c r="BJ76" i="28"/>
  <c r="BJ74" i="28"/>
  <c r="BJ70" i="28"/>
  <c r="BJ67" i="28"/>
  <c r="BJ71" i="28"/>
  <c r="BJ66" i="28"/>
  <c r="BJ64" i="28"/>
  <c r="BJ62" i="28"/>
  <c r="BJ60" i="28"/>
  <c r="BJ58" i="28"/>
  <c r="BJ56" i="28"/>
  <c r="BJ54" i="28"/>
  <c r="BJ52" i="28"/>
  <c r="BJ50" i="28"/>
  <c r="BJ48" i="28"/>
  <c r="BJ46" i="28"/>
  <c r="BJ72" i="28"/>
  <c r="BJ69" i="28"/>
  <c r="BJ65" i="28"/>
  <c r="BJ68" i="28"/>
  <c r="BJ63" i="28"/>
  <c r="BJ61" i="28"/>
  <c r="BJ59" i="28"/>
  <c r="BJ57" i="28"/>
  <c r="BJ55" i="28"/>
  <c r="BJ53" i="28"/>
  <c r="BJ51" i="28"/>
  <c r="BJ49" i="28"/>
  <c r="BJ47" i="28"/>
  <c r="BJ45" i="28"/>
  <c r="BJ43" i="28"/>
  <c r="BJ41" i="28"/>
  <c r="BJ44" i="28"/>
  <c r="BJ40" i="28"/>
  <c r="BJ42" i="28"/>
  <c r="BJ39" i="28"/>
  <c r="BJ36" i="28"/>
  <c r="BJ32" i="28"/>
  <c r="BJ29" i="28"/>
  <c r="BJ27" i="28"/>
  <c r="BJ25" i="28"/>
  <c r="BJ23" i="28"/>
  <c r="BJ21" i="28"/>
  <c r="BJ19" i="28"/>
  <c r="BJ17" i="28"/>
  <c r="BJ15" i="28"/>
  <c r="BJ35" i="28"/>
  <c r="BJ30" i="28"/>
  <c r="BJ38" i="28"/>
  <c r="BJ34" i="28"/>
  <c r="BJ28" i="28"/>
  <c r="BJ26" i="28"/>
  <c r="BJ24" i="28"/>
  <c r="BJ22" i="28"/>
  <c r="BJ20" i="28"/>
  <c r="BJ18" i="28"/>
  <c r="BJ16" i="28"/>
  <c r="BJ14" i="28"/>
  <c r="BJ12" i="28"/>
  <c r="BJ37" i="28"/>
  <c r="BJ33" i="28"/>
  <c r="BJ31" i="28"/>
  <c r="BJ10" i="28"/>
  <c r="BJ8" i="28"/>
  <c r="BJ6" i="28"/>
  <c r="BJ4" i="28"/>
  <c r="BJ11" i="28"/>
  <c r="BJ9" i="28"/>
  <c r="BJ7" i="28"/>
  <c r="BJ5" i="28"/>
  <c r="BJ3" i="28"/>
  <c r="BJ13" i="28"/>
  <c r="AT109" i="28"/>
  <c r="AT107" i="28"/>
  <c r="AT108" i="28"/>
  <c r="AT105" i="28"/>
  <c r="AT106" i="28"/>
  <c r="AT104" i="28"/>
  <c r="AT102" i="28"/>
  <c r="AT103" i="28"/>
  <c r="AT100" i="28"/>
  <c r="AT98" i="28"/>
  <c r="AT101" i="28"/>
  <c r="AT99" i="28"/>
  <c r="AT97" i="28"/>
  <c r="AT95" i="28"/>
  <c r="AT93" i="28"/>
  <c r="AT96" i="28"/>
  <c r="AT92" i="28"/>
  <c r="AT90" i="28"/>
  <c r="AT94" i="28"/>
  <c r="AT87" i="28"/>
  <c r="AT85" i="28"/>
  <c r="AT83" i="28"/>
  <c r="AT81" i="28"/>
  <c r="AT91" i="28"/>
  <c r="AT88" i="28"/>
  <c r="AT86" i="28"/>
  <c r="AT84" i="28"/>
  <c r="AT82" i="28"/>
  <c r="AT80" i="28"/>
  <c r="AT89" i="28"/>
  <c r="AT79" i="28"/>
  <c r="AT77" i="28"/>
  <c r="AT75" i="28"/>
  <c r="AT73" i="28"/>
  <c r="AT78" i="28"/>
  <c r="AT76" i="28"/>
  <c r="AT74" i="28"/>
  <c r="AT70" i="28"/>
  <c r="AT67" i="28"/>
  <c r="AT72" i="28"/>
  <c r="AT71" i="28"/>
  <c r="AT66" i="28"/>
  <c r="AT64" i="28"/>
  <c r="AT62" i="28"/>
  <c r="AT60" i="28"/>
  <c r="AT58" i="28"/>
  <c r="AT56" i="28"/>
  <c r="AT54" i="28"/>
  <c r="AT52" i="28"/>
  <c r="AT50" i="28"/>
  <c r="AT48" i="28"/>
  <c r="AT46" i="28"/>
  <c r="AT69" i="28"/>
  <c r="AT65" i="28"/>
  <c r="AT68" i="28"/>
  <c r="AT63" i="28"/>
  <c r="AT61" i="28"/>
  <c r="AT59" i="28"/>
  <c r="AT57" i="28"/>
  <c r="AT55" i="28"/>
  <c r="AT53" i="28"/>
  <c r="AT51" i="28"/>
  <c r="AT49" i="28"/>
  <c r="AT47" i="28"/>
  <c r="AT45" i="28"/>
  <c r="AT43" i="28"/>
  <c r="AT41" i="28"/>
  <c r="AT44" i="28"/>
  <c r="AT40" i="28"/>
  <c r="AT42" i="28"/>
  <c r="AT39" i="28"/>
  <c r="AT36" i="28"/>
  <c r="AT32" i="28"/>
  <c r="AT29" i="28"/>
  <c r="AT27" i="28"/>
  <c r="AT25" i="28"/>
  <c r="AT23" i="28"/>
  <c r="AT21" i="28"/>
  <c r="AT19" i="28"/>
  <c r="AT17" i="28"/>
  <c r="AT15" i="28"/>
  <c r="AT35" i="28"/>
  <c r="AT30" i="28"/>
  <c r="AT38" i="28"/>
  <c r="AT34" i="28"/>
  <c r="AT28" i="28"/>
  <c r="AT26" i="28"/>
  <c r="AT24" i="28"/>
  <c r="AT22" i="28"/>
  <c r="AT20" i="28"/>
  <c r="AT18" i="28"/>
  <c r="AT16" i="28"/>
  <c r="AT14" i="28"/>
  <c r="AT37" i="28"/>
  <c r="AT33" i="28"/>
  <c r="AT31" i="28"/>
  <c r="AT12" i="28"/>
  <c r="AT10" i="28"/>
  <c r="AT8" i="28"/>
  <c r="AT6" i="28"/>
  <c r="AT4" i="28"/>
  <c r="AT11" i="28"/>
  <c r="AT9" i="28"/>
  <c r="AT7" i="28"/>
  <c r="AT5" i="28"/>
  <c r="AT3" i="28"/>
  <c r="AT13" i="28"/>
  <c r="AD109" i="28"/>
  <c r="AD107" i="28"/>
  <c r="AD108" i="28"/>
  <c r="AD105" i="28"/>
  <c r="AD106" i="28"/>
  <c r="AD104" i="28"/>
  <c r="AD102" i="28"/>
  <c r="AD103" i="28"/>
  <c r="AD100" i="28"/>
  <c r="AD98" i="28"/>
  <c r="AD101" i="28"/>
  <c r="AD99" i="28"/>
  <c r="AD97" i="28"/>
  <c r="AD95" i="28"/>
  <c r="AD93" i="28"/>
  <c r="AD96" i="28"/>
  <c r="AD92" i="28"/>
  <c r="AD90" i="28"/>
  <c r="AD94" i="28"/>
  <c r="AD87" i="28"/>
  <c r="AD85" i="28"/>
  <c r="AD83" i="28"/>
  <c r="AD81" i="28"/>
  <c r="AD91" i="28"/>
  <c r="AD88" i="28"/>
  <c r="AD86" i="28"/>
  <c r="AD84" i="28"/>
  <c r="AD82" i="28"/>
  <c r="AD80" i="28"/>
  <c r="AD89" i="28"/>
  <c r="AD79" i="28"/>
  <c r="AD77" i="28"/>
  <c r="AD75" i="28"/>
  <c r="AD73" i="28"/>
  <c r="AD78" i="28"/>
  <c r="AD76" i="28"/>
  <c r="AD74" i="28"/>
  <c r="AD70" i="28"/>
  <c r="AD72" i="28"/>
  <c r="AD67" i="28"/>
  <c r="AD71" i="28"/>
  <c r="AD66" i="28"/>
  <c r="AD64" i="28"/>
  <c r="AD62" i="28"/>
  <c r="AD60" i="28"/>
  <c r="AD58" i="28"/>
  <c r="AD56" i="28"/>
  <c r="AD54" i="28"/>
  <c r="AD52" i="28"/>
  <c r="AD50" i="28"/>
  <c r="AD48" i="28"/>
  <c r="AD46" i="28"/>
  <c r="AD69" i="28"/>
  <c r="AD65" i="28"/>
  <c r="AD68" i="28"/>
  <c r="AD63" i="28"/>
  <c r="AD61" i="28"/>
  <c r="AD59" i="28"/>
  <c r="AD57" i="28"/>
  <c r="AD55" i="28"/>
  <c r="AD53" i="28"/>
  <c r="AD51" i="28"/>
  <c r="AD49" i="28"/>
  <c r="AD47" i="28"/>
  <c r="AD45" i="28"/>
  <c r="AD43" i="28"/>
  <c r="AD41" i="28"/>
  <c r="AD44" i="28"/>
  <c r="AD42" i="28"/>
  <c r="AD39" i="28"/>
  <c r="AD36" i="28"/>
  <c r="AD32" i="28"/>
  <c r="AD29" i="28"/>
  <c r="AD27" i="28"/>
  <c r="AD25" i="28"/>
  <c r="AD23" i="28"/>
  <c r="AD21" i="28"/>
  <c r="AD19" i="28"/>
  <c r="AD17" i="28"/>
  <c r="AD15" i="28"/>
  <c r="AD40" i="28"/>
  <c r="AD35" i="28"/>
  <c r="AD30" i="28"/>
  <c r="AD38" i="28"/>
  <c r="AD34" i="28"/>
  <c r="AD28" i="28"/>
  <c r="AD26" i="28"/>
  <c r="AD24" i="28"/>
  <c r="AD22" i="28"/>
  <c r="AD20" i="28"/>
  <c r="AD18" i="28"/>
  <c r="AD16" i="28"/>
  <c r="AD14" i="28"/>
  <c r="AD37" i="28"/>
  <c r="AD33" i="28"/>
  <c r="AD31" i="28"/>
  <c r="AD12" i="28"/>
  <c r="AD10" i="28"/>
  <c r="AD8" i="28"/>
  <c r="AD6" i="28"/>
  <c r="AD4" i="28"/>
  <c r="AD11" i="28"/>
  <c r="AD9" i="28"/>
  <c r="AD7" i="28"/>
  <c r="AD5" i="28"/>
  <c r="AD3" i="28"/>
  <c r="AD13" i="28"/>
  <c r="N109" i="28"/>
  <c r="N107" i="28"/>
  <c r="N108" i="28"/>
  <c r="N105" i="28"/>
  <c r="N106" i="28"/>
  <c r="N104" i="28"/>
  <c r="N102" i="28"/>
  <c r="N103" i="28"/>
  <c r="N100" i="28"/>
  <c r="N98" i="28"/>
  <c r="N101" i="28"/>
  <c r="N99" i="28"/>
  <c r="N97" i="28"/>
  <c r="N95" i="28"/>
  <c r="N93" i="28"/>
  <c r="N96" i="28"/>
  <c r="N92" i="28"/>
  <c r="N90" i="28"/>
  <c r="N94" i="28"/>
  <c r="N87" i="28"/>
  <c r="N85" i="28"/>
  <c r="N83" i="28"/>
  <c r="N81" i="28"/>
  <c r="N91" i="28"/>
  <c r="N88" i="28"/>
  <c r="N86" i="28"/>
  <c r="N84" i="28"/>
  <c r="N82" i="28"/>
  <c r="N80" i="28"/>
  <c r="N89" i="28"/>
  <c r="N79" i="28"/>
  <c r="N77" i="28"/>
  <c r="N75" i="28"/>
  <c r="N73" i="28"/>
  <c r="N78" i="28"/>
  <c r="N76" i="28"/>
  <c r="N74" i="28"/>
  <c r="N70" i="28"/>
  <c r="N67" i="28"/>
  <c r="N71" i="28"/>
  <c r="N66" i="28"/>
  <c r="N64" i="28"/>
  <c r="N62" i="28"/>
  <c r="N60" i="28"/>
  <c r="N58" i="28"/>
  <c r="N56" i="28"/>
  <c r="N54" i="28"/>
  <c r="N52" i="28"/>
  <c r="N50" i="28"/>
  <c r="N48" i="28"/>
  <c r="N46" i="28"/>
  <c r="N69" i="28"/>
  <c r="N65" i="28"/>
  <c r="N72" i="28"/>
  <c r="N68" i="28"/>
  <c r="N63" i="28"/>
  <c r="N61" i="28"/>
  <c r="N59" i="28"/>
  <c r="N57" i="28"/>
  <c r="N55" i="28"/>
  <c r="N53" i="28"/>
  <c r="N51" i="28"/>
  <c r="N49" i="28"/>
  <c r="N47" i="28"/>
  <c r="N45" i="28"/>
  <c r="N43" i="28"/>
  <c r="N41" i="28"/>
  <c r="N44" i="28"/>
  <c r="N42" i="28"/>
  <c r="N39" i="28"/>
  <c r="N36" i="28"/>
  <c r="N29" i="28"/>
  <c r="N27" i="28"/>
  <c r="N25" i="28"/>
  <c r="N23" i="28"/>
  <c r="N21" i="28"/>
  <c r="N19" i="28"/>
  <c r="N17" i="28"/>
  <c r="N15" i="28"/>
  <c r="N40" i="28"/>
  <c r="N35" i="28"/>
  <c r="N30" i="28"/>
  <c r="N38" i="28"/>
  <c r="N34" i="28"/>
  <c r="N32" i="28"/>
  <c r="N28" i="28"/>
  <c r="N26" i="28"/>
  <c r="N24" i="28"/>
  <c r="N22" i="28"/>
  <c r="N20" i="28"/>
  <c r="N18" i="28"/>
  <c r="N16" i="28"/>
  <c r="N14" i="28"/>
  <c r="N37" i="28"/>
  <c r="N33" i="28"/>
  <c r="N31" i="28"/>
  <c r="N12" i="28"/>
  <c r="N10" i="28"/>
  <c r="N8" i="28"/>
  <c r="N6" i="28"/>
  <c r="N4" i="28"/>
  <c r="N11" i="28"/>
  <c r="N9" i="28"/>
  <c r="N7" i="28"/>
  <c r="N5" i="28"/>
  <c r="N3" i="28"/>
  <c r="N13" i="28"/>
  <c r="DE108" i="28"/>
  <c r="DE109" i="28"/>
  <c r="DE107" i="28"/>
  <c r="DE106" i="28"/>
  <c r="DE104" i="28"/>
  <c r="DE103" i="28"/>
  <c r="DE105" i="28"/>
  <c r="DE102" i="28"/>
  <c r="DE101" i="28"/>
  <c r="DE100" i="28"/>
  <c r="DE98" i="28"/>
  <c r="DE94" i="28"/>
  <c r="DE97" i="28"/>
  <c r="DE96" i="28"/>
  <c r="DE99" i="28"/>
  <c r="DE95" i="28"/>
  <c r="DE93" i="28"/>
  <c r="DE92" i="28"/>
  <c r="DE89" i="28"/>
  <c r="DE88" i="28"/>
  <c r="DE91" i="28"/>
  <c r="DE90" i="28"/>
  <c r="DE86" i="28"/>
  <c r="DE85" i="28"/>
  <c r="DE87" i="28"/>
  <c r="DE84" i="28"/>
  <c r="DE83" i="28"/>
  <c r="DE82" i="28"/>
  <c r="DE81" i="28"/>
  <c r="DE79" i="28"/>
  <c r="DE77" i="28"/>
  <c r="DE80" i="28"/>
  <c r="DE78" i="28"/>
  <c r="DE72" i="28"/>
  <c r="DE71" i="28"/>
  <c r="DE69" i="28"/>
  <c r="DE67" i="28"/>
  <c r="DE65" i="28"/>
  <c r="DE76" i="28"/>
  <c r="DE75" i="28"/>
  <c r="DE74" i="28"/>
  <c r="DE73" i="28"/>
  <c r="DE70" i="28"/>
  <c r="DE68" i="28"/>
  <c r="DE66" i="28"/>
  <c r="DE64" i="28"/>
  <c r="DE63" i="28"/>
  <c r="DE61" i="28"/>
  <c r="DE62" i="28"/>
  <c r="DE60" i="28"/>
  <c r="DE58" i="28"/>
  <c r="DE59" i="28"/>
  <c r="DE44" i="28"/>
  <c r="DE57" i="28"/>
  <c r="DE56" i="28"/>
  <c r="DE55" i="28"/>
  <c r="DE54" i="28"/>
  <c r="DE53" i="28"/>
  <c r="DE52" i="28"/>
  <c r="DE51" i="28"/>
  <c r="DE50" i="28"/>
  <c r="DE49" i="28"/>
  <c r="DE48" i="28"/>
  <c r="DE47" i="28"/>
  <c r="DE46" i="28"/>
  <c r="DE45" i="28"/>
  <c r="DE43" i="28"/>
  <c r="DE39" i="28"/>
  <c r="DE37" i="28"/>
  <c r="DE35" i="28"/>
  <c r="DE33" i="28"/>
  <c r="DE38" i="28"/>
  <c r="DE36" i="28"/>
  <c r="DE34" i="28"/>
  <c r="DE32" i="28"/>
  <c r="DE30" i="28"/>
  <c r="DE42" i="28"/>
  <c r="DE41" i="28"/>
  <c r="DE31" i="28"/>
  <c r="DE29" i="28"/>
  <c r="DE27" i="28"/>
  <c r="DE25" i="28"/>
  <c r="DE23" i="28"/>
  <c r="DE40" i="28"/>
  <c r="DE28" i="28"/>
  <c r="DE26" i="28"/>
  <c r="DE24" i="28"/>
  <c r="DE5" i="28"/>
  <c r="DE13" i="28"/>
  <c r="DE12" i="28"/>
  <c r="DE6" i="28"/>
  <c r="DE4" i="28"/>
  <c r="DE22" i="28"/>
  <c r="DE21" i="28"/>
  <c r="DE20" i="28"/>
  <c r="DE19" i="28"/>
  <c r="DE18" i="28"/>
  <c r="DE17" i="28"/>
  <c r="DE16" i="28"/>
  <c r="DE15" i="28"/>
  <c r="DE10" i="28"/>
  <c r="DE8" i="28"/>
  <c r="DE11" i="28"/>
  <c r="DE7" i="28"/>
  <c r="DE14" i="28"/>
  <c r="DE9" i="28"/>
  <c r="DE3" i="28"/>
  <c r="CO108" i="28"/>
  <c r="CO109" i="28"/>
  <c r="CO107" i="28"/>
  <c r="CO106" i="28"/>
  <c r="CO103" i="28"/>
  <c r="CO105" i="28"/>
  <c r="CO104" i="28"/>
  <c r="CO102" i="28"/>
  <c r="CO101" i="28"/>
  <c r="CO100" i="28"/>
  <c r="CO98" i="28"/>
  <c r="CO94" i="28"/>
  <c r="CO97" i="28"/>
  <c r="CO96" i="28"/>
  <c r="CO99" i="28"/>
  <c r="CO95" i="28"/>
  <c r="CO93" i="28"/>
  <c r="CO92" i="28"/>
  <c r="CO89" i="28"/>
  <c r="CO88" i="28"/>
  <c r="CO91" i="28"/>
  <c r="CO90" i="28"/>
  <c r="CO86" i="28"/>
  <c r="CO85" i="28"/>
  <c r="CO87" i="28"/>
  <c r="CO84" i="28"/>
  <c r="CO83" i="28"/>
  <c r="CO82" i="28"/>
  <c r="CO81" i="28"/>
  <c r="CO79" i="28"/>
  <c r="CO77" i="28"/>
  <c r="CO80" i="28"/>
  <c r="CO78" i="28"/>
  <c r="CO72" i="28"/>
  <c r="CO71" i="28"/>
  <c r="CO69" i="28"/>
  <c r="CO67" i="28"/>
  <c r="CO65" i="28"/>
  <c r="CO76" i="28"/>
  <c r="CO75" i="28"/>
  <c r="CO74" i="28"/>
  <c r="CO73" i="28"/>
  <c r="CO70" i="28"/>
  <c r="CO68" i="28"/>
  <c r="CO66" i="28"/>
  <c r="CO64" i="28"/>
  <c r="CO63" i="28"/>
  <c r="CO61" i="28"/>
  <c r="CO62" i="28"/>
  <c r="CO60" i="28"/>
  <c r="CO58" i="28"/>
  <c r="CO59" i="28"/>
  <c r="CO44" i="28"/>
  <c r="CO57" i="28"/>
  <c r="CO56" i="28"/>
  <c r="CO55" i="28"/>
  <c r="CO54" i="28"/>
  <c r="CO53" i="28"/>
  <c r="CO52" i="28"/>
  <c r="CO51" i="28"/>
  <c r="CO50" i="28"/>
  <c r="CO49" i="28"/>
  <c r="CO48" i="28"/>
  <c r="CO47" i="28"/>
  <c r="CO46" i="28"/>
  <c r="CO45" i="28"/>
  <c r="CO43" i="28"/>
  <c r="CO39" i="28"/>
  <c r="CO37" i="28"/>
  <c r="CO35" i="28"/>
  <c r="CO33" i="28"/>
  <c r="CO38" i="28"/>
  <c r="CO36" i="28"/>
  <c r="CO34" i="28"/>
  <c r="CO32" i="28"/>
  <c r="CO30" i="28"/>
  <c r="CO42" i="28"/>
  <c r="CO41" i="28"/>
  <c r="CO31" i="28"/>
  <c r="CO40" i="28"/>
  <c r="CO29" i="28"/>
  <c r="CO27" i="28"/>
  <c r="CO25" i="28"/>
  <c r="CO23" i="28"/>
  <c r="CO28" i="28"/>
  <c r="CO26" i="28"/>
  <c r="CO24" i="28"/>
  <c r="CO5" i="28"/>
  <c r="CO13" i="28"/>
  <c r="CO12" i="28"/>
  <c r="CO6" i="28"/>
  <c r="CO4" i="28"/>
  <c r="CO22" i="28"/>
  <c r="CO21" i="28"/>
  <c r="CO20" i="28"/>
  <c r="CO19" i="28"/>
  <c r="CO18" i="28"/>
  <c r="CO17" i="28"/>
  <c r="CO16" i="28"/>
  <c r="CO15" i="28"/>
  <c r="CO10" i="28"/>
  <c r="CO8" i="28"/>
  <c r="CO11" i="28"/>
  <c r="CO7" i="28"/>
  <c r="CO14" i="28"/>
  <c r="CO9" i="28"/>
  <c r="CO3" i="28"/>
  <c r="BY108" i="28"/>
  <c r="BY109" i="28"/>
  <c r="BY107" i="28"/>
  <c r="BY106" i="28"/>
  <c r="BY103" i="28"/>
  <c r="BY105" i="28"/>
  <c r="BY104" i="28"/>
  <c r="BY102" i="28"/>
  <c r="BY101" i="28"/>
  <c r="BY100" i="28"/>
  <c r="BY98" i="28"/>
  <c r="BY94" i="28"/>
  <c r="BY97" i="28"/>
  <c r="BY96" i="28"/>
  <c r="BY99" i="28"/>
  <c r="BY95" i="28"/>
  <c r="BY93" i="28"/>
  <c r="BY92" i="28"/>
  <c r="BY89" i="28"/>
  <c r="BY88" i="28"/>
  <c r="BY91" i="28"/>
  <c r="BY90" i="28"/>
  <c r="BY86" i="28"/>
  <c r="BY85" i="28"/>
  <c r="BY87" i="28"/>
  <c r="BY84" i="28"/>
  <c r="BY83" i="28"/>
  <c r="BY82" i="28"/>
  <c r="BY81" i="28"/>
  <c r="BY79" i="28"/>
  <c r="BY77" i="28"/>
  <c r="BY80" i="28"/>
  <c r="BY78" i="28"/>
  <c r="BY72" i="28"/>
  <c r="BY71" i="28"/>
  <c r="BY69" i="28"/>
  <c r="BY67" i="28"/>
  <c r="BY65" i="28"/>
  <c r="BY76" i="28"/>
  <c r="BY75" i="28"/>
  <c r="BY74" i="28"/>
  <c r="BY73" i="28"/>
  <c r="BY70" i="28"/>
  <c r="BY68" i="28"/>
  <c r="BY66" i="28"/>
  <c r="BY64" i="28"/>
  <c r="BY63" i="28"/>
  <c r="BY61" i="28"/>
  <c r="BY62" i="28"/>
  <c r="BY60" i="28"/>
  <c r="BY58" i="28"/>
  <c r="BY59" i="28"/>
  <c r="BY44" i="28"/>
  <c r="BY57" i="28"/>
  <c r="BY56" i="28"/>
  <c r="BY55" i="28"/>
  <c r="BY54" i="28"/>
  <c r="BY53" i="28"/>
  <c r="BY52" i="28"/>
  <c r="BY51" i="28"/>
  <c r="BY50" i="28"/>
  <c r="BY49" i="28"/>
  <c r="BY48" i="28"/>
  <c r="BY47" i="28"/>
  <c r="BY46" i="28"/>
  <c r="BY45" i="28"/>
  <c r="BY43" i="28"/>
  <c r="BY39" i="28"/>
  <c r="BY37" i="28"/>
  <c r="BY35" i="28"/>
  <c r="BY33" i="28"/>
  <c r="BY38" i="28"/>
  <c r="BY36" i="28"/>
  <c r="BY34" i="28"/>
  <c r="BY32" i="28"/>
  <c r="BY30" i="28"/>
  <c r="BY42" i="28"/>
  <c r="BY41" i="28"/>
  <c r="BY40" i="28"/>
  <c r="BY31" i="28"/>
  <c r="BY29" i="28"/>
  <c r="BY27" i="28"/>
  <c r="BY25" i="28"/>
  <c r="BY23" i="28"/>
  <c r="BY28" i="28"/>
  <c r="BY26" i="28"/>
  <c r="BY24" i="28"/>
  <c r="BY5" i="28"/>
  <c r="BY13" i="28"/>
  <c r="BY12" i="28"/>
  <c r="BY6" i="28"/>
  <c r="BY4" i="28"/>
  <c r="BY22" i="28"/>
  <c r="BY21" i="28"/>
  <c r="BY20" i="28"/>
  <c r="BY19" i="28"/>
  <c r="BY18" i="28"/>
  <c r="BY17" i="28"/>
  <c r="BY16" i="28"/>
  <c r="BY15" i="28"/>
  <c r="BY10" i="28"/>
  <c r="BY8" i="28"/>
  <c r="BY11" i="28"/>
  <c r="BY7" i="28"/>
  <c r="BY14" i="28"/>
  <c r="BY9" i="28"/>
  <c r="BY3" i="28"/>
  <c r="BI108" i="28"/>
  <c r="BI109" i="28"/>
  <c r="BI107" i="28"/>
  <c r="BI106" i="28"/>
  <c r="BI103" i="28"/>
  <c r="BI105" i="28"/>
  <c r="BI104" i="28"/>
  <c r="BI102" i="28"/>
  <c r="BI101" i="28"/>
  <c r="BI100" i="28"/>
  <c r="BI98" i="28"/>
  <c r="BI96" i="28"/>
  <c r="BI94" i="28"/>
  <c r="BI97" i="28"/>
  <c r="BI99" i="28"/>
  <c r="BI95" i="28"/>
  <c r="BI93" i="28"/>
  <c r="BI92" i="28"/>
  <c r="BI89" i="28"/>
  <c r="BI91" i="28"/>
  <c r="BI90" i="28"/>
  <c r="BI88" i="28"/>
  <c r="BI86" i="28"/>
  <c r="BI85" i="28"/>
  <c r="BI87" i="28"/>
  <c r="BI84" i="28"/>
  <c r="BI83" i="28"/>
  <c r="BI82" i="28"/>
  <c r="BI81" i="28"/>
  <c r="BI79" i="28"/>
  <c r="BI77" i="28"/>
  <c r="BI80" i="28"/>
  <c r="BI78" i="28"/>
  <c r="BI72" i="28"/>
  <c r="BI71" i="28"/>
  <c r="BI69" i="28"/>
  <c r="BI67" i="28"/>
  <c r="BI65" i="28"/>
  <c r="BI76" i="28"/>
  <c r="BI75" i="28"/>
  <c r="BI74" i="28"/>
  <c r="BI73" i="28"/>
  <c r="BI70" i="28"/>
  <c r="BI68" i="28"/>
  <c r="BI66" i="28"/>
  <c r="BI64" i="28"/>
  <c r="BI63" i="28"/>
  <c r="BI61" i="28"/>
  <c r="BI62" i="28"/>
  <c r="BI60" i="28"/>
  <c r="BI58" i="28"/>
  <c r="BI59" i="28"/>
  <c r="BI44" i="28"/>
  <c r="BI57" i="28"/>
  <c r="BI56" i="28"/>
  <c r="BI55" i="28"/>
  <c r="BI54" i="28"/>
  <c r="BI53" i="28"/>
  <c r="BI52" i="28"/>
  <c r="BI51" i="28"/>
  <c r="BI50" i="28"/>
  <c r="BI49" i="28"/>
  <c r="BI48" i="28"/>
  <c r="BI47" i="28"/>
  <c r="BI46" i="28"/>
  <c r="BI45" i="28"/>
  <c r="BI43" i="28"/>
  <c r="BI39" i="28"/>
  <c r="BI37" i="28"/>
  <c r="BI35" i="28"/>
  <c r="BI33" i="28"/>
  <c r="BI38" i="28"/>
  <c r="BI36" i="28"/>
  <c r="BI34" i="28"/>
  <c r="BI32" i="28"/>
  <c r="BI30" i="28"/>
  <c r="BI42" i="28"/>
  <c r="BI41" i="28"/>
  <c r="BI31" i="28"/>
  <c r="BI29" i="28"/>
  <c r="BI27" i="28"/>
  <c r="BI25" i="28"/>
  <c r="BI23" i="28"/>
  <c r="BI40" i="28"/>
  <c r="BI28" i="28"/>
  <c r="BI26" i="28"/>
  <c r="BI24" i="28"/>
  <c r="BI5" i="28"/>
  <c r="BI13" i="28"/>
  <c r="BI12" i="28"/>
  <c r="BI6" i="28"/>
  <c r="BI4" i="28"/>
  <c r="BI22" i="28"/>
  <c r="BI21" i="28"/>
  <c r="BI20" i="28"/>
  <c r="BI19" i="28"/>
  <c r="BI18" i="28"/>
  <c r="BI17" i="28"/>
  <c r="BI16" i="28"/>
  <c r="BI15" i="28"/>
  <c r="BI10" i="28"/>
  <c r="BI8" i="28"/>
  <c r="BI11" i="28"/>
  <c r="BI7" i="28"/>
  <c r="BI14" i="28"/>
  <c r="BI9" i="28"/>
  <c r="BI3" i="28"/>
  <c r="AS108" i="28"/>
  <c r="AS109" i="28"/>
  <c r="AS107" i="28"/>
  <c r="AS106" i="28"/>
  <c r="AS103" i="28"/>
  <c r="AS105" i="28"/>
  <c r="AS104" i="28"/>
  <c r="AS102" i="28"/>
  <c r="AS101" i="28"/>
  <c r="AS100" i="28"/>
  <c r="AS98" i="28"/>
  <c r="AS96" i="28"/>
  <c r="AS94" i="28"/>
  <c r="AS97" i="28"/>
  <c r="AS99" i="28"/>
  <c r="AS95" i="28"/>
  <c r="AS93" i="28"/>
  <c r="AS92" i="28"/>
  <c r="AS89" i="28"/>
  <c r="AS91" i="28"/>
  <c r="AS90" i="28"/>
  <c r="AS88" i="28"/>
  <c r="AS86" i="28"/>
  <c r="AS85" i="28"/>
  <c r="AS87" i="28"/>
  <c r="AS84" i="28"/>
  <c r="AS83" i="28"/>
  <c r="AS82" i="28"/>
  <c r="AS81" i="28"/>
  <c r="AS79" i="28"/>
  <c r="AS77" i="28"/>
  <c r="AS80" i="28"/>
  <c r="AS78" i="28"/>
  <c r="AS72" i="28"/>
  <c r="AS71" i="28"/>
  <c r="AS69" i="28"/>
  <c r="AS67" i="28"/>
  <c r="AS65" i="28"/>
  <c r="AS76" i="28"/>
  <c r="AS75" i="28"/>
  <c r="AS74" i="28"/>
  <c r="AS73" i="28"/>
  <c r="AS70" i="28"/>
  <c r="AS68" i="28"/>
  <c r="AS66" i="28"/>
  <c r="AS63" i="28"/>
  <c r="AS61" i="28"/>
  <c r="AS64" i="28"/>
  <c r="AS62" i="28"/>
  <c r="AS60" i="28"/>
  <c r="AS58" i="28"/>
  <c r="AS59" i="28"/>
  <c r="AS44" i="28"/>
  <c r="AS57" i="28"/>
  <c r="AS56" i="28"/>
  <c r="AS55" i="28"/>
  <c r="AS54" i="28"/>
  <c r="AS53" i="28"/>
  <c r="AS52" i="28"/>
  <c r="AS51" i="28"/>
  <c r="AS50" i="28"/>
  <c r="AS49" i="28"/>
  <c r="AS48" i="28"/>
  <c r="AS47" i="28"/>
  <c r="AS46" i="28"/>
  <c r="AS45" i="28"/>
  <c r="AS43" i="28"/>
  <c r="AS39" i="28"/>
  <c r="AS37" i="28"/>
  <c r="AS35" i="28"/>
  <c r="AS33" i="28"/>
  <c r="AS38" i="28"/>
  <c r="AS36" i="28"/>
  <c r="AS34" i="28"/>
  <c r="AS32" i="28"/>
  <c r="AS30" i="28"/>
  <c r="AS42" i="28"/>
  <c r="AS41" i="28"/>
  <c r="AS31" i="28"/>
  <c r="AS29" i="28"/>
  <c r="AS27" i="28"/>
  <c r="AS25" i="28"/>
  <c r="AS23" i="28"/>
  <c r="AS40" i="28"/>
  <c r="AS28" i="28"/>
  <c r="AS26" i="28"/>
  <c r="AS24" i="28"/>
  <c r="AS5" i="28"/>
  <c r="AS13" i="28"/>
  <c r="AS6" i="28"/>
  <c r="AS4" i="28"/>
  <c r="AS22" i="28"/>
  <c r="AS21" i="28"/>
  <c r="AS20" i="28"/>
  <c r="AS19" i="28"/>
  <c r="AS18" i="28"/>
  <c r="AS17" i="28"/>
  <c r="AS16" i="28"/>
  <c r="AS15" i="28"/>
  <c r="AS12" i="28"/>
  <c r="AS10" i="28"/>
  <c r="AS8" i="28"/>
  <c r="AS11" i="28"/>
  <c r="AS7" i="28"/>
  <c r="AS14" i="28"/>
  <c r="AS9" i="28"/>
  <c r="AS3" i="28"/>
  <c r="AC108" i="28"/>
  <c r="AC109" i="28"/>
  <c r="AC107" i="28"/>
  <c r="AC106" i="28"/>
  <c r="AC103" i="28"/>
  <c r="AC105" i="28"/>
  <c r="AC104" i="28"/>
  <c r="AC102" i="28"/>
  <c r="AC101" i="28"/>
  <c r="AC100" i="28"/>
  <c r="AC98" i="28"/>
  <c r="AC96" i="28"/>
  <c r="AC94" i="28"/>
  <c r="AC97" i="28"/>
  <c r="AC99" i="28"/>
  <c r="AC95" i="28"/>
  <c r="AC93" i="28"/>
  <c r="AC92" i="28"/>
  <c r="AC89" i="28"/>
  <c r="AC91" i="28"/>
  <c r="AC90" i="28"/>
  <c r="AC88" i="28"/>
  <c r="AC86" i="28"/>
  <c r="AC87" i="28"/>
  <c r="AC85" i="28"/>
  <c r="AC84" i="28"/>
  <c r="AC83" i="28"/>
  <c r="AC82" i="28"/>
  <c r="AC81" i="28"/>
  <c r="AC79" i="28"/>
  <c r="AC77" i="28"/>
  <c r="AC80" i="28"/>
  <c r="AC78" i="28"/>
  <c r="AC72" i="28"/>
  <c r="AC71" i="28"/>
  <c r="AC69" i="28"/>
  <c r="AC67" i="28"/>
  <c r="AC65" i="28"/>
  <c r="AC76" i="28"/>
  <c r="AC75" i="28"/>
  <c r="AC74" i="28"/>
  <c r="AC73" i="28"/>
  <c r="AC70" i="28"/>
  <c r="AC68" i="28"/>
  <c r="AC66" i="28"/>
  <c r="AC63" i="28"/>
  <c r="AC61" i="28"/>
  <c r="AC64" i="28"/>
  <c r="AC62" i="28"/>
  <c r="AC60" i="28"/>
  <c r="AC58" i="28"/>
  <c r="AC59" i="28"/>
  <c r="AC44" i="28"/>
  <c r="AC57" i="28"/>
  <c r="AC56" i="28"/>
  <c r="AC55" i="28"/>
  <c r="AC54" i="28"/>
  <c r="AC53" i="28"/>
  <c r="AC52" i="28"/>
  <c r="AC51" i="28"/>
  <c r="AC50" i="28"/>
  <c r="AC49" i="28"/>
  <c r="AC48" i="28"/>
  <c r="AC47" i="28"/>
  <c r="AC46" i="28"/>
  <c r="AC45" i="28"/>
  <c r="AC43" i="28"/>
  <c r="AC39" i="28"/>
  <c r="AC37" i="28"/>
  <c r="AC35" i="28"/>
  <c r="AC33" i="28"/>
  <c r="AC40" i="28"/>
  <c r="AC38" i="28"/>
  <c r="AC36" i="28"/>
  <c r="AC34" i="28"/>
  <c r="AC32" i="28"/>
  <c r="AC30" i="28"/>
  <c r="AC42" i="28"/>
  <c r="AC41" i="28"/>
  <c r="AC31" i="28"/>
  <c r="AC29" i="28"/>
  <c r="AC27" i="28"/>
  <c r="AC25" i="28"/>
  <c r="AC23" i="28"/>
  <c r="AC28" i="28"/>
  <c r="AC26" i="28"/>
  <c r="AC24" i="28"/>
  <c r="AC5" i="28"/>
  <c r="AC13" i="28"/>
  <c r="AC6" i="28"/>
  <c r="AC4" i="28"/>
  <c r="AC22" i="28"/>
  <c r="AC21" i="28"/>
  <c r="AC20" i="28"/>
  <c r="AC19" i="28"/>
  <c r="AC18" i="28"/>
  <c r="AC17" i="28"/>
  <c r="AC16" i="28"/>
  <c r="AC15" i="28"/>
  <c r="AC12" i="28"/>
  <c r="AC10" i="28"/>
  <c r="AC8" i="28"/>
  <c r="AC11" i="28"/>
  <c r="AC7" i="28"/>
  <c r="AC14" i="28"/>
  <c r="AC9" i="28"/>
  <c r="AC3" i="28"/>
  <c r="M108" i="28"/>
  <c r="M109" i="28"/>
  <c r="M107" i="28"/>
  <c r="M106" i="28"/>
  <c r="M103" i="28"/>
  <c r="M105" i="28"/>
  <c r="M104" i="28"/>
  <c r="M102" i="28"/>
  <c r="M101" i="28"/>
  <c r="M100" i="28"/>
  <c r="M98" i="28"/>
  <c r="M96" i="28"/>
  <c r="M94" i="28"/>
  <c r="M97" i="28"/>
  <c r="M99" i="28"/>
  <c r="M95" i="28"/>
  <c r="M93" i="28"/>
  <c r="M92" i="28"/>
  <c r="M89" i="28"/>
  <c r="M91" i="28"/>
  <c r="M90" i="28"/>
  <c r="M88" i="28"/>
  <c r="M86" i="28"/>
  <c r="M87" i="28"/>
  <c r="M85" i="28"/>
  <c r="M84" i="28"/>
  <c r="M83" i="28"/>
  <c r="M82" i="28"/>
  <c r="M81" i="28"/>
  <c r="M79" i="28"/>
  <c r="M77" i="28"/>
  <c r="M80" i="28"/>
  <c r="M78" i="28"/>
  <c r="M72" i="28"/>
  <c r="M71" i="28"/>
  <c r="M69" i="28"/>
  <c r="M67" i="28"/>
  <c r="M65" i="28"/>
  <c r="M76" i="28"/>
  <c r="M75" i="28"/>
  <c r="M74" i="28"/>
  <c r="M73" i="28"/>
  <c r="M70" i="28"/>
  <c r="M68" i="28"/>
  <c r="M66" i="28"/>
  <c r="M63" i="28"/>
  <c r="M61" i="28"/>
  <c r="M64" i="28"/>
  <c r="M62" i="28"/>
  <c r="M60" i="28"/>
  <c r="M58" i="28"/>
  <c r="M59" i="28"/>
  <c r="M44" i="28"/>
  <c r="M57" i="28"/>
  <c r="M56" i="28"/>
  <c r="M55" i="28"/>
  <c r="M54" i="28"/>
  <c r="M53" i="28"/>
  <c r="M52" i="28"/>
  <c r="M51" i="28"/>
  <c r="M50" i="28"/>
  <c r="M49" i="28"/>
  <c r="M48" i="28"/>
  <c r="M47" i="28"/>
  <c r="M46" i="28"/>
  <c r="M45" i="28"/>
  <c r="M43" i="28"/>
  <c r="M39" i="28"/>
  <c r="M37" i="28"/>
  <c r="M35" i="28"/>
  <c r="M33" i="28"/>
  <c r="M40" i="28"/>
  <c r="M38" i="28"/>
  <c r="M36" i="28"/>
  <c r="M34" i="28"/>
  <c r="M32" i="28"/>
  <c r="M30" i="28"/>
  <c r="M42" i="28"/>
  <c r="M41" i="28"/>
  <c r="M31" i="28"/>
  <c r="M29" i="28"/>
  <c r="M27" i="28"/>
  <c r="M25" i="28"/>
  <c r="M23" i="28"/>
  <c r="M28" i="28"/>
  <c r="M26" i="28"/>
  <c r="M24" i="28"/>
  <c r="M5" i="28"/>
  <c r="M13" i="28"/>
  <c r="M6" i="28"/>
  <c r="M4" i="28"/>
  <c r="M22" i="28"/>
  <c r="M21" i="28"/>
  <c r="M20" i="28"/>
  <c r="M19" i="28"/>
  <c r="M18" i="28"/>
  <c r="M17" i="28"/>
  <c r="M16" i="28"/>
  <c r="M15" i="28"/>
  <c r="M12" i="28"/>
  <c r="M10" i="28"/>
  <c r="M8" i="28"/>
  <c r="M11" i="28"/>
  <c r="M7" i="28"/>
  <c r="M14" i="28"/>
  <c r="M9" i="28"/>
  <c r="M3" i="28"/>
  <c r="CR110" i="28"/>
  <c r="DH96" i="28"/>
  <c r="N22" i="27"/>
  <c r="F18" i="27" s="1"/>
  <c r="N57" i="32" l="1"/>
  <c r="R55" i="32"/>
  <c r="A19" i="30"/>
  <c r="A20" i="33"/>
  <c r="C19" i="33"/>
  <c r="CJ110" i="28"/>
  <c r="DH44" i="28"/>
  <c r="DH16" i="28"/>
  <c r="BL110" i="28"/>
  <c r="DH52" i="28"/>
  <c r="CB110" i="28"/>
  <c r="DH100" i="28"/>
  <c r="DH80" i="28"/>
  <c r="DH28" i="28"/>
  <c r="DH24" i="28"/>
  <c r="BH110" i="28"/>
  <c r="P110" i="28"/>
  <c r="AZ110" i="28"/>
  <c r="CV110" i="28"/>
  <c r="DH4" i="28"/>
  <c r="DH76" i="28"/>
  <c r="BD110" i="28"/>
  <c r="CF110" i="28"/>
  <c r="AJ110" i="28"/>
  <c r="AB110" i="28"/>
  <c r="AR110" i="28"/>
  <c r="DH92" i="28"/>
  <c r="AF110" i="28"/>
  <c r="D110" i="28"/>
  <c r="DH72" i="28"/>
  <c r="AN110" i="28"/>
  <c r="BX110" i="28"/>
  <c r="DH68" i="28"/>
  <c r="H110" i="28"/>
  <c r="DH84" i="28"/>
  <c r="DH56" i="28"/>
  <c r="T110" i="28"/>
  <c r="DH12" i="28"/>
  <c r="DH88" i="28"/>
  <c r="DN88" i="28" s="1"/>
  <c r="DP88" i="28" s="1"/>
  <c r="DH36" i="28"/>
  <c r="L110" i="28"/>
  <c r="BT110" i="28"/>
  <c r="BP110" i="28"/>
  <c r="CZ110" i="28"/>
  <c r="DH48" i="28"/>
  <c r="DH8" i="28"/>
  <c r="DR8" i="28" s="1"/>
  <c r="DT8" i="28" s="1"/>
  <c r="DH32" i="28"/>
  <c r="DG32" i="28" s="1"/>
  <c r="DH20" i="28"/>
  <c r="DR20" i="28" s="1"/>
  <c r="DT20" i="28" s="1"/>
  <c r="DH40" i="28"/>
  <c r="AV110" i="28"/>
  <c r="CN110" i="28"/>
  <c r="DH104" i="28"/>
  <c r="DD110" i="28"/>
  <c r="DH108" i="28"/>
  <c r="DR88" i="28"/>
  <c r="DT88" i="28" s="1"/>
  <c r="DG88" i="28"/>
  <c r="DJ8" i="28"/>
  <c r="DL8" i="28" s="1"/>
  <c r="DG8" i="28"/>
  <c r="DJ20" i="28"/>
  <c r="DL20" i="28" s="1"/>
  <c r="DN20" i="28"/>
  <c r="DP20" i="28" s="1"/>
  <c r="DG20" i="28"/>
  <c r="M110" i="28"/>
  <c r="DH13" i="28"/>
  <c r="BY110" i="28"/>
  <c r="DH77" i="28"/>
  <c r="AT110" i="28"/>
  <c r="DH46" i="28"/>
  <c r="AE110" i="28"/>
  <c r="DH31" i="28"/>
  <c r="CQ110" i="28"/>
  <c r="DH95" i="28"/>
  <c r="BM110" i="28"/>
  <c r="DH65" i="28"/>
  <c r="AH110" i="28"/>
  <c r="DH34" i="28"/>
  <c r="CT110" i="28"/>
  <c r="DH98" i="28"/>
  <c r="AI110" i="28"/>
  <c r="DH35" i="28"/>
  <c r="CU110" i="28"/>
  <c r="DH99" i="28"/>
  <c r="DJ40" i="28"/>
  <c r="DL40" i="28" s="1"/>
  <c r="DN40" i="28"/>
  <c r="DP40" i="28" s="1"/>
  <c r="DR40" i="28"/>
  <c r="DT40" i="28" s="1"/>
  <c r="DG40" i="28"/>
  <c r="DJ28" i="28"/>
  <c r="DL28" i="28" s="1"/>
  <c r="DN28" i="28"/>
  <c r="DP28" i="28" s="1"/>
  <c r="DR28" i="28"/>
  <c r="DT28" i="28" s="1"/>
  <c r="DG28" i="28"/>
  <c r="DN92" i="28"/>
  <c r="DP92" i="28" s="1"/>
  <c r="DR92" i="28"/>
  <c r="DT92" i="28" s="1"/>
  <c r="DJ92" i="28"/>
  <c r="DL92" i="28" s="1"/>
  <c r="DG92" i="28"/>
  <c r="E110" i="28"/>
  <c r="DH5" i="28"/>
  <c r="BQ110" i="28"/>
  <c r="DH69" i="28"/>
  <c r="V110" i="28"/>
  <c r="DH22" i="28"/>
  <c r="CH110" i="28"/>
  <c r="DH86" i="28"/>
  <c r="G110" i="28"/>
  <c r="DH7" i="28"/>
  <c r="BC110" i="28"/>
  <c r="DH55" i="28"/>
  <c r="Y110" i="28"/>
  <c r="DH25" i="28"/>
  <c r="CK110" i="28"/>
  <c r="DH89" i="28"/>
  <c r="AP110" i="28"/>
  <c r="DH42" i="28"/>
  <c r="DB110" i="28"/>
  <c r="DH106" i="28"/>
  <c r="CM110" i="28"/>
  <c r="DH91" i="28"/>
  <c r="BI110" i="28"/>
  <c r="DH61" i="28"/>
  <c r="AD110" i="28"/>
  <c r="DH30" i="28"/>
  <c r="CP110" i="28"/>
  <c r="DH94" i="28"/>
  <c r="CA110" i="28"/>
  <c r="DH79" i="28"/>
  <c r="DR12" i="28"/>
  <c r="DT12" i="28" s="1"/>
  <c r="DN12" i="28"/>
  <c r="DP12" i="28" s="1"/>
  <c r="DJ12" i="28"/>
  <c r="DL12" i="28" s="1"/>
  <c r="DG12" i="28"/>
  <c r="DJ72" i="28"/>
  <c r="DL72" i="28" s="1"/>
  <c r="DR72" i="28"/>
  <c r="DT72" i="28" s="1"/>
  <c r="DN72" i="28"/>
  <c r="DP72" i="28" s="1"/>
  <c r="DG72" i="28"/>
  <c r="DJ16" i="28"/>
  <c r="DL16" i="28" s="1"/>
  <c r="DR16" i="28"/>
  <c r="DT16" i="28" s="1"/>
  <c r="DN16" i="28"/>
  <c r="DP16" i="28" s="1"/>
  <c r="DG16" i="28"/>
  <c r="DN68" i="28"/>
  <c r="DP68" i="28" s="1"/>
  <c r="DR68" i="28"/>
  <c r="DT68" i="28" s="1"/>
  <c r="DJ68" i="28"/>
  <c r="DL68" i="28" s="1"/>
  <c r="DG68" i="28"/>
  <c r="AW110" i="28"/>
  <c r="DH49" i="28"/>
  <c r="R110" i="28"/>
  <c r="DH18" i="28"/>
  <c r="CD110" i="28"/>
  <c r="DH82" i="28"/>
  <c r="CE110" i="28"/>
  <c r="DH83" i="28"/>
  <c r="BA110" i="28"/>
  <c r="DH53" i="28"/>
  <c r="F110" i="28"/>
  <c r="DH6" i="28"/>
  <c r="BR110" i="28"/>
  <c r="DH70" i="28"/>
  <c r="AM110" i="28"/>
  <c r="DH39" i="28"/>
  <c r="CY110" i="28"/>
  <c r="DH103" i="28"/>
  <c r="DJ24" i="28"/>
  <c r="DL24" i="28" s="1"/>
  <c r="DN24" i="28"/>
  <c r="DP24" i="28" s="1"/>
  <c r="DR24" i="28"/>
  <c r="DT24" i="28" s="1"/>
  <c r="DG24" i="28"/>
  <c r="DR48" i="28"/>
  <c r="DT48" i="28" s="1"/>
  <c r="DJ48" i="28"/>
  <c r="DL48" i="28" s="1"/>
  <c r="DN48" i="28"/>
  <c r="DP48" i="28" s="1"/>
  <c r="DG48" i="28"/>
  <c r="DN36" i="28"/>
  <c r="DP36" i="28" s="1"/>
  <c r="DR36" i="28"/>
  <c r="DT36" i="28" s="1"/>
  <c r="DJ36" i="28"/>
  <c r="DL36" i="28" s="1"/>
  <c r="DG36" i="28"/>
  <c r="I110" i="28"/>
  <c r="DH9" i="28"/>
  <c r="BU110" i="28"/>
  <c r="DH73" i="28"/>
  <c r="Z110" i="28"/>
  <c r="DH26" i="28"/>
  <c r="CL110" i="28"/>
  <c r="DH90" i="28"/>
  <c r="K110" i="28"/>
  <c r="DH11" i="28"/>
  <c r="BW110" i="28"/>
  <c r="DH75" i="28"/>
  <c r="DR96" i="28"/>
  <c r="DT96" i="28" s="1"/>
  <c r="DJ96" i="28"/>
  <c r="DL96" i="28" s="1"/>
  <c r="DN96" i="28"/>
  <c r="DP96" i="28" s="1"/>
  <c r="DG96" i="28"/>
  <c r="DJ84" i="28"/>
  <c r="DL84" i="28" s="1"/>
  <c r="DR84" i="28"/>
  <c r="DT84" i="28" s="1"/>
  <c r="DN84" i="28"/>
  <c r="DP84" i="28" s="1"/>
  <c r="DG84" i="28"/>
  <c r="AS110" i="28"/>
  <c r="DH45" i="28"/>
  <c r="DE110" i="28"/>
  <c r="DH109" i="28"/>
  <c r="N110" i="28"/>
  <c r="DH14" i="28"/>
  <c r="BZ110" i="28"/>
  <c r="DH78" i="28"/>
  <c r="O110" i="28"/>
  <c r="DH15" i="28"/>
  <c r="BK110" i="28"/>
  <c r="DH63" i="28"/>
  <c r="AG110" i="28"/>
  <c r="DH33" i="28"/>
  <c r="CS110" i="28"/>
  <c r="DH97" i="28"/>
  <c r="BN110" i="28"/>
  <c r="DH66" i="28"/>
  <c r="S110" i="28"/>
  <c r="DH19" i="28"/>
  <c r="BO110" i="28"/>
  <c r="DH67" i="28"/>
  <c r="DR56" i="28"/>
  <c r="DT56" i="28" s="1"/>
  <c r="DJ56" i="28"/>
  <c r="DL56" i="28" s="1"/>
  <c r="DN56" i="28"/>
  <c r="DP56" i="28" s="1"/>
  <c r="DG56" i="28"/>
  <c r="DN64" i="28"/>
  <c r="DP64" i="28" s="1"/>
  <c r="DR64" i="28"/>
  <c r="DT64" i="28" s="1"/>
  <c r="DJ64" i="28"/>
  <c r="DL64" i="28" s="1"/>
  <c r="DG64" i="28"/>
  <c r="DR52" i="28"/>
  <c r="DT52" i="28" s="1"/>
  <c r="DJ52" i="28"/>
  <c r="DL52" i="28" s="1"/>
  <c r="DN52" i="28"/>
  <c r="DP52" i="28" s="1"/>
  <c r="DG52" i="28"/>
  <c r="AK110" i="28"/>
  <c r="DH37" i="28"/>
  <c r="CW110" i="28"/>
  <c r="DH101" i="28"/>
  <c r="BB110" i="28"/>
  <c r="DH54" i="28"/>
  <c r="W110" i="28"/>
  <c r="DH23" i="28"/>
  <c r="CI110" i="28"/>
  <c r="DH87" i="28"/>
  <c r="BE110" i="28"/>
  <c r="DH57" i="28"/>
  <c r="J110" i="28"/>
  <c r="DH10" i="28"/>
  <c r="BV110" i="28"/>
  <c r="DH74" i="28"/>
  <c r="AQ110" i="28"/>
  <c r="DH43" i="28"/>
  <c r="BG110" i="28"/>
  <c r="DH59" i="28"/>
  <c r="DN60" i="28"/>
  <c r="DP60" i="28" s="1"/>
  <c r="DR60" i="28"/>
  <c r="DT60" i="28" s="1"/>
  <c r="DJ60" i="28"/>
  <c r="DL60" i="28" s="1"/>
  <c r="DG60" i="28"/>
  <c r="AC110" i="28"/>
  <c r="DH29" i="28"/>
  <c r="CO110" i="28"/>
  <c r="DH93" i="28"/>
  <c r="BJ110" i="28"/>
  <c r="DH62" i="28"/>
  <c r="AU110" i="28"/>
  <c r="DH47" i="28"/>
  <c r="DR4" i="28"/>
  <c r="DT4" i="28" s="1"/>
  <c r="DN4" i="28"/>
  <c r="DP4" i="28" s="1"/>
  <c r="DJ4" i="28"/>
  <c r="DL4" i="28" s="1"/>
  <c r="DG4" i="28"/>
  <c r="DJ76" i="28"/>
  <c r="DL76" i="28" s="1"/>
  <c r="DR76" i="28"/>
  <c r="DT76" i="28" s="1"/>
  <c r="DN76" i="28"/>
  <c r="DP76" i="28" s="1"/>
  <c r="DG76" i="28"/>
  <c r="DR80" i="28"/>
  <c r="DT80" i="28" s="1"/>
  <c r="DJ80" i="28"/>
  <c r="DL80" i="28" s="1"/>
  <c r="DN80" i="28"/>
  <c r="DP80" i="28" s="1"/>
  <c r="DG80" i="28"/>
  <c r="Q110" i="28"/>
  <c r="DH17" i="28"/>
  <c r="CC110" i="28"/>
  <c r="DH81" i="28"/>
  <c r="AX110" i="28"/>
  <c r="DH50" i="28"/>
  <c r="C110" i="28"/>
  <c r="DH3" i="28"/>
  <c r="AY110" i="28"/>
  <c r="DH51" i="28"/>
  <c r="U110" i="28"/>
  <c r="DH21" i="28"/>
  <c r="CG110" i="28"/>
  <c r="DH85" i="28"/>
  <c r="AL110" i="28"/>
  <c r="DH38" i="28"/>
  <c r="CX110" i="28"/>
  <c r="DH102" i="28"/>
  <c r="BS110" i="28"/>
  <c r="DH71" i="28"/>
  <c r="DJ108" i="28"/>
  <c r="DL108" i="28" s="1"/>
  <c r="DR108" i="28"/>
  <c r="DT108" i="28" s="1"/>
  <c r="DN108" i="28"/>
  <c r="DP108" i="28" s="1"/>
  <c r="DG108" i="28"/>
  <c r="DJ104" i="28"/>
  <c r="DL104" i="28" s="1"/>
  <c r="DR104" i="28"/>
  <c r="DT104" i="28" s="1"/>
  <c r="DN104" i="28"/>
  <c r="DP104" i="28" s="1"/>
  <c r="DG104" i="28"/>
  <c r="DJ44" i="28"/>
  <c r="DL44" i="28" s="1"/>
  <c r="DN44" i="28"/>
  <c r="DP44" i="28" s="1"/>
  <c r="DR44" i="28"/>
  <c r="DT44" i="28" s="1"/>
  <c r="DG44" i="28"/>
  <c r="DR100" i="28"/>
  <c r="DT100" i="28" s="1"/>
  <c r="DJ100" i="28"/>
  <c r="DL100" i="28" s="1"/>
  <c r="DN100" i="28"/>
  <c r="DP100" i="28" s="1"/>
  <c r="DG100" i="28"/>
  <c r="AO110" i="28"/>
  <c r="DH41" i="28"/>
  <c r="DA110" i="28"/>
  <c r="DH105" i="28"/>
  <c r="BF110" i="28"/>
  <c r="DH58" i="28"/>
  <c r="AA110" i="28"/>
  <c r="DH27" i="28"/>
  <c r="DC110" i="28"/>
  <c r="DH107" i="28"/>
  <c r="A11" i="21"/>
  <c r="N59" i="32" l="1"/>
  <c r="R57" i="32"/>
  <c r="D3" i="30"/>
  <c r="D4" i="30" s="1"/>
  <c r="D5" i="30" s="1"/>
  <c r="D6" i="30" s="1"/>
  <c r="D7" i="30" s="1"/>
  <c r="D8" i="30" s="1"/>
  <c r="D9" i="30" s="1"/>
  <c r="D10" i="30" s="1"/>
  <c r="D11" i="30" s="1"/>
  <c r="D12" i="30" s="1"/>
  <c r="D13" i="30" s="1"/>
  <c r="D14" i="30" s="1"/>
  <c r="D15" i="30" s="1"/>
  <c r="D16" i="30" s="1"/>
  <c r="D17" i="30" s="1"/>
  <c r="D18" i="30" s="1"/>
  <c r="A20" i="30"/>
  <c r="A21" i="33"/>
  <c r="C20" i="33"/>
  <c r="DN8" i="28"/>
  <c r="DP8" i="28" s="1"/>
  <c r="DJ32" i="28"/>
  <c r="DL32" i="28" s="1"/>
  <c r="DR32" i="28"/>
  <c r="DT32" i="28" s="1"/>
  <c r="DN32" i="28"/>
  <c r="DP32" i="28" s="1"/>
  <c r="DJ88" i="28"/>
  <c r="DL88" i="28" s="1"/>
  <c r="DR107" i="28"/>
  <c r="DT107" i="28" s="1"/>
  <c r="DN107" i="28"/>
  <c r="DP107" i="28" s="1"/>
  <c r="DJ107" i="28"/>
  <c r="DL107" i="28" s="1"/>
  <c r="DG107" i="28"/>
  <c r="DR58" i="28"/>
  <c r="DT58" i="28" s="1"/>
  <c r="DJ58" i="28"/>
  <c r="DL58" i="28" s="1"/>
  <c r="DN58" i="28"/>
  <c r="DP58" i="28" s="1"/>
  <c r="DG58" i="28"/>
  <c r="DR41" i="28"/>
  <c r="DT41" i="28" s="1"/>
  <c r="DN41" i="28"/>
  <c r="DP41" i="28" s="1"/>
  <c r="DJ41" i="28"/>
  <c r="DL41" i="28" s="1"/>
  <c r="DG41" i="28"/>
  <c r="DR102" i="28"/>
  <c r="DT102" i="28" s="1"/>
  <c r="DJ102" i="28"/>
  <c r="DL102" i="28" s="1"/>
  <c r="DN102" i="28"/>
  <c r="DP102" i="28" s="1"/>
  <c r="DG102" i="28"/>
  <c r="DR85" i="28"/>
  <c r="DT85" i="28" s="1"/>
  <c r="DJ85" i="28"/>
  <c r="DL85" i="28" s="1"/>
  <c r="DN85" i="28"/>
  <c r="DP85" i="28" s="1"/>
  <c r="DG85" i="28"/>
  <c r="DJ51" i="28"/>
  <c r="DL51" i="28" s="1"/>
  <c r="DR51" i="28"/>
  <c r="DT51" i="28" s="1"/>
  <c r="DN51" i="28"/>
  <c r="DP51" i="28" s="1"/>
  <c r="DG51" i="28"/>
  <c r="DR50" i="28"/>
  <c r="DT50" i="28" s="1"/>
  <c r="DJ50" i="28"/>
  <c r="DL50" i="28" s="1"/>
  <c r="DN50" i="28"/>
  <c r="DP50" i="28" s="1"/>
  <c r="DG50" i="28"/>
  <c r="DR17" i="28"/>
  <c r="DT17" i="28" s="1"/>
  <c r="DJ17" i="28"/>
  <c r="DL17" i="28" s="1"/>
  <c r="DN17" i="28"/>
  <c r="DP17" i="28" s="1"/>
  <c r="DG17" i="28"/>
  <c r="DN62" i="28"/>
  <c r="DP62" i="28" s="1"/>
  <c r="DR62" i="28"/>
  <c r="DT62" i="28" s="1"/>
  <c r="DJ62" i="28"/>
  <c r="DL62" i="28" s="1"/>
  <c r="DG62" i="28"/>
  <c r="DR29" i="28"/>
  <c r="DT29" i="28" s="1"/>
  <c r="DJ29" i="28"/>
  <c r="DL29" i="28" s="1"/>
  <c r="DN29" i="28"/>
  <c r="DP29" i="28" s="1"/>
  <c r="DG29" i="28"/>
  <c r="DN43" i="28"/>
  <c r="DP43" i="28" s="1"/>
  <c r="DR43" i="28"/>
  <c r="DT43" i="28" s="1"/>
  <c r="DJ43" i="28"/>
  <c r="DL43" i="28" s="1"/>
  <c r="DG43" i="28"/>
  <c r="DN10" i="28"/>
  <c r="DP10" i="28" s="1"/>
  <c r="DR10" i="28"/>
  <c r="DT10" i="28" s="1"/>
  <c r="DJ10" i="28"/>
  <c r="DL10" i="28" s="1"/>
  <c r="DG10" i="28"/>
  <c r="DR87" i="28"/>
  <c r="DT87" i="28" s="1"/>
  <c r="DJ87" i="28"/>
  <c r="DL87" i="28" s="1"/>
  <c r="DN87" i="28"/>
  <c r="DP87" i="28" s="1"/>
  <c r="DG87" i="28"/>
  <c r="DR54" i="28"/>
  <c r="DT54" i="28" s="1"/>
  <c r="DJ54" i="28"/>
  <c r="DL54" i="28" s="1"/>
  <c r="DN54" i="28"/>
  <c r="DP54" i="28" s="1"/>
  <c r="DG54" i="28"/>
  <c r="DN37" i="28"/>
  <c r="DP37" i="28" s="1"/>
  <c r="DR37" i="28"/>
  <c r="DT37" i="28" s="1"/>
  <c r="DJ37" i="28"/>
  <c r="DL37" i="28" s="1"/>
  <c r="DG37" i="28"/>
  <c r="DR19" i="28"/>
  <c r="DT19" i="28" s="1"/>
  <c r="DJ19" i="28"/>
  <c r="DL19" i="28" s="1"/>
  <c r="DN19" i="28"/>
  <c r="DP19" i="28" s="1"/>
  <c r="DG19" i="28"/>
  <c r="DJ97" i="28"/>
  <c r="DL97" i="28" s="1"/>
  <c r="DN97" i="28"/>
  <c r="DP97" i="28" s="1"/>
  <c r="DR97" i="28"/>
  <c r="DT97" i="28" s="1"/>
  <c r="DG97" i="28"/>
  <c r="DJ63" i="28"/>
  <c r="DL63" i="28" s="1"/>
  <c r="DN63" i="28"/>
  <c r="DP63" i="28" s="1"/>
  <c r="DR63" i="28"/>
  <c r="DT63" i="28" s="1"/>
  <c r="DG63" i="28"/>
  <c r="DJ78" i="28"/>
  <c r="DL78" i="28" s="1"/>
  <c r="DN78" i="28"/>
  <c r="DP78" i="28" s="1"/>
  <c r="DR78" i="28"/>
  <c r="DT78" i="28" s="1"/>
  <c r="DG78" i="28"/>
  <c r="DR109" i="28"/>
  <c r="DT109" i="28" s="1"/>
  <c r="DJ109" i="28"/>
  <c r="DL109" i="28" s="1"/>
  <c r="DN109" i="28"/>
  <c r="DP109" i="28" s="1"/>
  <c r="DG109" i="28"/>
  <c r="DR75" i="28"/>
  <c r="DT75" i="28" s="1"/>
  <c r="DJ75" i="28"/>
  <c r="DL75" i="28" s="1"/>
  <c r="DN75" i="28"/>
  <c r="DP75" i="28" s="1"/>
  <c r="DG75" i="28"/>
  <c r="DR90" i="28"/>
  <c r="DT90" i="28" s="1"/>
  <c r="DJ90" i="28"/>
  <c r="DL90" i="28" s="1"/>
  <c r="DN90" i="28"/>
  <c r="DP90" i="28" s="1"/>
  <c r="DG90" i="28"/>
  <c r="DR73" i="28"/>
  <c r="DT73" i="28" s="1"/>
  <c r="DJ73" i="28"/>
  <c r="DL73" i="28" s="1"/>
  <c r="DN73" i="28"/>
  <c r="DP73" i="28" s="1"/>
  <c r="DG73" i="28"/>
  <c r="DJ103" i="28"/>
  <c r="DL103" i="28" s="1"/>
  <c r="DN103" i="28"/>
  <c r="DP103" i="28" s="1"/>
  <c r="DR103" i="28"/>
  <c r="DT103" i="28" s="1"/>
  <c r="DG103" i="28"/>
  <c r="DN70" i="28"/>
  <c r="DP70" i="28" s="1"/>
  <c r="DR70" i="28"/>
  <c r="DT70" i="28" s="1"/>
  <c r="DJ70" i="28"/>
  <c r="DL70" i="28" s="1"/>
  <c r="DG70" i="28"/>
  <c r="DJ53" i="28"/>
  <c r="DL53" i="28" s="1"/>
  <c r="DR53" i="28"/>
  <c r="DT53" i="28" s="1"/>
  <c r="DN53" i="28"/>
  <c r="DP53" i="28" s="1"/>
  <c r="DG53" i="28"/>
  <c r="DJ82" i="28"/>
  <c r="DL82" i="28" s="1"/>
  <c r="DR82" i="28"/>
  <c r="DT82" i="28" s="1"/>
  <c r="DN82" i="28"/>
  <c r="DP82" i="28" s="1"/>
  <c r="DG82" i="28"/>
  <c r="DJ49" i="28"/>
  <c r="DL49" i="28" s="1"/>
  <c r="DR49" i="28"/>
  <c r="DT49" i="28" s="1"/>
  <c r="DN49" i="28"/>
  <c r="DP49" i="28" s="1"/>
  <c r="DG49" i="28"/>
  <c r="DJ94" i="28"/>
  <c r="DL94" i="28" s="1"/>
  <c r="DR94" i="28"/>
  <c r="DT94" i="28" s="1"/>
  <c r="DN94" i="28"/>
  <c r="DP94" i="28" s="1"/>
  <c r="DG94" i="28"/>
  <c r="DJ61" i="28"/>
  <c r="DL61" i="28" s="1"/>
  <c r="DN61" i="28"/>
  <c r="DP61" i="28" s="1"/>
  <c r="DR61" i="28"/>
  <c r="DT61" i="28" s="1"/>
  <c r="DG61" i="28"/>
  <c r="DJ106" i="28"/>
  <c r="DL106" i="28" s="1"/>
  <c r="DN106" i="28"/>
  <c r="DP106" i="28" s="1"/>
  <c r="DR106" i="28"/>
  <c r="DT106" i="28" s="1"/>
  <c r="DG106" i="28"/>
  <c r="DJ89" i="28"/>
  <c r="DL89" i="28" s="1"/>
  <c r="DR89" i="28"/>
  <c r="DT89" i="28" s="1"/>
  <c r="DN89" i="28"/>
  <c r="DP89" i="28" s="1"/>
  <c r="DG89" i="28"/>
  <c r="DJ55" i="28"/>
  <c r="DL55" i="28" s="1"/>
  <c r="DR55" i="28"/>
  <c r="DT55" i="28" s="1"/>
  <c r="DN55" i="28"/>
  <c r="DP55" i="28" s="1"/>
  <c r="DG55" i="28"/>
  <c r="DJ86" i="28"/>
  <c r="DL86" i="28" s="1"/>
  <c r="DR86" i="28"/>
  <c r="DT86" i="28" s="1"/>
  <c r="DN86" i="28"/>
  <c r="DP86" i="28" s="1"/>
  <c r="DG86" i="28"/>
  <c r="DN69" i="28"/>
  <c r="DP69" i="28" s="1"/>
  <c r="DR69" i="28"/>
  <c r="DT69" i="28" s="1"/>
  <c r="DJ69" i="28"/>
  <c r="DL69" i="28" s="1"/>
  <c r="DG69" i="28"/>
  <c r="DJ99" i="28"/>
  <c r="DL99" i="28" s="1"/>
  <c r="DN99" i="28"/>
  <c r="DP99" i="28" s="1"/>
  <c r="DR99" i="28"/>
  <c r="DT99" i="28" s="1"/>
  <c r="DG99" i="28"/>
  <c r="DR98" i="28"/>
  <c r="DT98" i="28" s="1"/>
  <c r="DN98" i="28"/>
  <c r="DP98" i="28" s="1"/>
  <c r="DJ98" i="28"/>
  <c r="DL98" i="28" s="1"/>
  <c r="DG98" i="28"/>
  <c r="DN65" i="28"/>
  <c r="DP65" i="28" s="1"/>
  <c r="DR65" i="28"/>
  <c r="DT65" i="28" s="1"/>
  <c r="DJ65" i="28"/>
  <c r="DL65" i="28" s="1"/>
  <c r="DG65" i="28"/>
  <c r="DN31" i="28"/>
  <c r="DP31" i="28" s="1"/>
  <c r="DR31" i="28"/>
  <c r="DT31" i="28" s="1"/>
  <c r="DJ31" i="28"/>
  <c r="DL31" i="28" s="1"/>
  <c r="DG31" i="28"/>
  <c r="DR77" i="28"/>
  <c r="DT77" i="28" s="1"/>
  <c r="DJ77" i="28"/>
  <c r="DL77" i="28" s="1"/>
  <c r="DN77" i="28"/>
  <c r="DP77" i="28" s="1"/>
  <c r="DG77" i="28"/>
  <c r="DR27" i="28"/>
  <c r="DT27" i="28" s="1"/>
  <c r="DJ27" i="28"/>
  <c r="DL27" i="28" s="1"/>
  <c r="DN27" i="28"/>
  <c r="DP27" i="28" s="1"/>
  <c r="DG27" i="28"/>
  <c r="DR105" i="28"/>
  <c r="DT105" i="28" s="1"/>
  <c r="DJ105" i="28"/>
  <c r="DL105" i="28" s="1"/>
  <c r="DN105" i="28"/>
  <c r="DP105" i="28" s="1"/>
  <c r="DG105" i="28"/>
  <c r="DR71" i="28"/>
  <c r="DT71" i="28" s="1"/>
  <c r="DN71" i="28"/>
  <c r="DP71" i="28" s="1"/>
  <c r="DJ71" i="28"/>
  <c r="DL71" i="28" s="1"/>
  <c r="DG71" i="28"/>
  <c r="DN38" i="28"/>
  <c r="DP38" i="28" s="1"/>
  <c r="DR38" i="28"/>
  <c r="DT38" i="28" s="1"/>
  <c r="DJ38" i="28"/>
  <c r="DL38" i="28" s="1"/>
  <c r="DG38" i="28"/>
  <c r="DR21" i="28"/>
  <c r="DT21" i="28" s="1"/>
  <c r="DJ21" i="28"/>
  <c r="DL21" i="28" s="1"/>
  <c r="DN21" i="28"/>
  <c r="DP21" i="28" s="1"/>
  <c r="DG21" i="28"/>
  <c r="DJ3" i="28"/>
  <c r="DL3" i="28" s="1"/>
  <c r="DN3" i="28"/>
  <c r="DP3" i="28" s="1"/>
  <c r="DR3" i="28"/>
  <c r="DT3" i="28" s="1"/>
  <c r="DG3" i="28"/>
  <c r="DR81" i="28"/>
  <c r="DT81" i="28" s="1"/>
  <c r="DJ81" i="28"/>
  <c r="DL81" i="28" s="1"/>
  <c r="DN81" i="28"/>
  <c r="DP81" i="28" s="1"/>
  <c r="DG81" i="28"/>
  <c r="DJ47" i="28"/>
  <c r="DL47" i="28" s="1"/>
  <c r="DR47" i="28"/>
  <c r="DT47" i="28" s="1"/>
  <c r="DN47" i="28"/>
  <c r="DP47" i="28" s="1"/>
  <c r="DG47" i="28"/>
  <c r="DN93" i="28"/>
  <c r="DP93" i="28" s="1"/>
  <c r="DR93" i="28"/>
  <c r="DT93" i="28" s="1"/>
  <c r="DJ93" i="28"/>
  <c r="DL93" i="28" s="1"/>
  <c r="DG93" i="28"/>
  <c r="DJ59" i="28"/>
  <c r="DL59" i="28" s="1"/>
  <c r="DN59" i="28"/>
  <c r="DP59" i="28" s="1"/>
  <c r="DR59" i="28"/>
  <c r="DT59" i="28" s="1"/>
  <c r="DG59" i="28"/>
  <c r="DJ74" i="28"/>
  <c r="DL74" i="28" s="1"/>
  <c r="DR74" i="28"/>
  <c r="DT74" i="28" s="1"/>
  <c r="DN74" i="28"/>
  <c r="DP74" i="28" s="1"/>
  <c r="DG74" i="28"/>
  <c r="DJ57" i="28"/>
  <c r="DL57" i="28" s="1"/>
  <c r="DR57" i="28"/>
  <c r="DT57" i="28" s="1"/>
  <c r="DN57" i="28"/>
  <c r="DP57" i="28" s="1"/>
  <c r="DG57" i="28"/>
  <c r="DR23" i="28"/>
  <c r="DT23" i="28" s="1"/>
  <c r="DJ23" i="28"/>
  <c r="DL23" i="28" s="1"/>
  <c r="DN23" i="28"/>
  <c r="DP23" i="28" s="1"/>
  <c r="DG23" i="28"/>
  <c r="DJ101" i="28"/>
  <c r="DL101" i="28" s="1"/>
  <c r="DN101" i="28"/>
  <c r="DP101" i="28" s="1"/>
  <c r="DR101" i="28"/>
  <c r="DT101" i="28" s="1"/>
  <c r="DG101" i="28"/>
  <c r="DN67" i="28"/>
  <c r="DP67" i="28" s="1"/>
  <c r="DR67" i="28"/>
  <c r="DT67" i="28" s="1"/>
  <c r="DJ67" i="28"/>
  <c r="DL67" i="28" s="1"/>
  <c r="DG67" i="28"/>
  <c r="DN66" i="28"/>
  <c r="DP66" i="28" s="1"/>
  <c r="DR66" i="28"/>
  <c r="DT66" i="28" s="1"/>
  <c r="DJ66" i="28"/>
  <c r="DL66" i="28" s="1"/>
  <c r="DG66" i="28"/>
  <c r="DN33" i="28"/>
  <c r="DP33" i="28" s="1"/>
  <c r="DR33" i="28"/>
  <c r="DT33" i="28" s="1"/>
  <c r="DJ33" i="28"/>
  <c r="DL33" i="28" s="1"/>
  <c r="DG33" i="28"/>
  <c r="DR15" i="28"/>
  <c r="DT15" i="28" s="1"/>
  <c r="DJ15" i="28"/>
  <c r="DL15" i="28" s="1"/>
  <c r="DN15" i="28"/>
  <c r="DP15" i="28" s="1"/>
  <c r="DG15" i="28"/>
  <c r="DR14" i="28"/>
  <c r="DT14" i="28" s="1"/>
  <c r="DJ14" i="28"/>
  <c r="DL14" i="28" s="1"/>
  <c r="DN14" i="28"/>
  <c r="DP14" i="28" s="1"/>
  <c r="DG14" i="28"/>
  <c r="DR45" i="28"/>
  <c r="DT45" i="28" s="1"/>
  <c r="DJ45" i="28"/>
  <c r="DL45" i="28" s="1"/>
  <c r="DN45" i="28"/>
  <c r="DP45" i="28" s="1"/>
  <c r="DG45" i="28"/>
  <c r="DJ11" i="28"/>
  <c r="DL11" i="28" s="1"/>
  <c r="DN11" i="28"/>
  <c r="DP11" i="28" s="1"/>
  <c r="DR11" i="28"/>
  <c r="DT11" i="28" s="1"/>
  <c r="DG11" i="28"/>
  <c r="DJ26" i="28"/>
  <c r="DL26" i="28" s="1"/>
  <c r="DN26" i="28"/>
  <c r="DP26" i="28" s="1"/>
  <c r="DR26" i="28"/>
  <c r="DT26" i="28" s="1"/>
  <c r="DG26" i="28"/>
  <c r="DJ9" i="28"/>
  <c r="DL9" i="28" s="1"/>
  <c r="DN9" i="28"/>
  <c r="DP9" i="28" s="1"/>
  <c r="DR9" i="28"/>
  <c r="DT9" i="28" s="1"/>
  <c r="DG9" i="28"/>
  <c r="DN39" i="28"/>
  <c r="DP39" i="28" s="1"/>
  <c r="DR39" i="28"/>
  <c r="DT39" i="28" s="1"/>
  <c r="DJ39" i="28"/>
  <c r="DL39" i="28" s="1"/>
  <c r="DG39" i="28"/>
  <c r="DR6" i="28"/>
  <c r="DT6" i="28" s="1"/>
  <c r="DJ6" i="28"/>
  <c r="DL6" i="28" s="1"/>
  <c r="DN6" i="28"/>
  <c r="DP6" i="28" s="1"/>
  <c r="DG6" i="28"/>
  <c r="DR83" i="28"/>
  <c r="DT83" i="28" s="1"/>
  <c r="DJ83" i="28"/>
  <c r="DL83" i="28" s="1"/>
  <c r="DN83" i="28"/>
  <c r="DP83" i="28" s="1"/>
  <c r="DG83" i="28"/>
  <c r="DJ18" i="28"/>
  <c r="DL18" i="28" s="1"/>
  <c r="DR18" i="28"/>
  <c r="DT18" i="28" s="1"/>
  <c r="DN18" i="28"/>
  <c r="DP18" i="28" s="1"/>
  <c r="DG18" i="28"/>
  <c r="DR79" i="28"/>
  <c r="DT79" i="28" s="1"/>
  <c r="DJ79" i="28"/>
  <c r="DL79" i="28" s="1"/>
  <c r="DN79" i="28"/>
  <c r="DP79" i="28" s="1"/>
  <c r="DG79" i="28"/>
  <c r="DN30" i="28"/>
  <c r="DP30" i="28" s="1"/>
  <c r="DR30" i="28"/>
  <c r="DT30" i="28" s="1"/>
  <c r="DJ30" i="28"/>
  <c r="DL30" i="28" s="1"/>
  <c r="DG30" i="28"/>
  <c r="DJ91" i="28"/>
  <c r="DL91" i="28" s="1"/>
  <c r="DN91" i="28"/>
  <c r="DP91" i="28" s="1"/>
  <c r="DR91" i="28"/>
  <c r="DT91" i="28" s="1"/>
  <c r="DG91" i="28"/>
  <c r="DJ42" i="28"/>
  <c r="DL42" i="28" s="1"/>
  <c r="DR42" i="28"/>
  <c r="DT42" i="28" s="1"/>
  <c r="DN42" i="28"/>
  <c r="DP42" i="28" s="1"/>
  <c r="DG42" i="28"/>
  <c r="DR25" i="28"/>
  <c r="DT25" i="28" s="1"/>
  <c r="DJ25" i="28"/>
  <c r="DL25" i="28" s="1"/>
  <c r="DN25" i="28"/>
  <c r="DP25" i="28" s="1"/>
  <c r="DG25" i="28"/>
  <c r="DJ7" i="28"/>
  <c r="DL7" i="28" s="1"/>
  <c r="DN7" i="28"/>
  <c r="DP7" i="28" s="1"/>
  <c r="DR7" i="28"/>
  <c r="DT7" i="28" s="1"/>
  <c r="DG7" i="28"/>
  <c r="DJ22" i="28"/>
  <c r="DL22" i="28" s="1"/>
  <c r="DR22" i="28"/>
  <c r="DT22" i="28" s="1"/>
  <c r="DN22" i="28"/>
  <c r="DP22" i="28" s="1"/>
  <c r="DG22" i="28"/>
  <c r="DJ5" i="28"/>
  <c r="DL5" i="28" s="1"/>
  <c r="DN5" i="28"/>
  <c r="DP5" i="28" s="1"/>
  <c r="DR5" i="28"/>
  <c r="DT5" i="28" s="1"/>
  <c r="DG5" i="28"/>
  <c r="DN35" i="28"/>
  <c r="DP35" i="28" s="1"/>
  <c r="DR35" i="28"/>
  <c r="DT35" i="28" s="1"/>
  <c r="DJ35" i="28"/>
  <c r="DL35" i="28" s="1"/>
  <c r="DG35" i="28"/>
  <c r="DN34" i="28"/>
  <c r="DP34" i="28" s="1"/>
  <c r="DR34" i="28"/>
  <c r="DT34" i="28" s="1"/>
  <c r="DJ34" i="28"/>
  <c r="DL34" i="28" s="1"/>
  <c r="DG34" i="28"/>
  <c r="DN95" i="28"/>
  <c r="DP95" i="28" s="1"/>
  <c r="DR95" i="28"/>
  <c r="DT95" i="28" s="1"/>
  <c r="DJ95" i="28"/>
  <c r="DL95" i="28" s="1"/>
  <c r="DG95" i="28"/>
  <c r="DR46" i="28"/>
  <c r="DT46" i="28" s="1"/>
  <c r="DJ46" i="28"/>
  <c r="DL46" i="28" s="1"/>
  <c r="DN46" i="28"/>
  <c r="DP46" i="28" s="1"/>
  <c r="DG46" i="28"/>
  <c r="DJ13" i="28"/>
  <c r="DL13" i="28" s="1"/>
  <c r="DR13" i="28"/>
  <c r="DT13" i="28" s="1"/>
  <c r="DN13" i="28"/>
  <c r="DP13" i="28" s="1"/>
  <c r="DG13" i="28"/>
  <c r="A10" i="21"/>
  <c r="N61" i="32" l="1"/>
  <c r="R59" i="32"/>
  <c r="A21" i="30"/>
  <c r="D19" i="30"/>
  <c r="C21" i="33"/>
  <c r="A22" i="33"/>
  <c r="A7" i="21"/>
  <c r="A8" i="21" s="1"/>
  <c r="A9" i="21" s="1"/>
  <c r="A6" i="21"/>
  <c r="N63" i="32" l="1"/>
  <c r="R61" i="32"/>
  <c r="D20" i="30"/>
  <c r="A22" i="30"/>
  <c r="C22" i="33"/>
  <c r="A23" i="33"/>
  <c r="BN4" i="23"/>
  <c r="BN5" i="23"/>
  <c r="BN6" i="23"/>
  <c r="BN7" i="23"/>
  <c r="BN8" i="23"/>
  <c r="BN9" i="23"/>
  <c r="BN10" i="23"/>
  <c r="BN11" i="23"/>
  <c r="BN12" i="23"/>
  <c r="BN13" i="23"/>
  <c r="BN14" i="23"/>
  <c r="BN15" i="23"/>
  <c r="BN16" i="23"/>
  <c r="BN17" i="23"/>
  <c r="BN18" i="23"/>
  <c r="BN19" i="23"/>
  <c r="BN20" i="23"/>
  <c r="BN21" i="23"/>
  <c r="BN22" i="23"/>
  <c r="BN23" i="23"/>
  <c r="BN24" i="23"/>
  <c r="BN25" i="23"/>
  <c r="BN26" i="23"/>
  <c r="BN27" i="23"/>
  <c r="BN28" i="23"/>
  <c r="BN29" i="23"/>
  <c r="BN30" i="23"/>
  <c r="BN31" i="23"/>
  <c r="BN32" i="23"/>
  <c r="BN33" i="23"/>
  <c r="BN34" i="23"/>
  <c r="BN35" i="23"/>
  <c r="BN36" i="23"/>
  <c r="BN37" i="23"/>
  <c r="BN38" i="23"/>
  <c r="BN39" i="23"/>
  <c r="BN40" i="23"/>
  <c r="BN41" i="23"/>
  <c r="BN42" i="23"/>
  <c r="BN43" i="23"/>
  <c r="BN44" i="23"/>
  <c r="BN45" i="23"/>
  <c r="BN46" i="23"/>
  <c r="BN47" i="23"/>
  <c r="BN48" i="23"/>
  <c r="BN49" i="23"/>
  <c r="BN50" i="23"/>
  <c r="BN51" i="23"/>
  <c r="BN52" i="23"/>
  <c r="BN53" i="23"/>
  <c r="BN54" i="23"/>
  <c r="BN55" i="23"/>
  <c r="BN56" i="23"/>
  <c r="BN57" i="23"/>
  <c r="BN58" i="23"/>
  <c r="BN59" i="23"/>
  <c r="BN60" i="23"/>
  <c r="BN61" i="23"/>
  <c r="BN62" i="23"/>
  <c r="BN63" i="23"/>
  <c r="BN64" i="23"/>
  <c r="BN65" i="23"/>
  <c r="BN66" i="23"/>
  <c r="BN67" i="23"/>
  <c r="BN68" i="23"/>
  <c r="BN69" i="23"/>
  <c r="BN70" i="23"/>
  <c r="BN71" i="23"/>
  <c r="BN72" i="23"/>
  <c r="BN73" i="23"/>
  <c r="BN74" i="23"/>
  <c r="BN75" i="23"/>
  <c r="BN76" i="23"/>
  <c r="BN77" i="23"/>
  <c r="BN78" i="23"/>
  <c r="BN79" i="23"/>
  <c r="BN80" i="23"/>
  <c r="BN81" i="23"/>
  <c r="BN82" i="23"/>
  <c r="BN83" i="23"/>
  <c r="BN84" i="23"/>
  <c r="BN85" i="23"/>
  <c r="BN86" i="23"/>
  <c r="BN87" i="23"/>
  <c r="BN88" i="23"/>
  <c r="BN89" i="23"/>
  <c r="BN90" i="23"/>
  <c r="BN91" i="23"/>
  <c r="BN92" i="23"/>
  <c r="BN93" i="23"/>
  <c r="BN94" i="23"/>
  <c r="BN95" i="23"/>
  <c r="BN96" i="23"/>
  <c r="BN97" i="23"/>
  <c r="BN98" i="23"/>
  <c r="BN99" i="23"/>
  <c r="BN100" i="23"/>
  <c r="BN101" i="23"/>
  <c r="BN102" i="23"/>
  <c r="BN103" i="23"/>
  <c r="BN104" i="23"/>
  <c r="BN105" i="23"/>
  <c r="BN106" i="23"/>
  <c r="BN107" i="23"/>
  <c r="BN3" i="23"/>
  <c r="N65" i="32" l="1"/>
  <c r="R63" i="32"/>
  <c r="D21" i="30"/>
  <c r="A23" i="30"/>
  <c r="A24" i="33"/>
  <c r="C23" i="33"/>
  <c r="F3" i="23"/>
  <c r="E3" i="23"/>
  <c r="J6" i="21"/>
  <c r="N67" i="32" l="1"/>
  <c r="R65" i="32"/>
  <c r="D22" i="30"/>
  <c r="A24" i="30"/>
  <c r="A25" i="33"/>
  <c r="C24" i="33"/>
  <c r="F4" i="23"/>
  <c r="E4" i="23"/>
  <c r="DS4" i="22"/>
  <c r="DS5" i="22"/>
  <c r="DS6" i="22"/>
  <c r="DS7" i="22"/>
  <c r="DS8" i="22"/>
  <c r="DS9" i="22"/>
  <c r="DS10" i="22"/>
  <c r="DS11" i="22"/>
  <c r="DS12" i="22"/>
  <c r="DS13" i="22"/>
  <c r="DS14" i="22"/>
  <c r="DS15" i="22"/>
  <c r="DS16" i="22"/>
  <c r="DS17" i="22"/>
  <c r="DS18" i="22"/>
  <c r="DS19" i="22"/>
  <c r="DS20" i="22"/>
  <c r="DS21" i="22"/>
  <c r="DS22" i="22"/>
  <c r="DS23" i="22"/>
  <c r="DS24" i="22"/>
  <c r="DS25" i="22"/>
  <c r="DS26" i="22"/>
  <c r="DS27" i="22"/>
  <c r="DS28" i="22"/>
  <c r="DS29" i="22"/>
  <c r="DS30" i="22"/>
  <c r="DS31" i="22"/>
  <c r="DS32" i="22"/>
  <c r="DS33" i="22"/>
  <c r="DS34" i="22"/>
  <c r="DS35" i="22"/>
  <c r="DS36" i="22"/>
  <c r="DS37" i="22"/>
  <c r="DS38" i="22"/>
  <c r="DS39" i="22"/>
  <c r="DS40" i="22"/>
  <c r="DS41" i="22"/>
  <c r="DS42" i="22"/>
  <c r="DS43" i="22"/>
  <c r="DS44" i="22"/>
  <c r="DS45" i="22"/>
  <c r="DS46" i="22"/>
  <c r="DS47" i="22"/>
  <c r="DS48" i="22"/>
  <c r="DS49" i="22"/>
  <c r="DS50" i="22"/>
  <c r="DS51" i="22"/>
  <c r="DS52" i="22"/>
  <c r="DS53" i="22"/>
  <c r="DS54" i="22"/>
  <c r="DS55" i="22"/>
  <c r="DS56" i="22"/>
  <c r="DS57" i="22"/>
  <c r="DS58" i="22"/>
  <c r="DS59" i="22"/>
  <c r="DS60" i="22"/>
  <c r="DS61" i="22"/>
  <c r="DS62" i="22"/>
  <c r="DS63" i="22"/>
  <c r="DS64" i="22"/>
  <c r="DS65" i="22"/>
  <c r="DS66" i="22"/>
  <c r="DS67" i="22"/>
  <c r="DS68" i="22"/>
  <c r="DS69" i="22"/>
  <c r="DS70" i="22"/>
  <c r="DS71" i="22"/>
  <c r="DS72" i="22"/>
  <c r="DS73" i="22"/>
  <c r="DS74" i="22"/>
  <c r="DS75" i="22"/>
  <c r="DS76" i="22"/>
  <c r="DS77" i="22"/>
  <c r="DS78" i="22"/>
  <c r="DS79" i="22"/>
  <c r="DS80" i="22"/>
  <c r="DS81" i="22"/>
  <c r="DS82" i="22"/>
  <c r="DS83" i="22"/>
  <c r="DS84" i="22"/>
  <c r="DS85" i="22"/>
  <c r="DS86" i="22"/>
  <c r="DS87" i="22"/>
  <c r="DS88" i="22"/>
  <c r="DS89" i="22"/>
  <c r="DS90" i="22"/>
  <c r="DS91" i="22"/>
  <c r="DS92" i="22"/>
  <c r="DS93" i="22"/>
  <c r="DS94" i="22"/>
  <c r="DS95" i="22"/>
  <c r="DS96" i="22"/>
  <c r="DS97" i="22"/>
  <c r="DS98" i="22"/>
  <c r="DS99" i="22"/>
  <c r="DS100" i="22"/>
  <c r="DS101" i="22"/>
  <c r="DS102" i="22"/>
  <c r="DS103" i="22"/>
  <c r="DS104" i="22"/>
  <c r="DS105" i="22"/>
  <c r="DS106" i="22"/>
  <c r="DS107" i="22"/>
  <c r="DS108" i="22"/>
  <c r="DS109" i="22"/>
  <c r="DS3" i="22"/>
  <c r="DO4" i="22"/>
  <c r="DO5" i="22"/>
  <c r="DO6" i="22"/>
  <c r="DO7" i="22"/>
  <c r="DO8" i="22"/>
  <c r="DO9" i="22"/>
  <c r="DO10" i="22"/>
  <c r="DO11" i="22"/>
  <c r="DO12" i="22"/>
  <c r="DO13" i="22"/>
  <c r="DO14" i="22"/>
  <c r="DO15" i="22"/>
  <c r="DO16" i="22"/>
  <c r="DO17" i="22"/>
  <c r="DO18" i="22"/>
  <c r="DO19" i="22"/>
  <c r="DO20" i="22"/>
  <c r="DO21" i="22"/>
  <c r="DO22" i="22"/>
  <c r="DO23" i="22"/>
  <c r="DO24" i="22"/>
  <c r="DO25" i="22"/>
  <c r="DO26" i="22"/>
  <c r="DO27" i="22"/>
  <c r="DO28" i="22"/>
  <c r="DO29" i="22"/>
  <c r="DO30" i="22"/>
  <c r="DO31" i="22"/>
  <c r="DO32" i="22"/>
  <c r="DO33" i="22"/>
  <c r="DO34" i="22"/>
  <c r="DO35" i="22"/>
  <c r="DO36" i="22"/>
  <c r="DO37" i="22"/>
  <c r="DO38" i="22"/>
  <c r="DO39" i="22"/>
  <c r="DO40" i="22"/>
  <c r="DO41" i="22"/>
  <c r="DO42" i="22"/>
  <c r="DO43" i="22"/>
  <c r="DO44" i="22"/>
  <c r="DO45" i="22"/>
  <c r="DO46" i="22"/>
  <c r="DO47" i="22"/>
  <c r="DO48" i="22"/>
  <c r="DO49" i="22"/>
  <c r="DO50" i="22"/>
  <c r="DO51" i="22"/>
  <c r="DO52" i="22"/>
  <c r="DO53" i="22"/>
  <c r="DO54" i="22"/>
  <c r="DO55" i="22"/>
  <c r="DO56" i="22"/>
  <c r="DO57" i="22"/>
  <c r="DO58" i="22"/>
  <c r="DO59" i="22"/>
  <c r="DO60" i="22"/>
  <c r="DO61" i="22"/>
  <c r="DO62" i="22"/>
  <c r="DO63" i="22"/>
  <c r="DO64" i="22"/>
  <c r="DO65" i="22"/>
  <c r="DO66" i="22"/>
  <c r="DO67" i="22"/>
  <c r="DO68" i="22"/>
  <c r="DO69" i="22"/>
  <c r="DO70" i="22"/>
  <c r="DO71" i="22"/>
  <c r="DO72" i="22"/>
  <c r="DO73" i="22"/>
  <c r="DO74" i="22"/>
  <c r="DO75" i="22"/>
  <c r="DO76" i="22"/>
  <c r="DO77" i="22"/>
  <c r="DO78" i="22"/>
  <c r="DO79" i="22"/>
  <c r="DO80" i="22"/>
  <c r="DO81" i="22"/>
  <c r="DO82" i="22"/>
  <c r="DO83" i="22"/>
  <c r="DO84" i="22"/>
  <c r="DO85" i="22"/>
  <c r="DO86" i="22"/>
  <c r="DO87" i="22"/>
  <c r="DO88" i="22"/>
  <c r="DO89" i="22"/>
  <c r="DO90" i="22"/>
  <c r="DO91" i="22"/>
  <c r="DO92" i="22"/>
  <c r="DO93" i="22"/>
  <c r="DO94" i="22"/>
  <c r="DO95" i="22"/>
  <c r="DO96" i="22"/>
  <c r="DO97" i="22"/>
  <c r="DO98" i="22"/>
  <c r="DO99" i="22"/>
  <c r="DO100" i="22"/>
  <c r="DO101" i="22"/>
  <c r="DO102" i="22"/>
  <c r="DO103" i="22"/>
  <c r="DO104" i="22"/>
  <c r="DO105" i="22"/>
  <c r="DO106" i="22"/>
  <c r="DO107" i="22"/>
  <c r="DO108" i="22"/>
  <c r="DO109" i="22"/>
  <c r="DO3" i="22"/>
  <c r="DK4" i="22"/>
  <c r="DK5" i="22"/>
  <c r="DK6" i="22"/>
  <c r="DK7" i="22"/>
  <c r="DK8" i="22"/>
  <c r="DK9" i="22"/>
  <c r="DK10" i="22"/>
  <c r="DK11" i="22"/>
  <c r="DK12" i="22"/>
  <c r="DK13" i="22"/>
  <c r="DK14" i="22"/>
  <c r="DK15" i="22"/>
  <c r="DK16" i="22"/>
  <c r="DK17" i="22"/>
  <c r="DK18" i="22"/>
  <c r="DK19" i="22"/>
  <c r="DK20" i="22"/>
  <c r="DK21" i="22"/>
  <c r="DK22" i="22"/>
  <c r="DK23" i="22"/>
  <c r="DK24" i="22"/>
  <c r="DK25" i="22"/>
  <c r="DK26" i="22"/>
  <c r="DK27" i="22"/>
  <c r="DK28" i="22"/>
  <c r="DK29" i="22"/>
  <c r="DK30" i="22"/>
  <c r="DK31" i="22"/>
  <c r="DK32" i="22"/>
  <c r="DK33" i="22"/>
  <c r="DK34" i="22"/>
  <c r="DK35" i="22"/>
  <c r="DK36" i="22"/>
  <c r="DK37" i="22"/>
  <c r="DK38" i="22"/>
  <c r="DK39" i="22"/>
  <c r="DK40" i="22"/>
  <c r="DK41" i="22"/>
  <c r="DK42" i="22"/>
  <c r="DK43" i="22"/>
  <c r="DK44" i="22"/>
  <c r="DK45" i="22"/>
  <c r="DK46" i="22"/>
  <c r="DK47" i="22"/>
  <c r="DK48" i="22"/>
  <c r="DK49" i="22"/>
  <c r="DK50" i="22"/>
  <c r="DK51" i="22"/>
  <c r="DK52" i="22"/>
  <c r="DK53" i="22"/>
  <c r="DK54" i="22"/>
  <c r="DK55" i="22"/>
  <c r="DK56" i="22"/>
  <c r="DK57" i="22"/>
  <c r="DK58" i="22"/>
  <c r="DK59" i="22"/>
  <c r="DK60" i="22"/>
  <c r="DK61" i="22"/>
  <c r="DK62" i="22"/>
  <c r="DK63" i="22"/>
  <c r="DK64" i="22"/>
  <c r="DK65" i="22"/>
  <c r="DK66" i="22"/>
  <c r="DK67" i="22"/>
  <c r="DK68" i="22"/>
  <c r="DK69" i="22"/>
  <c r="DK70" i="22"/>
  <c r="DK71" i="22"/>
  <c r="DK72" i="22"/>
  <c r="DK73" i="22"/>
  <c r="DK74" i="22"/>
  <c r="DK75" i="22"/>
  <c r="DK76" i="22"/>
  <c r="DK77" i="22"/>
  <c r="DK78" i="22"/>
  <c r="DK79" i="22"/>
  <c r="DK80" i="22"/>
  <c r="DK81" i="22"/>
  <c r="DK82" i="22"/>
  <c r="DK83" i="22"/>
  <c r="DK84" i="22"/>
  <c r="DK85" i="22"/>
  <c r="DK86" i="22"/>
  <c r="DK87" i="22"/>
  <c r="DK88" i="22"/>
  <c r="DK89" i="22"/>
  <c r="DK90" i="22"/>
  <c r="DK91" i="22"/>
  <c r="DK92" i="22"/>
  <c r="DK93" i="22"/>
  <c r="DK94" i="22"/>
  <c r="DK95" i="22"/>
  <c r="DK96" i="22"/>
  <c r="DK97" i="22"/>
  <c r="DK98" i="22"/>
  <c r="DK99" i="22"/>
  <c r="DK100" i="22"/>
  <c r="DK101" i="22"/>
  <c r="DK102" i="22"/>
  <c r="DK103" i="22"/>
  <c r="DK104" i="22"/>
  <c r="DK105" i="22"/>
  <c r="DK106" i="22"/>
  <c r="DK107" i="22"/>
  <c r="DK108" i="22"/>
  <c r="DK109" i="22"/>
  <c r="DK3" i="22"/>
  <c r="N69" i="32" l="1"/>
  <c r="R67" i="32"/>
  <c r="D23" i="30"/>
  <c r="A25" i="30"/>
  <c r="C25" i="33"/>
  <c r="A26" i="33"/>
  <c r="E5" i="23"/>
  <c r="F5" i="23"/>
  <c r="A1" i="22"/>
  <c r="N71" i="32" l="1"/>
  <c r="R69" i="32"/>
  <c r="D24" i="30"/>
  <c r="A26" i="30"/>
  <c r="C26" i="33"/>
  <c r="A27" i="33"/>
  <c r="E6" i="23"/>
  <c r="F6" i="23"/>
  <c r="CY2" i="22"/>
  <c r="CY97" i="22" s="1"/>
  <c r="W2" i="22"/>
  <c r="BM2" i="22"/>
  <c r="BM16" i="22" s="1"/>
  <c r="AG2" i="22"/>
  <c r="AG14" i="22" s="1"/>
  <c r="AR2" i="22"/>
  <c r="L2" i="22"/>
  <c r="BC2" i="22"/>
  <c r="BC106" i="22" s="1"/>
  <c r="BX2" i="22"/>
  <c r="BX8" i="22" s="1"/>
  <c r="CI2" i="22"/>
  <c r="CI88" i="22" s="1"/>
  <c r="CS2" i="22"/>
  <c r="DD2" i="22"/>
  <c r="DD17" i="22" s="1"/>
  <c r="D2" i="22"/>
  <c r="D10" i="22" s="1"/>
  <c r="O2" i="22"/>
  <c r="Y2" i="22"/>
  <c r="AJ2" i="22"/>
  <c r="AJ19" i="22" s="1"/>
  <c r="AU2" i="22"/>
  <c r="AU14" i="22" s="1"/>
  <c r="BE2" i="22"/>
  <c r="BP2" i="22"/>
  <c r="CA2" i="22"/>
  <c r="CA3" i="22" s="1"/>
  <c r="CK2" i="22"/>
  <c r="CK3" i="22" s="1"/>
  <c r="CV2" i="22"/>
  <c r="CV15" i="22" s="1"/>
  <c r="Q2" i="22"/>
  <c r="AM2" i="22"/>
  <c r="AM105" i="22" s="1"/>
  <c r="AW2" i="22"/>
  <c r="AW4" i="22" s="1"/>
  <c r="BH2" i="22"/>
  <c r="BH15" i="22" s="1"/>
  <c r="BS2" i="22"/>
  <c r="CC2" i="22"/>
  <c r="CC5" i="22" s="1"/>
  <c r="CN2" i="22"/>
  <c r="CN16" i="22" s="1"/>
  <c r="DC2" i="22"/>
  <c r="DC109" i="22" s="1"/>
  <c r="G2" i="22"/>
  <c r="AB2" i="22"/>
  <c r="AB3" i="22" s="1"/>
  <c r="I2" i="22"/>
  <c r="I7" i="22" s="1"/>
  <c r="T2" i="22"/>
  <c r="T10" i="22" s="1"/>
  <c r="AE2" i="22"/>
  <c r="AO2" i="22"/>
  <c r="AO5" i="22" s="1"/>
  <c r="AZ2" i="22"/>
  <c r="AZ19" i="22" s="1"/>
  <c r="BK2" i="22"/>
  <c r="BK74" i="22" s="1"/>
  <c r="BU2" i="22"/>
  <c r="CF2" i="22"/>
  <c r="CF9" i="22" s="1"/>
  <c r="CQ2" i="22"/>
  <c r="CQ12" i="22" s="1"/>
  <c r="DA2" i="22"/>
  <c r="L7" i="22"/>
  <c r="AB7" i="22"/>
  <c r="C2" i="22"/>
  <c r="C68" i="22" s="1"/>
  <c r="H2" i="22"/>
  <c r="H10" i="22" s="1"/>
  <c r="M2" i="22"/>
  <c r="M9" i="22" s="1"/>
  <c r="S2" i="22"/>
  <c r="S3" i="22" s="1"/>
  <c r="X2" i="22"/>
  <c r="X45" i="22" s="1"/>
  <c r="AC2" i="22"/>
  <c r="AC7" i="22" s="1"/>
  <c r="AI2" i="22"/>
  <c r="AN2" i="22"/>
  <c r="AS2" i="22"/>
  <c r="AS99" i="22" s="1"/>
  <c r="AY2" i="22"/>
  <c r="BD2" i="22"/>
  <c r="BI2" i="22"/>
  <c r="BI12" i="22" s="1"/>
  <c r="BO2" i="22"/>
  <c r="BO96" i="22" s="1"/>
  <c r="BT2" i="22"/>
  <c r="BY2" i="22"/>
  <c r="BY14" i="22" s="1"/>
  <c r="CE2" i="22"/>
  <c r="CE8" i="22" s="1"/>
  <c r="CJ2" i="22"/>
  <c r="CJ94" i="22" s="1"/>
  <c r="CO2" i="22"/>
  <c r="CO7" i="22" s="1"/>
  <c r="CU2" i="22"/>
  <c r="CZ2" i="22"/>
  <c r="CZ4" i="22" s="1"/>
  <c r="DE2" i="22"/>
  <c r="DE108" i="22" s="1"/>
  <c r="E2" i="22"/>
  <c r="K2" i="22"/>
  <c r="P2" i="22"/>
  <c r="P4" i="22" s="1"/>
  <c r="U2" i="22"/>
  <c r="U16" i="22" s="1"/>
  <c r="AA2" i="22"/>
  <c r="AA17" i="22" s="1"/>
  <c r="AF2" i="22"/>
  <c r="AK2" i="22"/>
  <c r="AK16" i="22" s="1"/>
  <c r="AQ2" i="22"/>
  <c r="AQ73" i="22" s="1"/>
  <c r="AV2" i="22"/>
  <c r="AV108" i="22" s="1"/>
  <c r="BA2" i="22"/>
  <c r="BG2" i="22"/>
  <c r="BG3" i="22" s="1"/>
  <c r="BL2" i="22"/>
  <c r="BQ2" i="22"/>
  <c r="BQ7" i="22" s="1"/>
  <c r="BW2" i="22"/>
  <c r="CB2" i="22"/>
  <c r="CG2" i="22"/>
  <c r="CM2" i="22"/>
  <c r="CM55" i="22" s="1"/>
  <c r="CR2" i="22"/>
  <c r="CR10" i="22" s="1"/>
  <c r="CW2" i="22"/>
  <c r="F2" i="22"/>
  <c r="J2" i="22"/>
  <c r="N2" i="22"/>
  <c r="R2" i="22"/>
  <c r="V2" i="22"/>
  <c r="Z2" i="22"/>
  <c r="AD2" i="22"/>
  <c r="AH2" i="22"/>
  <c r="AL2" i="22"/>
  <c r="AP2" i="22"/>
  <c r="AT2" i="22"/>
  <c r="AX2" i="22"/>
  <c r="BB2" i="22"/>
  <c r="BF2" i="22"/>
  <c r="BJ2" i="22"/>
  <c r="BN2" i="22"/>
  <c r="BR2" i="22"/>
  <c r="BV2" i="22"/>
  <c r="BZ2" i="22"/>
  <c r="CD2" i="22"/>
  <c r="CH2" i="22"/>
  <c r="CL2" i="22"/>
  <c r="CP2" i="22"/>
  <c r="CT2" i="22"/>
  <c r="CX2" i="22"/>
  <c r="DB2" i="22"/>
  <c r="BC7" i="22"/>
  <c r="I9" i="22"/>
  <c r="AB11" i="22"/>
  <c r="AN12" i="22"/>
  <c r="CZ12" i="22"/>
  <c r="D15" i="22"/>
  <c r="BC10" i="22"/>
  <c r="D11" i="22"/>
  <c r="AZ12" i="22"/>
  <c r="CC14" i="22"/>
  <c r="K93" i="22"/>
  <c r="K43" i="22"/>
  <c r="K21" i="22"/>
  <c r="S103" i="22"/>
  <c r="S99" i="22"/>
  <c r="S95" i="22"/>
  <c r="S83" i="22"/>
  <c r="S81" i="22"/>
  <c r="S77" i="22"/>
  <c r="S72" i="22"/>
  <c r="S67" i="22"/>
  <c r="S68" i="22"/>
  <c r="S62" i="22"/>
  <c r="S53" i="22"/>
  <c r="S40" i="22"/>
  <c r="S38" i="22"/>
  <c r="S24" i="22"/>
  <c r="S29" i="22"/>
  <c r="S22" i="22"/>
  <c r="S19" i="22"/>
  <c r="AE109" i="22"/>
  <c r="AE42" i="22"/>
  <c r="AM109" i="22"/>
  <c r="AM108" i="22"/>
  <c r="AM106" i="22"/>
  <c r="AM100" i="22"/>
  <c r="AM96" i="22"/>
  <c r="AM99" i="22"/>
  <c r="AM91" i="22"/>
  <c r="AM93" i="22"/>
  <c r="AM90" i="22"/>
  <c r="AM87" i="22"/>
  <c r="AM83" i="22"/>
  <c r="AM81" i="22"/>
  <c r="AM73" i="22"/>
  <c r="AM80" i="22"/>
  <c r="AM70" i="22"/>
  <c r="AM65" i="22"/>
  <c r="AM61" i="22"/>
  <c r="AM67" i="22"/>
  <c r="AM64" i="22"/>
  <c r="AM60" i="22"/>
  <c r="AM62" i="22"/>
  <c r="AM47" i="22"/>
  <c r="AM56" i="22"/>
  <c r="AM53" i="22"/>
  <c r="AM36" i="22"/>
  <c r="AM50" i="22"/>
  <c r="AM37" i="22"/>
  <c r="AM43" i="22"/>
  <c r="AM39" i="22"/>
  <c r="AM28" i="22"/>
  <c r="AM29" i="22"/>
  <c r="AM25" i="22"/>
  <c r="AM13" i="22"/>
  <c r="AM22" i="22"/>
  <c r="AM31" i="22"/>
  <c r="AM19" i="22"/>
  <c r="AQ108" i="22"/>
  <c r="AQ61" i="22"/>
  <c r="AQ31" i="22"/>
  <c r="AU106" i="22"/>
  <c r="AU102" i="22"/>
  <c r="AU96" i="22"/>
  <c r="AU94" i="22"/>
  <c r="AU92" i="22"/>
  <c r="AU82" i="22"/>
  <c r="AU84" i="22"/>
  <c r="AU77" i="22"/>
  <c r="AU78" i="22"/>
  <c r="AU71" i="22"/>
  <c r="AU66" i="22"/>
  <c r="AU63" i="22"/>
  <c r="AU54" i="22"/>
  <c r="AU47" i="22"/>
  <c r="AU48" i="22"/>
  <c r="AU44" i="22"/>
  <c r="AU45" i="22"/>
  <c r="AU38" i="22"/>
  <c r="AU32" i="22"/>
  <c r="AU33" i="22"/>
  <c r="AU17" i="22"/>
  <c r="AU30" i="22"/>
  <c r="AU27" i="22"/>
  <c r="BC109" i="22"/>
  <c r="BC108" i="22"/>
  <c r="BC107" i="22"/>
  <c r="BC104" i="22"/>
  <c r="BC100" i="22"/>
  <c r="BC96" i="22"/>
  <c r="BC99" i="22"/>
  <c r="BC97" i="22"/>
  <c r="BC91" i="22"/>
  <c r="BC93" i="22"/>
  <c r="BC90" i="22"/>
  <c r="BC86" i="22"/>
  <c r="BC87" i="22"/>
  <c r="BC83" i="22"/>
  <c r="BC81" i="22"/>
  <c r="BC79" i="22"/>
  <c r="BC73" i="22"/>
  <c r="BC80" i="22"/>
  <c r="BC70" i="22"/>
  <c r="BC75" i="22"/>
  <c r="BC65" i="22"/>
  <c r="BC61" i="22"/>
  <c r="BC67" i="22"/>
  <c r="BC63" i="22"/>
  <c r="BC64" i="22"/>
  <c r="BC60" i="22"/>
  <c r="BC62" i="22"/>
  <c r="BC58" i="22"/>
  <c r="BC47" i="22"/>
  <c r="BC56" i="22"/>
  <c r="BC53" i="22"/>
  <c r="BC49" i="22"/>
  <c r="BC36" i="22"/>
  <c r="BC50" i="22"/>
  <c r="BC37" i="22"/>
  <c r="BC42" i="22"/>
  <c r="BC43" i="22"/>
  <c r="BC39" i="22"/>
  <c r="BC28" i="22"/>
  <c r="BC24" i="22"/>
  <c r="BC29" i="22"/>
  <c r="BC25" i="22"/>
  <c r="BC13" i="22"/>
  <c r="BC34" i="22"/>
  <c r="BC22" i="22"/>
  <c r="BC31" i="22"/>
  <c r="BC19" i="22"/>
  <c r="BG105" i="22"/>
  <c r="BG103" i="22"/>
  <c r="BG101" i="22"/>
  <c r="BG95" i="22"/>
  <c r="BG93" i="22"/>
  <c r="BG83" i="22"/>
  <c r="BG85" i="22"/>
  <c r="BG79" i="22"/>
  <c r="BG74" i="22"/>
  <c r="BG69" i="22"/>
  <c r="BG66" i="22"/>
  <c r="BG59" i="22"/>
  <c r="BG54" i="22"/>
  <c r="BG47" i="22"/>
  <c r="BG58" i="22"/>
  <c r="BG46" i="22"/>
  <c r="BG45" i="22"/>
  <c r="BG38" i="22"/>
  <c r="BG28" i="22"/>
  <c r="BG33" i="22"/>
  <c r="BG17" i="22"/>
  <c r="BG26" i="22"/>
  <c r="BG23" i="22"/>
  <c r="BK31" i="22"/>
  <c r="BS34" i="22"/>
  <c r="BW109" i="22"/>
  <c r="BW105" i="22"/>
  <c r="BW107" i="22"/>
  <c r="BW103" i="22"/>
  <c r="BW100" i="22"/>
  <c r="BW101" i="22"/>
  <c r="BW99" i="22"/>
  <c r="BW95" i="22"/>
  <c r="BW91" i="22"/>
  <c r="BW93" i="22"/>
  <c r="BW92" i="22"/>
  <c r="BW83" i="22"/>
  <c r="BW84" i="22"/>
  <c r="BW85" i="22"/>
  <c r="BW81" i="22"/>
  <c r="BW79" i="22"/>
  <c r="BW77" i="22"/>
  <c r="BW74" i="22"/>
  <c r="BW70" i="22"/>
  <c r="BW69" i="22"/>
  <c r="BW65" i="22"/>
  <c r="BW66" i="22"/>
  <c r="BW72" i="22"/>
  <c r="BW59" i="22"/>
  <c r="BW64" i="22"/>
  <c r="BW54" i="22"/>
  <c r="BW57" i="22"/>
  <c r="BW47" i="22"/>
  <c r="BW56" i="22"/>
  <c r="BW58" i="22"/>
  <c r="BW53" i="22"/>
  <c r="BW46" i="22"/>
  <c r="BW44" i="22"/>
  <c r="BW45" i="22"/>
  <c r="BW41" i="22"/>
  <c r="BW38" i="22"/>
  <c r="BW43" i="22"/>
  <c r="BW32" i="22"/>
  <c r="BW28" i="22"/>
  <c r="BW33" i="22"/>
  <c r="BW29" i="22"/>
  <c r="BW17" i="22"/>
  <c r="BW13" i="22"/>
  <c r="BW26" i="22"/>
  <c r="BW22" i="22"/>
  <c r="BW23" i="22"/>
  <c r="BW19" i="22"/>
  <c r="CA109" i="22"/>
  <c r="CA107" i="22"/>
  <c r="CA108" i="22"/>
  <c r="CA106" i="22"/>
  <c r="CA105" i="22"/>
  <c r="CA104" i="22"/>
  <c r="CA102" i="22"/>
  <c r="CA103" i="22"/>
  <c r="CA101" i="22"/>
  <c r="CA100" i="22"/>
  <c r="CA96" i="22"/>
  <c r="CA98" i="22"/>
  <c r="CA99" i="22"/>
  <c r="CA97" i="22"/>
  <c r="CA94" i="22"/>
  <c r="CA95" i="22"/>
  <c r="CA91" i="22"/>
  <c r="CA93" i="22"/>
  <c r="CA92" i="22"/>
  <c r="CA89" i="22"/>
  <c r="CA90" i="22"/>
  <c r="CA86" i="22"/>
  <c r="CA82" i="22"/>
  <c r="CA88" i="22"/>
  <c r="CA87" i="22"/>
  <c r="CA83" i="22"/>
  <c r="CA84" i="22"/>
  <c r="CA85" i="22"/>
  <c r="CA81" i="22"/>
  <c r="CA76" i="22"/>
  <c r="CA77" i="22"/>
  <c r="CA73" i="22"/>
  <c r="CA80" i="22"/>
  <c r="CA79" i="22"/>
  <c r="CA78" i="22"/>
  <c r="CA74" i="22"/>
  <c r="CA70" i="22"/>
  <c r="CA75" i="22"/>
  <c r="CA71" i="22"/>
  <c r="CA65" i="22"/>
  <c r="CA61" i="22"/>
  <c r="CA72" i="22"/>
  <c r="CA66" i="22"/>
  <c r="CA69" i="22"/>
  <c r="CA68" i="22"/>
  <c r="CA67" i="22"/>
  <c r="CA63" i="22"/>
  <c r="CA59" i="22"/>
  <c r="CA64" i="22"/>
  <c r="CA60" i="22"/>
  <c r="CA54" i="22"/>
  <c r="CA58" i="22"/>
  <c r="CA55" i="22"/>
  <c r="CA51" i="22"/>
  <c r="CA47" i="22"/>
  <c r="CA57" i="22"/>
  <c r="CA56" i="22"/>
  <c r="CA52" i="22"/>
  <c r="CA48" i="22"/>
  <c r="CA62" i="22"/>
  <c r="CA53" i="22"/>
  <c r="CA49" i="22"/>
  <c r="CA44" i="22"/>
  <c r="CA40" i="22"/>
  <c r="CA36" i="22"/>
  <c r="CA46" i="22"/>
  <c r="CA45" i="22"/>
  <c r="CA41" i="22"/>
  <c r="CA37" i="22"/>
  <c r="CA42" i="22"/>
  <c r="CA38" i="22"/>
  <c r="CA50" i="22"/>
  <c r="CA43" i="22"/>
  <c r="CA39" i="22"/>
  <c r="CA32" i="22"/>
  <c r="CA28" i="22"/>
  <c r="CA24" i="22"/>
  <c r="CA20" i="22"/>
  <c r="CA33" i="22"/>
  <c r="CA29" i="22"/>
  <c r="CA25" i="22"/>
  <c r="CA21" i="22"/>
  <c r="CA17" i="22"/>
  <c r="CA13" i="22"/>
  <c r="CA35" i="22"/>
  <c r="CA34" i="22"/>
  <c r="CA30" i="22"/>
  <c r="CA26" i="22"/>
  <c r="CA22" i="22"/>
  <c r="CA31" i="22"/>
  <c r="CA27" i="22"/>
  <c r="CA23" i="22"/>
  <c r="CA19" i="22"/>
  <c r="CE109" i="22"/>
  <c r="CE108" i="22"/>
  <c r="CE107" i="22"/>
  <c r="CE106" i="22"/>
  <c r="CE105" i="22"/>
  <c r="CE102" i="22"/>
  <c r="CE104" i="22"/>
  <c r="CE103" i="22"/>
  <c r="CE100" i="22"/>
  <c r="CE96" i="22"/>
  <c r="CE101" i="22"/>
  <c r="CE98" i="22"/>
  <c r="CE99" i="22"/>
  <c r="CE94" i="22"/>
  <c r="CE97" i="22"/>
  <c r="CE95" i="22"/>
  <c r="CE91" i="22"/>
  <c r="CE89" i="22"/>
  <c r="CE90" i="22"/>
  <c r="CE93" i="22"/>
  <c r="CE92" i="22"/>
  <c r="CE86" i="22"/>
  <c r="CE82" i="22"/>
  <c r="CE83" i="22"/>
  <c r="CE84" i="22"/>
  <c r="CE88" i="22"/>
  <c r="CE87" i="22"/>
  <c r="CE85" i="22"/>
  <c r="CE81" i="22"/>
  <c r="CE80" i="22"/>
  <c r="CE76" i="22"/>
  <c r="CE77" i="22"/>
  <c r="CE73" i="22"/>
  <c r="CE78" i="22"/>
  <c r="CE74" i="22"/>
  <c r="CE70" i="22"/>
  <c r="CE79" i="22"/>
  <c r="CE75" i="22"/>
  <c r="CE71" i="22"/>
  <c r="CE72" i="22"/>
  <c r="CE69" i="22"/>
  <c r="CE65" i="22"/>
  <c r="CE61" i="22"/>
  <c r="CE66" i="22"/>
  <c r="CE67" i="22"/>
  <c r="CE63" i="22"/>
  <c r="CE59" i="22"/>
  <c r="CE68" i="22"/>
  <c r="CE64" i="22"/>
  <c r="CE60" i="22"/>
  <c r="CE54" i="22"/>
  <c r="CE55" i="22"/>
  <c r="CE51" i="22"/>
  <c r="CE47" i="22"/>
  <c r="CE62" i="22"/>
  <c r="CE56" i="22"/>
  <c r="CE52" i="22"/>
  <c r="CE48" i="22"/>
  <c r="CE58" i="22"/>
  <c r="CE57" i="22"/>
  <c r="CE53" i="22"/>
  <c r="CE49" i="22"/>
  <c r="CE44" i="22"/>
  <c r="CE40" i="22"/>
  <c r="CE36" i="22"/>
  <c r="CE45" i="22"/>
  <c r="CE41" i="22"/>
  <c r="CE37" i="22"/>
  <c r="CE50" i="22"/>
  <c r="CE46" i="22"/>
  <c r="CE42" i="22"/>
  <c r="CE38" i="22"/>
  <c r="CE43" i="22"/>
  <c r="CE39" i="22"/>
  <c r="CE35" i="22"/>
  <c r="CE32" i="22"/>
  <c r="CE28" i="22"/>
  <c r="CE24" i="22"/>
  <c r="CE20" i="22"/>
  <c r="CE33" i="22"/>
  <c r="CE29" i="22"/>
  <c r="CE25" i="22"/>
  <c r="CE21" i="22"/>
  <c r="CE17" i="22"/>
  <c r="CE13" i="22"/>
  <c r="CE34" i="22"/>
  <c r="CE30" i="22"/>
  <c r="CE26" i="22"/>
  <c r="CE22" i="22"/>
  <c r="CE31" i="22"/>
  <c r="CE27" i="22"/>
  <c r="CE23" i="22"/>
  <c r="CE19" i="22"/>
  <c r="CI108" i="22"/>
  <c r="CI103" i="22"/>
  <c r="CI67" i="22"/>
  <c r="CI57" i="22"/>
  <c r="CI26" i="22"/>
  <c r="CI19" i="22"/>
  <c r="CQ109" i="22"/>
  <c r="CQ105" i="22"/>
  <c r="CQ101" i="22"/>
  <c r="CQ99" i="22"/>
  <c r="CQ91" i="22"/>
  <c r="CQ89" i="22"/>
  <c r="CQ87" i="22"/>
  <c r="CQ81" i="22"/>
  <c r="CQ80" i="22"/>
  <c r="CQ70" i="22"/>
  <c r="CQ61" i="22"/>
  <c r="CQ68" i="22"/>
  <c r="CQ64" i="22"/>
  <c r="CQ55" i="22"/>
  <c r="CQ56" i="22"/>
  <c r="CQ53" i="22"/>
  <c r="CQ36" i="22"/>
  <c r="CQ37" i="22"/>
  <c r="CQ43" i="22"/>
  <c r="CQ24" i="22"/>
  <c r="CQ25" i="22"/>
  <c r="CQ35" i="22"/>
  <c r="CQ22" i="22"/>
  <c r="CQ19" i="22"/>
  <c r="CU104" i="22"/>
  <c r="CU101" i="22"/>
  <c r="CU82" i="22"/>
  <c r="CU87" i="22"/>
  <c r="CU71" i="22"/>
  <c r="CU61" i="22"/>
  <c r="CU62" i="22"/>
  <c r="CU58" i="22"/>
  <c r="CU42" i="22"/>
  <c r="CU35" i="22"/>
  <c r="CU30" i="22"/>
  <c r="CU27" i="22"/>
  <c r="CY104" i="22"/>
  <c r="CY102" i="22"/>
  <c r="CY90" i="22"/>
  <c r="CY82" i="22"/>
  <c r="CY76" i="22"/>
  <c r="CY75" i="22"/>
  <c r="CY71" i="22"/>
  <c r="CY59" i="22"/>
  <c r="CY58" i="22"/>
  <c r="CY55" i="22"/>
  <c r="CY44" i="22"/>
  <c r="CY42" i="22"/>
  <c r="CY38" i="22"/>
  <c r="CY33" i="22"/>
  <c r="CY34" i="22"/>
  <c r="CY30" i="22"/>
  <c r="DC100" i="22"/>
  <c r="DC96" i="22"/>
  <c r="DC84" i="22"/>
  <c r="DC88" i="22"/>
  <c r="DC65" i="22"/>
  <c r="DC61" i="22"/>
  <c r="DC56" i="22"/>
  <c r="DC52" i="22"/>
  <c r="DC43" i="22"/>
  <c r="DC39" i="22"/>
  <c r="DC22" i="22"/>
  <c r="DC31" i="22"/>
  <c r="M7" i="22"/>
  <c r="Q7" i="22"/>
  <c r="U7" i="22"/>
  <c r="AK7" i="22"/>
  <c r="BA7" i="22"/>
  <c r="BI7" i="22"/>
  <c r="BM7" i="22"/>
  <c r="BY7" i="22"/>
  <c r="CC7" i="22"/>
  <c r="CG7" i="22"/>
  <c r="CS7" i="22"/>
  <c r="CW7" i="22"/>
  <c r="S9" i="22"/>
  <c r="W9" i="22"/>
  <c r="AM9" i="22"/>
  <c r="AQ9" i="22"/>
  <c r="AU9" i="22"/>
  <c r="BC9" i="22"/>
  <c r="BG9" i="22"/>
  <c r="BW9" i="22"/>
  <c r="CA9" i="22"/>
  <c r="CE9" i="22"/>
  <c r="CU9" i="22"/>
  <c r="CY9" i="22"/>
  <c r="L10" i="22"/>
  <c r="P10" i="22"/>
  <c r="AB10" i="22"/>
  <c r="AF10" i="22"/>
  <c r="AJ10" i="22"/>
  <c r="AN10" i="22"/>
  <c r="BD10" i="22"/>
  <c r="BH10" i="22"/>
  <c r="BL10" i="22"/>
  <c r="BX10" i="22"/>
  <c r="CB10" i="22"/>
  <c r="CF10" i="22"/>
  <c r="CZ10" i="22"/>
  <c r="DD10" i="22"/>
  <c r="O11" i="22"/>
  <c r="AJ11" i="22"/>
  <c r="BK11" i="22"/>
  <c r="BP11" i="22"/>
  <c r="CA11" i="22"/>
  <c r="CF11" i="22"/>
  <c r="CV11" i="22"/>
  <c r="K12" i="22"/>
  <c r="AQ12" i="22"/>
  <c r="BG12" i="22"/>
  <c r="BW12" i="22"/>
  <c r="DC12" i="22"/>
  <c r="AB13" i="22"/>
  <c r="AR13" i="22"/>
  <c r="BH13" i="22"/>
  <c r="BX13" i="22"/>
  <c r="DD13" i="22"/>
  <c r="G14" i="22"/>
  <c r="M14" i="22"/>
  <c r="AM14" i="22"/>
  <c r="BC14" i="22"/>
  <c r="BI14" i="22"/>
  <c r="CI14" i="22"/>
  <c r="CO14" i="22"/>
  <c r="W15" i="22"/>
  <c r="AB15" i="22"/>
  <c r="AM15" i="22"/>
  <c r="BC15" i="22"/>
  <c r="BS15" i="22"/>
  <c r="BX15" i="22"/>
  <c r="DD15" i="22"/>
  <c r="S16" i="22"/>
  <c r="CE16" i="22"/>
  <c r="CU16" i="22"/>
  <c r="T17" i="22"/>
  <c r="AJ17" i="22"/>
  <c r="CF17" i="22"/>
  <c r="CV17" i="22"/>
  <c r="AM18" i="22"/>
  <c r="BC18" i="22"/>
  <c r="G6" i="22"/>
  <c r="S6" i="22"/>
  <c r="W6" i="22"/>
  <c r="AM6" i="22"/>
  <c r="AQ6" i="22"/>
  <c r="BC6" i="22"/>
  <c r="BG6" i="22"/>
  <c r="BS6" i="22"/>
  <c r="BW6" i="22"/>
  <c r="CA6" i="22"/>
  <c r="CE6" i="22"/>
  <c r="CM6" i="22"/>
  <c r="CU6" i="22"/>
  <c r="CY6" i="22"/>
  <c r="D106" i="22"/>
  <c r="D101" i="22"/>
  <c r="D100" i="22"/>
  <c r="D92" i="22"/>
  <c r="D87" i="22"/>
  <c r="D88" i="22"/>
  <c r="D82" i="22"/>
  <c r="D74" i="22"/>
  <c r="D80" i="22"/>
  <c r="D66" i="22"/>
  <c r="D64" i="22"/>
  <c r="D65" i="22"/>
  <c r="D56" i="22"/>
  <c r="D53" i="22"/>
  <c r="D54" i="22"/>
  <c r="D37" i="22"/>
  <c r="D38" i="22"/>
  <c r="D44" i="22"/>
  <c r="D29" i="22"/>
  <c r="D30" i="22"/>
  <c r="D14" i="22"/>
  <c r="D23" i="22"/>
  <c r="D20" i="22"/>
  <c r="H109" i="22"/>
  <c r="H106" i="22"/>
  <c r="H105" i="22"/>
  <c r="H103" i="22"/>
  <c r="H101" i="22"/>
  <c r="H99" i="22"/>
  <c r="H100" i="22"/>
  <c r="H95" i="22"/>
  <c r="H92" i="22"/>
  <c r="H94" i="22"/>
  <c r="H91" i="22"/>
  <c r="H88" i="22"/>
  <c r="H83" i="22"/>
  <c r="H85" i="22"/>
  <c r="H86" i="22"/>
  <c r="H82" i="22"/>
  <c r="H78" i="22"/>
  <c r="H74" i="22"/>
  <c r="H71" i="22"/>
  <c r="H79" i="22"/>
  <c r="H72" i="22"/>
  <c r="H66" i="22"/>
  <c r="H67" i="22"/>
  <c r="H73" i="22"/>
  <c r="H70" i="22"/>
  <c r="H60" i="22"/>
  <c r="H65" i="22"/>
  <c r="H63" i="22"/>
  <c r="H55" i="22"/>
  <c r="H52" i="22"/>
  <c r="H48" i="22"/>
  <c r="H49" i="22"/>
  <c r="H57" i="22"/>
  <c r="H54" i="22"/>
  <c r="H47" i="22"/>
  <c r="H45" i="22"/>
  <c r="H37" i="22"/>
  <c r="H38" i="22"/>
  <c r="H43" i="22"/>
  <c r="H39" i="22"/>
  <c r="H33" i="22"/>
  <c r="H29" i="22"/>
  <c r="H25" i="22"/>
  <c r="H30" i="22"/>
  <c r="H26" i="22"/>
  <c r="H18" i="22"/>
  <c r="H31" i="22"/>
  <c r="H23" i="22"/>
  <c r="H36" i="22"/>
  <c r="H28" i="22"/>
  <c r="H24" i="22"/>
  <c r="H20" i="22"/>
  <c r="L109" i="22"/>
  <c r="L108" i="22"/>
  <c r="L107" i="22"/>
  <c r="L106" i="22"/>
  <c r="L105" i="22"/>
  <c r="L104" i="22"/>
  <c r="L103" i="22"/>
  <c r="L102" i="22"/>
  <c r="L97" i="22"/>
  <c r="L101" i="22"/>
  <c r="L99" i="22"/>
  <c r="L100" i="22"/>
  <c r="L98" i="22"/>
  <c r="L96" i="22"/>
  <c r="L95" i="22"/>
  <c r="L92" i="22"/>
  <c r="L94" i="22"/>
  <c r="L90" i="22"/>
  <c r="L93" i="22"/>
  <c r="L87" i="22"/>
  <c r="L91" i="22"/>
  <c r="L83" i="22"/>
  <c r="L89" i="22"/>
  <c r="L84" i="22"/>
  <c r="L88" i="22"/>
  <c r="L85" i="22"/>
  <c r="L86" i="22"/>
  <c r="L82" i="22"/>
  <c r="L79" i="22"/>
  <c r="L77" i="22"/>
  <c r="L78" i="22"/>
  <c r="L74" i="22"/>
  <c r="L81" i="22"/>
  <c r="L75" i="22"/>
  <c r="L71" i="22"/>
  <c r="L80" i="22"/>
  <c r="L76" i="22"/>
  <c r="L72" i="22"/>
  <c r="L70" i="22"/>
  <c r="L66" i="22"/>
  <c r="L62" i="22"/>
  <c r="L73" i="22"/>
  <c r="L67" i="22"/>
  <c r="L68" i="22"/>
  <c r="L64" i="22"/>
  <c r="L60" i="22"/>
  <c r="L69" i="22"/>
  <c r="L65" i="22"/>
  <c r="L61" i="22"/>
  <c r="L57" i="22"/>
  <c r="L55" i="22"/>
  <c r="L59" i="22"/>
  <c r="L58" i="22"/>
  <c r="L56" i="22"/>
  <c r="L52" i="22"/>
  <c r="L48" i="22"/>
  <c r="L53" i="22"/>
  <c r="L49" i="22"/>
  <c r="L63" i="22"/>
  <c r="L54" i="22"/>
  <c r="L50" i="22"/>
  <c r="L45" i="22"/>
  <c r="L41" i="22"/>
  <c r="L37" i="22"/>
  <c r="L42" i="22"/>
  <c r="L38" i="22"/>
  <c r="L47" i="22"/>
  <c r="L43" i="22"/>
  <c r="L39" i="22"/>
  <c r="L51" i="22"/>
  <c r="L46" i="22"/>
  <c r="L44" i="22"/>
  <c r="L40" i="22"/>
  <c r="L35" i="22"/>
  <c r="L33" i="22"/>
  <c r="L29" i="22"/>
  <c r="L25" i="22"/>
  <c r="L21" i="22"/>
  <c r="L34" i="22"/>
  <c r="L30" i="22"/>
  <c r="L26" i="22"/>
  <c r="L22" i="22"/>
  <c r="L18" i="22"/>
  <c r="L14" i="22"/>
  <c r="L36" i="22"/>
  <c r="L31" i="22"/>
  <c r="L27" i="22"/>
  <c r="L23" i="22"/>
  <c r="L32" i="22"/>
  <c r="L28" i="22"/>
  <c r="L24" i="22"/>
  <c r="L20" i="22"/>
  <c r="P109" i="22"/>
  <c r="P108" i="22"/>
  <c r="P107" i="22"/>
  <c r="P106" i="22"/>
  <c r="P105" i="22"/>
  <c r="P104" i="22"/>
  <c r="P103" i="22"/>
  <c r="P97" i="22"/>
  <c r="P99" i="22"/>
  <c r="P102" i="22"/>
  <c r="P101" i="22"/>
  <c r="P100" i="22"/>
  <c r="P96" i="22"/>
  <c r="P95" i="22"/>
  <c r="P98" i="22"/>
  <c r="P92" i="22"/>
  <c r="P91" i="22"/>
  <c r="P90" i="22"/>
  <c r="P87" i="22"/>
  <c r="P94" i="22"/>
  <c r="P93" i="22"/>
  <c r="P89" i="22"/>
  <c r="P88" i="22"/>
  <c r="P83" i="22"/>
  <c r="P84" i="22"/>
  <c r="P85" i="22"/>
  <c r="P86" i="22"/>
  <c r="P82" i="22"/>
  <c r="P77" i="22"/>
  <c r="P81" i="22"/>
  <c r="P80" i="22"/>
  <c r="P79" i="22"/>
  <c r="P78" i="22"/>
  <c r="P74" i="22"/>
  <c r="P75" i="22"/>
  <c r="P71" i="22"/>
  <c r="P76" i="22"/>
  <c r="P72" i="22"/>
  <c r="P73" i="22"/>
  <c r="P66" i="22"/>
  <c r="P62" i="22"/>
  <c r="P69" i="22"/>
  <c r="P67" i="22"/>
  <c r="P70" i="22"/>
  <c r="P68" i="22"/>
  <c r="P64" i="22"/>
  <c r="P60" i="22"/>
  <c r="P65" i="22"/>
  <c r="P61" i="22"/>
  <c r="P59" i="22"/>
  <c r="P55" i="22"/>
  <c r="P57" i="22"/>
  <c r="P56" i="22"/>
  <c r="P52" i="22"/>
  <c r="P48" i="22"/>
  <c r="P63" i="22"/>
  <c r="P58" i="22"/>
  <c r="P53" i="22"/>
  <c r="P49" i="22"/>
  <c r="P54" i="22"/>
  <c r="P50" i="22"/>
  <c r="P47" i="22"/>
  <c r="P46" i="22"/>
  <c r="P45" i="22"/>
  <c r="P41" i="22"/>
  <c r="P37" i="22"/>
  <c r="P42" i="22"/>
  <c r="P38" i="22"/>
  <c r="P51" i="22"/>
  <c r="P43" i="22"/>
  <c r="P39" i="22"/>
  <c r="P44" i="22"/>
  <c r="P40" i="22"/>
  <c r="P33" i="22"/>
  <c r="P29" i="22"/>
  <c r="P25" i="22"/>
  <c r="P21" i="22"/>
  <c r="P36" i="22"/>
  <c r="P35" i="22"/>
  <c r="P34" i="22"/>
  <c r="P30" i="22"/>
  <c r="P26" i="22"/>
  <c r="P22" i="22"/>
  <c r="P18" i="22"/>
  <c r="P14" i="22"/>
  <c r="P31" i="22"/>
  <c r="P27" i="22"/>
  <c r="P23" i="22"/>
  <c r="P32" i="22"/>
  <c r="P28" i="22"/>
  <c r="P24" i="22"/>
  <c r="P20" i="22"/>
  <c r="T109" i="22"/>
  <c r="T108" i="22"/>
  <c r="T107" i="22"/>
  <c r="T106" i="22"/>
  <c r="T103" i="22"/>
  <c r="T105" i="22"/>
  <c r="T104" i="22"/>
  <c r="T101" i="22"/>
  <c r="T97" i="22"/>
  <c r="T102" i="22"/>
  <c r="T99" i="22"/>
  <c r="T100" i="22"/>
  <c r="T98" i="22"/>
  <c r="T96" i="22"/>
  <c r="T95" i="22"/>
  <c r="T92" i="22"/>
  <c r="T90" i="22"/>
  <c r="T93" i="22"/>
  <c r="T91" i="22"/>
  <c r="T87" i="22"/>
  <c r="T94" i="22"/>
  <c r="T83" i="22"/>
  <c r="T84" i="22"/>
  <c r="T88" i="22"/>
  <c r="T85" i="22"/>
  <c r="T89" i="22"/>
  <c r="T86" i="22"/>
  <c r="T82" i="22"/>
  <c r="T81" i="22"/>
  <c r="T77" i="22"/>
  <c r="T78" i="22"/>
  <c r="T74" i="22"/>
  <c r="T79" i="22"/>
  <c r="T75" i="22"/>
  <c r="T71" i="22"/>
  <c r="T80" i="22"/>
  <c r="T76" i="22"/>
  <c r="T72" i="22"/>
  <c r="T70" i="22"/>
  <c r="T66" i="22"/>
  <c r="T62" i="22"/>
  <c r="T67" i="22"/>
  <c r="T68" i="22"/>
  <c r="T64" i="22"/>
  <c r="T60" i="22"/>
  <c r="T73" i="22"/>
  <c r="T69" i="22"/>
  <c r="T65" i="22"/>
  <c r="T61" i="22"/>
  <c r="T55" i="22"/>
  <c r="T63" i="22"/>
  <c r="T56" i="22"/>
  <c r="T52" i="22"/>
  <c r="T48" i="22"/>
  <c r="T57" i="22"/>
  <c r="T53" i="22"/>
  <c r="T49" i="22"/>
  <c r="T59" i="22"/>
  <c r="T58" i="22"/>
  <c r="T54" i="22"/>
  <c r="T50" i="22"/>
  <c r="T45" i="22"/>
  <c r="T41" i="22"/>
  <c r="T37" i="22"/>
  <c r="T51" i="22"/>
  <c r="T46" i="22"/>
  <c r="T42" i="22"/>
  <c r="T38" i="22"/>
  <c r="T43" i="22"/>
  <c r="T39" i="22"/>
  <c r="T47" i="22"/>
  <c r="T44" i="22"/>
  <c r="T40" i="22"/>
  <c r="T36" i="22"/>
  <c r="T33" i="22"/>
  <c r="T29" i="22"/>
  <c r="T25" i="22"/>
  <c r="T21" i="22"/>
  <c r="T34" i="22"/>
  <c r="T30" i="22"/>
  <c r="T26" i="22"/>
  <c r="T22" i="22"/>
  <c r="T18" i="22"/>
  <c r="T14" i="22"/>
  <c r="T35" i="22"/>
  <c r="T31" i="22"/>
  <c r="T27" i="22"/>
  <c r="T23" i="22"/>
  <c r="T32" i="22"/>
  <c r="T28" i="22"/>
  <c r="T24" i="22"/>
  <c r="T20" i="22"/>
  <c r="AB109" i="22"/>
  <c r="AB108" i="22"/>
  <c r="AB107" i="22"/>
  <c r="AB106" i="22"/>
  <c r="AB105" i="22"/>
  <c r="AB104" i="22"/>
  <c r="AB103" i="22"/>
  <c r="AB102" i="22"/>
  <c r="AB97" i="22"/>
  <c r="AB101" i="22"/>
  <c r="AB99" i="22"/>
  <c r="AB100" i="22"/>
  <c r="AB98" i="22"/>
  <c r="AB96" i="22"/>
  <c r="AB95" i="22"/>
  <c r="AB92" i="22"/>
  <c r="AB94" i="22"/>
  <c r="AB90" i="22"/>
  <c r="AB93" i="22"/>
  <c r="AB87" i="22"/>
  <c r="AB91" i="22"/>
  <c r="AB83" i="22"/>
  <c r="AB89" i="22"/>
  <c r="AB84" i="22"/>
  <c r="AB88" i="22"/>
  <c r="AB85" i="22"/>
  <c r="AB86" i="22"/>
  <c r="AB82" i="22"/>
  <c r="AB79" i="22"/>
  <c r="AB77" i="22"/>
  <c r="AB78" i="22"/>
  <c r="AB74" i="22"/>
  <c r="AB81" i="22"/>
  <c r="AB75" i="22"/>
  <c r="AB71" i="22"/>
  <c r="AB80" i="22"/>
  <c r="AB76" i="22"/>
  <c r="AB72" i="22"/>
  <c r="AB70" i="22"/>
  <c r="AB68" i="22"/>
  <c r="AB66" i="22"/>
  <c r="AB62" i="22"/>
  <c r="AB73" i="22"/>
  <c r="AB67" i="22"/>
  <c r="AB64" i="22"/>
  <c r="AB60" i="22"/>
  <c r="AB69" i="22"/>
  <c r="AB65" i="22"/>
  <c r="AB61" i="22"/>
  <c r="AB57" i="22"/>
  <c r="AB55" i="22"/>
  <c r="AB59" i="22"/>
  <c r="AB56" i="22"/>
  <c r="AB52" i="22"/>
  <c r="AB48" i="22"/>
  <c r="AB58" i="22"/>
  <c r="AB53" i="22"/>
  <c r="AB49" i="22"/>
  <c r="AB63" i="22"/>
  <c r="AB54" i="22"/>
  <c r="AB50" i="22"/>
  <c r="AB45" i="22"/>
  <c r="AB41" i="22"/>
  <c r="AB37" i="22"/>
  <c r="AB47" i="22"/>
  <c r="AB42" i="22"/>
  <c r="AB38" i="22"/>
  <c r="AB43" i="22"/>
  <c r="AB39" i="22"/>
  <c r="AB51" i="22"/>
  <c r="AB46" i="22"/>
  <c r="AB44" i="22"/>
  <c r="AB40" i="22"/>
  <c r="AB35" i="22"/>
  <c r="AB33" i="22"/>
  <c r="AB29" i="22"/>
  <c r="AB25" i="22"/>
  <c r="AB21" i="22"/>
  <c r="AB34" i="22"/>
  <c r="AB30" i="22"/>
  <c r="AB26" i="22"/>
  <c r="AB22" i="22"/>
  <c r="AB18" i="22"/>
  <c r="AB14" i="22"/>
  <c r="AB36" i="22"/>
  <c r="AB31" i="22"/>
  <c r="AB27" i="22"/>
  <c r="AB23" i="22"/>
  <c r="AB32" i="22"/>
  <c r="AB28" i="22"/>
  <c r="AB24" i="22"/>
  <c r="AB20" i="22"/>
  <c r="AF109" i="22"/>
  <c r="AF108" i="22"/>
  <c r="AF107" i="22"/>
  <c r="AF106" i="22"/>
  <c r="AF105" i="22"/>
  <c r="AF104" i="22"/>
  <c r="AF103" i="22"/>
  <c r="AF97" i="22"/>
  <c r="AF99" i="22"/>
  <c r="AF102" i="22"/>
  <c r="AF101" i="22"/>
  <c r="AF100" i="22"/>
  <c r="AF96" i="22"/>
  <c r="AF95" i="22"/>
  <c r="AF98" i="22"/>
  <c r="AF92" i="22"/>
  <c r="AF91" i="22"/>
  <c r="AF90" i="22"/>
  <c r="AF87" i="22"/>
  <c r="AF94" i="22"/>
  <c r="AF93" i="22"/>
  <c r="AF89" i="22"/>
  <c r="AF88" i="22"/>
  <c r="AF83" i="22"/>
  <c r="AF84" i="22"/>
  <c r="AF85" i="22"/>
  <c r="AF86" i="22"/>
  <c r="AF82" i="22"/>
  <c r="AF77" i="22"/>
  <c r="AF81" i="22"/>
  <c r="AF80" i="22"/>
  <c r="AF79" i="22"/>
  <c r="AF78" i="22"/>
  <c r="AF74" i="22"/>
  <c r="AF75" i="22"/>
  <c r="AF71" i="22"/>
  <c r="AF76" i="22"/>
  <c r="AF72" i="22"/>
  <c r="AF73" i="22"/>
  <c r="AF66" i="22"/>
  <c r="AF62" i="22"/>
  <c r="AF69" i="22"/>
  <c r="AF68" i="22"/>
  <c r="AF67" i="22"/>
  <c r="AF70" i="22"/>
  <c r="AF64" i="22"/>
  <c r="AF60" i="22"/>
  <c r="AF65" i="22"/>
  <c r="AF61" i="22"/>
  <c r="AF59" i="22"/>
  <c r="AF58" i="22"/>
  <c r="AF55" i="22"/>
  <c r="AF57" i="22"/>
  <c r="AF56" i="22"/>
  <c r="AF52" i="22"/>
  <c r="AF48" i="22"/>
  <c r="AF63" i="22"/>
  <c r="AF53" i="22"/>
  <c r="AF49" i="22"/>
  <c r="AF54" i="22"/>
  <c r="AF50" i="22"/>
  <c r="AF47" i="22"/>
  <c r="AF46" i="22"/>
  <c r="AF45" i="22"/>
  <c r="AF41" i="22"/>
  <c r="AF37" i="22"/>
  <c r="AF42" i="22"/>
  <c r="AF38" i="22"/>
  <c r="AF51" i="22"/>
  <c r="AF43" i="22"/>
  <c r="AF39" i="22"/>
  <c r="AF44" i="22"/>
  <c r="AF40" i="22"/>
  <c r="AF33" i="22"/>
  <c r="AF29" i="22"/>
  <c r="AF25" i="22"/>
  <c r="AF21" i="22"/>
  <c r="AF36" i="22"/>
  <c r="AF35" i="22"/>
  <c r="AF34" i="22"/>
  <c r="AF30" i="22"/>
  <c r="AF26" i="22"/>
  <c r="AF22" i="22"/>
  <c r="AF18" i="22"/>
  <c r="AF14" i="22"/>
  <c r="AF31" i="22"/>
  <c r="AF27" i="22"/>
  <c r="AF23" i="22"/>
  <c r="AF32" i="22"/>
  <c r="AF28" i="22"/>
  <c r="AF24" i="22"/>
  <c r="AF20" i="22"/>
  <c r="AJ109" i="22"/>
  <c r="AJ108" i="22"/>
  <c r="AJ107" i="22"/>
  <c r="AJ106" i="22"/>
  <c r="AJ104" i="22"/>
  <c r="AJ103" i="22"/>
  <c r="AJ105" i="22"/>
  <c r="AJ101" i="22"/>
  <c r="AJ97" i="22"/>
  <c r="AJ102" i="22"/>
  <c r="AJ99" i="22"/>
  <c r="AJ100" i="22"/>
  <c r="AJ98" i="22"/>
  <c r="AJ96" i="22"/>
  <c r="AJ95" i="22"/>
  <c r="AJ92" i="22"/>
  <c r="AJ90" i="22"/>
  <c r="AJ93" i="22"/>
  <c r="AJ91" i="22"/>
  <c r="AJ87" i="22"/>
  <c r="AJ94" i="22"/>
  <c r="AJ83" i="22"/>
  <c r="AJ84" i="22"/>
  <c r="AJ88" i="22"/>
  <c r="AJ85" i="22"/>
  <c r="AJ89" i="22"/>
  <c r="AJ86" i="22"/>
  <c r="AJ82" i="22"/>
  <c r="AJ81" i="22"/>
  <c r="AJ77" i="22"/>
  <c r="AJ78" i="22"/>
  <c r="AJ74" i="22"/>
  <c r="AJ79" i="22"/>
  <c r="AJ75" i="22"/>
  <c r="AJ71" i="22"/>
  <c r="AJ80" i="22"/>
  <c r="AJ76" i="22"/>
  <c r="AJ72" i="22"/>
  <c r="AJ70" i="22"/>
  <c r="AJ66" i="22"/>
  <c r="AJ62" i="22"/>
  <c r="AJ67" i="22"/>
  <c r="AJ68" i="22"/>
  <c r="AJ64" i="22"/>
  <c r="AJ60" i="22"/>
  <c r="AJ73" i="22"/>
  <c r="AJ69" i="22"/>
  <c r="AJ65" i="22"/>
  <c r="AJ61" i="22"/>
  <c r="AJ55" i="22"/>
  <c r="AJ63" i="22"/>
  <c r="AJ56" i="22"/>
  <c r="AJ52" i="22"/>
  <c r="AJ48" i="22"/>
  <c r="AJ58" i="22"/>
  <c r="AJ57" i="22"/>
  <c r="AJ53" i="22"/>
  <c r="AJ49" i="22"/>
  <c r="AJ59" i="22"/>
  <c r="AJ54" i="22"/>
  <c r="AJ50" i="22"/>
  <c r="AJ45" i="22"/>
  <c r="AJ41" i="22"/>
  <c r="AJ37" i="22"/>
  <c r="AJ51" i="22"/>
  <c r="AJ46" i="22"/>
  <c r="AJ42" i="22"/>
  <c r="AJ38" i="22"/>
  <c r="AJ43" i="22"/>
  <c r="AJ39" i="22"/>
  <c r="AJ47" i="22"/>
  <c r="AJ44" i="22"/>
  <c r="AJ40" i="22"/>
  <c r="AJ36" i="22"/>
  <c r="AJ33" i="22"/>
  <c r="AJ29" i="22"/>
  <c r="AJ25" i="22"/>
  <c r="AJ21" i="22"/>
  <c r="AJ34" i="22"/>
  <c r="AJ30" i="22"/>
  <c r="AJ26" i="22"/>
  <c r="AJ22" i="22"/>
  <c r="AJ18" i="22"/>
  <c r="AJ14" i="22"/>
  <c r="AJ35" i="22"/>
  <c r="AJ31" i="22"/>
  <c r="AJ27" i="22"/>
  <c r="AJ23" i="22"/>
  <c r="AJ32" i="22"/>
  <c r="AJ28" i="22"/>
  <c r="AJ24" i="22"/>
  <c r="AJ20" i="22"/>
  <c r="AN108" i="22"/>
  <c r="AN109" i="22"/>
  <c r="AN107" i="22"/>
  <c r="AN106" i="22"/>
  <c r="AN104" i="22"/>
  <c r="AN105" i="22"/>
  <c r="AN103" i="22"/>
  <c r="AN97" i="22"/>
  <c r="AN102" i="22"/>
  <c r="AN101" i="22"/>
  <c r="AN99" i="22"/>
  <c r="AN100" i="22"/>
  <c r="AN96" i="22"/>
  <c r="AN98" i="22"/>
  <c r="AN95" i="22"/>
  <c r="AN92" i="22"/>
  <c r="AN90" i="22"/>
  <c r="AN94" i="22"/>
  <c r="AN87" i="22"/>
  <c r="AN91" i="22"/>
  <c r="AN93" i="22"/>
  <c r="AN88" i="22"/>
  <c r="AN83" i="22"/>
  <c r="AN84" i="22"/>
  <c r="AN89" i="22"/>
  <c r="AN85" i="22"/>
  <c r="AN86" i="22"/>
  <c r="AN82" i="22"/>
  <c r="AN77" i="22"/>
  <c r="AN80" i="22"/>
  <c r="AN78" i="22"/>
  <c r="AN74" i="22"/>
  <c r="AN75" i="22"/>
  <c r="AN71" i="22"/>
  <c r="AN81" i="22"/>
  <c r="AN79" i="22"/>
  <c r="AN76" i="22"/>
  <c r="AN72" i="22"/>
  <c r="AN66" i="22"/>
  <c r="AN62" i="22"/>
  <c r="AN69" i="22"/>
  <c r="AN67" i="22"/>
  <c r="AN73" i="22"/>
  <c r="AN70" i="22"/>
  <c r="AN64" i="22"/>
  <c r="AN60" i="22"/>
  <c r="AN68" i="22"/>
  <c r="AN65" i="22"/>
  <c r="AN61" i="22"/>
  <c r="AN63" i="22"/>
  <c r="AN58" i="22"/>
  <c r="AN55" i="22"/>
  <c r="AN56" i="22"/>
  <c r="AN52" i="22"/>
  <c r="AN48" i="22"/>
  <c r="AN59" i="22"/>
  <c r="AN53" i="22"/>
  <c r="AN49" i="22"/>
  <c r="AN57" i="22"/>
  <c r="AN54" i="22"/>
  <c r="AN50" i="22"/>
  <c r="AN51" i="22"/>
  <c r="AN45" i="22"/>
  <c r="AN41" i="22"/>
  <c r="AN37" i="22"/>
  <c r="AN42" i="22"/>
  <c r="AN38" i="22"/>
  <c r="AN47" i="22"/>
  <c r="AN46" i="22"/>
  <c r="AN43" i="22"/>
  <c r="AN39" i="22"/>
  <c r="AN44" i="22"/>
  <c r="AN40" i="22"/>
  <c r="AN33" i="22"/>
  <c r="AN29" i="22"/>
  <c r="AN25" i="22"/>
  <c r="AN21" i="22"/>
  <c r="AN34" i="22"/>
  <c r="AN30" i="22"/>
  <c r="AN26" i="22"/>
  <c r="AN22" i="22"/>
  <c r="AN18" i="22"/>
  <c r="AN14" i="22"/>
  <c r="AN31" i="22"/>
  <c r="AN27" i="22"/>
  <c r="AN23" i="22"/>
  <c r="AN36" i="22"/>
  <c r="AN35" i="22"/>
  <c r="AN32" i="22"/>
  <c r="AN28" i="22"/>
  <c r="AN24" i="22"/>
  <c r="AN20" i="22"/>
  <c r="AR109" i="22"/>
  <c r="AR108" i="22"/>
  <c r="AR107" i="22"/>
  <c r="AR106" i="22"/>
  <c r="AR105" i="22"/>
  <c r="AR104" i="22"/>
  <c r="AR103" i="22"/>
  <c r="AR102" i="22"/>
  <c r="AR97" i="22"/>
  <c r="AR101" i="22"/>
  <c r="AR99" i="22"/>
  <c r="AR100" i="22"/>
  <c r="AR98" i="22"/>
  <c r="AR96" i="22"/>
  <c r="AR95" i="22"/>
  <c r="AR92" i="22"/>
  <c r="AR94" i="22"/>
  <c r="AR90" i="22"/>
  <c r="AR93" i="22"/>
  <c r="AR87" i="22"/>
  <c r="AR91" i="22"/>
  <c r="AR83" i="22"/>
  <c r="AR89" i="22"/>
  <c r="AR84" i="22"/>
  <c r="AR88" i="22"/>
  <c r="AR85" i="22"/>
  <c r="AR86" i="22"/>
  <c r="AR82" i="22"/>
  <c r="AR79" i="22"/>
  <c r="AR77" i="22"/>
  <c r="AR78" i="22"/>
  <c r="AR74" i="22"/>
  <c r="AR81" i="22"/>
  <c r="AR75" i="22"/>
  <c r="AR71" i="22"/>
  <c r="AR80" i="22"/>
  <c r="AR76" i="22"/>
  <c r="AR72" i="22"/>
  <c r="AR70" i="22"/>
  <c r="AR68" i="22"/>
  <c r="AR66" i="22"/>
  <c r="AR62" i="22"/>
  <c r="AR73" i="22"/>
  <c r="AR67" i="22"/>
  <c r="AR64" i="22"/>
  <c r="AR60" i="22"/>
  <c r="AR69" i="22"/>
  <c r="AR65" i="22"/>
  <c r="AR61" i="22"/>
  <c r="AR57" i="22"/>
  <c r="AR55" i="22"/>
  <c r="AR59" i="22"/>
  <c r="AR56" i="22"/>
  <c r="AR52" i="22"/>
  <c r="AR48" i="22"/>
  <c r="AR58" i="22"/>
  <c r="AR53" i="22"/>
  <c r="AR49" i="22"/>
  <c r="AR63" i="22"/>
  <c r="AR54" i="22"/>
  <c r="AR50" i="22"/>
  <c r="AR45" i="22"/>
  <c r="AR41" i="22"/>
  <c r="AR37" i="22"/>
  <c r="AR47" i="22"/>
  <c r="AR42" i="22"/>
  <c r="AR38" i="22"/>
  <c r="AR43" i="22"/>
  <c r="AR39" i="22"/>
  <c r="AR51" i="22"/>
  <c r="AR46" i="22"/>
  <c r="AR44" i="22"/>
  <c r="AR40" i="22"/>
  <c r="AR35" i="22"/>
  <c r="AR33" i="22"/>
  <c r="AR29" i="22"/>
  <c r="AR25" i="22"/>
  <c r="AR21" i="22"/>
  <c r="AR34" i="22"/>
  <c r="AR30" i="22"/>
  <c r="AR26" i="22"/>
  <c r="AR22" i="22"/>
  <c r="AR18" i="22"/>
  <c r="AR14" i="22"/>
  <c r="AR36" i="22"/>
  <c r="AR31" i="22"/>
  <c r="AR27" i="22"/>
  <c r="AR23" i="22"/>
  <c r="AR32" i="22"/>
  <c r="AR28" i="22"/>
  <c r="AR24" i="22"/>
  <c r="AR20" i="22"/>
  <c r="AV107" i="22"/>
  <c r="AV103" i="22"/>
  <c r="AV101" i="22"/>
  <c r="AV98" i="22"/>
  <c r="AV87" i="22"/>
  <c r="AV88" i="22"/>
  <c r="AV86" i="22"/>
  <c r="AV80" i="22"/>
  <c r="AV75" i="22"/>
  <c r="AV73" i="22"/>
  <c r="AV68" i="22"/>
  <c r="AV60" i="22"/>
  <c r="AV58" i="22"/>
  <c r="AV52" i="22"/>
  <c r="AV49" i="22"/>
  <c r="AV46" i="22"/>
  <c r="AV42" i="22"/>
  <c r="AV39" i="22"/>
  <c r="AV29" i="22"/>
  <c r="AV35" i="22"/>
  <c r="AV22" i="22"/>
  <c r="AV27" i="22"/>
  <c r="AV24" i="22"/>
  <c r="AZ107" i="22"/>
  <c r="AZ105" i="22"/>
  <c r="AZ99" i="22"/>
  <c r="AZ95" i="22"/>
  <c r="AZ91" i="22"/>
  <c r="AZ84" i="22"/>
  <c r="AZ86" i="22"/>
  <c r="AZ78" i="22"/>
  <c r="AZ71" i="22"/>
  <c r="AZ70" i="22"/>
  <c r="AZ68" i="22"/>
  <c r="AZ69" i="22"/>
  <c r="AZ63" i="22"/>
  <c r="AZ58" i="22"/>
  <c r="AZ59" i="22"/>
  <c r="AZ41" i="22"/>
  <c r="AZ42" i="22"/>
  <c r="AZ47" i="22"/>
  <c r="AZ33" i="22"/>
  <c r="AZ34" i="22"/>
  <c r="AZ18" i="22"/>
  <c r="AZ27" i="22"/>
  <c r="AZ24" i="22"/>
  <c r="BD108" i="22"/>
  <c r="BD109" i="22"/>
  <c r="BD107" i="22"/>
  <c r="BD106" i="22"/>
  <c r="BD104" i="22"/>
  <c r="BD105" i="22"/>
  <c r="BD103" i="22"/>
  <c r="BD97" i="22"/>
  <c r="BD102" i="22"/>
  <c r="BD101" i="22"/>
  <c r="BD99" i="22"/>
  <c r="BD100" i="22"/>
  <c r="BD96" i="22"/>
  <c r="BD98" i="22"/>
  <c r="BD95" i="22"/>
  <c r="BD92" i="22"/>
  <c r="BD90" i="22"/>
  <c r="BD94" i="22"/>
  <c r="BD87" i="22"/>
  <c r="BD91" i="22"/>
  <c r="BD93" i="22"/>
  <c r="BD88" i="22"/>
  <c r="BD83" i="22"/>
  <c r="BD84" i="22"/>
  <c r="BD89" i="22"/>
  <c r="BD85" i="22"/>
  <c r="BD86" i="22"/>
  <c r="BD82" i="22"/>
  <c r="BD77" i="22"/>
  <c r="BD80" i="22"/>
  <c r="BD78" i="22"/>
  <c r="BD74" i="22"/>
  <c r="BD75" i="22"/>
  <c r="BD71" i="22"/>
  <c r="BD81" i="22"/>
  <c r="BD79" i="22"/>
  <c r="BD76" i="22"/>
  <c r="BD72" i="22"/>
  <c r="BD66" i="22"/>
  <c r="BD62" i="22"/>
  <c r="BD69" i="22"/>
  <c r="BD67" i="22"/>
  <c r="BD73" i="22"/>
  <c r="BD70" i="22"/>
  <c r="BD64" i="22"/>
  <c r="BD60" i="22"/>
  <c r="BD68" i="22"/>
  <c r="BD65" i="22"/>
  <c r="BD61" i="22"/>
  <c r="BD63" i="22"/>
  <c r="BD58" i="22"/>
  <c r="BD55" i="22"/>
  <c r="BD56" i="22"/>
  <c r="BD52" i="22"/>
  <c r="BD48" i="22"/>
  <c r="BD59" i="22"/>
  <c r="BD53" i="22"/>
  <c r="BD49" i="22"/>
  <c r="BD57" i="22"/>
  <c r="BD54" i="22"/>
  <c r="BD50" i="22"/>
  <c r="BD51" i="22"/>
  <c r="BD45" i="22"/>
  <c r="BD41" i="22"/>
  <c r="BD37" i="22"/>
  <c r="BD42" i="22"/>
  <c r="BD38" i="22"/>
  <c r="BD47" i="22"/>
  <c r="BD46" i="22"/>
  <c r="BD43" i="22"/>
  <c r="BD39" i="22"/>
  <c r="BD44" i="22"/>
  <c r="BD40" i="22"/>
  <c r="BD33" i="22"/>
  <c r="BD29" i="22"/>
  <c r="BD25" i="22"/>
  <c r="BD21" i="22"/>
  <c r="BD34" i="22"/>
  <c r="BD30" i="22"/>
  <c r="BD26" i="22"/>
  <c r="BD22" i="22"/>
  <c r="BD18" i="22"/>
  <c r="BD14" i="22"/>
  <c r="BD31" i="22"/>
  <c r="BD27" i="22"/>
  <c r="BD23" i="22"/>
  <c r="BD36" i="22"/>
  <c r="BD35" i="22"/>
  <c r="BD32" i="22"/>
  <c r="BD28" i="22"/>
  <c r="BD24" i="22"/>
  <c r="BD20" i="22"/>
  <c r="BH109" i="22"/>
  <c r="BH108" i="22"/>
  <c r="BH107" i="22"/>
  <c r="BH106" i="22"/>
  <c r="BH105" i="22"/>
  <c r="BH104" i="22"/>
  <c r="BH103" i="22"/>
  <c r="BH102" i="22"/>
  <c r="BH97" i="22"/>
  <c r="BH101" i="22"/>
  <c r="BH99" i="22"/>
  <c r="BH100" i="22"/>
  <c r="BH98" i="22"/>
  <c r="BH96" i="22"/>
  <c r="BH95" i="22"/>
  <c r="BH92" i="22"/>
  <c r="BH94" i="22"/>
  <c r="BH90" i="22"/>
  <c r="BH93" i="22"/>
  <c r="BH87" i="22"/>
  <c r="BH91" i="22"/>
  <c r="BH83" i="22"/>
  <c r="BH89" i="22"/>
  <c r="BH84" i="22"/>
  <c r="BH88" i="22"/>
  <c r="BH85" i="22"/>
  <c r="BH86" i="22"/>
  <c r="BH82" i="22"/>
  <c r="BH79" i="22"/>
  <c r="BH77" i="22"/>
  <c r="BH78" i="22"/>
  <c r="BH74" i="22"/>
  <c r="BH81" i="22"/>
  <c r="BH75" i="22"/>
  <c r="BH71" i="22"/>
  <c r="BH80" i="22"/>
  <c r="BH76" i="22"/>
  <c r="BH72" i="22"/>
  <c r="BH70" i="22"/>
  <c r="BH68" i="22"/>
  <c r="BH66" i="22"/>
  <c r="BH62" i="22"/>
  <c r="BH73" i="22"/>
  <c r="BH67" i="22"/>
  <c r="BH64" i="22"/>
  <c r="BH60" i="22"/>
  <c r="BH69" i="22"/>
  <c r="BH65" i="22"/>
  <c r="BH61" i="22"/>
  <c r="BH57" i="22"/>
  <c r="BH55" i="22"/>
  <c r="BH59" i="22"/>
  <c r="BH56" i="22"/>
  <c r="BH52" i="22"/>
  <c r="BH48" i="22"/>
  <c r="BH58" i="22"/>
  <c r="BH53" i="22"/>
  <c r="BH49" i="22"/>
  <c r="BH63" i="22"/>
  <c r="BH54" i="22"/>
  <c r="BH50" i="22"/>
  <c r="BH45" i="22"/>
  <c r="BH41" i="22"/>
  <c r="BH37" i="22"/>
  <c r="BH47" i="22"/>
  <c r="BH42" i="22"/>
  <c r="BH38" i="22"/>
  <c r="BH43" i="22"/>
  <c r="BH39" i="22"/>
  <c r="BH51" i="22"/>
  <c r="BH46" i="22"/>
  <c r="BH44" i="22"/>
  <c r="BH40" i="22"/>
  <c r="BH35" i="22"/>
  <c r="BH33" i="22"/>
  <c r="BH29" i="22"/>
  <c r="BH25" i="22"/>
  <c r="BH21" i="22"/>
  <c r="BH34" i="22"/>
  <c r="BH30" i="22"/>
  <c r="BH26" i="22"/>
  <c r="BH22" i="22"/>
  <c r="BH18" i="22"/>
  <c r="BH14" i="22"/>
  <c r="BH36" i="22"/>
  <c r="BH31" i="22"/>
  <c r="BH27" i="22"/>
  <c r="BH23" i="22"/>
  <c r="BH32" i="22"/>
  <c r="BH28" i="22"/>
  <c r="BH24" i="22"/>
  <c r="BH20" i="22"/>
  <c r="BL109" i="22"/>
  <c r="BL108" i="22"/>
  <c r="BL107" i="22"/>
  <c r="BL106" i="22"/>
  <c r="BL105" i="22"/>
  <c r="BL104" i="22"/>
  <c r="BL103" i="22"/>
  <c r="BL97" i="22"/>
  <c r="BL99" i="22"/>
  <c r="BL102" i="22"/>
  <c r="BL101" i="22"/>
  <c r="BL100" i="22"/>
  <c r="BL96" i="22"/>
  <c r="BL95" i="22"/>
  <c r="BL98" i="22"/>
  <c r="BL92" i="22"/>
  <c r="BL91" i="22"/>
  <c r="BL90" i="22"/>
  <c r="BL87" i="22"/>
  <c r="BL94" i="22"/>
  <c r="BL93" i="22"/>
  <c r="BL89" i="22"/>
  <c r="BL88" i="22"/>
  <c r="BL83" i="22"/>
  <c r="BL84" i="22"/>
  <c r="BL85" i="22"/>
  <c r="BL86" i="22"/>
  <c r="BL82" i="22"/>
  <c r="BL77" i="22"/>
  <c r="BL81" i="22"/>
  <c r="BL80" i="22"/>
  <c r="BL79" i="22"/>
  <c r="BL78" i="22"/>
  <c r="BL74" i="22"/>
  <c r="BL75" i="22"/>
  <c r="BL71" i="22"/>
  <c r="BL76" i="22"/>
  <c r="BL72" i="22"/>
  <c r="BL73" i="22"/>
  <c r="BL66" i="22"/>
  <c r="BL62" i="22"/>
  <c r="BL69" i="22"/>
  <c r="BL68" i="22"/>
  <c r="BL67" i="22"/>
  <c r="BL70" i="22"/>
  <c r="BL64" i="22"/>
  <c r="BL60" i="22"/>
  <c r="BL65" i="22"/>
  <c r="BL61" i="22"/>
  <c r="BL59" i="22"/>
  <c r="BL58" i="22"/>
  <c r="BL55" i="22"/>
  <c r="BL57" i="22"/>
  <c r="BL56" i="22"/>
  <c r="BL52" i="22"/>
  <c r="BL48" i="22"/>
  <c r="BL63" i="22"/>
  <c r="BL53" i="22"/>
  <c r="BL49" i="22"/>
  <c r="BL54" i="22"/>
  <c r="BL50" i="22"/>
  <c r="BL47" i="22"/>
  <c r="BL46" i="22"/>
  <c r="BL45" i="22"/>
  <c r="BL41" i="22"/>
  <c r="BL37" i="22"/>
  <c r="BL42" i="22"/>
  <c r="BL38" i="22"/>
  <c r="BL51" i="22"/>
  <c r="BL43" i="22"/>
  <c r="BL39" i="22"/>
  <c r="BL44" i="22"/>
  <c r="BL40" i="22"/>
  <c r="BL33" i="22"/>
  <c r="BL29" i="22"/>
  <c r="BL25" i="22"/>
  <c r="BL21" i="22"/>
  <c r="BL36" i="22"/>
  <c r="BL35" i="22"/>
  <c r="BL34" i="22"/>
  <c r="BL30" i="22"/>
  <c r="BL26" i="22"/>
  <c r="BL22" i="22"/>
  <c r="BL18" i="22"/>
  <c r="BL14" i="22"/>
  <c r="BL31" i="22"/>
  <c r="BL27" i="22"/>
  <c r="BL23" i="22"/>
  <c r="BL32" i="22"/>
  <c r="BL28" i="22"/>
  <c r="BL24" i="22"/>
  <c r="BL20" i="22"/>
  <c r="BP109" i="22"/>
  <c r="BP108" i="22"/>
  <c r="BP107" i="22"/>
  <c r="BP106" i="22"/>
  <c r="BP104" i="22"/>
  <c r="BP103" i="22"/>
  <c r="BP105" i="22"/>
  <c r="BP101" i="22"/>
  <c r="BP97" i="22"/>
  <c r="BP102" i="22"/>
  <c r="BP99" i="22"/>
  <c r="BP100" i="22"/>
  <c r="BP98" i="22"/>
  <c r="BP96" i="22"/>
  <c r="BP95" i="22"/>
  <c r="BP92" i="22"/>
  <c r="BP90" i="22"/>
  <c r="BP93" i="22"/>
  <c r="BP91" i="22"/>
  <c r="BP87" i="22"/>
  <c r="BP94" i="22"/>
  <c r="BP83" i="22"/>
  <c r="BP84" i="22"/>
  <c r="BP88" i="22"/>
  <c r="BP85" i="22"/>
  <c r="BP89" i="22"/>
  <c r="BP86" i="22"/>
  <c r="BP82" i="22"/>
  <c r="BP81" i="22"/>
  <c r="BP77" i="22"/>
  <c r="BP78" i="22"/>
  <c r="BP74" i="22"/>
  <c r="BP79" i="22"/>
  <c r="BP75" i="22"/>
  <c r="BP71" i="22"/>
  <c r="BP80" i="22"/>
  <c r="BP76" i="22"/>
  <c r="BP72" i="22"/>
  <c r="BP70" i="22"/>
  <c r="BP66" i="22"/>
  <c r="BP62" i="22"/>
  <c r="BP67" i="22"/>
  <c r="BP68" i="22"/>
  <c r="BP64" i="22"/>
  <c r="BP60" i="22"/>
  <c r="BP73" i="22"/>
  <c r="BP69" i="22"/>
  <c r="BP65" i="22"/>
  <c r="BP61" i="22"/>
  <c r="BP55" i="22"/>
  <c r="BP63" i="22"/>
  <c r="BP56" i="22"/>
  <c r="BP52" i="22"/>
  <c r="BP48" i="22"/>
  <c r="BP58" i="22"/>
  <c r="BP57" i="22"/>
  <c r="BP53" i="22"/>
  <c r="BP49" i="22"/>
  <c r="BP59" i="22"/>
  <c r="BP54" i="22"/>
  <c r="BP50" i="22"/>
  <c r="BP45" i="22"/>
  <c r="BP41" i="22"/>
  <c r="BP37" i="22"/>
  <c r="BP51" i="22"/>
  <c r="BP46" i="22"/>
  <c r="BP42" i="22"/>
  <c r="BP38" i="22"/>
  <c r="BP43" i="22"/>
  <c r="BP39" i="22"/>
  <c r="BP47" i="22"/>
  <c r="BP44" i="22"/>
  <c r="BP40" i="22"/>
  <c r="BP36" i="22"/>
  <c r="BP33" i="22"/>
  <c r="BP29" i="22"/>
  <c r="BP25" i="22"/>
  <c r="BP21" i="22"/>
  <c r="BP34" i="22"/>
  <c r="BP30" i="22"/>
  <c r="BP26" i="22"/>
  <c r="BP22" i="22"/>
  <c r="BP18" i="22"/>
  <c r="BP14" i="22"/>
  <c r="BP31" i="22"/>
  <c r="BP27" i="22"/>
  <c r="BP23" i="22"/>
  <c r="BP35" i="22"/>
  <c r="BP32" i="22"/>
  <c r="BP28" i="22"/>
  <c r="BP24" i="22"/>
  <c r="BP20" i="22"/>
  <c r="BT108" i="22"/>
  <c r="BT109" i="22"/>
  <c r="BT107" i="22"/>
  <c r="BT106" i="22"/>
  <c r="BT104" i="22"/>
  <c r="BT105" i="22"/>
  <c r="BT103" i="22"/>
  <c r="BT97" i="22"/>
  <c r="BT102" i="22"/>
  <c r="BT101" i="22"/>
  <c r="BT99" i="22"/>
  <c r="BT100" i="22"/>
  <c r="BT96" i="22"/>
  <c r="BT98" i="22"/>
  <c r="BT95" i="22"/>
  <c r="BT92" i="22"/>
  <c r="BT90" i="22"/>
  <c r="BT94" i="22"/>
  <c r="BT87" i="22"/>
  <c r="BT91" i="22"/>
  <c r="BT93" i="22"/>
  <c r="BT88" i="22"/>
  <c r="BT83" i="22"/>
  <c r="BT84" i="22"/>
  <c r="BT89" i="22"/>
  <c r="BT85" i="22"/>
  <c r="BT86" i="22"/>
  <c r="BT82" i="22"/>
  <c r="BT77" i="22"/>
  <c r="BT80" i="22"/>
  <c r="BT78" i="22"/>
  <c r="BT74" i="22"/>
  <c r="BT75" i="22"/>
  <c r="BT71" i="22"/>
  <c r="BT81" i="22"/>
  <c r="BT79" i="22"/>
  <c r="BT76" i="22"/>
  <c r="BT72" i="22"/>
  <c r="BT66" i="22"/>
  <c r="BT62" i="22"/>
  <c r="BT69" i="22"/>
  <c r="BT67" i="22"/>
  <c r="BT73" i="22"/>
  <c r="BT70" i="22"/>
  <c r="BT64" i="22"/>
  <c r="BT60" i="22"/>
  <c r="BT68" i="22"/>
  <c r="BT65" i="22"/>
  <c r="BT61" i="22"/>
  <c r="BT63" i="22"/>
  <c r="BT58" i="22"/>
  <c r="BT55" i="22"/>
  <c r="BT56" i="22"/>
  <c r="BT52" i="22"/>
  <c r="BT48" i="22"/>
  <c r="BT59" i="22"/>
  <c r="BT53" i="22"/>
  <c r="BT49" i="22"/>
  <c r="BT57" i="22"/>
  <c r="BT54" i="22"/>
  <c r="BT50" i="22"/>
  <c r="BT51" i="22"/>
  <c r="BT45" i="22"/>
  <c r="BT41" i="22"/>
  <c r="BT37" i="22"/>
  <c r="BT42" i="22"/>
  <c r="BT38" i="22"/>
  <c r="BT47" i="22"/>
  <c r="BT46" i="22"/>
  <c r="BT43" i="22"/>
  <c r="BT39" i="22"/>
  <c r="BT44" i="22"/>
  <c r="BT40" i="22"/>
  <c r="BT33" i="22"/>
  <c r="BT29" i="22"/>
  <c r="BT25" i="22"/>
  <c r="BT21" i="22"/>
  <c r="BT35" i="22"/>
  <c r="BT34" i="22"/>
  <c r="BT30" i="22"/>
  <c r="BT26" i="22"/>
  <c r="BT22" i="22"/>
  <c r="BT18" i="22"/>
  <c r="BT14" i="22"/>
  <c r="BT31" i="22"/>
  <c r="BT27" i="22"/>
  <c r="BT23" i="22"/>
  <c r="BT36" i="22"/>
  <c r="BT32" i="22"/>
  <c r="BT28" i="22"/>
  <c r="BT24" i="22"/>
  <c r="BT20" i="22"/>
  <c r="BX107" i="22"/>
  <c r="BX103" i="22"/>
  <c r="BX99" i="22"/>
  <c r="BX95" i="22"/>
  <c r="BX93" i="22"/>
  <c r="BX89" i="22"/>
  <c r="BX86" i="22"/>
  <c r="BX78" i="22"/>
  <c r="BX71" i="22"/>
  <c r="BX70" i="22"/>
  <c r="BX73" i="22"/>
  <c r="BX69" i="22"/>
  <c r="BX55" i="22"/>
  <c r="BX48" i="22"/>
  <c r="BX63" i="22"/>
  <c r="BX41" i="22"/>
  <c r="BX38" i="22"/>
  <c r="BX46" i="22"/>
  <c r="BX29" i="22"/>
  <c r="BX30" i="22"/>
  <c r="BX14" i="22"/>
  <c r="BX23" i="22"/>
  <c r="BX24" i="22"/>
  <c r="CB109" i="22"/>
  <c r="CB108" i="22"/>
  <c r="CB107" i="22"/>
  <c r="CB106" i="22"/>
  <c r="CB105" i="22"/>
  <c r="CB104" i="22"/>
  <c r="CB103" i="22"/>
  <c r="CB97" i="22"/>
  <c r="CB99" i="22"/>
  <c r="CB102" i="22"/>
  <c r="CB101" i="22"/>
  <c r="CB100" i="22"/>
  <c r="CB96" i="22"/>
  <c r="CB95" i="22"/>
  <c r="CB98" i="22"/>
  <c r="CB92" i="22"/>
  <c r="CB91" i="22"/>
  <c r="CB90" i="22"/>
  <c r="CB87" i="22"/>
  <c r="CB94" i="22"/>
  <c r="CB93" i="22"/>
  <c r="CB89" i="22"/>
  <c r="CB88" i="22"/>
  <c r="CB83" i="22"/>
  <c r="CB84" i="22"/>
  <c r="CB85" i="22"/>
  <c r="CB86" i="22"/>
  <c r="CB82" i="22"/>
  <c r="CB77" i="22"/>
  <c r="CB81" i="22"/>
  <c r="CB80" i="22"/>
  <c r="CB79" i="22"/>
  <c r="CB78" i="22"/>
  <c r="CB74" i="22"/>
  <c r="CB75" i="22"/>
  <c r="CB71" i="22"/>
  <c r="CB76" i="22"/>
  <c r="CB72" i="22"/>
  <c r="CB73" i="22"/>
  <c r="CB66" i="22"/>
  <c r="CB62" i="22"/>
  <c r="CB69" i="22"/>
  <c r="CB68" i="22"/>
  <c r="CB67" i="22"/>
  <c r="CB70" i="22"/>
  <c r="CB64" i="22"/>
  <c r="CB60" i="22"/>
  <c r="CB65" i="22"/>
  <c r="CB61" i="22"/>
  <c r="CB59" i="22"/>
  <c r="CB58" i="22"/>
  <c r="CB55" i="22"/>
  <c r="CB57" i="22"/>
  <c r="CB56" i="22"/>
  <c r="CB52" i="22"/>
  <c r="CB48" i="22"/>
  <c r="CB63" i="22"/>
  <c r="CB53" i="22"/>
  <c r="CB49" i="22"/>
  <c r="CB54" i="22"/>
  <c r="CB50" i="22"/>
  <c r="CB47" i="22"/>
  <c r="CB46" i="22"/>
  <c r="CB45" i="22"/>
  <c r="CB41" i="22"/>
  <c r="CB37" i="22"/>
  <c r="CB42" i="22"/>
  <c r="CB38" i="22"/>
  <c r="CB51" i="22"/>
  <c r="CB43" i="22"/>
  <c r="CB39" i="22"/>
  <c r="CB44" i="22"/>
  <c r="CB40" i="22"/>
  <c r="CB33" i="22"/>
  <c r="CB29" i="22"/>
  <c r="CB25" i="22"/>
  <c r="CB21" i="22"/>
  <c r="CB36" i="22"/>
  <c r="CB35" i="22"/>
  <c r="CB34" i="22"/>
  <c r="CB30" i="22"/>
  <c r="CB26" i="22"/>
  <c r="CB22" i="22"/>
  <c r="CB18" i="22"/>
  <c r="CB14" i="22"/>
  <c r="CB31" i="22"/>
  <c r="CB27" i="22"/>
  <c r="CB23" i="22"/>
  <c r="CB32" i="22"/>
  <c r="CB28" i="22"/>
  <c r="CB24" i="22"/>
  <c r="CB20" i="22"/>
  <c r="CF109" i="22"/>
  <c r="CF108" i="22"/>
  <c r="CF107" i="22"/>
  <c r="CF106" i="22"/>
  <c r="CF104" i="22"/>
  <c r="CF103" i="22"/>
  <c r="CF105" i="22"/>
  <c r="CF97" i="22"/>
  <c r="CF101" i="22"/>
  <c r="CF102" i="22"/>
  <c r="CF99" i="22"/>
  <c r="CF100" i="22"/>
  <c r="CF98" i="22"/>
  <c r="CF96" i="22"/>
  <c r="CF95" i="22"/>
  <c r="CF92" i="22"/>
  <c r="CF90" i="22"/>
  <c r="CF93" i="22"/>
  <c r="CF91" i="22"/>
  <c r="CF87" i="22"/>
  <c r="CF94" i="22"/>
  <c r="CF83" i="22"/>
  <c r="CF84" i="22"/>
  <c r="CF88" i="22"/>
  <c r="CF85" i="22"/>
  <c r="CF89" i="22"/>
  <c r="CF86" i="22"/>
  <c r="CF82" i="22"/>
  <c r="CF81" i="22"/>
  <c r="CF77" i="22"/>
  <c r="CF78" i="22"/>
  <c r="CF74" i="22"/>
  <c r="CF79" i="22"/>
  <c r="CF75" i="22"/>
  <c r="CF71" i="22"/>
  <c r="CF80" i="22"/>
  <c r="CF76" i="22"/>
  <c r="CF72" i="22"/>
  <c r="CF70" i="22"/>
  <c r="CF66" i="22"/>
  <c r="CF62" i="22"/>
  <c r="CF67" i="22"/>
  <c r="CF68" i="22"/>
  <c r="CF64" i="22"/>
  <c r="CF60" i="22"/>
  <c r="CF73" i="22"/>
  <c r="CF69" i="22"/>
  <c r="CF65" i="22"/>
  <c r="CF61" i="22"/>
  <c r="CF55" i="22"/>
  <c r="CF63" i="22"/>
  <c r="CF56" i="22"/>
  <c r="CF52" i="22"/>
  <c r="CF48" i="22"/>
  <c r="CF58" i="22"/>
  <c r="CF57" i="22"/>
  <c r="CF53" i="22"/>
  <c r="CF49" i="22"/>
  <c r="CF59" i="22"/>
  <c r="CF54" i="22"/>
  <c r="CF50" i="22"/>
  <c r="CF45" i="22"/>
  <c r="CF41" i="22"/>
  <c r="CF37" i="22"/>
  <c r="CF51" i="22"/>
  <c r="CF46" i="22"/>
  <c r="CF42" i="22"/>
  <c r="CF38" i="22"/>
  <c r="CF43" i="22"/>
  <c r="CF39" i="22"/>
  <c r="CF47" i="22"/>
  <c r="CF44" i="22"/>
  <c r="CF40" i="22"/>
  <c r="CF36" i="22"/>
  <c r="CF33" i="22"/>
  <c r="CF29" i="22"/>
  <c r="CF25" i="22"/>
  <c r="CF21" i="22"/>
  <c r="CF34" i="22"/>
  <c r="CF30" i="22"/>
  <c r="CF26" i="22"/>
  <c r="CF22" i="22"/>
  <c r="CF18" i="22"/>
  <c r="CF14" i="22"/>
  <c r="CF31" i="22"/>
  <c r="CF27" i="22"/>
  <c r="CF23" i="22"/>
  <c r="CF35" i="22"/>
  <c r="CF32" i="22"/>
  <c r="CF28" i="22"/>
  <c r="CF24" i="22"/>
  <c r="CF20" i="22"/>
  <c r="CJ40" i="22"/>
  <c r="CN106" i="22"/>
  <c r="CN102" i="22"/>
  <c r="CN100" i="22"/>
  <c r="CN92" i="22"/>
  <c r="CN90" i="22"/>
  <c r="CN89" i="22"/>
  <c r="CN82" i="22"/>
  <c r="CN74" i="22"/>
  <c r="CN80" i="22"/>
  <c r="CN68" i="22"/>
  <c r="CN67" i="22"/>
  <c r="CN65" i="22"/>
  <c r="CN59" i="22"/>
  <c r="CN58" i="22"/>
  <c r="CN54" i="22"/>
  <c r="CN37" i="22"/>
  <c r="CN43" i="22"/>
  <c r="CN44" i="22"/>
  <c r="CN25" i="22"/>
  <c r="CN26" i="22"/>
  <c r="CN36" i="22"/>
  <c r="CN35" i="22"/>
  <c r="CN20" i="22"/>
  <c r="CR109" i="22"/>
  <c r="CR108" i="22"/>
  <c r="CR107" i="22"/>
  <c r="CR106" i="22"/>
  <c r="CR105" i="22"/>
  <c r="CR104" i="22"/>
  <c r="CR103" i="22"/>
  <c r="CR97" i="22"/>
  <c r="CR99" i="22"/>
  <c r="CR102" i="22"/>
  <c r="CR101" i="22"/>
  <c r="CR100" i="22"/>
  <c r="CR96" i="22"/>
  <c r="CR95" i="22"/>
  <c r="CR98" i="22"/>
  <c r="CR92" i="22"/>
  <c r="CR91" i="22"/>
  <c r="CR87" i="22"/>
  <c r="CR94" i="22"/>
  <c r="CR93" i="22"/>
  <c r="CR90" i="22"/>
  <c r="CR89" i="22"/>
  <c r="CR88" i="22"/>
  <c r="CR83" i="22"/>
  <c r="CR86" i="22"/>
  <c r="CR84" i="22"/>
  <c r="CR85" i="22"/>
  <c r="CR82" i="22"/>
  <c r="CR77" i="22"/>
  <c r="CR81" i="22"/>
  <c r="CR80" i="22"/>
  <c r="CR79" i="22"/>
  <c r="CR78" i="22"/>
  <c r="CR74" i="22"/>
  <c r="CR75" i="22"/>
  <c r="CR71" i="22"/>
  <c r="CR76" i="22"/>
  <c r="CR72" i="22"/>
  <c r="CR73" i="22"/>
  <c r="CR66" i="22"/>
  <c r="CR62" i="22"/>
  <c r="CR69" i="22"/>
  <c r="CR68" i="22"/>
  <c r="CR67" i="22"/>
  <c r="CR70" i="22"/>
  <c r="CR64" i="22"/>
  <c r="CR60" i="22"/>
  <c r="CR65" i="22"/>
  <c r="CR61" i="22"/>
  <c r="CR59" i="22"/>
  <c r="CR58" i="22"/>
  <c r="CR55" i="22"/>
  <c r="CR57" i="22"/>
  <c r="CR56" i="22"/>
  <c r="CR52" i="22"/>
  <c r="CR48" i="22"/>
  <c r="CR63" i="22"/>
  <c r="CR53" i="22"/>
  <c r="CR49" i="22"/>
  <c r="CR54" i="22"/>
  <c r="CR50" i="22"/>
  <c r="CR47" i="22"/>
  <c r="CR46" i="22"/>
  <c r="CR45" i="22"/>
  <c r="CR41" i="22"/>
  <c r="CR37" i="22"/>
  <c r="CR42" i="22"/>
  <c r="CR38" i="22"/>
  <c r="CR51" i="22"/>
  <c r="CR43" i="22"/>
  <c r="CR39" i="22"/>
  <c r="CR44" i="22"/>
  <c r="CR40" i="22"/>
  <c r="CR33" i="22"/>
  <c r="CR29" i="22"/>
  <c r="CR25" i="22"/>
  <c r="CR21" i="22"/>
  <c r="CR36" i="22"/>
  <c r="CR35" i="22"/>
  <c r="CR34" i="22"/>
  <c r="CR30" i="22"/>
  <c r="CR26" i="22"/>
  <c r="CR22" i="22"/>
  <c r="CR18" i="22"/>
  <c r="CR14" i="22"/>
  <c r="CR31" i="22"/>
  <c r="CR27" i="22"/>
  <c r="CR23" i="22"/>
  <c r="CR32" i="22"/>
  <c r="CR28" i="22"/>
  <c r="CR24" i="22"/>
  <c r="CR20" i="22"/>
  <c r="CV109" i="22"/>
  <c r="CV108" i="22"/>
  <c r="CV107" i="22"/>
  <c r="CV106" i="22"/>
  <c r="CV104" i="22"/>
  <c r="CV103" i="22"/>
  <c r="CV105" i="22"/>
  <c r="CV97" i="22"/>
  <c r="CV101" i="22"/>
  <c r="CV102" i="22"/>
  <c r="CV99" i="22"/>
  <c r="CV100" i="22"/>
  <c r="CV95" i="22"/>
  <c r="CV98" i="22"/>
  <c r="CV96" i="22"/>
  <c r="CV92" i="22"/>
  <c r="CV90" i="22"/>
  <c r="CV93" i="22"/>
  <c r="CV91" i="22"/>
  <c r="CV87" i="22"/>
  <c r="CV94" i="22"/>
  <c r="CV83" i="22"/>
  <c r="CV84" i="22"/>
  <c r="CV88" i="22"/>
  <c r="CV86" i="22"/>
  <c r="CV85" i="22"/>
  <c r="CV89" i="22"/>
  <c r="CV82" i="22"/>
  <c r="CV81" i="22"/>
  <c r="CV77" i="22"/>
  <c r="CV78" i="22"/>
  <c r="CV74" i="22"/>
  <c r="CV79" i="22"/>
  <c r="CV75" i="22"/>
  <c r="CV71" i="22"/>
  <c r="CV80" i="22"/>
  <c r="CV76" i="22"/>
  <c r="CV72" i="22"/>
  <c r="CV70" i="22"/>
  <c r="CV66" i="22"/>
  <c r="CV62" i="22"/>
  <c r="CV67" i="22"/>
  <c r="CV68" i="22"/>
  <c r="CV64" i="22"/>
  <c r="CV60" i="22"/>
  <c r="CV73" i="22"/>
  <c r="CV69" i="22"/>
  <c r="CV65" i="22"/>
  <c r="CV61" i="22"/>
  <c r="CV55" i="22"/>
  <c r="CV63" i="22"/>
  <c r="CV56" i="22"/>
  <c r="CV52" i="22"/>
  <c r="CV48" i="22"/>
  <c r="CV58" i="22"/>
  <c r="CV57" i="22"/>
  <c r="CV53" i="22"/>
  <c r="CV49" i="22"/>
  <c r="CV59" i="22"/>
  <c r="CV54" i="22"/>
  <c r="CV50" i="22"/>
  <c r="CV45" i="22"/>
  <c r="CV41" i="22"/>
  <c r="CV37" i="22"/>
  <c r="CV51" i="22"/>
  <c r="CV46" i="22"/>
  <c r="CV42" i="22"/>
  <c r="CV38" i="22"/>
  <c r="CV43" i="22"/>
  <c r="CV39" i="22"/>
  <c r="CV47" i="22"/>
  <c r="CV44" i="22"/>
  <c r="CV40" i="22"/>
  <c r="CV36" i="22"/>
  <c r="CV33" i="22"/>
  <c r="CV29" i="22"/>
  <c r="CV25" i="22"/>
  <c r="CV21" i="22"/>
  <c r="CV34" i="22"/>
  <c r="CV30" i="22"/>
  <c r="CV26" i="22"/>
  <c r="CV22" i="22"/>
  <c r="CV18" i="22"/>
  <c r="CV14" i="22"/>
  <c r="CV31" i="22"/>
  <c r="CV27" i="22"/>
  <c r="CV23" i="22"/>
  <c r="CV35" i="22"/>
  <c r="CV32" i="22"/>
  <c r="CV28" i="22"/>
  <c r="CV24" i="22"/>
  <c r="CV20" i="22"/>
  <c r="CZ108" i="22"/>
  <c r="CZ109" i="22"/>
  <c r="CZ107" i="22"/>
  <c r="CZ106" i="22"/>
  <c r="CZ104" i="22"/>
  <c r="CZ105" i="22"/>
  <c r="CZ103" i="22"/>
  <c r="CZ97" i="22"/>
  <c r="CZ102" i="22"/>
  <c r="CZ99" i="22"/>
  <c r="CZ101" i="22"/>
  <c r="CZ100" i="22"/>
  <c r="CZ96" i="22"/>
  <c r="CZ98" i="22"/>
  <c r="CZ95" i="22"/>
  <c r="CZ92" i="22"/>
  <c r="CZ94" i="22"/>
  <c r="CZ90" i="22"/>
  <c r="CZ87" i="22"/>
  <c r="CZ91" i="22"/>
  <c r="CZ93" i="22"/>
  <c r="CZ88" i="22"/>
  <c r="CZ83" i="22"/>
  <c r="CZ84" i="22"/>
  <c r="CZ89" i="22"/>
  <c r="CZ85" i="22"/>
  <c r="CZ86" i="22"/>
  <c r="CZ82" i="22"/>
  <c r="CZ77" i="22"/>
  <c r="CZ80" i="22"/>
  <c r="CZ78" i="22"/>
  <c r="CZ74" i="22"/>
  <c r="CZ75" i="22"/>
  <c r="CZ71" i="22"/>
  <c r="CZ81" i="22"/>
  <c r="CZ79" i="22"/>
  <c r="CZ76" i="22"/>
  <c r="CZ72" i="22"/>
  <c r="CZ66" i="22"/>
  <c r="CZ62" i="22"/>
  <c r="CZ69" i="22"/>
  <c r="CZ67" i="22"/>
  <c r="CZ73" i="22"/>
  <c r="CZ70" i="22"/>
  <c r="CZ64" i="22"/>
  <c r="CZ60" i="22"/>
  <c r="CZ68" i="22"/>
  <c r="CZ65" i="22"/>
  <c r="CZ61" i="22"/>
  <c r="CZ63" i="22"/>
  <c r="CZ58" i="22"/>
  <c r="CZ55" i="22"/>
  <c r="CZ56" i="22"/>
  <c r="CZ52" i="22"/>
  <c r="CZ48" i="22"/>
  <c r="CZ59" i="22"/>
  <c r="CZ53" i="22"/>
  <c r="CZ49" i="22"/>
  <c r="CZ57" i="22"/>
  <c r="CZ54" i="22"/>
  <c r="CZ50" i="22"/>
  <c r="CZ51" i="22"/>
  <c r="CZ45" i="22"/>
  <c r="CZ41" i="22"/>
  <c r="CZ37" i="22"/>
  <c r="CZ42" i="22"/>
  <c r="CZ38" i="22"/>
  <c r="CZ47" i="22"/>
  <c r="CZ46" i="22"/>
  <c r="CZ43" i="22"/>
  <c r="CZ39" i="22"/>
  <c r="CZ44" i="22"/>
  <c r="CZ40" i="22"/>
  <c r="CZ33" i="22"/>
  <c r="CZ29" i="22"/>
  <c r="CZ25" i="22"/>
  <c r="CZ21" i="22"/>
  <c r="CZ35" i="22"/>
  <c r="CZ34" i="22"/>
  <c r="CZ30" i="22"/>
  <c r="CZ26" i="22"/>
  <c r="CZ22" i="22"/>
  <c r="CZ18" i="22"/>
  <c r="CZ14" i="22"/>
  <c r="CZ31" i="22"/>
  <c r="CZ27" i="22"/>
  <c r="CZ23" i="22"/>
  <c r="CZ36" i="22"/>
  <c r="CZ32" i="22"/>
  <c r="CZ28" i="22"/>
  <c r="CZ24" i="22"/>
  <c r="CZ20" i="22"/>
  <c r="DD109" i="22"/>
  <c r="DD107" i="22"/>
  <c r="DD108" i="22"/>
  <c r="DD106" i="22"/>
  <c r="DD105" i="22"/>
  <c r="DD104" i="22"/>
  <c r="DD103" i="22"/>
  <c r="DD102" i="22"/>
  <c r="DD97" i="22"/>
  <c r="DD101" i="22"/>
  <c r="DD99" i="22"/>
  <c r="DD100" i="22"/>
  <c r="DD98" i="22"/>
  <c r="DD96" i="22"/>
  <c r="DD95" i="22"/>
  <c r="DD92" i="22"/>
  <c r="DD94" i="22"/>
  <c r="DD93" i="22"/>
  <c r="DD87" i="22"/>
  <c r="DD90" i="22"/>
  <c r="DD91" i="22"/>
  <c r="DD86" i="22"/>
  <c r="DD83" i="22"/>
  <c r="DD89" i="22"/>
  <c r="DD84" i="22"/>
  <c r="DD88" i="22"/>
  <c r="DD85" i="22"/>
  <c r="DD82" i="22"/>
  <c r="DD79" i="22"/>
  <c r="DD77" i="22"/>
  <c r="DD78" i="22"/>
  <c r="DD74" i="22"/>
  <c r="DD81" i="22"/>
  <c r="DD75" i="22"/>
  <c r="DD71" i="22"/>
  <c r="DD80" i="22"/>
  <c r="DD76" i="22"/>
  <c r="DD72" i="22"/>
  <c r="DD70" i="22"/>
  <c r="DD68" i="22"/>
  <c r="DD66" i="22"/>
  <c r="DD62" i="22"/>
  <c r="DD73" i="22"/>
  <c r="DD67" i="22"/>
  <c r="DD64" i="22"/>
  <c r="DD60" i="22"/>
  <c r="DD69" i="22"/>
  <c r="DD65" i="22"/>
  <c r="DD61" i="22"/>
  <c r="DD57" i="22"/>
  <c r="DD55" i="22"/>
  <c r="DD59" i="22"/>
  <c r="DD56" i="22"/>
  <c r="DD52" i="22"/>
  <c r="DD48" i="22"/>
  <c r="DD58" i="22"/>
  <c r="DD53" i="22"/>
  <c r="DD49" i="22"/>
  <c r="DD63" i="22"/>
  <c r="DD54" i="22"/>
  <c r="DD50" i="22"/>
  <c r="DD45" i="22"/>
  <c r="DD41" i="22"/>
  <c r="DD37" i="22"/>
  <c r="DD47" i="22"/>
  <c r="DD42" i="22"/>
  <c r="DD38" i="22"/>
  <c r="DD43" i="22"/>
  <c r="DD39" i="22"/>
  <c r="DD51" i="22"/>
  <c r="DD46" i="22"/>
  <c r="DD44" i="22"/>
  <c r="DD40" i="22"/>
  <c r="DD33" i="22"/>
  <c r="DD29" i="22"/>
  <c r="DD25" i="22"/>
  <c r="DD21" i="22"/>
  <c r="DD34" i="22"/>
  <c r="DD30" i="22"/>
  <c r="DD26" i="22"/>
  <c r="DD22" i="22"/>
  <c r="DD18" i="22"/>
  <c r="DD14" i="22"/>
  <c r="DD36" i="22"/>
  <c r="DD31" i="22"/>
  <c r="DD27" i="22"/>
  <c r="DD23" i="22"/>
  <c r="DD35" i="22"/>
  <c r="DD32" i="22"/>
  <c r="DD28" i="22"/>
  <c r="DD24" i="22"/>
  <c r="DD20" i="22"/>
  <c r="G5" i="22"/>
  <c r="K5" i="22"/>
  <c r="O5" i="22"/>
  <c r="S5" i="22"/>
  <c r="W5" i="22"/>
  <c r="AE5" i="22"/>
  <c r="AI5" i="22"/>
  <c r="AM5" i="22"/>
  <c r="AQ5" i="22"/>
  <c r="AY5" i="22"/>
  <c r="BC5" i="22"/>
  <c r="BG5" i="22"/>
  <c r="BK5" i="22"/>
  <c r="BS5" i="22"/>
  <c r="BW5" i="22"/>
  <c r="CA5" i="22"/>
  <c r="CE5" i="22"/>
  <c r="CI5" i="22"/>
  <c r="CU5" i="22"/>
  <c r="CY5" i="22"/>
  <c r="DC5" i="22"/>
  <c r="H6" i="22"/>
  <c r="L6" i="22"/>
  <c r="P6" i="22"/>
  <c r="T6" i="22"/>
  <c r="AB6" i="22"/>
  <c r="AF6" i="22"/>
  <c r="AJ6" i="22"/>
  <c r="AN6" i="22"/>
  <c r="AR6" i="22"/>
  <c r="AV6" i="22"/>
  <c r="BD6" i="22"/>
  <c r="BH6" i="22"/>
  <c r="BL6" i="22"/>
  <c r="BP6" i="22"/>
  <c r="BT6" i="22"/>
  <c r="CB6" i="22"/>
  <c r="CF6" i="22"/>
  <c r="CR6" i="22"/>
  <c r="CV6" i="22"/>
  <c r="CZ6" i="22"/>
  <c r="DD6" i="22"/>
  <c r="E108" i="22"/>
  <c r="E106" i="22"/>
  <c r="E98" i="22"/>
  <c r="E97" i="22"/>
  <c r="E93" i="22"/>
  <c r="E89" i="22"/>
  <c r="E85" i="22"/>
  <c r="E79" i="22"/>
  <c r="E75" i="22"/>
  <c r="E77" i="22"/>
  <c r="E63" i="22"/>
  <c r="E65" i="22"/>
  <c r="E66" i="22"/>
  <c r="E53" i="22"/>
  <c r="E50" i="22"/>
  <c r="E51" i="22"/>
  <c r="E43" i="22"/>
  <c r="E40" i="22"/>
  <c r="E41" i="22"/>
  <c r="E26" i="22"/>
  <c r="E27" i="22"/>
  <c r="E32" i="22"/>
  <c r="E33" i="22"/>
  <c r="E17" i="22"/>
  <c r="I104" i="22"/>
  <c r="I103" i="22"/>
  <c r="I100" i="22"/>
  <c r="I95" i="22"/>
  <c r="I91" i="22"/>
  <c r="I84" i="22"/>
  <c r="I86" i="22"/>
  <c r="I78" i="22"/>
  <c r="I76" i="22"/>
  <c r="I69" i="22"/>
  <c r="I70" i="22"/>
  <c r="I61" i="22"/>
  <c r="I56" i="22"/>
  <c r="I60" i="22"/>
  <c r="I58" i="22"/>
  <c r="I42" i="22"/>
  <c r="I35" i="22"/>
  <c r="I36" i="22"/>
  <c r="I34" i="22"/>
  <c r="I18" i="22"/>
  <c r="I19" i="22"/>
  <c r="I28" i="22"/>
  <c r="I29" i="22"/>
  <c r="M109" i="22"/>
  <c r="M108" i="22"/>
  <c r="M107" i="22"/>
  <c r="M104" i="22"/>
  <c r="M105" i="22"/>
  <c r="M106" i="22"/>
  <c r="M102" i="22"/>
  <c r="M103" i="22"/>
  <c r="M101" i="22"/>
  <c r="M98" i="22"/>
  <c r="M99" i="22"/>
  <c r="M100" i="22"/>
  <c r="M96" i="22"/>
  <c r="M97" i="22"/>
  <c r="M94" i="22"/>
  <c r="M95" i="22"/>
  <c r="M92" i="22"/>
  <c r="M93" i="22"/>
  <c r="M87" i="22"/>
  <c r="M88" i="22"/>
  <c r="M91" i="22"/>
  <c r="M89" i="22"/>
  <c r="M90" i="22"/>
  <c r="M84" i="22"/>
  <c r="M80" i="22"/>
  <c r="M85" i="22"/>
  <c r="M81" i="22"/>
  <c r="M86" i="22"/>
  <c r="M82" i="22"/>
  <c r="M83" i="22"/>
  <c r="M79" i="22"/>
  <c r="M78" i="22"/>
  <c r="M74" i="22"/>
  <c r="M75" i="22"/>
  <c r="M71" i="22"/>
  <c r="M76" i="22"/>
  <c r="M72" i="22"/>
  <c r="M77" i="22"/>
  <c r="M73" i="22"/>
  <c r="M69" i="22"/>
  <c r="M67" i="22"/>
  <c r="M63" i="22"/>
  <c r="M59" i="22"/>
  <c r="M68" i="22"/>
  <c r="M64" i="22"/>
  <c r="M65" i="22"/>
  <c r="M61" i="22"/>
  <c r="M57" i="22"/>
  <c r="M70" i="22"/>
  <c r="M66" i="22"/>
  <c r="M62" i="22"/>
  <c r="M58" i="22"/>
  <c r="M56" i="22"/>
  <c r="M52" i="22"/>
  <c r="M60" i="22"/>
  <c r="M53" i="22"/>
  <c r="M49" i="22"/>
  <c r="M54" i="22"/>
  <c r="M50" i="22"/>
  <c r="M46" i="22"/>
  <c r="M55" i="22"/>
  <c r="M51" i="22"/>
  <c r="M47" i="22"/>
  <c r="M42" i="22"/>
  <c r="M38" i="22"/>
  <c r="M48" i="22"/>
  <c r="M43" i="22"/>
  <c r="M39" i="22"/>
  <c r="M35" i="22"/>
  <c r="M44" i="22"/>
  <c r="M40" i="22"/>
  <c r="M36" i="22"/>
  <c r="M45" i="22"/>
  <c r="M41" i="22"/>
  <c r="M37" i="22"/>
  <c r="M34" i="22"/>
  <c r="M30" i="22"/>
  <c r="M26" i="22"/>
  <c r="M22" i="22"/>
  <c r="M18" i="22"/>
  <c r="M31" i="22"/>
  <c r="M27" i="22"/>
  <c r="M23" i="22"/>
  <c r="M19" i="22"/>
  <c r="M15" i="22"/>
  <c r="M11" i="22"/>
  <c r="M32" i="22"/>
  <c r="M28" i="22"/>
  <c r="M24" i="22"/>
  <c r="M20" i="22"/>
  <c r="M33" i="22"/>
  <c r="M29" i="22"/>
  <c r="M25" i="22"/>
  <c r="M21" i="22"/>
  <c r="M17" i="22"/>
  <c r="Q109" i="22"/>
  <c r="Q108" i="22"/>
  <c r="Q107" i="22"/>
  <c r="Q104" i="22"/>
  <c r="Q105" i="22"/>
  <c r="Q106" i="22"/>
  <c r="Q102" i="22"/>
  <c r="Q103" i="22"/>
  <c r="Q101" i="22"/>
  <c r="Q98" i="22"/>
  <c r="Q99" i="22"/>
  <c r="Q100" i="22"/>
  <c r="Q96" i="22"/>
  <c r="Q97" i="22"/>
  <c r="Q94" i="22"/>
  <c r="Q95" i="22"/>
  <c r="Q92" i="22"/>
  <c r="Q93" i="22"/>
  <c r="Q87" i="22"/>
  <c r="Q88" i="22"/>
  <c r="Q89" i="22"/>
  <c r="Q91" i="22"/>
  <c r="Q90" i="22"/>
  <c r="Q84" i="22"/>
  <c r="Q80" i="22"/>
  <c r="Q85" i="22"/>
  <c r="Q81" i="22"/>
  <c r="Q86" i="22"/>
  <c r="Q82" i="22"/>
  <c r="Q83" i="22"/>
  <c r="Q79" i="22"/>
  <c r="Q78" i="22"/>
  <c r="Q74" i="22"/>
  <c r="Q75" i="22"/>
  <c r="Q71" i="22"/>
  <c r="Q76" i="22"/>
  <c r="Q72" i="22"/>
  <c r="Q77" i="22"/>
  <c r="Q73" i="22"/>
  <c r="Q69" i="22"/>
  <c r="Q67" i="22"/>
  <c r="Q63" i="22"/>
  <c r="Q59" i="22"/>
  <c r="Q70" i="22"/>
  <c r="Q68" i="22"/>
  <c r="Q64" i="22"/>
  <c r="Q65" i="22"/>
  <c r="Q61" i="22"/>
  <c r="Q57" i="22"/>
  <c r="Q66" i="22"/>
  <c r="Q62" i="22"/>
  <c r="Q60" i="22"/>
  <c r="Q56" i="22"/>
  <c r="Q52" i="22"/>
  <c r="Q58" i="22"/>
  <c r="Q53" i="22"/>
  <c r="Q49" i="22"/>
  <c r="Q54" i="22"/>
  <c r="Q50" i="22"/>
  <c r="Q46" i="22"/>
  <c r="Q55" i="22"/>
  <c r="Q51" i="22"/>
  <c r="Q47" i="22"/>
  <c r="Q48" i="22"/>
  <c r="Q42" i="22"/>
  <c r="Q38" i="22"/>
  <c r="Q43" i="22"/>
  <c r="Q39" i="22"/>
  <c r="Q35" i="22"/>
  <c r="Q44" i="22"/>
  <c r="Q40" i="22"/>
  <c r="Q36" i="22"/>
  <c r="Q45" i="22"/>
  <c r="Q41" i="22"/>
  <c r="Q37" i="22"/>
  <c r="Q34" i="22"/>
  <c r="Q30" i="22"/>
  <c r="Q26" i="22"/>
  <c r="Q22" i="22"/>
  <c r="Q18" i="22"/>
  <c r="Q31" i="22"/>
  <c r="Q27" i="22"/>
  <c r="Q23" i="22"/>
  <c r="Q19" i="22"/>
  <c r="Q15" i="22"/>
  <c r="Q11" i="22"/>
  <c r="Q32" i="22"/>
  <c r="Q28" i="22"/>
  <c r="Q24" i="22"/>
  <c r="Q20" i="22"/>
  <c r="Q33" i="22"/>
  <c r="Q29" i="22"/>
  <c r="Q25" i="22"/>
  <c r="Q21" i="22"/>
  <c r="Q17" i="22"/>
  <c r="U109" i="22"/>
  <c r="U108" i="22"/>
  <c r="U107" i="22"/>
  <c r="U104" i="22"/>
  <c r="U105" i="22"/>
  <c r="U106" i="22"/>
  <c r="U102" i="22"/>
  <c r="U103" i="22"/>
  <c r="U101" i="22"/>
  <c r="U98" i="22"/>
  <c r="U99" i="22"/>
  <c r="U100" i="22"/>
  <c r="U96" i="22"/>
  <c r="U97" i="22"/>
  <c r="U94" i="22"/>
  <c r="U95" i="22"/>
  <c r="U92" i="22"/>
  <c r="U93" i="22"/>
  <c r="U91" i="22"/>
  <c r="U87" i="22"/>
  <c r="U88" i="22"/>
  <c r="U89" i="22"/>
  <c r="U90" i="22"/>
  <c r="U84" i="22"/>
  <c r="U80" i="22"/>
  <c r="U85" i="22"/>
  <c r="U81" i="22"/>
  <c r="U86" i="22"/>
  <c r="U82" i="22"/>
  <c r="U83" i="22"/>
  <c r="U79" i="22"/>
  <c r="U78" i="22"/>
  <c r="U74" i="22"/>
  <c r="U75" i="22"/>
  <c r="U71" i="22"/>
  <c r="U76" i="22"/>
  <c r="U72" i="22"/>
  <c r="U68" i="22"/>
  <c r="U77" i="22"/>
  <c r="U73" i="22"/>
  <c r="U69" i="22"/>
  <c r="U67" i="22"/>
  <c r="U63" i="22"/>
  <c r="U59" i="22"/>
  <c r="U64" i="22"/>
  <c r="U65" i="22"/>
  <c r="U61" i="22"/>
  <c r="U57" i="22"/>
  <c r="U70" i="22"/>
  <c r="U66" i="22"/>
  <c r="U62" i="22"/>
  <c r="U56" i="22"/>
  <c r="U52" i="22"/>
  <c r="U53" i="22"/>
  <c r="U49" i="22"/>
  <c r="U58" i="22"/>
  <c r="U54" i="22"/>
  <c r="U50" i="22"/>
  <c r="U46" i="22"/>
  <c r="U60" i="22"/>
  <c r="U55" i="22"/>
  <c r="U51" i="22"/>
  <c r="U47" i="22"/>
  <c r="U42" i="22"/>
  <c r="U38" i="22"/>
  <c r="U43" i="22"/>
  <c r="U39" i="22"/>
  <c r="U35" i="22"/>
  <c r="U44" i="22"/>
  <c r="U40" i="22"/>
  <c r="U36" i="22"/>
  <c r="U48" i="22"/>
  <c r="U45" i="22"/>
  <c r="U41" i="22"/>
  <c r="U37" i="22"/>
  <c r="U34" i="22"/>
  <c r="U30" i="22"/>
  <c r="U26" i="22"/>
  <c r="U22" i="22"/>
  <c r="U18" i="22"/>
  <c r="U31" i="22"/>
  <c r="U27" i="22"/>
  <c r="U23" i="22"/>
  <c r="U19" i="22"/>
  <c r="U15" i="22"/>
  <c r="U11" i="22"/>
  <c r="U32" i="22"/>
  <c r="U28" i="22"/>
  <c r="U24" i="22"/>
  <c r="U20" i="22"/>
  <c r="U33" i="22"/>
  <c r="U29" i="22"/>
  <c r="U25" i="22"/>
  <c r="U21" i="22"/>
  <c r="U17" i="22"/>
  <c r="Y109" i="22"/>
  <c r="Y107" i="22"/>
  <c r="Y108" i="22"/>
  <c r="Y104" i="22"/>
  <c r="Y105" i="22"/>
  <c r="Y106" i="22"/>
  <c r="Y102" i="22"/>
  <c r="Y103" i="22"/>
  <c r="Y101" i="22"/>
  <c r="Y98" i="22"/>
  <c r="Y99" i="22"/>
  <c r="Y100" i="22"/>
  <c r="Y96" i="22"/>
  <c r="Y97" i="22"/>
  <c r="Y94" i="22"/>
  <c r="Y95" i="22"/>
  <c r="Y92" i="22"/>
  <c r="Y93" i="22"/>
  <c r="Y87" i="22"/>
  <c r="Y91" i="22"/>
  <c r="Y88" i="22"/>
  <c r="Y89" i="22"/>
  <c r="Y90" i="22"/>
  <c r="Y84" i="22"/>
  <c r="Y80" i="22"/>
  <c r="Y85" i="22"/>
  <c r="Y81" i="22"/>
  <c r="Y86" i="22"/>
  <c r="Y82" i="22"/>
  <c r="Y83" i="22"/>
  <c r="Y79" i="22"/>
  <c r="Y78" i="22"/>
  <c r="Y74" i="22"/>
  <c r="Y75" i="22"/>
  <c r="Y71" i="22"/>
  <c r="Y76" i="22"/>
  <c r="Y72" i="22"/>
  <c r="Y68" i="22"/>
  <c r="Y77" i="22"/>
  <c r="Y73" i="22"/>
  <c r="Y69" i="22"/>
  <c r="Y67" i="22"/>
  <c r="Y63" i="22"/>
  <c r="Y59" i="22"/>
  <c r="Y70" i="22"/>
  <c r="Y64" i="22"/>
  <c r="Y65" i="22"/>
  <c r="Y61" i="22"/>
  <c r="Y57" i="22"/>
  <c r="Y66" i="22"/>
  <c r="Y62" i="22"/>
  <c r="Y58" i="22"/>
  <c r="Y56" i="22"/>
  <c r="Y52" i="22"/>
  <c r="Y53" i="22"/>
  <c r="Y49" i="22"/>
  <c r="Y60" i="22"/>
  <c r="Y54" i="22"/>
  <c r="Y50" i="22"/>
  <c r="Y46" i="22"/>
  <c r="Y55" i="22"/>
  <c r="Y51" i="22"/>
  <c r="Y47" i="22"/>
  <c r="Y42" i="22"/>
  <c r="Y38" i="22"/>
  <c r="Y43" i="22"/>
  <c r="Y39" i="22"/>
  <c r="Y35" i="22"/>
  <c r="Y48" i="22"/>
  <c r="Y44" i="22"/>
  <c r="Y40" i="22"/>
  <c r="Y36" i="22"/>
  <c r="Y45" i="22"/>
  <c r="Y41" i="22"/>
  <c r="Y37" i="22"/>
  <c r="Y34" i="22"/>
  <c r="Y30" i="22"/>
  <c r="Y26" i="22"/>
  <c r="Y22" i="22"/>
  <c r="Y18" i="22"/>
  <c r="Y31" i="22"/>
  <c r="Y27" i="22"/>
  <c r="Y23" i="22"/>
  <c r="Y19" i="22"/>
  <c r="Y15" i="22"/>
  <c r="Y11" i="22"/>
  <c r="Y32" i="22"/>
  <c r="Y28" i="22"/>
  <c r="Y24" i="22"/>
  <c r="Y20" i="22"/>
  <c r="Y33" i="22"/>
  <c r="Y29" i="22"/>
  <c r="Y25" i="22"/>
  <c r="Y21" i="22"/>
  <c r="Y17" i="22"/>
  <c r="AC109" i="22"/>
  <c r="AC108" i="22"/>
  <c r="AC107" i="22"/>
  <c r="AC104" i="22"/>
  <c r="AC105" i="22"/>
  <c r="AC106" i="22"/>
  <c r="AC102" i="22"/>
  <c r="AC103" i="22"/>
  <c r="AC101" i="22"/>
  <c r="AC98" i="22"/>
  <c r="AC99" i="22"/>
  <c r="AC100" i="22"/>
  <c r="AC96" i="22"/>
  <c r="AC97" i="22"/>
  <c r="AC94" i="22"/>
  <c r="AC95" i="22"/>
  <c r="AC92" i="22"/>
  <c r="AC93" i="22"/>
  <c r="AC87" i="22"/>
  <c r="AC88" i="22"/>
  <c r="AC91" i="22"/>
  <c r="AC89" i="22"/>
  <c r="AC90" i="22"/>
  <c r="AC84" i="22"/>
  <c r="AC80" i="22"/>
  <c r="AC85" i="22"/>
  <c r="AC81" i="22"/>
  <c r="AC86" i="22"/>
  <c r="AC82" i="22"/>
  <c r="AC83" i="22"/>
  <c r="AC79" i="22"/>
  <c r="AC78" i="22"/>
  <c r="AC74" i="22"/>
  <c r="AC75" i="22"/>
  <c r="AC71" i="22"/>
  <c r="AC76" i="22"/>
  <c r="AC72" i="22"/>
  <c r="AC68" i="22"/>
  <c r="AC77" i="22"/>
  <c r="AC73" i="22"/>
  <c r="AC69" i="22"/>
  <c r="AC67" i="22"/>
  <c r="AC63" i="22"/>
  <c r="AC59" i="22"/>
  <c r="AC64" i="22"/>
  <c r="AC65" i="22"/>
  <c r="AC61" i="22"/>
  <c r="AC57" i="22"/>
  <c r="AC70" i="22"/>
  <c r="AC66" i="22"/>
  <c r="AC62" i="22"/>
  <c r="AC58" i="22"/>
  <c r="AC56" i="22"/>
  <c r="AC52" i="22"/>
  <c r="AC60" i="22"/>
  <c r="AC53" i="22"/>
  <c r="AC49" i="22"/>
  <c r="AC54" i="22"/>
  <c r="AC50" i="22"/>
  <c r="AC46" i="22"/>
  <c r="AC55" i="22"/>
  <c r="AC51" i="22"/>
  <c r="AC47" i="22"/>
  <c r="AC42" i="22"/>
  <c r="AC38" i="22"/>
  <c r="AC48" i="22"/>
  <c r="AC43" i="22"/>
  <c r="AC39" i="22"/>
  <c r="AC35" i="22"/>
  <c r="AC44" i="22"/>
  <c r="AC40" i="22"/>
  <c r="AC36" i="22"/>
  <c r="AC45" i="22"/>
  <c r="AC41" i="22"/>
  <c r="AC37" i="22"/>
  <c r="AC34" i="22"/>
  <c r="AC30" i="22"/>
  <c r="AC26" i="22"/>
  <c r="AC22" i="22"/>
  <c r="AC18" i="22"/>
  <c r="AC31" i="22"/>
  <c r="AC27" i="22"/>
  <c r="AC23" i="22"/>
  <c r="AC19" i="22"/>
  <c r="AC15" i="22"/>
  <c r="AC11" i="22"/>
  <c r="AC32" i="22"/>
  <c r="AC28" i="22"/>
  <c r="AC24" i="22"/>
  <c r="AC20" i="22"/>
  <c r="AC33" i="22"/>
  <c r="AC29" i="22"/>
  <c r="AC25" i="22"/>
  <c r="AC21" i="22"/>
  <c r="AC17" i="22"/>
  <c r="AG108" i="22"/>
  <c r="AG106" i="22"/>
  <c r="AG98" i="22"/>
  <c r="AG97" i="22"/>
  <c r="AG93" i="22"/>
  <c r="AG91" i="22"/>
  <c r="AG85" i="22"/>
  <c r="AG83" i="22"/>
  <c r="AG75" i="22"/>
  <c r="AG68" i="22"/>
  <c r="AG67" i="22"/>
  <c r="AG64" i="22"/>
  <c r="AG66" i="22"/>
  <c r="AG56" i="22"/>
  <c r="AG54" i="22"/>
  <c r="AG51" i="22"/>
  <c r="AG38" i="22"/>
  <c r="AG44" i="22"/>
  <c r="AG41" i="22"/>
  <c r="AG26" i="22"/>
  <c r="AG27" i="22"/>
  <c r="AG11" i="22"/>
  <c r="AG20" i="22"/>
  <c r="AG21" i="22"/>
  <c r="AK109" i="22"/>
  <c r="AK108" i="22"/>
  <c r="AK107" i="22"/>
  <c r="AK104" i="22"/>
  <c r="AK105" i="22"/>
  <c r="AK106" i="22"/>
  <c r="AK102" i="22"/>
  <c r="AK103" i="22"/>
  <c r="AK101" i="22"/>
  <c r="AK98" i="22"/>
  <c r="AK99" i="22"/>
  <c r="AK100" i="22"/>
  <c r="AK96" i="22"/>
  <c r="AK97" i="22"/>
  <c r="AK94" i="22"/>
  <c r="AK95" i="22"/>
  <c r="AK92" i="22"/>
  <c r="AK93" i="22"/>
  <c r="AK91" i="22"/>
  <c r="AK87" i="22"/>
  <c r="AK88" i="22"/>
  <c r="AK89" i="22"/>
  <c r="AK90" i="22"/>
  <c r="AK84" i="22"/>
  <c r="AK80" i="22"/>
  <c r="AK85" i="22"/>
  <c r="AK81" i="22"/>
  <c r="AK86" i="22"/>
  <c r="AK82" i="22"/>
  <c r="AK83" i="22"/>
  <c r="AK79" i="22"/>
  <c r="AK78" i="22"/>
  <c r="AK74" i="22"/>
  <c r="AK75" i="22"/>
  <c r="AK71" i="22"/>
  <c r="AK76" i="22"/>
  <c r="AK72" i="22"/>
  <c r="AK68" i="22"/>
  <c r="AK77" i="22"/>
  <c r="AK73" i="22"/>
  <c r="AK69" i="22"/>
  <c r="AK67" i="22"/>
  <c r="AK63" i="22"/>
  <c r="AK59" i="22"/>
  <c r="AK64" i="22"/>
  <c r="AK65" i="22"/>
  <c r="AK61" i="22"/>
  <c r="AK57" i="22"/>
  <c r="AK70" i="22"/>
  <c r="AK66" i="22"/>
  <c r="AK62" i="22"/>
  <c r="AK58" i="22"/>
  <c r="AK56" i="22"/>
  <c r="AK52" i="22"/>
  <c r="AK53" i="22"/>
  <c r="AK49" i="22"/>
  <c r="AK54" i="22"/>
  <c r="AK50" i="22"/>
  <c r="AK46" i="22"/>
  <c r="AK60" i="22"/>
  <c r="AK55" i="22"/>
  <c r="AK51" i="22"/>
  <c r="AK47" i="22"/>
  <c r="AK42" i="22"/>
  <c r="AK38" i="22"/>
  <c r="AK43" i="22"/>
  <c r="AK39" i="22"/>
  <c r="AK35" i="22"/>
  <c r="AK44" i="22"/>
  <c r="AK40" i="22"/>
  <c r="AK36" i="22"/>
  <c r="AK48" i="22"/>
  <c r="AK45" i="22"/>
  <c r="AK41" i="22"/>
  <c r="AK37" i="22"/>
  <c r="AK34" i="22"/>
  <c r="AK30" i="22"/>
  <c r="AK26" i="22"/>
  <c r="AK22" i="22"/>
  <c r="AK18" i="22"/>
  <c r="AK31" i="22"/>
  <c r="AK27" i="22"/>
  <c r="AK23" i="22"/>
  <c r="AK19" i="22"/>
  <c r="AK15" i="22"/>
  <c r="AK11" i="22"/>
  <c r="AK32" i="22"/>
  <c r="AK28" i="22"/>
  <c r="AK24" i="22"/>
  <c r="AK20" i="22"/>
  <c r="AK33" i="22"/>
  <c r="AK29" i="22"/>
  <c r="AK25" i="22"/>
  <c r="AK21" i="22"/>
  <c r="AK17" i="22"/>
  <c r="AO109" i="22"/>
  <c r="AO107" i="22"/>
  <c r="AO108" i="22"/>
  <c r="AO104" i="22"/>
  <c r="AO105" i="22"/>
  <c r="AO106" i="22"/>
  <c r="AO102" i="22"/>
  <c r="AO103" i="22"/>
  <c r="AO101" i="22"/>
  <c r="AO98" i="22"/>
  <c r="AO99" i="22"/>
  <c r="AO100" i="22"/>
  <c r="AO96" i="22"/>
  <c r="AO97" i="22"/>
  <c r="AO94" i="22"/>
  <c r="AO95" i="22"/>
  <c r="AO92" i="22"/>
  <c r="AO93" i="22"/>
  <c r="AO87" i="22"/>
  <c r="AO91" i="22"/>
  <c r="AO88" i="22"/>
  <c r="AO89" i="22"/>
  <c r="AO90" i="22"/>
  <c r="AO84" i="22"/>
  <c r="AO80" i="22"/>
  <c r="AO85" i="22"/>
  <c r="AO81" i="22"/>
  <c r="AO86" i="22"/>
  <c r="AO82" i="22"/>
  <c r="AO83" i="22"/>
  <c r="AO79" i="22"/>
  <c r="AO78" i="22"/>
  <c r="AO74" i="22"/>
  <c r="AO75" i="22"/>
  <c r="AO71" i="22"/>
  <c r="AO76" i="22"/>
  <c r="AO72" i="22"/>
  <c r="AO68" i="22"/>
  <c r="AO77" i="22"/>
  <c r="AO73" i="22"/>
  <c r="AO69" i="22"/>
  <c r="AO67" i="22"/>
  <c r="AO63" i="22"/>
  <c r="AO59" i="22"/>
  <c r="AO70" i="22"/>
  <c r="AO64" i="22"/>
  <c r="AO65" i="22"/>
  <c r="AO61" i="22"/>
  <c r="AO57" i="22"/>
  <c r="AO66" i="22"/>
  <c r="AO62" i="22"/>
  <c r="AO58" i="22"/>
  <c r="AO56" i="22"/>
  <c r="AO52" i="22"/>
  <c r="AO53" i="22"/>
  <c r="AO49" i="22"/>
  <c r="AO60" i="22"/>
  <c r="AO54" i="22"/>
  <c r="AO50" i="22"/>
  <c r="AO46" i="22"/>
  <c r="AO55" i="22"/>
  <c r="AO51" i="22"/>
  <c r="AO47" i="22"/>
  <c r="AO42" i="22"/>
  <c r="AO38" i="22"/>
  <c r="AO43" i="22"/>
  <c r="AO39" i="22"/>
  <c r="AO35" i="22"/>
  <c r="AO48" i="22"/>
  <c r="AO44" i="22"/>
  <c r="AO40" i="22"/>
  <c r="AO36" i="22"/>
  <c r="AO45" i="22"/>
  <c r="AO41" i="22"/>
  <c r="AO37" i="22"/>
  <c r="AO34" i="22"/>
  <c r="AO30" i="22"/>
  <c r="AO26" i="22"/>
  <c r="AO22" i="22"/>
  <c r="AO18" i="22"/>
  <c r="AO31" i="22"/>
  <c r="AO27" i="22"/>
  <c r="AO23" i="22"/>
  <c r="AO19" i="22"/>
  <c r="AO15" i="22"/>
  <c r="AO11" i="22"/>
  <c r="AO32" i="22"/>
  <c r="AO28" i="22"/>
  <c r="AO24" i="22"/>
  <c r="AO20" i="22"/>
  <c r="AO33" i="22"/>
  <c r="AO29" i="22"/>
  <c r="AO25" i="22"/>
  <c r="AO21" i="22"/>
  <c r="AO17" i="22"/>
  <c r="AS102" i="22"/>
  <c r="AS40" i="22"/>
  <c r="AW107" i="22"/>
  <c r="AW102" i="22"/>
  <c r="AW99" i="22"/>
  <c r="AW94" i="22"/>
  <c r="AW87" i="22"/>
  <c r="AW90" i="22"/>
  <c r="AW81" i="22"/>
  <c r="AW79" i="22"/>
  <c r="AW71" i="22"/>
  <c r="AW77" i="22"/>
  <c r="AW63" i="22"/>
  <c r="AW65" i="22"/>
  <c r="AW62" i="22"/>
  <c r="AW52" i="22"/>
  <c r="AW50" i="22"/>
  <c r="AW47" i="22"/>
  <c r="AW43" i="22"/>
  <c r="AW40" i="22"/>
  <c r="AW37" i="22"/>
  <c r="AW22" i="22"/>
  <c r="AW23" i="22"/>
  <c r="AW32" i="22"/>
  <c r="AW33" i="22"/>
  <c r="AW17" i="22"/>
  <c r="BA109" i="22"/>
  <c r="BA108" i="22"/>
  <c r="BA107" i="22"/>
  <c r="BA106" i="22"/>
  <c r="BA104" i="22"/>
  <c r="BA105" i="22"/>
  <c r="BA102" i="22"/>
  <c r="BA103" i="22"/>
  <c r="BA101" i="22"/>
  <c r="BA98" i="22"/>
  <c r="BA99" i="22"/>
  <c r="BA100" i="22"/>
  <c r="BA96" i="22"/>
  <c r="BA97" i="22"/>
  <c r="BA94" i="22"/>
  <c r="BA95" i="22"/>
  <c r="BA92" i="22"/>
  <c r="BA93" i="22"/>
  <c r="BA91" i="22"/>
  <c r="BA87" i="22"/>
  <c r="BA88" i="22"/>
  <c r="BA89" i="22"/>
  <c r="BA90" i="22"/>
  <c r="BA84" i="22"/>
  <c r="BA80" i="22"/>
  <c r="BA85" i="22"/>
  <c r="BA81" i="22"/>
  <c r="BA86" i="22"/>
  <c r="BA82" i="22"/>
  <c r="BA83" i="22"/>
  <c r="BA79" i="22"/>
  <c r="BA78" i="22"/>
  <c r="BA74" i="22"/>
  <c r="BA75" i="22"/>
  <c r="BA71" i="22"/>
  <c r="BA76" i="22"/>
  <c r="BA72" i="22"/>
  <c r="BA68" i="22"/>
  <c r="BA77" i="22"/>
  <c r="BA73" i="22"/>
  <c r="BA69" i="22"/>
  <c r="BA67" i="22"/>
  <c r="BA63" i="22"/>
  <c r="BA59" i="22"/>
  <c r="BA64" i="22"/>
  <c r="BA65" i="22"/>
  <c r="BA61" i="22"/>
  <c r="BA57" i="22"/>
  <c r="BA70" i="22"/>
  <c r="BA66" i="22"/>
  <c r="BA62" i="22"/>
  <c r="BA58" i="22"/>
  <c r="BA56" i="22"/>
  <c r="BA52" i="22"/>
  <c r="BA53" i="22"/>
  <c r="BA49" i="22"/>
  <c r="BA54" i="22"/>
  <c r="BA50" i="22"/>
  <c r="BA46" i="22"/>
  <c r="BA60" i="22"/>
  <c r="BA55" i="22"/>
  <c r="BA51" i="22"/>
  <c r="BA47" i="22"/>
  <c r="BA42" i="22"/>
  <c r="BA38" i="22"/>
  <c r="BA43" i="22"/>
  <c r="BA39" i="22"/>
  <c r="BA35" i="22"/>
  <c r="BA44" i="22"/>
  <c r="BA40" i="22"/>
  <c r="BA36" i="22"/>
  <c r="BA48" i="22"/>
  <c r="BA45" i="22"/>
  <c r="BA41" i="22"/>
  <c r="BA37" i="22"/>
  <c r="BA34" i="22"/>
  <c r="BA30" i="22"/>
  <c r="BA26" i="22"/>
  <c r="BA22" i="22"/>
  <c r="BA18" i="22"/>
  <c r="BA31" i="22"/>
  <c r="BA27" i="22"/>
  <c r="BA23" i="22"/>
  <c r="BA19" i="22"/>
  <c r="BA15" i="22"/>
  <c r="BA11" i="22"/>
  <c r="BA32" i="22"/>
  <c r="BA28" i="22"/>
  <c r="BA24" i="22"/>
  <c r="BA20" i="22"/>
  <c r="BA33" i="22"/>
  <c r="BA29" i="22"/>
  <c r="BA25" i="22"/>
  <c r="BA21" i="22"/>
  <c r="BA17" i="22"/>
  <c r="BE109" i="22"/>
  <c r="BE107" i="22"/>
  <c r="BE108" i="22"/>
  <c r="BE104" i="22"/>
  <c r="BE106" i="22"/>
  <c r="BE105" i="22"/>
  <c r="BE102" i="22"/>
  <c r="BE103" i="22"/>
  <c r="BE101" i="22"/>
  <c r="BE98" i="22"/>
  <c r="BE99" i="22"/>
  <c r="BE100" i="22"/>
  <c r="BE96" i="22"/>
  <c r="BE97" i="22"/>
  <c r="BE94" i="22"/>
  <c r="BE95" i="22"/>
  <c r="BE92" i="22"/>
  <c r="BE93" i="22"/>
  <c r="BE87" i="22"/>
  <c r="BE91" i="22"/>
  <c r="BE88" i="22"/>
  <c r="BE89" i="22"/>
  <c r="BE90" i="22"/>
  <c r="BE84" i="22"/>
  <c r="BE80" i="22"/>
  <c r="BE85" i="22"/>
  <c r="BE81" i="22"/>
  <c r="BE86" i="22"/>
  <c r="BE82" i="22"/>
  <c r="BE83" i="22"/>
  <c r="BE79" i="22"/>
  <c r="BE78" i="22"/>
  <c r="BE74" i="22"/>
  <c r="BE75" i="22"/>
  <c r="BE71" i="22"/>
  <c r="BE76" i="22"/>
  <c r="BE72" i="22"/>
  <c r="BE68" i="22"/>
  <c r="BE77" i="22"/>
  <c r="BE73" i="22"/>
  <c r="BE69" i="22"/>
  <c r="BE67" i="22"/>
  <c r="BE63" i="22"/>
  <c r="BE59" i="22"/>
  <c r="BE70" i="22"/>
  <c r="BE64" i="22"/>
  <c r="BE65" i="22"/>
  <c r="BE61" i="22"/>
  <c r="BE57" i="22"/>
  <c r="BE66" i="22"/>
  <c r="BE62" i="22"/>
  <c r="BE58" i="22"/>
  <c r="BE56" i="22"/>
  <c r="BE52" i="22"/>
  <c r="BE53" i="22"/>
  <c r="BE49" i="22"/>
  <c r="BE60" i="22"/>
  <c r="BE54" i="22"/>
  <c r="BE50" i="22"/>
  <c r="BE46" i="22"/>
  <c r="BE55" i="22"/>
  <c r="BE51" i="22"/>
  <c r="BE47" i="22"/>
  <c r="BE42" i="22"/>
  <c r="BE38" i="22"/>
  <c r="BE43" i="22"/>
  <c r="BE39" i="22"/>
  <c r="BE35" i="22"/>
  <c r="BE48" i="22"/>
  <c r="BE44" i="22"/>
  <c r="BE40" i="22"/>
  <c r="BE36" i="22"/>
  <c r="BE45" i="22"/>
  <c r="BE41" i="22"/>
  <c r="BE37" i="22"/>
  <c r="BE34" i="22"/>
  <c r="BE30" i="22"/>
  <c r="BE26" i="22"/>
  <c r="BE22" i="22"/>
  <c r="BE18" i="22"/>
  <c r="BE31" i="22"/>
  <c r="BE27" i="22"/>
  <c r="BE23" i="22"/>
  <c r="BE19" i="22"/>
  <c r="BE15" i="22"/>
  <c r="BE11" i="22"/>
  <c r="BE32" i="22"/>
  <c r="BE28" i="22"/>
  <c r="BE24" i="22"/>
  <c r="BE20" i="22"/>
  <c r="BE33" i="22"/>
  <c r="BE29" i="22"/>
  <c r="BE25" i="22"/>
  <c r="BE21" i="22"/>
  <c r="BE17" i="22"/>
  <c r="BI109" i="22"/>
  <c r="BI108" i="22"/>
  <c r="BI107" i="22"/>
  <c r="BI104" i="22"/>
  <c r="BI105" i="22"/>
  <c r="BI106" i="22"/>
  <c r="BI102" i="22"/>
  <c r="BI103" i="22"/>
  <c r="BI101" i="22"/>
  <c r="BI98" i="22"/>
  <c r="BI99" i="22"/>
  <c r="BI100" i="22"/>
  <c r="BI96" i="22"/>
  <c r="BI97" i="22"/>
  <c r="BI94" i="22"/>
  <c r="BI95" i="22"/>
  <c r="BI92" i="22"/>
  <c r="BI93" i="22"/>
  <c r="BI87" i="22"/>
  <c r="BI88" i="22"/>
  <c r="BI91" i="22"/>
  <c r="BI89" i="22"/>
  <c r="BI90" i="22"/>
  <c r="BI84" i="22"/>
  <c r="BI80" i="22"/>
  <c r="BI85" i="22"/>
  <c r="BI81" i="22"/>
  <c r="BI86" i="22"/>
  <c r="BI82" i="22"/>
  <c r="BI83" i="22"/>
  <c r="BI79" i="22"/>
  <c r="BI78" i="22"/>
  <c r="BI74" i="22"/>
  <c r="BI75" i="22"/>
  <c r="BI71" i="22"/>
  <c r="BI76" i="22"/>
  <c r="BI72" i="22"/>
  <c r="BI68" i="22"/>
  <c r="BI77" i="22"/>
  <c r="BI73" i="22"/>
  <c r="BI69" i="22"/>
  <c r="BI67" i="22"/>
  <c r="BI63" i="22"/>
  <c r="BI59" i="22"/>
  <c r="BI64" i="22"/>
  <c r="BI65" i="22"/>
  <c r="BI61" i="22"/>
  <c r="BI57" i="22"/>
  <c r="BI70" i="22"/>
  <c r="BI66" i="22"/>
  <c r="BI62" i="22"/>
  <c r="BI58" i="22"/>
  <c r="BI56" i="22"/>
  <c r="BI52" i="22"/>
  <c r="BI60" i="22"/>
  <c r="BI53" i="22"/>
  <c r="BI49" i="22"/>
  <c r="BI54" i="22"/>
  <c r="BI50" i="22"/>
  <c r="BI46" i="22"/>
  <c r="BI55" i="22"/>
  <c r="BI51" i="22"/>
  <c r="BI47" i="22"/>
  <c r="BI42" i="22"/>
  <c r="BI38" i="22"/>
  <c r="BI48" i="22"/>
  <c r="BI43" i="22"/>
  <c r="BI39" i="22"/>
  <c r="BI35" i="22"/>
  <c r="BI44" i="22"/>
  <c r="BI40" i="22"/>
  <c r="BI36" i="22"/>
  <c r="BI45" i="22"/>
  <c r="BI41" i="22"/>
  <c r="BI37" i="22"/>
  <c r="BI34" i="22"/>
  <c r="BI30" i="22"/>
  <c r="BI26" i="22"/>
  <c r="BI22" i="22"/>
  <c r="BI18" i="22"/>
  <c r="BI31" i="22"/>
  <c r="BI27" i="22"/>
  <c r="BI23" i="22"/>
  <c r="BI19" i="22"/>
  <c r="BI15" i="22"/>
  <c r="BI11" i="22"/>
  <c r="BI32" i="22"/>
  <c r="BI28" i="22"/>
  <c r="BI24" i="22"/>
  <c r="BI20" i="22"/>
  <c r="BI33" i="22"/>
  <c r="BI29" i="22"/>
  <c r="BI25" i="22"/>
  <c r="BI21" i="22"/>
  <c r="BI17" i="22"/>
  <c r="BM109" i="22"/>
  <c r="BM108" i="22"/>
  <c r="BM107" i="22"/>
  <c r="BM106" i="22"/>
  <c r="BM104" i="22"/>
  <c r="BM105" i="22"/>
  <c r="BM102" i="22"/>
  <c r="BM103" i="22"/>
  <c r="BM101" i="22"/>
  <c r="BM98" i="22"/>
  <c r="BM99" i="22"/>
  <c r="BM100" i="22"/>
  <c r="BM96" i="22"/>
  <c r="BM97" i="22"/>
  <c r="BM94" i="22"/>
  <c r="BM95" i="22"/>
  <c r="BM92" i="22"/>
  <c r="BM93" i="22"/>
  <c r="BM87" i="22"/>
  <c r="BM88" i="22"/>
  <c r="BM89" i="22"/>
  <c r="BM91" i="22"/>
  <c r="BM90" i="22"/>
  <c r="BM84" i="22"/>
  <c r="BM80" i="22"/>
  <c r="BM85" i="22"/>
  <c r="BM81" i="22"/>
  <c r="BM86" i="22"/>
  <c r="BM82" i="22"/>
  <c r="BM83" i="22"/>
  <c r="BM79" i="22"/>
  <c r="BM78" i="22"/>
  <c r="BM74" i="22"/>
  <c r="BM75" i="22"/>
  <c r="BM71" i="22"/>
  <c r="BM76" i="22"/>
  <c r="BM72" i="22"/>
  <c r="BM68" i="22"/>
  <c r="BM77" i="22"/>
  <c r="BM73" i="22"/>
  <c r="BM69" i="22"/>
  <c r="BM67" i="22"/>
  <c r="BM63" i="22"/>
  <c r="BM59" i="22"/>
  <c r="BM70" i="22"/>
  <c r="BM64" i="22"/>
  <c r="BM65" i="22"/>
  <c r="BM61" i="22"/>
  <c r="BM57" i="22"/>
  <c r="BM66" i="22"/>
  <c r="BM62" i="22"/>
  <c r="BM58" i="22"/>
  <c r="BM60" i="22"/>
  <c r="BM56" i="22"/>
  <c r="BM52" i="22"/>
  <c r="BM53" i="22"/>
  <c r="BM49" i="22"/>
  <c r="BM54" i="22"/>
  <c r="BM50" i="22"/>
  <c r="BM46" i="22"/>
  <c r="BM55" i="22"/>
  <c r="BM51" i="22"/>
  <c r="BM47" i="22"/>
  <c r="BM48" i="22"/>
  <c r="BM42" i="22"/>
  <c r="BM38" i="22"/>
  <c r="BM43" i="22"/>
  <c r="BM39" i="22"/>
  <c r="BM35" i="22"/>
  <c r="BM44" i="22"/>
  <c r="BM40" i="22"/>
  <c r="BM36" i="22"/>
  <c r="BM45" i="22"/>
  <c r="BM41" i="22"/>
  <c r="BM37" i="22"/>
  <c r="BM34" i="22"/>
  <c r="BM30" i="22"/>
  <c r="BM26" i="22"/>
  <c r="BM22" i="22"/>
  <c r="BM18" i="22"/>
  <c r="BM31" i="22"/>
  <c r="BM27" i="22"/>
  <c r="BM23" i="22"/>
  <c r="BM19" i="22"/>
  <c r="BM15" i="22"/>
  <c r="BM11" i="22"/>
  <c r="BM32" i="22"/>
  <c r="BM28" i="22"/>
  <c r="BM24" i="22"/>
  <c r="BM20" i="22"/>
  <c r="BM33" i="22"/>
  <c r="BM29" i="22"/>
  <c r="BM25" i="22"/>
  <c r="BM21" i="22"/>
  <c r="BM17" i="22"/>
  <c r="BQ106" i="22"/>
  <c r="BQ103" i="22"/>
  <c r="BQ100" i="22"/>
  <c r="BQ95" i="22"/>
  <c r="BQ87" i="22"/>
  <c r="BQ84" i="22"/>
  <c r="BQ86" i="22"/>
  <c r="BQ78" i="22"/>
  <c r="BQ76" i="22"/>
  <c r="BQ73" i="22"/>
  <c r="BQ59" i="22"/>
  <c r="BQ57" i="22"/>
  <c r="BQ58" i="22"/>
  <c r="BQ49" i="22"/>
  <c r="BQ60" i="22"/>
  <c r="BQ42" i="22"/>
  <c r="BQ35" i="22"/>
  <c r="BQ48" i="22"/>
  <c r="BQ34" i="22"/>
  <c r="BQ18" i="22"/>
  <c r="BQ19" i="22"/>
  <c r="BQ28" i="22"/>
  <c r="BQ29" i="22"/>
  <c r="BU109" i="22"/>
  <c r="BU107" i="22"/>
  <c r="BU108" i="22"/>
  <c r="BU104" i="22"/>
  <c r="BU106" i="22"/>
  <c r="BU105" i="22"/>
  <c r="BU102" i="22"/>
  <c r="BU103" i="22"/>
  <c r="BU101" i="22"/>
  <c r="BU98" i="22"/>
  <c r="BU99" i="22"/>
  <c r="BU100" i="22"/>
  <c r="BU96" i="22"/>
  <c r="BU97" i="22"/>
  <c r="BU94" i="22"/>
  <c r="BU95" i="22"/>
  <c r="BU92" i="22"/>
  <c r="BU93" i="22"/>
  <c r="BU87" i="22"/>
  <c r="BU91" i="22"/>
  <c r="BU88" i="22"/>
  <c r="BU89" i="22"/>
  <c r="BU90" i="22"/>
  <c r="BU84" i="22"/>
  <c r="BU80" i="22"/>
  <c r="BU85" i="22"/>
  <c r="BU81" i="22"/>
  <c r="BU86" i="22"/>
  <c r="BU82" i="22"/>
  <c r="BU83" i="22"/>
  <c r="BU79" i="22"/>
  <c r="BU78" i="22"/>
  <c r="BU74" i="22"/>
  <c r="BU75" i="22"/>
  <c r="BU71" i="22"/>
  <c r="BU76" i="22"/>
  <c r="BU72" i="22"/>
  <c r="BU68" i="22"/>
  <c r="BU77" i="22"/>
  <c r="BU73" i="22"/>
  <c r="BU69" i="22"/>
  <c r="BU67" i="22"/>
  <c r="BU63" i="22"/>
  <c r="BU59" i="22"/>
  <c r="BU70" i="22"/>
  <c r="BU64" i="22"/>
  <c r="BU65" i="22"/>
  <c r="BU61" i="22"/>
  <c r="BU57" i="22"/>
  <c r="BU66" i="22"/>
  <c r="BU62" i="22"/>
  <c r="BU58" i="22"/>
  <c r="BU56" i="22"/>
  <c r="BU52" i="22"/>
  <c r="BU53" i="22"/>
  <c r="BU49" i="22"/>
  <c r="BU60" i="22"/>
  <c r="BU54" i="22"/>
  <c r="BU50" i="22"/>
  <c r="BU46" i="22"/>
  <c r="BU55" i="22"/>
  <c r="BU51" i="22"/>
  <c r="BU47" i="22"/>
  <c r="BU42" i="22"/>
  <c r="BU38" i="22"/>
  <c r="BU43" i="22"/>
  <c r="BU39" i="22"/>
  <c r="BU35" i="22"/>
  <c r="BU48" i="22"/>
  <c r="BU44" i="22"/>
  <c r="BU40" i="22"/>
  <c r="BU36" i="22"/>
  <c r="BU45" i="22"/>
  <c r="BU41" i="22"/>
  <c r="BU37" i="22"/>
  <c r="BU34" i="22"/>
  <c r="BU30" i="22"/>
  <c r="BU26" i="22"/>
  <c r="BU22" i="22"/>
  <c r="BU18" i="22"/>
  <c r="BU31" i="22"/>
  <c r="BU27" i="22"/>
  <c r="BU23" i="22"/>
  <c r="BU19" i="22"/>
  <c r="BU15" i="22"/>
  <c r="BU11" i="22"/>
  <c r="BU32" i="22"/>
  <c r="BU28" i="22"/>
  <c r="BU24" i="22"/>
  <c r="BU20" i="22"/>
  <c r="BU33" i="22"/>
  <c r="BU29" i="22"/>
  <c r="BU25" i="22"/>
  <c r="BU21" i="22"/>
  <c r="BU17" i="22"/>
  <c r="BY109" i="22"/>
  <c r="BY108" i="22"/>
  <c r="BY107" i="22"/>
  <c r="BY104" i="22"/>
  <c r="BY105" i="22"/>
  <c r="BY106" i="22"/>
  <c r="BY102" i="22"/>
  <c r="BY103" i="22"/>
  <c r="BY101" i="22"/>
  <c r="BY98" i="22"/>
  <c r="BY99" i="22"/>
  <c r="BY100" i="22"/>
  <c r="BY96" i="22"/>
  <c r="BY97" i="22"/>
  <c r="BY94" i="22"/>
  <c r="BY95" i="22"/>
  <c r="BY92" i="22"/>
  <c r="BY93" i="22"/>
  <c r="BY87" i="22"/>
  <c r="BY88" i="22"/>
  <c r="BY91" i="22"/>
  <c r="BY89" i="22"/>
  <c r="BY90" i="22"/>
  <c r="BY84" i="22"/>
  <c r="BY80" i="22"/>
  <c r="BY85" i="22"/>
  <c r="BY81" i="22"/>
  <c r="BY86" i="22"/>
  <c r="BY82" i="22"/>
  <c r="BY83" i="22"/>
  <c r="BY79" i="22"/>
  <c r="BY78" i="22"/>
  <c r="BY74" i="22"/>
  <c r="BY75" i="22"/>
  <c r="BY71" i="22"/>
  <c r="BY76" i="22"/>
  <c r="BY72" i="22"/>
  <c r="BY68" i="22"/>
  <c r="BY77" i="22"/>
  <c r="BY73" i="22"/>
  <c r="BY69" i="22"/>
  <c r="BY67" i="22"/>
  <c r="BY63" i="22"/>
  <c r="BY59" i="22"/>
  <c r="BY64" i="22"/>
  <c r="BY65" i="22"/>
  <c r="BY61" i="22"/>
  <c r="BY57" i="22"/>
  <c r="BY70" i="22"/>
  <c r="BY66" i="22"/>
  <c r="BY62" i="22"/>
  <c r="BY58" i="22"/>
  <c r="BY56" i="22"/>
  <c r="BY52" i="22"/>
  <c r="BY60" i="22"/>
  <c r="BY53" i="22"/>
  <c r="BY49" i="22"/>
  <c r="BY54" i="22"/>
  <c r="BY50" i="22"/>
  <c r="BY46" i="22"/>
  <c r="BY55" i="22"/>
  <c r="BY51" i="22"/>
  <c r="BY47" i="22"/>
  <c r="BY42" i="22"/>
  <c r="BY38" i="22"/>
  <c r="BY48" i="22"/>
  <c r="BY43" i="22"/>
  <c r="BY39" i="22"/>
  <c r="BY35" i="22"/>
  <c r="BY44" i="22"/>
  <c r="BY40" i="22"/>
  <c r="BY36" i="22"/>
  <c r="BY45" i="22"/>
  <c r="BY41" i="22"/>
  <c r="BY37" i="22"/>
  <c r="BY34" i="22"/>
  <c r="BY30" i="22"/>
  <c r="BY26" i="22"/>
  <c r="BY22" i="22"/>
  <c r="BY18" i="22"/>
  <c r="BY31" i="22"/>
  <c r="BY27" i="22"/>
  <c r="BY23" i="22"/>
  <c r="BY19" i="22"/>
  <c r="BY15" i="22"/>
  <c r="BY11" i="22"/>
  <c r="BY32" i="22"/>
  <c r="BY28" i="22"/>
  <c r="BY24" i="22"/>
  <c r="BY20" i="22"/>
  <c r="BY33" i="22"/>
  <c r="BY29" i="22"/>
  <c r="BY25" i="22"/>
  <c r="BY21" i="22"/>
  <c r="BY17" i="22"/>
  <c r="CC109" i="22"/>
  <c r="CC108" i="22"/>
  <c r="CC107" i="22"/>
  <c r="CC106" i="22"/>
  <c r="CC104" i="22"/>
  <c r="CC105" i="22"/>
  <c r="CC102" i="22"/>
  <c r="CC103" i="22"/>
  <c r="CC101" i="22"/>
  <c r="CC98" i="22"/>
  <c r="CC99" i="22"/>
  <c r="CC100" i="22"/>
  <c r="CC96" i="22"/>
  <c r="CC97" i="22"/>
  <c r="CC94" i="22"/>
  <c r="CC95" i="22"/>
  <c r="CC92" i="22"/>
  <c r="CC93" i="22"/>
  <c r="CC87" i="22"/>
  <c r="CC88" i="22"/>
  <c r="CC89" i="22"/>
  <c r="CC91" i="22"/>
  <c r="CC90" i="22"/>
  <c r="CC84" i="22"/>
  <c r="CC80" i="22"/>
  <c r="CC85" i="22"/>
  <c r="CC81" i="22"/>
  <c r="CC86" i="22"/>
  <c r="CC82" i="22"/>
  <c r="CC83" i="22"/>
  <c r="CC79" i="22"/>
  <c r="CC78" i="22"/>
  <c r="CC74" i="22"/>
  <c r="CC75" i="22"/>
  <c r="CC71" i="22"/>
  <c r="CC76" i="22"/>
  <c r="CC72" i="22"/>
  <c r="CC68" i="22"/>
  <c r="CC77" i="22"/>
  <c r="CC73" i="22"/>
  <c r="CC69" i="22"/>
  <c r="CC67" i="22"/>
  <c r="CC63" i="22"/>
  <c r="CC59" i="22"/>
  <c r="CC70" i="22"/>
  <c r="CC64" i="22"/>
  <c r="CC65" i="22"/>
  <c r="CC61" i="22"/>
  <c r="CC57" i="22"/>
  <c r="CC66" i="22"/>
  <c r="CC62" i="22"/>
  <c r="CC58" i="22"/>
  <c r="CC60" i="22"/>
  <c r="CC56" i="22"/>
  <c r="CC52" i="22"/>
  <c r="CC53" i="22"/>
  <c r="CC49" i="22"/>
  <c r="CC54" i="22"/>
  <c r="CC50" i="22"/>
  <c r="CC46" i="22"/>
  <c r="CC55" i="22"/>
  <c r="CC51" i="22"/>
  <c r="CC47" i="22"/>
  <c r="CC48" i="22"/>
  <c r="CC42" i="22"/>
  <c r="CC38" i="22"/>
  <c r="CC43" i="22"/>
  <c r="CC39" i="22"/>
  <c r="CC35" i="22"/>
  <c r="CC44" i="22"/>
  <c r="CC40" i="22"/>
  <c r="CC36" i="22"/>
  <c r="CC45" i="22"/>
  <c r="CC41" i="22"/>
  <c r="CC37" i="22"/>
  <c r="CC34" i="22"/>
  <c r="CC30" i="22"/>
  <c r="CC26" i="22"/>
  <c r="CC22" i="22"/>
  <c r="CC18" i="22"/>
  <c r="CC31" i="22"/>
  <c r="CC27" i="22"/>
  <c r="CC23" i="22"/>
  <c r="CC19" i="22"/>
  <c r="CC15" i="22"/>
  <c r="CC11" i="22"/>
  <c r="CC32" i="22"/>
  <c r="CC28" i="22"/>
  <c r="CC24" i="22"/>
  <c r="CC20" i="22"/>
  <c r="CC33" i="22"/>
  <c r="CC29" i="22"/>
  <c r="CC25" i="22"/>
  <c r="CC21" i="22"/>
  <c r="CC17" i="22"/>
  <c r="CG109" i="22"/>
  <c r="CG108" i="22"/>
  <c r="CG107" i="22"/>
  <c r="CG106" i="22"/>
  <c r="CG104" i="22"/>
  <c r="CG105" i="22"/>
  <c r="CG102" i="22"/>
  <c r="CG103" i="22"/>
  <c r="CG101" i="22"/>
  <c r="CG98" i="22"/>
  <c r="CG99" i="22"/>
  <c r="CG100" i="22"/>
  <c r="CG96" i="22"/>
  <c r="CG97" i="22"/>
  <c r="CG94" i="22"/>
  <c r="CG95" i="22"/>
  <c r="CG92" i="22"/>
  <c r="CG93" i="22"/>
  <c r="CG91" i="22"/>
  <c r="CG87" i="22"/>
  <c r="CG88" i="22"/>
  <c r="CG89" i="22"/>
  <c r="CG90" i="22"/>
  <c r="CG84" i="22"/>
  <c r="CG80" i="22"/>
  <c r="CG85" i="22"/>
  <c r="CG81" i="22"/>
  <c r="CG86" i="22"/>
  <c r="CG82" i="22"/>
  <c r="CG83" i="22"/>
  <c r="CG79" i="22"/>
  <c r="CG78" i="22"/>
  <c r="CG74" i="22"/>
  <c r="CG75" i="22"/>
  <c r="CG71" i="22"/>
  <c r="CG76" i="22"/>
  <c r="CG72" i="22"/>
  <c r="CG68" i="22"/>
  <c r="CG77" i="22"/>
  <c r="CG73" i="22"/>
  <c r="CG69" i="22"/>
  <c r="CG67" i="22"/>
  <c r="CG63" i="22"/>
  <c r="CG59" i="22"/>
  <c r="CG64" i="22"/>
  <c r="CG65" i="22"/>
  <c r="CG61" i="22"/>
  <c r="CG57" i="22"/>
  <c r="CG70" i="22"/>
  <c r="CG66" i="22"/>
  <c r="CG62" i="22"/>
  <c r="CG58" i="22"/>
  <c r="CG56" i="22"/>
  <c r="CG52" i="22"/>
  <c r="CG53" i="22"/>
  <c r="CG49" i="22"/>
  <c r="CG54" i="22"/>
  <c r="CG50" i="22"/>
  <c r="CG46" i="22"/>
  <c r="CG60" i="22"/>
  <c r="CG55" i="22"/>
  <c r="CG51" i="22"/>
  <c r="CG47" i="22"/>
  <c r="CG42" i="22"/>
  <c r="CG38" i="22"/>
  <c r="CG43" i="22"/>
  <c r="CG39" i="22"/>
  <c r="CG35" i="22"/>
  <c r="CG44" i="22"/>
  <c r="CG40" i="22"/>
  <c r="CG36" i="22"/>
  <c r="CG48" i="22"/>
  <c r="CG45" i="22"/>
  <c r="CG41" i="22"/>
  <c r="CG37" i="22"/>
  <c r="CG34" i="22"/>
  <c r="CG30" i="22"/>
  <c r="CG26" i="22"/>
  <c r="CG22" i="22"/>
  <c r="CG18" i="22"/>
  <c r="CG31" i="22"/>
  <c r="CG27" i="22"/>
  <c r="CG23" i="22"/>
  <c r="CG19" i="22"/>
  <c r="CG15" i="22"/>
  <c r="CG11" i="22"/>
  <c r="CG32" i="22"/>
  <c r="CG28" i="22"/>
  <c r="CG24" i="22"/>
  <c r="CG20" i="22"/>
  <c r="CG33" i="22"/>
  <c r="CG29" i="22"/>
  <c r="CG25" i="22"/>
  <c r="CG21" i="22"/>
  <c r="CG17" i="22"/>
  <c r="CK109" i="22"/>
  <c r="CK106" i="22"/>
  <c r="CK101" i="22"/>
  <c r="CK96" i="22"/>
  <c r="CK92" i="22"/>
  <c r="CK91" i="22"/>
  <c r="CK80" i="22"/>
  <c r="CK82" i="22"/>
  <c r="CK74" i="22"/>
  <c r="CK72" i="22"/>
  <c r="CK69" i="22"/>
  <c r="CK70" i="22"/>
  <c r="CK57" i="22"/>
  <c r="CK56" i="22"/>
  <c r="CK60" i="22"/>
  <c r="CK55" i="22"/>
  <c r="CK38" i="22"/>
  <c r="CK48" i="22"/>
  <c r="CK45" i="22"/>
  <c r="CK30" i="22"/>
  <c r="CK31" i="22"/>
  <c r="CK15" i="22"/>
  <c r="CK24" i="22"/>
  <c r="CK25" i="22"/>
  <c r="CO109" i="22"/>
  <c r="CO108" i="22"/>
  <c r="CO107" i="22"/>
  <c r="CO104" i="22"/>
  <c r="CO105" i="22"/>
  <c r="CO106" i="22"/>
  <c r="CO102" i="22"/>
  <c r="CO103" i="22"/>
  <c r="CO101" i="22"/>
  <c r="CO98" i="22"/>
  <c r="CO99" i="22"/>
  <c r="CO100" i="22"/>
  <c r="CO96" i="22"/>
  <c r="CO97" i="22"/>
  <c r="CO94" i="22"/>
  <c r="CO95" i="22"/>
  <c r="CO92" i="22"/>
  <c r="CO93" i="22"/>
  <c r="CO87" i="22"/>
  <c r="CO90" i="22"/>
  <c r="CO88" i="22"/>
  <c r="CO91" i="22"/>
  <c r="CO89" i="22"/>
  <c r="CO84" i="22"/>
  <c r="CO80" i="22"/>
  <c r="CO85" i="22"/>
  <c r="CO81" i="22"/>
  <c r="CO82" i="22"/>
  <c r="CO86" i="22"/>
  <c r="CO83" i="22"/>
  <c r="CO79" i="22"/>
  <c r="CO78" i="22"/>
  <c r="CO74" i="22"/>
  <c r="CO75" i="22"/>
  <c r="CO71" i="22"/>
  <c r="CO76" i="22"/>
  <c r="CO72" i="22"/>
  <c r="CO68" i="22"/>
  <c r="CO77" i="22"/>
  <c r="CO73" i="22"/>
  <c r="CO69" i="22"/>
  <c r="CO67" i="22"/>
  <c r="CO63" i="22"/>
  <c r="CO59" i="22"/>
  <c r="CO64" i="22"/>
  <c r="CO65" i="22"/>
  <c r="CO61" i="22"/>
  <c r="CO57" i="22"/>
  <c r="CO70" i="22"/>
  <c r="CO66" i="22"/>
  <c r="CO62" i="22"/>
  <c r="CO58" i="22"/>
  <c r="CO56" i="22"/>
  <c r="CO52" i="22"/>
  <c r="CO60" i="22"/>
  <c r="CO53" i="22"/>
  <c r="CO49" i="22"/>
  <c r="CO54" i="22"/>
  <c r="CO50" i="22"/>
  <c r="CO46" i="22"/>
  <c r="CO55" i="22"/>
  <c r="CO51" i="22"/>
  <c r="CO47" i="22"/>
  <c r="CO42" i="22"/>
  <c r="CO38" i="22"/>
  <c r="CO48" i="22"/>
  <c r="CO43" i="22"/>
  <c r="CO39" i="22"/>
  <c r="CO35" i="22"/>
  <c r="CO44" i="22"/>
  <c r="CO40" i="22"/>
  <c r="CO36" i="22"/>
  <c r="CO45" i="22"/>
  <c r="CO41" i="22"/>
  <c r="CO37" i="22"/>
  <c r="CO34" i="22"/>
  <c r="CO30" i="22"/>
  <c r="CO26" i="22"/>
  <c r="CO22" i="22"/>
  <c r="CO18" i="22"/>
  <c r="CO31" i="22"/>
  <c r="CO27" i="22"/>
  <c r="CO23" i="22"/>
  <c r="CO19" i="22"/>
  <c r="CO15" i="22"/>
  <c r="CO11" i="22"/>
  <c r="CO32" i="22"/>
  <c r="CO28" i="22"/>
  <c r="CO24" i="22"/>
  <c r="CO20" i="22"/>
  <c r="CO33" i="22"/>
  <c r="CO29" i="22"/>
  <c r="CO25" i="22"/>
  <c r="CO21" i="22"/>
  <c r="CO17" i="22"/>
  <c r="CS109" i="22"/>
  <c r="CS108" i="22"/>
  <c r="CS107" i="22"/>
  <c r="CS106" i="22"/>
  <c r="CS104" i="22"/>
  <c r="CS105" i="22"/>
  <c r="CS102" i="22"/>
  <c r="CS103" i="22"/>
  <c r="CS101" i="22"/>
  <c r="CS98" i="22"/>
  <c r="CS99" i="22"/>
  <c r="CS100" i="22"/>
  <c r="CS96" i="22"/>
  <c r="CS97" i="22"/>
  <c r="CS94" i="22"/>
  <c r="CS92" i="22"/>
  <c r="CS95" i="22"/>
  <c r="CS93" i="22"/>
  <c r="CS87" i="22"/>
  <c r="CS88" i="22"/>
  <c r="CS90" i="22"/>
  <c r="CS89" i="22"/>
  <c r="CS91" i="22"/>
  <c r="CS86" i="22"/>
  <c r="CS84" i="22"/>
  <c r="CS80" i="22"/>
  <c r="CS85" i="22"/>
  <c r="CS81" i="22"/>
  <c r="CS82" i="22"/>
  <c r="CS83" i="22"/>
  <c r="CS79" i="22"/>
  <c r="CS78" i="22"/>
  <c r="CS74" i="22"/>
  <c r="CS75" i="22"/>
  <c r="CS71" i="22"/>
  <c r="CS76" i="22"/>
  <c r="CS72" i="22"/>
  <c r="CS68" i="22"/>
  <c r="CS77" i="22"/>
  <c r="CS73" i="22"/>
  <c r="CS69" i="22"/>
  <c r="CS67" i="22"/>
  <c r="CS63" i="22"/>
  <c r="CS59" i="22"/>
  <c r="CS70" i="22"/>
  <c r="CS64" i="22"/>
  <c r="CS65" i="22"/>
  <c r="CS61" i="22"/>
  <c r="CS57" i="22"/>
  <c r="CS66" i="22"/>
  <c r="CS62" i="22"/>
  <c r="CS58" i="22"/>
  <c r="CS60" i="22"/>
  <c r="CS56" i="22"/>
  <c r="CS52" i="22"/>
  <c r="CS53" i="22"/>
  <c r="CS49" i="22"/>
  <c r="CS54" i="22"/>
  <c r="CS50" i="22"/>
  <c r="CS46" i="22"/>
  <c r="CS55" i="22"/>
  <c r="CS51" i="22"/>
  <c r="CS47" i="22"/>
  <c r="CS48" i="22"/>
  <c r="CS42" i="22"/>
  <c r="CS38" i="22"/>
  <c r="CS43" i="22"/>
  <c r="CS39" i="22"/>
  <c r="CS35" i="22"/>
  <c r="CS44" i="22"/>
  <c r="CS40" i="22"/>
  <c r="CS36" i="22"/>
  <c r="CS45" i="22"/>
  <c r="CS41" i="22"/>
  <c r="CS37" i="22"/>
  <c r="CS34" i="22"/>
  <c r="CS30" i="22"/>
  <c r="CS26" i="22"/>
  <c r="CS22" i="22"/>
  <c r="CS18" i="22"/>
  <c r="CS31" i="22"/>
  <c r="CS27" i="22"/>
  <c r="CS23" i="22"/>
  <c r="CS19" i="22"/>
  <c r="CS15" i="22"/>
  <c r="CS11" i="22"/>
  <c r="CS32" i="22"/>
  <c r="CS28" i="22"/>
  <c r="CS24" i="22"/>
  <c r="CS20" i="22"/>
  <c r="CS33" i="22"/>
  <c r="CS29" i="22"/>
  <c r="CS25" i="22"/>
  <c r="CS21" i="22"/>
  <c r="CS17" i="22"/>
  <c r="CW109" i="22"/>
  <c r="CW108" i="22"/>
  <c r="CW107" i="22"/>
  <c r="CW106" i="22"/>
  <c r="CW104" i="22"/>
  <c r="CW105" i="22"/>
  <c r="CW102" i="22"/>
  <c r="CW103" i="22"/>
  <c r="CW101" i="22"/>
  <c r="CW98" i="22"/>
  <c r="CW99" i="22"/>
  <c r="CW100" i="22"/>
  <c r="CW96" i="22"/>
  <c r="CW97" i="22"/>
  <c r="CW95" i="22"/>
  <c r="CW94" i="22"/>
  <c r="CW92" i="22"/>
  <c r="CW93" i="22"/>
  <c r="CW91" i="22"/>
  <c r="CW87" i="22"/>
  <c r="CW88" i="22"/>
  <c r="CW89" i="22"/>
  <c r="CW90" i="22"/>
  <c r="CW84" i="22"/>
  <c r="CW80" i="22"/>
  <c r="CW86" i="22"/>
  <c r="CW85" i="22"/>
  <c r="CW81" i="22"/>
  <c r="CW82" i="22"/>
  <c r="CW83" i="22"/>
  <c r="CW79" i="22"/>
  <c r="CW78" i="22"/>
  <c r="CW74" i="22"/>
  <c r="CW75" i="22"/>
  <c r="CW71" i="22"/>
  <c r="CW76" i="22"/>
  <c r="CW72" i="22"/>
  <c r="CW68" i="22"/>
  <c r="CW77" i="22"/>
  <c r="CW73" i="22"/>
  <c r="CW69" i="22"/>
  <c r="CW67" i="22"/>
  <c r="CW63" i="22"/>
  <c r="CW59" i="22"/>
  <c r="CW64" i="22"/>
  <c r="CW65" i="22"/>
  <c r="CW61" i="22"/>
  <c r="CW57" i="22"/>
  <c r="CW70" i="22"/>
  <c r="CW66" i="22"/>
  <c r="CW62" i="22"/>
  <c r="CW58" i="22"/>
  <c r="CW56" i="22"/>
  <c r="CW52" i="22"/>
  <c r="CW53" i="22"/>
  <c r="CW49" i="22"/>
  <c r="CW54" i="22"/>
  <c r="CW50" i="22"/>
  <c r="CW46" i="22"/>
  <c r="CW60" i="22"/>
  <c r="CW55" i="22"/>
  <c r="CW51" i="22"/>
  <c r="CW47" i="22"/>
  <c r="CW42" i="22"/>
  <c r="CW38" i="22"/>
  <c r="CW43" i="22"/>
  <c r="CW39" i="22"/>
  <c r="CW35" i="22"/>
  <c r="CW44" i="22"/>
  <c r="CW40" i="22"/>
  <c r="CW36" i="22"/>
  <c r="CW48" i="22"/>
  <c r="CW45" i="22"/>
  <c r="CW41" i="22"/>
  <c r="CW37" i="22"/>
  <c r="CW34" i="22"/>
  <c r="CW30" i="22"/>
  <c r="CW26" i="22"/>
  <c r="CW22" i="22"/>
  <c r="CW18" i="22"/>
  <c r="CW31" i="22"/>
  <c r="CW27" i="22"/>
  <c r="CW23" i="22"/>
  <c r="CW19" i="22"/>
  <c r="CW15" i="22"/>
  <c r="CW11" i="22"/>
  <c r="CW32" i="22"/>
  <c r="CW28" i="22"/>
  <c r="CW24" i="22"/>
  <c r="CW20" i="22"/>
  <c r="CW33" i="22"/>
  <c r="CW29" i="22"/>
  <c r="CW25" i="22"/>
  <c r="CW21" i="22"/>
  <c r="CW17" i="22"/>
  <c r="DA107" i="22"/>
  <c r="DA109" i="22"/>
  <c r="DA108" i="22"/>
  <c r="DA104" i="22"/>
  <c r="DA106" i="22"/>
  <c r="DA105" i="22"/>
  <c r="DA102" i="22"/>
  <c r="DA103" i="22"/>
  <c r="DA101" i="22"/>
  <c r="DA98" i="22"/>
  <c r="DA99" i="22"/>
  <c r="DA100" i="22"/>
  <c r="DA96" i="22"/>
  <c r="DA97" i="22"/>
  <c r="DA94" i="22"/>
  <c r="DA95" i="22"/>
  <c r="DA92" i="22"/>
  <c r="DA93" i="22"/>
  <c r="DA90" i="22"/>
  <c r="DA87" i="22"/>
  <c r="DA91" i="22"/>
  <c r="DA88" i="22"/>
  <c r="DA89" i="22"/>
  <c r="DA84" i="22"/>
  <c r="DA80" i="22"/>
  <c r="DA85" i="22"/>
  <c r="DA81" i="22"/>
  <c r="DA86" i="22"/>
  <c r="DA82" i="22"/>
  <c r="DA83" i="22"/>
  <c r="DA79" i="22"/>
  <c r="DA78" i="22"/>
  <c r="DA74" i="22"/>
  <c r="DA75" i="22"/>
  <c r="DA71" i="22"/>
  <c r="DA76" i="22"/>
  <c r="DA72" i="22"/>
  <c r="DA68" i="22"/>
  <c r="DA77" i="22"/>
  <c r="DA73" i="22"/>
  <c r="DA69" i="22"/>
  <c r="DA67" i="22"/>
  <c r="DA63" i="22"/>
  <c r="DA59" i="22"/>
  <c r="DA70" i="22"/>
  <c r="DA64" i="22"/>
  <c r="DA65" i="22"/>
  <c r="DA61" i="22"/>
  <c r="DA57" i="22"/>
  <c r="DA66" i="22"/>
  <c r="DA62" i="22"/>
  <c r="DA58" i="22"/>
  <c r="DA56" i="22"/>
  <c r="DA52" i="22"/>
  <c r="DA53" i="22"/>
  <c r="DA49" i="22"/>
  <c r="DA60" i="22"/>
  <c r="DA54" i="22"/>
  <c r="DA50" i="22"/>
  <c r="DA46" i="22"/>
  <c r="DA55" i="22"/>
  <c r="DA51" i="22"/>
  <c r="DA47" i="22"/>
  <c r="DA42" i="22"/>
  <c r="DA38" i="22"/>
  <c r="DA43" i="22"/>
  <c r="DA39" i="22"/>
  <c r="DA35" i="22"/>
  <c r="DA48" i="22"/>
  <c r="DA44" i="22"/>
  <c r="DA40" i="22"/>
  <c r="DA36" i="22"/>
  <c r="DA45" i="22"/>
  <c r="DA41" i="22"/>
  <c r="DA37" i="22"/>
  <c r="DA34" i="22"/>
  <c r="DA30" i="22"/>
  <c r="DA26" i="22"/>
  <c r="DA22" i="22"/>
  <c r="DA18" i="22"/>
  <c r="DA31" i="22"/>
  <c r="DA27" i="22"/>
  <c r="DA23" i="22"/>
  <c r="DA19" i="22"/>
  <c r="DA15" i="22"/>
  <c r="DA11" i="22"/>
  <c r="DA32" i="22"/>
  <c r="DA28" i="22"/>
  <c r="DA24" i="22"/>
  <c r="DA20" i="22"/>
  <c r="DA33" i="22"/>
  <c r="DA29" i="22"/>
  <c r="DA25" i="22"/>
  <c r="DA21" i="22"/>
  <c r="DA17" i="22"/>
  <c r="DE102" i="22"/>
  <c r="DE82" i="22"/>
  <c r="DE66" i="22"/>
  <c r="DE40" i="22"/>
  <c r="DE29" i="22"/>
  <c r="G4" i="22"/>
  <c r="K4" i="22"/>
  <c r="O4" i="22"/>
  <c r="S4" i="22"/>
  <c r="W4" i="22"/>
  <c r="AE4" i="22"/>
  <c r="AI4" i="22"/>
  <c r="AM4" i="22"/>
  <c r="AQ4" i="22"/>
  <c r="AY4" i="22"/>
  <c r="BC4" i="22"/>
  <c r="BG4" i="22"/>
  <c r="BK4" i="22"/>
  <c r="BS4" i="22"/>
  <c r="BW4" i="22"/>
  <c r="CA4" i="22"/>
  <c r="CE4" i="22"/>
  <c r="CI4" i="22"/>
  <c r="CU4" i="22"/>
  <c r="CY4" i="22"/>
  <c r="DC4" i="22"/>
  <c r="H5" i="22"/>
  <c r="L5" i="22"/>
  <c r="P5" i="22"/>
  <c r="T5" i="22"/>
  <c r="AB5" i="22"/>
  <c r="AF5" i="22"/>
  <c r="AJ5" i="22"/>
  <c r="AN5" i="22"/>
  <c r="AR5" i="22"/>
  <c r="AV5" i="22"/>
  <c r="BD5" i="22"/>
  <c r="BH5" i="22"/>
  <c r="BL5" i="22"/>
  <c r="BP5" i="22"/>
  <c r="BT5" i="22"/>
  <c r="CB5" i="22"/>
  <c r="CF5" i="22"/>
  <c r="CR5" i="22"/>
  <c r="CV5" i="22"/>
  <c r="CZ5" i="22"/>
  <c r="DD5" i="22"/>
  <c r="I10" i="22"/>
  <c r="M10" i="22"/>
  <c r="Q10" i="22"/>
  <c r="U10" i="22"/>
  <c r="Y10" i="22"/>
  <c r="AC10" i="22"/>
  <c r="AK10" i="22"/>
  <c r="AO10" i="22"/>
  <c r="BA10" i="22"/>
  <c r="BE10" i="22"/>
  <c r="BI10" i="22"/>
  <c r="BM10" i="22"/>
  <c r="BU10" i="22"/>
  <c r="BY10" i="22"/>
  <c r="CC10" i="22"/>
  <c r="CG10" i="22"/>
  <c r="CO10" i="22"/>
  <c r="CS10" i="22"/>
  <c r="CW10" i="22"/>
  <c r="DA10" i="22"/>
  <c r="K11" i="22"/>
  <c r="P11" i="22"/>
  <c r="AF11" i="22"/>
  <c r="AQ11" i="22"/>
  <c r="BG11" i="22"/>
  <c r="BL11" i="22"/>
  <c r="BW11" i="22"/>
  <c r="CB11" i="22"/>
  <c r="CR11" i="22"/>
  <c r="DC11" i="22"/>
  <c r="G12" i="22"/>
  <c r="L12" i="22"/>
  <c r="Q12" i="22"/>
  <c r="W12" i="22"/>
  <c r="AB12" i="22"/>
  <c r="AM12" i="22"/>
  <c r="AR12" i="22"/>
  <c r="BC12" i="22"/>
  <c r="BH12" i="22"/>
  <c r="BM12" i="22"/>
  <c r="BS12" i="22"/>
  <c r="CC12" i="22"/>
  <c r="CI12" i="22"/>
  <c r="CS12" i="22"/>
  <c r="CY12" i="22"/>
  <c r="DD12" i="22"/>
  <c r="H13" i="22"/>
  <c r="M13" i="22"/>
  <c r="AC13" i="22"/>
  <c r="AN13" i="22"/>
  <c r="BD13" i="22"/>
  <c r="BI13" i="22"/>
  <c r="BT13" i="22"/>
  <c r="BY13" i="22"/>
  <c r="CO13" i="22"/>
  <c r="CZ13" i="22"/>
  <c r="DE13" i="22"/>
  <c r="S14" i="22"/>
  <c r="Y14" i="22"/>
  <c r="AI14" i="22"/>
  <c r="AO14" i="22"/>
  <c r="AY14" i="22"/>
  <c r="BE14" i="22"/>
  <c r="BU14" i="22"/>
  <c r="CE14" i="22"/>
  <c r="CU14" i="22"/>
  <c r="DA14" i="22"/>
  <c r="H15" i="22"/>
  <c r="S15" i="22"/>
  <c r="AI15" i="22"/>
  <c r="AN15" i="22"/>
  <c r="AY15" i="22"/>
  <c r="BD15" i="22"/>
  <c r="BT15" i="22"/>
  <c r="CE15" i="22"/>
  <c r="CU15" i="22"/>
  <c r="CZ15" i="22"/>
  <c r="O16" i="22"/>
  <c r="T16" i="22"/>
  <c r="Y16" i="22"/>
  <c r="AE16" i="22"/>
  <c r="AJ16" i="22"/>
  <c r="AO16" i="22"/>
  <c r="BE16" i="22"/>
  <c r="BK16" i="22"/>
  <c r="BP16" i="22"/>
  <c r="BU16" i="22"/>
  <c r="CA16" i="22"/>
  <c r="CF16" i="22"/>
  <c r="CV16" i="22"/>
  <c r="DA16" i="22"/>
  <c r="K18" i="22"/>
  <c r="AQ18" i="22"/>
  <c r="BG18" i="22"/>
  <c r="BW18" i="22"/>
  <c r="DC18" i="22"/>
  <c r="H19" i="22"/>
  <c r="AN19" i="22"/>
  <c r="BD19" i="22"/>
  <c r="BT19" i="22"/>
  <c r="CZ19" i="22"/>
  <c r="N73" i="32" l="1"/>
  <c r="R71" i="32"/>
  <c r="D25" i="30"/>
  <c r="D26" i="30" s="1"/>
  <c r="A27" i="30"/>
  <c r="A28" i="33"/>
  <c r="C27" i="33"/>
  <c r="AQ40" i="22"/>
  <c r="AQ88" i="22"/>
  <c r="D4" i="22"/>
  <c r="AQ52" i="22"/>
  <c r="AQ96" i="22"/>
  <c r="CN19" i="22"/>
  <c r="AQ39" i="22"/>
  <c r="CZ17" i="22"/>
  <c r="H35" i="22"/>
  <c r="H14" i="22"/>
  <c r="H34" i="22"/>
  <c r="H44" i="22"/>
  <c r="H42" i="22"/>
  <c r="H51" i="22"/>
  <c r="H59" i="22"/>
  <c r="H58" i="22"/>
  <c r="H64" i="22"/>
  <c r="H62" i="22"/>
  <c r="H81" i="22"/>
  <c r="H80" i="22"/>
  <c r="H84" i="22"/>
  <c r="H87" i="22"/>
  <c r="H98" i="22"/>
  <c r="H97" i="22"/>
  <c r="H107" i="22"/>
  <c r="BK6" i="22"/>
  <c r="CY18" i="22"/>
  <c r="T11" i="22"/>
  <c r="CV10" i="22"/>
  <c r="DC29" i="22"/>
  <c r="DC44" i="22"/>
  <c r="DC64" i="22"/>
  <c r="DC77" i="22"/>
  <c r="DC91" i="22"/>
  <c r="CY20" i="22"/>
  <c r="CY49" i="22"/>
  <c r="CY63" i="22"/>
  <c r="CY79" i="22"/>
  <c r="CI45" i="22"/>
  <c r="BW108" i="22"/>
  <c r="BW102" i="22"/>
  <c r="BW96" i="22"/>
  <c r="BW97" i="22"/>
  <c r="BW89" i="22"/>
  <c r="BW86" i="22"/>
  <c r="BW88" i="22"/>
  <c r="BW80" i="22"/>
  <c r="BW73" i="22"/>
  <c r="BW75" i="22"/>
  <c r="BW61" i="22"/>
  <c r="BW67" i="22"/>
  <c r="BW60" i="22"/>
  <c r="BW55" i="22"/>
  <c r="BW52" i="22"/>
  <c r="BW49" i="22"/>
  <c r="BW40" i="22"/>
  <c r="BW37" i="22"/>
  <c r="BW39" i="22"/>
  <c r="BW24" i="22"/>
  <c r="BW25" i="22"/>
  <c r="BW34" i="22"/>
  <c r="BW31" i="22"/>
  <c r="BW106" i="22"/>
  <c r="BW104" i="22"/>
  <c r="BW98" i="22"/>
  <c r="BW94" i="22"/>
  <c r="BW90" i="22"/>
  <c r="BW82" i="22"/>
  <c r="BW87" i="22"/>
  <c r="BW76" i="22"/>
  <c r="BW78" i="22"/>
  <c r="BW71" i="22"/>
  <c r="BW68" i="22"/>
  <c r="BW63" i="22"/>
  <c r="BW62" i="22"/>
  <c r="BW51" i="22"/>
  <c r="BW48" i="22"/>
  <c r="BW50" i="22"/>
  <c r="BW36" i="22"/>
  <c r="BW42" i="22"/>
  <c r="BW35" i="22"/>
  <c r="BW20" i="22"/>
  <c r="BW21" i="22"/>
  <c r="BW30" i="22"/>
  <c r="BW27" i="22"/>
  <c r="K54" i="22"/>
  <c r="K84" i="22"/>
  <c r="K6" i="22"/>
  <c r="K63" i="22"/>
  <c r="K9" i="22"/>
  <c r="CU10" i="22"/>
  <c r="CU94" i="22"/>
  <c r="CU76" i="22"/>
  <c r="CU59" i="22"/>
  <c r="CU44" i="22"/>
  <c r="CU20" i="22"/>
  <c r="CU107" i="22"/>
  <c r="CU90" i="22"/>
  <c r="CU74" i="22"/>
  <c r="CU54" i="22"/>
  <c r="CU41" i="22"/>
  <c r="CU21" i="22"/>
  <c r="AI100" i="22"/>
  <c r="AI63" i="22"/>
  <c r="AI16" i="22"/>
  <c r="AI9" i="22"/>
  <c r="AI6" i="22"/>
  <c r="AE76" i="22"/>
  <c r="AE9" i="22"/>
  <c r="AE11" i="22"/>
  <c r="AE6" i="22"/>
  <c r="G82" i="22"/>
  <c r="G9" i="22"/>
  <c r="G15" i="22"/>
  <c r="G18" i="22"/>
  <c r="BS83" i="22"/>
  <c r="BS86" i="22"/>
  <c r="BS14" i="22"/>
  <c r="BS18" i="22"/>
  <c r="BS58" i="22"/>
  <c r="BS9" i="22"/>
  <c r="BP10" i="22"/>
  <c r="BP17" i="22"/>
  <c r="L16" i="22"/>
  <c r="L13" i="22"/>
  <c r="L15" i="22"/>
  <c r="W77" i="22"/>
  <c r="W14" i="22"/>
  <c r="W18" i="22"/>
  <c r="CM102" i="22"/>
  <c r="CM90" i="22"/>
  <c r="CM34" i="22"/>
  <c r="CM75" i="22"/>
  <c r="E16" i="22"/>
  <c r="E7" i="22"/>
  <c r="E11" i="22"/>
  <c r="AY77" i="22"/>
  <c r="AY9" i="22"/>
  <c r="BK52" i="22"/>
  <c r="BK9" i="22"/>
  <c r="BK101" i="22"/>
  <c r="BK41" i="22"/>
  <c r="DC107" i="22"/>
  <c r="DC99" i="22"/>
  <c r="DC92" i="22"/>
  <c r="DC81" i="22"/>
  <c r="DC70" i="22"/>
  <c r="DC72" i="22"/>
  <c r="DC57" i="22"/>
  <c r="DC53" i="22"/>
  <c r="DC41" i="22"/>
  <c r="DC28" i="22"/>
  <c r="DC13" i="22"/>
  <c r="DC19" i="22"/>
  <c r="DC9" i="22"/>
  <c r="DC102" i="22"/>
  <c r="DC95" i="22"/>
  <c r="DC90" i="22"/>
  <c r="DC80" i="22"/>
  <c r="DC75" i="22"/>
  <c r="DC67" i="22"/>
  <c r="DC55" i="22"/>
  <c r="DC49" i="22"/>
  <c r="DC37" i="22"/>
  <c r="DC24" i="22"/>
  <c r="DC34" i="22"/>
  <c r="O77" i="22"/>
  <c r="O6" i="22"/>
  <c r="CI99" i="22"/>
  <c r="CI78" i="22"/>
  <c r="CI51" i="22"/>
  <c r="CI24" i="22"/>
  <c r="CI92" i="22"/>
  <c r="CI68" i="22"/>
  <c r="CI53" i="22"/>
  <c r="CI17" i="22"/>
  <c r="CI9" i="22"/>
  <c r="CI15" i="22"/>
  <c r="CI18" i="22"/>
  <c r="AR10" i="22"/>
  <c r="AR15" i="22"/>
  <c r="CY107" i="22"/>
  <c r="CY100" i="22"/>
  <c r="CY93" i="22"/>
  <c r="CY83" i="22"/>
  <c r="CY80" i="22"/>
  <c r="CY61" i="22"/>
  <c r="CY60" i="22"/>
  <c r="CY56" i="22"/>
  <c r="CY50" i="22"/>
  <c r="CY39" i="22"/>
  <c r="CY21" i="22"/>
  <c r="CY31" i="22"/>
  <c r="CY108" i="22"/>
  <c r="CY96" i="22"/>
  <c r="CY92" i="22"/>
  <c r="CY84" i="22"/>
  <c r="CY78" i="22"/>
  <c r="CY66" i="22"/>
  <c r="CY57" i="22"/>
  <c r="CY52" i="22"/>
  <c r="CY45" i="22"/>
  <c r="CY32" i="22"/>
  <c r="CY17" i="22"/>
  <c r="CY27" i="22"/>
  <c r="BK33" i="22"/>
  <c r="CV4" i="22"/>
  <c r="DC25" i="22"/>
  <c r="DC40" i="22"/>
  <c r="DC60" i="22"/>
  <c r="DC73" i="22"/>
  <c r="DC89" i="22"/>
  <c r="DC108" i="22"/>
  <c r="CY94" i="22"/>
  <c r="CM37" i="22"/>
  <c r="CI46" i="22"/>
  <c r="CI81" i="22"/>
  <c r="BK63" i="22"/>
  <c r="AY38" i="22"/>
  <c r="CU31" i="22"/>
  <c r="CU34" i="22"/>
  <c r="CU25" i="22"/>
  <c r="CU24" i="22"/>
  <c r="CU39" i="22"/>
  <c r="CU46" i="22"/>
  <c r="CU45" i="22"/>
  <c r="CU49" i="22"/>
  <c r="CU48" i="22"/>
  <c r="CU47" i="22"/>
  <c r="CU60" i="22"/>
  <c r="CU63" i="22"/>
  <c r="CU65" i="22"/>
  <c r="CU75" i="22"/>
  <c r="CU78" i="22"/>
  <c r="CU80" i="22"/>
  <c r="CU88" i="22"/>
  <c r="CU92" i="22"/>
  <c r="CU89" i="22"/>
  <c r="CU95" i="22"/>
  <c r="CU96" i="22"/>
  <c r="CU102" i="22"/>
  <c r="CU108" i="22"/>
  <c r="CM25" i="22"/>
  <c r="CM40" i="22"/>
  <c r="CM60" i="22"/>
  <c r="CM73" i="22"/>
  <c r="CM95" i="22"/>
  <c r="BS23" i="22"/>
  <c r="BS39" i="22"/>
  <c r="BS61" i="22"/>
  <c r="BS96" i="22"/>
  <c r="AM34" i="22"/>
  <c r="AM24" i="22"/>
  <c r="AM42" i="22"/>
  <c r="AM49" i="22"/>
  <c r="AM58" i="22"/>
  <c r="AM63" i="22"/>
  <c r="AM75" i="22"/>
  <c r="AM79" i="22"/>
  <c r="AM86" i="22"/>
  <c r="AM97" i="22"/>
  <c r="AM104" i="22"/>
  <c r="AI20" i="22"/>
  <c r="AI65" i="22"/>
  <c r="AE49" i="22"/>
  <c r="W40" i="22"/>
  <c r="S34" i="22"/>
  <c r="S50" i="22"/>
  <c r="S55" i="22"/>
  <c r="S79" i="22"/>
  <c r="S92" i="22"/>
  <c r="S107" i="22"/>
  <c r="G41" i="22"/>
  <c r="CE10" i="22"/>
  <c r="AM11" i="22"/>
  <c r="BM3" i="22"/>
  <c r="CU19" i="22"/>
  <c r="CU22" i="22"/>
  <c r="CU13" i="22"/>
  <c r="CU29" i="22"/>
  <c r="CU28" i="22"/>
  <c r="CU43" i="22"/>
  <c r="CU50" i="22"/>
  <c r="CU36" i="22"/>
  <c r="CU53" i="22"/>
  <c r="CU52" i="22"/>
  <c r="CU51" i="22"/>
  <c r="CU64" i="22"/>
  <c r="CU67" i="22"/>
  <c r="CU69" i="22"/>
  <c r="CU79" i="22"/>
  <c r="CU73" i="22"/>
  <c r="CU81" i="22"/>
  <c r="CU84" i="22"/>
  <c r="CU93" i="22"/>
  <c r="CU91" i="22"/>
  <c r="CU99" i="22"/>
  <c r="CU100" i="22"/>
  <c r="CU105" i="22"/>
  <c r="CU109" i="22"/>
  <c r="CM24" i="22"/>
  <c r="CM49" i="22"/>
  <c r="CM67" i="22"/>
  <c r="CM80" i="22"/>
  <c r="CM96" i="22"/>
  <c r="BS27" i="22"/>
  <c r="BS42" i="22"/>
  <c r="BS75" i="22"/>
  <c r="BS104" i="22"/>
  <c r="AI39" i="22"/>
  <c r="AI80" i="22"/>
  <c r="AE75" i="22"/>
  <c r="CU23" i="22"/>
  <c r="CU26" i="22"/>
  <c r="CU17" i="22"/>
  <c r="CU33" i="22"/>
  <c r="CU32" i="22"/>
  <c r="CU38" i="22"/>
  <c r="CU37" i="22"/>
  <c r="CU40" i="22"/>
  <c r="CU57" i="22"/>
  <c r="CU56" i="22"/>
  <c r="CU55" i="22"/>
  <c r="CU68" i="22"/>
  <c r="CU66" i="22"/>
  <c r="CU72" i="22"/>
  <c r="CU70" i="22"/>
  <c r="CU77" i="22"/>
  <c r="CU85" i="22"/>
  <c r="CU83" i="22"/>
  <c r="CU86" i="22"/>
  <c r="CU97" i="22"/>
  <c r="CU98" i="22"/>
  <c r="CU103" i="22"/>
  <c r="CU106" i="22"/>
  <c r="CM31" i="22"/>
  <c r="CM39" i="22"/>
  <c r="CM52" i="22"/>
  <c r="CM61" i="22"/>
  <c r="CM88" i="22"/>
  <c r="BS26" i="22"/>
  <c r="BS56" i="22"/>
  <c r="AI49" i="22"/>
  <c r="AI109" i="22"/>
  <c r="CG6" i="22"/>
  <c r="CG5" i="22"/>
  <c r="BL9" i="22"/>
  <c r="BL8" i="22"/>
  <c r="AQ7" i="22"/>
  <c r="AQ14" i="22"/>
  <c r="AQ105" i="22"/>
  <c r="AQ104" i="22"/>
  <c r="AQ98" i="22"/>
  <c r="AQ94" i="22"/>
  <c r="AQ90" i="22"/>
  <c r="AQ82" i="22"/>
  <c r="AQ87" i="22"/>
  <c r="AQ76" i="22"/>
  <c r="AQ78" i="22"/>
  <c r="AQ71" i="22"/>
  <c r="AQ68" i="22"/>
  <c r="AQ63" i="22"/>
  <c r="AQ62" i="22"/>
  <c r="AQ51" i="22"/>
  <c r="AQ48" i="22"/>
  <c r="AQ50" i="22"/>
  <c r="AQ36" i="22"/>
  <c r="AQ42" i="22"/>
  <c r="AQ32" i="22"/>
  <c r="AQ35" i="22"/>
  <c r="AQ21" i="22"/>
  <c r="AQ30" i="22"/>
  <c r="AQ27" i="22"/>
  <c r="AQ106" i="22"/>
  <c r="AQ103" i="22"/>
  <c r="AQ101" i="22"/>
  <c r="AQ95" i="22"/>
  <c r="AQ93" i="22"/>
  <c r="AQ83" i="22"/>
  <c r="AQ85" i="22"/>
  <c r="AQ79" i="22"/>
  <c r="AQ74" i="22"/>
  <c r="AQ69" i="22"/>
  <c r="AQ66" i="22"/>
  <c r="AQ59" i="22"/>
  <c r="AQ54" i="22"/>
  <c r="AQ47" i="22"/>
  <c r="AQ58" i="22"/>
  <c r="AQ46" i="22"/>
  <c r="AQ45" i="22"/>
  <c r="AQ38" i="22"/>
  <c r="AQ28" i="22"/>
  <c r="AQ33" i="22"/>
  <c r="AQ17" i="22"/>
  <c r="AQ26" i="22"/>
  <c r="AQ23" i="22"/>
  <c r="AQ107" i="22"/>
  <c r="AQ99" i="22"/>
  <c r="AQ92" i="22"/>
  <c r="AQ81" i="22"/>
  <c r="AQ70" i="22"/>
  <c r="AQ72" i="22"/>
  <c r="AQ57" i="22"/>
  <c r="AQ53" i="22"/>
  <c r="AQ41" i="22"/>
  <c r="AQ24" i="22"/>
  <c r="AQ13" i="22"/>
  <c r="AQ19" i="22"/>
  <c r="AQ102" i="22"/>
  <c r="AQ97" i="22"/>
  <c r="AQ86" i="22"/>
  <c r="AQ80" i="22"/>
  <c r="AQ75" i="22"/>
  <c r="AQ67" i="22"/>
  <c r="AQ55" i="22"/>
  <c r="AQ49" i="22"/>
  <c r="AQ37" i="22"/>
  <c r="AQ20" i="22"/>
  <c r="AQ34" i="22"/>
  <c r="AQ109" i="22"/>
  <c r="AQ100" i="22"/>
  <c r="AQ91" i="22"/>
  <c r="AQ84" i="22"/>
  <c r="AQ77" i="22"/>
  <c r="AQ65" i="22"/>
  <c r="AQ64" i="22"/>
  <c r="AQ56" i="22"/>
  <c r="AQ44" i="22"/>
  <c r="AQ43" i="22"/>
  <c r="AQ29" i="22"/>
  <c r="AQ22" i="22"/>
  <c r="BT9" i="22"/>
  <c r="BT10" i="22"/>
  <c r="AY95" i="22"/>
  <c r="AY70" i="22"/>
  <c r="AY56" i="22"/>
  <c r="AY29" i="22"/>
  <c r="AY93" i="22"/>
  <c r="AY72" i="22"/>
  <c r="AY40" i="22"/>
  <c r="AY13" i="22"/>
  <c r="AY105" i="22"/>
  <c r="AY68" i="22"/>
  <c r="AY22" i="22"/>
  <c r="AY103" i="22"/>
  <c r="AY55" i="22"/>
  <c r="AY83" i="22"/>
  <c r="AY37" i="22"/>
  <c r="AY16" i="22"/>
  <c r="AY6" i="22"/>
  <c r="AC5" i="22"/>
  <c r="AC14" i="22"/>
  <c r="H108" i="22"/>
  <c r="H104" i="22"/>
  <c r="H102" i="22"/>
  <c r="H96" i="22"/>
  <c r="H90" i="22"/>
  <c r="H93" i="22"/>
  <c r="H89" i="22"/>
  <c r="H77" i="22"/>
  <c r="H75" i="22"/>
  <c r="H76" i="22"/>
  <c r="H69" i="22"/>
  <c r="H68" i="22"/>
  <c r="H61" i="22"/>
  <c r="H56" i="22"/>
  <c r="H53" i="22"/>
  <c r="H50" i="22"/>
  <c r="H41" i="22"/>
  <c r="H46" i="22"/>
  <c r="H40" i="22"/>
  <c r="H21" i="22"/>
  <c r="H22" i="22"/>
  <c r="H27" i="22"/>
  <c r="H32" i="22"/>
  <c r="BK18" i="22"/>
  <c r="BK91" i="22"/>
  <c r="BK79" i="22"/>
  <c r="BK71" i="22"/>
  <c r="BK69" i="22"/>
  <c r="BK60" i="22"/>
  <c r="BK47" i="22"/>
  <c r="BK62" i="22"/>
  <c r="BK46" i="22"/>
  <c r="BK38" i="22"/>
  <c r="BK28" i="22"/>
  <c r="BK21" i="22"/>
  <c r="BK30" i="22"/>
  <c r="BK23" i="22"/>
  <c r="BK109" i="22"/>
  <c r="BK87" i="22"/>
  <c r="BK78" i="22"/>
  <c r="BK65" i="22"/>
  <c r="BK67" i="22"/>
  <c r="BK54" i="22"/>
  <c r="BK57" i="22"/>
  <c r="BK49" i="22"/>
  <c r="BK45" i="22"/>
  <c r="BK50" i="22"/>
  <c r="BK20" i="22"/>
  <c r="BK17" i="22"/>
  <c r="BK26" i="22"/>
  <c r="BK99" i="22"/>
  <c r="BK75" i="22"/>
  <c r="BK59" i="22"/>
  <c r="BK48" i="22"/>
  <c r="BK42" i="22"/>
  <c r="BK29" i="22"/>
  <c r="BK27" i="22"/>
  <c r="BK81" i="22"/>
  <c r="BK72" i="22"/>
  <c r="BK58" i="22"/>
  <c r="BK44" i="22"/>
  <c r="BK39" i="22"/>
  <c r="BK13" i="22"/>
  <c r="BK73" i="22"/>
  <c r="BK66" i="22"/>
  <c r="BK51" i="22"/>
  <c r="BK40" i="22"/>
  <c r="BK32" i="22"/>
  <c r="BK34" i="22"/>
  <c r="DC106" i="22"/>
  <c r="DC104" i="22"/>
  <c r="DC101" i="22"/>
  <c r="DC97" i="22"/>
  <c r="DC86" i="22"/>
  <c r="DC82" i="22"/>
  <c r="DC87" i="22"/>
  <c r="DC76" i="22"/>
  <c r="DC78" i="22"/>
  <c r="DC71" i="22"/>
  <c r="DC68" i="22"/>
  <c r="DC63" i="22"/>
  <c r="DC62" i="22"/>
  <c r="DC51" i="22"/>
  <c r="DC48" i="22"/>
  <c r="DC50" i="22"/>
  <c r="DC36" i="22"/>
  <c r="DC42" i="22"/>
  <c r="DC35" i="22"/>
  <c r="DC20" i="22"/>
  <c r="DC21" i="22"/>
  <c r="DC30" i="22"/>
  <c r="DC27" i="22"/>
  <c r="DC105" i="22"/>
  <c r="DC103" i="22"/>
  <c r="DC98" i="22"/>
  <c r="DC94" i="22"/>
  <c r="DC93" i="22"/>
  <c r="DC83" i="22"/>
  <c r="DC85" i="22"/>
  <c r="DC79" i="22"/>
  <c r="DC74" i="22"/>
  <c r="DC69" i="22"/>
  <c r="DC66" i="22"/>
  <c r="DC59" i="22"/>
  <c r="DC54" i="22"/>
  <c r="DC47" i="22"/>
  <c r="DC58" i="22"/>
  <c r="DC46" i="22"/>
  <c r="DC45" i="22"/>
  <c r="DC38" i="22"/>
  <c r="DC32" i="22"/>
  <c r="DC33" i="22"/>
  <c r="DC17" i="22"/>
  <c r="DC26" i="22"/>
  <c r="DC23" i="22"/>
  <c r="DC6" i="22"/>
  <c r="O59" i="22"/>
  <c r="O40" i="22"/>
  <c r="O33" i="22"/>
  <c r="O9" i="22"/>
  <c r="O94" i="22"/>
  <c r="CI107" i="22"/>
  <c r="CI104" i="22"/>
  <c r="CI100" i="22"/>
  <c r="CI97" i="22"/>
  <c r="CI93" i="22"/>
  <c r="CI86" i="22"/>
  <c r="CI83" i="22"/>
  <c r="CI79" i="22"/>
  <c r="CI80" i="22"/>
  <c r="CI75" i="22"/>
  <c r="CI61" i="22"/>
  <c r="CI63" i="22"/>
  <c r="CI60" i="22"/>
  <c r="CI58" i="22"/>
  <c r="CI56" i="22"/>
  <c r="CI49" i="22"/>
  <c r="CI50" i="22"/>
  <c r="CI42" i="22"/>
  <c r="CI39" i="22"/>
  <c r="CI20" i="22"/>
  <c r="CI21" i="22"/>
  <c r="CI34" i="22"/>
  <c r="CI31" i="22"/>
  <c r="CI106" i="22"/>
  <c r="CI101" i="22"/>
  <c r="CI94" i="22"/>
  <c r="CI89" i="22"/>
  <c r="CI87" i="22"/>
  <c r="CI76" i="22"/>
  <c r="CI74" i="22"/>
  <c r="CI65" i="22"/>
  <c r="CI59" i="22"/>
  <c r="CI54" i="22"/>
  <c r="CI47" i="22"/>
  <c r="CI44" i="22"/>
  <c r="CI41" i="22"/>
  <c r="CI43" i="22"/>
  <c r="CI33" i="22"/>
  <c r="CI13" i="22"/>
  <c r="CI22" i="22"/>
  <c r="CI105" i="22"/>
  <c r="CI96" i="22"/>
  <c r="CI95" i="22"/>
  <c r="CI90" i="22"/>
  <c r="CI84" i="22"/>
  <c r="CI77" i="22"/>
  <c r="CI70" i="22"/>
  <c r="CI66" i="22"/>
  <c r="CI72" i="22"/>
  <c r="CI62" i="22"/>
  <c r="CI52" i="22"/>
  <c r="CI40" i="22"/>
  <c r="CI37" i="22"/>
  <c r="CI32" i="22"/>
  <c r="CI29" i="22"/>
  <c r="CI35" i="22"/>
  <c r="CI27" i="22"/>
  <c r="CI109" i="22"/>
  <c r="CI102" i="22"/>
  <c r="CI98" i="22"/>
  <c r="CI91" i="22"/>
  <c r="CI82" i="22"/>
  <c r="CI85" i="22"/>
  <c r="CI73" i="22"/>
  <c r="CI71" i="22"/>
  <c r="CI69" i="22"/>
  <c r="CI64" i="22"/>
  <c r="CI55" i="22"/>
  <c r="CI48" i="22"/>
  <c r="CI36" i="22"/>
  <c r="CI38" i="22"/>
  <c r="CI28" i="22"/>
  <c r="CI25" i="22"/>
  <c r="CI30" i="22"/>
  <c r="CI23" i="22"/>
  <c r="CI6" i="22"/>
  <c r="CY16" i="22"/>
  <c r="CY3" i="22"/>
  <c r="CY7" i="22"/>
  <c r="CY10" i="22"/>
  <c r="CY11" i="22"/>
  <c r="CY8" i="22"/>
  <c r="CY106" i="22"/>
  <c r="CY103" i="22"/>
  <c r="CY98" i="22"/>
  <c r="CY95" i="22"/>
  <c r="CY89" i="22"/>
  <c r="CY88" i="22"/>
  <c r="CY85" i="22"/>
  <c r="CY77" i="22"/>
  <c r="CY74" i="22"/>
  <c r="CY68" i="22"/>
  <c r="CY69" i="22"/>
  <c r="CY72" i="22"/>
  <c r="CY54" i="22"/>
  <c r="CY51" i="22"/>
  <c r="CY48" i="22"/>
  <c r="CY40" i="22"/>
  <c r="CY41" i="22"/>
  <c r="CY46" i="22"/>
  <c r="CY28" i="22"/>
  <c r="CY29" i="22"/>
  <c r="CY13" i="22"/>
  <c r="CY26" i="22"/>
  <c r="CY23" i="22"/>
  <c r="CY109" i="22"/>
  <c r="CY105" i="22"/>
  <c r="CY101" i="22"/>
  <c r="CY99" i="22"/>
  <c r="CY91" i="22"/>
  <c r="CY86" i="22"/>
  <c r="CY87" i="22"/>
  <c r="CY81" i="22"/>
  <c r="CY73" i="22"/>
  <c r="CY70" i="22"/>
  <c r="CY65" i="22"/>
  <c r="CY67" i="22"/>
  <c r="CY64" i="22"/>
  <c r="CY62" i="22"/>
  <c r="CY47" i="22"/>
  <c r="CY53" i="22"/>
  <c r="CY36" i="22"/>
  <c r="CY37" i="22"/>
  <c r="CY43" i="22"/>
  <c r="CY24" i="22"/>
  <c r="CY25" i="22"/>
  <c r="CY35" i="22"/>
  <c r="CY22" i="22"/>
  <c r="CY19" i="22"/>
  <c r="CY14" i="22"/>
  <c r="CY15" i="22"/>
  <c r="AQ25" i="22"/>
  <c r="AQ60" i="22"/>
  <c r="AQ89" i="22"/>
  <c r="H11" i="22"/>
  <c r="AI31" i="22"/>
  <c r="AI48" i="22"/>
  <c r="AI88" i="22"/>
  <c r="CM14" i="22"/>
  <c r="CM107" i="22"/>
  <c r="CM89" i="22"/>
  <c r="AA10" i="22"/>
  <c r="AA93" i="22"/>
  <c r="AA54" i="22"/>
  <c r="AI91" i="22"/>
  <c r="AI78" i="22"/>
  <c r="AI60" i="22"/>
  <c r="AI45" i="22"/>
  <c r="AI21" i="22"/>
  <c r="AI86" i="22"/>
  <c r="AI75" i="22"/>
  <c r="AI47" i="22"/>
  <c r="AI46" i="22"/>
  <c r="AI30" i="22"/>
  <c r="AE97" i="22"/>
  <c r="AE67" i="22"/>
  <c r="AE20" i="22"/>
  <c r="AE86" i="22"/>
  <c r="AE51" i="22"/>
  <c r="AE34" i="22"/>
  <c r="BS97" i="22"/>
  <c r="BS79" i="22"/>
  <c r="BS63" i="22"/>
  <c r="BS49" i="22"/>
  <c r="BS20" i="22"/>
  <c r="BS22" i="22"/>
  <c r="BS19" i="22"/>
  <c r="BS108" i="22"/>
  <c r="BS93" i="22"/>
  <c r="BS80" i="22"/>
  <c r="BS60" i="22"/>
  <c r="BS50" i="22"/>
  <c r="BS21" i="22"/>
  <c r="BS31" i="22"/>
  <c r="CM18" i="22"/>
  <c r="AA18" i="22"/>
  <c r="CQ16" i="22"/>
  <c r="AZ16" i="22"/>
  <c r="I16" i="22"/>
  <c r="CJ15" i="22"/>
  <c r="CK14" i="22"/>
  <c r="BX12" i="22"/>
  <c r="AG12" i="22"/>
  <c r="CM11" i="22"/>
  <c r="AA11" i="22"/>
  <c r="BQ10" i="22"/>
  <c r="AG10" i="22"/>
  <c r="CN5" i="22"/>
  <c r="D5" i="22"/>
  <c r="CQ4" i="22"/>
  <c r="AA4" i="22"/>
  <c r="DE27" i="22"/>
  <c r="DE46" i="22"/>
  <c r="DE77" i="22"/>
  <c r="DE93" i="22"/>
  <c r="CK17" i="22"/>
  <c r="CK33" i="22"/>
  <c r="CK32" i="22"/>
  <c r="CK23" i="22"/>
  <c r="CK22" i="22"/>
  <c r="CK37" i="22"/>
  <c r="CK40" i="22"/>
  <c r="CK39" i="22"/>
  <c r="CK47" i="22"/>
  <c r="CK50" i="22"/>
  <c r="CK53" i="22"/>
  <c r="CK62" i="22"/>
  <c r="CK65" i="22"/>
  <c r="CK63" i="22"/>
  <c r="CK77" i="22"/>
  <c r="CK71" i="22"/>
  <c r="CK79" i="22"/>
  <c r="CK81" i="22"/>
  <c r="CK89" i="22"/>
  <c r="CK90" i="22"/>
  <c r="CK94" i="22"/>
  <c r="CK99" i="22"/>
  <c r="CK102" i="22"/>
  <c r="CK108" i="22"/>
  <c r="BQ21" i="22"/>
  <c r="BQ20" i="22"/>
  <c r="BQ11" i="22"/>
  <c r="BQ27" i="22"/>
  <c r="BQ26" i="22"/>
  <c r="BQ41" i="22"/>
  <c r="BQ40" i="22"/>
  <c r="BQ43" i="22"/>
  <c r="BQ51" i="22"/>
  <c r="BQ50" i="22"/>
  <c r="BQ52" i="22"/>
  <c r="BQ66" i="22"/>
  <c r="BQ65" i="22"/>
  <c r="BQ67" i="22"/>
  <c r="BQ68" i="22"/>
  <c r="BQ75" i="22"/>
  <c r="BQ83" i="22"/>
  <c r="BQ85" i="22"/>
  <c r="BQ89" i="22"/>
  <c r="BQ93" i="22"/>
  <c r="BQ97" i="22"/>
  <c r="BQ98" i="22"/>
  <c r="BQ105" i="22"/>
  <c r="BQ108" i="22"/>
  <c r="AW25" i="22"/>
  <c r="AW24" i="22"/>
  <c r="AW15" i="22"/>
  <c r="AW31" i="22"/>
  <c r="AW30" i="22"/>
  <c r="AW45" i="22"/>
  <c r="AW35" i="22"/>
  <c r="AW42" i="22"/>
  <c r="AW55" i="22"/>
  <c r="AW49" i="22"/>
  <c r="AW60" i="22"/>
  <c r="AW57" i="22"/>
  <c r="AW70" i="22"/>
  <c r="AW69" i="22"/>
  <c r="AW72" i="22"/>
  <c r="AW74" i="22"/>
  <c r="AW82" i="22"/>
  <c r="AW80" i="22"/>
  <c r="AW89" i="22"/>
  <c r="AW92" i="22"/>
  <c r="AW96" i="22"/>
  <c r="AW101" i="22"/>
  <c r="AW104" i="22"/>
  <c r="AW109" i="22"/>
  <c r="AS77" i="22"/>
  <c r="AG29" i="22"/>
  <c r="AG28" i="22"/>
  <c r="AG19" i="22"/>
  <c r="AG18" i="22"/>
  <c r="AG34" i="22"/>
  <c r="AG36" i="22"/>
  <c r="AG39" i="22"/>
  <c r="AG48" i="22"/>
  <c r="AG46" i="22"/>
  <c r="AG53" i="22"/>
  <c r="AG58" i="22"/>
  <c r="AG61" i="22"/>
  <c r="AG59" i="22"/>
  <c r="AG73" i="22"/>
  <c r="AG76" i="22"/>
  <c r="AG78" i="22"/>
  <c r="AG86" i="22"/>
  <c r="AG84" i="22"/>
  <c r="AG88" i="22"/>
  <c r="AG95" i="22"/>
  <c r="AG100" i="22"/>
  <c r="AG103" i="22"/>
  <c r="AG104" i="22"/>
  <c r="I21" i="22"/>
  <c r="I20" i="22"/>
  <c r="I11" i="22"/>
  <c r="I27" i="22"/>
  <c r="I26" i="22"/>
  <c r="I41" i="22"/>
  <c r="I44" i="22"/>
  <c r="I43" i="22"/>
  <c r="I51" i="22"/>
  <c r="I50" i="22"/>
  <c r="I53" i="22"/>
  <c r="I66" i="22"/>
  <c r="I64" i="22"/>
  <c r="I63" i="22"/>
  <c r="I77" i="22"/>
  <c r="I75" i="22"/>
  <c r="I83" i="22"/>
  <c r="I85" i="22"/>
  <c r="I89" i="22"/>
  <c r="I93" i="22"/>
  <c r="I97" i="22"/>
  <c r="I98" i="22"/>
  <c r="I106" i="22"/>
  <c r="I107" i="22"/>
  <c r="E25" i="22"/>
  <c r="E24" i="22"/>
  <c r="E19" i="22"/>
  <c r="E18" i="22"/>
  <c r="E34" i="22"/>
  <c r="E48" i="22"/>
  <c r="E35" i="22"/>
  <c r="E42" i="22"/>
  <c r="E60" i="22"/>
  <c r="E58" i="22"/>
  <c r="E56" i="22"/>
  <c r="E57" i="22"/>
  <c r="E68" i="22"/>
  <c r="E69" i="22"/>
  <c r="E76" i="22"/>
  <c r="E78" i="22"/>
  <c r="E86" i="22"/>
  <c r="E84" i="22"/>
  <c r="E87" i="22"/>
  <c r="E95" i="22"/>
  <c r="E100" i="22"/>
  <c r="E103" i="22"/>
  <c r="E104" i="22"/>
  <c r="CN6" i="22"/>
  <c r="D6" i="22"/>
  <c r="CQ5" i="22"/>
  <c r="AA5" i="22"/>
  <c r="CN28" i="22"/>
  <c r="CN27" i="22"/>
  <c r="CN18" i="22"/>
  <c r="CN34" i="22"/>
  <c r="CN33" i="22"/>
  <c r="CN51" i="22"/>
  <c r="CN42" i="22"/>
  <c r="CN45" i="22"/>
  <c r="CN49" i="22"/>
  <c r="CN52" i="22"/>
  <c r="CN57" i="22"/>
  <c r="CN60" i="22"/>
  <c r="CN62" i="22"/>
  <c r="CN72" i="22"/>
  <c r="CN75" i="22"/>
  <c r="CN77" i="22"/>
  <c r="CN88" i="22"/>
  <c r="CN86" i="22"/>
  <c r="CN93" i="22"/>
  <c r="CN96" i="22"/>
  <c r="CN101" i="22"/>
  <c r="CN104" i="22"/>
  <c r="CN108" i="22"/>
  <c r="CJ102" i="22"/>
  <c r="BX32" i="22"/>
  <c r="BX31" i="22"/>
  <c r="BX22" i="22"/>
  <c r="BX21" i="22"/>
  <c r="BX40" i="22"/>
  <c r="BX39" i="22"/>
  <c r="BX47" i="22"/>
  <c r="BX50" i="22"/>
  <c r="BX53" i="22"/>
  <c r="BX56" i="22"/>
  <c r="BX61" i="22"/>
  <c r="BX64" i="22"/>
  <c r="BX66" i="22"/>
  <c r="BX76" i="22"/>
  <c r="BX81" i="22"/>
  <c r="BX79" i="22"/>
  <c r="BX88" i="22"/>
  <c r="BX91" i="22"/>
  <c r="BX94" i="22"/>
  <c r="BX98" i="22"/>
  <c r="BX97" i="22"/>
  <c r="BX105" i="22"/>
  <c r="BX109" i="22"/>
  <c r="AZ32" i="22"/>
  <c r="AZ35" i="22"/>
  <c r="AZ26" i="22"/>
  <c r="AZ25" i="22"/>
  <c r="AZ40" i="22"/>
  <c r="AZ43" i="22"/>
  <c r="AZ51" i="22"/>
  <c r="AZ50" i="22"/>
  <c r="AZ53" i="22"/>
  <c r="AZ52" i="22"/>
  <c r="AZ61" i="22"/>
  <c r="AZ60" i="22"/>
  <c r="AZ62" i="22"/>
  <c r="AZ76" i="22"/>
  <c r="AZ79" i="22"/>
  <c r="AZ81" i="22"/>
  <c r="AZ85" i="22"/>
  <c r="AZ94" i="22"/>
  <c r="AZ90" i="22"/>
  <c r="AZ98" i="22"/>
  <c r="AZ97" i="22"/>
  <c r="AZ104" i="22"/>
  <c r="AZ109" i="22"/>
  <c r="AV32" i="22"/>
  <c r="AV14" i="22"/>
  <c r="AV30" i="22"/>
  <c r="AV21" i="22"/>
  <c r="AV40" i="22"/>
  <c r="AV51" i="22"/>
  <c r="AV41" i="22"/>
  <c r="AV50" i="22"/>
  <c r="AV63" i="22"/>
  <c r="AV57" i="22"/>
  <c r="AV61" i="22"/>
  <c r="AV70" i="22"/>
  <c r="AV62" i="22"/>
  <c r="AV76" i="22"/>
  <c r="AV78" i="22"/>
  <c r="AV77" i="22"/>
  <c r="AV84" i="22"/>
  <c r="AV93" i="22"/>
  <c r="AV91" i="22"/>
  <c r="AV96" i="22"/>
  <c r="AV99" i="22"/>
  <c r="AV105" i="22"/>
  <c r="AV109" i="22"/>
  <c r="D28" i="22"/>
  <c r="D31" i="22"/>
  <c r="D22" i="22"/>
  <c r="D21" i="22"/>
  <c r="D36" i="22"/>
  <c r="D43" i="22"/>
  <c r="D46" i="22"/>
  <c r="D45" i="22"/>
  <c r="D59" i="22"/>
  <c r="D48" i="22"/>
  <c r="D55" i="22"/>
  <c r="D73" i="22"/>
  <c r="D67" i="22"/>
  <c r="D72" i="22"/>
  <c r="D75" i="22"/>
  <c r="D77" i="22"/>
  <c r="D89" i="22"/>
  <c r="D83" i="22"/>
  <c r="D93" i="22"/>
  <c r="D96" i="22"/>
  <c r="D102" i="22"/>
  <c r="D105" i="22"/>
  <c r="D108" i="22"/>
  <c r="AU6" i="22"/>
  <c r="D17" i="22"/>
  <c r="CN15" i="22"/>
  <c r="CM12" i="22"/>
  <c r="AA12" i="22"/>
  <c r="AZ11" i="22"/>
  <c r="AZ10" i="22"/>
  <c r="CM9" i="22"/>
  <c r="CQ27" i="22"/>
  <c r="CQ30" i="22"/>
  <c r="CQ17" i="22"/>
  <c r="CQ33" i="22"/>
  <c r="CQ32" i="22"/>
  <c r="CQ38" i="22"/>
  <c r="CQ45" i="22"/>
  <c r="CQ44" i="22"/>
  <c r="CQ48" i="22"/>
  <c r="CQ47" i="22"/>
  <c r="CQ54" i="22"/>
  <c r="CQ63" i="22"/>
  <c r="CQ66" i="22"/>
  <c r="CQ71" i="22"/>
  <c r="CQ78" i="22"/>
  <c r="CQ77" i="22"/>
  <c r="CQ84" i="22"/>
  <c r="CQ82" i="22"/>
  <c r="CQ92" i="22"/>
  <c r="CQ95" i="22"/>
  <c r="CQ96" i="22"/>
  <c r="CQ102" i="22"/>
  <c r="CQ108" i="22"/>
  <c r="CM23" i="22"/>
  <c r="CM26" i="22"/>
  <c r="CM17" i="22"/>
  <c r="CM33" i="22"/>
  <c r="CM32" i="22"/>
  <c r="CM38" i="22"/>
  <c r="CM45" i="22"/>
  <c r="CM46" i="22"/>
  <c r="CM58" i="22"/>
  <c r="CM47" i="22"/>
  <c r="CM54" i="22"/>
  <c r="CM59" i="22"/>
  <c r="CM66" i="22"/>
  <c r="CM69" i="22"/>
  <c r="CM74" i="22"/>
  <c r="CM79" i="22"/>
  <c r="CM85" i="22"/>
  <c r="CM83" i="22"/>
  <c r="CM93" i="22"/>
  <c r="CM94" i="22"/>
  <c r="CM98" i="22"/>
  <c r="CM103" i="22"/>
  <c r="CM106" i="22"/>
  <c r="BO48" i="22"/>
  <c r="AU19" i="22"/>
  <c r="AU22" i="22"/>
  <c r="AU35" i="22"/>
  <c r="AU25" i="22"/>
  <c r="AU24" i="22"/>
  <c r="AU43" i="22"/>
  <c r="AU37" i="22"/>
  <c r="AU36" i="22"/>
  <c r="AU53" i="22"/>
  <c r="AU56" i="22"/>
  <c r="AU55" i="22"/>
  <c r="AU64" i="22"/>
  <c r="AU68" i="22"/>
  <c r="AU61" i="22"/>
  <c r="AU70" i="22"/>
  <c r="AU80" i="22"/>
  <c r="AU81" i="22"/>
  <c r="AU87" i="22"/>
  <c r="AU90" i="22"/>
  <c r="AU91" i="22"/>
  <c r="AU99" i="22"/>
  <c r="AU101" i="22"/>
  <c r="AU107" i="22"/>
  <c r="AU109" i="22"/>
  <c r="AA45" i="22"/>
  <c r="AA74" i="22"/>
  <c r="AA106" i="22"/>
  <c r="BX16" i="22"/>
  <c r="E13" i="22"/>
  <c r="D12" i="22"/>
  <c r="CQ10" i="22"/>
  <c r="AW8" i="22"/>
  <c r="CQ15" i="22"/>
  <c r="AZ13" i="22"/>
  <c r="BQ5" i="22"/>
  <c r="CN9" i="22"/>
  <c r="AG4" i="22"/>
  <c r="CJ19" i="22"/>
  <c r="X19" i="22"/>
  <c r="CK16" i="22"/>
  <c r="AU16" i="22"/>
  <c r="D16" i="22"/>
  <c r="I14" i="22"/>
  <c r="AS13" i="22"/>
  <c r="CN12" i="22"/>
  <c r="AW12" i="22"/>
  <c r="AV11" i="22"/>
  <c r="AW10" i="22"/>
  <c r="AZ5" i="22"/>
  <c r="CM4" i="22"/>
  <c r="DE34" i="22"/>
  <c r="DE60" i="22"/>
  <c r="DE75" i="22"/>
  <c r="DE100" i="22"/>
  <c r="CK21" i="22"/>
  <c r="CK20" i="22"/>
  <c r="CK11" i="22"/>
  <c r="CK27" i="22"/>
  <c r="CK26" i="22"/>
  <c r="CK41" i="22"/>
  <c r="CK44" i="22"/>
  <c r="CK43" i="22"/>
  <c r="CK51" i="22"/>
  <c r="CK54" i="22"/>
  <c r="CK52" i="22"/>
  <c r="CK66" i="22"/>
  <c r="CK64" i="22"/>
  <c r="CK67" i="22"/>
  <c r="CK68" i="22"/>
  <c r="CK75" i="22"/>
  <c r="CK83" i="22"/>
  <c r="CK85" i="22"/>
  <c r="CK88" i="22"/>
  <c r="CK93" i="22"/>
  <c r="CK97" i="22"/>
  <c r="CK98" i="22"/>
  <c r="CK105" i="22"/>
  <c r="CK107" i="22"/>
  <c r="BQ25" i="22"/>
  <c r="BQ24" i="22"/>
  <c r="BQ15" i="22"/>
  <c r="BQ31" i="22"/>
  <c r="BQ30" i="22"/>
  <c r="BQ45" i="22"/>
  <c r="BQ44" i="22"/>
  <c r="BQ38" i="22"/>
  <c r="BQ55" i="22"/>
  <c r="BQ54" i="22"/>
  <c r="BQ56" i="22"/>
  <c r="BQ70" i="22"/>
  <c r="BQ64" i="22"/>
  <c r="BQ69" i="22"/>
  <c r="BQ72" i="22"/>
  <c r="BQ74" i="22"/>
  <c r="BQ82" i="22"/>
  <c r="BQ80" i="22"/>
  <c r="BQ88" i="22"/>
  <c r="BQ92" i="22"/>
  <c r="BQ96" i="22"/>
  <c r="BQ101" i="22"/>
  <c r="BQ104" i="22"/>
  <c r="BQ109" i="22"/>
  <c r="AW29" i="22"/>
  <c r="AW28" i="22"/>
  <c r="AW19" i="22"/>
  <c r="AW18" i="22"/>
  <c r="AW34" i="22"/>
  <c r="AW36" i="22"/>
  <c r="AW39" i="22"/>
  <c r="AW48" i="22"/>
  <c r="AW46" i="22"/>
  <c r="AW53" i="22"/>
  <c r="AW58" i="22"/>
  <c r="AW61" i="22"/>
  <c r="AW59" i="22"/>
  <c r="AW73" i="22"/>
  <c r="AW76" i="22"/>
  <c r="AW78" i="22"/>
  <c r="AW86" i="22"/>
  <c r="AW84" i="22"/>
  <c r="AW88" i="22"/>
  <c r="AW95" i="22"/>
  <c r="AW100" i="22"/>
  <c r="AW103" i="22"/>
  <c r="AW106" i="22"/>
  <c r="AS32" i="22"/>
  <c r="AS90" i="22"/>
  <c r="AG17" i="22"/>
  <c r="AG33" i="22"/>
  <c r="AG32" i="22"/>
  <c r="AG23" i="22"/>
  <c r="AG22" i="22"/>
  <c r="AG37" i="22"/>
  <c r="AG40" i="22"/>
  <c r="AG43" i="22"/>
  <c r="AG47" i="22"/>
  <c r="AG50" i="22"/>
  <c r="AG52" i="22"/>
  <c r="AG62" i="22"/>
  <c r="AG65" i="22"/>
  <c r="AG63" i="22"/>
  <c r="AG77" i="22"/>
  <c r="AG71" i="22"/>
  <c r="AG79" i="22"/>
  <c r="AG81" i="22"/>
  <c r="AG90" i="22"/>
  <c r="AG87" i="22"/>
  <c r="AG94" i="22"/>
  <c r="AG99" i="22"/>
  <c r="AG102" i="22"/>
  <c r="AG107" i="22"/>
  <c r="I25" i="22"/>
  <c r="I24" i="22"/>
  <c r="I15" i="22"/>
  <c r="I31" i="22"/>
  <c r="I30" i="22"/>
  <c r="I45" i="22"/>
  <c r="I48" i="22"/>
  <c r="I38" i="22"/>
  <c r="I55" i="22"/>
  <c r="I54" i="22"/>
  <c r="I52" i="22"/>
  <c r="I57" i="22"/>
  <c r="I68" i="22"/>
  <c r="I67" i="22"/>
  <c r="I72" i="22"/>
  <c r="I74" i="22"/>
  <c r="I82" i="22"/>
  <c r="I80" i="22"/>
  <c r="I88" i="22"/>
  <c r="I92" i="22"/>
  <c r="I96" i="22"/>
  <c r="I101" i="22"/>
  <c r="I105" i="22"/>
  <c r="I109" i="22"/>
  <c r="E29" i="22"/>
  <c r="E28" i="22"/>
  <c r="E23" i="22"/>
  <c r="E22" i="22"/>
  <c r="E37" i="22"/>
  <c r="E36" i="22"/>
  <c r="E39" i="22"/>
  <c r="E47" i="22"/>
  <c r="E46" i="22"/>
  <c r="E49" i="22"/>
  <c r="E62" i="22"/>
  <c r="E61" i="22"/>
  <c r="E59" i="22"/>
  <c r="E73" i="22"/>
  <c r="E71" i="22"/>
  <c r="E82" i="22"/>
  <c r="E81" i="22"/>
  <c r="E90" i="22"/>
  <c r="E91" i="22"/>
  <c r="E94" i="22"/>
  <c r="E99" i="22"/>
  <c r="E102" i="22"/>
  <c r="E107" i="22"/>
  <c r="AZ6" i="22"/>
  <c r="CM5" i="22"/>
  <c r="CN32" i="22"/>
  <c r="CN31" i="22"/>
  <c r="CN22" i="22"/>
  <c r="CN21" i="22"/>
  <c r="CN40" i="22"/>
  <c r="CN39" i="22"/>
  <c r="CN47" i="22"/>
  <c r="CN50" i="22"/>
  <c r="CN53" i="22"/>
  <c r="CN56" i="22"/>
  <c r="CN61" i="22"/>
  <c r="CN64" i="22"/>
  <c r="CN66" i="22"/>
  <c r="CN76" i="22"/>
  <c r="CN81" i="22"/>
  <c r="CN79" i="22"/>
  <c r="CN84" i="22"/>
  <c r="CN91" i="22"/>
  <c r="CN94" i="22"/>
  <c r="CN98" i="22"/>
  <c r="CN97" i="22"/>
  <c r="CN105" i="22"/>
  <c r="CN109" i="22"/>
  <c r="BX20" i="22"/>
  <c r="BX35" i="22"/>
  <c r="BX36" i="22"/>
  <c r="BX26" i="22"/>
  <c r="BX25" i="22"/>
  <c r="BX44" i="22"/>
  <c r="BX43" i="22"/>
  <c r="BX37" i="22"/>
  <c r="BX54" i="22"/>
  <c r="BX58" i="22"/>
  <c r="BX59" i="22"/>
  <c r="BX65" i="22"/>
  <c r="BX67" i="22"/>
  <c r="BX68" i="22"/>
  <c r="BX80" i="22"/>
  <c r="BX74" i="22"/>
  <c r="BX82" i="22"/>
  <c r="BX84" i="22"/>
  <c r="BX87" i="22"/>
  <c r="BX92" i="22"/>
  <c r="BX100" i="22"/>
  <c r="BX102" i="22"/>
  <c r="BX106" i="22"/>
  <c r="AZ20" i="22"/>
  <c r="AZ23" i="22"/>
  <c r="AZ14" i="22"/>
  <c r="AZ30" i="22"/>
  <c r="AZ29" i="22"/>
  <c r="AZ44" i="22"/>
  <c r="AZ38" i="22"/>
  <c r="AZ37" i="22"/>
  <c r="AZ54" i="22"/>
  <c r="AZ57" i="22"/>
  <c r="AZ56" i="22"/>
  <c r="AZ65" i="22"/>
  <c r="AZ64" i="22"/>
  <c r="AZ66" i="22"/>
  <c r="AZ80" i="22"/>
  <c r="AZ74" i="22"/>
  <c r="AZ82" i="22"/>
  <c r="AZ88" i="22"/>
  <c r="AZ87" i="22"/>
  <c r="AZ92" i="22"/>
  <c r="AZ100" i="22"/>
  <c r="AZ101" i="22"/>
  <c r="AZ106" i="22"/>
  <c r="AV20" i="22"/>
  <c r="AV23" i="22"/>
  <c r="AV18" i="22"/>
  <c r="AV34" i="22"/>
  <c r="AV25" i="22"/>
  <c r="AV44" i="22"/>
  <c r="AV38" i="22"/>
  <c r="AV45" i="22"/>
  <c r="AV54" i="22"/>
  <c r="AV48" i="22"/>
  <c r="AV55" i="22"/>
  <c r="AV65" i="22"/>
  <c r="AV67" i="22"/>
  <c r="AV66" i="22"/>
  <c r="AV71" i="22"/>
  <c r="AV79" i="22"/>
  <c r="AV82" i="22"/>
  <c r="AV83" i="22"/>
  <c r="AV94" i="22"/>
  <c r="AV92" i="22"/>
  <c r="AV100" i="22"/>
  <c r="AV97" i="22"/>
  <c r="AV106" i="22"/>
  <c r="X68" i="22"/>
  <c r="D32" i="22"/>
  <c r="D35" i="22"/>
  <c r="D26" i="22"/>
  <c r="D25" i="22"/>
  <c r="D40" i="22"/>
  <c r="D47" i="22"/>
  <c r="D51" i="22"/>
  <c r="D50" i="22"/>
  <c r="D49" i="22"/>
  <c r="D52" i="22"/>
  <c r="D61" i="22"/>
  <c r="D60" i="22"/>
  <c r="D62" i="22"/>
  <c r="D76" i="22"/>
  <c r="D79" i="22"/>
  <c r="D81" i="22"/>
  <c r="D85" i="22"/>
  <c r="D94" i="22"/>
  <c r="D90" i="22"/>
  <c r="D98" i="22"/>
  <c r="D97" i="22"/>
  <c r="D103" i="22"/>
  <c r="D109" i="22"/>
  <c r="CQ6" i="22"/>
  <c r="AA6" i="22"/>
  <c r="AZ17" i="22"/>
  <c r="CN13" i="22"/>
  <c r="AU11" i="22"/>
  <c r="AV10" i="22"/>
  <c r="AG7" i="22"/>
  <c r="CQ31" i="22"/>
  <c r="CQ34" i="22"/>
  <c r="CQ21" i="22"/>
  <c r="CQ20" i="22"/>
  <c r="CQ39" i="22"/>
  <c r="CQ42" i="22"/>
  <c r="CQ46" i="22"/>
  <c r="CQ49" i="22"/>
  <c r="CQ52" i="22"/>
  <c r="CQ51" i="22"/>
  <c r="CQ60" i="22"/>
  <c r="CQ67" i="22"/>
  <c r="CQ72" i="22"/>
  <c r="CQ75" i="22"/>
  <c r="CQ79" i="22"/>
  <c r="CQ76" i="22"/>
  <c r="CQ83" i="22"/>
  <c r="CQ86" i="22"/>
  <c r="CQ93" i="22"/>
  <c r="CQ97" i="22"/>
  <c r="CQ100" i="22"/>
  <c r="CQ104" i="22"/>
  <c r="CQ107" i="22"/>
  <c r="CM27" i="22"/>
  <c r="CM30" i="22"/>
  <c r="CM21" i="22"/>
  <c r="CM20" i="22"/>
  <c r="CM35" i="22"/>
  <c r="CM42" i="22"/>
  <c r="CM36" i="22"/>
  <c r="CM50" i="22"/>
  <c r="CM48" i="22"/>
  <c r="CM51" i="22"/>
  <c r="CM62" i="22"/>
  <c r="CM63" i="22"/>
  <c r="CM68" i="22"/>
  <c r="CM71" i="22"/>
  <c r="CM78" i="22"/>
  <c r="CM76" i="22"/>
  <c r="CM87" i="22"/>
  <c r="CM82" i="22"/>
  <c r="CM86" i="22"/>
  <c r="CM97" i="22"/>
  <c r="CM101" i="22"/>
  <c r="CM104" i="22"/>
  <c r="CM108" i="22"/>
  <c r="AU23" i="22"/>
  <c r="AU26" i="22"/>
  <c r="AU13" i="22"/>
  <c r="AU29" i="22"/>
  <c r="AU28" i="22"/>
  <c r="AU50" i="22"/>
  <c r="AU41" i="22"/>
  <c r="AU40" i="22"/>
  <c r="AU62" i="22"/>
  <c r="AU57" i="22"/>
  <c r="AU58" i="22"/>
  <c r="AU59" i="22"/>
  <c r="AU69" i="22"/>
  <c r="AU65" i="22"/>
  <c r="AU74" i="22"/>
  <c r="AU73" i="22"/>
  <c r="AU85" i="22"/>
  <c r="AU88" i="22"/>
  <c r="AU89" i="22"/>
  <c r="AU95" i="22"/>
  <c r="AU98" i="22"/>
  <c r="AU103" i="22"/>
  <c r="AU105" i="22"/>
  <c r="AA23" i="22"/>
  <c r="AA58" i="22"/>
  <c r="AA85" i="22"/>
  <c r="AW16" i="22"/>
  <c r="AW14" i="22"/>
  <c r="CK12" i="22"/>
  <c r="I8" i="22"/>
  <c r="AU15" i="22"/>
  <c r="AW5" i="22"/>
  <c r="AG16" i="22"/>
  <c r="X15" i="22"/>
  <c r="CK10" i="22"/>
  <c r="E10" i="22"/>
  <c r="BX5" i="22"/>
  <c r="AU4" i="22"/>
  <c r="DE32" i="22"/>
  <c r="DE48" i="22"/>
  <c r="DE59" i="22"/>
  <c r="DE89" i="22"/>
  <c r="DE109" i="22"/>
  <c r="CK29" i="22"/>
  <c r="CK28" i="22"/>
  <c r="CK19" i="22"/>
  <c r="CK18" i="22"/>
  <c r="CK34" i="22"/>
  <c r="CK36" i="22"/>
  <c r="CK35" i="22"/>
  <c r="CK42" i="22"/>
  <c r="CK46" i="22"/>
  <c r="CK49" i="22"/>
  <c r="CK58" i="22"/>
  <c r="CK61" i="22"/>
  <c r="CK59" i="22"/>
  <c r="CK73" i="22"/>
  <c r="CK76" i="22"/>
  <c r="CK78" i="22"/>
  <c r="CK86" i="22"/>
  <c r="CK84" i="22"/>
  <c r="CK87" i="22"/>
  <c r="CK95" i="22"/>
  <c r="CK100" i="22"/>
  <c r="CK103" i="22"/>
  <c r="CK104" i="22"/>
  <c r="BQ17" i="22"/>
  <c r="BQ33" i="22"/>
  <c r="BQ32" i="22"/>
  <c r="BQ23" i="22"/>
  <c r="BQ22" i="22"/>
  <c r="BQ37" i="22"/>
  <c r="BQ36" i="22"/>
  <c r="BQ39" i="22"/>
  <c r="BQ47" i="22"/>
  <c r="BQ46" i="22"/>
  <c r="BQ53" i="22"/>
  <c r="BQ62" i="22"/>
  <c r="BQ61" i="22"/>
  <c r="BQ63" i="22"/>
  <c r="BQ77" i="22"/>
  <c r="BQ71" i="22"/>
  <c r="BQ79" i="22"/>
  <c r="BQ81" i="22"/>
  <c r="BQ90" i="22"/>
  <c r="BQ91" i="22"/>
  <c r="BQ94" i="22"/>
  <c r="BQ99" i="22"/>
  <c r="BQ102" i="22"/>
  <c r="BQ107" i="22"/>
  <c r="AW21" i="22"/>
  <c r="AW20" i="22"/>
  <c r="AW11" i="22"/>
  <c r="AW27" i="22"/>
  <c r="AW26" i="22"/>
  <c r="AW41" i="22"/>
  <c r="AW44" i="22"/>
  <c r="AW38" i="22"/>
  <c r="AW51" i="22"/>
  <c r="AW54" i="22"/>
  <c r="AW56" i="22"/>
  <c r="AW66" i="22"/>
  <c r="AW64" i="22"/>
  <c r="AW67" i="22"/>
  <c r="AW68" i="22"/>
  <c r="AW75" i="22"/>
  <c r="AW83" i="22"/>
  <c r="AW85" i="22"/>
  <c r="AW91" i="22"/>
  <c r="AW93" i="22"/>
  <c r="AW97" i="22"/>
  <c r="AW98" i="22"/>
  <c r="AW105" i="22"/>
  <c r="AW108" i="22"/>
  <c r="AS60" i="22"/>
  <c r="AG25" i="22"/>
  <c r="AG24" i="22"/>
  <c r="AG15" i="22"/>
  <c r="AG31" i="22"/>
  <c r="AG30" i="22"/>
  <c r="AG45" i="22"/>
  <c r="AG35" i="22"/>
  <c r="AG42" i="22"/>
  <c r="AG55" i="22"/>
  <c r="AG49" i="22"/>
  <c r="AG60" i="22"/>
  <c r="AG57" i="22"/>
  <c r="AG70" i="22"/>
  <c r="AG69" i="22"/>
  <c r="AG72" i="22"/>
  <c r="AG74" i="22"/>
  <c r="AG82" i="22"/>
  <c r="AG80" i="22"/>
  <c r="AG89" i="22"/>
  <c r="AG92" i="22"/>
  <c r="AG96" i="22"/>
  <c r="AG101" i="22"/>
  <c r="AG105" i="22"/>
  <c r="AG109" i="22"/>
  <c r="I17" i="22"/>
  <c r="I33" i="22"/>
  <c r="I32" i="22"/>
  <c r="I23" i="22"/>
  <c r="I22" i="22"/>
  <c r="I37" i="22"/>
  <c r="I40" i="22"/>
  <c r="I39" i="22"/>
  <c r="I47" i="22"/>
  <c r="I46" i="22"/>
  <c r="I49" i="22"/>
  <c r="I62" i="22"/>
  <c r="I65" i="22"/>
  <c r="I59" i="22"/>
  <c r="I73" i="22"/>
  <c r="I71" i="22"/>
  <c r="I79" i="22"/>
  <c r="I81" i="22"/>
  <c r="I90" i="22"/>
  <c r="I87" i="22"/>
  <c r="I94" i="22"/>
  <c r="I99" i="22"/>
  <c r="I102" i="22"/>
  <c r="I108" i="22"/>
  <c r="E21" i="22"/>
  <c r="E20" i="22"/>
  <c r="E15" i="22"/>
  <c r="E31" i="22"/>
  <c r="E30" i="22"/>
  <c r="E45" i="22"/>
  <c r="E44" i="22"/>
  <c r="E38" i="22"/>
  <c r="E55" i="22"/>
  <c r="E54" i="22"/>
  <c r="E52" i="22"/>
  <c r="E70" i="22"/>
  <c r="E64" i="22"/>
  <c r="E67" i="22"/>
  <c r="E72" i="22"/>
  <c r="E74" i="22"/>
  <c r="E83" i="22"/>
  <c r="E80" i="22"/>
  <c r="E88" i="22"/>
  <c r="E92" i="22"/>
  <c r="E96" i="22"/>
  <c r="E101" i="22"/>
  <c r="E105" i="22"/>
  <c r="E109" i="22"/>
  <c r="BX6" i="22"/>
  <c r="AU5" i="22"/>
  <c r="CN24" i="22"/>
  <c r="CN23" i="22"/>
  <c r="CN14" i="22"/>
  <c r="CN30" i="22"/>
  <c r="CN29" i="22"/>
  <c r="CN46" i="22"/>
  <c r="CN38" i="22"/>
  <c r="CN41" i="22"/>
  <c r="CN63" i="22"/>
  <c r="CN48" i="22"/>
  <c r="CN55" i="22"/>
  <c r="CN69" i="22"/>
  <c r="CN73" i="22"/>
  <c r="CN70" i="22"/>
  <c r="CN71" i="22"/>
  <c r="CN78" i="22"/>
  <c r="CN85" i="22"/>
  <c r="CN83" i="22"/>
  <c r="CN87" i="22"/>
  <c r="CN95" i="22"/>
  <c r="CN99" i="22"/>
  <c r="CN103" i="22"/>
  <c r="CN107" i="22"/>
  <c r="CJ69" i="22"/>
  <c r="BX28" i="22"/>
  <c r="BX27" i="22"/>
  <c r="BX18" i="22"/>
  <c r="BX34" i="22"/>
  <c r="BX33" i="22"/>
  <c r="BX51" i="22"/>
  <c r="BX42" i="22"/>
  <c r="BX45" i="22"/>
  <c r="BX49" i="22"/>
  <c r="BX52" i="22"/>
  <c r="BX57" i="22"/>
  <c r="BX60" i="22"/>
  <c r="BX62" i="22"/>
  <c r="BX72" i="22"/>
  <c r="BX75" i="22"/>
  <c r="BX77" i="22"/>
  <c r="BX85" i="22"/>
  <c r="BX83" i="22"/>
  <c r="BX90" i="22"/>
  <c r="BX96" i="22"/>
  <c r="BX101" i="22"/>
  <c r="BX104" i="22"/>
  <c r="BX108" i="22"/>
  <c r="AZ28" i="22"/>
  <c r="AZ31" i="22"/>
  <c r="AZ22" i="22"/>
  <c r="AZ21" i="22"/>
  <c r="AZ36" i="22"/>
  <c r="AZ39" i="22"/>
  <c r="AZ46" i="22"/>
  <c r="AZ45" i="22"/>
  <c r="AZ49" i="22"/>
  <c r="AZ48" i="22"/>
  <c r="AZ55" i="22"/>
  <c r="AZ73" i="22"/>
  <c r="AZ67" i="22"/>
  <c r="AZ72" i="22"/>
  <c r="AZ75" i="22"/>
  <c r="AZ77" i="22"/>
  <c r="AZ89" i="22"/>
  <c r="AZ83" i="22"/>
  <c r="AZ93" i="22"/>
  <c r="AZ96" i="22"/>
  <c r="AZ102" i="22"/>
  <c r="AZ103" i="22"/>
  <c r="AZ108" i="22"/>
  <c r="AV28" i="22"/>
  <c r="AV31" i="22"/>
  <c r="AV26" i="22"/>
  <c r="AV36" i="22"/>
  <c r="AV33" i="22"/>
  <c r="AV43" i="22"/>
  <c r="AV37" i="22"/>
  <c r="AV47" i="22"/>
  <c r="AV53" i="22"/>
  <c r="AV56" i="22"/>
  <c r="AV59" i="22"/>
  <c r="AV64" i="22"/>
  <c r="AV69" i="22"/>
  <c r="AV72" i="22"/>
  <c r="AV74" i="22"/>
  <c r="AV81" i="22"/>
  <c r="AV85" i="22"/>
  <c r="AV89" i="22"/>
  <c r="AV90" i="22"/>
  <c r="AV95" i="22"/>
  <c r="AV102" i="22"/>
  <c r="AV104" i="22"/>
  <c r="D24" i="22"/>
  <c r="D27" i="22"/>
  <c r="D18" i="22"/>
  <c r="D34" i="22"/>
  <c r="D33" i="22"/>
  <c r="D39" i="22"/>
  <c r="D42" i="22"/>
  <c r="D41" i="22"/>
  <c r="D58" i="22"/>
  <c r="D57" i="22"/>
  <c r="D63" i="22"/>
  <c r="D69" i="22"/>
  <c r="D68" i="22"/>
  <c r="D70" i="22"/>
  <c r="D71" i="22"/>
  <c r="D78" i="22"/>
  <c r="D86" i="22"/>
  <c r="D84" i="22"/>
  <c r="D91" i="22"/>
  <c r="D95" i="22"/>
  <c r="D99" i="22"/>
  <c r="D104" i="22"/>
  <c r="D107" i="22"/>
  <c r="CQ11" i="22"/>
  <c r="CN10" i="22"/>
  <c r="CQ9" i="22"/>
  <c r="AA9" i="22"/>
  <c r="AW7" i="22"/>
  <c r="CQ23" i="22"/>
  <c r="CQ26" i="22"/>
  <c r="CQ13" i="22"/>
  <c r="CQ29" i="22"/>
  <c r="CQ28" i="22"/>
  <c r="CQ50" i="22"/>
  <c r="CQ41" i="22"/>
  <c r="CQ40" i="22"/>
  <c r="CQ62" i="22"/>
  <c r="CQ57" i="22"/>
  <c r="CQ58" i="22"/>
  <c r="CQ59" i="22"/>
  <c r="CQ69" i="22"/>
  <c r="CQ65" i="22"/>
  <c r="CQ74" i="22"/>
  <c r="CQ73" i="22"/>
  <c r="CQ85" i="22"/>
  <c r="CQ88" i="22"/>
  <c r="CQ90" i="22"/>
  <c r="CQ94" i="22"/>
  <c r="CQ98" i="22"/>
  <c r="CQ103" i="22"/>
  <c r="CQ106" i="22"/>
  <c r="CM19" i="22"/>
  <c r="CM22" i="22"/>
  <c r="CM13" i="22"/>
  <c r="CM29" i="22"/>
  <c r="CM28" i="22"/>
  <c r="CM43" i="22"/>
  <c r="CM41" i="22"/>
  <c r="CM44" i="22"/>
  <c r="CM53" i="22"/>
  <c r="CM56" i="22"/>
  <c r="CM57" i="22"/>
  <c r="CM64" i="22"/>
  <c r="CM72" i="22"/>
  <c r="CM65" i="22"/>
  <c r="CM70" i="22"/>
  <c r="CM77" i="22"/>
  <c r="CM81" i="22"/>
  <c r="CM84" i="22"/>
  <c r="CM92" i="22"/>
  <c r="CM91" i="22"/>
  <c r="CM99" i="22"/>
  <c r="CM100" i="22"/>
  <c r="CM105" i="22"/>
  <c r="CM109" i="22"/>
  <c r="AU31" i="22"/>
  <c r="AU34" i="22"/>
  <c r="AU21" i="22"/>
  <c r="AU20" i="22"/>
  <c r="AU39" i="22"/>
  <c r="AU42" i="22"/>
  <c r="AU46" i="22"/>
  <c r="AU49" i="22"/>
  <c r="AU52" i="22"/>
  <c r="AU51" i="22"/>
  <c r="AU60" i="22"/>
  <c r="AU67" i="22"/>
  <c r="AU72" i="22"/>
  <c r="AU75" i="22"/>
  <c r="AU79" i="22"/>
  <c r="AU76" i="22"/>
  <c r="AU83" i="22"/>
  <c r="AU86" i="22"/>
  <c r="AU93" i="22"/>
  <c r="AU97" i="22"/>
  <c r="AU100" i="22"/>
  <c r="AU104" i="22"/>
  <c r="AU108" i="22"/>
  <c r="AA28" i="22"/>
  <c r="AA66" i="22"/>
  <c r="AA101" i="22"/>
  <c r="I12" i="22"/>
  <c r="BX19" i="22"/>
  <c r="I5" i="22"/>
  <c r="I4" i="22"/>
  <c r="AZ7" i="22"/>
  <c r="CW16" i="22"/>
  <c r="CW8" i="22"/>
  <c r="BG16" i="22"/>
  <c r="BG109" i="22"/>
  <c r="BG107" i="22"/>
  <c r="BG100" i="22"/>
  <c r="BG99" i="22"/>
  <c r="BG91" i="22"/>
  <c r="BG92" i="22"/>
  <c r="BG84" i="22"/>
  <c r="BG81" i="22"/>
  <c r="BG77" i="22"/>
  <c r="BG70" i="22"/>
  <c r="BG65" i="22"/>
  <c r="BG72" i="22"/>
  <c r="BG64" i="22"/>
  <c r="BG57" i="22"/>
  <c r="BG56" i="22"/>
  <c r="BG53" i="22"/>
  <c r="BG44" i="22"/>
  <c r="BG41" i="22"/>
  <c r="BG43" i="22"/>
  <c r="BG24" i="22"/>
  <c r="BG29" i="22"/>
  <c r="BG13" i="22"/>
  <c r="BG22" i="22"/>
  <c r="BG19" i="22"/>
  <c r="BG108" i="22"/>
  <c r="BG102" i="22"/>
  <c r="BG96" i="22"/>
  <c r="BG97" i="22"/>
  <c r="BG89" i="22"/>
  <c r="BG86" i="22"/>
  <c r="BG88" i="22"/>
  <c r="BG80" i="22"/>
  <c r="BG73" i="22"/>
  <c r="BG75" i="22"/>
  <c r="BG61" i="22"/>
  <c r="BG67" i="22"/>
  <c r="BG60" i="22"/>
  <c r="BG55" i="22"/>
  <c r="BG52" i="22"/>
  <c r="BG49" i="22"/>
  <c r="BG40" i="22"/>
  <c r="BG37" i="22"/>
  <c r="BG39" i="22"/>
  <c r="BG20" i="22"/>
  <c r="BG25" i="22"/>
  <c r="BG34" i="22"/>
  <c r="BG31" i="22"/>
  <c r="BG106" i="22"/>
  <c r="BG104" i="22"/>
  <c r="BG98" i="22"/>
  <c r="BG94" i="22"/>
  <c r="BG90" i="22"/>
  <c r="BG82" i="22"/>
  <c r="BG87" i="22"/>
  <c r="BG76" i="22"/>
  <c r="BG78" i="22"/>
  <c r="BG71" i="22"/>
  <c r="BG68" i="22"/>
  <c r="BG63" i="22"/>
  <c r="BG62" i="22"/>
  <c r="BG51" i="22"/>
  <c r="BG48" i="22"/>
  <c r="BG50" i="22"/>
  <c r="BG36" i="22"/>
  <c r="BG42" i="22"/>
  <c r="BG32" i="22"/>
  <c r="BG35" i="22"/>
  <c r="BG21" i="22"/>
  <c r="BG30" i="22"/>
  <c r="BG27" i="22"/>
  <c r="AK14" i="22"/>
  <c r="AK13" i="22"/>
  <c r="P19" i="22"/>
  <c r="P17" i="22"/>
  <c r="AI106" i="22"/>
  <c r="AI98" i="22"/>
  <c r="AI90" i="22"/>
  <c r="AI82" i="22"/>
  <c r="AI87" i="22"/>
  <c r="AI76" i="22"/>
  <c r="AI74" i="22"/>
  <c r="AI71" i="22"/>
  <c r="AI61" i="22"/>
  <c r="AI59" i="22"/>
  <c r="AI54" i="22"/>
  <c r="AI62" i="22"/>
  <c r="AI58" i="22"/>
  <c r="AI44" i="22"/>
  <c r="AI41" i="22"/>
  <c r="AI42" i="22"/>
  <c r="AI32" i="22"/>
  <c r="AI33" i="22"/>
  <c r="AI17" i="22"/>
  <c r="AI26" i="22"/>
  <c r="AI27" i="22"/>
  <c r="AI107" i="22"/>
  <c r="AI99" i="22"/>
  <c r="AI93" i="22"/>
  <c r="AI83" i="22"/>
  <c r="AI85" i="22"/>
  <c r="AI77" i="22"/>
  <c r="AI70" i="22"/>
  <c r="AI72" i="22"/>
  <c r="AI66" i="22"/>
  <c r="AI68" i="22"/>
  <c r="AI55" i="22"/>
  <c r="AI56" i="22"/>
  <c r="AI57" i="22"/>
  <c r="AI40" i="22"/>
  <c r="AI37" i="22"/>
  <c r="AI38" i="22"/>
  <c r="AI28" i="22"/>
  <c r="AI29" i="22"/>
  <c r="AI13" i="22"/>
  <c r="AI22" i="22"/>
  <c r="AI23" i="22"/>
  <c r="AI103" i="22"/>
  <c r="AI95" i="22"/>
  <c r="AI92" i="22"/>
  <c r="AI84" i="22"/>
  <c r="AI81" i="22"/>
  <c r="AI73" i="22"/>
  <c r="AI79" i="22"/>
  <c r="AI69" i="22"/>
  <c r="AI67" i="22"/>
  <c r="AI64" i="22"/>
  <c r="AI51" i="22"/>
  <c r="AI52" i="22"/>
  <c r="AI53" i="22"/>
  <c r="AI36" i="22"/>
  <c r="AI50" i="22"/>
  <c r="AI43" i="22"/>
  <c r="AI24" i="22"/>
  <c r="AI25" i="22"/>
  <c r="AI34" i="22"/>
  <c r="AI35" i="22"/>
  <c r="AI19" i="22"/>
  <c r="AE101" i="22"/>
  <c r="AE91" i="22"/>
  <c r="AE87" i="22"/>
  <c r="AE80" i="22"/>
  <c r="AE61" i="22"/>
  <c r="AE64" i="22"/>
  <c r="AE56" i="22"/>
  <c r="AE36" i="22"/>
  <c r="AE43" i="22"/>
  <c r="AE25" i="22"/>
  <c r="AE22" i="22"/>
  <c r="AE100" i="22"/>
  <c r="AE93" i="22"/>
  <c r="AE83" i="22"/>
  <c r="AE79" i="22"/>
  <c r="AE72" i="22"/>
  <c r="AE60" i="22"/>
  <c r="AE52" i="22"/>
  <c r="AE46" i="22"/>
  <c r="AE39" i="22"/>
  <c r="AE21" i="22"/>
  <c r="AE31" i="22"/>
  <c r="AE99" i="22"/>
  <c r="AE90" i="22"/>
  <c r="AE81" i="22"/>
  <c r="AE70" i="22"/>
  <c r="AE68" i="22"/>
  <c r="AE55" i="22"/>
  <c r="AE53" i="22"/>
  <c r="AE37" i="22"/>
  <c r="AE24" i="22"/>
  <c r="AE35" i="22"/>
  <c r="AE19" i="22"/>
  <c r="G67" i="22"/>
  <c r="G17" i="22"/>
  <c r="G68" i="22"/>
  <c r="G23" i="22"/>
  <c r="G99" i="22"/>
  <c r="G36" i="22"/>
  <c r="BS106" i="22"/>
  <c r="BS102" i="22"/>
  <c r="BS101" i="22"/>
  <c r="BS94" i="22"/>
  <c r="BS92" i="22"/>
  <c r="BS82" i="22"/>
  <c r="BS84" i="22"/>
  <c r="BS76" i="22"/>
  <c r="BS78" i="22"/>
  <c r="BS71" i="22"/>
  <c r="BS66" i="22"/>
  <c r="BS59" i="22"/>
  <c r="BS57" i="22"/>
  <c r="BS55" i="22"/>
  <c r="BS52" i="22"/>
  <c r="BS44" i="22"/>
  <c r="BS45" i="22"/>
  <c r="BS38" i="22"/>
  <c r="BS32" i="22"/>
  <c r="BS33" i="22"/>
  <c r="BS17" i="22"/>
  <c r="BS30" i="22"/>
  <c r="BS105" i="22"/>
  <c r="BS103" i="22"/>
  <c r="BS98" i="22"/>
  <c r="BS95" i="22"/>
  <c r="BS89" i="22"/>
  <c r="BS88" i="22"/>
  <c r="BS85" i="22"/>
  <c r="BS77" i="22"/>
  <c r="BS74" i="22"/>
  <c r="BS68" i="22"/>
  <c r="BS69" i="22"/>
  <c r="BS72" i="22"/>
  <c r="BS54" i="22"/>
  <c r="BS51" i="22"/>
  <c r="BS48" i="22"/>
  <c r="BS40" i="22"/>
  <c r="BS41" i="22"/>
  <c r="BS46" i="22"/>
  <c r="BS28" i="22"/>
  <c r="BS29" i="22"/>
  <c r="BS13" i="22"/>
  <c r="BS109" i="22"/>
  <c r="BS107" i="22"/>
  <c r="BS100" i="22"/>
  <c r="BS99" i="22"/>
  <c r="BS91" i="22"/>
  <c r="BS90" i="22"/>
  <c r="BS87" i="22"/>
  <c r="BS81" i="22"/>
  <c r="BS73" i="22"/>
  <c r="BS70" i="22"/>
  <c r="BS65" i="22"/>
  <c r="BS67" i="22"/>
  <c r="BS64" i="22"/>
  <c r="BS62" i="22"/>
  <c r="BS47" i="22"/>
  <c r="BS53" i="22"/>
  <c r="BS36" i="22"/>
  <c r="BS37" i="22"/>
  <c r="BS43" i="22"/>
  <c r="BS24" i="22"/>
  <c r="BS25" i="22"/>
  <c r="BS35" i="22"/>
  <c r="W98" i="22"/>
  <c r="W69" i="22"/>
  <c r="W32" i="22"/>
  <c r="W95" i="22"/>
  <c r="W72" i="22"/>
  <c r="W33" i="22"/>
  <c r="W3" i="22"/>
  <c r="W85" i="22"/>
  <c r="W48" i="22"/>
  <c r="W23" i="22"/>
  <c r="CG8" i="22"/>
  <c r="CQ3" i="22"/>
  <c r="AQ10" i="22"/>
  <c r="CG16" i="22"/>
  <c r="I6" i="22"/>
  <c r="I3" i="22"/>
  <c r="BC23" i="22"/>
  <c r="BC26" i="22"/>
  <c r="BC17" i="22"/>
  <c r="BC33" i="22"/>
  <c r="BC32" i="22"/>
  <c r="BC46" i="22"/>
  <c r="BC41" i="22"/>
  <c r="BC40" i="22"/>
  <c r="BC48" i="22"/>
  <c r="BC51" i="22"/>
  <c r="BC54" i="22"/>
  <c r="BC72" i="22"/>
  <c r="BC69" i="22"/>
  <c r="BC68" i="22"/>
  <c r="BC74" i="22"/>
  <c r="BC77" i="22"/>
  <c r="BC85" i="22"/>
  <c r="BC88" i="22"/>
  <c r="BC89" i="22"/>
  <c r="BC95" i="22"/>
  <c r="BC98" i="22"/>
  <c r="BC103" i="22"/>
  <c r="BC105" i="22"/>
  <c r="AM23" i="22"/>
  <c r="AM26" i="22"/>
  <c r="AM17" i="22"/>
  <c r="AM33" i="22"/>
  <c r="AM32" i="22"/>
  <c r="AM46" i="22"/>
  <c r="AM41" i="22"/>
  <c r="AM40" i="22"/>
  <c r="AM48" i="22"/>
  <c r="AM51" i="22"/>
  <c r="AM54" i="22"/>
  <c r="AM72" i="22"/>
  <c r="AM69" i="22"/>
  <c r="AM68" i="22"/>
  <c r="AM74" i="22"/>
  <c r="AM77" i="22"/>
  <c r="AM85" i="22"/>
  <c r="AM88" i="22"/>
  <c r="AM89" i="22"/>
  <c r="AM95" i="22"/>
  <c r="AM98" i="22"/>
  <c r="AM103" i="22"/>
  <c r="AM107" i="22"/>
  <c r="S23" i="22"/>
  <c r="S13" i="22"/>
  <c r="S28" i="22"/>
  <c r="S37" i="22"/>
  <c r="S57" i="22"/>
  <c r="S54" i="22"/>
  <c r="S66" i="22"/>
  <c r="S70" i="22"/>
  <c r="S85" i="22"/>
  <c r="S93" i="22"/>
  <c r="S98" i="22"/>
  <c r="S106" i="22"/>
  <c r="BM14" i="22"/>
  <c r="CF12" i="22"/>
  <c r="CZ11" i="22"/>
  <c r="BI8" i="22"/>
  <c r="AJ15" i="22"/>
  <c r="S12" i="22"/>
  <c r="BM9" i="22"/>
  <c r="AB8" i="22"/>
  <c r="BM6" i="22"/>
  <c r="CW5" i="22"/>
  <c r="CW9" i="22"/>
  <c r="CW14" i="22"/>
  <c r="CW13" i="22"/>
  <c r="CB16" i="22"/>
  <c r="CB13" i="22"/>
  <c r="CB4" i="22"/>
  <c r="CB17" i="22"/>
  <c r="BG10" i="22"/>
  <c r="BG14" i="22"/>
  <c r="AK5" i="22"/>
  <c r="AK8" i="22"/>
  <c r="P9" i="22"/>
  <c r="P16" i="22"/>
  <c r="P15" i="22"/>
  <c r="DD3" i="22"/>
  <c r="AO3" i="22"/>
  <c r="BD8" i="22"/>
  <c r="BD9" i="22"/>
  <c r="AI8" i="22"/>
  <c r="AI108" i="22"/>
  <c r="AI102" i="22"/>
  <c r="AI96" i="22"/>
  <c r="AI94" i="22"/>
  <c r="AI89" i="22"/>
  <c r="AI105" i="22"/>
  <c r="AI104" i="22"/>
  <c r="AI101" i="22"/>
  <c r="AI97" i="22"/>
  <c r="AE106" i="22"/>
  <c r="AE96" i="22"/>
  <c r="AE94" i="22"/>
  <c r="AE92" i="22"/>
  <c r="AE82" i="22"/>
  <c r="AE84" i="22"/>
  <c r="AE77" i="22"/>
  <c r="AE78" i="22"/>
  <c r="AE71" i="22"/>
  <c r="AE66" i="22"/>
  <c r="AE63" i="22"/>
  <c r="AE54" i="22"/>
  <c r="AE47" i="22"/>
  <c r="AE48" i="22"/>
  <c r="AE44" i="22"/>
  <c r="AE45" i="22"/>
  <c r="AE38" i="22"/>
  <c r="AE32" i="22"/>
  <c r="AE33" i="22"/>
  <c r="AE17" i="22"/>
  <c r="AE30" i="22"/>
  <c r="AE27" i="22"/>
  <c r="AE102" i="22"/>
  <c r="AE98" i="22"/>
  <c r="AE95" i="22"/>
  <c r="AE89" i="22"/>
  <c r="AE88" i="22"/>
  <c r="AE85" i="22"/>
  <c r="AE73" i="22"/>
  <c r="AE74" i="22"/>
  <c r="AE65" i="22"/>
  <c r="AE69" i="22"/>
  <c r="AE59" i="22"/>
  <c r="AE58" i="22"/>
  <c r="AE57" i="22"/>
  <c r="AE62" i="22"/>
  <c r="AE40" i="22"/>
  <c r="AE41" i="22"/>
  <c r="AE50" i="22"/>
  <c r="AE28" i="22"/>
  <c r="AE29" i="22"/>
  <c r="AE13" i="22"/>
  <c r="AE26" i="22"/>
  <c r="AE23" i="22"/>
  <c r="G93" i="22"/>
  <c r="G108" i="22"/>
  <c r="G81" i="22"/>
  <c r="G54" i="22"/>
  <c r="G32" i="22"/>
  <c r="G102" i="22"/>
  <c r="G80" i="22"/>
  <c r="G53" i="22"/>
  <c r="G33" i="22"/>
  <c r="Y13" i="22"/>
  <c r="Y5" i="22"/>
  <c r="W107" i="22"/>
  <c r="W89" i="22"/>
  <c r="W74" i="22"/>
  <c r="W54" i="22"/>
  <c r="W41" i="22"/>
  <c r="W17" i="22"/>
  <c r="W11" i="22"/>
  <c r="W103" i="22"/>
  <c r="W88" i="22"/>
  <c r="W68" i="22"/>
  <c r="W51" i="22"/>
  <c r="W46" i="22"/>
  <c r="W26" i="22"/>
  <c r="BC27" i="22"/>
  <c r="BC30" i="22"/>
  <c r="BC21" i="22"/>
  <c r="BC20" i="22"/>
  <c r="BC35" i="22"/>
  <c r="BC38" i="22"/>
  <c r="BC45" i="22"/>
  <c r="BC44" i="22"/>
  <c r="BC52" i="22"/>
  <c r="BC55" i="22"/>
  <c r="BC57" i="22"/>
  <c r="BC59" i="22"/>
  <c r="BC66" i="22"/>
  <c r="BC71" i="22"/>
  <c r="BC78" i="22"/>
  <c r="BC76" i="22"/>
  <c r="BC84" i="22"/>
  <c r="BC82" i="22"/>
  <c r="BC92" i="22"/>
  <c r="BC94" i="22"/>
  <c r="BC101" i="22"/>
  <c r="BC102" i="22"/>
  <c r="AM27" i="22"/>
  <c r="AM30" i="22"/>
  <c r="AM21" i="22"/>
  <c r="AM20" i="22"/>
  <c r="AM35" i="22"/>
  <c r="AM38" i="22"/>
  <c r="AM45" i="22"/>
  <c r="AM44" i="22"/>
  <c r="AM52" i="22"/>
  <c r="AM55" i="22"/>
  <c r="AM57" i="22"/>
  <c r="AM59" i="22"/>
  <c r="AM66" i="22"/>
  <c r="AM71" i="22"/>
  <c r="AM78" i="22"/>
  <c r="AM76" i="22"/>
  <c r="AM84" i="22"/>
  <c r="AM82" i="22"/>
  <c r="AM92" i="22"/>
  <c r="AM94" i="22"/>
  <c r="AM101" i="22"/>
  <c r="AM102" i="22"/>
  <c r="S35" i="22"/>
  <c r="S25" i="22"/>
  <c r="S43" i="22"/>
  <c r="S36" i="22"/>
  <c r="S56" i="22"/>
  <c r="S64" i="22"/>
  <c r="S69" i="22"/>
  <c r="S73" i="22"/>
  <c r="S84" i="22"/>
  <c r="S91" i="22"/>
  <c r="S100" i="22"/>
  <c r="S109" i="22"/>
  <c r="CB19" i="22"/>
  <c r="CB15" i="22"/>
  <c r="P13" i="22"/>
  <c r="S11" i="22"/>
  <c r="AO13" i="22"/>
  <c r="AK9" i="22"/>
  <c r="P8" i="22"/>
  <c r="BI6" i="22"/>
  <c r="K97" i="22"/>
  <c r="K106" i="22"/>
  <c r="K80" i="22"/>
  <c r="K50" i="22"/>
  <c r="K30" i="22"/>
  <c r="K100" i="22"/>
  <c r="K65" i="22"/>
  <c r="K41" i="22"/>
  <c r="K27" i="22"/>
  <c r="CE7" i="22"/>
  <c r="CE12" i="22"/>
  <c r="CE11" i="22"/>
  <c r="AN9" i="22"/>
  <c r="AN17" i="22"/>
  <c r="AN11" i="22"/>
  <c r="S10" i="22"/>
  <c r="S108" i="22"/>
  <c r="S104" i="22"/>
  <c r="S96" i="22"/>
  <c r="S94" i="22"/>
  <c r="S89" i="22"/>
  <c r="S86" i="22"/>
  <c r="S88" i="22"/>
  <c r="S80" i="22"/>
  <c r="S78" i="22"/>
  <c r="S75" i="22"/>
  <c r="S65" i="22"/>
  <c r="S63" i="22"/>
  <c r="S60" i="22"/>
  <c r="S51" i="22"/>
  <c r="S52" i="22"/>
  <c r="S49" i="22"/>
  <c r="S45" i="22"/>
  <c r="S46" i="22"/>
  <c r="S39" i="22"/>
  <c r="S20" i="22"/>
  <c r="S21" i="22"/>
  <c r="S30" i="22"/>
  <c r="S31" i="22"/>
  <c r="S7" i="22"/>
  <c r="S105" i="22"/>
  <c r="S102" i="22"/>
  <c r="S101" i="22"/>
  <c r="S97" i="22"/>
  <c r="S90" i="22"/>
  <c r="S82" i="22"/>
  <c r="S87" i="22"/>
  <c r="S76" i="22"/>
  <c r="S74" i="22"/>
  <c r="S71" i="22"/>
  <c r="S61" i="22"/>
  <c r="S59" i="22"/>
  <c r="S58" i="22"/>
  <c r="S47" i="22"/>
  <c r="S48" i="22"/>
  <c r="S44" i="22"/>
  <c r="S41" i="22"/>
  <c r="S42" i="22"/>
  <c r="S32" i="22"/>
  <c r="S33" i="22"/>
  <c r="S17" i="22"/>
  <c r="S26" i="22"/>
  <c r="S27" i="22"/>
  <c r="CF7" i="22"/>
  <c r="CF13" i="22"/>
  <c r="CF15" i="22"/>
  <c r="AO8" i="22"/>
  <c r="AO12" i="22"/>
  <c r="AB4" i="22"/>
  <c r="AB19" i="22"/>
  <c r="AB16" i="22"/>
  <c r="CC13" i="22"/>
  <c r="CC6" i="22"/>
  <c r="CC8" i="22"/>
  <c r="AM16" i="22"/>
  <c r="AM3" i="22"/>
  <c r="CA12" i="22"/>
  <c r="CA14" i="22"/>
  <c r="CA10" i="22"/>
  <c r="BC16" i="22"/>
  <c r="BC11" i="22"/>
  <c r="BC8" i="22"/>
  <c r="BC3" i="22"/>
  <c r="BM13" i="22"/>
  <c r="BM8" i="22"/>
  <c r="BM4" i="22"/>
  <c r="BM5" i="22"/>
  <c r="F7" i="23"/>
  <c r="E7" i="23"/>
  <c r="CW6" i="22"/>
  <c r="CO6" i="22"/>
  <c r="CO9" i="22"/>
  <c r="AY18" i="22"/>
  <c r="AY109" i="22"/>
  <c r="AY107" i="22"/>
  <c r="AY100" i="22"/>
  <c r="AY99" i="22"/>
  <c r="AY91" i="22"/>
  <c r="AY92" i="22"/>
  <c r="AY84" i="22"/>
  <c r="AY81" i="22"/>
  <c r="AY73" i="22"/>
  <c r="AY79" i="22"/>
  <c r="AY69" i="22"/>
  <c r="AY67" i="22"/>
  <c r="AY64" i="22"/>
  <c r="AY51" i="22"/>
  <c r="AY52" i="22"/>
  <c r="AY53" i="22"/>
  <c r="AY36" i="22"/>
  <c r="AY50" i="22"/>
  <c r="AY43" i="22"/>
  <c r="AY24" i="22"/>
  <c r="AY25" i="22"/>
  <c r="AY34" i="22"/>
  <c r="AY35" i="22"/>
  <c r="AY19" i="22"/>
  <c r="AY12" i="22"/>
  <c r="AY108" i="22"/>
  <c r="AY102" i="22"/>
  <c r="AY96" i="22"/>
  <c r="AY94" i="22"/>
  <c r="AY89" i="22"/>
  <c r="AY86" i="22"/>
  <c r="AY88" i="22"/>
  <c r="AY80" i="22"/>
  <c r="AY78" i="22"/>
  <c r="AY75" i="22"/>
  <c r="AY65" i="22"/>
  <c r="AY63" i="22"/>
  <c r="AY60" i="22"/>
  <c r="AY47" i="22"/>
  <c r="AY48" i="22"/>
  <c r="AY49" i="22"/>
  <c r="AY45" i="22"/>
  <c r="AY46" i="22"/>
  <c r="AY39" i="22"/>
  <c r="AY20" i="22"/>
  <c r="AY21" i="22"/>
  <c r="AY30" i="22"/>
  <c r="AY31" i="22"/>
  <c r="AY8" i="22"/>
  <c r="AY11" i="22"/>
  <c r="AY106" i="22"/>
  <c r="AY104" i="22"/>
  <c r="AY101" i="22"/>
  <c r="AY97" i="22"/>
  <c r="AY90" i="22"/>
  <c r="AY82" i="22"/>
  <c r="AY87" i="22"/>
  <c r="AY76" i="22"/>
  <c r="AY74" i="22"/>
  <c r="AY71" i="22"/>
  <c r="AY61" i="22"/>
  <c r="AY59" i="22"/>
  <c r="AY54" i="22"/>
  <c r="AY62" i="22"/>
  <c r="AY58" i="22"/>
  <c r="AY44" i="22"/>
  <c r="AY41" i="22"/>
  <c r="AY42" i="22"/>
  <c r="AY32" i="22"/>
  <c r="AY33" i="22"/>
  <c r="AY17" i="22"/>
  <c r="AY26" i="22"/>
  <c r="AY27" i="22"/>
  <c r="AC6" i="22"/>
  <c r="AC8" i="22"/>
  <c r="H9" i="22"/>
  <c r="H17" i="22"/>
  <c r="H4" i="22"/>
  <c r="DA7" i="22"/>
  <c r="DA3" i="22"/>
  <c r="DA12" i="22"/>
  <c r="BK12" i="22"/>
  <c r="BK15" i="22"/>
  <c r="BK108" i="22"/>
  <c r="BK104" i="22"/>
  <c r="BK100" i="22"/>
  <c r="BK97" i="22"/>
  <c r="BK93" i="22"/>
  <c r="BK86" i="22"/>
  <c r="BK83" i="22"/>
  <c r="BK76" i="22"/>
  <c r="BK7" i="22"/>
  <c r="BK106" i="22"/>
  <c r="BK102" i="22"/>
  <c r="BK96" i="22"/>
  <c r="BK94" i="22"/>
  <c r="BK92" i="22"/>
  <c r="BK82" i="22"/>
  <c r="BK84" i="22"/>
  <c r="BK77" i="22"/>
  <c r="BK105" i="22"/>
  <c r="BK103" i="22"/>
  <c r="BK98" i="22"/>
  <c r="BK95" i="22"/>
  <c r="BK89" i="22"/>
  <c r="BK88" i="22"/>
  <c r="BK85" i="22"/>
  <c r="T19" i="22"/>
  <c r="T13" i="22"/>
  <c r="DC15" i="22"/>
  <c r="DC8" i="22"/>
  <c r="DC3" i="22"/>
  <c r="DC7" i="22"/>
  <c r="DC16" i="22"/>
  <c r="DC14" i="22"/>
  <c r="DC10" i="22"/>
  <c r="BH9" i="22"/>
  <c r="BH16" i="22"/>
  <c r="BH11" i="22"/>
  <c r="BH19" i="22"/>
  <c r="CV12" i="22"/>
  <c r="CV3" i="22"/>
  <c r="CV7" i="22"/>
  <c r="CV13" i="22"/>
  <c r="BE9" i="22"/>
  <c r="BE13" i="22"/>
  <c r="BE6" i="22"/>
  <c r="BE8" i="22"/>
  <c r="BE12" i="22"/>
  <c r="O107" i="22"/>
  <c r="O103" i="22"/>
  <c r="O98" i="22"/>
  <c r="O95" i="22"/>
  <c r="O89" i="22"/>
  <c r="O88" i="22"/>
  <c r="O85" i="22"/>
  <c r="O73" i="22"/>
  <c r="O74" i="22"/>
  <c r="O65" i="22"/>
  <c r="O69" i="22"/>
  <c r="O68" i="22"/>
  <c r="O55" i="22"/>
  <c r="O52" i="22"/>
  <c r="O53" i="22"/>
  <c r="O36" i="22"/>
  <c r="O41" i="22"/>
  <c r="O50" i="22"/>
  <c r="O28" i="22"/>
  <c r="O29" i="22"/>
  <c r="O13" i="22"/>
  <c r="O26" i="22"/>
  <c r="O23" i="22"/>
  <c r="O15" i="22"/>
  <c r="O10" i="22"/>
  <c r="O109" i="22"/>
  <c r="O106" i="22"/>
  <c r="O101" i="22"/>
  <c r="O99" i="22"/>
  <c r="O91" i="22"/>
  <c r="O90" i="22"/>
  <c r="O87" i="22"/>
  <c r="O81" i="22"/>
  <c r="O80" i="22"/>
  <c r="O70" i="22"/>
  <c r="O61" i="22"/>
  <c r="O67" i="22"/>
  <c r="O64" i="22"/>
  <c r="O51" i="22"/>
  <c r="O48" i="22"/>
  <c r="O49" i="22"/>
  <c r="O47" i="22"/>
  <c r="O37" i="22"/>
  <c r="O43" i="22"/>
  <c r="O24" i="22"/>
  <c r="O25" i="22"/>
  <c r="O35" i="22"/>
  <c r="O22" i="22"/>
  <c r="O19" i="22"/>
  <c r="O18" i="22"/>
  <c r="O108" i="22"/>
  <c r="O102" i="22"/>
  <c r="O100" i="22"/>
  <c r="O97" i="22"/>
  <c r="O93" i="22"/>
  <c r="O86" i="22"/>
  <c r="O83" i="22"/>
  <c r="O76" i="22"/>
  <c r="O79" i="22"/>
  <c r="O75" i="22"/>
  <c r="O72" i="22"/>
  <c r="O63" i="22"/>
  <c r="O60" i="22"/>
  <c r="O57" i="22"/>
  <c r="O62" i="22"/>
  <c r="O44" i="22"/>
  <c r="O46" i="22"/>
  <c r="O42" i="22"/>
  <c r="O39" i="22"/>
  <c r="O20" i="22"/>
  <c r="O21" i="22"/>
  <c r="O34" i="22"/>
  <c r="O31" i="22"/>
  <c r="CI8" i="22"/>
  <c r="CI3" i="22"/>
  <c r="CI10" i="22"/>
  <c r="AR19" i="22"/>
  <c r="AR9" i="22"/>
  <c r="AR16" i="22"/>
  <c r="O27" i="22"/>
  <c r="O32" i="22"/>
  <c r="O58" i="22"/>
  <c r="O66" i="22"/>
  <c r="O84" i="22"/>
  <c r="O96" i="22"/>
  <c r="T12" i="22"/>
  <c r="AR11" i="22"/>
  <c r="BK19" i="22"/>
  <c r="BK22" i="22"/>
  <c r="BK35" i="22"/>
  <c r="BK25" i="22"/>
  <c r="BK24" i="22"/>
  <c r="BK43" i="22"/>
  <c r="BK37" i="22"/>
  <c r="BK36" i="22"/>
  <c r="BK53" i="22"/>
  <c r="BK56" i="22"/>
  <c r="BK55" i="22"/>
  <c r="BK64" i="22"/>
  <c r="BK68" i="22"/>
  <c r="BK61" i="22"/>
  <c r="BK70" i="22"/>
  <c r="BK80" i="22"/>
  <c r="BK90" i="22"/>
  <c r="BK107" i="22"/>
  <c r="AY23" i="22"/>
  <c r="AY28" i="22"/>
  <c r="AY57" i="22"/>
  <c r="AY66" i="22"/>
  <c r="AY85" i="22"/>
  <c r="AY98" i="22"/>
  <c r="O30" i="22"/>
  <c r="O38" i="22"/>
  <c r="O56" i="22"/>
  <c r="O71" i="22"/>
  <c r="O82" i="22"/>
  <c r="O104" i="22"/>
  <c r="BK10" i="22"/>
  <c r="O14" i="22"/>
  <c r="AR8" i="22"/>
  <c r="O17" i="22"/>
  <c r="O45" i="22"/>
  <c r="O54" i="22"/>
  <c r="O78" i="22"/>
  <c r="O92" i="22"/>
  <c r="O105" i="22"/>
  <c r="BE4" i="22"/>
  <c r="CM15" i="22"/>
  <c r="CM8" i="22"/>
  <c r="BQ6" i="22"/>
  <c r="BQ8" i="22"/>
  <c r="BQ13" i="22"/>
  <c r="AV13" i="22"/>
  <c r="AV8" i="22"/>
  <c r="AV4" i="22"/>
  <c r="AV19" i="22"/>
  <c r="AA15" i="22"/>
  <c r="AA3" i="22"/>
  <c r="AA104" i="22"/>
  <c r="AA94" i="22"/>
  <c r="AA82" i="22"/>
  <c r="AA76" i="22"/>
  <c r="AA71" i="22"/>
  <c r="AA63" i="22"/>
  <c r="AA51" i="22"/>
  <c r="AA50" i="22"/>
  <c r="AA42" i="22"/>
  <c r="AA35" i="22"/>
  <c r="AA30" i="22"/>
  <c r="AA103" i="22"/>
  <c r="AA95" i="22"/>
  <c r="AA83" i="22"/>
  <c r="AA79" i="22"/>
  <c r="AA69" i="22"/>
  <c r="AA59" i="22"/>
  <c r="AA47" i="22"/>
  <c r="AA46" i="22"/>
  <c r="AA38" i="22"/>
  <c r="AA33" i="22"/>
  <c r="AA26" i="22"/>
  <c r="AA16" i="22"/>
  <c r="AA105" i="22"/>
  <c r="AA98" i="22"/>
  <c r="AA90" i="22"/>
  <c r="AA87" i="22"/>
  <c r="AA78" i="22"/>
  <c r="AA68" i="22"/>
  <c r="AA62" i="22"/>
  <c r="AA48" i="22"/>
  <c r="AA36" i="22"/>
  <c r="AA32" i="22"/>
  <c r="AA21" i="22"/>
  <c r="AA27" i="22"/>
  <c r="K10" i="22"/>
  <c r="M12" i="22"/>
  <c r="K20" i="22"/>
  <c r="K56" i="22"/>
  <c r="K74" i="22"/>
  <c r="G26" i="22"/>
  <c r="G46" i="22"/>
  <c r="G51" i="22"/>
  <c r="G71" i="22"/>
  <c r="CR13" i="22"/>
  <c r="CR8" i="22"/>
  <c r="CR19" i="22"/>
  <c r="CR15" i="22"/>
  <c r="BW7" i="22"/>
  <c r="BW10" i="22"/>
  <c r="BA14" i="22"/>
  <c r="BA9" i="22"/>
  <c r="AF8" i="22"/>
  <c r="AF13" i="22"/>
  <c r="AF15" i="22"/>
  <c r="AF19" i="22"/>
  <c r="K107" i="22"/>
  <c r="K96" i="22"/>
  <c r="K95" i="22"/>
  <c r="K92" i="22"/>
  <c r="K88" i="22"/>
  <c r="K79" i="22"/>
  <c r="K70" i="22"/>
  <c r="K61" i="22"/>
  <c r="K68" i="22"/>
  <c r="K57" i="22"/>
  <c r="K52" i="22"/>
  <c r="K44" i="22"/>
  <c r="K37" i="22"/>
  <c r="K39" i="22"/>
  <c r="K33" i="22"/>
  <c r="K17" i="22"/>
  <c r="K26" i="22"/>
  <c r="K23" i="22"/>
  <c r="K109" i="22"/>
  <c r="K104" i="22"/>
  <c r="K101" i="22"/>
  <c r="K91" i="22"/>
  <c r="K86" i="22"/>
  <c r="K85" i="22"/>
  <c r="K77" i="22"/>
  <c r="K75" i="22"/>
  <c r="K72" i="22"/>
  <c r="K64" i="22"/>
  <c r="K55" i="22"/>
  <c r="K53" i="22"/>
  <c r="K40" i="22"/>
  <c r="K42" i="22"/>
  <c r="K28" i="22"/>
  <c r="K29" i="22"/>
  <c r="K13" i="22"/>
  <c r="K22" i="22"/>
  <c r="K19" i="22"/>
  <c r="K7" i="22"/>
  <c r="K108" i="22"/>
  <c r="K103" i="22"/>
  <c r="K99" i="22"/>
  <c r="K89" i="22"/>
  <c r="K83" i="22"/>
  <c r="K81" i="22"/>
  <c r="K73" i="22"/>
  <c r="K69" i="22"/>
  <c r="K67" i="22"/>
  <c r="K60" i="22"/>
  <c r="K58" i="22"/>
  <c r="K49" i="22"/>
  <c r="K36" i="22"/>
  <c r="K47" i="22"/>
  <c r="K24" i="22"/>
  <c r="K25" i="22"/>
  <c r="K34" i="22"/>
  <c r="K31" i="22"/>
  <c r="CU18" i="22"/>
  <c r="CU3" i="22"/>
  <c r="CU12" i="22"/>
  <c r="CU7" i="22"/>
  <c r="CU11" i="22"/>
  <c r="BY5" i="22"/>
  <c r="BY6" i="22"/>
  <c r="BY9" i="22"/>
  <c r="BY12" i="22"/>
  <c r="BY8" i="22"/>
  <c r="BD12" i="22"/>
  <c r="BD17" i="22"/>
  <c r="BD11" i="22"/>
  <c r="BD4" i="22"/>
  <c r="AI18" i="22"/>
  <c r="AI3" i="22"/>
  <c r="AI7" i="22"/>
  <c r="AI12" i="22"/>
  <c r="AI10" i="22"/>
  <c r="AI11" i="22"/>
  <c r="M8" i="22"/>
  <c r="M6" i="22"/>
  <c r="M5" i="22"/>
  <c r="BU13" i="22"/>
  <c r="BU3" i="22"/>
  <c r="BU9" i="22"/>
  <c r="AE8" i="22"/>
  <c r="AE10" i="22"/>
  <c r="AE108" i="22"/>
  <c r="AE104" i="22"/>
  <c r="AE105" i="22"/>
  <c r="AE107" i="22"/>
  <c r="AE103" i="22"/>
  <c r="G105" i="22"/>
  <c r="G100" i="22"/>
  <c r="G97" i="22"/>
  <c r="G92" i="22"/>
  <c r="G87" i="22"/>
  <c r="G79" i="22"/>
  <c r="G78" i="22"/>
  <c r="G61" i="22"/>
  <c r="G63" i="22"/>
  <c r="G64" i="22"/>
  <c r="G62" i="22"/>
  <c r="G56" i="22"/>
  <c r="G49" i="22"/>
  <c r="G50" i="22"/>
  <c r="G37" i="22"/>
  <c r="G43" i="22"/>
  <c r="G28" i="22"/>
  <c r="G29" i="22"/>
  <c r="G13" i="22"/>
  <c r="G22" i="22"/>
  <c r="G19" i="22"/>
  <c r="G7" i="22"/>
  <c r="G11" i="22"/>
  <c r="G106" i="22"/>
  <c r="G96" i="22"/>
  <c r="G94" i="22"/>
  <c r="G90" i="22"/>
  <c r="G83" i="22"/>
  <c r="G76" i="22"/>
  <c r="G70" i="22"/>
  <c r="G66" i="22"/>
  <c r="G59" i="22"/>
  <c r="G60" i="22"/>
  <c r="G58" i="22"/>
  <c r="G52" i="22"/>
  <c r="G44" i="22"/>
  <c r="G47" i="22"/>
  <c r="G42" i="22"/>
  <c r="G39" i="22"/>
  <c r="G24" i="22"/>
  <c r="G25" i="22"/>
  <c r="G34" i="22"/>
  <c r="G31" i="22"/>
  <c r="G109" i="22"/>
  <c r="G104" i="22"/>
  <c r="G101" i="22"/>
  <c r="G91" i="22"/>
  <c r="G86" i="22"/>
  <c r="G84" i="22"/>
  <c r="G73" i="22"/>
  <c r="G75" i="22"/>
  <c r="G69" i="22"/>
  <c r="G72" i="22"/>
  <c r="G57" i="22"/>
  <c r="G55" i="22"/>
  <c r="G48" i="22"/>
  <c r="G40" i="22"/>
  <c r="G45" i="22"/>
  <c r="G38" i="22"/>
  <c r="G35" i="22"/>
  <c r="G20" i="22"/>
  <c r="G21" i="22"/>
  <c r="G30" i="22"/>
  <c r="G27" i="22"/>
  <c r="BS16" i="22"/>
  <c r="BS11" i="22"/>
  <c r="BS8" i="22"/>
  <c r="Q13" i="22"/>
  <c r="Q14" i="22"/>
  <c r="BP19" i="22"/>
  <c r="BP3" i="22"/>
  <c r="BP15" i="22"/>
  <c r="Y7" i="22"/>
  <c r="Y9" i="22"/>
  <c r="Y8" i="22"/>
  <c r="Y4" i="22"/>
  <c r="Y6" i="22"/>
  <c r="CS13" i="22"/>
  <c r="CS6" i="22"/>
  <c r="CS5" i="22"/>
  <c r="CS16" i="22"/>
  <c r="CS8" i="22"/>
  <c r="CS3" i="22"/>
  <c r="L17" i="22"/>
  <c r="L9" i="22"/>
  <c r="L4" i="22"/>
  <c r="L8" i="22"/>
  <c r="L19" i="22"/>
  <c r="L3" i="22"/>
  <c r="L11" i="22"/>
  <c r="W16" i="22"/>
  <c r="W7" i="22"/>
  <c r="W109" i="22"/>
  <c r="W106" i="22"/>
  <c r="W100" i="22"/>
  <c r="W99" i="22"/>
  <c r="W91" i="22"/>
  <c r="W90" i="22"/>
  <c r="W87" i="22"/>
  <c r="W81" i="22"/>
  <c r="W73" i="22"/>
  <c r="W70" i="22"/>
  <c r="W65" i="22"/>
  <c r="W67" i="22"/>
  <c r="W64" i="22"/>
  <c r="W62" i="22"/>
  <c r="W47" i="22"/>
  <c r="W53" i="22"/>
  <c r="W36" i="22"/>
  <c r="W37" i="22"/>
  <c r="W43" i="22"/>
  <c r="W28" i="22"/>
  <c r="W29" i="22"/>
  <c r="W13" i="22"/>
  <c r="W22" i="22"/>
  <c r="W19" i="22"/>
  <c r="W108" i="22"/>
  <c r="W104" i="22"/>
  <c r="W96" i="22"/>
  <c r="W97" i="22"/>
  <c r="W93" i="22"/>
  <c r="W86" i="22"/>
  <c r="W83" i="22"/>
  <c r="W79" i="22"/>
  <c r="W80" i="22"/>
  <c r="W75" i="22"/>
  <c r="W61" i="22"/>
  <c r="W63" i="22"/>
  <c r="W60" i="22"/>
  <c r="W58" i="22"/>
  <c r="W56" i="22"/>
  <c r="W49" i="22"/>
  <c r="W50" i="22"/>
  <c r="W42" i="22"/>
  <c r="W39" i="22"/>
  <c r="W24" i="22"/>
  <c r="W25" i="22"/>
  <c r="W34" i="22"/>
  <c r="W31" i="22"/>
  <c r="W8" i="22"/>
  <c r="W10" i="22"/>
  <c r="W105" i="22"/>
  <c r="W102" i="22"/>
  <c r="W101" i="22"/>
  <c r="W94" i="22"/>
  <c r="W92" i="22"/>
  <c r="W82" i="22"/>
  <c r="W84" i="22"/>
  <c r="W76" i="22"/>
  <c r="W78" i="22"/>
  <c r="W71" i="22"/>
  <c r="W66" i="22"/>
  <c r="W59" i="22"/>
  <c r="W57" i="22"/>
  <c r="W55" i="22"/>
  <c r="W52" i="22"/>
  <c r="W44" i="22"/>
  <c r="W45" i="22"/>
  <c r="W38" i="22"/>
  <c r="W35" i="22"/>
  <c r="W20" i="22"/>
  <c r="W21" i="22"/>
  <c r="W30" i="22"/>
  <c r="W27" i="22"/>
  <c r="AV9" i="22"/>
  <c r="BX11" i="22"/>
  <c r="CF19" i="22"/>
  <c r="CF3" i="22"/>
  <c r="CF4" i="22"/>
  <c r="CF8" i="22"/>
  <c r="AO7" i="22"/>
  <c r="AO6" i="22"/>
  <c r="AO9" i="22"/>
  <c r="AO4" i="22"/>
  <c r="AB17" i="22"/>
  <c r="AB9" i="22"/>
  <c r="BH17" i="22"/>
  <c r="BH4" i="22"/>
  <c r="BH7" i="22"/>
  <c r="BH3" i="22"/>
  <c r="BH8" i="22"/>
  <c r="CV19" i="22"/>
  <c r="CV9" i="22"/>
  <c r="CV8" i="22"/>
  <c r="BE7" i="22"/>
  <c r="BE3" i="22"/>
  <c r="BE5" i="22"/>
  <c r="O12" i="22"/>
  <c r="O8" i="22"/>
  <c r="O3" i="22"/>
  <c r="O7" i="22"/>
  <c r="CI16" i="22"/>
  <c r="CI7" i="22"/>
  <c r="CI11" i="22"/>
  <c r="AR17" i="22"/>
  <c r="AR7" i="22"/>
  <c r="AR3" i="22"/>
  <c r="AR4" i="22"/>
  <c r="BU7" i="22"/>
  <c r="BU5" i="22"/>
  <c r="BU6" i="22"/>
  <c r="AE12" i="22"/>
  <c r="AE7" i="22"/>
  <c r="AE3" i="22"/>
  <c r="G16" i="22"/>
  <c r="G3" i="22"/>
  <c r="CN17" i="22"/>
  <c r="CN3" i="22"/>
  <c r="CN4" i="22"/>
  <c r="AW13" i="22"/>
  <c r="AW6" i="22"/>
  <c r="AW9" i="22"/>
  <c r="CK7" i="22"/>
  <c r="CK4" i="22"/>
  <c r="CK6" i="22"/>
  <c r="CK5" i="22"/>
  <c r="CK9" i="22"/>
  <c r="AU12" i="22"/>
  <c r="AU8" i="22"/>
  <c r="AU3" i="22"/>
  <c r="D19" i="22"/>
  <c r="D7" i="22"/>
  <c r="D8" i="22"/>
  <c r="D3" i="22"/>
  <c r="BX17" i="22"/>
  <c r="BX9" i="22"/>
  <c r="BX7" i="22"/>
  <c r="AG13" i="22"/>
  <c r="AG5" i="22"/>
  <c r="AG3" i="22"/>
  <c r="G65" i="22"/>
  <c r="G74" i="22"/>
  <c r="G77" i="22"/>
  <c r="G85" i="22"/>
  <c r="G88" i="22"/>
  <c r="G89" i="22"/>
  <c r="G95" i="22"/>
  <c r="G98" i="22"/>
  <c r="G103" i="22"/>
  <c r="G107" i="22"/>
  <c r="BU12" i="22"/>
  <c r="AU10" i="22"/>
  <c r="CK8" i="22"/>
  <c r="BU8" i="22"/>
  <c r="AG8" i="22"/>
  <c r="AU18" i="22"/>
  <c r="CK13" i="22"/>
  <c r="D13" i="22"/>
  <c r="AG9" i="22"/>
  <c r="BX4" i="22"/>
  <c r="D9" i="22"/>
  <c r="G8" i="22"/>
  <c r="AK6" i="22"/>
  <c r="BL16" i="22"/>
  <c r="BL4" i="22"/>
  <c r="AQ15" i="22"/>
  <c r="AQ3" i="22"/>
  <c r="U14" i="22"/>
  <c r="U6" i="22"/>
  <c r="U9" i="22"/>
  <c r="G10" i="22"/>
  <c r="AE18" i="22"/>
  <c r="AE15" i="22"/>
  <c r="AE14" i="22"/>
  <c r="CN11" i="22"/>
  <c r="CN8" i="22"/>
  <c r="AU7" i="22"/>
  <c r="AG6" i="22"/>
  <c r="BU4" i="22"/>
  <c r="CB8" i="22"/>
  <c r="CB9" i="22"/>
  <c r="BG15" i="22"/>
  <c r="BG8" i="22"/>
  <c r="BG7" i="22"/>
  <c r="BX3" i="22"/>
  <c r="AW3" i="22"/>
  <c r="CZ9" i="22"/>
  <c r="CZ8" i="22"/>
  <c r="CE18" i="22"/>
  <c r="CE3" i="22"/>
  <c r="BI9" i="22"/>
  <c r="BI5" i="22"/>
  <c r="AN4" i="22"/>
  <c r="AN8" i="22"/>
  <c r="S18" i="22"/>
  <c r="S8" i="22"/>
  <c r="CN7" i="22"/>
  <c r="AV17" i="22"/>
  <c r="AV16" i="22"/>
  <c r="BQ14" i="22"/>
  <c r="E14" i="22"/>
  <c r="BT12" i="22"/>
  <c r="DA9" i="22"/>
  <c r="E9" i="22"/>
  <c r="H8" i="22"/>
  <c r="AA7" i="22"/>
  <c r="T4" i="22"/>
  <c r="T9" i="22"/>
  <c r="BK8" i="22"/>
  <c r="E6" i="22"/>
  <c r="AJ7" i="22"/>
  <c r="AJ3" i="22"/>
  <c r="AA31" i="22"/>
  <c r="AA34" i="22"/>
  <c r="AA25" i="22"/>
  <c r="AA20" i="22"/>
  <c r="AA39" i="22"/>
  <c r="AA37" i="22"/>
  <c r="AA40" i="22"/>
  <c r="AA49" i="22"/>
  <c r="AA52" i="22"/>
  <c r="AA55" i="22"/>
  <c r="AA60" i="22"/>
  <c r="AA67" i="22"/>
  <c r="AA61" i="22"/>
  <c r="AA75" i="22"/>
  <c r="AA73" i="22"/>
  <c r="AA80" i="22"/>
  <c r="AA88" i="22"/>
  <c r="AA86" i="22"/>
  <c r="AA89" i="22"/>
  <c r="AA97" i="22"/>
  <c r="AA96" i="22"/>
  <c r="AA102" i="22"/>
  <c r="AA108" i="22"/>
  <c r="CC16" i="22"/>
  <c r="Q16" i="22"/>
  <c r="BL15" i="22"/>
  <c r="BL13" i="22"/>
  <c r="U13" i="22"/>
  <c r="BP12" i="22"/>
  <c r="AJ12" i="22"/>
  <c r="BT11" i="22"/>
  <c r="CM10" i="22"/>
  <c r="AM10" i="22"/>
  <c r="CO8" i="22"/>
  <c r="U8" i="22"/>
  <c r="E8" i="22"/>
  <c r="CQ18" i="22"/>
  <c r="BT17" i="22"/>
  <c r="BQ16" i="22"/>
  <c r="AQ16" i="22"/>
  <c r="AZ15" i="22"/>
  <c r="T15" i="22"/>
  <c r="CQ14" i="22"/>
  <c r="BK14" i="22"/>
  <c r="DA13" i="22"/>
  <c r="I13" i="22"/>
  <c r="CO12" i="22"/>
  <c r="H12" i="22"/>
  <c r="CG9" i="22"/>
  <c r="BQ9" i="22"/>
  <c r="Q9" i="22"/>
  <c r="DD8" i="22"/>
  <c r="BT8" i="22"/>
  <c r="T8" i="22"/>
  <c r="CQ7" i="22"/>
  <c r="CA7" i="22"/>
  <c r="AM7" i="22"/>
  <c r="CO5" i="22"/>
  <c r="U5" i="22"/>
  <c r="E5" i="22"/>
  <c r="BT4" i="22"/>
  <c r="CM3" i="22"/>
  <c r="BS3" i="22"/>
  <c r="AY3" i="22"/>
  <c r="AQ8" i="22"/>
  <c r="AA8" i="22"/>
  <c r="Q6" i="22"/>
  <c r="T7" i="22"/>
  <c r="CS4" i="22"/>
  <c r="Y3" i="22"/>
  <c r="DD7" i="22"/>
  <c r="AA19" i="22"/>
  <c r="AA22" i="22"/>
  <c r="AA13" i="22"/>
  <c r="AA29" i="22"/>
  <c r="AA24" i="22"/>
  <c r="AA43" i="22"/>
  <c r="AA41" i="22"/>
  <c r="AA44" i="22"/>
  <c r="AA53" i="22"/>
  <c r="AA56" i="22"/>
  <c r="AA57" i="22"/>
  <c r="AA64" i="22"/>
  <c r="AA72" i="22"/>
  <c r="AA65" i="22"/>
  <c r="AA70" i="22"/>
  <c r="AA77" i="22"/>
  <c r="AA81" i="22"/>
  <c r="AA84" i="22"/>
  <c r="AA92" i="22"/>
  <c r="AA91" i="22"/>
  <c r="AA99" i="22"/>
  <c r="AA100" i="22"/>
  <c r="AA107" i="22"/>
  <c r="AA109" i="22"/>
  <c r="BL19" i="22"/>
  <c r="DD16" i="22"/>
  <c r="AV15" i="22"/>
  <c r="CS14" i="22"/>
  <c r="AA14" i="22"/>
  <c r="CG13" i="22"/>
  <c r="Y12" i="22"/>
  <c r="BS10" i="22"/>
  <c r="AY10" i="22"/>
  <c r="DA8" i="22"/>
  <c r="Q8" i="22"/>
  <c r="DD19" i="22"/>
  <c r="CA18" i="22"/>
  <c r="BL17" i="22"/>
  <c r="CM16" i="22"/>
  <c r="CA15" i="22"/>
  <c r="CG14" i="22"/>
  <c r="BP13" i="22"/>
  <c r="AJ13" i="22"/>
  <c r="AC12" i="22"/>
  <c r="DD11" i="22"/>
  <c r="CS9" i="22"/>
  <c r="CC9" i="22"/>
  <c r="AC9" i="22"/>
  <c r="BP8" i="22"/>
  <c r="AZ8" i="22"/>
  <c r="AJ8" i="22"/>
  <c r="CM7" i="22"/>
  <c r="BS7" i="22"/>
  <c r="AY7" i="22"/>
  <c r="DA5" i="22"/>
  <c r="Q5" i="22"/>
  <c r="DD4" i="22"/>
  <c r="BP4" i="22"/>
  <c r="AZ4" i="22"/>
  <c r="AJ4" i="22"/>
  <c r="BK3" i="22"/>
  <c r="DD9" i="22"/>
  <c r="BP9" i="22"/>
  <c r="AZ9" i="22"/>
  <c r="AJ9" i="22"/>
  <c r="CQ8" i="22"/>
  <c r="CA8" i="22"/>
  <c r="AM8" i="22"/>
  <c r="DA6" i="22"/>
  <c r="DA4" i="22"/>
  <c r="BP7" i="22"/>
  <c r="AZ3" i="22"/>
  <c r="T3" i="22"/>
  <c r="CC4" i="22"/>
  <c r="Q4" i="22"/>
  <c r="CC3" i="22"/>
  <c r="Q3" i="22"/>
  <c r="BO14" i="22"/>
  <c r="C14" i="22"/>
  <c r="CJ13" i="22"/>
  <c r="X13" i="22"/>
  <c r="DE21" i="22"/>
  <c r="DE28" i="22"/>
  <c r="DE23" i="22"/>
  <c r="DE26" i="22"/>
  <c r="DE36" i="22"/>
  <c r="DE43" i="22"/>
  <c r="DE51" i="22"/>
  <c r="DE53" i="22"/>
  <c r="DE62" i="22"/>
  <c r="DE65" i="22"/>
  <c r="DE73" i="22"/>
  <c r="DE71" i="22"/>
  <c r="DE83" i="22"/>
  <c r="DE84" i="22"/>
  <c r="DE87" i="22"/>
  <c r="DE97" i="22"/>
  <c r="DE103" i="22"/>
  <c r="AS33" i="22"/>
  <c r="AS37" i="22"/>
  <c r="AS50" i="22"/>
  <c r="AS63" i="22"/>
  <c r="AS81" i="22"/>
  <c r="CJ35" i="22"/>
  <c r="CJ61" i="22"/>
  <c r="BO39" i="22"/>
  <c r="DE16" i="22"/>
  <c r="DE3" i="22"/>
  <c r="DE4" i="22"/>
  <c r="DE9" i="22"/>
  <c r="DE12" i="22"/>
  <c r="DE14" i="22"/>
  <c r="DE6" i="22"/>
  <c r="DE7" i="22"/>
  <c r="DE8" i="22"/>
  <c r="DE107" i="22"/>
  <c r="DE105" i="22"/>
  <c r="DE101" i="22"/>
  <c r="DE96" i="22"/>
  <c r="DE92" i="22"/>
  <c r="DE88" i="22"/>
  <c r="DE80" i="22"/>
  <c r="DE86" i="22"/>
  <c r="DE74" i="22"/>
  <c r="DE72" i="22"/>
  <c r="DE69" i="22"/>
  <c r="DE64" i="22"/>
  <c r="DE70" i="22"/>
  <c r="DE56" i="22"/>
  <c r="DE49" i="22"/>
  <c r="DE55" i="22"/>
  <c r="DE38" i="22"/>
  <c r="DE35" i="22"/>
  <c r="DE45" i="22"/>
  <c r="DE30" i="22"/>
  <c r="DE31" i="22"/>
  <c r="DE15" i="22"/>
  <c r="DE24" i="22"/>
  <c r="DE25" i="22"/>
  <c r="CJ16" i="22"/>
  <c r="CJ7" i="22"/>
  <c r="CJ3" i="22"/>
  <c r="CJ8" i="22"/>
  <c r="CJ17" i="22"/>
  <c r="CJ12" i="22"/>
  <c r="CJ9" i="22"/>
  <c r="CJ4" i="22"/>
  <c r="CJ10" i="22"/>
  <c r="CJ109" i="22"/>
  <c r="CJ105" i="22"/>
  <c r="CJ99" i="22"/>
  <c r="CJ98" i="22"/>
  <c r="CJ90" i="22"/>
  <c r="CJ88" i="22"/>
  <c r="CJ85" i="22"/>
  <c r="CJ80" i="22"/>
  <c r="CJ71" i="22"/>
  <c r="CJ72" i="22"/>
  <c r="CJ67" i="22"/>
  <c r="CJ60" i="22"/>
  <c r="CJ63" i="22"/>
  <c r="CJ52" i="22"/>
  <c r="CJ49" i="22"/>
  <c r="CJ51" i="22"/>
  <c r="CJ42" i="22"/>
  <c r="CJ43" i="22"/>
  <c r="CJ106" i="22"/>
  <c r="CJ97" i="22"/>
  <c r="CJ100" i="22"/>
  <c r="CJ92" i="22"/>
  <c r="CJ91" i="22"/>
  <c r="CJ84" i="22"/>
  <c r="CJ82" i="22"/>
  <c r="CJ74" i="22"/>
  <c r="CJ79" i="22"/>
  <c r="CJ62" i="22"/>
  <c r="CJ70" i="22"/>
  <c r="CJ65" i="22"/>
  <c r="CJ55" i="22"/>
  <c r="CJ59" i="22"/>
  <c r="CJ54" i="22"/>
  <c r="CJ41" i="22"/>
  <c r="CJ47" i="22"/>
  <c r="CJ44" i="22"/>
  <c r="CJ25" i="22"/>
  <c r="CJ30" i="22"/>
  <c r="CJ14" i="22"/>
  <c r="CJ36" i="22"/>
  <c r="CJ20" i="22"/>
  <c r="CJ104" i="22"/>
  <c r="CJ96" i="22"/>
  <c r="CJ93" i="22"/>
  <c r="CJ77" i="22"/>
  <c r="CJ76" i="22"/>
  <c r="CJ64" i="22"/>
  <c r="CJ56" i="22"/>
  <c r="CJ50" i="22"/>
  <c r="CJ46" i="22"/>
  <c r="CJ29" i="22"/>
  <c r="CJ26" i="22"/>
  <c r="CJ27" i="22"/>
  <c r="CJ24" i="22"/>
  <c r="CJ103" i="22"/>
  <c r="CJ95" i="22"/>
  <c r="CJ83" i="22"/>
  <c r="CJ78" i="22"/>
  <c r="CJ66" i="22"/>
  <c r="CJ68" i="22"/>
  <c r="CJ48" i="22"/>
  <c r="CJ45" i="22"/>
  <c r="CJ39" i="22"/>
  <c r="CJ21" i="22"/>
  <c r="CJ22" i="22"/>
  <c r="CJ23" i="22"/>
  <c r="CJ6" i="22"/>
  <c r="CJ11" i="22"/>
  <c r="CJ107" i="22"/>
  <c r="CJ101" i="22"/>
  <c r="CJ87" i="22"/>
  <c r="CJ86" i="22"/>
  <c r="CJ81" i="22"/>
  <c r="CJ73" i="22"/>
  <c r="CJ58" i="22"/>
  <c r="CJ57" i="22"/>
  <c r="CJ38" i="22"/>
  <c r="CJ33" i="22"/>
  <c r="CJ34" i="22"/>
  <c r="CJ31" i="22"/>
  <c r="CJ28" i="22"/>
  <c r="BO18" i="22"/>
  <c r="BO7" i="22"/>
  <c r="BO10" i="22"/>
  <c r="BO12" i="22"/>
  <c r="BO8" i="22"/>
  <c r="BO11" i="22"/>
  <c r="BO105" i="22"/>
  <c r="BO103" i="22"/>
  <c r="BO98" i="22"/>
  <c r="BO95" i="22"/>
  <c r="BO93" i="22"/>
  <c r="BO83" i="22"/>
  <c r="BO85" i="22"/>
  <c r="BO77" i="22"/>
  <c r="BO70" i="22"/>
  <c r="BO72" i="22"/>
  <c r="BO66" i="22"/>
  <c r="BO68" i="22"/>
  <c r="BO55" i="22"/>
  <c r="BO56" i="22"/>
  <c r="BO57" i="22"/>
  <c r="BO40" i="22"/>
  <c r="BO37" i="22"/>
  <c r="BO38" i="22"/>
  <c r="BO32" i="22"/>
  <c r="BO33" i="22"/>
  <c r="BO17" i="22"/>
  <c r="BO26" i="22"/>
  <c r="BO23" i="22"/>
  <c r="BO16" i="22"/>
  <c r="BO109" i="22"/>
  <c r="BO107" i="22"/>
  <c r="BO100" i="22"/>
  <c r="BO99" i="22"/>
  <c r="BO91" i="22"/>
  <c r="BO92" i="22"/>
  <c r="BO84" i="22"/>
  <c r="BO81" i="22"/>
  <c r="BO73" i="22"/>
  <c r="BO79" i="22"/>
  <c r="BO69" i="22"/>
  <c r="BO67" i="22"/>
  <c r="BO64" i="22"/>
  <c r="BO51" i="22"/>
  <c r="BO52" i="22"/>
  <c r="BO53" i="22"/>
  <c r="BO36" i="22"/>
  <c r="BO50" i="22"/>
  <c r="BO43" i="22"/>
  <c r="BO28" i="22"/>
  <c r="BO29" i="22"/>
  <c r="BO13" i="22"/>
  <c r="BO22" i="22"/>
  <c r="BO19" i="22"/>
  <c r="BO9" i="22"/>
  <c r="BO6" i="22"/>
  <c r="BO106" i="22"/>
  <c r="BO104" i="22"/>
  <c r="BO101" i="22"/>
  <c r="BO97" i="22"/>
  <c r="BO90" i="22"/>
  <c r="BO82" i="22"/>
  <c r="BO87" i="22"/>
  <c r="BO76" i="22"/>
  <c r="BO74" i="22"/>
  <c r="BO71" i="22"/>
  <c r="BO61" i="22"/>
  <c r="BO59" i="22"/>
  <c r="BO54" i="22"/>
  <c r="BO62" i="22"/>
  <c r="BO58" i="22"/>
  <c r="BO44" i="22"/>
  <c r="BO41" i="22"/>
  <c r="BO42" i="22"/>
  <c r="BO35" i="22"/>
  <c r="BO20" i="22"/>
  <c r="BO21" i="22"/>
  <c r="BO30" i="22"/>
  <c r="BO27" i="22"/>
  <c r="BO108" i="22"/>
  <c r="BO89" i="22"/>
  <c r="BO78" i="22"/>
  <c r="BO60" i="22"/>
  <c r="BO45" i="22"/>
  <c r="BO25" i="22"/>
  <c r="BO3" i="22"/>
  <c r="BO102" i="22"/>
  <c r="BO86" i="22"/>
  <c r="BO75" i="22"/>
  <c r="BO47" i="22"/>
  <c r="BO46" i="22"/>
  <c r="BO34" i="22"/>
  <c r="BO5" i="22"/>
  <c r="BO94" i="22"/>
  <c r="BO80" i="22"/>
  <c r="BO63" i="22"/>
  <c r="BO49" i="22"/>
  <c r="BO24" i="22"/>
  <c r="AS16" i="22"/>
  <c r="AS3" i="22"/>
  <c r="AS4" i="22"/>
  <c r="AS9" i="22"/>
  <c r="AS12" i="22"/>
  <c r="AS6" i="22"/>
  <c r="AS14" i="22"/>
  <c r="AS5" i="22"/>
  <c r="AS8" i="22"/>
  <c r="AS7" i="22"/>
  <c r="AS109" i="22"/>
  <c r="AS105" i="22"/>
  <c r="AS101" i="22"/>
  <c r="AS96" i="22"/>
  <c r="AS92" i="22"/>
  <c r="AS91" i="22"/>
  <c r="AS80" i="22"/>
  <c r="AS82" i="22"/>
  <c r="AS74" i="22"/>
  <c r="AS72" i="22"/>
  <c r="AS69" i="22"/>
  <c r="AS64" i="22"/>
  <c r="AS70" i="22"/>
  <c r="AS56" i="22"/>
  <c r="AS49" i="22"/>
  <c r="AS55" i="22"/>
  <c r="AS38" i="22"/>
  <c r="AS35" i="22"/>
  <c r="AS45" i="22"/>
  <c r="AS30" i="22"/>
  <c r="AS31" i="22"/>
  <c r="AS15" i="22"/>
  <c r="AS24" i="22"/>
  <c r="AS25" i="22"/>
  <c r="AS108" i="22"/>
  <c r="AS106" i="22"/>
  <c r="AS98" i="22"/>
  <c r="AS97" i="22"/>
  <c r="AS93" i="22"/>
  <c r="AS89" i="22"/>
  <c r="AS85" i="22"/>
  <c r="AS83" i="22"/>
  <c r="AS75" i="22"/>
  <c r="AS68" i="22"/>
  <c r="AS67" i="22"/>
  <c r="AS65" i="22"/>
  <c r="AS66" i="22"/>
  <c r="AS52" i="22"/>
  <c r="AS54" i="22"/>
  <c r="AS51" i="22"/>
  <c r="AS48" i="22"/>
  <c r="AS44" i="22"/>
  <c r="AS41" i="22"/>
  <c r="AS26" i="22"/>
  <c r="AS27" i="22"/>
  <c r="AS11" i="22"/>
  <c r="AS20" i="22"/>
  <c r="AS21" i="22"/>
  <c r="AS104" i="22"/>
  <c r="AS103" i="22"/>
  <c r="AS100" i="22"/>
  <c r="AS95" i="22"/>
  <c r="AS88" i="22"/>
  <c r="AS84" i="22"/>
  <c r="AS86" i="22"/>
  <c r="AS78" i="22"/>
  <c r="AS76" i="22"/>
  <c r="AS73" i="22"/>
  <c r="AS59" i="22"/>
  <c r="AS57" i="22"/>
  <c r="AS58" i="22"/>
  <c r="AS53" i="22"/>
  <c r="AS46" i="22"/>
  <c r="AS42" i="22"/>
  <c r="AS39" i="22"/>
  <c r="AS36" i="22"/>
  <c r="AS34" i="22"/>
  <c r="AS18" i="22"/>
  <c r="AS19" i="22"/>
  <c r="AS28" i="22"/>
  <c r="AS29" i="22"/>
  <c r="X16" i="22"/>
  <c r="X7" i="22"/>
  <c r="X3" i="22"/>
  <c r="X8" i="22"/>
  <c r="X17" i="22"/>
  <c r="X12" i="22"/>
  <c r="X9" i="22"/>
  <c r="X108" i="22"/>
  <c r="X104" i="22"/>
  <c r="X102" i="22"/>
  <c r="X96" i="22"/>
  <c r="X90" i="22"/>
  <c r="X93" i="22"/>
  <c r="X89" i="22"/>
  <c r="X77" i="22"/>
  <c r="X75" i="22"/>
  <c r="X76" i="22"/>
  <c r="X69" i="22"/>
  <c r="X64" i="22"/>
  <c r="X61" i="22"/>
  <c r="X56" i="22"/>
  <c r="X53" i="22"/>
  <c r="X50" i="22"/>
  <c r="X37" i="22"/>
  <c r="X46" i="22"/>
  <c r="X40" i="22"/>
  <c r="X21" i="22"/>
  <c r="X22" i="22"/>
  <c r="X27" i="22"/>
  <c r="X32" i="22"/>
  <c r="X4" i="22"/>
  <c r="X10" i="22"/>
  <c r="X109" i="22"/>
  <c r="X105" i="22"/>
  <c r="X101" i="22"/>
  <c r="X98" i="22"/>
  <c r="X94" i="22"/>
  <c r="X88" i="22"/>
  <c r="X85" i="22"/>
  <c r="X80" i="22"/>
  <c r="X71" i="22"/>
  <c r="X72" i="22"/>
  <c r="X67" i="22"/>
  <c r="X60" i="22"/>
  <c r="X63" i="22"/>
  <c r="X52" i="22"/>
  <c r="X49" i="22"/>
  <c r="X51" i="22"/>
  <c r="X42" i="22"/>
  <c r="X43" i="22"/>
  <c r="X33" i="22"/>
  <c r="X34" i="22"/>
  <c r="X18" i="22"/>
  <c r="X23" i="22"/>
  <c r="X28" i="22"/>
  <c r="X11" i="22"/>
  <c r="X106" i="22"/>
  <c r="X97" i="22"/>
  <c r="X100" i="22"/>
  <c r="X92" i="22"/>
  <c r="X91" i="22"/>
  <c r="X84" i="22"/>
  <c r="X82" i="22"/>
  <c r="X74" i="22"/>
  <c r="X79" i="22"/>
  <c r="X62" i="22"/>
  <c r="X70" i="22"/>
  <c r="X65" i="22"/>
  <c r="X55" i="22"/>
  <c r="X59" i="22"/>
  <c r="X54" i="22"/>
  <c r="X41" i="22"/>
  <c r="X47" i="22"/>
  <c r="X44" i="22"/>
  <c r="X25" i="22"/>
  <c r="X26" i="22"/>
  <c r="X31" i="22"/>
  <c r="X35" i="22"/>
  <c r="X20" i="22"/>
  <c r="X103" i="22"/>
  <c r="X83" i="22"/>
  <c r="X66" i="22"/>
  <c r="X48" i="22"/>
  <c r="X39" i="22"/>
  <c r="X36" i="22"/>
  <c r="X99" i="22"/>
  <c r="X86" i="22"/>
  <c r="X73" i="22"/>
  <c r="X57" i="22"/>
  <c r="X29" i="22"/>
  <c r="X24" i="22"/>
  <c r="X6" i="22"/>
  <c r="X107" i="22"/>
  <c r="X87" i="22"/>
  <c r="X81" i="22"/>
  <c r="X58" i="22"/>
  <c r="X38" i="22"/>
  <c r="X14" i="22"/>
  <c r="C18" i="22"/>
  <c r="C7" i="22"/>
  <c r="C10" i="22"/>
  <c r="C108" i="22"/>
  <c r="C104" i="22"/>
  <c r="C96" i="22"/>
  <c r="C94" i="22"/>
  <c r="C89" i="22"/>
  <c r="C86" i="22"/>
  <c r="C88" i="22"/>
  <c r="C80" i="22"/>
  <c r="C78" i="22"/>
  <c r="C75" i="22"/>
  <c r="C65" i="22"/>
  <c r="C63" i="22"/>
  <c r="C60" i="22"/>
  <c r="C51" i="22"/>
  <c r="C48" i="22"/>
  <c r="C44" i="22"/>
  <c r="C41" i="22"/>
  <c r="C42" i="22"/>
  <c r="C39" i="22"/>
  <c r="C20" i="22"/>
  <c r="C21" i="22"/>
  <c r="C30" i="22"/>
  <c r="C31" i="22"/>
  <c r="C12" i="22"/>
  <c r="C105" i="22"/>
  <c r="C102" i="22"/>
  <c r="C101" i="22"/>
  <c r="C97" i="22"/>
  <c r="C90" i="22"/>
  <c r="C82" i="22"/>
  <c r="C87" i="22"/>
  <c r="C76" i="22"/>
  <c r="C74" i="22"/>
  <c r="C71" i="22"/>
  <c r="C61" i="22"/>
  <c r="C59" i="22"/>
  <c r="C58" i="22"/>
  <c r="C62" i="22"/>
  <c r="C57" i="22"/>
  <c r="C40" i="22"/>
  <c r="C37" i="22"/>
  <c r="C38" i="22"/>
  <c r="C32" i="22"/>
  <c r="C33" i="22"/>
  <c r="C17" i="22"/>
  <c r="C26" i="22"/>
  <c r="C27" i="22"/>
  <c r="C8" i="22"/>
  <c r="C109" i="22"/>
  <c r="C107" i="22"/>
  <c r="C100" i="22"/>
  <c r="C99" i="22"/>
  <c r="C91" i="22"/>
  <c r="C92" i="22"/>
  <c r="C84" i="22"/>
  <c r="C81" i="22"/>
  <c r="C73" i="22"/>
  <c r="C79" i="22"/>
  <c r="C69" i="22"/>
  <c r="C67" i="22"/>
  <c r="C64" i="22"/>
  <c r="C55" i="22"/>
  <c r="C52" i="22"/>
  <c r="C49" i="22"/>
  <c r="C45" i="22"/>
  <c r="C46" i="22"/>
  <c r="C43" i="22"/>
  <c r="C24" i="22"/>
  <c r="C25" i="22"/>
  <c r="C34" i="22"/>
  <c r="C35" i="22"/>
  <c r="C19" i="22"/>
  <c r="C103" i="22"/>
  <c r="C83" i="22"/>
  <c r="C72" i="22"/>
  <c r="C56" i="22"/>
  <c r="C47" i="22"/>
  <c r="C22" i="22"/>
  <c r="C16" i="22"/>
  <c r="C98" i="22"/>
  <c r="C85" i="22"/>
  <c r="C66" i="22"/>
  <c r="C53" i="22"/>
  <c r="C28" i="22"/>
  <c r="C23" i="22"/>
  <c r="C9" i="22"/>
  <c r="C6" i="22"/>
  <c r="C3" i="22"/>
  <c r="C106" i="22"/>
  <c r="C93" i="22"/>
  <c r="C70" i="22"/>
  <c r="C54" i="22"/>
  <c r="C50" i="22"/>
  <c r="C13" i="22"/>
  <c r="C95" i="22"/>
  <c r="C29" i="22"/>
  <c r="C11" i="22"/>
  <c r="C77" i="22"/>
  <c r="C5" i="22"/>
  <c r="C36" i="22"/>
  <c r="BO15" i="22"/>
  <c r="C15" i="22"/>
  <c r="DE10" i="22"/>
  <c r="AS10" i="22"/>
  <c r="CJ5" i="22"/>
  <c r="X5" i="22"/>
  <c r="BO4" i="22"/>
  <c r="C4" i="22"/>
  <c r="DE33" i="22"/>
  <c r="DE11" i="22"/>
  <c r="DE18" i="22"/>
  <c r="DE37" i="22"/>
  <c r="DE44" i="22"/>
  <c r="DE42" i="22"/>
  <c r="DE50" i="22"/>
  <c r="DE52" i="22"/>
  <c r="DE57" i="22"/>
  <c r="DE63" i="22"/>
  <c r="DE68" i="22"/>
  <c r="DE78" i="22"/>
  <c r="DE81" i="22"/>
  <c r="DE91" i="22"/>
  <c r="DE95" i="22"/>
  <c r="DE99" i="22"/>
  <c r="DE106" i="22"/>
  <c r="AS23" i="22"/>
  <c r="AS43" i="22"/>
  <c r="AS62" i="22"/>
  <c r="AS71" i="22"/>
  <c r="AS87" i="22"/>
  <c r="AS107" i="22"/>
  <c r="CJ32" i="22"/>
  <c r="CJ37" i="22"/>
  <c r="CJ75" i="22"/>
  <c r="CJ108" i="22"/>
  <c r="X78" i="22"/>
  <c r="BO65" i="22"/>
  <c r="DE17" i="22"/>
  <c r="DE20" i="22"/>
  <c r="DE19" i="22"/>
  <c r="DE22" i="22"/>
  <c r="DE41" i="22"/>
  <c r="DE39" i="22"/>
  <c r="DE47" i="22"/>
  <c r="DE54" i="22"/>
  <c r="DE58" i="22"/>
  <c r="DE61" i="22"/>
  <c r="DE67" i="22"/>
  <c r="DE76" i="22"/>
  <c r="DE79" i="22"/>
  <c r="DE85" i="22"/>
  <c r="DE90" i="22"/>
  <c r="DE94" i="22"/>
  <c r="DE98" i="22"/>
  <c r="DE104" i="22"/>
  <c r="AS17" i="22"/>
  <c r="AS22" i="22"/>
  <c r="AS47" i="22"/>
  <c r="AS61" i="22"/>
  <c r="AS79" i="22"/>
  <c r="AS94" i="22"/>
  <c r="CJ18" i="22"/>
  <c r="CJ53" i="22"/>
  <c r="CJ89" i="22"/>
  <c r="X30" i="22"/>
  <c r="X95" i="22"/>
  <c r="BO31" i="22"/>
  <c r="BO88" i="22"/>
  <c r="DE5" i="22"/>
  <c r="CR12" i="22"/>
  <c r="CR7" i="22"/>
  <c r="CR3" i="22"/>
  <c r="CR4" i="22"/>
  <c r="CR9" i="22"/>
  <c r="CR17" i="22"/>
  <c r="CR16" i="22"/>
  <c r="BW15" i="22"/>
  <c r="BW3" i="22"/>
  <c r="BW14" i="22"/>
  <c r="BW8" i="22"/>
  <c r="BW16" i="22"/>
  <c r="BA12" i="22"/>
  <c r="BA3" i="22"/>
  <c r="BA4" i="22"/>
  <c r="BA6" i="22"/>
  <c r="BA5" i="22"/>
  <c r="BA8" i="22"/>
  <c r="BA13" i="22"/>
  <c r="BA16" i="22"/>
  <c r="AF12" i="22"/>
  <c r="AF7" i="22"/>
  <c r="AF3" i="22"/>
  <c r="AF4" i="22"/>
  <c r="AF9" i="22"/>
  <c r="AF17" i="22"/>
  <c r="AF16" i="22"/>
  <c r="K15" i="22"/>
  <c r="K3" i="22"/>
  <c r="K14" i="22"/>
  <c r="K8" i="22"/>
  <c r="K16" i="22"/>
  <c r="K105" i="22"/>
  <c r="K102" i="22"/>
  <c r="K98" i="22"/>
  <c r="K94" i="22"/>
  <c r="K90" i="22"/>
  <c r="K82" i="22"/>
  <c r="K87" i="22"/>
  <c r="K76" i="22"/>
  <c r="K78" i="22"/>
  <c r="K71" i="22"/>
  <c r="K66" i="22"/>
  <c r="K59" i="22"/>
  <c r="K62" i="22"/>
  <c r="K51" i="22"/>
  <c r="K48" i="22"/>
  <c r="K46" i="22"/>
  <c r="K45" i="22"/>
  <c r="K38" i="22"/>
  <c r="K32" i="22"/>
  <c r="K35" i="22"/>
  <c r="CU8" i="22"/>
  <c r="CW12" i="22"/>
  <c r="CW3" i="22"/>
  <c r="CW4" i="22"/>
  <c r="CB12" i="22"/>
  <c r="CB7" i="22"/>
  <c r="CB3" i="22"/>
  <c r="AK12" i="22"/>
  <c r="AK3" i="22"/>
  <c r="AK4" i="22"/>
  <c r="P12" i="22"/>
  <c r="P7" i="22"/>
  <c r="P3" i="22"/>
  <c r="CO16" i="22"/>
  <c r="CO3" i="22"/>
  <c r="CO4" i="22"/>
  <c r="BT16" i="22"/>
  <c r="BT7" i="22"/>
  <c r="BT3" i="22"/>
  <c r="AC16" i="22"/>
  <c r="AC3" i="22"/>
  <c r="AC4" i="22"/>
  <c r="H16" i="22"/>
  <c r="H7" i="22"/>
  <c r="H3" i="22"/>
  <c r="BQ12" i="22"/>
  <c r="BQ3" i="22"/>
  <c r="BQ4" i="22"/>
  <c r="AV12" i="22"/>
  <c r="AV7" i="22"/>
  <c r="AV3" i="22"/>
  <c r="E12" i="22"/>
  <c r="E3" i="22"/>
  <c r="E4" i="22"/>
  <c r="CZ16" i="22"/>
  <c r="CZ7" i="22"/>
  <c r="CZ3" i="22"/>
  <c r="BI16" i="22"/>
  <c r="BI3" i="22"/>
  <c r="BI4" i="22"/>
  <c r="AN16" i="22"/>
  <c r="AN7" i="22"/>
  <c r="AN3" i="22"/>
  <c r="CG12" i="22"/>
  <c r="CG3" i="22"/>
  <c r="CG4" i="22"/>
  <c r="BL12" i="22"/>
  <c r="BL3" i="22"/>
  <c r="BL7" i="22"/>
  <c r="U12" i="22"/>
  <c r="U3" i="22"/>
  <c r="U4" i="22"/>
  <c r="BY16" i="22"/>
  <c r="BY3" i="22"/>
  <c r="BY4" i="22"/>
  <c r="BD16" i="22"/>
  <c r="BD7" i="22"/>
  <c r="BD3" i="22"/>
  <c r="M16" i="22"/>
  <c r="M3" i="22"/>
  <c r="M4" i="22"/>
  <c r="CX108" i="22"/>
  <c r="CX109" i="22"/>
  <c r="CX107" i="22"/>
  <c r="CX106" i="22"/>
  <c r="CX104" i="22"/>
  <c r="CX105" i="22"/>
  <c r="CX103" i="22"/>
  <c r="CX101" i="22"/>
  <c r="CX102" i="22"/>
  <c r="CX99" i="22"/>
  <c r="CX95" i="22"/>
  <c r="CX100" i="22"/>
  <c r="CX97" i="22"/>
  <c r="CX98" i="22"/>
  <c r="CX96" i="22"/>
  <c r="CX93" i="22"/>
  <c r="CX94" i="22"/>
  <c r="CX90" i="22"/>
  <c r="CX88" i="22"/>
  <c r="CX92" i="22"/>
  <c r="CX89" i="22"/>
  <c r="CX91" i="22"/>
  <c r="CX86" i="22"/>
  <c r="CX85" i="22"/>
  <c r="CX81" i="22"/>
  <c r="CX82" i="22"/>
  <c r="CX87" i="22"/>
  <c r="CX83" i="22"/>
  <c r="CX84" i="22"/>
  <c r="CX80" i="22"/>
  <c r="CX75" i="22"/>
  <c r="CX79" i="22"/>
  <c r="CX76" i="22"/>
  <c r="CX72" i="22"/>
  <c r="CX77" i="22"/>
  <c r="CX73" i="22"/>
  <c r="CX69" i="22"/>
  <c r="CX78" i="22"/>
  <c r="CX74" i="22"/>
  <c r="CX70" i="22"/>
  <c r="CX71" i="22"/>
  <c r="CX64" i="22"/>
  <c r="CX60" i="22"/>
  <c r="CX68" i="22"/>
  <c r="CX65" i="22"/>
  <c r="CX66" i="22"/>
  <c r="CX62" i="22"/>
  <c r="CX58" i="22"/>
  <c r="CX67" i="22"/>
  <c r="CX63" i="22"/>
  <c r="CX59" i="22"/>
  <c r="CX53" i="22"/>
  <c r="CX57" i="22"/>
  <c r="CX54" i="22"/>
  <c r="CX50" i="22"/>
  <c r="CX61" i="22"/>
  <c r="CX55" i="22"/>
  <c r="CX51" i="22"/>
  <c r="CX47" i="22"/>
  <c r="CX56" i="22"/>
  <c r="CX52" i="22"/>
  <c r="CX48" i="22"/>
  <c r="CX46" i="22"/>
  <c r="CX43" i="22"/>
  <c r="CX39" i="22"/>
  <c r="CX35" i="22"/>
  <c r="CX44" i="22"/>
  <c r="CX40" i="22"/>
  <c r="CX36" i="22"/>
  <c r="CX49" i="22"/>
  <c r="CX45" i="22"/>
  <c r="CX41" i="22"/>
  <c r="CX37" i="22"/>
  <c r="CX42" i="22"/>
  <c r="CX38" i="22"/>
  <c r="CX31" i="22"/>
  <c r="CX27" i="22"/>
  <c r="CX23" i="22"/>
  <c r="CX19" i="22"/>
  <c r="CX32" i="22"/>
  <c r="CX28" i="22"/>
  <c r="CX24" i="22"/>
  <c r="CX20" i="22"/>
  <c r="CX16" i="22"/>
  <c r="CX12" i="22"/>
  <c r="CX33" i="22"/>
  <c r="CX29" i="22"/>
  <c r="CX25" i="22"/>
  <c r="CX21" i="22"/>
  <c r="CX34" i="22"/>
  <c r="CX30" i="22"/>
  <c r="CX26" i="22"/>
  <c r="CX22" i="22"/>
  <c r="CX18" i="22"/>
  <c r="CX17" i="22"/>
  <c r="CX11" i="22"/>
  <c r="CX3" i="22"/>
  <c r="CX4" i="22"/>
  <c r="CX5" i="22"/>
  <c r="CX13" i="22"/>
  <c r="CX8" i="22"/>
  <c r="CX15" i="22"/>
  <c r="CX14" i="22"/>
  <c r="CX9" i="22"/>
  <c r="CX10" i="22"/>
  <c r="CX6" i="22"/>
  <c r="CX7" i="22"/>
  <c r="CH108" i="22"/>
  <c r="CH109" i="22"/>
  <c r="CH107" i="22"/>
  <c r="CH106" i="22"/>
  <c r="CH104" i="22"/>
  <c r="CH105" i="22"/>
  <c r="CH103" i="22"/>
  <c r="CH101" i="22"/>
  <c r="CH102" i="22"/>
  <c r="CH99" i="22"/>
  <c r="CH100" i="22"/>
  <c r="CH97" i="22"/>
  <c r="CH98" i="22"/>
  <c r="CH95" i="22"/>
  <c r="CH96" i="22"/>
  <c r="CH93" i="22"/>
  <c r="CH94" i="22"/>
  <c r="CH90" i="22"/>
  <c r="CH88" i="22"/>
  <c r="CH92" i="22"/>
  <c r="CH89" i="22"/>
  <c r="CH91" i="22"/>
  <c r="CH85" i="22"/>
  <c r="CH81" i="22"/>
  <c r="CH86" i="22"/>
  <c r="CH82" i="22"/>
  <c r="CH87" i="22"/>
  <c r="CH83" i="22"/>
  <c r="CH84" i="22"/>
  <c r="CH80" i="22"/>
  <c r="CH75" i="22"/>
  <c r="CH79" i="22"/>
  <c r="CH76" i="22"/>
  <c r="CH72" i="22"/>
  <c r="CH77" i="22"/>
  <c r="CH73" i="22"/>
  <c r="CH69" i="22"/>
  <c r="CH78" i="22"/>
  <c r="CH74" i="22"/>
  <c r="CH70" i="22"/>
  <c r="CH71" i="22"/>
  <c r="CH64" i="22"/>
  <c r="CH60" i="22"/>
  <c r="CH68" i="22"/>
  <c r="CH65" i="22"/>
  <c r="CH66" i="22"/>
  <c r="CH62" i="22"/>
  <c r="CH58" i="22"/>
  <c r="CH67" i="22"/>
  <c r="CH63" i="22"/>
  <c r="CH59" i="22"/>
  <c r="CH53" i="22"/>
  <c r="CH57" i="22"/>
  <c r="CH54" i="22"/>
  <c r="CH50" i="22"/>
  <c r="CH61" i="22"/>
  <c r="CH55" i="22"/>
  <c r="CH51" i="22"/>
  <c r="CH47" i="22"/>
  <c r="CH56" i="22"/>
  <c r="CH52" i="22"/>
  <c r="CH48" i="22"/>
  <c r="CH46" i="22"/>
  <c r="CH43" i="22"/>
  <c r="CH39" i="22"/>
  <c r="CH35" i="22"/>
  <c r="CH44" i="22"/>
  <c r="CH40" i="22"/>
  <c r="CH36" i="22"/>
  <c r="CH49" i="22"/>
  <c r="CH45" i="22"/>
  <c r="CH41" i="22"/>
  <c r="CH37" i="22"/>
  <c r="CH42" i="22"/>
  <c r="CH38" i="22"/>
  <c r="CH31" i="22"/>
  <c r="CH27" i="22"/>
  <c r="CH23" i="22"/>
  <c r="CH19" i="22"/>
  <c r="CH32" i="22"/>
  <c r="CH28" i="22"/>
  <c r="CH24" i="22"/>
  <c r="CH20" i="22"/>
  <c r="CH16" i="22"/>
  <c r="CH12" i="22"/>
  <c r="CH33" i="22"/>
  <c r="CH29" i="22"/>
  <c r="CH25" i="22"/>
  <c r="CH21" i="22"/>
  <c r="CH34" i="22"/>
  <c r="CH30" i="22"/>
  <c r="CH26" i="22"/>
  <c r="CH22" i="22"/>
  <c r="CH18" i="22"/>
  <c r="CH17" i="22"/>
  <c r="CH11" i="22"/>
  <c r="CH3" i="22"/>
  <c r="CH4" i="22"/>
  <c r="CH5" i="22"/>
  <c r="CH13" i="22"/>
  <c r="CH8" i="22"/>
  <c r="CH15" i="22"/>
  <c r="CH14" i="22"/>
  <c r="CH9" i="22"/>
  <c r="CH10" i="22"/>
  <c r="CH6" i="22"/>
  <c r="CH7" i="22"/>
  <c r="BR108" i="22"/>
  <c r="BR109" i="22"/>
  <c r="BR106" i="22"/>
  <c r="BR104" i="22"/>
  <c r="BR105" i="22"/>
  <c r="BR107" i="22"/>
  <c r="BR103" i="22"/>
  <c r="BR102" i="22"/>
  <c r="BR99" i="22"/>
  <c r="BR100" i="22"/>
  <c r="BR97" i="22"/>
  <c r="BR101" i="22"/>
  <c r="BR98" i="22"/>
  <c r="BR95" i="22"/>
  <c r="BR96" i="22"/>
  <c r="BR93" i="22"/>
  <c r="BR94" i="22"/>
  <c r="BR88" i="22"/>
  <c r="BR92" i="22"/>
  <c r="BR89" i="22"/>
  <c r="BR90" i="22"/>
  <c r="BR91" i="22"/>
  <c r="BR85" i="22"/>
  <c r="BR81" i="22"/>
  <c r="BR86" i="22"/>
  <c r="BR82" i="22"/>
  <c r="BR87" i="22"/>
  <c r="BR83" i="22"/>
  <c r="BR84" i="22"/>
  <c r="BR80" i="22"/>
  <c r="BR75" i="22"/>
  <c r="BR79" i="22"/>
  <c r="BR76" i="22"/>
  <c r="BR72" i="22"/>
  <c r="BR77" i="22"/>
  <c r="BR73" i="22"/>
  <c r="BR69" i="22"/>
  <c r="BR78" i="22"/>
  <c r="BR74" i="22"/>
  <c r="BR70" i="22"/>
  <c r="BR71" i="22"/>
  <c r="BR64" i="22"/>
  <c r="BR60" i="22"/>
  <c r="BR68" i="22"/>
  <c r="BR65" i="22"/>
  <c r="BR66" i="22"/>
  <c r="BR62" i="22"/>
  <c r="BR58" i="22"/>
  <c r="BR67" i="22"/>
  <c r="BR63" i="22"/>
  <c r="BR59" i="22"/>
  <c r="BR53" i="22"/>
  <c r="BR57" i="22"/>
  <c r="BR54" i="22"/>
  <c r="BR50" i="22"/>
  <c r="BR61" i="22"/>
  <c r="BR55" i="22"/>
  <c r="BR51" i="22"/>
  <c r="BR47" i="22"/>
  <c r="BR56" i="22"/>
  <c r="BR52" i="22"/>
  <c r="BR48" i="22"/>
  <c r="BR46" i="22"/>
  <c r="BR43" i="22"/>
  <c r="BR39" i="22"/>
  <c r="BR35" i="22"/>
  <c r="BR44" i="22"/>
  <c r="BR40" i="22"/>
  <c r="BR36" i="22"/>
  <c r="BR49" i="22"/>
  <c r="BR45" i="22"/>
  <c r="BR41" i="22"/>
  <c r="BR37" i="22"/>
  <c r="BR42" i="22"/>
  <c r="BR38" i="22"/>
  <c r="BR31" i="22"/>
  <c r="BR27" i="22"/>
  <c r="BR23" i="22"/>
  <c r="BR19" i="22"/>
  <c r="BR32" i="22"/>
  <c r="BR28" i="22"/>
  <c r="BR24" i="22"/>
  <c r="BR20" i="22"/>
  <c r="BR16" i="22"/>
  <c r="BR12" i="22"/>
  <c r="BR33" i="22"/>
  <c r="BR29" i="22"/>
  <c r="BR25" i="22"/>
  <c r="BR21" i="22"/>
  <c r="BR34" i="22"/>
  <c r="BR30" i="22"/>
  <c r="BR26" i="22"/>
  <c r="BR22" i="22"/>
  <c r="BR18" i="22"/>
  <c r="BR17" i="22"/>
  <c r="BR11" i="22"/>
  <c r="BR3" i="22"/>
  <c r="BR4" i="22"/>
  <c r="BR5" i="22"/>
  <c r="BR13" i="22"/>
  <c r="BR8" i="22"/>
  <c r="BR15" i="22"/>
  <c r="BR14" i="22"/>
  <c r="BR9" i="22"/>
  <c r="BR10" i="22"/>
  <c r="BR6" i="22"/>
  <c r="BR7" i="22"/>
  <c r="BB108" i="22"/>
  <c r="BB109" i="22"/>
  <c r="BB106" i="22"/>
  <c r="BB104" i="22"/>
  <c r="BB105" i="22"/>
  <c r="BB107" i="22"/>
  <c r="BB103" i="22"/>
  <c r="BB102" i="22"/>
  <c r="BB99" i="22"/>
  <c r="BB100" i="22"/>
  <c r="BB97" i="22"/>
  <c r="BB101" i="22"/>
  <c r="BB98" i="22"/>
  <c r="BB95" i="22"/>
  <c r="BB96" i="22"/>
  <c r="BB93" i="22"/>
  <c r="BB94" i="22"/>
  <c r="BB88" i="22"/>
  <c r="BB92" i="22"/>
  <c r="BB89" i="22"/>
  <c r="BB90" i="22"/>
  <c r="BB91" i="22"/>
  <c r="BB85" i="22"/>
  <c r="BB81" i="22"/>
  <c r="BB86" i="22"/>
  <c r="BB82" i="22"/>
  <c r="BB87" i="22"/>
  <c r="BB83" i="22"/>
  <c r="BB84" i="22"/>
  <c r="BB80" i="22"/>
  <c r="BB75" i="22"/>
  <c r="BB79" i="22"/>
  <c r="BB76" i="22"/>
  <c r="BB72" i="22"/>
  <c r="BB77" i="22"/>
  <c r="BB73" i="22"/>
  <c r="BB69" i="22"/>
  <c r="BB78" i="22"/>
  <c r="BB74" i="22"/>
  <c r="BB70" i="22"/>
  <c r="BB71" i="22"/>
  <c r="BB64" i="22"/>
  <c r="BB60" i="22"/>
  <c r="BB68" i="22"/>
  <c r="BB65" i="22"/>
  <c r="BB66" i="22"/>
  <c r="BB62" i="22"/>
  <c r="BB58" i="22"/>
  <c r="BB67" i="22"/>
  <c r="BB63" i="22"/>
  <c r="BB59" i="22"/>
  <c r="BB53" i="22"/>
  <c r="BB57" i="22"/>
  <c r="BB54" i="22"/>
  <c r="BB50" i="22"/>
  <c r="BB61" i="22"/>
  <c r="BB55" i="22"/>
  <c r="BB51" i="22"/>
  <c r="BB47" i="22"/>
  <c r="BB56" i="22"/>
  <c r="BB52" i="22"/>
  <c r="BB48" i="22"/>
  <c r="BB46" i="22"/>
  <c r="BB43" i="22"/>
  <c r="BB39" i="22"/>
  <c r="BB44" i="22"/>
  <c r="BB40" i="22"/>
  <c r="BB36" i="22"/>
  <c r="BB49" i="22"/>
  <c r="BB45" i="22"/>
  <c r="BB41" i="22"/>
  <c r="BB37" i="22"/>
  <c r="BB42" i="22"/>
  <c r="BB38" i="22"/>
  <c r="BB31" i="22"/>
  <c r="BB27" i="22"/>
  <c r="BB23" i="22"/>
  <c r="BB19" i="22"/>
  <c r="BB35" i="22"/>
  <c r="BB32" i="22"/>
  <c r="BB28" i="22"/>
  <c r="BB24" i="22"/>
  <c r="BB20" i="22"/>
  <c r="BB16" i="22"/>
  <c r="BB12" i="22"/>
  <c r="BB33" i="22"/>
  <c r="BB29" i="22"/>
  <c r="BB25" i="22"/>
  <c r="BB21" i="22"/>
  <c r="BB34" i="22"/>
  <c r="BB30" i="22"/>
  <c r="BB26" i="22"/>
  <c r="BB22" i="22"/>
  <c r="BB18" i="22"/>
  <c r="BB17" i="22"/>
  <c r="BB11" i="22"/>
  <c r="BB3" i="22"/>
  <c r="BB4" i="22"/>
  <c r="BB5" i="22"/>
  <c r="BB13" i="22"/>
  <c r="BB8" i="22"/>
  <c r="BB15" i="22"/>
  <c r="BB14" i="22"/>
  <c r="BB9" i="22"/>
  <c r="BB10" i="22"/>
  <c r="BB6" i="22"/>
  <c r="BB7" i="22"/>
  <c r="AL108" i="22"/>
  <c r="AL109" i="22"/>
  <c r="AL104" i="22"/>
  <c r="AL105" i="22"/>
  <c r="AL107" i="22"/>
  <c r="AL106" i="22"/>
  <c r="AL103" i="22"/>
  <c r="AL102" i="22"/>
  <c r="AL99" i="22"/>
  <c r="AL100" i="22"/>
  <c r="AL97" i="22"/>
  <c r="AL101" i="22"/>
  <c r="AL98" i="22"/>
  <c r="AL95" i="22"/>
  <c r="AL96" i="22"/>
  <c r="AL93" i="22"/>
  <c r="AL94" i="22"/>
  <c r="AL88" i="22"/>
  <c r="AL92" i="22"/>
  <c r="AL89" i="22"/>
  <c r="AL90" i="22"/>
  <c r="AL91" i="22"/>
  <c r="AL85" i="22"/>
  <c r="AL81" i="22"/>
  <c r="AL86" i="22"/>
  <c r="AL82" i="22"/>
  <c r="AL87" i="22"/>
  <c r="AL83" i="22"/>
  <c r="AL84" i="22"/>
  <c r="AL80" i="22"/>
  <c r="AL75" i="22"/>
  <c r="AL79" i="22"/>
  <c r="AL76" i="22"/>
  <c r="AL72" i="22"/>
  <c r="AL77" i="22"/>
  <c r="AL73" i="22"/>
  <c r="AL69" i="22"/>
  <c r="AL78" i="22"/>
  <c r="AL74" i="22"/>
  <c r="AL70" i="22"/>
  <c r="AL71" i="22"/>
  <c r="AL64" i="22"/>
  <c r="AL60" i="22"/>
  <c r="AL68" i="22"/>
  <c r="AL65" i="22"/>
  <c r="AL66" i="22"/>
  <c r="AL62" i="22"/>
  <c r="AL58" i="22"/>
  <c r="AL67" i="22"/>
  <c r="AL63" i="22"/>
  <c r="AL59" i="22"/>
  <c r="AL53" i="22"/>
  <c r="AL57" i="22"/>
  <c r="AL54" i="22"/>
  <c r="AL50" i="22"/>
  <c r="AL61" i="22"/>
  <c r="AL55" i="22"/>
  <c r="AL51" i="22"/>
  <c r="AL47" i="22"/>
  <c r="AL56" i="22"/>
  <c r="AL52" i="22"/>
  <c r="AL48" i="22"/>
  <c r="AL46" i="22"/>
  <c r="AL43" i="22"/>
  <c r="AL39" i="22"/>
  <c r="AL44" i="22"/>
  <c r="AL40" i="22"/>
  <c r="AL36" i="22"/>
  <c r="AL49" i="22"/>
  <c r="AL45" i="22"/>
  <c r="AL41" i="22"/>
  <c r="AL37" i="22"/>
  <c r="AL42" i="22"/>
  <c r="AL38" i="22"/>
  <c r="AL31" i="22"/>
  <c r="AL27" i="22"/>
  <c r="AL23" i="22"/>
  <c r="AL19" i="22"/>
  <c r="AL35" i="22"/>
  <c r="AL32" i="22"/>
  <c r="AL28" i="22"/>
  <c r="AL24" i="22"/>
  <c r="AL20" i="22"/>
  <c r="AL16" i="22"/>
  <c r="AL12" i="22"/>
  <c r="AL33" i="22"/>
  <c r="AL29" i="22"/>
  <c r="AL25" i="22"/>
  <c r="AL21" i="22"/>
  <c r="AL34" i="22"/>
  <c r="AL30" i="22"/>
  <c r="AL26" i="22"/>
  <c r="AL22" i="22"/>
  <c r="AL18" i="22"/>
  <c r="AL17" i="22"/>
  <c r="AL11" i="22"/>
  <c r="AL3" i="22"/>
  <c r="AL4" i="22"/>
  <c r="AL5" i="22"/>
  <c r="AL13" i="22"/>
  <c r="AL8" i="22"/>
  <c r="AL15" i="22"/>
  <c r="AL14" i="22"/>
  <c r="AL9" i="22"/>
  <c r="AL10" i="22"/>
  <c r="AL6" i="22"/>
  <c r="AL7" i="22"/>
  <c r="V108" i="22"/>
  <c r="V109" i="22"/>
  <c r="V105" i="22"/>
  <c r="V107" i="22"/>
  <c r="V106" i="22"/>
  <c r="V103" i="22"/>
  <c r="V104" i="22"/>
  <c r="V102" i="22"/>
  <c r="V99" i="22"/>
  <c r="V100" i="22"/>
  <c r="V97" i="22"/>
  <c r="V101" i="22"/>
  <c r="V98" i="22"/>
  <c r="V95" i="22"/>
  <c r="V96" i="22"/>
  <c r="V93" i="22"/>
  <c r="V94" i="22"/>
  <c r="V88" i="22"/>
  <c r="V92" i="22"/>
  <c r="V89" i="22"/>
  <c r="V90" i="22"/>
  <c r="V91" i="22"/>
  <c r="V85" i="22"/>
  <c r="V81" i="22"/>
  <c r="V86" i="22"/>
  <c r="V82" i="22"/>
  <c r="V87" i="22"/>
  <c r="V83" i="22"/>
  <c r="V84" i="22"/>
  <c r="V80" i="22"/>
  <c r="V75" i="22"/>
  <c r="V79" i="22"/>
  <c r="V76" i="22"/>
  <c r="V72" i="22"/>
  <c r="V77" i="22"/>
  <c r="V73" i="22"/>
  <c r="V69" i="22"/>
  <c r="V78" i="22"/>
  <c r="V74" i="22"/>
  <c r="V70" i="22"/>
  <c r="V71" i="22"/>
  <c r="V64" i="22"/>
  <c r="V60" i="22"/>
  <c r="V68" i="22"/>
  <c r="V65" i="22"/>
  <c r="V66" i="22"/>
  <c r="V62" i="22"/>
  <c r="V58" i="22"/>
  <c r="V67" i="22"/>
  <c r="V63" i="22"/>
  <c r="V59" i="22"/>
  <c r="V53" i="22"/>
  <c r="V57" i="22"/>
  <c r="V54" i="22"/>
  <c r="V50" i="22"/>
  <c r="V61" i="22"/>
  <c r="V55" i="22"/>
  <c r="V51" i="22"/>
  <c r="V47" i="22"/>
  <c r="V56" i="22"/>
  <c r="V52" i="22"/>
  <c r="V48" i="22"/>
  <c r="V46" i="22"/>
  <c r="V43" i="22"/>
  <c r="V39" i="22"/>
  <c r="V44" i="22"/>
  <c r="V40" i="22"/>
  <c r="V36" i="22"/>
  <c r="V49" i="22"/>
  <c r="V45" i="22"/>
  <c r="V41" i="22"/>
  <c r="V37" i="22"/>
  <c r="V42" i="22"/>
  <c r="V38" i="22"/>
  <c r="V31" i="22"/>
  <c r="V27" i="22"/>
  <c r="V23" i="22"/>
  <c r="V19" i="22"/>
  <c r="V35" i="22"/>
  <c r="V32" i="22"/>
  <c r="V28" i="22"/>
  <c r="V24" i="22"/>
  <c r="V20" i="22"/>
  <c r="V16" i="22"/>
  <c r="V12" i="22"/>
  <c r="V33" i="22"/>
  <c r="V29" i="22"/>
  <c r="V25" i="22"/>
  <c r="V21" i="22"/>
  <c r="V34" i="22"/>
  <c r="V30" i="22"/>
  <c r="V26" i="22"/>
  <c r="V22" i="22"/>
  <c r="V18" i="22"/>
  <c r="V17" i="22"/>
  <c r="V11" i="22"/>
  <c r="V3" i="22"/>
  <c r="V4" i="22"/>
  <c r="V5" i="22"/>
  <c r="V13" i="22"/>
  <c r="V8" i="22"/>
  <c r="V15" i="22"/>
  <c r="V14" i="22"/>
  <c r="V9" i="22"/>
  <c r="V10" i="22"/>
  <c r="V6" i="22"/>
  <c r="V7" i="22"/>
  <c r="F108" i="22"/>
  <c r="F109" i="22"/>
  <c r="F105" i="22"/>
  <c r="F107" i="22"/>
  <c r="F106" i="22"/>
  <c r="F103" i="22"/>
  <c r="F104" i="22"/>
  <c r="F102" i="22"/>
  <c r="F99" i="22"/>
  <c r="F100" i="22"/>
  <c r="F97" i="22"/>
  <c r="F101" i="22"/>
  <c r="F98" i="22"/>
  <c r="F95" i="22"/>
  <c r="F96" i="22"/>
  <c r="F93" i="22"/>
  <c r="F94" i="22"/>
  <c r="F88" i="22"/>
  <c r="F92" i="22"/>
  <c r="F89" i="22"/>
  <c r="F90" i="22"/>
  <c r="F91" i="22"/>
  <c r="F85" i="22"/>
  <c r="F81" i="22"/>
  <c r="F86" i="22"/>
  <c r="F82" i="22"/>
  <c r="F87" i="22"/>
  <c r="F83" i="22"/>
  <c r="F84" i="22"/>
  <c r="F80" i="22"/>
  <c r="F75" i="22"/>
  <c r="F79" i="22"/>
  <c r="F76" i="22"/>
  <c r="F72" i="22"/>
  <c r="F77" i="22"/>
  <c r="F73" i="22"/>
  <c r="F69" i="22"/>
  <c r="F78" i="22"/>
  <c r="F74" i="22"/>
  <c r="F70" i="22"/>
  <c r="F71" i="22"/>
  <c r="F68" i="22"/>
  <c r="F64" i="22"/>
  <c r="F60" i="22"/>
  <c r="F65" i="22"/>
  <c r="F66" i="22"/>
  <c r="F62" i="22"/>
  <c r="F58" i="22"/>
  <c r="F67" i="22"/>
  <c r="F63" i="22"/>
  <c r="F59" i="22"/>
  <c r="F53" i="22"/>
  <c r="F57" i="22"/>
  <c r="F54" i="22"/>
  <c r="F50" i="22"/>
  <c r="F61" i="22"/>
  <c r="F55" i="22"/>
  <c r="F51" i="22"/>
  <c r="F47" i="22"/>
  <c r="F56" i="22"/>
  <c r="F52" i="22"/>
  <c r="F48" i="22"/>
  <c r="F46" i="22"/>
  <c r="F43" i="22"/>
  <c r="F39" i="22"/>
  <c r="F44" i="22"/>
  <c r="F40" i="22"/>
  <c r="F36" i="22"/>
  <c r="F49" i="22"/>
  <c r="F45" i="22"/>
  <c r="F41" i="22"/>
  <c r="F37" i="22"/>
  <c r="F42" i="22"/>
  <c r="F38" i="22"/>
  <c r="F31" i="22"/>
  <c r="F27" i="22"/>
  <c r="F23" i="22"/>
  <c r="F19" i="22"/>
  <c r="F35" i="22"/>
  <c r="F32" i="22"/>
  <c r="F28" i="22"/>
  <c r="F24" i="22"/>
  <c r="F20" i="22"/>
  <c r="F16" i="22"/>
  <c r="F12" i="22"/>
  <c r="F33" i="22"/>
  <c r="F29" i="22"/>
  <c r="F25" i="22"/>
  <c r="F21" i="22"/>
  <c r="F34" i="22"/>
  <c r="F30" i="22"/>
  <c r="F26" i="22"/>
  <c r="F22" i="22"/>
  <c r="F18" i="22"/>
  <c r="F17" i="22"/>
  <c r="F11" i="22"/>
  <c r="F3" i="22"/>
  <c r="F4" i="22"/>
  <c r="F5" i="22"/>
  <c r="F13" i="22"/>
  <c r="F8" i="22"/>
  <c r="F15" i="22"/>
  <c r="F14" i="22"/>
  <c r="F9" i="22"/>
  <c r="F10" i="22"/>
  <c r="F6" i="22"/>
  <c r="F7" i="22"/>
  <c r="CT108" i="22"/>
  <c r="CT109" i="22"/>
  <c r="CT104" i="22"/>
  <c r="CT107" i="22"/>
  <c r="CT105" i="22"/>
  <c r="CT106" i="22"/>
  <c r="CT103" i="22"/>
  <c r="CT101" i="22"/>
  <c r="CT102" i="22"/>
  <c r="CT99" i="22"/>
  <c r="CT95" i="22"/>
  <c r="CT100" i="22"/>
  <c r="CT97" i="22"/>
  <c r="CT98" i="22"/>
  <c r="CT93" i="22"/>
  <c r="CT96" i="22"/>
  <c r="CT94" i="22"/>
  <c r="CT90" i="22"/>
  <c r="CT88" i="22"/>
  <c r="CT89" i="22"/>
  <c r="CT91" i="22"/>
  <c r="CT92" i="22"/>
  <c r="CT87" i="22"/>
  <c r="CT85" i="22"/>
  <c r="CT81" i="22"/>
  <c r="CT82" i="22"/>
  <c r="CT83" i="22"/>
  <c r="CT86" i="22"/>
  <c r="CT84" i="22"/>
  <c r="CT80" i="22"/>
  <c r="CT79" i="22"/>
  <c r="CT75" i="22"/>
  <c r="CT76" i="22"/>
  <c r="CT72" i="22"/>
  <c r="CT77" i="22"/>
  <c r="CT73" i="22"/>
  <c r="CT69" i="22"/>
  <c r="CT78" i="22"/>
  <c r="CT74" i="22"/>
  <c r="CT70" i="22"/>
  <c r="CT68" i="22"/>
  <c r="CT64" i="22"/>
  <c r="CT60" i="22"/>
  <c r="CT71" i="22"/>
  <c r="CT65" i="22"/>
  <c r="CT66" i="22"/>
  <c r="CT62" i="22"/>
  <c r="CT58" i="22"/>
  <c r="CT67" i="22"/>
  <c r="CT63" i="22"/>
  <c r="CT59" i="22"/>
  <c r="CT57" i="22"/>
  <c r="CT53" i="22"/>
  <c r="CT54" i="22"/>
  <c r="CT50" i="22"/>
  <c r="CT55" i="22"/>
  <c r="CT51" i="22"/>
  <c r="CT47" i="22"/>
  <c r="CT61" i="22"/>
  <c r="CT56" i="22"/>
  <c r="CT52" i="22"/>
  <c r="CT48" i="22"/>
  <c r="CT43" i="22"/>
  <c r="CT39" i="22"/>
  <c r="CT35" i="22"/>
  <c r="CT44" i="22"/>
  <c r="CT40" i="22"/>
  <c r="CT36" i="22"/>
  <c r="CT45" i="22"/>
  <c r="CT41" i="22"/>
  <c r="CT37" i="22"/>
  <c r="CT49" i="22"/>
  <c r="CT46" i="22"/>
  <c r="CT42" i="22"/>
  <c r="CT38" i="22"/>
  <c r="CT31" i="22"/>
  <c r="CT27" i="22"/>
  <c r="CT23" i="22"/>
  <c r="CT19" i="22"/>
  <c r="CT32" i="22"/>
  <c r="CT28" i="22"/>
  <c r="CT24" i="22"/>
  <c r="CT20" i="22"/>
  <c r="CT16" i="22"/>
  <c r="CT12" i="22"/>
  <c r="CT33" i="22"/>
  <c r="CT29" i="22"/>
  <c r="CT25" i="22"/>
  <c r="CT21" i="22"/>
  <c r="CT34" i="22"/>
  <c r="CT30" i="22"/>
  <c r="CT26" i="22"/>
  <c r="CT22" i="22"/>
  <c r="CT18" i="22"/>
  <c r="CT13" i="22"/>
  <c r="CT3" i="22"/>
  <c r="CT4" i="22"/>
  <c r="CT5" i="22"/>
  <c r="CT15" i="22"/>
  <c r="CT14" i="22"/>
  <c r="CT8" i="22"/>
  <c r="CT17" i="22"/>
  <c r="CT9" i="22"/>
  <c r="CT11" i="22"/>
  <c r="CT10" i="22"/>
  <c r="CT6" i="22"/>
  <c r="CT7" i="22"/>
  <c r="CD108" i="22"/>
  <c r="CD109" i="22"/>
  <c r="CD104" i="22"/>
  <c r="CD107" i="22"/>
  <c r="CD105" i="22"/>
  <c r="CD106" i="22"/>
  <c r="CD103" i="22"/>
  <c r="CD101" i="22"/>
  <c r="CD102" i="22"/>
  <c r="CD99" i="22"/>
  <c r="CD100" i="22"/>
  <c r="CD97" i="22"/>
  <c r="CD98" i="22"/>
  <c r="CD95" i="22"/>
  <c r="CD93" i="22"/>
  <c r="CD96" i="22"/>
  <c r="CD94" i="22"/>
  <c r="CD88" i="22"/>
  <c r="CD89" i="22"/>
  <c r="CD91" i="22"/>
  <c r="CD90" i="22"/>
  <c r="CD92" i="22"/>
  <c r="CD87" i="22"/>
  <c r="CD85" i="22"/>
  <c r="CD81" i="22"/>
  <c r="CD86" i="22"/>
  <c r="CD82" i="22"/>
  <c r="CD83" i="22"/>
  <c r="CD84" i="22"/>
  <c r="CD80" i="22"/>
  <c r="CD79" i="22"/>
  <c r="CD75" i="22"/>
  <c r="CD76" i="22"/>
  <c r="CD72" i="22"/>
  <c r="CD77" i="22"/>
  <c r="CD73" i="22"/>
  <c r="CD69" i="22"/>
  <c r="CD78" i="22"/>
  <c r="CD74" i="22"/>
  <c r="CD70" i="22"/>
  <c r="CD68" i="22"/>
  <c r="CD64" i="22"/>
  <c r="CD60" i="22"/>
  <c r="CD71" i="22"/>
  <c r="CD65" i="22"/>
  <c r="CD66" i="22"/>
  <c r="CD62" i="22"/>
  <c r="CD58" i="22"/>
  <c r="CD67" i="22"/>
  <c r="CD63" i="22"/>
  <c r="CD59" i="22"/>
  <c r="CD57" i="22"/>
  <c r="CD53" i="22"/>
  <c r="CD54" i="22"/>
  <c r="CD50" i="22"/>
  <c r="CD55" i="22"/>
  <c r="CD51" i="22"/>
  <c r="CD47" i="22"/>
  <c r="CD61" i="22"/>
  <c r="CD56" i="22"/>
  <c r="CD52" i="22"/>
  <c r="CD48" i="22"/>
  <c r="CD43" i="22"/>
  <c r="CD39" i="22"/>
  <c r="CD35" i="22"/>
  <c r="CD44" i="22"/>
  <c r="CD40" i="22"/>
  <c r="CD36" i="22"/>
  <c r="CD45" i="22"/>
  <c r="CD41" i="22"/>
  <c r="CD37" i="22"/>
  <c r="CD49" i="22"/>
  <c r="CD46" i="22"/>
  <c r="CD42" i="22"/>
  <c r="CD38" i="22"/>
  <c r="CD31" i="22"/>
  <c r="CD27" i="22"/>
  <c r="CD23" i="22"/>
  <c r="CD19" i="22"/>
  <c r="CD32" i="22"/>
  <c r="CD28" i="22"/>
  <c r="CD24" i="22"/>
  <c r="CD20" i="22"/>
  <c r="CD16" i="22"/>
  <c r="CD12" i="22"/>
  <c r="CD33" i="22"/>
  <c r="CD29" i="22"/>
  <c r="CD25" i="22"/>
  <c r="CD21" i="22"/>
  <c r="CD34" i="22"/>
  <c r="CD30" i="22"/>
  <c r="CD26" i="22"/>
  <c r="CD22" i="22"/>
  <c r="CD18" i="22"/>
  <c r="CD13" i="22"/>
  <c r="CD3" i="22"/>
  <c r="CD4" i="22"/>
  <c r="CD5" i="22"/>
  <c r="CD15" i="22"/>
  <c r="CD14" i="22"/>
  <c r="CD8" i="22"/>
  <c r="CD17" i="22"/>
  <c r="CD9" i="22"/>
  <c r="CD11" i="22"/>
  <c r="CD10" i="22"/>
  <c r="CD6" i="22"/>
  <c r="CD7" i="22"/>
  <c r="BN108" i="22"/>
  <c r="BN109" i="22"/>
  <c r="BN107" i="22"/>
  <c r="BN104" i="22"/>
  <c r="BN105" i="22"/>
  <c r="BN106" i="22"/>
  <c r="BN103" i="22"/>
  <c r="BN102" i="22"/>
  <c r="BN99" i="22"/>
  <c r="BN100" i="22"/>
  <c r="BN101" i="22"/>
  <c r="BN97" i="22"/>
  <c r="BN98" i="22"/>
  <c r="BN95" i="22"/>
  <c r="BN93" i="22"/>
  <c r="BN96" i="22"/>
  <c r="BN94" i="22"/>
  <c r="BN88" i="22"/>
  <c r="BN89" i="22"/>
  <c r="BN91" i="22"/>
  <c r="BN90" i="22"/>
  <c r="BN92" i="22"/>
  <c r="BN87" i="22"/>
  <c r="BN85" i="22"/>
  <c r="BN81" i="22"/>
  <c r="BN86" i="22"/>
  <c r="BN82" i="22"/>
  <c r="BN83" i="22"/>
  <c r="BN84" i="22"/>
  <c r="BN80" i="22"/>
  <c r="BN79" i="22"/>
  <c r="BN75" i="22"/>
  <c r="BN76" i="22"/>
  <c r="BN72" i="22"/>
  <c r="BN77" i="22"/>
  <c r="BN73" i="22"/>
  <c r="BN69" i="22"/>
  <c r="BN78" i="22"/>
  <c r="BN74" i="22"/>
  <c r="BN70" i="22"/>
  <c r="BN68" i="22"/>
  <c r="BN64" i="22"/>
  <c r="BN60" i="22"/>
  <c r="BN71" i="22"/>
  <c r="BN65" i="22"/>
  <c r="BN66" i="22"/>
  <c r="BN62" i="22"/>
  <c r="BN58" i="22"/>
  <c r="BN67" i="22"/>
  <c r="BN63" i="22"/>
  <c r="BN59" i="22"/>
  <c r="BN57" i="22"/>
  <c r="BN53" i="22"/>
  <c r="BN54" i="22"/>
  <c r="BN50" i="22"/>
  <c r="BN55" i="22"/>
  <c r="BN51" i="22"/>
  <c r="BN47" i="22"/>
  <c r="BN61" i="22"/>
  <c r="BN56" i="22"/>
  <c r="BN52" i="22"/>
  <c r="BN48" i="22"/>
  <c r="BN43" i="22"/>
  <c r="BN39" i="22"/>
  <c r="BN35" i="22"/>
  <c r="BN44" i="22"/>
  <c r="BN40" i="22"/>
  <c r="BN36" i="22"/>
  <c r="BN45" i="22"/>
  <c r="BN41" i="22"/>
  <c r="BN37" i="22"/>
  <c r="BN49" i="22"/>
  <c r="BN46" i="22"/>
  <c r="BN42" i="22"/>
  <c r="BN38" i="22"/>
  <c r="BN31" i="22"/>
  <c r="BN27" i="22"/>
  <c r="BN23" i="22"/>
  <c r="BN19" i="22"/>
  <c r="BN32" i="22"/>
  <c r="BN28" i="22"/>
  <c r="BN24" i="22"/>
  <c r="BN20" i="22"/>
  <c r="BN16" i="22"/>
  <c r="BN12" i="22"/>
  <c r="BN33" i="22"/>
  <c r="BN29" i="22"/>
  <c r="BN25" i="22"/>
  <c r="BN21" i="22"/>
  <c r="BN34" i="22"/>
  <c r="BN30" i="22"/>
  <c r="BN26" i="22"/>
  <c r="BN22" i="22"/>
  <c r="BN18" i="22"/>
  <c r="BN13" i="22"/>
  <c r="BN3" i="22"/>
  <c r="BN4" i="22"/>
  <c r="BN5" i="22"/>
  <c r="BN15" i="22"/>
  <c r="BN14" i="22"/>
  <c r="BN8" i="22"/>
  <c r="BN17" i="22"/>
  <c r="BN9" i="22"/>
  <c r="BN11" i="22"/>
  <c r="BN10" i="22"/>
  <c r="BN6" i="22"/>
  <c r="BN7" i="22"/>
  <c r="AX108" i="22"/>
  <c r="AX109" i="22"/>
  <c r="AX107" i="22"/>
  <c r="AX104" i="22"/>
  <c r="AX105" i="22"/>
  <c r="AX106" i="22"/>
  <c r="AX103" i="22"/>
  <c r="AX102" i="22"/>
  <c r="AX99" i="22"/>
  <c r="AX100" i="22"/>
  <c r="AX101" i="22"/>
  <c r="AX97" i="22"/>
  <c r="AX98" i="22"/>
  <c r="AX95" i="22"/>
  <c r="AX93" i="22"/>
  <c r="AX96" i="22"/>
  <c r="AX94" i="22"/>
  <c r="AX88" i="22"/>
  <c r="AX89" i="22"/>
  <c r="AX91" i="22"/>
  <c r="AX90" i="22"/>
  <c r="AX92" i="22"/>
  <c r="AX87" i="22"/>
  <c r="AX85" i="22"/>
  <c r="AX81" i="22"/>
  <c r="AX86" i="22"/>
  <c r="AX82" i="22"/>
  <c r="AX83" i="22"/>
  <c r="AX84" i="22"/>
  <c r="AX80" i="22"/>
  <c r="AX79" i="22"/>
  <c r="AX75" i="22"/>
  <c r="AX76" i="22"/>
  <c r="AX72" i="22"/>
  <c r="AX77" i="22"/>
  <c r="AX73" i="22"/>
  <c r="AX69" i="22"/>
  <c r="AX78" i="22"/>
  <c r="AX74" i="22"/>
  <c r="AX70" i="22"/>
  <c r="AX68" i="22"/>
  <c r="AX64" i="22"/>
  <c r="AX60" i="22"/>
  <c r="AX71" i="22"/>
  <c r="AX65" i="22"/>
  <c r="AX66" i="22"/>
  <c r="AX62" i="22"/>
  <c r="AX58" i="22"/>
  <c r="AX67" i="22"/>
  <c r="AX63" i="22"/>
  <c r="AX59" i="22"/>
  <c r="AX57" i="22"/>
  <c r="AX53" i="22"/>
  <c r="AX54" i="22"/>
  <c r="AX50" i="22"/>
  <c r="AX55" i="22"/>
  <c r="AX51" i="22"/>
  <c r="AX47" i="22"/>
  <c r="AX61" i="22"/>
  <c r="AX56" i="22"/>
  <c r="AX52" i="22"/>
  <c r="AX48" i="22"/>
  <c r="AX43" i="22"/>
  <c r="AX39" i="22"/>
  <c r="AX44" i="22"/>
  <c r="AX40" i="22"/>
  <c r="AX36" i="22"/>
  <c r="AX45" i="22"/>
  <c r="AX41" i="22"/>
  <c r="AX37" i="22"/>
  <c r="AX49" i="22"/>
  <c r="AX46" i="22"/>
  <c r="AX42" i="22"/>
  <c r="AX38" i="22"/>
  <c r="AX35" i="22"/>
  <c r="AX31" i="22"/>
  <c r="AX27" i="22"/>
  <c r="AX23" i="22"/>
  <c r="AX19" i="22"/>
  <c r="AX32" i="22"/>
  <c r="AX28" i="22"/>
  <c r="AX24" i="22"/>
  <c r="AX20" i="22"/>
  <c r="AX16" i="22"/>
  <c r="AX12" i="22"/>
  <c r="AX33" i="22"/>
  <c r="AX29" i="22"/>
  <c r="AX25" i="22"/>
  <c r="AX21" i="22"/>
  <c r="AX34" i="22"/>
  <c r="AX30" i="22"/>
  <c r="AX26" i="22"/>
  <c r="AX22" i="22"/>
  <c r="AX18" i="22"/>
  <c r="AX13" i="22"/>
  <c r="AX3" i="22"/>
  <c r="AX4" i="22"/>
  <c r="AX5" i="22"/>
  <c r="AX15" i="22"/>
  <c r="AX14" i="22"/>
  <c r="AX8" i="22"/>
  <c r="AX17" i="22"/>
  <c r="AX9" i="22"/>
  <c r="AX11" i="22"/>
  <c r="AX10" i="22"/>
  <c r="AX6" i="22"/>
  <c r="AX7" i="22"/>
  <c r="AH108" i="22"/>
  <c r="AH109" i="22"/>
  <c r="AH107" i="22"/>
  <c r="AH104" i="22"/>
  <c r="AH105" i="22"/>
  <c r="AH106" i="22"/>
  <c r="AH103" i="22"/>
  <c r="AH102" i="22"/>
  <c r="AH99" i="22"/>
  <c r="AH100" i="22"/>
  <c r="AH101" i="22"/>
  <c r="AH97" i="22"/>
  <c r="AH98" i="22"/>
  <c r="AH95" i="22"/>
  <c r="AH93" i="22"/>
  <c r="AH96" i="22"/>
  <c r="AH94" i="22"/>
  <c r="AH88" i="22"/>
  <c r="AH89" i="22"/>
  <c r="AH91" i="22"/>
  <c r="AH90" i="22"/>
  <c r="AH92" i="22"/>
  <c r="AH87" i="22"/>
  <c r="AH85" i="22"/>
  <c r="AH81" i="22"/>
  <c r="AH86" i="22"/>
  <c r="AH82" i="22"/>
  <c r="AH83" i="22"/>
  <c r="AH84" i="22"/>
  <c r="AH80" i="22"/>
  <c r="AH79" i="22"/>
  <c r="AH75" i="22"/>
  <c r="AH76" i="22"/>
  <c r="AH72" i="22"/>
  <c r="AH77" i="22"/>
  <c r="AH73" i="22"/>
  <c r="AH69" i="22"/>
  <c r="AH78" i="22"/>
  <c r="AH74" i="22"/>
  <c r="AH70" i="22"/>
  <c r="AH68" i="22"/>
  <c r="AH64" i="22"/>
  <c r="AH60" i="22"/>
  <c r="AH71" i="22"/>
  <c r="AH65" i="22"/>
  <c r="AH66" i="22"/>
  <c r="AH62" i="22"/>
  <c r="AH58" i="22"/>
  <c r="AH67" i="22"/>
  <c r="AH63" i="22"/>
  <c r="AH59" i="22"/>
  <c r="AH57" i="22"/>
  <c r="AH53" i="22"/>
  <c r="AH54" i="22"/>
  <c r="AH50" i="22"/>
  <c r="AH55" i="22"/>
  <c r="AH51" i="22"/>
  <c r="AH47" i="22"/>
  <c r="AH61" i="22"/>
  <c r="AH56" i="22"/>
  <c r="AH52" i="22"/>
  <c r="AH48" i="22"/>
  <c r="AH43" i="22"/>
  <c r="AH39" i="22"/>
  <c r="AH44" i="22"/>
  <c r="AH40" i="22"/>
  <c r="AH36" i="22"/>
  <c r="AH45" i="22"/>
  <c r="AH41" i="22"/>
  <c r="AH37" i="22"/>
  <c r="AH49" i="22"/>
  <c r="AH46" i="22"/>
  <c r="AH42" i="22"/>
  <c r="AH38" i="22"/>
  <c r="AH35" i="22"/>
  <c r="AH31" i="22"/>
  <c r="AH27" i="22"/>
  <c r="AH23" i="22"/>
  <c r="AH19" i="22"/>
  <c r="AH32" i="22"/>
  <c r="AH28" i="22"/>
  <c r="AH24" i="22"/>
  <c r="AH20" i="22"/>
  <c r="AH16" i="22"/>
  <c r="AH12" i="22"/>
  <c r="AH33" i="22"/>
  <c r="AH29" i="22"/>
  <c r="AH25" i="22"/>
  <c r="AH21" i="22"/>
  <c r="AH34" i="22"/>
  <c r="AH30" i="22"/>
  <c r="AH26" i="22"/>
  <c r="AH22" i="22"/>
  <c r="AH18" i="22"/>
  <c r="AH13" i="22"/>
  <c r="AH3" i="22"/>
  <c r="AH4" i="22"/>
  <c r="AH5" i="22"/>
  <c r="AH15" i="22"/>
  <c r="AH14" i="22"/>
  <c r="AH8" i="22"/>
  <c r="AH17" i="22"/>
  <c r="AH9" i="22"/>
  <c r="AH11" i="22"/>
  <c r="AH10" i="22"/>
  <c r="AH6" i="22"/>
  <c r="AH7" i="22"/>
  <c r="R108" i="22"/>
  <c r="R109" i="22"/>
  <c r="R107" i="22"/>
  <c r="R105" i="22"/>
  <c r="R106" i="22"/>
  <c r="R103" i="22"/>
  <c r="R104" i="22"/>
  <c r="R102" i="22"/>
  <c r="R99" i="22"/>
  <c r="R100" i="22"/>
  <c r="R101" i="22"/>
  <c r="R97" i="22"/>
  <c r="R98" i="22"/>
  <c r="R95" i="22"/>
  <c r="R93" i="22"/>
  <c r="R96" i="22"/>
  <c r="R94" i="22"/>
  <c r="R88" i="22"/>
  <c r="R89" i="22"/>
  <c r="R91" i="22"/>
  <c r="R90" i="22"/>
  <c r="R92" i="22"/>
  <c r="R87" i="22"/>
  <c r="R85" i="22"/>
  <c r="R81" i="22"/>
  <c r="R86" i="22"/>
  <c r="R82" i="22"/>
  <c r="R83" i="22"/>
  <c r="R84" i="22"/>
  <c r="R80" i="22"/>
  <c r="R79" i="22"/>
  <c r="R75" i="22"/>
  <c r="R76" i="22"/>
  <c r="R72" i="22"/>
  <c r="R77" i="22"/>
  <c r="R73" i="22"/>
  <c r="R69" i="22"/>
  <c r="R78" i="22"/>
  <c r="R74" i="22"/>
  <c r="R70" i="22"/>
  <c r="R68" i="22"/>
  <c r="R64" i="22"/>
  <c r="R60" i="22"/>
  <c r="R71" i="22"/>
  <c r="R65" i="22"/>
  <c r="R66" i="22"/>
  <c r="R62" i="22"/>
  <c r="R58" i="22"/>
  <c r="R67" i="22"/>
  <c r="R63" i="22"/>
  <c r="R59" i="22"/>
  <c r="R57" i="22"/>
  <c r="R53" i="22"/>
  <c r="R54" i="22"/>
  <c r="R50" i="22"/>
  <c r="R55" i="22"/>
  <c r="R51" i="22"/>
  <c r="R47" i="22"/>
  <c r="R61" i="22"/>
  <c r="R56" i="22"/>
  <c r="R52" i="22"/>
  <c r="R48" i="22"/>
  <c r="R43" i="22"/>
  <c r="R39" i="22"/>
  <c r="R44" i="22"/>
  <c r="R40" i="22"/>
  <c r="R36" i="22"/>
  <c r="R45" i="22"/>
  <c r="R41" i="22"/>
  <c r="R37" i="22"/>
  <c r="R49" i="22"/>
  <c r="R46" i="22"/>
  <c r="R42" i="22"/>
  <c r="R38" i="22"/>
  <c r="R35" i="22"/>
  <c r="R31" i="22"/>
  <c r="R27" i="22"/>
  <c r="R23" i="22"/>
  <c r="R19" i="22"/>
  <c r="R32" i="22"/>
  <c r="R28" i="22"/>
  <c r="R24" i="22"/>
  <c r="R20" i="22"/>
  <c r="R16" i="22"/>
  <c r="R12" i="22"/>
  <c r="R33" i="22"/>
  <c r="R29" i="22"/>
  <c r="R25" i="22"/>
  <c r="R21" i="22"/>
  <c r="R34" i="22"/>
  <c r="R30" i="22"/>
  <c r="R26" i="22"/>
  <c r="R22" i="22"/>
  <c r="R18" i="22"/>
  <c r="R13" i="22"/>
  <c r="R3" i="22"/>
  <c r="R4" i="22"/>
  <c r="R5" i="22"/>
  <c r="R15" i="22"/>
  <c r="R14" i="22"/>
  <c r="R8" i="22"/>
  <c r="R17" i="22"/>
  <c r="R9" i="22"/>
  <c r="R11" i="22"/>
  <c r="R10" i="22"/>
  <c r="R6" i="22"/>
  <c r="R7" i="22"/>
  <c r="CP108" i="22"/>
  <c r="CP109" i="22"/>
  <c r="CP104" i="22"/>
  <c r="CP105" i="22"/>
  <c r="CP107" i="22"/>
  <c r="CP106" i="22"/>
  <c r="CP103" i="22"/>
  <c r="CP101" i="22"/>
  <c r="CP102" i="22"/>
  <c r="CP99" i="22"/>
  <c r="CP95" i="22"/>
  <c r="CP100" i="22"/>
  <c r="CP97" i="22"/>
  <c r="CP98" i="22"/>
  <c r="CP96" i="22"/>
  <c r="CP93" i="22"/>
  <c r="CP94" i="22"/>
  <c r="CP90" i="22"/>
  <c r="CP88" i="22"/>
  <c r="CP92" i="22"/>
  <c r="CP91" i="22"/>
  <c r="CP89" i="22"/>
  <c r="CP85" i="22"/>
  <c r="CP81" i="22"/>
  <c r="CP82" i="22"/>
  <c r="CP87" i="22"/>
  <c r="CP86" i="22"/>
  <c r="CP83" i="22"/>
  <c r="CP84" i="22"/>
  <c r="CP80" i="22"/>
  <c r="CP75" i="22"/>
  <c r="CP76" i="22"/>
  <c r="CP72" i="22"/>
  <c r="CP77" i="22"/>
  <c r="CP73" i="22"/>
  <c r="CP69" i="22"/>
  <c r="CP79" i="22"/>
  <c r="CP78" i="22"/>
  <c r="CP74" i="22"/>
  <c r="CP70" i="22"/>
  <c r="CP64" i="22"/>
  <c r="CP60" i="22"/>
  <c r="CP65" i="22"/>
  <c r="CP71" i="22"/>
  <c r="CP66" i="22"/>
  <c r="CP62" i="22"/>
  <c r="CP58" i="22"/>
  <c r="CP68" i="22"/>
  <c r="CP67" i="22"/>
  <c r="CP63" i="22"/>
  <c r="CP59" i="22"/>
  <c r="CP61" i="22"/>
  <c r="CP53" i="22"/>
  <c r="CP54" i="22"/>
  <c r="CP50" i="22"/>
  <c r="CP55" i="22"/>
  <c r="CP51" i="22"/>
  <c r="CP47" i="22"/>
  <c r="CP57" i="22"/>
  <c r="CP56" i="22"/>
  <c r="CP52" i="22"/>
  <c r="CP48" i="22"/>
  <c r="CP49" i="22"/>
  <c r="CP43" i="22"/>
  <c r="CP39" i="22"/>
  <c r="CP35" i="22"/>
  <c r="CP44" i="22"/>
  <c r="CP40" i="22"/>
  <c r="CP36" i="22"/>
  <c r="CP46" i="22"/>
  <c r="CP45" i="22"/>
  <c r="CP41" i="22"/>
  <c r="CP37" i="22"/>
  <c r="CP42" i="22"/>
  <c r="CP38" i="22"/>
  <c r="CP31" i="22"/>
  <c r="CP27" i="22"/>
  <c r="CP23" i="22"/>
  <c r="CP19" i="22"/>
  <c r="CP32" i="22"/>
  <c r="CP28" i="22"/>
  <c r="CP24" i="22"/>
  <c r="CP20" i="22"/>
  <c r="CP16" i="22"/>
  <c r="CP12" i="22"/>
  <c r="CP33" i="22"/>
  <c r="CP29" i="22"/>
  <c r="CP25" i="22"/>
  <c r="CP21" i="22"/>
  <c r="CP34" i="22"/>
  <c r="CP30" i="22"/>
  <c r="CP26" i="22"/>
  <c r="CP22" i="22"/>
  <c r="CP18" i="22"/>
  <c r="CP17" i="22"/>
  <c r="CP15" i="22"/>
  <c r="CP14" i="22"/>
  <c r="CP3" i="22"/>
  <c r="CP4" i="22"/>
  <c r="CP5" i="22"/>
  <c r="CP8" i="22"/>
  <c r="CP11" i="22"/>
  <c r="CP9" i="22"/>
  <c r="CP13" i="22"/>
  <c r="CP10" i="22"/>
  <c r="CP6" i="22"/>
  <c r="CP7" i="22"/>
  <c r="BZ108" i="22"/>
  <c r="BZ109" i="22"/>
  <c r="BZ104" i="22"/>
  <c r="BZ105" i="22"/>
  <c r="BZ107" i="22"/>
  <c r="BZ106" i="22"/>
  <c r="BZ103" i="22"/>
  <c r="BZ102" i="22"/>
  <c r="BZ99" i="22"/>
  <c r="BZ101" i="22"/>
  <c r="BZ100" i="22"/>
  <c r="BZ97" i="22"/>
  <c r="BZ98" i="22"/>
  <c r="BZ95" i="22"/>
  <c r="BZ96" i="22"/>
  <c r="BZ93" i="22"/>
  <c r="BZ94" i="22"/>
  <c r="BZ88" i="22"/>
  <c r="BZ92" i="22"/>
  <c r="BZ91" i="22"/>
  <c r="BZ89" i="22"/>
  <c r="BZ90" i="22"/>
  <c r="BZ85" i="22"/>
  <c r="BZ81" i="22"/>
  <c r="BZ86" i="22"/>
  <c r="BZ82" i="22"/>
  <c r="BZ87" i="22"/>
  <c r="BZ83" i="22"/>
  <c r="BZ84" i="22"/>
  <c r="BZ80" i="22"/>
  <c r="BZ75" i="22"/>
  <c r="BZ76" i="22"/>
  <c r="BZ72" i="22"/>
  <c r="BZ77" i="22"/>
  <c r="BZ73" i="22"/>
  <c r="BZ69" i="22"/>
  <c r="BZ79" i="22"/>
  <c r="BZ78" i="22"/>
  <c r="BZ74" i="22"/>
  <c r="BZ70" i="22"/>
  <c r="BZ64" i="22"/>
  <c r="BZ60" i="22"/>
  <c r="BZ65" i="22"/>
  <c r="BZ71" i="22"/>
  <c r="BZ66" i="22"/>
  <c r="BZ62" i="22"/>
  <c r="BZ58" i="22"/>
  <c r="BZ68" i="22"/>
  <c r="BZ67" i="22"/>
  <c r="BZ63" i="22"/>
  <c r="BZ59" i="22"/>
  <c r="BZ61" i="22"/>
  <c r="BZ53" i="22"/>
  <c r="BZ54" i="22"/>
  <c r="BZ50" i="22"/>
  <c r="BZ55" i="22"/>
  <c r="BZ51" i="22"/>
  <c r="BZ47" i="22"/>
  <c r="BZ57" i="22"/>
  <c r="BZ56" i="22"/>
  <c r="BZ52" i="22"/>
  <c r="BZ48" i="22"/>
  <c r="BZ49" i="22"/>
  <c r="BZ43" i="22"/>
  <c r="BZ39" i="22"/>
  <c r="BZ35" i="22"/>
  <c r="BZ44" i="22"/>
  <c r="BZ40" i="22"/>
  <c r="BZ36" i="22"/>
  <c r="BZ46" i="22"/>
  <c r="BZ45" i="22"/>
  <c r="BZ41" i="22"/>
  <c r="BZ37" i="22"/>
  <c r="BZ42" i="22"/>
  <c r="BZ38" i="22"/>
  <c r="BZ31" i="22"/>
  <c r="BZ27" i="22"/>
  <c r="BZ23" i="22"/>
  <c r="BZ19" i="22"/>
  <c r="BZ32" i="22"/>
  <c r="BZ28" i="22"/>
  <c r="BZ24" i="22"/>
  <c r="BZ20" i="22"/>
  <c r="BZ16" i="22"/>
  <c r="BZ12" i="22"/>
  <c r="BZ33" i="22"/>
  <c r="BZ29" i="22"/>
  <c r="BZ25" i="22"/>
  <c r="BZ21" i="22"/>
  <c r="BZ34" i="22"/>
  <c r="BZ30" i="22"/>
  <c r="BZ26" i="22"/>
  <c r="BZ22" i="22"/>
  <c r="BZ18" i="22"/>
  <c r="BZ17" i="22"/>
  <c r="BZ15" i="22"/>
  <c r="BZ14" i="22"/>
  <c r="BZ3" i="22"/>
  <c r="BZ4" i="22"/>
  <c r="BZ5" i="22"/>
  <c r="BZ8" i="22"/>
  <c r="BZ11" i="22"/>
  <c r="BZ9" i="22"/>
  <c r="BZ13" i="22"/>
  <c r="BZ10" i="22"/>
  <c r="BZ6" i="22"/>
  <c r="BZ7" i="22"/>
  <c r="BJ108" i="22"/>
  <c r="BJ109" i="22"/>
  <c r="BJ104" i="22"/>
  <c r="BJ105" i="22"/>
  <c r="BJ107" i="22"/>
  <c r="BJ106" i="22"/>
  <c r="BJ103" i="22"/>
  <c r="BJ102" i="22"/>
  <c r="BJ99" i="22"/>
  <c r="BJ101" i="22"/>
  <c r="BJ100" i="22"/>
  <c r="BJ97" i="22"/>
  <c r="BJ98" i="22"/>
  <c r="BJ95" i="22"/>
  <c r="BJ96" i="22"/>
  <c r="BJ93" i="22"/>
  <c r="BJ94" i="22"/>
  <c r="BJ88" i="22"/>
  <c r="BJ92" i="22"/>
  <c r="BJ91" i="22"/>
  <c r="BJ89" i="22"/>
  <c r="BJ90" i="22"/>
  <c r="BJ85" i="22"/>
  <c r="BJ81" i="22"/>
  <c r="BJ86" i="22"/>
  <c r="BJ82" i="22"/>
  <c r="BJ87" i="22"/>
  <c r="BJ83" i="22"/>
  <c r="BJ84" i="22"/>
  <c r="BJ80" i="22"/>
  <c r="BJ75" i="22"/>
  <c r="BJ76" i="22"/>
  <c r="BJ72" i="22"/>
  <c r="BJ77" i="22"/>
  <c r="BJ73" i="22"/>
  <c r="BJ69" i="22"/>
  <c r="BJ79" i="22"/>
  <c r="BJ78" i="22"/>
  <c r="BJ74" i="22"/>
  <c r="BJ70" i="22"/>
  <c r="BJ64" i="22"/>
  <c r="BJ60" i="22"/>
  <c r="BJ65" i="22"/>
  <c r="BJ71" i="22"/>
  <c r="BJ66" i="22"/>
  <c r="BJ62" i="22"/>
  <c r="BJ58" i="22"/>
  <c r="BJ68" i="22"/>
  <c r="BJ67" i="22"/>
  <c r="BJ63" i="22"/>
  <c r="BJ59" i="22"/>
  <c r="BJ61" i="22"/>
  <c r="BJ53" i="22"/>
  <c r="BJ54" i="22"/>
  <c r="BJ50" i="22"/>
  <c r="BJ55" i="22"/>
  <c r="BJ51" i="22"/>
  <c r="BJ47" i="22"/>
  <c r="BJ57" i="22"/>
  <c r="BJ56" i="22"/>
  <c r="BJ52" i="22"/>
  <c r="BJ48" i="22"/>
  <c r="BJ49" i="22"/>
  <c r="BJ43" i="22"/>
  <c r="BJ39" i="22"/>
  <c r="BJ44" i="22"/>
  <c r="BJ40" i="22"/>
  <c r="BJ36" i="22"/>
  <c r="BJ46" i="22"/>
  <c r="BJ45" i="22"/>
  <c r="BJ41" i="22"/>
  <c r="BJ37" i="22"/>
  <c r="BJ42" i="22"/>
  <c r="BJ38" i="22"/>
  <c r="BJ31" i="22"/>
  <c r="BJ27" i="22"/>
  <c r="BJ23" i="22"/>
  <c r="BJ19" i="22"/>
  <c r="BJ32" i="22"/>
  <c r="BJ28" i="22"/>
  <c r="BJ24" i="22"/>
  <c r="BJ20" i="22"/>
  <c r="BJ16" i="22"/>
  <c r="BJ12" i="22"/>
  <c r="BJ33" i="22"/>
  <c r="BJ29" i="22"/>
  <c r="BJ25" i="22"/>
  <c r="BJ21" i="22"/>
  <c r="BJ35" i="22"/>
  <c r="BJ34" i="22"/>
  <c r="BJ30" i="22"/>
  <c r="BJ26" i="22"/>
  <c r="BJ22" i="22"/>
  <c r="BJ18" i="22"/>
  <c r="BJ17" i="22"/>
  <c r="BJ15" i="22"/>
  <c r="BJ14" i="22"/>
  <c r="BJ3" i="22"/>
  <c r="BJ4" i="22"/>
  <c r="BJ5" i="22"/>
  <c r="BJ8" i="22"/>
  <c r="BJ11" i="22"/>
  <c r="BJ9" i="22"/>
  <c r="BJ13" i="22"/>
  <c r="BJ10" i="22"/>
  <c r="BJ6" i="22"/>
  <c r="BJ7" i="22"/>
  <c r="AT108" i="22"/>
  <c r="AT109" i="22"/>
  <c r="AT104" i="22"/>
  <c r="AT105" i="22"/>
  <c r="AT107" i="22"/>
  <c r="AT106" i="22"/>
  <c r="AT103" i="22"/>
  <c r="AT102" i="22"/>
  <c r="AT99" i="22"/>
  <c r="AT101" i="22"/>
  <c r="AT100" i="22"/>
  <c r="AT97" i="22"/>
  <c r="AT98" i="22"/>
  <c r="AT95" i="22"/>
  <c r="AT96" i="22"/>
  <c r="AT93" i="22"/>
  <c r="AT94" i="22"/>
  <c r="AT88" i="22"/>
  <c r="AT92" i="22"/>
  <c r="AT91" i="22"/>
  <c r="AT89" i="22"/>
  <c r="AT90" i="22"/>
  <c r="AT85" i="22"/>
  <c r="AT81" i="22"/>
  <c r="AT86" i="22"/>
  <c r="AT82" i="22"/>
  <c r="AT87" i="22"/>
  <c r="AT83" i="22"/>
  <c r="AT84" i="22"/>
  <c r="AT80" i="22"/>
  <c r="AT75" i="22"/>
  <c r="AT76" i="22"/>
  <c r="AT72" i="22"/>
  <c r="AT77" i="22"/>
  <c r="AT73" i="22"/>
  <c r="AT69" i="22"/>
  <c r="AT79" i="22"/>
  <c r="AT78" i="22"/>
  <c r="AT74" i="22"/>
  <c r="AT70" i="22"/>
  <c r="AT64" i="22"/>
  <c r="AT60" i="22"/>
  <c r="AT65" i="22"/>
  <c r="AT71" i="22"/>
  <c r="AT66" i="22"/>
  <c r="AT62" i="22"/>
  <c r="AT58" i="22"/>
  <c r="AT68" i="22"/>
  <c r="AT67" i="22"/>
  <c r="AT63" i="22"/>
  <c r="AT59" i="22"/>
  <c r="AT61" i="22"/>
  <c r="AT53" i="22"/>
  <c r="AT54" i="22"/>
  <c r="AT50" i="22"/>
  <c r="AT55" i="22"/>
  <c r="AT51" i="22"/>
  <c r="AT47" i="22"/>
  <c r="AT57" i="22"/>
  <c r="AT56" i="22"/>
  <c r="AT52" i="22"/>
  <c r="AT48" i="22"/>
  <c r="AT49" i="22"/>
  <c r="AT43" i="22"/>
  <c r="AT39" i="22"/>
  <c r="AT44" i="22"/>
  <c r="AT40" i="22"/>
  <c r="AT36" i="22"/>
  <c r="AT46" i="22"/>
  <c r="AT45" i="22"/>
  <c r="AT41" i="22"/>
  <c r="AT37" i="22"/>
  <c r="AT42" i="22"/>
  <c r="AT38" i="22"/>
  <c r="AT31" i="22"/>
  <c r="AT27" i="22"/>
  <c r="AT23" i="22"/>
  <c r="AT19" i="22"/>
  <c r="AT32" i="22"/>
  <c r="AT28" i="22"/>
  <c r="AT24" i="22"/>
  <c r="AT20" i="22"/>
  <c r="AT16" i="22"/>
  <c r="AT12" i="22"/>
  <c r="AT33" i="22"/>
  <c r="AT29" i="22"/>
  <c r="AT25" i="22"/>
  <c r="AT21" i="22"/>
  <c r="AT35" i="22"/>
  <c r="AT34" i="22"/>
  <c r="AT30" i="22"/>
  <c r="AT26" i="22"/>
  <c r="AT22" i="22"/>
  <c r="AT18" i="22"/>
  <c r="AT17" i="22"/>
  <c r="AT15" i="22"/>
  <c r="AT14" i="22"/>
  <c r="AT3" i="22"/>
  <c r="AT4" i="22"/>
  <c r="AT5" i="22"/>
  <c r="AT8" i="22"/>
  <c r="AT11" i="22"/>
  <c r="AT9" i="22"/>
  <c r="AT13" i="22"/>
  <c r="AT10" i="22"/>
  <c r="AT6" i="22"/>
  <c r="AT7" i="22"/>
  <c r="AD108" i="22"/>
  <c r="AD109" i="22"/>
  <c r="AD104" i="22"/>
  <c r="AD105" i="22"/>
  <c r="AD107" i="22"/>
  <c r="AD106" i="22"/>
  <c r="AD103" i="22"/>
  <c r="AD102" i="22"/>
  <c r="AD99" i="22"/>
  <c r="AD101" i="22"/>
  <c r="AD100" i="22"/>
  <c r="AD97" i="22"/>
  <c r="AD98" i="22"/>
  <c r="AD95" i="22"/>
  <c r="AD96" i="22"/>
  <c r="AD93" i="22"/>
  <c r="AD94" i="22"/>
  <c r="AD88" i="22"/>
  <c r="AD92" i="22"/>
  <c r="AD91" i="22"/>
  <c r="AD89" i="22"/>
  <c r="AD90" i="22"/>
  <c r="AD85" i="22"/>
  <c r="AD81" i="22"/>
  <c r="AD86" i="22"/>
  <c r="AD82" i="22"/>
  <c r="AD87" i="22"/>
  <c r="AD83" i="22"/>
  <c r="AD84" i="22"/>
  <c r="AD80" i="22"/>
  <c r="AD75" i="22"/>
  <c r="AD76" i="22"/>
  <c r="AD72" i="22"/>
  <c r="AD77" i="22"/>
  <c r="AD73" i="22"/>
  <c r="AD69" i="22"/>
  <c r="AD79" i="22"/>
  <c r="AD78" i="22"/>
  <c r="AD74" i="22"/>
  <c r="AD70" i="22"/>
  <c r="AD64" i="22"/>
  <c r="AD60" i="22"/>
  <c r="AD65" i="22"/>
  <c r="AD71" i="22"/>
  <c r="AD66" i="22"/>
  <c r="AD62" i="22"/>
  <c r="AD58" i="22"/>
  <c r="AD68" i="22"/>
  <c r="AD67" i="22"/>
  <c r="AD63" i="22"/>
  <c r="AD59" i="22"/>
  <c r="AD61" i="22"/>
  <c r="AD53" i="22"/>
  <c r="AD54" i="22"/>
  <c r="AD50" i="22"/>
  <c r="AD55" i="22"/>
  <c r="AD51" i="22"/>
  <c r="AD47" i="22"/>
  <c r="AD57" i="22"/>
  <c r="AD56" i="22"/>
  <c r="AD52" i="22"/>
  <c r="AD48" i="22"/>
  <c r="AD49" i="22"/>
  <c r="AD43" i="22"/>
  <c r="AD39" i="22"/>
  <c r="AD44" i="22"/>
  <c r="AD40" i="22"/>
  <c r="AD36" i="22"/>
  <c r="AD46" i="22"/>
  <c r="AD45" i="22"/>
  <c r="AD41" i="22"/>
  <c r="AD37" i="22"/>
  <c r="AD42" i="22"/>
  <c r="AD38" i="22"/>
  <c r="AD31" i="22"/>
  <c r="AD27" i="22"/>
  <c r="AD23" i="22"/>
  <c r="AD19" i="22"/>
  <c r="AD32" i="22"/>
  <c r="AD28" i="22"/>
  <c r="AD24" i="22"/>
  <c r="AD20" i="22"/>
  <c r="AD16" i="22"/>
  <c r="AD12" i="22"/>
  <c r="AD33" i="22"/>
  <c r="AD29" i="22"/>
  <c r="AD25" i="22"/>
  <c r="AD21" i="22"/>
  <c r="AD35" i="22"/>
  <c r="AD34" i="22"/>
  <c r="AD30" i="22"/>
  <c r="AD26" i="22"/>
  <c r="AD22" i="22"/>
  <c r="AD18" i="22"/>
  <c r="AD17" i="22"/>
  <c r="AD15" i="22"/>
  <c r="AD14" i="22"/>
  <c r="AD3" i="22"/>
  <c r="AD4" i="22"/>
  <c r="AD5" i="22"/>
  <c r="AD8" i="22"/>
  <c r="AD11" i="22"/>
  <c r="AD9" i="22"/>
  <c r="AD13" i="22"/>
  <c r="AD10" i="22"/>
  <c r="AD6" i="22"/>
  <c r="AD7" i="22"/>
  <c r="N108" i="22"/>
  <c r="N109" i="22"/>
  <c r="N105" i="22"/>
  <c r="N107" i="22"/>
  <c r="N106" i="22"/>
  <c r="N104" i="22"/>
  <c r="N103" i="22"/>
  <c r="N102" i="22"/>
  <c r="N99" i="22"/>
  <c r="N101" i="22"/>
  <c r="N100" i="22"/>
  <c r="N97" i="22"/>
  <c r="N98" i="22"/>
  <c r="N95" i="22"/>
  <c r="N96" i="22"/>
  <c r="N93" i="22"/>
  <c r="N94" i="22"/>
  <c r="N88" i="22"/>
  <c r="N92" i="22"/>
  <c r="N91" i="22"/>
  <c r="N89" i="22"/>
  <c r="N90" i="22"/>
  <c r="N85" i="22"/>
  <c r="N81" i="22"/>
  <c r="N86" i="22"/>
  <c r="N82" i="22"/>
  <c r="N87" i="22"/>
  <c r="N83" i="22"/>
  <c r="N84" i="22"/>
  <c r="N80" i="22"/>
  <c r="N75" i="22"/>
  <c r="N76" i="22"/>
  <c r="N72" i="22"/>
  <c r="N77" i="22"/>
  <c r="N73" i="22"/>
  <c r="N69" i="22"/>
  <c r="N79" i="22"/>
  <c r="N78" i="22"/>
  <c r="N74" i="22"/>
  <c r="N70" i="22"/>
  <c r="N68" i="22"/>
  <c r="N64" i="22"/>
  <c r="N60" i="22"/>
  <c r="N65" i="22"/>
  <c r="N71" i="22"/>
  <c r="N66" i="22"/>
  <c r="N62" i="22"/>
  <c r="N58" i="22"/>
  <c r="N67" i="22"/>
  <c r="N63" i="22"/>
  <c r="N59" i="22"/>
  <c r="N61" i="22"/>
  <c r="N53" i="22"/>
  <c r="N54" i="22"/>
  <c r="N50" i="22"/>
  <c r="N55" i="22"/>
  <c r="N51" i="22"/>
  <c r="N47" i="22"/>
  <c r="N57" i="22"/>
  <c r="N56" i="22"/>
  <c r="N52" i="22"/>
  <c r="N48" i="22"/>
  <c r="N49" i="22"/>
  <c r="N43" i="22"/>
  <c r="N39" i="22"/>
  <c r="N44" i="22"/>
  <c r="N40" i="22"/>
  <c r="N36" i="22"/>
  <c r="N46" i="22"/>
  <c r="N45" i="22"/>
  <c r="N41" i="22"/>
  <c r="N37" i="22"/>
  <c r="N42" i="22"/>
  <c r="N38" i="22"/>
  <c r="N31" i="22"/>
  <c r="N27" i="22"/>
  <c r="N23" i="22"/>
  <c r="N19" i="22"/>
  <c r="N32" i="22"/>
  <c r="N28" i="22"/>
  <c r="N24" i="22"/>
  <c r="N20" i="22"/>
  <c r="N16" i="22"/>
  <c r="N12" i="22"/>
  <c r="N33" i="22"/>
  <c r="N29" i="22"/>
  <c r="N25" i="22"/>
  <c r="N21" i="22"/>
  <c r="N35" i="22"/>
  <c r="N34" i="22"/>
  <c r="N30" i="22"/>
  <c r="N26" i="22"/>
  <c r="N22" i="22"/>
  <c r="N18" i="22"/>
  <c r="N17" i="22"/>
  <c r="N15" i="22"/>
  <c r="N14" i="22"/>
  <c r="N3" i="22"/>
  <c r="N4" i="22"/>
  <c r="N5" i="22"/>
  <c r="N8" i="22"/>
  <c r="N11" i="22"/>
  <c r="N9" i="22"/>
  <c r="N13" i="22"/>
  <c r="N10" i="22"/>
  <c r="N6" i="22"/>
  <c r="N7" i="22"/>
  <c r="DB108" i="22"/>
  <c r="DB109" i="22"/>
  <c r="DB107" i="22"/>
  <c r="DB104" i="22"/>
  <c r="DB106" i="22"/>
  <c r="DB105" i="22"/>
  <c r="DB103" i="22"/>
  <c r="DB101" i="22"/>
  <c r="DB102" i="22"/>
  <c r="DB99" i="22"/>
  <c r="DB95" i="22"/>
  <c r="DB100" i="22"/>
  <c r="DB97" i="22"/>
  <c r="DB98" i="22"/>
  <c r="DB93" i="22"/>
  <c r="DB96" i="22"/>
  <c r="DB94" i="22"/>
  <c r="DB90" i="22"/>
  <c r="DB91" i="22"/>
  <c r="DB88" i="22"/>
  <c r="DB89" i="22"/>
  <c r="DB92" i="22"/>
  <c r="DB87" i="22"/>
  <c r="DB85" i="22"/>
  <c r="DB81" i="22"/>
  <c r="DB86" i="22"/>
  <c r="DB82" i="22"/>
  <c r="DB83" i="22"/>
  <c r="DB84" i="22"/>
  <c r="DB80" i="22"/>
  <c r="DB75" i="22"/>
  <c r="DB76" i="22"/>
  <c r="DB72" i="22"/>
  <c r="DB79" i="22"/>
  <c r="DB77" i="22"/>
  <c r="DB73" i="22"/>
  <c r="DB69" i="22"/>
  <c r="DB78" i="22"/>
  <c r="DB74" i="22"/>
  <c r="DB70" i="22"/>
  <c r="DB64" i="22"/>
  <c r="DB60" i="22"/>
  <c r="DB65" i="22"/>
  <c r="DB68" i="22"/>
  <c r="DB66" i="22"/>
  <c r="DB62" i="22"/>
  <c r="DB58" i="22"/>
  <c r="DB71" i="22"/>
  <c r="DB67" i="22"/>
  <c r="DB63" i="22"/>
  <c r="DB59" i="22"/>
  <c r="DB53" i="22"/>
  <c r="DB61" i="22"/>
  <c r="DB54" i="22"/>
  <c r="DB50" i="22"/>
  <c r="DB57" i="22"/>
  <c r="DB55" i="22"/>
  <c r="DB51" i="22"/>
  <c r="DB47" i="22"/>
  <c r="DB56" i="22"/>
  <c r="DB52" i="22"/>
  <c r="DB48" i="22"/>
  <c r="DB43" i="22"/>
  <c r="DB39" i="22"/>
  <c r="DB35" i="22"/>
  <c r="DB49" i="22"/>
  <c r="DB46" i="22"/>
  <c r="DB44" i="22"/>
  <c r="DB40" i="22"/>
  <c r="DB36" i="22"/>
  <c r="DB45" i="22"/>
  <c r="DB41" i="22"/>
  <c r="DB37" i="22"/>
  <c r="DB42" i="22"/>
  <c r="DB38" i="22"/>
  <c r="DB31" i="22"/>
  <c r="DB27" i="22"/>
  <c r="DB23" i="22"/>
  <c r="DB19" i="22"/>
  <c r="DB32" i="22"/>
  <c r="DB28" i="22"/>
  <c r="DB24" i="22"/>
  <c r="DB20" i="22"/>
  <c r="DB16" i="22"/>
  <c r="DB12" i="22"/>
  <c r="DB33" i="22"/>
  <c r="DB29" i="22"/>
  <c r="DB25" i="22"/>
  <c r="DB21" i="22"/>
  <c r="DB34" i="22"/>
  <c r="DB30" i="22"/>
  <c r="DB26" i="22"/>
  <c r="DB22" i="22"/>
  <c r="DB18" i="22"/>
  <c r="DB3" i="22"/>
  <c r="DB4" i="22"/>
  <c r="DB5" i="22"/>
  <c r="DB11" i="22"/>
  <c r="DB8" i="22"/>
  <c r="DB17" i="22"/>
  <c r="DB13" i="22"/>
  <c r="DB9" i="22"/>
  <c r="DB15" i="22"/>
  <c r="DB14" i="22"/>
  <c r="DB10" i="22"/>
  <c r="DB6" i="22"/>
  <c r="DB7" i="22"/>
  <c r="CL108" i="22"/>
  <c r="CL109" i="22"/>
  <c r="CL104" i="22"/>
  <c r="CL106" i="22"/>
  <c r="CL105" i="22"/>
  <c r="CL107" i="22"/>
  <c r="CL103" i="22"/>
  <c r="CL101" i="22"/>
  <c r="CL102" i="22"/>
  <c r="CL99" i="22"/>
  <c r="CL95" i="22"/>
  <c r="CL100" i="22"/>
  <c r="CL97" i="22"/>
  <c r="CL98" i="22"/>
  <c r="CL93" i="22"/>
  <c r="CL96" i="22"/>
  <c r="CL94" i="22"/>
  <c r="CL90" i="22"/>
  <c r="CL91" i="22"/>
  <c r="CL88" i="22"/>
  <c r="CL89" i="22"/>
  <c r="CL92" i="22"/>
  <c r="CL87" i="22"/>
  <c r="CL85" i="22"/>
  <c r="CL81" i="22"/>
  <c r="CL86" i="22"/>
  <c r="CL82" i="22"/>
  <c r="CL83" i="22"/>
  <c r="CL84" i="22"/>
  <c r="CL80" i="22"/>
  <c r="CL75" i="22"/>
  <c r="CL76" i="22"/>
  <c r="CL72" i="22"/>
  <c r="CL79" i="22"/>
  <c r="CL77" i="22"/>
  <c r="CL73" i="22"/>
  <c r="CL69" i="22"/>
  <c r="CL78" i="22"/>
  <c r="CL74" i="22"/>
  <c r="CL70" i="22"/>
  <c r="CL64" i="22"/>
  <c r="CL60" i="22"/>
  <c r="CL65" i="22"/>
  <c r="CL68" i="22"/>
  <c r="CL66" i="22"/>
  <c r="CL62" i="22"/>
  <c r="CL58" i="22"/>
  <c r="CL71" i="22"/>
  <c r="CL67" i="22"/>
  <c r="CL63" i="22"/>
  <c r="CL59" i="22"/>
  <c r="CL53" i="22"/>
  <c r="CL61" i="22"/>
  <c r="CL54" i="22"/>
  <c r="CL50" i="22"/>
  <c r="CL57" i="22"/>
  <c r="CL55" i="22"/>
  <c r="CL51" i="22"/>
  <c r="CL47" i="22"/>
  <c r="CL56" i="22"/>
  <c r="CL52" i="22"/>
  <c r="CL48" i="22"/>
  <c r="CL43" i="22"/>
  <c r="CL39" i="22"/>
  <c r="CL35" i="22"/>
  <c r="CL49" i="22"/>
  <c r="CL46" i="22"/>
  <c r="CL44" i="22"/>
  <c r="CL40" i="22"/>
  <c r="CL36" i="22"/>
  <c r="CL45" i="22"/>
  <c r="CL41" i="22"/>
  <c r="CL37" i="22"/>
  <c r="CL42" i="22"/>
  <c r="CL38" i="22"/>
  <c r="CL31" i="22"/>
  <c r="CL27" i="22"/>
  <c r="CL23" i="22"/>
  <c r="CL19" i="22"/>
  <c r="CL32" i="22"/>
  <c r="CL28" i="22"/>
  <c r="CL24" i="22"/>
  <c r="CL20" i="22"/>
  <c r="CL16" i="22"/>
  <c r="CL12" i="22"/>
  <c r="CL33" i="22"/>
  <c r="CL29" i="22"/>
  <c r="CL25" i="22"/>
  <c r="CL21" i="22"/>
  <c r="CL34" i="22"/>
  <c r="CL30" i="22"/>
  <c r="CL26" i="22"/>
  <c r="CL22" i="22"/>
  <c r="CL18" i="22"/>
  <c r="CL3" i="22"/>
  <c r="CL4" i="22"/>
  <c r="CL5" i="22"/>
  <c r="CL11" i="22"/>
  <c r="CL8" i="22"/>
  <c r="CL17" i="22"/>
  <c r="CL13" i="22"/>
  <c r="CL9" i="22"/>
  <c r="CL15" i="22"/>
  <c r="CL14" i="22"/>
  <c r="CL10" i="22"/>
  <c r="CL6" i="22"/>
  <c r="CL7" i="22"/>
  <c r="BV108" i="22"/>
  <c r="BV109" i="22"/>
  <c r="BV107" i="22"/>
  <c r="BV104" i="22"/>
  <c r="BV106" i="22"/>
  <c r="BV105" i="22"/>
  <c r="BV103" i="22"/>
  <c r="BV102" i="22"/>
  <c r="BV101" i="22"/>
  <c r="BV99" i="22"/>
  <c r="BV100" i="22"/>
  <c r="BV97" i="22"/>
  <c r="BV98" i="22"/>
  <c r="BV95" i="22"/>
  <c r="BV93" i="22"/>
  <c r="BV96" i="22"/>
  <c r="BV94" i="22"/>
  <c r="BV91" i="22"/>
  <c r="BV88" i="22"/>
  <c r="BV89" i="22"/>
  <c r="BV90" i="22"/>
  <c r="BV92" i="22"/>
  <c r="BV87" i="22"/>
  <c r="BV85" i="22"/>
  <c r="BV81" i="22"/>
  <c r="BV86" i="22"/>
  <c r="BV82" i="22"/>
  <c r="BV83" i="22"/>
  <c r="BV84" i="22"/>
  <c r="BV80" i="22"/>
  <c r="BV75" i="22"/>
  <c r="BV76" i="22"/>
  <c r="BV72" i="22"/>
  <c r="BV79" i="22"/>
  <c r="BV77" i="22"/>
  <c r="BV73" i="22"/>
  <c r="BV69" i="22"/>
  <c r="BV78" i="22"/>
  <c r="BV74" i="22"/>
  <c r="BV70" i="22"/>
  <c r="BV64" i="22"/>
  <c r="BV60" i="22"/>
  <c r="BV65" i="22"/>
  <c r="BV68" i="22"/>
  <c r="BV66" i="22"/>
  <c r="BV62" i="22"/>
  <c r="BV58" i="22"/>
  <c r="BV71" i="22"/>
  <c r="BV67" i="22"/>
  <c r="BV63" i="22"/>
  <c r="BV59" i="22"/>
  <c r="BV53" i="22"/>
  <c r="BV61" i="22"/>
  <c r="BV54" i="22"/>
  <c r="BV50" i="22"/>
  <c r="BV57" i="22"/>
  <c r="BV55" i="22"/>
  <c r="BV51" i="22"/>
  <c r="BV47" i="22"/>
  <c r="BV56" i="22"/>
  <c r="BV52" i="22"/>
  <c r="BV48" i="22"/>
  <c r="BV43" i="22"/>
  <c r="BV39" i="22"/>
  <c r="BV35" i="22"/>
  <c r="BV49" i="22"/>
  <c r="BV46" i="22"/>
  <c r="BV44" i="22"/>
  <c r="BV40" i="22"/>
  <c r="BV36" i="22"/>
  <c r="BV45" i="22"/>
  <c r="BV41" i="22"/>
  <c r="BV37" i="22"/>
  <c r="BV42" i="22"/>
  <c r="BV38" i="22"/>
  <c r="BV31" i="22"/>
  <c r="BV27" i="22"/>
  <c r="BV23" i="22"/>
  <c r="BV19" i="22"/>
  <c r="BV32" i="22"/>
  <c r="BV28" i="22"/>
  <c r="BV24" i="22"/>
  <c r="BV20" i="22"/>
  <c r="BV16" i="22"/>
  <c r="BV12" i="22"/>
  <c r="BV33" i="22"/>
  <c r="BV29" i="22"/>
  <c r="BV25" i="22"/>
  <c r="BV21" i="22"/>
  <c r="BV34" i="22"/>
  <c r="BV30" i="22"/>
  <c r="BV26" i="22"/>
  <c r="BV22" i="22"/>
  <c r="BV18" i="22"/>
  <c r="BV3" i="22"/>
  <c r="BV4" i="22"/>
  <c r="BV5" i="22"/>
  <c r="BV11" i="22"/>
  <c r="BV8" i="22"/>
  <c r="BV17" i="22"/>
  <c r="BV13" i="22"/>
  <c r="BV9" i="22"/>
  <c r="BV15" i="22"/>
  <c r="BV14" i="22"/>
  <c r="BV10" i="22"/>
  <c r="BV6" i="22"/>
  <c r="BV7" i="22"/>
  <c r="BF108" i="22"/>
  <c r="BF109" i="22"/>
  <c r="BF107" i="22"/>
  <c r="BF104" i="22"/>
  <c r="BF106" i="22"/>
  <c r="BF105" i="22"/>
  <c r="BF103" i="22"/>
  <c r="BF102" i="22"/>
  <c r="BF101" i="22"/>
  <c r="BF99" i="22"/>
  <c r="BF100" i="22"/>
  <c r="BF97" i="22"/>
  <c r="BF98" i="22"/>
  <c r="BF95" i="22"/>
  <c r="BF93" i="22"/>
  <c r="BF96" i="22"/>
  <c r="BF94" i="22"/>
  <c r="BF91" i="22"/>
  <c r="BF88" i="22"/>
  <c r="BF89" i="22"/>
  <c r="BF90" i="22"/>
  <c r="BF92" i="22"/>
  <c r="BF87" i="22"/>
  <c r="BF85" i="22"/>
  <c r="BF81" i="22"/>
  <c r="BF86" i="22"/>
  <c r="BF82" i="22"/>
  <c r="BF83" i="22"/>
  <c r="BF84" i="22"/>
  <c r="BF80" i="22"/>
  <c r="BF75" i="22"/>
  <c r="BF76" i="22"/>
  <c r="BF72" i="22"/>
  <c r="BF79" i="22"/>
  <c r="BF77" i="22"/>
  <c r="BF73" i="22"/>
  <c r="BF69" i="22"/>
  <c r="BF78" i="22"/>
  <c r="BF74" i="22"/>
  <c r="BF70" i="22"/>
  <c r="BF64" i="22"/>
  <c r="BF60" i="22"/>
  <c r="BF65" i="22"/>
  <c r="BF68" i="22"/>
  <c r="BF66" i="22"/>
  <c r="BF62" i="22"/>
  <c r="BF58" i="22"/>
  <c r="BF71" i="22"/>
  <c r="BF67" i="22"/>
  <c r="BF63" i="22"/>
  <c r="BF59" i="22"/>
  <c r="BF53" i="22"/>
  <c r="BF61" i="22"/>
  <c r="BF54" i="22"/>
  <c r="BF50" i="22"/>
  <c r="BF57" i="22"/>
  <c r="BF55" i="22"/>
  <c r="BF51" i="22"/>
  <c r="BF47" i="22"/>
  <c r="BF56" i="22"/>
  <c r="BF52" i="22"/>
  <c r="BF48" i="22"/>
  <c r="BF43" i="22"/>
  <c r="BF39" i="22"/>
  <c r="BF49" i="22"/>
  <c r="BF46" i="22"/>
  <c r="BF44" i="22"/>
  <c r="BF40" i="22"/>
  <c r="BF36" i="22"/>
  <c r="BF45" i="22"/>
  <c r="BF41" i="22"/>
  <c r="BF37" i="22"/>
  <c r="BF42" i="22"/>
  <c r="BF38" i="22"/>
  <c r="BF31" i="22"/>
  <c r="BF27" i="22"/>
  <c r="BF23" i="22"/>
  <c r="BF19" i="22"/>
  <c r="BF32" i="22"/>
  <c r="BF28" i="22"/>
  <c r="BF24" i="22"/>
  <c r="BF20" i="22"/>
  <c r="BF16" i="22"/>
  <c r="BF12" i="22"/>
  <c r="BF35" i="22"/>
  <c r="BF33" i="22"/>
  <c r="BF29" i="22"/>
  <c r="BF25" i="22"/>
  <c r="BF21" i="22"/>
  <c r="BF34" i="22"/>
  <c r="BF30" i="22"/>
  <c r="BF26" i="22"/>
  <c r="BF22" i="22"/>
  <c r="BF18" i="22"/>
  <c r="BF3" i="22"/>
  <c r="BF4" i="22"/>
  <c r="BF5" i="22"/>
  <c r="BF11" i="22"/>
  <c r="BF8" i="22"/>
  <c r="BF17" i="22"/>
  <c r="BF13" i="22"/>
  <c r="BF9" i="22"/>
  <c r="BF15" i="22"/>
  <c r="BF14" i="22"/>
  <c r="BF10" i="22"/>
  <c r="BF6" i="22"/>
  <c r="BF7" i="22"/>
  <c r="AP108" i="22"/>
  <c r="AP109" i="22"/>
  <c r="AP107" i="22"/>
  <c r="AP104" i="22"/>
  <c r="AP105" i="22"/>
  <c r="AP106" i="22"/>
  <c r="AP103" i="22"/>
  <c r="AP102" i="22"/>
  <c r="AP101" i="22"/>
  <c r="AP99" i="22"/>
  <c r="AP100" i="22"/>
  <c r="AP97" i="22"/>
  <c r="AP98" i="22"/>
  <c r="AP95" i="22"/>
  <c r="AP93" i="22"/>
  <c r="AP96" i="22"/>
  <c r="AP94" i="22"/>
  <c r="AP91" i="22"/>
  <c r="AP88" i="22"/>
  <c r="AP89" i="22"/>
  <c r="AP90" i="22"/>
  <c r="AP92" i="22"/>
  <c r="AP87" i="22"/>
  <c r="AP85" i="22"/>
  <c r="AP81" i="22"/>
  <c r="AP86" i="22"/>
  <c r="AP82" i="22"/>
  <c r="AP83" i="22"/>
  <c r="AP84" i="22"/>
  <c r="AP80" i="22"/>
  <c r="AP75" i="22"/>
  <c r="AP76" i="22"/>
  <c r="AP72" i="22"/>
  <c r="AP79" i="22"/>
  <c r="AP77" i="22"/>
  <c r="AP73" i="22"/>
  <c r="AP69" i="22"/>
  <c r="AP78" i="22"/>
  <c r="AP74" i="22"/>
  <c r="AP70" i="22"/>
  <c r="AP64" i="22"/>
  <c r="AP60" i="22"/>
  <c r="AP65" i="22"/>
  <c r="AP68" i="22"/>
  <c r="AP66" i="22"/>
  <c r="AP62" i="22"/>
  <c r="AP58" i="22"/>
  <c r="AP71" i="22"/>
  <c r="AP67" i="22"/>
  <c r="AP63" i="22"/>
  <c r="AP59" i="22"/>
  <c r="AP53" i="22"/>
  <c r="AP61" i="22"/>
  <c r="AP54" i="22"/>
  <c r="AP50" i="22"/>
  <c r="AP57" i="22"/>
  <c r="AP55" i="22"/>
  <c r="AP51" i="22"/>
  <c r="AP47" i="22"/>
  <c r="AP56" i="22"/>
  <c r="AP52" i="22"/>
  <c r="AP48" i="22"/>
  <c r="AP43" i="22"/>
  <c r="AP39" i="22"/>
  <c r="AP49" i="22"/>
  <c r="AP46" i="22"/>
  <c r="AP44" i="22"/>
  <c r="AP40" i="22"/>
  <c r="AP36" i="22"/>
  <c r="AP45" i="22"/>
  <c r="AP41" i="22"/>
  <c r="AP37" i="22"/>
  <c r="AP42" i="22"/>
  <c r="AP38" i="22"/>
  <c r="AP31" i="22"/>
  <c r="AP27" i="22"/>
  <c r="AP23" i="22"/>
  <c r="AP19" i="22"/>
  <c r="AP32" i="22"/>
  <c r="AP28" i="22"/>
  <c r="AP24" i="22"/>
  <c r="AP20" i="22"/>
  <c r="AP16" i="22"/>
  <c r="AP12" i="22"/>
  <c r="AP35" i="22"/>
  <c r="AP33" i="22"/>
  <c r="AP29" i="22"/>
  <c r="AP25" i="22"/>
  <c r="AP21" i="22"/>
  <c r="AP34" i="22"/>
  <c r="AP30" i="22"/>
  <c r="AP26" i="22"/>
  <c r="AP22" i="22"/>
  <c r="AP18" i="22"/>
  <c r="AP3" i="22"/>
  <c r="AP4" i="22"/>
  <c r="AP5" i="22"/>
  <c r="AP11" i="22"/>
  <c r="AP8" i="22"/>
  <c r="AP17" i="22"/>
  <c r="AP13" i="22"/>
  <c r="AP9" i="22"/>
  <c r="AP15" i="22"/>
  <c r="AP14" i="22"/>
  <c r="AP10" i="22"/>
  <c r="AP6" i="22"/>
  <c r="AP7" i="22"/>
  <c r="Z108" i="22"/>
  <c r="Z109" i="22"/>
  <c r="Z107" i="22"/>
  <c r="Z104" i="22"/>
  <c r="Z105" i="22"/>
  <c r="Z106" i="22"/>
  <c r="Z103" i="22"/>
  <c r="Z102" i="22"/>
  <c r="Z101" i="22"/>
  <c r="Z99" i="22"/>
  <c r="Z100" i="22"/>
  <c r="Z97" i="22"/>
  <c r="Z98" i="22"/>
  <c r="Z95" i="22"/>
  <c r="Z93" i="22"/>
  <c r="Z96" i="22"/>
  <c r="Z94" i="22"/>
  <c r="Z91" i="22"/>
  <c r="Z88" i="22"/>
  <c r="Z89" i="22"/>
  <c r="Z90" i="22"/>
  <c r="Z92" i="22"/>
  <c r="Z87" i="22"/>
  <c r="Z85" i="22"/>
  <c r="Z81" i="22"/>
  <c r="Z86" i="22"/>
  <c r="Z82" i="22"/>
  <c r="Z83" i="22"/>
  <c r="Z84" i="22"/>
  <c r="Z80" i="22"/>
  <c r="Z75" i="22"/>
  <c r="Z76" i="22"/>
  <c r="Z72" i="22"/>
  <c r="Z79" i="22"/>
  <c r="Z77" i="22"/>
  <c r="Z73" i="22"/>
  <c r="Z69" i="22"/>
  <c r="Z78" i="22"/>
  <c r="Z74" i="22"/>
  <c r="Z70" i="22"/>
  <c r="Z64" i="22"/>
  <c r="Z60" i="22"/>
  <c r="Z65" i="22"/>
  <c r="Z68" i="22"/>
  <c r="Z66" i="22"/>
  <c r="Z62" i="22"/>
  <c r="Z58" i="22"/>
  <c r="Z71" i="22"/>
  <c r="Z67" i="22"/>
  <c r="Z63" i="22"/>
  <c r="Z59" i="22"/>
  <c r="Z53" i="22"/>
  <c r="Z61" i="22"/>
  <c r="Z54" i="22"/>
  <c r="Z50" i="22"/>
  <c r="Z57" i="22"/>
  <c r="Z55" i="22"/>
  <c r="Z51" i="22"/>
  <c r="Z47" i="22"/>
  <c r="Z56" i="22"/>
  <c r="Z52" i="22"/>
  <c r="Z48" i="22"/>
  <c r="Z43" i="22"/>
  <c r="Z39" i="22"/>
  <c r="Z49" i="22"/>
  <c r="Z46" i="22"/>
  <c r="Z44" i="22"/>
  <c r="Z40" i="22"/>
  <c r="Z36" i="22"/>
  <c r="Z45" i="22"/>
  <c r="Z41" i="22"/>
  <c r="Z37" i="22"/>
  <c r="Z42" i="22"/>
  <c r="Z38" i="22"/>
  <c r="Z31" i="22"/>
  <c r="Z27" i="22"/>
  <c r="Z23" i="22"/>
  <c r="Z19" i="22"/>
  <c r="Z32" i="22"/>
  <c r="Z28" i="22"/>
  <c r="Z24" i="22"/>
  <c r="Z20" i="22"/>
  <c r="Z16" i="22"/>
  <c r="Z12" i="22"/>
  <c r="Z35" i="22"/>
  <c r="Z33" i="22"/>
  <c r="Z29" i="22"/>
  <c r="Z25" i="22"/>
  <c r="Z21" i="22"/>
  <c r="Z34" i="22"/>
  <c r="Z30" i="22"/>
  <c r="Z26" i="22"/>
  <c r="Z22" i="22"/>
  <c r="Z18" i="22"/>
  <c r="Z3" i="22"/>
  <c r="Z4" i="22"/>
  <c r="Z5" i="22"/>
  <c r="Z11" i="22"/>
  <c r="Z8" i="22"/>
  <c r="Z17" i="22"/>
  <c r="Z13" i="22"/>
  <c r="Z9" i="22"/>
  <c r="Z15" i="22"/>
  <c r="Z14" i="22"/>
  <c r="Z10" i="22"/>
  <c r="Z6" i="22"/>
  <c r="Z7" i="22"/>
  <c r="J108" i="22"/>
  <c r="J109" i="22"/>
  <c r="J107" i="22"/>
  <c r="J105" i="22"/>
  <c r="J106" i="22"/>
  <c r="J103" i="22"/>
  <c r="J104" i="22"/>
  <c r="J102" i="22"/>
  <c r="J101" i="22"/>
  <c r="J99" i="22"/>
  <c r="J100" i="22"/>
  <c r="J97" i="22"/>
  <c r="J98" i="22"/>
  <c r="J95" i="22"/>
  <c r="J93" i="22"/>
  <c r="J96" i="22"/>
  <c r="J94" i="22"/>
  <c r="J91" i="22"/>
  <c r="J88" i="22"/>
  <c r="J89" i="22"/>
  <c r="J90" i="22"/>
  <c r="J92" i="22"/>
  <c r="J87" i="22"/>
  <c r="J85" i="22"/>
  <c r="J81" i="22"/>
  <c r="J86" i="22"/>
  <c r="J82" i="22"/>
  <c r="J83" i="22"/>
  <c r="J84" i="22"/>
  <c r="J80" i="22"/>
  <c r="J75" i="22"/>
  <c r="J76" i="22"/>
  <c r="J72" i="22"/>
  <c r="J79" i="22"/>
  <c r="J77" i="22"/>
  <c r="J73" i="22"/>
  <c r="J69" i="22"/>
  <c r="J78" i="22"/>
  <c r="J74" i="22"/>
  <c r="J70" i="22"/>
  <c r="J68" i="22"/>
  <c r="J64" i="22"/>
  <c r="J60" i="22"/>
  <c r="J65" i="22"/>
  <c r="J66" i="22"/>
  <c r="J62" i="22"/>
  <c r="J58" i="22"/>
  <c r="J71" i="22"/>
  <c r="J67" i="22"/>
  <c r="J63" i="22"/>
  <c r="J59" i="22"/>
  <c r="J53" i="22"/>
  <c r="J61" i="22"/>
  <c r="J54" i="22"/>
  <c r="J50" i="22"/>
  <c r="J57" i="22"/>
  <c r="J55" i="22"/>
  <c r="J51" i="22"/>
  <c r="J47" i="22"/>
  <c r="J56" i="22"/>
  <c r="J52" i="22"/>
  <c r="J48" i="22"/>
  <c r="J43" i="22"/>
  <c r="J39" i="22"/>
  <c r="J49" i="22"/>
  <c r="J46" i="22"/>
  <c r="J44" i="22"/>
  <c r="J40" i="22"/>
  <c r="J36" i="22"/>
  <c r="J45" i="22"/>
  <c r="J41" i="22"/>
  <c r="J37" i="22"/>
  <c r="J42" i="22"/>
  <c r="J38" i="22"/>
  <c r="J31" i="22"/>
  <c r="J27" i="22"/>
  <c r="J23" i="22"/>
  <c r="J19" i="22"/>
  <c r="J32" i="22"/>
  <c r="J28" i="22"/>
  <c r="J24" i="22"/>
  <c r="J20" i="22"/>
  <c r="J16" i="22"/>
  <c r="J12" i="22"/>
  <c r="J35" i="22"/>
  <c r="J33" i="22"/>
  <c r="J29" i="22"/>
  <c r="J25" i="22"/>
  <c r="J21" i="22"/>
  <c r="J34" i="22"/>
  <c r="J30" i="22"/>
  <c r="J26" i="22"/>
  <c r="J22" i="22"/>
  <c r="J18" i="22"/>
  <c r="J3" i="22"/>
  <c r="J4" i="22"/>
  <c r="J5" i="22"/>
  <c r="J11" i="22"/>
  <c r="J8" i="22"/>
  <c r="J17" i="22"/>
  <c r="J13" i="22"/>
  <c r="J9" i="22"/>
  <c r="J15" i="22"/>
  <c r="J14" i="22"/>
  <c r="J10" i="22"/>
  <c r="J6" i="22"/>
  <c r="J7" i="22"/>
  <c r="N75" i="32" l="1"/>
  <c r="R73" i="32"/>
  <c r="D27" i="30"/>
  <c r="A28" i="30"/>
  <c r="A29" i="33"/>
  <c r="C28" i="33"/>
  <c r="DH89" i="22"/>
  <c r="DG89" i="22" s="1"/>
  <c r="CY110" i="22"/>
  <c r="DH103" i="22"/>
  <c r="DG103" i="22" s="1"/>
  <c r="CQ110" i="22"/>
  <c r="CE110" i="22"/>
  <c r="DH99" i="22"/>
  <c r="DG99" i="22" s="1"/>
  <c r="DH9" i="22"/>
  <c r="DG9" i="22" s="1"/>
  <c r="DH83" i="22"/>
  <c r="DG83" i="22" s="1"/>
  <c r="D110" i="22"/>
  <c r="DH15" i="22"/>
  <c r="DG15" i="22" s="1"/>
  <c r="DH73" i="22"/>
  <c r="DG73" i="22" s="1"/>
  <c r="DC110" i="22"/>
  <c r="DH65" i="22"/>
  <c r="DG65" i="22" s="1"/>
  <c r="AM110" i="22"/>
  <c r="S110" i="22"/>
  <c r="DH59" i="22"/>
  <c r="DG59" i="22" s="1"/>
  <c r="BX110" i="22"/>
  <c r="DH47" i="22"/>
  <c r="DG47" i="22" s="1"/>
  <c r="DH4" i="22"/>
  <c r="DG4" i="22" s="1"/>
  <c r="DH49" i="22"/>
  <c r="DG49" i="22" s="1"/>
  <c r="G110" i="22"/>
  <c r="L110" i="22"/>
  <c r="AI110" i="22"/>
  <c r="DH107" i="22"/>
  <c r="DG107" i="22" s="1"/>
  <c r="BM110" i="22"/>
  <c r="BC110" i="22"/>
  <c r="AB110" i="22"/>
  <c r="DH55" i="22"/>
  <c r="DG55" i="22" s="1"/>
  <c r="DH52" i="22"/>
  <c r="DG52" i="22" s="1"/>
  <c r="E8" i="23"/>
  <c r="F8" i="23"/>
  <c r="DH77" i="22"/>
  <c r="DG77" i="22" s="1"/>
  <c r="DH48" i="22"/>
  <c r="DG48" i="22" s="1"/>
  <c r="BO110" i="22"/>
  <c r="BG110" i="22"/>
  <c r="DH92" i="22"/>
  <c r="DG92" i="22" s="1"/>
  <c r="AG110" i="22"/>
  <c r="DH44" i="22"/>
  <c r="DG44" i="22" s="1"/>
  <c r="CI110" i="22"/>
  <c r="DH28" i="22"/>
  <c r="DG28" i="22" s="1"/>
  <c r="AU110" i="22"/>
  <c r="DH7" i="22"/>
  <c r="DG7" i="22" s="1"/>
  <c r="O110" i="22"/>
  <c r="BE110" i="22"/>
  <c r="DH100" i="22"/>
  <c r="DG100" i="22" s="1"/>
  <c r="DH60" i="22"/>
  <c r="DG60" i="22" s="1"/>
  <c r="DH41" i="22"/>
  <c r="DG41" i="22" s="1"/>
  <c r="CF110" i="22"/>
  <c r="W110" i="22"/>
  <c r="DH12" i="22"/>
  <c r="DG12" i="22" s="1"/>
  <c r="DH25" i="22"/>
  <c r="DG25" i="22" s="1"/>
  <c r="AE110" i="22"/>
  <c r="DH35" i="22"/>
  <c r="DG35" i="22" s="1"/>
  <c r="DH19" i="22"/>
  <c r="DG19" i="22" s="1"/>
  <c r="DH57" i="22"/>
  <c r="DG57" i="22" s="1"/>
  <c r="DH23" i="22"/>
  <c r="DG23" i="22" s="1"/>
  <c r="AO110" i="22"/>
  <c r="DH31" i="22"/>
  <c r="DG31" i="22" s="1"/>
  <c r="DH33" i="22"/>
  <c r="DG33" i="22" s="1"/>
  <c r="DH87" i="22"/>
  <c r="DG87" i="22" s="1"/>
  <c r="AR110" i="22"/>
  <c r="CN110" i="22"/>
  <c r="DH84" i="22"/>
  <c r="DJ84" i="22" s="1"/>
  <c r="DL84" i="22" s="1"/>
  <c r="BH110" i="22"/>
  <c r="CV110" i="22"/>
  <c r="AZ110" i="22"/>
  <c r="AQ110" i="22"/>
  <c r="DH76" i="22"/>
  <c r="DG76" i="22" s="1"/>
  <c r="CK110" i="22"/>
  <c r="AW110" i="22"/>
  <c r="BU110" i="22"/>
  <c r="DH11" i="22"/>
  <c r="DG11" i="22" s="1"/>
  <c r="DH17" i="22"/>
  <c r="DG17" i="22" s="1"/>
  <c r="T110" i="22"/>
  <c r="DA110" i="22"/>
  <c r="DH63" i="22"/>
  <c r="DG63" i="22" s="1"/>
  <c r="DH108" i="22"/>
  <c r="DG108" i="22" s="1"/>
  <c r="DH68" i="22"/>
  <c r="DG68" i="22" s="1"/>
  <c r="AA110" i="22"/>
  <c r="DH43" i="22"/>
  <c r="DG43" i="22" s="1"/>
  <c r="CM110" i="22"/>
  <c r="DH81" i="22"/>
  <c r="DG81" i="22" s="1"/>
  <c r="DH40" i="22"/>
  <c r="DG40" i="22" s="1"/>
  <c r="AV110" i="22"/>
  <c r="DH93" i="22"/>
  <c r="DG93" i="22" s="1"/>
  <c r="DH39" i="22"/>
  <c r="DG39" i="22" s="1"/>
  <c r="DH97" i="22"/>
  <c r="DG97" i="22" s="1"/>
  <c r="DH95" i="22"/>
  <c r="DG95" i="22" s="1"/>
  <c r="DH88" i="22"/>
  <c r="DG88" i="22" s="1"/>
  <c r="Y110" i="22"/>
  <c r="DH91" i="22"/>
  <c r="DG91" i="22" s="1"/>
  <c r="DH3" i="22"/>
  <c r="DG3" i="22" s="1"/>
  <c r="AY110" i="22"/>
  <c r="CA110" i="22"/>
  <c r="DH105" i="22"/>
  <c r="DG105" i="22" s="1"/>
  <c r="CC110" i="22"/>
  <c r="DH36" i="22"/>
  <c r="DG36" i="22" s="1"/>
  <c r="DH71" i="22"/>
  <c r="DG71" i="22" s="1"/>
  <c r="H110" i="22"/>
  <c r="AC110" i="22"/>
  <c r="P110" i="22"/>
  <c r="AK110" i="22"/>
  <c r="DH75" i="22"/>
  <c r="DG75" i="22" s="1"/>
  <c r="DH96" i="22"/>
  <c r="DG96" i="22" s="1"/>
  <c r="DH20" i="22"/>
  <c r="DG20" i="22" s="1"/>
  <c r="DH24" i="22"/>
  <c r="DG24" i="22" s="1"/>
  <c r="DH67" i="22"/>
  <c r="DG67" i="22" s="1"/>
  <c r="BP110" i="22"/>
  <c r="BK110" i="22"/>
  <c r="C110" i="22"/>
  <c r="CU110" i="22"/>
  <c r="BS110" i="22"/>
  <c r="DD110" i="22"/>
  <c r="DH13" i="22"/>
  <c r="DG13" i="22" s="1"/>
  <c r="DH56" i="22"/>
  <c r="DG56" i="22" s="1"/>
  <c r="DH21" i="22"/>
  <c r="DG21" i="22" s="1"/>
  <c r="BL110" i="22"/>
  <c r="I110" i="22"/>
  <c r="DH45" i="22"/>
  <c r="DG45" i="22" s="1"/>
  <c r="DH109" i="22"/>
  <c r="DG109" i="22" s="1"/>
  <c r="CS110" i="22"/>
  <c r="DR3" i="22"/>
  <c r="DT3" i="22" s="1"/>
  <c r="DJ3" i="22"/>
  <c r="DL3" i="22" s="1"/>
  <c r="DN3" i="22"/>
  <c r="DP3" i="22" s="1"/>
  <c r="DN63" i="22"/>
  <c r="DP63" i="22" s="1"/>
  <c r="DR63" i="22"/>
  <c r="DT63" i="22" s="1"/>
  <c r="DJ63" i="22"/>
  <c r="DL63" i="22" s="1"/>
  <c r="DR43" i="22"/>
  <c r="DT43" i="22" s="1"/>
  <c r="DN43" i="22"/>
  <c r="DP43" i="22" s="1"/>
  <c r="DJ43" i="22"/>
  <c r="DL43" i="22" s="1"/>
  <c r="DR56" i="22"/>
  <c r="DT56" i="22" s="1"/>
  <c r="DN56" i="22"/>
  <c r="DP56" i="22" s="1"/>
  <c r="DJ56" i="22"/>
  <c r="DL56" i="22" s="1"/>
  <c r="DR45" i="22"/>
  <c r="DT45" i="22" s="1"/>
  <c r="DN45" i="22"/>
  <c r="DP45" i="22" s="1"/>
  <c r="DJ45" i="22"/>
  <c r="DL45" i="22" s="1"/>
  <c r="DR109" i="22"/>
  <c r="DT109" i="22" s="1"/>
  <c r="DN109" i="22"/>
  <c r="DP109" i="22" s="1"/>
  <c r="DJ109" i="22"/>
  <c r="DL109" i="22" s="1"/>
  <c r="DR17" i="22"/>
  <c r="DT17" i="22" s="1"/>
  <c r="DN17" i="22"/>
  <c r="DP17" i="22" s="1"/>
  <c r="DJ17" i="22"/>
  <c r="DL17" i="22" s="1"/>
  <c r="DR108" i="22"/>
  <c r="DT108" i="22" s="1"/>
  <c r="DN108" i="22"/>
  <c r="DP108" i="22" s="1"/>
  <c r="DJ108" i="22"/>
  <c r="DL108" i="22" s="1"/>
  <c r="DR81" i="22"/>
  <c r="DT81" i="22" s="1"/>
  <c r="DN81" i="22"/>
  <c r="DP81" i="22" s="1"/>
  <c r="DJ81" i="22"/>
  <c r="DL81" i="22" s="1"/>
  <c r="DN39" i="22"/>
  <c r="DP39" i="22" s="1"/>
  <c r="DR39" i="22"/>
  <c r="DT39" i="22" s="1"/>
  <c r="DJ39" i="22"/>
  <c r="DL39" i="22" s="1"/>
  <c r="DN36" i="22"/>
  <c r="DP36" i="22" s="1"/>
  <c r="DR36" i="22"/>
  <c r="DT36" i="22" s="1"/>
  <c r="DJ36" i="22"/>
  <c r="DL36" i="22" s="1"/>
  <c r="DR97" i="22"/>
  <c r="DT97" i="22" s="1"/>
  <c r="DN97" i="22"/>
  <c r="DP97" i="22" s="1"/>
  <c r="DJ97" i="22"/>
  <c r="DL97" i="22" s="1"/>
  <c r="DN71" i="22"/>
  <c r="DP71" i="22" s="1"/>
  <c r="DR71" i="22"/>
  <c r="DT71" i="22" s="1"/>
  <c r="DJ71" i="22"/>
  <c r="DL71" i="22" s="1"/>
  <c r="DN95" i="22"/>
  <c r="DP95" i="22" s="1"/>
  <c r="DR95" i="22"/>
  <c r="DT95" i="22" s="1"/>
  <c r="DJ95" i="22"/>
  <c r="DL95" i="22" s="1"/>
  <c r="DN68" i="22"/>
  <c r="DP68" i="22" s="1"/>
  <c r="DJ68" i="22"/>
  <c r="DL68" i="22" s="1"/>
  <c r="DR68" i="22"/>
  <c r="DT68" i="22" s="1"/>
  <c r="DR99" i="22"/>
  <c r="DT99" i="22" s="1"/>
  <c r="DN99" i="22"/>
  <c r="DP99" i="22" s="1"/>
  <c r="DJ99" i="22"/>
  <c r="DL99" i="22" s="1"/>
  <c r="DR75" i="22"/>
  <c r="DT75" i="22" s="1"/>
  <c r="DN75" i="22"/>
  <c r="DP75" i="22" s="1"/>
  <c r="DJ75" i="22"/>
  <c r="DL75" i="22" s="1"/>
  <c r="DR96" i="22"/>
  <c r="DT96" i="22" s="1"/>
  <c r="DN96" i="22"/>
  <c r="DP96" i="22" s="1"/>
  <c r="DJ96" i="22"/>
  <c r="DL96" i="22" s="1"/>
  <c r="DR24" i="22"/>
  <c r="DT24" i="22" s="1"/>
  <c r="DN24" i="22"/>
  <c r="DP24" i="22" s="1"/>
  <c r="DJ24" i="22"/>
  <c r="DL24" i="22" s="1"/>
  <c r="DR67" i="22"/>
  <c r="DT67" i="22" s="1"/>
  <c r="DN67" i="22"/>
  <c r="DP67" i="22" s="1"/>
  <c r="DJ67" i="22"/>
  <c r="DL67" i="22" s="1"/>
  <c r="DR9" i="22"/>
  <c r="DT9" i="22" s="1"/>
  <c r="DN9" i="22"/>
  <c r="DP9" i="22" s="1"/>
  <c r="DJ9" i="22"/>
  <c r="DL9" i="22" s="1"/>
  <c r="DR41" i="22"/>
  <c r="DT41" i="22" s="1"/>
  <c r="DN41" i="22"/>
  <c r="DP41" i="22" s="1"/>
  <c r="DJ41" i="22"/>
  <c r="DL41" i="22" s="1"/>
  <c r="DR73" i="22"/>
  <c r="DT73" i="22" s="1"/>
  <c r="DN73" i="22"/>
  <c r="DP73" i="22" s="1"/>
  <c r="DJ73" i="22"/>
  <c r="DL73" i="22" s="1"/>
  <c r="DR105" i="22"/>
  <c r="DT105" i="22" s="1"/>
  <c r="DN105" i="22"/>
  <c r="DP105" i="22" s="1"/>
  <c r="DJ105" i="22"/>
  <c r="DL105" i="22" s="1"/>
  <c r="DR48" i="22"/>
  <c r="DT48" i="22" s="1"/>
  <c r="DN48" i="22"/>
  <c r="DP48" i="22" s="1"/>
  <c r="DJ48" i="22"/>
  <c r="DL48" i="22" s="1"/>
  <c r="DR88" i="22"/>
  <c r="DT88" i="22" s="1"/>
  <c r="DN88" i="22"/>
  <c r="DP88" i="22" s="1"/>
  <c r="DJ88" i="22"/>
  <c r="DL88" i="22" s="1"/>
  <c r="DR11" i="22"/>
  <c r="DT11" i="22" s="1"/>
  <c r="DN11" i="22"/>
  <c r="DP11" i="22" s="1"/>
  <c r="DJ11" i="22"/>
  <c r="DL11" i="22" s="1"/>
  <c r="DR91" i="22"/>
  <c r="DT91" i="22" s="1"/>
  <c r="DN91" i="22"/>
  <c r="DP91" i="22" s="1"/>
  <c r="DJ91" i="22"/>
  <c r="DL91" i="22" s="1"/>
  <c r="DR77" i="22"/>
  <c r="DT77" i="22" s="1"/>
  <c r="DN77" i="22"/>
  <c r="DP77" i="22" s="1"/>
  <c r="DJ77" i="22"/>
  <c r="DL77" i="22" s="1"/>
  <c r="DR13" i="22"/>
  <c r="DT13" i="22" s="1"/>
  <c r="DJ13" i="22"/>
  <c r="DL13" i="22" s="1"/>
  <c r="DN13" i="22"/>
  <c r="DP13" i="22" s="1"/>
  <c r="DR21" i="22"/>
  <c r="DT21" i="22" s="1"/>
  <c r="DJ21" i="22"/>
  <c r="DL21" i="22" s="1"/>
  <c r="DN21" i="22"/>
  <c r="DP21" i="22" s="1"/>
  <c r="DR60" i="22"/>
  <c r="DT60" i="22" s="1"/>
  <c r="DN60" i="22"/>
  <c r="DP60" i="22" s="1"/>
  <c r="DJ60" i="22"/>
  <c r="DL60" i="22" s="1"/>
  <c r="DN20" i="22"/>
  <c r="DP20" i="22" s="1"/>
  <c r="DR20" i="22"/>
  <c r="DT20" i="22" s="1"/>
  <c r="DJ20" i="22"/>
  <c r="DL20" i="22" s="1"/>
  <c r="DR15" i="22"/>
  <c r="DT15" i="22" s="1"/>
  <c r="DN15" i="22"/>
  <c r="DP15" i="22" s="1"/>
  <c r="DJ15" i="22"/>
  <c r="DL15" i="22" s="1"/>
  <c r="DN47" i="22"/>
  <c r="DP47" i="22" s="1"/>
  <c r="DJ47" i="22"/>
  <c r="DL47" i="22" s="1"/>
  <c r="DR47" i="22"/>
  <c r="DT47" i="22" s="1"/>
  <c r="DH79" i="22"/>
  <c r="DG79" i="22" s="1"/>
  <c r="DR19" i="22"/>
  <c r="DT19" i="22" s="1"/>
  <c r="DN19" i="22"/>
  <c r="DP19" i="22" s="1"/>
  <c r="DJ19" i="22"/>
  <c r="DL19" i="22" s="1"/>
  <c r="DH51" i="22"/>
  <c r="DG51" i="22" s="1"/>
  <c r="DR83" i="22"/>
  <c r="DT83" i="22" s="1"/>
  <c r="DN83" i="22"/>
  <c r="DP83" i="22" s="1"/>
  <c r="DJ83" i="22"/>
  <c r="DL83" i="22" s="1"/>
  <c r="DR49" i="22"/>
  <c r="DT49" i="22" s="1"/>
  <c r="DN49" i="22"/>
  <c r="DP49" i="22" s="1"/>
  <c r="DJ49" i="22"/>
  <c r="DL49" i="22" s="1"/>
  <c r="DR23" i="22"/>
  <c r="DT23" i="22" s="1"/>
  <c r="DN23" i="22"/>
  <c r="DP23" i="22" s="1"/>
  <c r="DJ23" i="22"/>
  <c r="DL23" i="22" s="1"/>
  <c r="DN55" i="22"/>
  <c r="DP55" i="22" s="1"/>
  <c r="DR55" i="22"/>
  <c r="DT55" i="22" s="1"/>
  <c r="DJ55" i="22"/>
  <c r="DL55" i="22" s="1"/>
  <c r="DN87" i="22"/>
  <c r="DP87" i="22" s="1"/>
  <c r="DR87" i="22"/>
  <c r="DT87" i="22" s="1"/>
  <c r="DJ87" i="22"/>
  <c r="DL87" i="22" s="1"/>
  <c r="DH16" i="22"/>
  <c r="DG16" i="22" s="1"/>
  <c r="DH27" i="22"/>
  <c r="DG27" i="22" s="1"/>
  <c r="DR59" i="22"/>
  <c r="DT59" i="22" s="1"/>
  <c r="DN59" i="22"/>
  <c r="DP59" i="22" s="1"/>
  <c r="DJ59" i="22"/>
  <c r="DL59" i="22" s="1"/>
  <c r="DH29" i="22"/>
  <c r="DG29" i="22" s="1"/>
  <c r="DR93" i="22"/>
  <c r="DT93" i="22" s="1"/>
  <c r="DN93" i="22"/>
  <c r="DP93" i="22" s="1"/>
  <c r="DJ93" i="22"/>
  <c r="DL93" i="22" s="1"/>
  <c r="U110" i="22"/>
  <c r="DR40" i="22"/>
  <c r="DT40" i="22" s="1"/>
  <c r="DN40" i="22"/>
  <c r="DP40" i="22" s="1"/>
  <c r="DJ40" i="22"/>
  <c r="DL40" i="22" s="1"/>
  <c r="BI110" i="22"/>
  <c r="DH69" i="22"/>
  <c r="DG69" i="22" s="1"/>
  <c r="DH53" i="22"/>
  <c r="DG53" i="22" s="1"/>
  <c r="DN12" i="22"/>
  <c r="DP12" i="22" s="1"/>
  <c r="DR12" i="22"/>
  <c r="DT12" i="22" s="1"/>
  <c r="DJ12" i="22"/>
  <c r="DL12" i="22" s="1"/>
  <c r="DR76" i="22"/>
  <c r="DT76" i="22" s="1"/>
  <c r="DN76" i="22"/>
  <c r="DP76" i="22" s="1"/>
  <c r="DJ76" i="22"/>
  <c r="DL76" i="22" s="1"/>
  <c r="Q110" i="22"/>
  <c r="DN52" i="22"/>
  <c r="DP52" i="22" s="1"/>
  <c r="DR52" i="22"/>
  <c r="DT52" i="22" s="1"/>
  <c r="DJ52" i="22"/>
  <c r="DL52" i="22" s="1"/>
  <c r="DN100" i="22"/>
  <c r="DP100" i="22" s="1"/>
  <c r="DR100" i="22"/>
  <c r="DT100" i="22" s="1"/>
  <c r="DJ100" i="22"/>
  <c r="DL100" i="22" s="1"/>
  <c r="DR25" i="22"/>
  <c r="DT25" i="22" s="1"/>
  <c r="DN25" i="22"/>
  <c r="DP25" i="22" s="1"/>
  <c r="DJ25" i="22"/>
  <c r="DL25" i="22" s="1"/>
  <c r="DR57" i="22"/>
  <c r="DT57" i="22" s="1"/>
  <c r="DN57" i="22"/>
  <c r="DP57" i="22" s="1"/>
  <c r="DJ57" i="22"/>
  <c r="DL57" i="22" s="1"/>
  <c r="DR89" i="22"/>
  <c r="DT89" i="22" s="1"/>
  <c r="DN89" i="22"/>
  <c r="DP89" i="22" s="1"/>
  <c r="DJ89" i="22"/>
  <c r="DL89" i="22" s="1"/>
  <c r="DH64" i="22"/>
  <c r="DG64" i="22" s="1"/>
  <c r="DH8" i="22"/>
  <c r="DG8" i="22" s="1"/>
  <c r="DR107" i="22"/>
  <c r="DT107" i="22" s="1"/>
  <c r="DN107" i="22"/>
  <c r="DP107" i="22" s="1"/>
  <c r="DJ107" i="22"/>
  <c r="DL107" i="22" s="1"/>
  <c r="BD110" i="22"/>
  <c r="BY110" i="22"/>
  <c r="DH85" i="22"/>
  <c r="DG85" i="22" s="1"/>
  <c r="BT110" i="22"/>
  <c r="CO110" i="22"/>
  <c r="CB110" i="22"/>
  <c r="CW110" i="22"/>
  <c r="K110" i="22"/>
  <c r="AF110" i="22"/>
  <c r="BW110" i="22"/>
  <c r="CR110" i="22"/>
  <c r="DN28" i="22"/>
  <c r="DP28" i="22" s="1"/>
  <c r="DJ28" i="22"/>
  <c r="DL28" i="22" s="1"/>
  <c r="DR28" i="22"/>
  <c r="DT28" i="22" s="1"/>
  <c r="DR92" i="22"/>
  <c r="DT92" i="22" s="1"/>
  <c r="DN92" i="22"/>
  <c r="DP92" i="22" s="1"/>
  <c r="DJ92" i="22"/>
  <c r="DL92" i="22" s="1"/>
  <c r="DR31" i="22"/>
  <c r="DT31" i="22" s="1"/>
  <c r="DN31" i="22"/>
  <c r="DP31" i="22" s="1"/>
  <c r="DJ31" i="22"/>
  <c r="DL31" i="22" s="1"/>
  <c r="DR35" i="22"/>
  <c r="DT35" i="22" s="1"/>
  <c r="DN35" i="22"/>
  <c r="DP35" i="22" s="1"/>
  <c r="DJ35" i="22"/>
  <c r="DL35" i="22" s="1"/>
  <c r="DR33" i="22"/>
  <c r="DT33" i="22" s="1"/>
  <c r="DN33" i="22"/>
  <c r="DP33" i="22" s="1"/>
  <c r="DJ33" i="22"/>
  <c r="DL33" i="22" s="1"/>
  <c r="DR65" i="22"/>
  <c r="DT65" i="22" s="1"/>
  <c r="DN65" i="22"/>
  <c r="DP65" i="22" s="1"/>
  <c r="DJ65" i="22"/>
  <c r="DL65" i="22" s="1"/>
  <c r="DR7" i="22"/>
  <c r="DT7" i="22" s="1"/>
  <c r="DN7" i="22"/>
  <c r="DP7" i="22" s="1"/>
  <c r="DJ7" i="22"/>
  <c r="DL7" i="22" s="1"/>
  <c r="DN103" i="22"/>
  <c r="DP103" i="22" s="1"/>
  <c r="DR103" i="22"/>
  <c r="DT103" i="22" s="1"/>
  <c r="DJ103" i="22"/>
  <c r="DL103" i="22" s="1"/>
  <c r="DH32" i="22"/>
  <c r="DG32" i="22" s="1"/>
  <c r="DH80" i="22"/>
  <c r="DG80" i="22" s="1"/>
  <c r="AJ110" i="22"/>
  <c r="DH61" i="22"/>
  <c r="DG61" i="22" s="1"/>
  <c r="CG110" i="22"/>
  <c r="DH104" i="22"/>
  <c r="DG104" i="22" s="1"/>
  <c r="DH5" i="22"/>
  <c r="DG5" i="22" s="1"/>
  <c r="DH37" i="22"/>
  <c r="DG37" i="22" s="1"/>
  <c r="BA110" i="22"/>
  <c r="DR44" i="22"/>
  <c r="DT44" i="22" s="1"/>
  <c r="DN44" i="22"/>
  <c r="DP44" i="22" s="1"/>
  <c r="DJ44" i="22"/>
  <c r="DL44" i="22" s="1"/>
  <c r="DN4" i="22"/>
  <c r="DP4" i="22" s="1"/>
  <c r="DR4" i="22"/>
  <c r="DT4" i="22" s="1"/>
  <c r="DJ4" i="22"/>
  <c r="DL4" i="22" s="1"/>
  <c r="X110" i="22"/>
  <c r="CJ110" i="22"/>
  <c r="AS110" i="22"/>
  <c r="DE110" i="22"/>
  <c r="E110" i="22"/>
  <c r="BQ110" i="22"/>
  <c r="AN110" i="22"/>
  <c r="CZ110" i="22"/>
  <c r="DH72" i="22"/>
  <c r="DG72" i="22" s="1"/>
  <c r="DH101" i="22"/>
  <c r="DG101" i="22" s="1"/>
  <c r="M110" i="22"/>
  <c r="BJ110" i="22"/>
  <c r="DH62" i="22"/>
  <c r="DG62" i="22" s="1"/>
  <c r="AD110" i="22"/>
  <c r="DH30" i="22"/>
  <c r="DG30" i="22" s="1"/>
  <c r="CP110" i="22"/>
  <c r="DH94" i="22"/>
  <c r="DG94" i="22" s="1"/>
  <c r="AP110" i="22"/>
  <c r="DH42" i="22"/>
  <c r="DG42" i="22" s="1"/>
  <c r="DB110" i="22"/>
  <c r="DH106" i="22"/>
  <c r="DG106" i="22" s="1"/>
  <c r="N110" i="22"/>
  <c r="DH14" i="22"/>
  <c r="DG14" i="22" s="1"/>
  <c r="BZ110" i="22"/>
  <c r="DH78" i="22"/>
  <c r="DG78" i="22" s="1"/>
  <c r="AX110" i="22"/>
  <c r="DH50" i="22"/>
  <c r="DG50" i="22" s="1"/>
  <c r="AL110" i="22"/>
  <c r="DH38" i="22"/>
  <c r="DG38" i="22" s="1"/>
  <c r="CX110" i="22"/>
  <c r="DH102" i="22"/>
  <c r="DG102" i="22" s="1"/>
  <c r="V110" i="22"/>
  <c r="DH22" i="22"/>
  <c r="DG22" i="22" s="1"/>
  <c r="CH110" i="22"/>
  <c r="DH86" i="22"/>
  <c r="DG86" i="22" s="1"/>
  <c r="Z110" i="22"/>
  <c r="DH26" i="22"/>
  <c r="DG26" i="22" s="1"/>
  <c r="CL110" i="22"/>
  <c r="DH90" i="22"/>
  <c r="DG90" i="22" s="1"/>
  <c r="AH110" i="22"/>
  <c r="DH34" i="22"/>
  <c r="DG34" i="22" s="1"/>
  <c r="CT110" i="22"/>
  <c r="DH98" i="22"/>
  <c r="DG98" i="22" s="1"/>
  <c r="J110" i="22"/>
  <c r="DH10" i="22"/>
  <c r="DG10" i="22" s="1"/>
  <c r="BV110" i="22"/>
  <c r="DH74" i="22"/>
  <c r="DG74" i="22" s="1"/>
  <c r="AT110" i="22"/>
  <c r="DH46" i="22"/>
  <c r="DG46" i="22" s="1"/>
  <c r="R110" i="22"/>
  <c r="DH18" i="22"/>
  <c r="DG18" i="22" s="1"/>
  <c r="CD110" i="22"/>
  <c r="DH82" i="22"/>
  <c r="DG82" i="22" s="1"/>
  <c r="F110" i="22"/>
  <c r="DH6" i="22"/>
  <c r="DG6" i="22" s="1"/>
  <c r="BR110" i="22"/>
  <c r="DH70" i="22"/>
  <c r="DG70" i="22" s="1"/>
  <c r="BF110" i="22"/>
  <c r="DH58" i="22"/>
  <c r="DG58" i="22" s="1"/>
  <c r="BN110" i="22"/>
  <c r="DH66" i="22"/>
  <c r="DG66" i="22" s="1"/>
  <c r="BB110" i="22"/>
  <c r="DH54" i="22"/>
  <c r="DG54" i="22" s="1"/>
  <c r="N77" i="32" l="1"/>
  <c r="R75" i="32"/>
  <c r="D28" i="30"/>
  <c r="A29" i="30"/>
  <c r="C29" i="33"/>
  <c r="A30" i="33"/>
  <c r="E9" i="23"/>
  <c r="F9" i="23"/>
  <c r="DN84" i="22"/>
  <c r="DP84" i="22" s="1"/>
  <c r="DG84" i="22"/>
  <c r="DR84" i="22"/>
  <c r="DT84" i="22" s="1"/>
  <c r="DR8" i="22"/>
  <c r="DT8" i="22" s="1"/>
  <c r="DN8" i="22"/>
  <c r="DP8" i="22" s="1"/>
  <c r="DJ8" i="22"/>
  <c r="DL8" i="22" s="1"/>
  <c r="DR69" i="22"/>
  <c r="DT69" i="22" s="1"/>
  <c r="DN69" i="22"/>
  <c r="DP69" i="22" s="1"/>
  <c r="DJ69" i="22"/>
  <c r="DL69" i="22" s="1"/>
  <c r="DR27" i="22"/>
  <c r="DT27" i="22" s="1"/>
  <c r="DN27" i="22"/>
  <c r="DP27" i="22" s="1"/>
  <c r="DJ27" i="22"/>
  <c r="DL27" i="22" s="1"/>
  <c r="DR16" i="22"/>
  <c r="DT16" i="22" s="1"/>
  <c r="DJ16" i="22"/>
  <c r="DL16" i="22" s="1"/>
  <c r="DN16" i="22"/>
  <c r="DP16" i="22" s="1"/>
  <c r="DR32" i="22"/>
  <c r="DT32" i="22" s="1"/>
  <c r="DN32" i="22"/>
  <c r="DP32" i="22" s="1"/>
  <c r="DJ32" i="22"/>
  <c r="DL32" i="22" s="1"/>
  <c r="DR54" i="22"/>
  <c r="DT54" i="22" s="1"/>
  <c r="DN54" i="22"/>
  <c r="DP54" i="22" s="1"/>
  <c r="DJ54" i="22"/>
  <c r="DL54" i="22" s="1"/>
  <c r="DR58" i="22"/>
  <c r="DT58" i="22" s="1"/>
  <c r="DN58" i="22"/>
  <c r="DP58" i="22" s="1"/>
  <c r="DJ58" i="22"/>
  <c r="DL58" i="22" s="1"/>
  <c r="DR6" i="22"/>
  <c r="DT6" i="22" s="1"/>
  <c r="DN6" i="22"/>
  <c r="DP6" i="22" s="1"/>
  <c r="DJ6" i="22"/>
  <c r="DL6" i="22" s="1"/>
  <c r="DR18" i="22"/>
  <c r="DT18" i="22" s="1"/>
  <c r="DN18" i="22"/>
  <c r="DP18" i="22" s="1"/>
  <c r="DJ18" i="22"/>
  <c r="DL18" i="22" s="1"/>
  <c r="DN74" i="22"/>
  <c r="DP74" i="22" s="1"/>
  <c r="DR74" i="22"/>
  <c r="DT74" i="22" s="1"/>
  <c r="DJ74" i="22"/>
  <c r="DL74" i="22" s="1"/>
  <c r="DR98" i="22"/>
  <c r="DT98" i="22" s="1"/>
  <c r="DN98" i="22"/>
  <c r="DP98" i="22" s="1"/>
  <c r="DJ98" i="22"/>
  <c r="DL98" i="22" s="1"/>
  <c r="DJ90" i="22"/>
  <c r="DL90" i="22" s="1"/>
  <c r="DR90" i="22"/>
  <c r="DT90" i="22" s="1"/>
  <c r="DN90" i="22"/>
  <c r="DP90" i="22" s="1"/>
  <c r="DR86" i="22"/>
  <c r="DT86" i="22" s="1"/>
  <c r="DN86" i="22"/>
  <c r="DP86" i="22" s="1"/>
  <c r="DJ86" i="22"/>
  <c r="DL86" i="22" s="1"/>
  <c r="DR102" i="22"/>
  <c r="DT102" i="22" s="1"/>
  <c r="DN102" i="22"/>
  <c r="DP102" i="22" s="1"/>
  <c r="DJ102" i="22"/>
  <c r="DL102" i="22" s="1"/>
  <c r="DR50" i="22"/>
  <c r="DT50" i="22" s="1"/>
  <c r="DN50" i="22"/>
  <c r="DP50" i="22" s="1"/>
  <c r="DJ50" i="22"/>
  <c r="DL50" i="22" s="1"/>
  <c r="DN14" i="22"/>
  <c r="DP14" i="22" s="1"/>
  <c r="DR14" i="22"/>
  <c r="DT14" i="22" s="1"/>
  <c r="DJ14" i="22"/>
  <c r="DL14" i="22" s="1"/>
  <c r="DR42" i="22"/>
  <c r="DT42" i="22" s="1"/>
  <c r="DN42" i="22"/>
  <c r="DP42" i="22" s="1"/>
  <c r="DJ42" i="22"/>
  <c r="DL42" i="22" s="1"/>
  <c r="DR30" i="22"/>
  <c r="DT30" i="22" s="1"/>
  <c r="DJ30" i="22"/>
  <c r="DL30" i="22" s="1"/>
  <c r="DN30" i="22"/>
  <c r="DP30" i="22" s="1"/>
  <c r="DR64" i="22"/>
  <c r="DT64" i="22" s="1"/>
  <c r="DN64" i="22"/>
  <c r="DP64" i="22" s="1"/>
  <c r="DJ64" i="22"/>
  <c r="DL64" i="22" s="1"/>
  <c r="DR101" i="22"/>
  <c r="DT101" i="22" s="1"/>
  <c r="DN101" i="22"/>
  <c r="DP101" i="22" s="1"/>
  <c r="DJ101" i="22"/>
  <c r="DL101" i="22" s="1"/>
  <c r="DR5" i="22"/>
  <c r="DT5" i="22" s="1"/>
  <c r="DJ5" i="22"/>
  <c r="DL5" i="22" s="1"/>
  <c r="DN5" i="22"/>
  <c r="DP5" i="22" s="1"/>
  <c r="DR37" i="22"/>
  <c r="DT37" i="22" s="1"/>
  <c r="DN37" i="22"/>
  <c r="DP37" i="22" s="1"/>
  <c r="DJ37" i="22"/>
  <c r="DL37" i="22" s="1"/>
  <c r="DR61" i="22"/>
  <c r="DT61" i="22" s="1"/>
  <c r="DN61" i="22"/>
  <c r="DP61" i="22" s="1"/>
  <c r="DJ61" i="22"/>
  <c r="DL61" i="22" s="1"/>
  <c r="DR85" i="22"/>
  <c r="DT85" i="22" s="1"/>
  <c r="DN85" i="22"/>
  <c r="DP85" i="22" s="1"/>
  <c r="DJ85" i="22"/>
  <c r="DL85" i="22" s="1"/>
  <c r="DR51" i="22"/>
  <c r="DT51" i="22" s="1"/>
  <c r="DN51" i="22"/>
  <c r="DP51" i="22" s="1"/>
  <c r="DJ51" i="22"/>
  <c r="DL51" i="22" s="1"/>
  <c r="DR66" i="22"/>
  <c r="DT66" i="22" s="1"/>
  <c r="DN66" i="22"/>
  <c r="DP66" i="22" s="1"/>
  <c r="DJ66" i="22"/>
  <c r="DL66" i="22" s="1"/>
  <c r="DR70" i="22"/>
  <c r="DT70" i="22" s="1"/>
  <c r="DN70" i="22"/>
  <c r="DP70" i="22" s="1"/>
  <c r="DJ70" i="22"/>
  <c r="DL70" i="22" s="1"/>
  <c r="DR82" i="22"/>
  <c r="DT82" i="22" s="1"/>
  <c r="DN82" i="22"/>
  <c r="DP82" i="22" s="1"/>
  <c r="DJ82" i="22"/>
  <c r="DL82" i="22" s="1"/>
  <c r="DR46" i="22"/>
  <c r="DT46" i="22" s="1"/>
  <c r="DJ46" i="22"/>
  <c r="DL46" i="22" s="1"/>
  <c r="DN46" i="22"/>
  <c r="DP46" i="22" s="1"/>
  <c r="DR10" i="22"/>
  <c r="DT10" i="22" s="1"/>
  <c r="DJ10" i="22"/>
  <c r="DL10" i="22" s="1"/>
  <c r="DN10" i="22"/>
  <c r="DP10" i="22" s="1"/>
  <c r="DR34" i="22"/>
  <c r="DT34" i="22" s="1"/>
  <c r="DJ34" i="22"/>
  <c r="DL34" i="22" s="1"/>
  <c r="DN34" i="22"/>
  <c r="DP34" i="22" s="1"/>
  <c r="DR26" i="22"/>
  <c r="DT26" i="22" s="1"/>
  <c r="DJ26" i="22"/>
  <c r="DL26" i="22" s="1"/>
  <c r="DN26" i="22"/>
  <c r="DP26" i="22" s="1"/>
  <c r="DR22" i="22"/>
  <c r="DT22" i="22" s="1"/>
  <c r="DN22" i="22"/>
  <c r="DP22" i="22" s="1"/>
  <c r="DJ22" i="22"/>
  <c r="DL22" i="22" s="1"/>
  <c r="DR38" i="22"/>
  <c r="DT38" i="22" s="1"/>
  <c r="DJ38" i="22"/>
  <c r="DL38" i="22" s="1"/>
  <c r="DN38" i="22"/>
  <c r="DP38" i="22" s="1"/>
  <c r="DR78" i="22"/>
  <c r="DT78" i="22" s="1"/>
  <c r="DJ78" i="22"/>
  <c r="DL78" i="22" s="1"/>
  <c r="DN78" i="22"/>
  <c r="DP78" i="22" s="1"/>
  <c r="DR106" i="22"/>
  <c r="DT106" i="22" s="1"/>
  <c r="DJ106" i="22"/>
  <c r="DL106" i="22" s="1"/>
  <c r="DN106" i="22"/>
  <c r="DP106" i="22" s="1"/>
  <c r="DR94" i="22"/>
  <c r="DT94" i="22" s="1"/>
  <c r="DJ94" i="22"/>
  <c r="DL94" i="22" s="1"/>
  <c r="DN94" i="22"/>
  <c r="DP94" i="22" s="1"/>
  <c r="DR62" i="22"/>
  <c r="DT62" i="22" s="1"/>
  <c r="DJ62" i="22"/>
  <c r="DL62" i="22" s="1"/>
  <c r="DN62" i="22"/>
  <c r="DP62" i="22" s="1"/>
  <c r="DR72" i="22"/>
  <c r="DT72" i="22" s="1"/>
  <c r="DN72" i="22"/>
  <c r="DP72" i="22" s="1"/>
  <c r="DJ72" i="22"/>
  <c r="DL72" i="22" s="1"/>
  <c r="DR104" i="22"/>
  <c r="DT104" i="22" s="1"/>
  <c r="DN104" i="22"/>
  <c r="DP104" i="22" s="1"/>
  <c r="DJ104" i="22"/>
  <c r="DL104" i="22" s="1"/>
  <c r="DR80" i="22"/>
  <c r="DT80" i="22" s="1"/>
  <c r="DN80" i="22"/>
  <c r="DP80" i="22" s="1"/>
  <c r="DJ80" i="22"/>
  <c r="DL80" i="22" s="1"/>
  <c r="DR53" i="22"/>
  <c r="DT53" i="22" s="1"/>
  <c r="DN53" i="22"/>
  <c r="DP53" i="22" s="1"/>
  <c r="DJ53" i="22"/>
  <c r="DL53" i="22" s="1"/>
  <c r="DR29" i="22"/>
  <c r="DT29" i="22" s="1"/>
  <c r="DN29" i="22"/>
  <c r="DP29" i="22" s="1"/>
  <c r="DJ29" i="22"/>
  <c r="DL29" i="22" s="1"/>
  <c r="DN79" i="22"/>
  <c r="DP79" i="22" s="1"/>
  <c r="DR79" i="22"/>
  <c r="DT79" i="22" s="1"/>
  <c r="DJ79" i="22"/>
  <c r="DL79" i="22" s="1"/>
  <c r="N79" i="32" l="1"/>
  <c r="R77" i="32"/>
  <c r="D29" i="30"/>
  <c r="A30" i="30"/>
  <c r="C30" i="33"/>
  <c r="A31" i="33"/>
  <c r="F10" i="23"/>
  <c r="E10" i="23"/>
  <c r="N81" i="32" l="1"/>
  <c r="R79" i="32"/>
  <c r="A31" i="30"/>
  <c r="D30" i="30"/>
  <c r="A32" i="33"/>
  <c r="C31" i="33"/>
  <c r="F11" i="23"/>
  <c r="E11" i="23"/>
  <c r="S1" i="1"/>
  <c r="N83" i="32" l="1"/>
  <c r="R81" i="32"/>
  <c r="A32" i="30"/>
  <c r="D31" i="30"/>
  <c r="A33" i="33"/>
  <c r="C32" i="33"/>
  <c r="E12" i="23"/>
  <c r="F12" i="23"/>
  <c r="N85" i="32" l="1"/>
  <c r="R83" i="32"/>
  <c r="D32" i="30"/>
  <c r="A33" i="30"/>
  <c r="C33" i="33"/>
  <c r="A34" i="33"/>
  <c r="E13" i="23"/>
  <c r="F13" i="23"/>
  <c r="I2" i="20"/>
  <c r="A109" i="20"/>
  <c r="H109" i="20" s="1"/>
  <c r="B109" i="20"/>
  <c r="C109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3" i="20"/>
  <c r="F14" i="20"/>
  <c r="F12" i="20"/>
  <c r="F11" i="20"/>
  <c r="F10" i="20"/>
  <c r="F9" i="20"/>
  <c r="F8" i="20"/>
  <c r="F7" i="20"/>
  <c r="F6" i="20"/>
  <c r="F5" i="20"/>
  <c r="F4" i="20"/>
  <c r="F3" i="20"/>
  <c r="N87" i="32" l="1"/>
  <c r="R85" i="32"/>
  <c r="A34" i="30"/>
  <c r="D33" i="30"/>
  <c r="C34" i="33"/>
  <c r="A35" i="33"/>
  <c r="G14" i="23"/>
  <c r="F14" i="23"/>
  <c r="E14" i="23"/>
  <c r="I109" i="20"/>
  <c r="E109" i="20"/>
  <c r="B18" i="15"/>
  <c r="N89" i="32" l="1"/>
  <c r="R87" i="32"/>
  <c r="A35" i="30"/>
  <c r="D34" i="30"/>
  <c r="A36" i="33"/>
  <c r="C35" i="33"/>
  <c r="G3" i="23"/>
  <c r="G4" i="23"/>
  <c r="G5" i="23"/>
  <c r="G6" i="23"/>
  <c r="G7" i="23"/>
  <c r="G8" i="23"/>
  <c r="G9" i="23"/>
  <c r="G10" i="23"/>
  <c r="G11" i="23"/>
  <c r="G12" i="23"/>
  <c r="G13" i="23"/>
  <c r="F15" i="23"/>
  <c r="E15" i="23"/>
  <c r="G15" i="23"/>
  <c r="L7" i="14"/>
  <c r="K6" i="14"/>
  <c r="AZ8" i="15"/>
  <c r="AY8" i="15"/>
  <c r="AZ7" i="15"/>
  <c r="AY7" i="15"/>
  <c r="AZ6" i="15"/>
  <c r="AY6" i="15"/>
  <c r="AZ5" i="15"/>
  <c r="AY5" i="15"/>
  <c r="AZ4" i="15"/>
  <c r="Q11" i="15"/>
  <c r="Q9" i="15" s="1"/>
  <c r="N91" i="32" l="1"/>
  <c r="R89" i="32"/>
  <c r="D35" i="30"/>
  <c r="A36" i="30"/>
  <c r="A37" i="33"/>
  <c r="C36" i="33"/>
  <c r="E16" i="23"/>
  <c r="F16" i="23"/>
  <c r="G16" i="23"/>
  <c r="K2" i="14"/>
  <c r="N93" i="32" l="1"/>
  <c r="R91" i="32"/>
  <c r="A37" i="30"/>
  <c r="D36" i="30"/>
  <c r="C37" i="33"/>
  <c r="A38" i="33"/>
  <c r="G17" i="23"/>
  <c r="E17" i="23"/>
  <c r="F17" i="23"/>
  <c r="B8" i="14"/>
  <c r="B7" i="14"/>
  <c r="B6" i="14"/>
  <c r="B4" i="14"/>
  <c r="B3" i="14"/>
  <c r="B2" i="14"/>
  <c r="A5" i="14"/>
  <c r="G5" i="14"/>
  <c r="AE5" i="15"/>
  <c r="AF5" i="15"/>
  <c r="AG5" i="15"/>
  <c r="AE6" i="15"/>
  <c r="AF6" i="15"/>
  <c r="AG6" i="15"/>
  <c r="AE7" i="15"/>
  <c r="AF7" i="15"/>
  <c r="AG7" i="15"/>
  <c r="AE8" i="15"/>
  <c r="AF8" i="15"/>
  <c r="AG8" i="15"/>
  <c r="AE9" i="15"/>
  <c r="AF9" i="15"/>
  <c r="AG9" i="15"/>
  <c r="AE10" i="15"/>
  <c r="AF10" i="15"/>
  <c r="AG10" i="15"/>
  <c r="AE11" i="15"/>
  <c r="AF11" i="15"/>
  <c r="AG11" i="15"/>
  <c r="AE12" i="15"/>
  <c r="AF12" i="15"/>
  <c r="AG12" i="15"/>
  <c r="AE13" i="15"/>
  <c r="AF13" i="15"/>
  <c r="AG13" i="15"/>
  <c r="AE14" i="15"/>
  <c r="AF14" i="15"/>
  <c r="AG14" i="15"/>
  <c r="AE15" i="15"/>
  <c r="AF15" i="15"/>
  <c r="AG15" i="15"/>
  <c r="AE16" i="15"/>
  <c r="AF16" i="15"/>
  <c r="AG16" i="15"/>
  <c r="AE17" i="15"/>
  <c r="AF17" i="15"/>
  <c r="AG17" i="15"/>
  <c r="AE18" i="15"/>
  <c r="AF18" i="15"/>
  <c r="AG18" i="15"/>
  <c r="AE19" i="15"/>
  <c r="AF19" i="15"/>
  <c r="AG19" i="15"/>
  <c r="AE20" i="15"/>
  <c r="AF20" i="15"/>
  <c r="AG20" i="15"/>
  <c r="AE21" i="15"/>
  <c r="AF21" i="15"/>
  <c r="AG21" i="15"/>
  <c r="AE22" i="15"/>
  <c r="AF22" i="15"/>
  <c r="AG22" i="15"/>
  <c r="AE23" i="15"/>
  <c r="AF23" i="15"/>
  <c r="AG23" i="15"/>
  <c r="AE24" i="15"/>
  <c r="AF24" i="15"/>
  <c r="AG24" i="15"/>
  <c r="AE25" i="15"/>
  <c r="AF25" i="15"/>
  <c r="AG25" i="15"/>
  <c r="AE26" i="15"/>
  <c r="AF26" i="15"/>
  <c r="AG26" i="15"/>
  <c r="AE27" i="15"/>
  <c r="AF27" i="15"/>
  <c r="AG27" i="15"/>
  <c r="AE28" i="15"/>
  <c r="AF28" i="15"/>
  <c r="AG28" i="15"/>
  <c r="AE29" i="15"/>
  <c r="AF29" i="15"/>
  <c r="AG29" i="15"/>
  <c r="AE30" i="15"/>
  <c r="AF30" i="15"/>
  <c r="AG30" i="15"/>
  <c r="AE31" i="15"/>
  <c r="AF31" i="15"/>
  <c r="AG31" i="15"/>
  <c r="AE32" i="15"/>
  <c r="AF32" i="15"/>
  <c r="AG32" i="15"/>
  <c r="AE33" i="15"/>
  <c r="AF33" i="15"/>
  <c r="AG33" i="15"/>
  <c r="AE34" i="15"/>
  <c r="AF34" i="15"/>
  <c r="AG34" i="15"/>
  <c r="AE35" i="15"/>
  <c r="AF35" i="15"/>
  <c r="AG35" i="15"/>
  <c r="AE36" i="15"/>
  <c r="AF36" i="15"/>
  <c r="AG36" i="15"/>
  <c r="AE37" i="15"/>
  <c r="AF37" i="15"/>
  <c r="AG37" i="15"/>
  <c r="AE38" i="15"/>
  <c r="AF38" i="15"/>
  <c r="AG38" i="15"/>
  <c r="AE39" i="15"/>
  <c r="AF39" i="15"/>
  <c r="AG39" i="15"/>
  <c r="AE40" i="15"/>
  <c r="AF40" i="15"/>
  <c r="AG40" i="15"/>
  <c r="AE41" i="15"/>
  <c r="AF41" i="15"/>
  <c r="AG41" i="15"/>
  <c r="AE42" i="15"/>
  <c r="AF42" i="15"/>
  <c r="AG42" i="15"/>
  <c r="AE43" i="15"/>
  <c r="AF43" i="15"/>
  <c r="AG43" i="15"/>
  <c r="AE44" i="15"/>
  <c r="AF44" i="15"/>
  <c r="AG44" i="15"/>
  <c r="AE45" i="15"/>
  <c r="AF45" i="15"/>
  <c r="AG45" i="15"/>
  <c r="AE46" i="15"/>
  <c r="AF46" i="15"/>
  <c r="AG46" i="15"/>
  <c r="AE47" i="15"/>
  <c r="AF47" i="15"/>
  <c r="AG47" i="15"/>
  <c r="AE48" i="15"/>
  <c r="AF48" i="15"/>
  <c r="AG48" i="15"/>
  <c r="AE49" i="15"/>
  <c r="AF49" i="15"/>
  <c r="AG49" i="15"/>
  <c r="AE50" i="15"/>
  <c r="AF50" i="15"/>
  <c r="AG50" i="15"/>
  <c r="AE51" i="15"/>
  <c r="AF51" i="15"/>
  <c r="AG51" i="15"/>
  <c r="AE52" i="15"/>
  <c r="AF52" i="15"/>
  <c r="AG52" i="15"/>
  <c r="AE53" i="15"/>
  <c r="AF53" i="15"/>
  <c r="AG53" i="15"/>
  <c r="AE54" i="15"/>
  <c r="AF54" i="15"/>
  <c r="AG54" i="15"/>
  <c r="AE55" i="15"/>
  <c r="AF55" i="15"/>
  <c r="AG55" i="15"/>
  <c r="AE56" i="15"/>
  <c r="AF56" i="15"/>
  <c r="AG56" i="15"/>
  <c r="AE57" i="15"/>
  <c r="AF57" i="15"/>
  <c r="AG57" i="15"/>
  <c r="AE58" i="15"/>
  <c r="AF58" i="15"/>
  <c r="AG58" i="15"/>
  <c r="AE59" i="15"/>
  <c r="AF59" i="15"/>
  <c r="AG59" i="15"/>
  <c r="AE60" i="15"/>
  <c r="AF60" i="15"/>
  <c r="AG60" i="15"/>
  <c r="AE61" i="15"/>
  <c r="AF61" i="15"/>
  <c r="AG61" i="15"/>
  <c r="AE62" i="15"/>
  <c r="AF62" i="15"/>
  <c r="AG62" i="15"/>
  <c r="AE63" i="15"/>
  <c r="AF63" i="15"/>
  <c r="AG63" i="15"/>
  <c r="AE64" i="15"/>
  <c r="AF64" i="15"/>
  <c r="AG64" i="15"/>
  <c r="AE65" i="15"/>
  <c r="AF65" i="15"/>
  <c r="AG65" i="15"/>
  <c r="AE66" i="15"/>
  <c r="AF66" i="15"/>
  <c r="AG66" i="15"/>
  <c r="AE67" i="15"/>
  <c r="AF67" i="15"/>
  <c r="AG67" i="15"/>
  <c r="AE68" i="15"/>
  <c r="AF68" i="15"/>
  <c r="AG68" i="15"/>
  <c r="AE69" i="15"/>
  <c r="AF69" i="15"/>
  <c r="AG69" i="15"/>
  <c r="AE70" i="15"/>
  <c r="AF70" i="15"/>
  <c r="AG70" i="15"/>
  <c r="AE71" i="15"/>
  <c r="AF71" i="15"/>
  <c r="AG71" i="15"/>
  <c r="AE72" i="15"/>
  <c r="AF72" i="15"/>
  <c r="AG72" i="15"/>
  <c r="AE73" i="15"/>
  <c r="AF73" i="15"/>
  <c r="AG73" i="15"/>
  <c r="AE74" i="15"/>
  <c r="AF74" i="15"/>
  <c r="AG74" i="15"/>
  <c r="AE75" i="15"/>
  <c r="AF75" i="15"/>
  <c r="AG75" i="15"/>
  <c r="AE76" i="15"/>
  <c r="AF76" i="15"/>
  <c r="AG76" i="15"/>
  <c r="AE77" i="15"/>
  <c r="AF77" i="15"/>
  <c r="AG77" i="15"/>
  <c r="AE78" i="15"/>
  <c r="AF78" i="15"/>
  <c r="AG78" i="15"/>
  <c r="AE79" i="15"/>
  <c r="AF79" i="15"/>
  <c r="AG79" i="15"/>
  <c r="AE80" i="15"/>
  <c r="AF80" i="15"/>
  <c r="AG80" i="15"/>
  <c r="AE81" i="15"/>
  <c r="AF81" i="15"/>
  <c r="AG81" i="15"/>
  <c r="AE82" i="15"/>
  <c r="AF82" i="15"/>
  <c r="AG82" i="15"/>
  <c r="AE83" i="15"/>
  <c r="AF83" i="15"/>
  <c r="AG83" i="15"/>
  <c r="AE84" i="15"/>
  <c r="AF84" i="15"/>
  <c r="AG84" i="15"/>
  <c r="AE85" i="15"/>
  <c r="AF85" i="15"/>
  <c r="AG85" i="15"/>
  <c r="AE86" i="15"/>
  <c r="AF86" i="15"/>
  <c r="AG86" i="15"/>
  <c r="AE87" i="15"/>
  <c r="AF87" i="15"/>
  <c r="AG87" i="15"/>
  <c r="AE88" i="15"/>
  <c r="AF88" i="15"/>
  <c r="AG88" i="15"/>
  <c r="AE89" i="15"/>
  <c r="AF89" i="15"/>
  <c r="AG89" i="15"/>
  <c r="AE90" i="15"/>
  <c r="AF90" i="15"/>
  <c r="AG90" i="15"/>
  <c r="AE91" i="15"/>
  <c r="AF91" i="15"/>
  <c r="AG91" i="15"/>
  <c r="AE92" i="15"/>
  <c r="AF92" i="15"/>
  <c r="AG92" i="15"/>
  <c r="AE93" i="15"/>
  <c r="AF93" i="15"/>
  <c r="AG93" i="15"/>
  <c r="AE94" i="15"/>
  <c r="AF94" i="15"/>
  <c r="AG94" i="15"/>
  <c r="AE95" i="15"/>
  <c r="AF95" i="15"/>
  <c r="AG95" i="15"/>
  <c r="AE96" i="15"/>
  <c r="AF96" i="15"/>
  <c r="AG96" i="15"/>
  <c r="AE97" i="15"/>
  <c r="AF97" i="15"/>
  <c r="AG97" i="15"/>
  <c r="AE98" i="15"/>
  <c r="AF98" i="15"/>
  <c r="AG98" i="15"/>
  <c r="AE99" i="15"/>
  <c r="AF99" i="15"/>
  <c r="AG99" i="15"/>
  <c r="AE100" i="15"/>
  <c r="AF100" i="15"/>
  <c r="AG100" i="15"/>
  <c r="AE101" i="15"/>
  <c r="AF101" i="15"/>
  <c r="AG101" i="15"/>
  <c r="AE102" i="15"/>
  <c r="AF102" i="15"/>
  <c r="AG102" i="15"/>
  <c r="AE103" i="15"/>
  <c r="AF103" i="15"/>
  <c r="AG103" i="15"/>
  <c r="AE104" i="15"/>
  <c r="AF104" i="15"/>
  <c r="AG104" i="15"/>
  <c r="AE105" i="15"/>
  <c r="AF105" i="15"/>
  <c r="AG105" i="15"/>
  <c r="AE106" i="15"/>
  <c r="AF106" i="15"/>
  <c r="AG106" i="15"/>
  <c r="AE107" i="15"/>
  <c r="AF107" i="15"/>
  <c r="AG107" i="15"/>
  <c r="AE108" i="15"/>
  <c r="AF108" i="15"/>
  <c r="AG108" i="15"/>
  <c r="AE109" i="15"/>
  <c r="AF109" i="15"/>
  <c r="AG109" i="15"/>
  <c r="AF4" i="15"/>
  <c r="AG4" i="15"/>
  <c r="AE4" i="15"/>
  <c r="AC5" i="15"/>
  <c r="AC6" i="15" s="1"/>
  <c r="AC7" i="15" s="1"/>
  <c r="AC8" i="15" s="1"/>
  <c r="AC9" i="15" s="1"/>
  <c r="AC10" i="15" s="1"/>
  <c r="AC11" i="15" s="1"/>
  <c r="AC12" i="15" s="1"/>
  <c r="AC13" i="15" s="1"/>
  <c r="AC14" i="15" s="1"/>
  <c r="AC15" i="15" s="1"/>
  <c r="AC16" i="15" s="1"/>
  <c r="AC17" i="15" s="1"/>
  <c r="AC18" i="15" s="1"/>
  <c r="AC19" i="15" s="1"/>
  <c r="AC20" i="15" s="1"/>
  <c r="AC21" i="15" s="1"/>
  <c r="AC22" i="15" s="1"/>
  <c r="AC23" i="15" s="1"/>
  <c r="AC24" i="15" s="1"/>
  <c r="AC25" i="15" s="1"/>
  <c r="AC26" i="15" s="1"/>
  <c r="AC27" i="15" s="1"/>
  <c r="AC28" i="15" s="1"/>
  <c r="AC29" i="15" s="1"/>
  <c r="AC30" i="15" s="1"/>
  <c r="AC31" i="15" s="1"/>
  <c r="AC32" i="15" s="1"/>
  <c r="AC33" i="15" s="1"/>
  <c r="AC34" i="15" s="1"/>
  <c r="AC35" i="15" s="1"/>
  <c r="AC36" i="15" s="1"/>
  <c r="AC37" i="15" s="1"/>
  <c r="AC38" i="15" s="1"/>
  <c r="AC39" i="15" s="1"/>
  <c r="AC40" i="15" s="1"/>
  <c r="AC41" i="15" s="1"/>
  <c r="AC42" i="15" s="1"/>
  <c r="AC43" i="15" s="1"/>
  <c r="AC44" i="15" s="1"/>
  <c r="AC45" i="15" s="1"/>
  <c r="AC46" i="15" s="1"/>
  <c r="AC47" i="15" s="1"/>
  <c r="AC48" i="15" s="1"/>
  <c r="AC49" i="15" s="1"/>
  <c r="AC50" i="15" s="1"/>
  <c r="AC51" i="15" s="1"/>
  <c r="AC52" i="15" s="1"/>
  <c r="AC53" i="15" s="1"/>
  <c r="AC54" i="15" s="1"/>
  <c r="AC55" i="15" s="1"/>
  <c r="AC56" i="15" s="1"/>
  <c r="AC57" i="15" s="1"/>
  <c r="AC58" i="15" s="1"/>
  <c r="AC59" i="15" s="1"/>
  <c r="AC60" i="15" s="1"/>
  <c r="AC61" i="15" s="1"/>
  <c r="AC62" i="15" s="1"/>
  <c r="AC63" i="15" s="1"/>
  <c r="AC64" i="15" s="1"/>
  <c r="AC65" i="15" s="1"/>
  <c r="AC66" i="15" s="1"/>
  <c r="AC67" i="15" s="1"/>
  <c r="AC68" i="15" s="1"/>
  <c r="AC69" i="15" s="1"/>
  <c r="AC70" i="15" s="1"/>
  <c r="AC71" i="15" s="1"/>
  <c r="AC72" i="15" s="1"/>
  <c r="AC73" i="15" s="1"/>
  <c r="AC74" i="15" s="1"/>
  <c r="AC75" i="15" s="1"/>
  <c r="AC76" i="15" s="1"/>
  <c r="AC77" i="15" s="1"/>
  <c r="AC78" i="15" s="1"/>
  <c r="AC79" i="15" s="1"/>
  <c r="AC80" i="15" s="1"/>
  <c r="AC81" i="15" s="1"/>
  <c r="AC82" i="15" s="1"/>
  <c r="AC83" i="15" s="1"/>
  <c r="AC84" i="15" s="1"/>
  <c r="AC85" i="15" s="1"/>
  <c r="AC86" i="15" s="1"/>
  <c r="AC87" i="15" s="1"/>
  <c r="AC88" i="15" s="1"/>
  <c r="AC89" i="15" s="1"/>
  <c r="AC90" i="15" s="1"/>
  <c r="AC91" i="15" s="1"/>
  <c r="AC92" i="15" s="1"/>
  <c r="AC93" i="15" s="1"/>
  <c r="AC94" i="15" s="1"/>
  <c r="AC95" i="15" s="1"/>
  <c r="AC96" i="15" s="1"/>
  <c r="AC97" i="15" s="1"/>
  <c r="AC98" i="15" s="1"/>
  <c r="AC99" i="15" s="1"/>
  <c r="AC100" i="15" s="1"/>
  <c r="AC101" i="15" s="1"/>
  <c r="AC102" i="15" s="1"/>
  <c r="AC103" i="15" s="1"/>
  <c r="AC104" i="15" s="1"/>
  <c r="AC105" i="15" s="1"/>
  <c r="AC106" i="15" s="1"/>
  <c r="AC107" i="15" s="1"/>
  <c r="AC108" i="15" s="1"/>
  <c r="AC109" i="15" s="1"/>
  <c r="AN5" i="15"/>
  <c r="AN9" i="15"/>
  <c r="AN10" i="15"/>
  <c r="AN11" i="15"/>
  <c r="AN12" i="15"/>
  <c r="AN13" i="15"/>
  <c r="AN14" i="15"/>
  <c r="AN15" i="15"/>
  <c r="AN16" i="15"/>
  <c r="AN17" i="15"/>
  <c r="AN18" i="15"/>
  <c r="AN19" i="15"/>
  <c r="AN20" i="15"/>
  <c r="AN21" i="15"/>
  <c r="AN22" i="15"/>
  <c r="AN23" i="15"/>
  <c r="AN24" i="15"/>
  <c r="AN25" i="15"/>
  <c r="AN26" i="15"/>
  <c r="AN27" i="15"/>
  <c r="AN28" i="15"/>
  <c r="AN29" i="15"/>
  <c r="AN30" i="15"/>
  <c r="AN31" i="15"/>
  <c r="AN32" i="15"/>
  <c r="AN33" i="15"/>
  <c r="AN34" i="15"/>
  <c r="AN35" i="15"/>
  <c r="AN36" i="15"/>
  <c r="AN37" i="15"/>
  <c r="AN38" i="15"/>
  <c r="AN39" i="15"/>
  <c r="AN40" i="15"/>
  <c r="AN41" i="15"/>
  <c r="AN42" i="15"/>
  <c r="AN43" i="15"/>
  <c r="AN44" i="15"/>
  <c r="AN45" i="15"/>
  <c r="AN46" i="15"/>
  <c r="AN47" i="15"/>
  <c r="AN48" i="15"/>
  <c r="AN49" i="15"/>
  <c r="AN50" i="15"/>
  <c r="AN51" i="15"/>
  <c r="AN52" i="15"/>
  <c r="AN53" i="15"/>
  <c r="AN54" i="15"/>
  <c r="AN55" i="15"/>
  <c r="AN56" i="15"/>
  <c r="AN57" i="15"/>
  <c r="AN58" i="15"/>
  <c r="AN59" i="15"/>
  <c r="AN60" i="15"/>
  <c r="AN61" i="15"/>
  <c r="AN62" i="15"/>
  <c r="AN63" i="15"/>
  <c r="AN64" i="15"/>
  <c r="AN65" i="15"/>
  <c r="AN66" i="15"/>
  <c r="AN67" i="15"/>
  <c r="AN68" i="15"/>
  <c r="AN69" i="15"/>
  <c r="AN70" i="15"/>
  <c r="AN71" i="15"/>
  <c r="AN72" i="15"/>
  <c r="AN73" i="15"/>
  <c r="AN74" i="15"/>
  <c r="AN75" i="15"/>
  <c r="AN76" i="15"/>
  <c r="AN77" i="15"/>
  <c r="AN78" i="15"/>
  <c r="AN79" i="15"/>
  <c r="AN80" i="15"/>
  <c r="AN81" i="15"/>
  <c r="AN82" i="15"/>
  <c r="AN83" i="15"/>
  <c r="AN84" i="15"/>
  <c r="AN85" i="15"/>
  <c r="AN86" i="15"/>
  <c r="AN87" i="15"/>
  <c r="AN88" i="15"/>
  <c r="AN89" i="15"/>
  <c r="AN90" i="15"/>
  <c r="AN91" i="15"/>
  <c r="AN92" i="15"/>
  <c r="AN93" i="15"/>
  <c r="AN94" i="15"/>
  <c r="AN95" i="15"/>
  <c r="AN96" i="15"/>
  <c r="AN97" i="15"/>
  <c r="AN98" i="15"/>
  <c r="AN99" i="15"/>
  <c r="AN100" i="15"/>
  <c r="AN101" i="15"/>
  <c r="AN102" i="15"/>
  <c r="AN103" i="15"/>
  <c r="AN104" i="15"/>
  <c r="AN105" i="15"/>
  <c r="AN106" i="15"/>
  <c r="AN107" i="15"/>
  <c r="AN108" i="15"/>
  <c r="AN109" i="15"/>
  <c r="AM5" i="15"/>
  <c r="AM9" i="15"/>
  <c r="AM10" i="15"/>
  <c r="AM11" i="15"/>
  <c r="AM12" i="15"/>
  <c r="AM13" i="15"/>
  <c r="AM14" i="15"/>
  <c r="AM15" i="15"/>
  <c r="AM16" i="15"/>
  <c r="AM17" i="15"/>
  <c r="AM18" i="15"/>
  <c r="AM19" i="15"/>
  <c r="AM20" i="15"/>
  <c r="AM21" i="15"/>
  <c r="AM22" i="15"/>
  <c r="AM23" i="15"/>
  <c r="AM24" i="15"/>
  <c r="AM25" i="15"/>
  <c r="AM26" i="15"/>
  <c r="AM27" i="15"/>
  <c r="AM28" i="15"/>
  <c r="AM29" i="15"/>
  <c r="AM30" i="15"/>
  <c r="AM31" i="15"/>
  <c r="AM32" i="15"/>
  <c r="AM33" i="15"/>
  <c r="AM34" i="15"/>
  <c r="AM35" i="15"/>
  <c r="AM36" i="15"/>
  <c r="AM37" i="15"/>
  <c r="AM38" i="15"/>
  <c r="AM39" i="15"/>
  <c r="AM40" i="15"/>
  <c r="AM41" i="15"/>
  <c r="AM42" i="15"/>
  <c r="AM43" i="15"/>
  <c r="AM44" i="15"/>
  <c r="AM45" i="15"/>
  <c r="AM46" i="15"/>
  <c r="AM47" i="15"/>
  <c r="AM48" i="15"/>
  <c r="AM49" i="15"/>
  <c r="AM50" i="15"/>
  <c r="AM51" i="15"/>
  <c r="AM52" i="15"/>
  <c r="AM53" i="15"/>
  <c r="AM54" i="15"/>
  <c r="AM55" i="15"/>
  <c r="AM56" i="15"/>
  <c r="AM57" i="15"/>
  <c r="AM58" i="15"/>
  <c r="AM59" i="15"/>
  <c r="AM60" i="15"/>
  <c r="AM61" i="15"/>
  <c r="AM62" i="15"/>
  <c r="AM63" i="15"/>
  <c r="AM64" i="15"/>
  <c r="AM65" i="15"/>
  <c r="AM66" i="15"/>
  <c r="AM67" i="15"/>
  <c r="AM68" i="15"/>
  <c r="AM69" i="15"/>
  <c r="AM70" i="15"/>
  <c r="AM71" i="15"/>
  <c r="AM72" i="15"/>
  <c r="AM73" i="15"/>
  <c r="AM74" i="15"/>
  <c r="AM75" i="15"/>
  <c r="AM76" i="15"/>
  <c r="AM77" i="15"/>
  <c r="AM78" i="15"/>
  <c r="AM79" i="15"/>
  <c r="AM80" i="15"/>
  <c r="AM81" i="15"/>
  <c r="AM82" i="15"/>
  <c r="AM83" i="15"/>
  <c r="AM84" i="15"/>
  <c r="AM85" i="15"/>
  <c r="AM86" i="15"/>
  <c r="AM87" i="15"/>
  <c r="AM88" i="15"/>
  <c r="AM89" i="15"/>
  <c r="AM90" i="15"/>
  <c r="AM91" i="15"/>
  <c r="AM92" i="15"/>
  <c r="AM93" i="15"/>
  <c r="AM94" i="15"/>
  <c r="AM95" i="15"/>
  <c r="AM96" i="15"/>
  <c r="AM97" i="15"/>
  <c r="AM98" i="15"/>
  <c r="AM99" i="15"/>
  <c r="AM100" i="15"/>
  <c r="AM101" i="15"/>
  <c r="AM102" i="15"/>
  <c r="AM103" i="15"/>
  <c r="AM104" i="15"/>
  <c r="AM105" i="15"/>
  <c r="AM106" i="15"/>
  <c r="AM107" i="15"/>
  <c r="AM108" i="15"/>
  <c r="AM109" i="15"/>
  <c r="AL9" i="15"/>
  <c r="AL10" i="15"/>
  <c r="AL11" i="15"/>
  <c r="AL12" i="15"/>
  <c r="AL13" i="15"/>
  <c r="AL14" i="15"/>
  <c r="AL15" i="15"/>
  <c r="AL16" i="15"/>
  <c r="AL17" i="15"/>
  <c r="AL18" i="15"/>
  <c r="AL19" i="15"/>
  <c r="AL20" i="15"/>
  <c r="AL21" i="15"/>
  <c r="AL22" i="15"/>
  <c r="AL23" i="15"/>
  <c r="AL24" i="15"/>
  <c r="AL25" i="15"/>
  <c r="AL26" i="15"/>
  <c r="AL27" i="15"/>
  <c r="AL28" i="15"/>
  <c r="AL29" i="15"/>
  <c r="AL30" i="15"/>
  <c r="AL31" i="15"/>
  <c r="AL32" i="15"/>
  <c r="AL33" i="15"/>
  <c r="AL34" i="15"/>
  <c r="AL35" i="15"/>
  <c r="AL36" i="15"/>
  <c r="AL37" i="15"/>
  <c r="AL38" i="15"/>
  <c r="AL39" i="15"/>
  <c r="AL40" i="15"/>
  <c r="AL41" i="15"/>
  <c r="AL42" i="15"/>
  <c r="AL43" i="15"/>
  <c r="AL44" i="15"/>
  <c r="AL45" i="15"/>
  <c r="AL46" i="15"/>
  <c r="AL47" i="15"/>
  <c r="AL48" i="15"/>
  <c r="AL49" i="15"/>
  <c r="AL50" i="15"/>
  <c r="AL51" i="15"/>
  <c r="AL52" i="15"/>
  <c r="AL53" i="15"/>
  <c r="AL54" i="15"/>
  <c r="AL55" i="15"/>
  <c r="AL56" i="15"/>
  <c r="AL57" i="15"/>
  <c r="AL58" i="15"/>
  <c r="AL59" i="15"/>
  <c r="AL60" i="15"/>
  <c r="AL61" i="15"/>
  <c r="AL62" i="15"/>
  <c r="AL63" i="15"/>
  <c r="AL64" i="15"/>
  <c r="AL65" i="15"/>
  <c r="AL66" i="15"/>
  <c r="AL67" i="15"/>
  <c r="AL68" i="15"/>
  <c r="AL69" i="15"/>
  <c r="AL70" i="15"/>
  <c r="AL71" i="15"/>
  <c r="AL72" i="15"/>
  <c r="AL73" i="15"/>
  <c r="AL74" i="15"/>
  <c r="AL75" i="15"/>
  <c r="AL76" i="15"/>
  <c r="AL77" i="15"/>
  <c r="AL78" i="15"/>
  <c r="AL79" i="15"/>
  <c r="AL80" i="15"/>
  <c r="AL81" i="15"/>
  <c r="AL82" i="15"/>
  <c r="AL83" i="15"/>
  <c r="AL84" i="15"/>
  <c r="AL85" i="15"/>
  <c r="AL86" i="15"/>
  <c r="AL87" i="15"/>
  <c r="AL88" i="15"/>
  <c r="AL89" i="15"/>
  <c r="AL90" i="15"/>
  <c r="AL91" i="15"/>
  <c r="AL92" i="15"/>
  <c r="AL93" i="15"/>
  <c r="AL94" i="15"/>
  <c r="AL95" i="15"/>
  <c r="AL96" i="15"/>
  <c r="AL97" i="15"/>
  <c r="AL98" i="15"/>
  <c r="AL99" i="15"/>
  <c r="AL100" i="15"/>
  <c r="AL101" i="15"/>
  <c r="AL102" i="15"/>
  <c r="AL103" i="15"/>
  <c r="AL104" i="15"/>
  <c r="AL105" i="15"/>
  <c r="AL106" i="15"/>
  <c r="AL107" i="15"/>
  <c r="AL108" i="15"/>
  <c r="AL109" i="15"/>
  <c r="AL5" i="15"/>
  <c r="AN4" i="15"/>
  <c r="AM4" i="15"/>
  <c r="AL4" i="15"/>
  <c r="AN6" i="15"/>
  <c r="AJ5" i="15"/>
  <c r="AJ6" i="15" s="1"/>
  <c r="AJ7" i="15" s="1"/>
  <c r="AJ8" i="15" s="1"/>
  <c r="AJ9" i="15" s="1"/>
  <c r="AJ10" i="15" s="1"/>
  <c r="AJ11" i="15" s="1"/>
  <c r="AJ12" i="15" s="1"/>
  <c r="AJ13" i="15" s="1"/>
  <c r="AJ14" i="15" s="1"/>
  <c r="AJ15" i="15" s="1"/>
  <c r="AJ16" i="15" s="1"/>
  <c r="AJ17" i="15" s="1"/>
  <c r="AJ18" i="15" s="1"/>
  <c r="AJ19" i="15" s="1"/>
  <c r="AJ20" i="15" s="1"/>
  <c r="AJ21" i="15" s="1"/>
  <c r="AJ22" i="15" s="1"/>
  <c r="AJ23" i="15" s="1"/>
  <c r="AJ24" i="15" s="1"/>
  <c r="AJ25" i="15" s="1"/>
  <c r="AJ26" i="15" s="1"/>
  <c r="AJ27" i="15" s="1"/>
  <c r="AJ28" i="15" s="1"/>
  <c r="AJ29" i="15" s="1"/>
  <c r="AJ30" i="15" s="1"/>
  <c r="AJ31" i="15" s="1"/>
  <c r="AJ32" i="15" s="1"/>
  <c r="AJ33" i="15" s="1"/>
  <c r="AJ34" i="15" s="1"/>
  <c r="AJ35" i="15" s="1"/>
  <c r="AJ36" i="15" s="1"/>
  <c r="AJ37" i="15" s="1"/>
  <c r="AJ38" i="15" s="1"/>
  <c r="AJ39" i="15" s="1"/>
  <c r="AJ40" i="15" s="1"/>
  <c r="AJ41" i="15" s="1"/>
  <c r="AJ42" i="15" s="1"/>
  <c r="AJ43" i="15" s="1"/>
  <c r="AJ44" i="15" s="1"/>
  <c r="AJ45" i="15" s="1"/>
  <c r="AJ46" i="15" s="1"/>
  <c r="AJ47" i="15" s="1"/>
  <c r="AJ48" i="15" s="1"/>
  <c r="AJ49" i="15" s="1"/>
  <c r="AJ50" i="15" s="1"/>
  <c r="AJ51" i="15" s="1"/>
  <c r="AJ52" i="15" s="1"/>
  <c r="AJ53" i="15" s="1"/>
  <c r="AJ54" i="15" s="1"/>
  <c r="AJ55" i="15" s="1"/>
  <c r="AJ56" i="15" s="1"/>
  <c r="AJ57" i="15" s="1"/>
  <c r="AJ58" i="15" s="1"/>
  <c r="AJ59" i="15" s="1"/>
  <c r="AJ60" i="15" s="1"/>
  <c r="AJ61" i="15" s="1"/>
  <c r="AJ62" i="15" s="1"/>
  <c r="AJ63" i="15" s="1"/>
  <c r="AJ64" i="15" s="1"/>
  <c r="AJ65" i="15" s="1"/>
  <c r="AJ66" i="15" s="1"/>
  <c r="AJ67" i="15" s="1"/>
  <c r="AJ68" i="15" s="1"/>
  <c r="AJ69" i="15" s="1"/>
  <c r="AJ70" i="15" s="1"/>
  <c r="AJ71" i="15" s="1"/>
  <c r="AJ72" i="15" s="1"/>
  <c r="AJ73" i="15" s="1"/>
  <c r="AJ74" i="15" s="1"/>
  <c r="AJ75" i="15" s="1"/>
  <c r="AJ76" i="15" s="1"/>
  <c r="AJ77" i="15" s="1"/>
  <c r="AJ78" i="15" s="1"/>
  <c r="AJ79" i="15" s="1"/>
  <c r="AJ80" i="15" s="1"/>
  <c r="AJ81" i="15" s="1"/>
  <c r="AJ82" i="15" s="1"/>
  <c r="AJ83" i="15" s="1"/>
  <c r="AJ84" i="15" s="1"/>
  <c r="AJ85" i="15" s="1"/>
  <c r="AJ86" i="15" s="1"/>
  <c r="AJ87" i="15" s="1"/>
  <c r="AJ88" i="15" s="1"/>
  <c r="AJ89" i="15" s="1"/>
  <c r="AJ90" i="15" s="1"/>
  <c r="AJ91" i="15" s="1"/>
  <c r="AJ92" i="15" s="1"/>
  <c r="AJ93" i="15" s="1"/>
  <c r="AJ94" i="15" s="1"/>
  <c r="AJ95" i="15" s="1"/>
  <c r="AJ96" i="15" s="1"/>
  <c r="AJ97" i="15" s="1"/>
  <c r="AJ98" i="15" s="1"/>
  <c r="AJ99" i="15" s="1"/>
  <c r="AJ100" i="15" s="1"/>
  <c r="AJ101" i="15" s="1"/>
  <c r="AJ102" i="15" s="1"/>
  <c r="AJ103" i="15" s="1"/>
  <c r="AJ104" i="15" s="1"/>
  <c r="AJ105" i="15" s="1"/>
  <c r="AJ106" i="15" s="1"/>
  <c r="AJ107" i="15" s="1"/>
  <c r="AJ108" i="15" s="1"/>
  <c r="AJ109" i="15" s="1"/>
  <c r="L5" i="14"/>
  <c r="G7" i="14"/>
  <c r="L3" i="14"/>
  <c r="G2" i="14"/>
  <c r="L4" i="14"/>
  <c r="G8" i="14"/>
  <c r="G3" i="14"/>
  <c r="N95" i="32" l="1"/>
  <c r="R93" i="32"/>
  <c r="A38" i="30"/>
  <c r="D37" i="30"/>
  <c r="C38" i="33"/>
  <c r="A39" i="33"/>
  <c r="G18" i="23"/>
  <c r="F18" i="23"/>
  <c r="E18" i="23"/>
  <c r="AL7" i="15"/>
  <c r="AN7" i="15"/>
  <c r="AM7" i="15"/>
  <c r="AL8" i="15"/>
  <c r="AM8" i="15"/>
  <c r="AN8" i="15"/>
  <c r="AL6" i="15"/>
  <c r="AM6" i="15"/>
  <c r="D6" i="15"/>
  <c r="N97" i="32" l="1"/>
  <c r="R95" i="32"/>
  <c r="A39" i="30"/>
  <c r="D38" i="30"/>
  <c r="A40" i="33"/>
  <c r="C39" i="33"/>
  <c r="G19" i="23"/>
  <c r="F19" i="23"/>
  <c r="E19" i="23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A31" i="15"/>
  <c r="AA32" i="15"/>
  <c r="AA33" i="15"/>
  <c r="AA34" i="15"/>
  <c r="AA35" i="15"/>
  <c r="AA36" i="15"/>
  <c r="AA37" i="15"/>
  <c r="AA38" i="15"/>
  <c r="AA39" i="15"/>
  <c r="AA40" i="15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68" i="15"/>
  <c r="AA69" i="15"/>
  <c r="AA70" i="15"/>
  <c r="AA71" i="15"/>
  <c r="AA72" i="15"/>
  <c r="AA73" i="15"/>
  <c r="AA74" i="15"/>
  <c r="AA75" i="15"/>
  <c r="AA76" i="15"/>
  <c r="AA77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106" i="15"/>
  <c r="AA107" i="15"/>
  <c r="AA108" i="15"/>
  <c r="AA109" i="15"/>
  <c r="AA14" i="15"/>
  <c r="AA13" i="15"/>
  <c r="AA10" i="15"/>
  <c r="AA11" i="15"/>
  <c r="AA12" i="15"/>
  <c r="AA9" i="15"/>
  <c r="AA5" i="15"/>
  <c r="AA6" i="15"/>
  <c r="AA7" i="15"/>
  <c r="AA8" i="15"/>
  <c r="AA4" i="15"/>
  <c r="N99" i="32" l="1"/>
  <c r="R97" i="32"/>
  <c r="A40" i="30"/>
  <c r="D39" i="30"/>
  <c r="A41" i="33"/>
  <c r="C40" i="33"/>
  <c r="F20" i="23"/>
  <c r="G20" i="23"/>
  <c r="E20" i="23"/>
  <c r="E5" i="15"/>
  <c r="E3" i="15"/>
  <c r="O2" i="2" s="1"/>
  <c r="N101" i="32" l="1"/>
  <c r="R99" i="32"/>
  <c r="A41" i="30"/>
  <c r="D40" i="30"/>
  <c r="C41" i="33"/>
  <c r="A42" i="33"/>
  <c r="O106" i="29"/>
  <c r="O102" i="29"/>
  <c r="O98" i="29"/>
  <c r="O94" i="29"/>
  <c r="O90" i="29"/>
  <c r="O86" i="29"/>
  <c r="O82" i="29"/>
  <c r="O78" i="29"/>
  <c r="O74" i="29"/>
  <c r="O70" i="29"/>
  <c r="O66" i="29"/>
  <c r="O62" i="29"/>
  <c r="O58" i="29"/>
  <c r="O54" i="29"/>
  <c r="O50" i="29"/>
  <c r="O46" i="29"/>
  <c r="O42" i="29"/>
  <c r="O38" i="29"/>
  <c r="O34" i="29"/>
  <c r="O30" i="29"/>
  <c r="O26" i="29"/>
  <c r="O22" i="29"/>
  <c r="O18" i="29"/>
  <c r="B2" i="29"/>
  <c r="O105" i="29"/>
  <c r="O101" i="29"/>
  <c r="O97" i="29"/>
  <c r="O93" i="29"/>
  <c r="O89" i="29"/>
  <c r="O85" i="29"/>
  <c r="O81" i="29"/>
  <c r="O77" i="29"/>
  <c r="O73" i="29"/>
  <c r="O69" i="29"/>
  <c r="O65" i="29"/>
  <c r="O61" i="29"/>
  <c r="O57" i="29"/>
  <c r="O53" i="29"/>
  <c r="O49" i="29"/>
  <c r="O45" i="29"/>
  <c r="O41" i="29"/>
  <c r="O37" i="29"/>
  <c r="O33" i="29"/>
  <c r="O29" i="29"/>
  <c r="O25" i="29"/>
  <c r="O21" i="29"/>
  <c r="O17" i="29"/>
  <c r="O104" i="29"/>
  <c r="O100" i="29"/>
  <c r="O96" i="29"/>
  <c r="O92" i="29"/>
  <c r="O88" i="29"/>
  <c r="O84" i="29"/>
  <c r="O80" i="29"/>
  <c r="O76" i="29"/>
  <c r="O72" i="29"/>
  <c r="O68" i="29"/>
  <c r="O64" i="29"/>
  <c r="O60" i="29"/>
  <c r="O56" i="29"/>
  <c r="O52" i="29"/>
  <c r="O48" i="29"/>
  <c r="O44" i="29"/>
  <c r="O40" i="29"/>
  <c r="O36" i="29"/>
  <c r="O32" i="29"/>
  <c r="O28" i="29"/>
  <c r="O24" i="29"/>
  <c r="O20" i="29"/>
  <c r="CG2" i="29"/>
  <c r="CG3" i="29" s="1"/>
  <c r="CG4" i="29" s="1"/>
  <c r="CG5" i="29" s="1"/>
  <c r="CG6" i="29" s="1"/>
  <c r="CG7" i="29" s="1"/>
  <c r="CG8" i="29" s="1"/>
  <c r="CG9" i="29" s="1"/>
  <c r="CG10" i="29" s="1"/>
  <c r="CG11" i="29" s="1"/>
  <c r="CG12" i="29" s="1"/>
  <c r="CG13" i="29" s="1"/>
  <c r="CG14" i="29" s="1"/>
  <c r="CG15" i="29" s="1"/>
  <c r="CG16" i="29" s="1"/>
  <c r="CG17" i="29" s="1"/>
  <c r="CG18" i="29" s="1"/>
  <c r="CG19" i="29" s="1"/>
  <c r="CG20" i="29" s="1"/>
  <c r="CG21" i="29" s="1"/>
  <c r="CG22" i="29" s="1"/>
  <c r="CG23" i="29" s="1"/>
  <c r="CG24" i="29" s="1"/>
  <c r="CG25" i="29" s="1"/>
  <c r="CG26" i="29" s="1"/>
  <c r="CG27" i="29" s="1"/>
  <c r="CG28" i="29" s="1"/>
  <c r="CG29" i="29" s="1"/>
  <c r="CG30" i="29" s="1"/>
  <c r="CG31" i="29" s="1"/>
  <c r="CG32" i="29" s="1"/>
  <c r="CG33" i="29" s="1"/>
  <c r="CG34" i="29" s="1"/>
  <c r="CG35" i="29" s="1"/>
  <c r="CG36" i="29" s="1"/>
  <c r="CG37" i="29" s="1"/>
  <c r="CG38" i="29" s="1"/>
  <c r="CG39" i="29" s="1"/>
  <c r="CG40" i="29" s="1"/>
  <c r="CG41" i="29" s="1"/>
  <c r="CG42" i="29" s="1"/>
  <c r="CG43" i="29" s="1"/>
  <c r="CG44" i="29" s="1"/>
  <c r="CG45" i="29" s="1"/>
  <c r="CG46" i="29" s="1"/>
  <c r="CG47" i="29" s="1"/>
  <c r="CG48" i="29" s="1"/>
  <c r="CG49" i="29" s="1"/>
  <c r="CG50" i="29" s="1"/>
  <c r="CG51" i="29" s="1"/>
  <c r="CG52" i="29" s="1"/>
  <c r="CG53" i="29" s="1"/>
  <c r="CG54" i="29" s="1"/>
  <c r="CG55" i="29" s="1"/>
  <c r="CG56" i="29" s="1"/>
  <c r="CG57" i="29" s="1"/>
  <c r="CG58" i="29" s="1"/>
  <c r="CG59" i="29" s="1"/>
  <c r="CG60" i="29" s="1"/>
  <c r="CG61" i="29" s="1"/>
  <c r="CG62" i="29" s="1"/>
  <c r="CG63" i="29" s="1"/>
  <c r="CG64" i="29" s="1"/>
  <c r="CG65" i="29" s="1"/>
  <c r="CG66" i="29" s="1"/>
  <c r="CG67" i="29" s="1"/>
  <c r="CG68" i="29" s="1"/>
  <c r="CG69" i="29" s="1"/>
  <c r="CG70" i="29" s="1"/>
  <c r="CG71" i="29" s="1"/>
  <c r="CG72" i="29" s="1"/>
  <c r="CG73" i="29" s="1"/>
  <c r="CG74" i="29" s="1"/>
  <c r="CG75" i="29" s="1"/>
  <c r="CG76" i="29" s="1"/>
  <c r="CG77" i="29" s="1"/>
  <c r="CG78" i="29" s="1"/>
  <c r="CG79" i="29" s="1"/>
  <c r="CG80" i="29" s="1"/>
  <c r="CG81" i="29" s="1"/>
  <c r="CG82" i="29" s="1"/>
  <c r="CG83" i="29" s="1"/>
  <c r="CG84" i="29" s="1"/>
  <c r="CG85" i="29" s="1"/>
  <c r="CG86" i="29" s="1"/>
  <c r="CG87" i="29" s="1"/>
  <c r="CG88" i="29" s="1"/>
  <c r="CG89" i="29" s="1"/>
  <c r="CG90" i="29" s="1"/>
  <c r="CG91" i="29" s="1"/>
  <c r="CG92" i="29" s="1"/>
  <c r="CG93" i="29" s="1"/>
  <c r="CG94" i="29" s="1"/>
  <c r="CG95" i="29" s="1"/>
  <c r="CG96" i="29" s="1"/>
  <c r="CG97" i="29" s="1"/>
  <c r="CG98" i="29" s="1"/>
  <c r="CG99" i="29" s="1"/>
  <c r="CG100" i="29" s="1"/>
  <c r="CG101" i="29" s="1"/>
  <c r="CG102" i="29" s="1"/>
  <c r="CG103" i="29" s="1"/>
  <c r="CG104" i="29" s="1"/>
  <c r="CG105" i="29" s="1"/>
  <c r="CG106" i="29" s="1"/>
  <c r="CG107" i="29" s="1"/>
  <c r="O107" i="29"/>
  <c r="O103" i="29"/>
  <c r="O99" i="29"/>
  <c r="O95" i="29"/>
  <c r="O91" i="29"/>
  <c r="O87" i="29"/>
  <c r="O83" i="29"/>
  <c r="O79" i="29"/>
  <c r="O75" i="29"/>
  <c r="O71" i="29"/>
  <c r="O67" i="29"/>
  <c r="O63" i="29"/>
  <c r="O59" i="29"/>
  <c r="O55" i="29"/>
  <c r="O51" i="29"/>
  <c r="O47" i="29"/>
  <c r="O43" i="29"/>
  <c r="O39" i="29"/>
  <c r="O35" i="29"/>
  <c r="O31" i="29"/>
  <c r="O27" i="29"/>
  <c r="O23" i="29"/>
  <c r="O19" i="29"/>
  <c r="O2" i="29"/>
  <c r="O20" i="2"/>
  <c r="O24" i="2"/>
  <c r="O28" i="2"/>
  <c r="O32" i="2"/>
  <c r="O36" i="2"/>
  <c r="O40" i="2"/>
  <c r="O44" i="2"/>
  <c r="O48" i="2"/>
  <c r="O52" i="2"/>
  <c r="O56" i="2"/>
  <c r="O60" i="2"/>
  <c r="O64" i="2"/>
  <c r="O68" i="2"/>
  <c r="O72" i="2"/>
  <c r="O76" i="2"/>
  <c r="O80" i="2"/>
  <c r="O84" i="2"/>
  <c r="O88" i="2"/>
  <c r="O96" i="2"/>
  <c r="O97" i="2"/>
  <c r="O30" i="2"/>
  <c r="O38" i="2"/>
  <c r="O50" i="2"/>
  <c r="O62" i="2"/>
  <c r="O74" i="2"/>
  <c r="O82" i="2"/>
  <c r="O94" i="2"/>
  <c r="O106" i="2"/>
  <c r="O17" i="2"/>
  <c r="O21" i="2"/>
  <c r="O25" i="2"/>
  <c r="O29" i="2"/>
  <c r="O33" i="2"/>
  <c r="O37" i="2"/>
  <c r="O41" i="2"/>
  <c r="O45" i="2"/>
  <c r="O49" i="2"/>
  <c r="O53" i="2"/>
  <c r="O57" i="2"/>
  <c r="O61" i="2"/>
  <c r="O65" i="2"/>
  <c r="O69" i="2"/>
  <c r="O73" i="2"/>
  <c r="O77" i="2"/>
  <c r="O81" i="2"/>
  <c r="O85" i="2"/>
  <c r="O89" i="2"/>
  <c r="O105" i="2"/>
  <c r="O22" i="2"/>
  <c r="O42" i="2"/>
  <c r="O58" i="2"/>
  <c r="O70" i="2"/>
  <c r="O86" i="2"/>
  <c r="O102" i="2"/>
  <c r="O19" i="2"/>
  <c r="O23" i="2"/>
  <c r="O27" i="2"/>
  <c r="O31" i="2"/>
  <c r="O35" i="2"/>
  <c r="O39" i="2"/>
  <c r="O43" i="2"/>
  <c r="O47" i="2"/>
  <c r="O51" i="2"/>
  <c r="O55" i="2"/>
  <c r="O59" i="2"/>
  <c r="O63" i="2"/>
  <c r="O67" i="2"/>
  <c r="O71" i="2"/>
  <c r="O75" i="2"/>
  <c r="O79" i="2"/>
  <c r="O83" i="2"/>
  <c r="O87" i="2"/>
  <c r="O91" i="2"/>
  <c r="O95" i="2"/>
  <c r="O99" i="2"/>
  <c r="O103" i="2"/>
  <c r="O107" i="2"/>
  <c r="O92" i="2"/>
  <c r="O100" i="2"/>
  <c r="O104" i="2"/>
  <c r="O93" i="2"/>
  <c r="O101" i="2"/>
  <c r="O18" i="2"/>
  <c r="O26" i="2"/>
  <c r="O34" i="2"/>
  <c r="O46" i="2"/>
  <c r="O54" i="2"/>
  <c r="O66" i="2"/>
  <c r="O78" i="2"/>
  <c r="O90" i="2"/>
  <c r="O98" i="2"/>
  <c r="B2" i="2"/>
  <c r="B3" i="2" s="1"/>
  <c r="BW2" i="23"/>
  <c r="BW3" i="23" s="1"/>
  <c r="BW4" i="23" s="1"/>
  <c r="BW5" i="23" s="1"/>
  <c r="BW6" i="23" s="1"/>
  <c r="BW7" i="23" s="1"/>
  <c r="BW8" i="23" s="1"/>
  <c r="BW9" i="23" s="1"/>
  <c r="BW10" i="23" s="1"/>
  <c r="BW11" i="23" s="1"/>
  <c r="BW12" i="23" s="1"/>
  <c r="BW13" i="23" s="1"/>
  <c r="BW14" i="23" s="1"/>
  <c r="BW15" i="23" s="1"/>
  <c r="BW16" i="23" s="1"/>
  <c r="BW17" i="23" s="1"/>
  <c r="BW18" i="23" s="1"/>
  <c r="BW19" i="23" s="1"/>
  <c r="BW20" i="23" s="1"/>
  <c r="BW21" i="23" s="1"/>
  <c r="BW22" i="23" s="1"/>
  <c r="BW23" i="23" s="1"/>
  <c r="BW24" i="23" s="1"/>
  <c r="BW25" i="23" s="1"/>
  <c r="BW26" i="23" s="1"/>
  <c r="BW27" i="23" s="1"/>
  <c r="BW28" i="23" s="1"/>
  <c r="BW29" i="23" s="1"/>
  <c r="BW30" i="23" s="1"/>
  <c r="BW31" i="23" s="1"/>
  <c r="BW32" i="23" s="1"/>
  <c r="BW33" i="23" s="1"/>
  <c r="BW34" i="23" s="1"/>
  <c r="BW35" i="23" s="1"/>
  <c r="BW36" i="23" s="1"/>
  <c r="BW37" i="23" s="1"/>
  <c r="BW38" i="23" s="1"/>
  <c r="BW39" i="23" s="1"/>
  <c r="BW40" i="23" s="1"/>
  <c r="BW41" i="23" s="1"/>
  <c r="BW42" i="23" s="1"/>
  <c r="BW43" i="23" s="1"/>
  <c r="BW44" i="23" s="1"/>
  <c r="BW45" i="23" s="1"/>
  <c r="BW46" i="23" s="1"/>
  <c r="BW47" i="23" s="1"/>
  <c r="BW48" i="23" s="1"/>
  <c r="BW49" i="23" s="1"/>
  <c r="BW50" i="23" s="1"/>
  <c r="BW51" i="23" s="1"/>
  <c r="BW52" i="23" s="1"/>
  <c r="BW53" i="23" s="1"/>
  <c r="BW54" i="23" s="1"/>
  <c r="BW55" i="23" s="1"/>
  <c r="BW56" i="23" s="1"/>
  <c r="BW57" i="23" s="1"/>
  <c r="BW58" i="23" s="1"/>
  <c r="BW59" i="23" s="1"/>
  <c r="BW60" i="23" s="1"/>
  <c r="BW61" i="23" s="1"/>
  <c r="BW62" i="23" s="1"/>
  <c r="BW63" i="23" s="1"/>
  <c r="BW64" i="23" s="1"/>
  <c r="BW65" i="23" s="1"/>
  <c r="BW66" i="23" s="1"/>
  <c r="BW67" i="23" s="1"/>
  <c r="BW68" i="23" s="1"/>
  <c r="BW69" i="23" s="1"/>
  <c r="BW70" i="23" s="1"/>
  <c r="BW71" i="23" s="1"/>
  <c r="BW72" i="23" s="1"/>
  <c r="BW73" i="23" s="1"/>
  <c r="BW74" i="23" s="1"/>
  <c r="BW75" i="23" s="1"/>
  <c r="BW76" i="23" s="1"/>
  <c r="BW77" i="23" s="1"/>
  <c r="BW78" i="23" s="1"/>
  <c r="BW79" i="23" s="1"/>
  <c r="BW80" i="23" s="1"/>
  <c r="BW81" i="23" s="1"/>
  <c r="BW82" i="23" s="1"/>
  <c r="BW83" i="23" s="1"/>
  <c r="BW84" i="23" s="1"/>
  <c r="BW85" i="23" s="1"/>
  <c r="BW86" i="23" s="1"/>
  <c r="BW87" i="23" s="1"/>
  <c r="BW88" i="23" s="1"/>
  <c r="BW89" i="23" s="1"/>
  <c r="BW90" i="23" s="1"/>
  <c r="BW91" i="23" s="1"/>
  <c r="BW92" i="23" s="1"/>
  <c r="BW93" i="23" s="1"/>
  <c r="BW94" i="23" s="1"/>
  <c r="BW95" i="23" s="1"/>
  <c r="BW96" i="23" s="1"/>
  <c r="BW97" i="23" s="1"/>
  <c r="BW98" i="23" s="1"/>
  <c r="BW99" i="23" s="1"/>
  <c r="BW100" i="23" s="1"/>
  <c r="BW101" i="23" s="1"/>
  <c r="BW102" i="23" s="1"/>
  <c r="BW103" i="23" s="1"/>
  <c r="BW104" i="23" s="1"/>
  <c r="BW105" i="23" s="1"/>
  <c r="BW106" i="23" s="1"/>
  <c r="BW107" i="23" s="1"/>
  <c r="B2" i="23"/>
  <c r="E21" i="23"/>
  <c r="G21" i="23"/>
  <c r="F21" i="23"/>
  <c r="U109" i="15"/>
  <c r="U108" i="15"/>
  <c r="U107" i="15"/>
  <c r="U106" i="15"/>
  <c r="U105" i="15"/>
  <c r="U104" i="15"/>
  <c r="U103" i="15"/>
  <c r="U102" i="15"/>
  <c r="U101" i="15"/>
  <c r="U100" i="15"/>
  <c r="U99" i="15"/>
  <c r="U98" i="15"/>
  <c r="U97" i="15"/>
  <c r="U96" i="15"/>
  <c r="U95" i="15"/>
  <c r="U94" i="15"/>
  <c r="U93" i="15"/>
  <c r="U92" i="15"/>
  <c r="U91" i="15"/>
  <c r="U90" i="15"/>
  <c r="U89" i="15"/>
  <c r="U88" i="15"/>
  <c r="U87" i="15"/>
  <c r="U86" i="15"/>
  <c r="U85" i="15"/>
  <c r="U84" i="15"/>
  <c r="U83" i="15"/>
  <c r="U82" i="15"/>
  <c r="U81" i="15"/>
  <c r="U80" i="15"/>
  <c r="U79" i="15"/>
  <c r="U78" i="15"/>
  <c r="U77" i="15"/>
  <c r="U76" i="15"/>
  <c r="U75" i="15"/>
  <c r="U74" i="15"/>
  <c r="U73" i="15"/>
  <c r="U72" i="15"/>
  <c r="U71" i="15"/>
  <c r="U70" i="15"/>
  <c r="U69" i="15"/>
  <c r="U68" i="15"/>
  <c r="U67" i="15"/>
  <c r="U66" i="15"/>
  <c r="U65" i="15"/>
  <c r="U64" i="15"/>
  <c r="U63" i="15"/>
  <c r="U62" i="15"/>
  <c r="U61" i="15"/>
  <c r="U60" i="15"/>
  <c r="U59" i="15"/>
  <c r="U58" i="15"/>
  <c r="U57" i="15"/>
  <c r="U56" i="15"/>
  <c r="U55" i="15"/>
  <c r="U54" i="15"/>
  <c r="U53" i="15"/>
  <c r="U52" i="15"/>
  <c r="U51" i="15"/>
  <c r="U50" i="15"/>
  <c r="U49" i="15"/>
  <c r="U48" i="15"/>
  <c r="U47" i="15"/>
  <c r="U46" i="15"/>
  <c r="U45" i="15"/>
  <c r="U44" i="15"/>
  <c r="U43" i="15"/>
  <c r="U42" i="15"/>
  <c r="U41" i="15"/>
  <c r="U40" i="15"/>
  <c r="U39" i="15"/>
  <c r="U38" i="15"/>
  <c r="U37" i="15"/>
  <c r="U36" i="15"/>
  <c r="U35" i="15"/>
  <c r="U34" i="15"/>
  <c r="U33" i="15"/>
  <c r="U32" i="15"/>
  <c r="U31" i="15"/>
  <c r="U30" i="15"/>
  <c r="U29" i="15"/>
  <c r="U28" i="15"/>
  <c r="U27" i="15"/>
  <c r="U26" i="15"/>
  <c r="U25" i="15"/>
  <c r="U24" i="15"/>
  <c r="U23" i="15"/>
  <c r="U22" i="15"/>
  <c r="U21" i="15"/>
  <c r="U20" i="15"/>
  <c r="U19" i="15"/>
  <c r="U18" i="15"/>
  <c r="U17" i="15"/>
  <c r="U16" i="15"/>
  <c r="U15" i="15"/>
  <c r="U14" i="15"/>
  <c r="U13" i="15"/>
  <c r="U12" i="15"/>
  <c r="U11" i="15"/>
  <c r="U10" i="15"/>
  <c r="U9" i="15"/>
  <c r="U8" i="15"/>
  <c r="U7" i="15"/>
  <c r="U6" i="15"/>
  <c r="U5" i="15"/>
  <c r="U4" i="15"/>
  <c r="V4" i="15" s="1"/>
  <c r="T5" i="15"/>
  <c r="T6" i="15" s="1"/>
  <c r="T7" i="15" s="1"/>
  <c r="T8" i="15" s="1"/>
  <c r="T9" i="15" s="1"/>
  <c r="T10" i="15" s="1"/>
  <c r="T11" i="15" s="1"/>
  <c r="T12" i="15" s="1"/>
  <c r="T13" i="15" s="1"/>
  <c r="T14" i="15" s="1"/>
  <c r="T15" i="15" s="1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T84" i="15" s="1"/>
  <c r="T85" i="15" s="1"/>
  <c r="T86" i="15" s="1"/>
  <c r="T87" i="15" s="1"/>
  <c r="T88" i="15" s="1"/>
  <c r="T89" i="15" s="1"/>
  <c r="T90" i="15" s="1"/>
  <c r="T91" i="15" s="1"/>
  <c r="T92" i="15" s="1"/>
  <c r="T93" i="15" s="1"/>
  <c r="T94" i="15" s="1"/>
  <c r="T95" i="15" s="1"/>
  <c r="T96" i="15" s="1"/>
  <c r="T97" i="15" s="1"/>
  <c r="T98" i="15" s="1"/>
  <c r="T99" i="15" s="1"/>
  <c r="T100" i="15" s="1"/>
  <c r="T101" i="15" s="1"/>
  <c r="T102" i="15" s="1"/>
  <c r="T103" i="15" s="1"/>
  <c r="T104" i="15" s="1"/>
  <c r="T105" i="15" s="1"/>
  <c r="T106" i="15" s="1"/>
  <c r="T107" i="15" s="1"/>
  <c r="T108" i="15" s="1"/>
  <c r="T109" i="15" s="1"/>
  <c r="BC5" i="15"/>
  <c r="BC6" i="15" s="1"/>
  <c r="BC7" i="15" s="1"/>
  <c r="BC8" i="15" s="1"/>
  <c r="BC9" i="15" s="1"/>
  <c r="BC10" i="15" s="1"/>
  <c r="BC11" i="15" s="1"/>
  <c r="BC12" i="15" s="1"/>
  <c r="BC13" i="15" s="1"/>
  <c r="BC14" i="15" s="1"/>
  <c r="BC15" i="15" s="1"/>
  <c r="BC16" i="15" s="1"/>
  <c r="BC17" i="15" s="1"/>
  <c r="BC18" i="15" s="1"/>
  <c r="BC19" i="15" s="1"/>
  <c r="BC20" i="15" s="1"/>
  <c r="BC21" i="15" s="1"/>
  <c r="BC22" i="15" s="1"/>
  <c r="BC23" i="15" s="1"/>
  <c r="BC24" i="15" s="1"/>
  <c r="BC25" i="15" s="1"/>
  <c r="BC26" i="15" s="1"/>
  <c r="BC27" i="15" s="1"/>
  <c r="BC28" i="15" s="1"/>
  <c r="BC29" i="15" s="1"/>
  <c r="BC30" i="15" s="1"/>
  <c r="BC31" i="15" s="1"/>
  <c r="BC32" i="15" s="1"/>
  <c r="BC33" i="15" s="1"/>
  <c r="E4" i="15"/>
  <c r="E2" i="15"/>
  <c r="D8" i="15"/>
  <c r="B3" i="15"/>
  <c r="B5" i="15"/>
  <c r="B4" i="15"/>
  <c r="A8" i="15"/>
  <c r="B6" i="15"/>
  <c r="B7" i="15"/>
  <c r="D7" i="15"/>
  <c r="B9" i="15"/>
  <c r="D9" i="15"/>
  <c r="B10" i="15"/>
  <c r="D10" i="15"/>
  <c r="B11" i="15"/>
  <c r="D11" i="15"/>
  <c r="B12" i="15"/>
  <c r="D12" i="15"/>
  <c r="N103" i="32" l="1"/>
  <c r="R101" i="32"/>
  <c r="A42" i="30"/>
  <c r="D41" i="30"/>
  <c r="C42" i="33"/>
  <c r="A43" i="33"/>
  <c r="J2" i="29"/>
  <c r="AV2" i="29"/>
  <c r="L2" i="29"/>
  <c r="D2" i="29"/>
  <c r="D3" i="29" s="1"/>
  <c r="D4" i="29" s="1"/>
  <c r="D5" i="29" s="1"/>
  <c r="D6" i="29" s="1"/>
  <c r="D7" i="29" s="1"/>
  <c r="D8" i="29" s="1"/>
  <c r="D9" i="29" s="1"/>
  <c r="D10" i="29" s="1"/>
  <c r="D11" i="29" s="1"/>
  <c r="D12" i="29" s="1"/>
  <c r="D13" i="29" s="1"/>
  <c r="D14" i="29" s="1"/>
  <c r="D15" i="29" s="1"/>
  <c r="D16" i="29" s="1"/>
  <c r="D17" i="29" s="1"/>
  <c r="D18" i="29" s="1"/>
  <c r="D19" i="29" s="1"/>
  <c r="D20" i="29" s="1"/>
  <c r="D21" i="29" s="1"/>
  <c r="D22" i="29" s="1"/>
  <c r="D23" i="29" s="1"/>
  <c r="D24" i="29" s="1"/>
  <c r="D25" i="29" s="1"/>
  <c r="D26" i="29" s="1"/>
  <c r="D27" i="29" s="1"/>
  <c r="D28" i="29" s="1"/>
  <c r="D29" i="29" s="1"/>
  <c r="D30" i="29" s="1"/>
  <c r="D31" i="29" s="1"/>
  <c r="D32" i="29" s="1"/>
  <c r="D33" i="29" s="1"/>
  <c r="D34" i="29" s="1"/>
  <c r="D35" i="29" s="1"/>
  <c r="D36" i="29" s="1"/>
  <c r="D37" i="29" s="1"/>
  <c r="D38" i="29" s="1"/>
  <c r="D39" i="29" s="1"/>
  <c r="D40" i="29" s="1"/>
  <c r="D41" i="29" s="1"/>
  <c r="D42" i="29" s="1"/>
  <c r="D43" i="29" s="1"/>
  <c r="D44" i="29" s="1"/>
  <c r="D45" i="29" s="1"/>
  <c r="D46" i="29" s="1"/>
  <c r="D47" i="29" s="1"/>
  <c r="D48" i="29" s="1"/>
  <c r="D49" i="29" s="1"/>
  <c r="D50" i="29" s="1"/>
  <c r="D51" i="29" s="1"/>
  <c r="D52" i="29" s="1"/>
  <c r="D53" i="29" s="1"/>
  <c r="D54" i="29" s="1"/>
  <c r="D55" i="29" s="1"/>
  <c r="D56" i="29" s="1"/>
  <c r="D57" i="29" s="1"/>
  <c r="D58" i="29" s="1"/>
  <c r="D59" i="29" s="1"/>
  <c r="D60" i="29" s="1"/>
  <c r="D61" i="29" s="1"/>
  <c r="D62" i="29" s="1"/>
  <c r="D63" i="29" s="1"/>
  <c r="D64" i="29" s="1"/>
  <c r="D65" i="29" s="1"/>
  <c r="D66" i="29" s="1"/>
  <c r="D67" i="29" s="1"/>
  <c r="D68" i="29" s="1"/>
  <c r="D69" i="29" s="1"/>
  <c r="D70" i="29" s="1"/>
  <c r="D71" i="29" s="1"/>
  <c r="D72" i="29" s="1"/>
  <c r="D73" i="29" s="1"/>
  <c r="D74" i="29" s="1"/>
  <c r="D75" i="29" s="1"/>
  <c r="D76" i="29" s="1"/>
  <c r="D77" i="29" s="1"/>
  <c r="D78" i="29" s="1"/>
  <c r="D79" i="29" s="1"/>
  <c r="D80" i="29" s="1"/>
  <c r="D81" i="29" s="1"/>
  <c r="D82" i="29" s="1"/>
  <c r="D83" i="29" s="1"/>
  <c r="D84" i="29" s="1"/>
  <c r="D85" i="29" s="1"/>
  <c r="D86" i="29" s="1"/>
  <c r="D87" i="29" s="1"/>
  <c r="D88" i="29" s="1"/>
  <c r="D89" i="29" s="1"/>
  <c r="D90" i="29" s="1"/>
  <c r="D91" i="29" s="1"/>
  <c r="D92" i="29" s="1"/>
  <c r="D93" i="29" s="1"/>
  <c r="D94" i="29" s="1"/>
  <c r="D95" i="29" s="1"/>
  <c r="D96" i="29" s="1"/>
  <c r="D97" i="29" s="1"/>
  <c r="D98" i="29" s="1"/>
  <c r="D99" i="29" s="1"/>
  <c r="D100" i="29" s="1"/>
  <c r="D101" i="29" s="1"/>
  <c r="D102" i="29" s="1"/>
  <c r="D103" i="29" s="1"/>
  <c r="D104" i="29" s="1"/>
  <c r="D105" i="29" s="1"/>
  <c r="D106" i="29" s="1"/>
  <c r="D107" i="29" s="1"/>
  <c r="I2" i="29"/>
  <c r="C2" i="29"/>
  <c r="AB2" i="29" s="1"/>
  <c r="AS2" i="29"/>
  <c r="AP2" i="29"/>
  <c r="K2" i="29"/>
  <c r="B3" i="29"/>
  <c r="P2" i="29"/>
  <c r="AG2" i="29"/>
  <c r="AP2" i="2"/>
  <c r="K2" i="2"/>
  <c r="K3" i="2" s="1"/>
  <c r="C2" i="2"/>
  <c r="C3" i="2" s="1"/>
  <c r="J2" i="2"/>
  <c r="I2" i="2"/>
  <c r="J3" i="2"/>
  <c r="I3" i="2"/>
  <c r="M3" i="2"/>
  <c r="N3" i="2"/>
  <c r="D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AS2" i="2"/>
  <c r="BB2" i="2" s="1"/>
  <c r="AV2" i="2"/>
  <c r="B4" i="2"/>
  <c r="AP3" i="2"/>
  <c r="AV3" i="2"/>
  <c r="AS3" i="2"/>
  <c r="BB3" i="2" s="1"/>
  <c r="B3" i="23"/>
  <c r="C2" i="23"/>
  <c r="K2" i="23" s="1"/>
  <c r="L2" i="23" s="1"/>
  <c r="H2" i="23"/>
  <c r="AK2" i="23"/>
  <c r="AH2" i="23"/>
  <c r="AE2" i="23"/>
  <c r="G22" i="23"/>
  <c r="F22" i="23"/>
  <c r="E22" i="23"/>
  <c r="BC34" i="15"/>
  <c r="BC35" i="15" s="1"/>
  <c r="BC36" i="15" s="1"/>
  <c r="BC37" i="15" s="1"/>
  <c r="BC38" i="15" s="1"/>
  <c r="BC39" i="15" s="1"/>
  <c r="BC40" i="15" s="1"/>
  <c r="BC41" i="15" s="1"/>
  <c r="BC42" i="15" s="1"/>
  <c r="BC43" i="15" s="1"/>
  <c r="BC44" i="15" s="1"/>
  <c r="BC45" i="15" s="1"/>
  <c r="BC46" i="15" s="1"/>
  <c r="BC47" i="15" s="1"/>
  <c r="BC48" i="15" s="1"/>
  <c r="BC49" i="15" s="1"/>
  <c r="BC50" i="15" s="1"/>
  <c r="BC51" i="15" s="1"/>
  <c r="BC52" i="15" s="1"/>
  <c r="BC53" i="15" s="1"/>
  <c r="BC54" i="15" s="1"/>
  <c r="BC55" i="15" s="1"/>
  <c r="BC56" i="15" s="1"/>
  <c r="BC57" i="15" s="1"/>
  <c r="BC58" i="15" s="1"/>
  <c r="BC59" i="15" s="1"/>
  <c r="BC60" i="15" s="1"/>
  <c r="BC61" i="15" s="1"/>
  <c r="BC62" i="15" s="1"/>
  <c r="BC63" i="15" s="1"/>
  <c r="AH109" i="15"/>
  <c r="AH107" i="15"/>
  <c r="AH105" i="15"/>
  <c r="AH103" i="15"/>
  <c r="AH101" i="15"/>
  <c r="AH108" i="15"/>
  <c r="AH106" i="15"/>
  <c r="AH104" i="15"/>
  <c r="AH102" i="15"/>
  <c r="AH100" i="15"/>
  <c r="AH98" i="15"/>
  <c r="AH96" i="15"/>
  <c r="AH94" i="15"/>
  <c r="AH92" i="15"/>
  <c r="AH90" i="15"/>
  <c r="AH88" i="15"/>
  <c r="AH86" i="15"/>
  <c r="AH84" i="15"/>
  <c r="AH82" i="15"/>
  <c r="AH80" i="15"/>
  <c r="AH78" i="15"/>
  <c r="AH76" i="15"/>
  <c r="AH74" i="15"/>
  <c r="AH72" i="15"/>
  <c r="AH70" i="15"/>
  <c r="AH68" i="15"/>
  <c r="AH66" i="15"/>
  <c r="AH64" i="15"/>
  <c r="AH62" i="15"/>
  <c r="AH60" i="15"/>
  <c r="AH58" i="15"/>
  <c r="AH56" i="15"/>
  <c r="AH54" i="15"/>
  <c r="AH52" i="15"/>
  <c r="AH50" i="15"/>
  <c r="AH48" i="15"/>
  <c r="AH46" i="15"/>
  <c r="AH44" i="15"/>
  <c r="AH42" i="15"/>
  <c r="AH40" i="15"/>
  <c r="AH38" i="15"/>
  <c r="AH36" i="15"/>
  <c r="AH34" i="15"/>
  <c r="AH32" i="15"/>
  <c r="AH30" i="15"/>
  <c r="AH28" i="15"/>
  <c r="AH26" i="15"/>
  <c r="AH24" i="15"/>
  <c r="AH22" i="15"/>
  <c r="AH20" i="15"/>
  <c r="AH18" i="15"/>
  <c r="AH16" i="15"/>
  <c r="AH14" i="15"/>
  <c r="AH12" i="15"/>
  <c r="AH10" i="15"/>
  <c r="AH8" i="15"/>
  <c r="AH6" i="15"/>
  <c r="AH45" i="15"/>
  <c r="AH37" i="15"/>
  <c r="AH29" i="15"/>
  <c r="AH21" i="15"/>
  <c r="AH13" i="15"/>
  <c r="AH4" i="15"/>
  <c r="AH99" i="15"/>
  <c r="AH95" i="15"/>
  <c r="AH91" i="15"/>
  <c r="AH87" i="15"/>
  <c r="AH83" i="15"/>
  <c r="AH79" i="15"/>
  <c r="AH75" i="15"/>
  <c r="AH71" i="15"/>
  <c r="AH67" i="15"/>
  <c r="AH63" i="15"/>
  <c r="AH59" i="15"/>
  <c r="AH55" i="15"/>
  <c r="AH51" i="15"/>
  <c r="AH47" i="15"/>
  <c r="AH39" i="15"/>
  <c r="AH23" i="15"/>
  <c r="AH7" i="15"/>
  <c r="AH41" i="15"/>
  <c r="AH33" i="15"/>
  <c r="AH25" i="15"/>
  <c r="AH17" i="15"/>
  <c r="AH9" i="15"/>
  <c r="AH97" i="15"/>
  <c r="AH93" i="15"/>
  <c r="AH89" i="15"/>
  <c r="AH85" i="15"/>
  <c r="AH81" i="15"/>
  <c r="AH77" i="15"/>
  <c r="AH73" i="15"/>
  <c r="AH69" i="15"/>
  <c r="AH65" i="15"/>
  <c r="AH61" i="15"/>
  <c r="AH57" i="15"/>
  <c r="AH53" i="15"/>
  <c r="AH49" i="15"/>
  <c r="AH43" i="15"/>
  <c r="AH35" i="15"/>
  <c r="AH27" i="15"/>
  <c r="AH19" i="15"/>
  <c r="AH11" i="15"/>
  <c r="AH5" i="15"/>
  <c r="AH31" i="15"/>
  <c r="AH15" i="15"/>
  <c r="AO108" i="15"/>
  <c r="AO109" i="15"/>
  <c r="AO107" i="15"/>
  <c r="AO105" i="15"/>
  <c r="AO103" i="15"/>
  <c r="AO101" i="15"/>
  <c r="AO99" i="15"/>
  <c r="AO97" i="15"/>
  <c r="AO95" i="15"/>
  <c r="AO93" i="15"/>
  <c r="AO91" i="15"/>
  <c r="AO89" i="15"/>
  <c r="AO87" i="15"/>
  <c r="AO85" i="15"/>
  <c r="AO83" i="15"/>
  <c r="AO81" i="15"/>
  <c r="AO79" i="15"/>
  <c r="AO77" i="15"/>
  <c r="AO75" i="15"/>
  <c r="AO73" i="15"/>
  <c r="AO71" i="15"/>
  <c r="AO69" i="15"/>
  <c r="AO67" i="15"/>
  <c r="AO65" i="15"/>
  <c r="AO63" i="15"/>
  <c r="AO61" i="15"/>
  <c r="AO59" i="15"/>
  <c r="AO57" i="15"/>
  <c r="AO55" i="15"/>
  <c r="AO53" i="15"/>
  <c r="AO51" i="15"/>
  <c r="AO49" i="15"/>
  <c r="AO47" i="15"/>
  <c r="AO45" i="15"/>
  <c r="AO106" i="15"/>
  <c r="AO98" i="15"/>
  <c r="AO90" i="15"/>
  <c r="AO82" i="15"/>
  <c r="AO74" i="15"/>
  <c r="AO66" i="15"/>
  <c r="AO58" i="15"/>
  <c r="AO50" i="15"/>
  <c r="AO43" i="15"/>
  <c r="AO39" i="15"/>
  <c r="AO35" i="15"/>
  <c r="AO31" i="15"/>
  <c r="AO27" i="15"/>
  <c r="AO23" i="15"/>
  <c r="AO19" i="15"/>
  <c r="AO15" i="15"/>
  <c r="AO11" i="15"/>
  <c r="AO7" i="15"/>
  <c r="AO4" i="15"/>
  <c r="AO8" i="15"/>
  <c r="AO104" i="15"/>
  <c r="AO96" i="15"/>
  <c r="AO88" i="15"/>
  <c r="AO80" i="15"/>
  <c r="AO72" i="15"/>
  <c r="AO64" i="15"/>
  <c r="AO56" i="15"/>
  <c r="AO48" i="15"/>
  <c r="AO42" i="15"/>
  <c r="AO38" i="15"/>
  <c r="AO34" i="15"/>
  <c r="AO30" i="15"/>
  <c r="AO26" i="15"/>
  <c r="AO22" i="15"/>
  <c r="AO18" i="15"/>
  <c r="AO14" i="15"/>
  <c r="AO10" i="15"/>
  <c r="AO6" i="15"/>
  <c r="AO16" i="15"/>
  <c r="AO12" i="15"/>
  <c r="AO102" i="15"/>
  <c r="AO94" i="15"/>
  <c r="AO86" i="15"/>
  <c r="AO78" i="15"/>
  <c r="AO70" i="15"/>
  <c r="AO62" i="15"/>
  <c r="AO54" i="15"/>
  <c r="AO46" i="15"/>
  <c r="AO41" i="15"/>
  <c r="AO37" i="15"/>
  <c r="AO33" i="15"/>
  <c r="AO29" i="15"/>
  <c r="AO25" i="15"/>
  <c r="AO21" i="15"/>
  <c r="AO17" i="15"/>
  <c r="AO13" i="15"/>
  <c r="AO9" i="15"/>
  <c r="AO5" i="15"/>
  <c r="AO100" i="15"/>
  <c r="AO92" i="15"/>
  <c r="AO84" i="15"/>
  <c r="AO76" i="15"/>
  <c r="AO68" i="15"/>
  <c r="AO60" i="15"/>
  <c r="AO52" i="15"/>
  <c r="AO44" i="15"/>
  <c r="AO40" i="15"/>
  <c r="AO36" i="15"/>
  <c r="AO32" i="15"/>
  <c r="AO28" i="15"/>
  <c r="AO24" i="15"/>
  <c r="AO20" i="15"/>
  <c r="X5" i="15"/>
  <c r="W5" i="15"/>
  <c r="V5" i="15"/>
  <c r="X13" i="15"/>
  <c r="W13" i="15"/>
  <c r="V13" i="15"/>
  <c r="X17" i="15"/>
  <c r="V17" i="15"/>
  <c r="W17" i="15"/>
  <c r="X25" i="15"/>
  <c r="W25" i="15"/>
  <c r="V25" i="15"/>
  <c r="X29" i="15"/>
  <c r="W29" i="15"/>
  <c r="V29" i="15"/>
  <c r="X33" i="15"/>
  <c r="Y33" i="15" s="1"/>
  <c r="W33" i="15"/>
  <c r="V33" i="15"/>
  <c r="X37" i="15"/>
  <c r="W37" i="15"/>
  <c r="V37" i="15"/>
  <c r="X45" i="15"/>
  <c r="W45" i="15"/>
  <c r="V45" i="15"/>
  <c r="X49" i="15"/>
  <c r="W49" i="15"/>
  <c r="V49" i="15"/>
  <c r="X53" i="15"/>
  <c r="Y53" i="15" s="1"/>
  <c r="W53" i="15"/>
  <c r="V53" i="15"/>
  <c r="X57" i="15"/>
  <c r="W57" i="15"/>
  <c r="V57" i="15"/>
  <c r="X61" i="15"/>
  <c r="W61" i="15"/>
  <c r="V61" i="15"/>
  <c r="X65" i="15"/>
  <c r="W65" i="15"/>
  <c r="V65" i="15"/>
  <c r="X69" i="15"/>
  <c r="Y69" i="15" s="1"/>
  <c r="W69" i="15"/>
  <c r="V69" i="15"/>
  <c r="X73" i="15"/>
  <c r="W73" i="15"/>
  <c r="V73" i="15"/>
  <c r="X77" i="15"/>
  <c r="W77" i="15"/>
  <c r="V77" i="15"/>
  <c r="X81" i="15"/>
  <c r="W81" i="15"/>
  <c r="V81" i="15"/>
  <c r="X85" i="15"/>
  <c r="Y85" i="15" s="1"/>
  <c r="W85" i="15"/>
  <c r="V85" i="15"/>
  <c r="X89" i="15"/>
  <c r="W89" i="15"/>
  <c r="V89" i="15"/>
  <c r="X93" i="15"/>
  <c r="W93" i="15"/>
  <c r="V93" i="15"/>
  <c r="X97" i="15"/>
  <c r="W97" i="15"/>
  <c r="V97" i="15"/>
  <c r="X101" i="15"/>
  <c r="Y101" i="15" s="1"/>
  <c r="W101" i="15"/>
  <c r="V101" i="15"/>
  <c r="X105" i="15"/>
  <c r="W105" i="15"/>
  <c r="V105" i="15"/>
  <c r="X109" i="15"/>
  <c r="W109" i="15"/>
  <c r="V109" i="15"/>
  <c r="X4" i="15"/>
  <c r="Y4" i="15" s="1"/>
  <c r="W4" i="15"/>
  <c r="X12" i="15"/>
  <c r="Y12" i="15" s="1"/>
  <c r="W12" i="15"/>
  <c r="V12" i="15"/>
  <c r="X20" i="15"/>
  <c r="W20" i="15"/>
  <c r="V20" i="15"/>
  <c r="X28" i="15"/>
  <c r="W28" i="15"/>
  <c r="V28" i="15"/>
  <c r="X36" i="15"/>
  <c r="Y36" i="15" s="1"/>
  <c r="W36" i="15"/>
  <c r="V36" i="15"/>
  <c r="X44" i="15"/>
  <c r="Y44" i="15" s="1"/>
  <c r="W44" i="15"/>
  <c r="V44" i="15"/>
  <c r="X52" i="15"/>
  <c r="W52" i="15"/>
  <c r="V52" i="15"/>
  <c r="X64" i="15"/>
  <c r="W64" i="15"/>
  <c r="V64" i="15"/>
  <c r="X76" i="15"/>
  <c r="Y76" i="15" s="1"/>
  <c r="W76" i="15"/>
  <c r="V76" i="15"/>
  <c r="X108" i="15"/>
  <c r="Y108" i="15" s="1"/>
  <c r="W108" i="15"/>
  <c r="V108" i="15"/>
  <c r="X7" i="15"/>
  <c r="W7" i="15"/>
  <c r="V7" i="15"/>
  <c r="X11" i="15"/>
  <c r="W11" i="15"/>
  <c r="V11" i="15"/>
  <c r="X15" i="15"/>
  <c r="Y15" i="15" s="1"/>
  <c r="V15" i="15"/>
  <c r="W15" i="15"/>
  <c r="X19" i="15"/>
  <c r="V19" i="15"/>
  <c r="W19" i="15"/>
  <c r="X23" i="15"/>
  <c r="W23" i="15"/>
  <c r="V23" i="15"/>
  <c r="X27" i="15"/>
  <c r="W27" i="15"/>
  <c r="V27" i="15"/>
  <c r="X31" i="15"/>
  <c r="Y31" i="15" s="1"/>
  <c r="W31" i="15"/>
  <c r="V31" i="15"/>
  <c r="X35" i="15"/>
  <c r="Y35" i="15" s="1"/>
  <c r="W35" i="15"/>
  <c r="V35" i="15"/>
  <c r="X39" i="15"/>
  <c r="W39" i="15"/>
  <c r="V39" i="15"/>
  <c r="X43" i="15"/>
  <c r="W43" i="15"/>
  <c r="V43" i="15"/>
  <c r="X47" i="15"/>
  <c r="Y47" i="15" s="1"/>
  <c r="W47" i="15"/>
  <c r="V47" i="15"/>
  <c r="X51" i="15"/>
  <c r="W51" i="15"/>
  <c r="V51" i="15"/>
  <c r="X55" i="15"/>
  <c r="W55" i="15"/>
  <c r="V55" i="15"/>
  <c r="X59" i="15"/>
  <c r="W59" i="15"/>
  <c r="V59" i="15"/>
  <c r="X63" i="15"/>
  <c r="Y63" i="15" s="1"/>
  <c r="W63" i="15"/>
  <c r="V63" i="15"/>
  <c r="X67" i="15"/>
  <c r="Y67" i="15" s="1"/>
  <c r="W67" i="15"/>
  <c r="V67" i="15"/>
  <c r="X71" i="15"/>
  <c r="W71" i="15"/>
  <c r="V71" i="15"/>
  <c r="X75" i="15"/>
  <c r="W75" i="15"/>
  <c r="V75" i="15"/>
  <c r="X79" i="15"/>
  <c r="Y79" i="15" s="1"/>
  <c r="W79" i="15"/>
  <c r="V79" i="15"/>
  <c r="X83" i="15"/>
  <c r="Y83" i="15" s="1"/>
  <c r="W83" i="15"/>
  <c r="V83" i="15"/>
  <c r="X87" i="15"/>
  <c r="W87" i="15"/>
  <c r="V87" i="15"/>
  <c r="X91" i="15"/>
  <c r="W91" i="15"/>
  <c r="V91" i="15"/>
  <c r="X95" i="15"/>
  <c r="Y95" i="15" s="1"/>
  <c r="W95" i="15"/>
  <c r="V95" i="15"/>
  <c r="X99" i="15"/>
  <c r="Y99" i="15" s="1"/>
  <c r="W99" i="15"/>
  <c r="V99" i="15"/>
  <c r="X103" i="15"/>
  <c r="W103" i="15"/>
  <c r="V103" i="15"/>
  <c r="X107" i="15"/>
  <c r="W107" i="15"/>
  <c r="V107" i="15"/>
  <c r="X9" i="15"/>
  <c r="Y9" i="15" s="1"/>
  <c r="W9" i="15"/>
  <c r="V9" i="15"/>
  <c r="X21" i="15"/>
  <c r="W21" i="15"/>
  <c r="V21" i="15"/>
  <c r="X41" i="15"/>
  <c r="W41" i="15"/>
  <c r="V41" i="15"/>
  <c r="X8" i="15"/>
  <c r="W8" i="15"/>
  <c r="V8" i="15"/>
  <c r="X16" i="15"/>
  <c r="Y16" i="15" s="1"/>
  <c r="W16" i="15"/>
  <c r="V16" i="15"/>
  <c r="X24" i="15"/>
  <c r="Y24" i="15" s="1"/>
  <c r="W24" i="15"/>
  <c r="V24" i="15"/>
  <c r="X32" i="15"/>
  <c r="W32" i="15"/>
  <c r="V32" i="15"/>
  <c r="X40" i="15"/>
  <c r="W40" i="15"/>
  <c r="V40" i="15"/>
  <c r="X48" i="15"/>
  <c r="Y48" i="15" s="1"/>
  <c r="W48" i="15"/>
  <c r="V48" i="15"/>
  <c r="X56" i="15"/>
  <c r="Y56" i="15" s="1"/>
  <c r="W56" i="15"/>
  <c r="V56" i="15"/>
  <c r="X60" i="15"/>
  <c r="W60" i="15"/>
  <c r="V60" i="15"/>
  <c r="X68" i="15"/>
  <c r="W68" i="15"/>
  <c r="V68" i="15"/>
  <c r="X72" i="15"/>
  <c r="Y72" i="15" s="1"/>
  <c r="W72" i="15"/>
  <c r="V72" i="15"/>
  <c r="X80" i="15"/>
  <c r="Y80" i="15" s="1"/>
  <c r="W80" i="15"/>
  <c r="V80" i="15"/>
  <c r="X84" i="15"/>
  <c r="W84" i="15"/>
  <c r="V84" i="15"/>
  <c r="X88" i="15"/>
  <c r="W88" i="15"/>
  <c r="V88" i="15"/>
  <c r="X92" i="15"/>
  <c r="Y92" i="15" s="1"/>
  <c r="W92" i="15"/>
  <c r="V92" i="15"/>
  <c r="X96" i="15"/>
  <c r="Y96" i="15" s="1"/>
  <c r="W96" i="15"/>
  <c r="V96" i="15"/>
  <c r="X100" i="15"/>
  <c r="W100" i="15"/>
  <c r="V100" i="15"/>
  <c r="X104" i="15"/>
  <c r="W104" i="15"/>
  <c r="V104" i="15"/>
  <c r="X6" i="15"/>
  <c r="Y6" i="15" s="1"/>
  <c r="V6" i="15"/>
  <c r="W6" i="15"/>
  <c r="X10" i="15"/>
  <c r="Y10" i="15" s="1"/>
  <c r="W10" i="15"/>
  <c r="V10" i="15"/>
  <c r="X14" i="15"/>
  <c r="W14" i="15"/>
  <c r="V14" i="15"/>
  <c r="X18" i="15"/>
  <c r="W18" i="15"/>
  <c r="V18" i="15"/>
  <c r="X22" i="15"/>
  <c r="Y22" i="15" s="1"/>
  <c r="W22" i="15"/>
  <c r="V22" i="15"/>
  <c r="X26" i="15"/>
  <c r="Y26" i="15" s="1"/>
  <c r="W26" i="15"/>
  <c r="V26" i="15"/>
  <c r="X30" i="15"/>
  <c r="W30" i="15"/>
  <c r="V30" i="15"/>
  <c r="X34" i="15"/>
  <c r="W34" i="15"/>
  <c r="V34" i="15"/>
  <c r="X38" i="15"/>
  <c r="Y38" i="15" s="1"/>
  <c r="W38" i="15"/>
  <c r="V38" i="15"/>
  <c r="X42" i="15"/>
  <c r="Y42" i="15" s="1"/>
  <c r="W42" i="15"/>
  <c r="V42" i="15"/>
  <c r="X46" i="15"/>
  <c r="W46" i="15"/>
  <c r="V46" i="15"/>
  <c r="X50" i="15"/>
  <c r="W50" i="15"/>
  <c r="V50" i="15"/>
  <c r="X54" i="15"/>
  <c r="Y54" i="15" s="1"/>
  <c r="W54" i="15"/>
  <c r="V54" i="15"/>
  <c r="X58" i="15"/>
  <c r="Y58" i="15" s="1"/>
  <c r="W58" i="15"/>
  <c r="V58" i="15"/>
  <c r="X62" i="15"/>
  <c r="W62" i="15"/>
  <c r="V62" i="15"/>
  <c r="X66" i="15"/>
  <c r="W66" i="15"/>
  <c r="V66" i="15"/>
  <c r="X70" i="15"/>
  <c r="Y70" i="15" s="1"/>
  <c r="W70" i="15"/>
  <c r="V70" i="15"/>
  <c r="X74" i="15"/>
  <c r="Y74" i="15" s="1"/>
  <c r="W74" i="15"/>
  <c r="V74" i="15"/>
  <c r="X78" i="15"/>
  <c r="W78" i="15"/>
  <c r="V78" i="15"/>
  <c r="X82" i="15"/>
  <c r="W82" i="15"/>
  <c r="V82" i="15"/>
  <c r="X86" i="15"/>
  <c r="Y86" i="15" s="1"/>
  <c r="W86" i="15"/>
  <c r="V86" i="15"/>
  <c r="X90" i="15"/>
  <c r="Y90" i="15" s="1"/>
  <c r="W90" i="15"/>
  <c r="V90" i="15"/>
  <c r="X94" i="15"/>
  <c r="W94" i="15"/>
  <c r="V94" i="15"/>
  <c r="X98" i="15"/>
  <c r="W98" i="15"/>
  <c r="V98" i="15"/>
  <c r="X102" i="15"/>
  <c r="Y102" i="15" s="1"/>
  <c r="W102" i="15"/>
  <c r="V102" i="15"/>
  <c r="X106" i="15"/>
  <c r="Y106" i="15" s="1"/>
  <c r="W106" i="15"/>
  <c r="V106" i="15"/>
  <c r="N105" i="32" l="1"/>
  <c r="R103" i="32"/>
  <c r="A43" i="30"/>
  <c r="D42" i="30"/>
  <c r="A44" i="33"/>
  <c r="C43" i="33"/>
  <c r="E2" i="29"/>
  <c r="BI2" i="29" s="1"/>
  <c r="BL2" i="29"/>
  <c r="R2" i="29"/>
  <c r="S2" i="29" s="1"/>
  <c r="T2" i="29" s="1"/>
  <c r="BX2" i="29" s="1"/>
  <c r="AN2" i="29"/>
  <c r="AY2" i="29"/>
  <c r="BB2" i="29"/>
  <c r="H2" i="29"/>
  <c r="F2" i="29"/>
  <c r="G2" i="29"/>
  <c r="AV3" i="29"/>
  <c r="J3" i="29"/>
  <c r="O3" i="29" s="1"/>
  <c r="I3" i="29"/>
  <c r="K3" i="29"/>
  <c r="B4" i="29"/>
  <c r="C3" i="29"/>
  <c r="AB3" i="29" s="1"/>
  <c r="AP3" i="29"/>
  <c r="AS3" i="29"/>
  <c r="N3" i="29"/>
  <c r="M3" i="29"/>
  <c r="AN2" i="2"/>
  <c r="AB2" i="2"/>
  <c r="AB3" i="2"/>
  <c r="K4" i="2"/>
  <c r="J4" i="2"/>
  <c r="I4" i="2"/>
  <c r="O3" i="2"/>
  <c r="M4" i="2"/>
  <c r="N4" i="2"/>
  <c r="C4" i="2"/>
  <c r="B5" i="2"/>
  <c r="AP4" i="2"/>
  <c r="AV4" i="2"/>
  <c r="AS4" i="2"/>
  <c r="BB4" i="2" s="1"/>
  <c r="AC2" i="23"/>
  <c r="AH3" i="23"/>
  <c r="AQ3" i="23" s="1"/>
  <c r="BA2" i="23"/>
  <c r="AE3" i="23"/>
  <c r="BN2" i="23"/>
  <c r="BO2" i="23" s="1"/>
  <c r="AK3" i="23"/>
  <c r="AT2" i="23"/>
  <c r="G2" i="23"/>
  <c r="E2" i="23"/>
  <c r="I2" i="23"/>
  <c r="D2" i="23"/>
  <c r="C3" i="23"/>
  <c r="AT3" i="23" s="1"/>
  <c r="B4" i="23"/>
  <c r="I3" i="23"/>
  <c r="AX2" i="23"/>
  <c r="AN2" i="23"/>
  <c r="AQ2" i="23"/>
  <c r="AN3" i="23"/>
  <c r="J2" i="23"/>
  <c r="M2" i="23"/>
  <c r="G23" i="23"/>
  <c r="F23" i="23"/>
  <c r="E23" i="23"/>
  <c r="Y21" i="15"/>
  <c r="Y51" i="15"/>
  <c r="Y105" i="15"/>
  <c r="Y89" i="15"/>
  <c r="Y73" i="15"/>
  <c r="Y57" i="15"/>
  <c r="Y37" i="15"/>
  <c r="Y13" i="15"/>
  <c r="Y19" i="15"/>
  <c r="Y17" i="15"/>
  <c r="Y94" i="15"/>
  <c r="Y78" i="15"/>
  <c r="Y62" i="15"/>
  <c r="Y46" i="15"/>
  <c r="Y30" i="15"/>
  <c r="Y14" i="15"/>
  <c r="Y100" i="15"/>
  <c r="Y84" i="15"/>
  <c r="Y60" i="15"/>
  <c r="Y32" i="15"/>
  <c r="Y41" i="15"/>
  <c r="Y103" i="15"/>
  <c r="Y87" i="15"/>
  <c r="Y71" i="15"/>
  <c r="Y55" i="15"/>
  <c r="Y39" i="15"/>
  <c r="Y23" i="15"/>
  <c r="Y7" i="15"/>
  <c r="Y52" i="15"/>
  <c r="Y20" i="15"/>
  <c r="Y109" i="15"/>
  <c r="Y93" i="15"/>
  <c r="Y77" i="15"/>
  <c r="Y61" i="15"/>
  <c r="Y45" i="15"/>
  <c r="Y25" i="15"/>
  <c r="Y98" i="15"/>
  <c r="Y82" i="15"/>
  <c r="Y66" i="15"/>
  <c r="Y50" i="15"/>
  <c r="Y34" i="15"/>
  <c r="Y18" i="15"/>
  <c r="Y104" i="15"/>
  <c r="Y88" i="15"/>
  <c r="Y68" i="15"/>
  <c r="Y40" i="15"/>
  <c r="Y8" i="15"/>
  <c r="Y107" i="15"/>
  <c r="Y91" i="15"/>
  <c r="Y75" i="15"/>
  <c r="Y59" i="15"/>
  <c r="Y43" i="15"/>
  <c r="Y27" i="15"/>
  <c r="Y11" i="15"/>
  <c r="Y64" i="15"/>
  <c r="Y28" i="15"/>
  <c r="Y97" i="15"/>
  <c r="Y81" i="15"/>
  <c r="Y65" i="15"/>
  <c r="Y49" i="15"/>
  <c r="Y29" i="15"/>
  <c r="Y5" i="15"/>
  <c r="N107" i="32" l="1"/>
  <c r="R105" i="32"/>
  <c r="A44" i="30"/>
  <c r="D43" i="30"/>
  <c r="A45" i="33"/>
  <c r="C44" i="33"/>
  <c r="E3" i="29"/>
  <c r="BI3" i="29" s="1"/>
  <c r="BL3" i="29"/>
  <c r="AI2" i="29"/>
  <c r="AJ2" i="29" s="1"/>
  <c r="V2" i="29"/>
  <c r="U2" i="29" s="1"/>
  <c r="BM2" i="29"/>
  <c r="BX3" i="29"/>
  <c r="S3" i="29"/>
  <c r="AN3" i="29"/>
  <c r="BE2" i="29"/>
  <c r="R3" i="29"/>
  <c r="AO2" i="29"/>
  <c r="BO2" i="29" s="1"/>
  <c r="L3" i="29"/>
  <c r="G3" i="29" s="1"/>
  <c r="Q2" i="29"/>
  <c r="AK2" i="29"/>
  <c r="AL2" i="29" s="1"/>
  <c r="BG2" i="29"/>
  <c r="BF2" i="29" s="1"/>
  <c r="B5" i="29"/>
  <c r="AS4" i="29"/>
  <c r="BX4" i="29"/>
  <c r="I4" i="29"/>
  <c r="AP4" i="29"/>
  <c r="AV4" i="29"/>
  <c r="N4" i="29"/>
  <c r="M4" i="29"/>
  <c r="K4" i="29"/>
  <c r="J4" i="29"/>
  <c r="O4" i="29" s="1"/>
  <c r="C4" i="29"/>
  <c r="AN4" i="29" s="1"/>
  <c r="AY3" i="29"/>
  <c r="BB3" i="29"/>
  <c r="BD2" i="29"/>
  <c r="BC2" i="29"/>
  <c r="AB4" i="2"/>
  <c r="K5" i="2"/>
  <c r="O4" i="2"/>
  <c r="I5" i="2"/>
  <c r="J5" i="2"/>
  <c r="M5" i="2"/>
  <c r="N5" i="2"/>
  <c r="C5" i="2"/>
  <c r="AP5" i="2"/>
  <c r="AV5" i="2"/>
  <c r="AS5" i="2"/>
  <c r="BB5" i="2" s="1"/>
  <c r="B6" i="2"/>
  <c r="K3" i="23"/>
  <c r="L3" i="23" s="1"/>
  <c r="M3" i="23" s="1"/>
  <c r="Q3" i="23" s="1"/>
  <c r="R3" i="23" s="1"/>
  <c r="BB2" i="23"/>
  <c r="Z2" i="23"/>
  <c r="AA2" i="23" s="1"/>
  <c r="AY2" i="23" s="1"/>
  <c r="S2" i="23"/>
  <c r="T2" i="23" s="1"/>
  <c r="AL2" i="23" s="1"/>
  <c r="Q2" i="23"/>
  <c r="R2" i="23" s="1"/>
  <c r="AI2" i="23" s="1"/>
  <c r="AX3" i="23"/>
  <c r="BA3" i="23"/>
  <c r="AC3" i="23"/>
  <c r="C4" i="23"/>
  <c r="AT4" i="23" s="1"/>
  <c r="B5" i="23"/>
  <c r="I4" i="23"/>
  <c r="AK4" i="23"/>
  <c r="AH4" i="23"/>
  <c r="AE4" i="23"/>
  <c r="D3" i="23"/>
  <c r="AR3" i="23"/>
  <c r="AS3" i="23"/>
  <c r="AS2" i="23"/>
  <c r="AR2" i="23"/>
  <c r="X2" i="23"/>
  <c r="Y2" i="23" s="1"/>
  <c r="O2" i="23"/>
  <c r="AD2" i="23"/>
  <c r="BD2" i="23" s="1"/>
  <c r="E24" i="23"/>
  <c r="F24" i="23"/>
  <c r="G24" i="23"/>
  <c r="CG2" i="2"/>
  <c r="CG3" i="2" s="1"/>
  <c r="CG4" i="2" s="1"/>
  <c r="CG5" i="2" s="1"/>
  <c r="CG6" i="2" s="1"/>
  <c r="CG7" i="2" s="1"/>
  <c r="CG8" i="2" s="1"/>
  <c r="CG9" i="2" s="1"/>
  <c r="CG10" i="2" s="1"/>
  <c r="CG11" i="2" s="1"/>
  <c r="CG12" i="2" s="1"/>
  <c r="CG13" i="2" s="1"/>
  <c r="CG14" i="2" s="1"/>
  <c r="CG15" i="2" s="1"/>
  <c r="CG16" i="2" s="1"/>
  <c r="CG17" i="2" s="1"/>
  <c r="CG18" i="2" s="1"/>
  <c r="CG19" i="2" s="1"/>
  <c r="CG20" i="2" s="1"/>
  <c r="CG21" i="2" s="1"/>
  <c r="CG22" i="2" s="1"/>
  <c r="CG23" i="2" s="1"/>
  <c r="CG24" i="2" s="1"/>
  <c r="CG25" i="2" s="1"/>
  <c r="CG26" i="2" s="1"/>
  <c r="CG27" i="2" s="1"/>
  <c r="CG28" i="2" s="1"/>
  <c r="CG29" i="2" s="1"/>
  <c r="CG30" i="2" s="1"/>
  <c r="CG31" i="2" s="1"/>
  <c r="CG32" i="2" s="1"/>
  <c r="CG33" i="2" s="1"/>
  <c r="CG34" i="2" s="1"/>
  <c r="CG35" i="2" s="1"/>
  <c r="CG36" i="2" s="1"/>
  <c r="CG37" i="2" s="1"/>
  <c r="CG38" i="2" s="1"/>
  <c r="CG39" i="2" s="1"/>
  <c r="CG40" i="2" s="1"/>
  <c r="CG41" i="2" s="1"/>
  <c r="CG42" i="2" s="1"/>
  <c r="CG43" i="2" s="1"/>
  <c r="CG44" i="2" s="1"/>
  <c r="CG45" i="2" s="1"/>
  <c r="CG46" i="2" s="1"/>
  <c r="CG47" i="2" s="1"/>
  <c r="CG48" i="2" s="1"/>
  <c r="CG49" i="2" s="1"/>
  <c r="CG50" i="2" s="1"/>
  <c r="CG51" i="2" s="1"/>
  <c r="CG52" i="2" s="1"/>
  <c r="CG53" i="2" s="1"/>
  <c r="CG54" i="2" s="1"/>
  <c r="W2" i="29" l="1"/>
  <c r="N109" i="32"/>
  <c r="R107" i="32"/>
  <c r="A45" i="30"/>
  <c r="D44" i="30"/>
  <c r="C45" i="33"/>
  <c r="A46" i="33"/>
  <c r="T3" i="29"/>
  <c r="AK3" i="29" s="1"/>
  <c r="AL3" i="29" s="1"/>
  <c r="BJ3" i="29" s="1"/>
  <c r="BE3" i="29"/>
  <c r="F3" i="29"/>
  <c r="S4" i="29"/>
  <c r="H3" i="29"/>
  <c r="BH2" i="29"/>
  <c r="E4" i="29"/>
  <c r="BI4" i="29" s="1"/>
  <c r="BL4" i="29"/>
  <c r="P3" i="29"/>
  <c r="AG3" i="29"/>
  <c r="BD3" i="29" s="1"/>
  <c r="L4" i="29"/>
  <c r="G4" i="29" s="1"/>
  <c r="BJ2" i="29"/>
  <c r="BR2" i="29" s="1"/>
  <c r="BK2" i="29"/>
  <c r="BS2" i="29" s="1"/>
  <c r="X2" i="29"/>
  <c r="Y2" i="29" s="1"/>
  <c r="Z2" i="29"/>
  <c r="AA2" i="29" s="1"/>
  <c r="AR2" i="29"/>
  <c r="AQ2" i="29"/>
  <c r="R4" i="29"/>
  <c r="AB4" i="29"/>
  <c r="BB4" i="29"/>
  <c r="AY4" i="29"/>
  <c r="N5" i="29"/>
  <c r="M5" i="29"/>
  <c r="K5" i="29"/>
  <c r="J5" i="29"/>
  <c r="O5" i="29" s="1"/>
  <c r="I5" i="29"/>
  <c r="C5" i="29"/>
  <c r="BL5" i="29" s="1"/>
  <c r="B6" i="29"/>
  <c r="AS5" i="29"/>
  <c r="BX5" i="29"/>
  <c r="AP5" i="29"/>
  <c r="AV5" i="29"/>
  <c r="AB5" i="2"/>
  <c r="K6" i="2"/>
  <c r="O5" i="2"/>
  <c r="J6" i="2"/>
  <c r="I6" i="2"/>
  <c r="M6" i="2"/>
  <c r="N6" i="2"/>
  <c r="C6" i="2"/>
  <c r="AP6" i="2"/>
  <c r="AV6" i="2"/>
  <c r="B7" i="2"/>
  <c r="AS6" i="2"/>
  <c r="BB6" i="2" s="1"/>
  <c r="BB3" i="23"/>
  <c r="O3" i="23"/>
  <c r="P3" i="23" s="1"/>
  <c r="J3" i="23"/>
  <c r="X3" i="23"/>
  <c r="Y3" i="23" s="1"/>
  <c r="AV3" i="23" s="1"/>
  <c r="AU3" i="23" s="1"/>
  <c r="AD3" i="23"/>
  <c r="BD3" i="23" s="1"/>
  <c r="Z3" i="23"/>
  <c r="AA3" i="23" s="1"/>
  <c r="AZ3" i="23" s="1"/>
  <c r="K4" i="23"/>
  <c r="L4" i="23" s="1"/>
  <c r="J4" i="23" s="1"/>
  <c r="S3" i="23"/>
  <c r="T3" i="23" s="1"/>
  <c r="AM3" i="23" s="1"/>
  <c r="BA4" i="23"/>
  <c r="AZ2" i="23"/>
  <c r="AM2" i="23"/>
  <c r="AJ2" i="23"/>
  <c r="AX4" i="23"/>
  <c r="AC4" i="23"/>
  <c r="C5" i="23"/>
  <c r="AX5" i="23" s="1"/>
  <c r="B6" i="23"/>
  <c r="I5" i="23"/>
  <c r="AK5" i="23"/>
  <c r="AH5" i="23"/>
  <c r="AE5" i="23"/>
  <c r="AI3" i="23"/>
  <c r="AJ3" i="23"/>
  <c r="AQ4" i="23"/>
  <c r="AN4" i="23"/>
  <c r="D4" i="23"/>
  <c r="AV2" i="23"/>
  <c r="AU2" i="23" s="1"/>
  <c r="AW2" i="23"/>
  <c r="BG2" i="23" s="1"/>
  <c r="P2" i="23"/>
  <c r="N2" i="23"/>
  <c r="E25" i="23"/>
  <c r="G25" i="23"/>
  <c r="F25" i="23"/>
  <c r="A2" i="19"/>
  <c r="A3" i="20"/>
  <c r="CG55" i="2"/>
  <c r="CG56" i="2" s="1"/>
  <c r="CG57" i="2" s="1"/>
  <c r="CG58" i="2" s="1"/>
  <c r="CG59" i="2" s="1"/>
  <c r="CG60" i="2" s="1"/>
  <c r="CG61" i="2" s="1"/>
  <c r="CG62" i="2" s="1"/>
  <c r="CG63" i="2" s="1"/>
  <c r="CG64" i="2" s="1"/>
  <c r="CG65" i="2" s="1"/>
  <c r="CG66" i="2" s="1"/>
  <c r="CG67" i="2" s="1"/>
  <c r="CG68" i="2" s="1"/>
  <c r="CG69" i="2" s="1"/>
  <c r="CG70" i="2" s="1"/>
  <c r="CG71" i="2" s="1"/>
  <c r="CG72" i="2" s="1"/>
  <c r="CG73" i="2" s="1"/>
  <c r="CG74" i="2" s="1"/>
  <c r="CG75" i="2" s="1"/>
  <c r="CG76" i="2" s="1"/>
  <c r="CG77" i="2" s="1"/>
  <c r="CG78" i="2" s="1"/>
  <c r="CG79" i="2" s="1"/>
  <c r="CG80" i="2" s="1"/>
  <c r="CG81" i="2" s="1"/>
  <c r="CG82" i="2" s="1"/>
  <c r="CG83" i="2" s="1"/>
  <c r="CG84" i="2" s="1"/>
  <c r="CG85" i="2" s="1"/>
  <c r="CG86" i="2" s="1"/>
  <c r="CG87" i="2" s="1"/>
  <c r="CG88" i="2" s="1"/>
  <c r="CG89" i="2" s="1"/>
  <c r="CG90" i="2" s="1"/>
  <c r="CG91" i="2" s="1"/>
  <c r="CG92" i="2" s="1"/>
  <c r="CG93" i="2" s="1"/>
  <c r="CG94" i="2" s="1"/>
  <c r="CG95" i="2" s="1"/>
  <c r="CG96" i="2" s="1"/>
  <c r="CG97" i="2" s="1"/>
  <c r="CG98" i="2" s="1"/>
  <c r="CG99" i="2" s="1"/>
  <c r="CG100" i="2" s="1"/>
  <c r="CG101" i="2" s="1"/>
  <c r="CG102" i="2" s="1"/>
  <c r="CG103" i="2" s="1"/>
  <c r="CG104" i="2" s="1"/>
  <c r="CG105" i="2" s="1"/>
  <c r="CG106" i="2" s="1"/>
  <c r="CG107" i="2" s="1"/>
  <c r="A10" i="14"/>
  <c r="N111" i="32" l="1"/>
  <c r="R109" i="32"/>
  <c r="D45" i="30"/>
  <c r="A46" i="30"/>
  <c r="C46" i="33"/>
  <c r="A47" i="33"/>
  <c r="V3" i="29"/>
  <c r="W3" i="29" s="1"/>
  <c r="AQ3" i="29" s="1"/>
  <c r="H4" i="29"/>
  <c r="S5" i="29"/>
  <c r="T4" i="29"/>
  <c r="BM4" i="29" s="1"/>
  <c r="E5" i="29"/>
  <c r="BI5" i="29" s="1"/>
  <c r="L5" i="29"/>
  <c r="P5" i="29" s="1"/>
  <c r="AN5" i="29"/>
  <c r="AO3" i="29"/>
  <c r="BO3" i="29" s="1"/>
  <c r="AI3" i="29"/>
  <c r="AJ3" i="29" s="1"/>
  <c r="BH3" i="29" s="1"/>
  <c r="BR3" i="29" s="1"/>
  <c r="BM3" i="29"/>
  <c r="Q3" i="29"/>
  <c r="BE4" i="29"/>
  <c r="F4" i="29"/>
  <c r="BK3" i="29"/>
  <c r="BC3" i="29"/>
  <c r="P4" i="29"/>
  <c r="AG4" i="29"/>
  <c r="BC4" i="29" s="1"/>
  <c r="R5" i="29"/>
  <c r="AB5" i="29"/>
  <c r="AT2" i="29"/>
  <c r="AU2" i="29"/>
  <c r="AY5" i="29"/>
  <c r="BB5" i="29"/>
  <c r="C6" i="29"/>
  <c r="AB6" i="29" s="1"/>
  <c r="B7" i="29"/>
  <c r="AS6" i="29"/>
  <c r="BX6" i="29"/>
  <c r="AP6" i="29"/>
  <c r="K6" i="29"/>
  <c r="AV6" i="29"/>
  <c r="N6" i="29"/>
  <c r="M6" i="29"/>
  <c r="J6" i="29"/>
  <c r="O6" i="29" s="1"/>
  <c r="I6" i="29"/>
  <c r="AW2" i="29"/>
  <c r="AX2" i="29"/>
  <c r="AB6" i="2"/>
  <c r="K7" i="2"/>
  <c r="J7" i="2"/>
  <c r="I7" i="2"/>
  <c r="O6" i="2"/>
  <c r="M7" i="2"/>
  <c r="N7" i="2"/>
  <c r="N3" i="23"/>
  <c r="C7" i="2"/>
  <c r="AP7" i="2"/>
  <c r="AS7" i="2"/>
  <c r="BB7" i="2" s="1"/>
  <c r="AV7" i="2"/>
  <c r="B8" i="2"/>
  <c r="E2" i="2"/>
  <c r="BI2" i="2" s="1"/>
  <c r="AW3" i="23"/>
  <c r="M4" i="23"/>
  <c r="BB4" i="23" s="1"/>
  <c r="AY3" i="23"/>
  <c r="AL3" i="23"/>
  <c r="K5" i="23"/>
  <c r="L5" i="23" s="1"/>
  <c r="M5" i="23" s="1"/>
  <c r="BH3" i="23"/>
  <c r="BH2" i="23"/>
  <c r="R2" i="2"/>
  <c r="S2" i="2" s="1"/>
  <c r="S3" i="2" s="1"/>
  <c r="S4" i="2" s="1"/>
  <c r="S5" i="2" s="1"/>
  <c r="S6" i="2" s="1"/>
  <c r="AT5" i="23"/>
  <c r="AC5" i="23"/>
  <c r="BA5" i="23"/>
  <c r="AS4" i="23"/>
  <c r="AR4" i="23"/>
  <c r="AQ5" i="23"/>
  <c r="AN5" i="23"/>
  <c r="D5" i="23"/>
  <c r="B7" i="23"/>
  <c r="C6" i="23"/>
  <c r="AX6" i="23" s="1"/>
  <c r="I6" i="23"/>
  <c r="AH6" i="23"/>
  <c r="AE6" i="23"/>
  <c r="AK6" i="23"/>
  <c r="AF3" i="23"/>
  <c r="AG3" i="23"/>
  <c r="AF2" i="23"/>
  <c r="AG2" i="23"/>
  <c r="G26" i="23"/>
  <c r="E26" i="23"/>
  <c r="F26" i="23"/>
  <c r="BL2" i="2"/>
  <c r="AY2" i="2"/>
  <c r="A4" i="20"/>
  <c r="I4" i="20" s="1"/>
  <c r="I3" i="20"/>
  <c r="A3" i="19"/>
  <c r="B10" i="14"/>
  <c r="A11" i="14"/>
  <c r="N113" i="32" l="1"/>
  <c r="R111" i="32"/>
  <c r="A47" i="30"/>
  <c r="D46" i="30"/>
  <c r="A48" i="33"/>
  <c r="C47" i="33"/>
  <c r="Z3" i="29"/>
  <c r="AA3" i="29" s="1"/>
  <c r="AX3" i="29" s="1"/>
  <c r="AR3" i="29"/>
  <c r="X3" i="29"/>
  <c r="Y3" i="29" s="1"/>
  <c r="AU3" i="29" s="1"/>
  <c r="T5" i="29"/>
  <c r="BM5" i="29" s="1"/>
  <c r="AG5" i="29"/>
  <c r="BC5" i="29" s="1"/>
  <c r="V4" i="29"/>
  <c r="U4" i="29" s="1"/>
  <c r="S6" i="29"/>
  <c r="AK4" i="29"/>
  <c r="AL4" i="29" s="1"/>
  <c r="BK4" i="29" s="1"/>
  <c r="AI4" i="29"/>
  <c r="AJ4" i="29" s="1"/>
  <c r="BH4" i="29" s="1"/>
  <c r="Q4" i="29"/>
  <c r="AO4" i="29"/>
  <c r="BO4" i="29" s="1"/>
  <c r="BE5" i="29"/>
  <c r="U3" i="29"/>
  <c r="F5" i="29"/>
  <c r="G5" i="29"/>
  <c r="H5" i="29"/>
  <c r="BG3" i="29"/>
  <c r="BF3" i="29" s="1"/>
  <c r="BS3" i="29" s="1"/>
  <c r="E6" i="29"/>
  <c r="BE6" i="29" s="1"/>
  <c r="BL6" i="29"/>
  <c r="AO5" i="29"/>
  <c r="BO5" i="29" s="1"/>
  <c r="R6" i="29"/>
  <c r="BD4" i="29"/>
  <c r="BB6" i="29"/>
  <c r="AY6" i="29"/>
  <c r="AV7" i="29"/>
  <c r="J7" i="29"/>
  <c r="O7" i="29" s="1"/>
  <c r="AS7" i="29"/>
  <c r="K7" i="29"/>
  <c r="AP7" i="29"/>
  <c r="M7" i="29"/>
  <c r="I7" i="29"/>
  <c r="S7" i="29" s="1"/>
  <c r="C7" i="29"/>
  <c r="AN7" i="29" s="1"/>
  <c r="N7" i="29"/>
  <c r="B8" i="29"/>
  <c r="L6" i="29"/>
  <c r="AN6" i="29"/>
  <c r="S7" i="2"/>
  <c r="AB7" i="2"/>
  <c r="X4" i="23"/>
  <c r="Y4" i="23" s="1"/>
  <c r="AV4" i="23" s="1"/>
  <c r="AU4" i="23" s="1"/>
  <c r="K8" i="2"/>
  <c r="O7" i="2"/>
  <c r="J8" i="2"/>
  <c r="I8" i="2"/>
  <c r="M8" i="2"/>
  <c r="N8" i="2"/>
  <c r="C8" i="2"/>
  <c r="AP8" i="2"/>
  <c r="AV8" i="2"/>
  <c r="AS8" i="2"/>
  <c r="BB8" i="2" s="1"/>
  <c r="B9" i="2"/>
  <c r="BE2" i="2"/>
  <c r="BG3" i="23"/>
  <c r="BL3" i="2"/>
  <c r="E3" i="2"/>
  <c r="BI3" i="2" s="1"/>
  <c r="R3" i="2"/>
  <c r="T2" i="2"/>
  <c r="S4" i="23"/>
  <c r="T4" i="23" s="1"/>
  <c r="AL4" i="23" s="1"/>
  <c r="O4" i="23"/>
  <c r="N4" i="23" s="1"/>
  <c r="AD4" i="23"/>
  <c r="BD4" i="23" s="1"/>
  <c r="Q4" i="23"/>
  <c r="R4" i="23" s="1"/>
  <c r="AI4" i="23" s="1"/>
  <c r="Z4" i="23"/>
  <c r="AA4" i="23" s="1"/>
  <c r="AZ4" i="23" s="1"/>
  <c r="J5" i="23"/>
  <c r="K6" i="23"/>
  <c r="L6" i="23" s="1"/>
  <c r="J6" i="23" s="1"/>
  <c r="BB5" i="23"/>
  <c r="Q5" i="23"/>
  <c r="R5" i="23" s="1"/>
  <c r="AI5" i="23" s="1"/>
  <c r="S5" i="23"/>
  <c r="T5" i="23" s="1"/>
  <c r="AL5" i="23" s="1"/>
  <c r="Z5" i="23"/>
  <c r="AA5" i="23" s="1"/>
  <c r="AZ5" i="23" s="1"/>
  <c r="AD5" i="23"/>
  <c r="BD5" i="23" s="1"/>
  <c r="AC6" i="23"/>
  <c r="BA6" i="23"/>
  <c r="AQ6" i="23"/>
  <c r="AN6" i="23"/>
  <c r="X5" i="23"/>
  <c r="Y5" i="23" s="1"/>
  <c r="O5" i="23"/>
  <c r="AT6" i="23"/>
  <c r="D6" i="23"/>
  <c r="C7" i="23"/>
  <c r="K7" i="23" s="1"/>
  <c r="L7" i="23" s="1"/>
  <c r="B8" i="23"/>
  <c r="I7" i="23"/>
  <c r="AH7" i="23"/>
  <c r="AE7" i="23"/>
  <c r="AK7" i="23"/>
  <c r="AW4" i="23"/>
  <c r="AR5" i="23"/>
  <c r="AS5" i="23"/>
  <c r="F27" i="23"/>
  <c r="G27" i="23"/>
  <c r="E27" i="23"/>
  <c r="AY3" i="2"/>
  <c r="A5" i="20"/>
  <c r="I5" i="20" s="1"/>
  <c r="A4" i="19"/>
  <c r="A12" i="14"/>
  <c r="B11" i="14"/>
  <c r="N115" i="32" l="1"/>
  <c r="R113" i="32"/>
  <c r="BX3" i="2"/>
  <c r="BX4" i="2"/>
  <c r="BX5" i="2"/>
  <c r="BX6" i="2"/>
  <c r="A48" i="30"/>
  <c r="D47" i="30"/>
  <c r="A49" i="33"/>
  <c r="C48" i="33"/>
  <c r="AW3" i="29"/>
  <c r="BI6" i="29"/>
  <c r="AT3" i="29"/>
  <c r="AK5" i="29"/>
  <c r="AL5" i="29" s="1"/>
  <c r="BJ5" i="29" s="1"/>
  <c r="BD5" i="29"/>
  <c r="T6" i="29"/>
  <c r="AK6" i="29" s="1"/>
  <c r="AL6" i="29" s="1"/>
  <c r="BJ6" i="29" s="1"/>
  <c r="V5" i="29"/>
  <c r="U5" i="29" s="1"/>
  <c r="AI5" i="29"/>
  <c r="AJ5" i="29" s="1"/>
  <c r="BH5" i="29" s="1"/>
  <c r="Q5" i="29"/>
  <c r="W4" i="29"/>
  <c r="Z4" i="29" s="1"/>
  <c r="AA4" i="29" s="1"/>
  <c r="BG4" i="29"/>
  <c r="BF4" i="29" s="1"/>
  <c r="BS4" i="29" s="1"/>
  <c r="BJ4" i="29"/>
  <c r="BR4" i="29" s="1"/>
  <c r="L7" i="29"/>
  <c r="AG7" i="29" s="1"/>
  <c r="S8" i="2"/>
  <c r="E7" i="29"/>
  <c r="BL7" i="29"/>
  <c r="R7" i="29"/>
  <c r="T7" i="29" s="1"/>
  <c r="AO7" i="29" s="1"/>
  <c r="BO7" i="29" s="1"/>
  <c r="AB7" i="29"/>
  <c r="BB7" i="29"/>
  <c r="AY7" i="29"/>
  <c r="W5" i="29"/>
  <c r="C8" i="29"/>
  <c r="R8" i="29" s="1"/>
  <c r="M8" i="29"/>
  <c r="I8" i="29"/>
  <c r="B9" i="29"/>
  <c r="N8" i="29"/>
  <c r="AV8" i="29"/>
  <c r="J8" i="29"/>
  <c r="O8" i="29" s="1"/>
  <c r="AS8" i="29"/>
  <c r="K8" i="29"/>
  <c r="AP8" i="29"/>
  <c r="S8" i="29"/>
  <c r="AG6" i="29"/>
  <c r="G6" i="29"/>
  <c r="H6" i="29"/>
  <c r="F6" i="29"/>
  <c r="P6" i="29"/>
  <c r="AB8" i="2"/>
  <c r="K9" i="2"/>
  <c r="BM2" i="2"/>
  <c r="AK2" i="2"/>
  <c r="AI2" i="2"/>
  <c r="O8" i="2"/>
  <c r="I9" i="2"/>
  <c r="J9" i="2"/>
  <c r="M9" i="2"/>
  <c r="N9" i="2"/>
  <c r="C9" i="2"/>
  <c r="AP9" i="2"/>
  <c r="AV9" i="2"/>
  <c r="AS9" i="2"/>
  <c r="BB9" i="2" s="1"/>
  <c r="B10" i="2"/>
  <c r="Q2" i="2"/>
  <c r="V2" i="2"/>
  <c r="BE3" i="2"/>
  <c r="E4" i="2"/>
  <c r="BI4" i="2" s="1"/>
  <c r="BL4" i="2"/>
  <c r="T3" i="2"/>
  <c r="BH4" i="23"/>
  <c r="AM4" i="23"/>
  <c r="AY4" i="23"/>
  <c r="BG4" i="23" s="1"/>
  <c r="AJ4" i="23"/>
  <c r="P4" i="23"/>
  <c r="AG4" i="23" s="1"/>
  <c r="M6" i="23"/>
  <c r="AD6" i="23" s="1"/>
  <c r="BD6" i="23" s="1"/>
  <c r="AY5" i="23"/>
  <c r="AM5" i="23"/>
  <c r="AJ5" i="23"/>
  <c r="R4" i="2"/>
  <c r="AQ7" i="23"/>
  <c r="AN7" i="23"/>
  <c r="B9" i="23"/>
  <c r="C8" i="23"/>
  <c r="BA8" i="23" s="1"/>
  <c r="I8" i="23"/>
  <c r="AH8" i="23"/>
  <c r="AK8" i="23"/>
  <c r="AE8" i="23"/>
  <c r="M7" i="23"/>
  <c r="J7" i="23"/>
  <c r="D7" i="23"/>
  <c r="AR6" i="23"/>
  <c r="AS6" i="23"/>
  <c r="AC7" i="23"/>
  <c r="BA7" i="23"/>
  <c r="P5" i="23"/>
  <c r="N5" i="23"/>
  <c r="AT7" i="23"/>
  <c r="AX7" i="23"/>
  <c r="AW5" i="23"/>
  <c r="AV5" i="23"/>
  <c r="AU5" i="23" s="1"/>
  <c r="BH5" i="23" s="1"/>
  <c r="E28" i="23"/>
  <c r="F28" i="23"/>
  <c r="G28" i="23"/>
  <c r="AY4" i="2"/>
  <c r="A6" i="20"/>
  <c r="I6" i="20" s="1"/>
  <c r="A5" i="19"/>
  <c r="A13" i="14"/>
  <c r="B12" i="14"/>
  <c r="L2" i="2"/>
  <c r="L3" i="2" s="1"/>
  <c r="L4" i="2" s="1"/>
  <c r="L5" i="2" s="1"/>
  <c r="L6" i="2" s="1"/>
  <c r="L7" i="2" s="1"/>
  <c r="L8" i="2" s="1"/>
  <c r="N117" i="32" l="1"/>
  <c r="R115" i="32"/>
  <c r="A49" i="30"/>
  <c r="D48" i="30"/>
  <c r="C49" i="33"/>
  <c r="A50" i="33"/>
  <c r="C50" i="33" s="1"/>
  <c r="BK5" i="29"/>
  <c r="S9" i="2"/>
  <c r="AR4" i="29"/>
  <c r="Q6" i="29"/>
  <c r="AQ4" i="29"/>
  <c r="BK6" i="29"/>
  <c r="V6" i="29"/>
  <c r="U6" i="29" s="1"/>
  <c r="X4" i="29"/>
  <c r="Y4" i="29" s="1"/>
  <c r="AT4" i="29" s="1"/>
  <c r="BM6" i="29"/>
  <c r="AI6" i="29"/>
  <c r="AJ6" i="29" s="1"/>
  <c r="BH6" i="29" s="1"/>
  <c r="BR6" i="29" s="1"/>
  <c r="F7" i="29"/>
  <c r="H7" i="29"/>
  <c r="G7" i="29"/>
  <c r="AO6" i="29"/>
  <c r="BO6" i="29" s="1"/>
  <c r="BR5" i="29"/>
  <c r="BG5" i="29"/>
  <c r="BF5" i="29" s="1"/>
  <c r="BD7" i="29"/>
  <c r="P7" i="29"/>
  <c r="E8" i="29"/>
  <c r="BI8" i="29" s="1"/>
  <c r="BC7" i="29"/>
  <c r="L8" i="29"/>
  <c r="P8" i="29" s="1"/>
  <c r="BL8" i="29"/>
  <c r="AN8" i="29"/>
  <c r="BM7" i="29"/>
  <c r="AG8" i="29"/>
  <c r="T8" i="29"/>
  <c r="Q8" i="29" s="1"/>
  <c r="BE7" i="29"/>
  <c r="BI7" i="29"/>
  <c r="Q7" i="29"/>
  <c r="V7" i="29"/>
  <c r="AI7" i="29"/>
  <c r="AJ7" i="29" s="1"/>
  <c r="AK7" i="29"/>
  <c r="AL7" i="29" s="1"/>
  <c r="BC6" i="29"/>
  <c r="BD6" i="29"/>
  <c r="AB8" i="29"/>
  <c r="X5" i="29"/>
  <c r="Y5" i="29" s="1"/>
  <c r="Z5" i="29"/>
  <c r="AA5" i="29" s="1"/>
  <c r="AR5" i="29"/>
  <c r="AQ5" i="29"/>
  <c r="BB8" i="29"/>
  <c r="AY8" i="29"/>
  <c r="M9" i="29"/>
  <c r="AV9" i="29"/>
  <c r="J9" i="29"/>
  <c r="O9" i="29" s="1"/>
  <c r="C9" i="29"/>
  <c r="AB9" i="29" s="1"/>
  <c r="N9" i="29"/>
  <c r="I9" i="29"/>
  <c r="S9" i="29" s="1"/>
  <c r="K9" i="29"/>
  <c r="AS9" i="29"/>
  <c r="AP9" i="29"/>
  <c r="B10" i="29"/>
  <c r="AW4" i="29"/>
  <c r="AX4" i="29"/>
  <c r="AB9" i="2"/>
  <c r="L9" i="2"/>
  <c r="V3" i="2"/>
  <c r="AI3" i="2"/>
  <c r="AK3" i="2"/>
  <c r="K10" i="2"/>
  <c r="O9" i="2"/>
  <c r="J10" i="2"/>
  <c r="I10" i="2"/>
  <c r="S10" i="2" s="1"/>
  <c r="M10" i="2"/>
  <c r="N10" i="2"/>
  <c r="AG2" i="2"/>
  <c r="C10" i="2"/>
  <c r="AP10" i="2"/>
  <c r="AV10" i="2"/>
  <c r="B11" i="2"/>
  <c r="AS10" i="2"/>
  <c r="BB10" i="2" s="1"/>
  <c r="Q3" i="2"/>
  <c r="BE4" i="2"/>
  <c r="E5" i="2"/>
  <c r="BI5" i="2" s="1"/>
  <c r="BL5" i="2"/>
  <c r="AF4" i="23"/>
  <c r="AG3" i="2"/>
  <c r="P2" i="2"/>
  <c r="BM3" i="2"/>
  <c r="T4" i="2"/>
  <c r="X6" i="23"/>
  <c r="Y6" i="23" s="1"/>
  <c r="AW6" i="23" s="1"/>
  <c r="Z6" i="23"/>
  <c r="AA6" i="23" s="1"/>
  <c r="AY6" i="23" s="1"/>
  <c r="O6" i="23"/>
  <c r="P6" i="23" s="1"/>
  <c r="S6" i="23"/>
  <c r="T6" i="23" s="1"/>
  <c r="AL6" i="23" s="1"/>
  <c r="BB6" i="23"/>
  <c r="Q6" i="23"/>
  <c r="R6" i="23" s="1"/>
  <c r="AJ6" i="23" s="1"/>
  <c r="K8" i="23"/>
  <c r="L8" i="23" s="1"/>
  <c r="J8" i="23" s="1"/>
  <c r="BB7" i="23"/>
  <c r="BG5" i="23"/>
  <c r="S7" i="23"/>
  <c r="T7" i="23" s="1"/>
  <c r="AL7" i="23" s="1"/>
  <c r="Q7" i="23"/>
  <c r="R7" i="23" s="1"/>
  <c r="AJ7" i="23" s="1"/>
  <c r="Z7" i="23"/>
  <c r="AA7" i="23" s="1"/>
  <c r="AZ7" i="23" s="1"/>
  <c r="R5" i="2"/>
  <c r="T5" i="2" s="1"/>
  <c r="AX8" i="23"/>
  <c r="AT8" i="23"/>
  <c r="AC8" i="23"/>
  <c r="O7" i="23"/>
  <c r="X7" i="23"/>
  <c r="Y7" i="23" s="1"/>
  <c r="AV7" i="23" s="1"/>
  <c r="AU7" i="23" s="1"/>
  <c r="AS7" i="23"/>
  <c r="AR7" i="23"/>
  <c r="AQ8" i="23"/>
  <c r="AN8" i="23"/>
  <c r="AD7" i="23"/>
  <c r="BD7" i="23" s="1"/>
  <c r="AF5" i="23"/>
  <c r="AG5" i="23"/>
  <c r="C9" i="23"/>
  <c r="K9" i="23" s="1"/>
  <c r="L9" i="23" s="1"/>
  <c r="B10" i="23"/>
  <c r="I9" i="23"/>
  <c r="AE9" i="23"/>
  <c r="AH9" i="23"/>
  <c r="AK9" i="23"/>
  <c r="D8" i="23"/>
  <c r="F2" i="23"/>
  <c r="E29" i="23"/>
  <c r="F29" i="23"/>
  <c r="G29" i="23"/>
  <c r="H2" i="2"/>
  <c r="AY5" i="2"/>
  <c r="A7" i="20"/>
  <c r="F2" i="2"/>
  <c r="G2" i="2"/>
  <c r="A6" i="19"/>
  <c r="B2" i="19"/>
  <c r="C10" i="14"/>
  <c r="A14" i="14"/>
  <c r="B13" i="14"/>
  <c r="N119" i="32" l="1"/>
  <c r="R117" i="32"/>
  <c r="A50" i="30"/>
  <c r="D49" i="30"/>
  <c r="BS5" i="29"/>
  <c r="AU4" i="29"/>
  <c r="BG6" i="29"/>
  <c r="BF6" i="29" s="1"/>
  <c r="BS6" i="29" s="1"/>
  <c r="W6" i="29"/>
  <c r="AR6" i="29" s="1"/>
  <c r="BE8" i="29"/>
  <c r="E9" i="29"/>
  <c r="BE9" i="29" s="1"/>
  <c r="R9" i="29"/>
  <c r="T9" i="29" s="1"/>
  <c r="BD8" i="29"/>
  <c r="L10" i="2"/>
  <c r="G8" i="29"/>
  <c r="L9" i="29"/>
  <c r="AG9" i="29" s="1"/>
  <c r="BC8" i="29"/>
  <c r="H8" i="29"/>
  <c r="V8" i="29"/>
  <c r="U8" i="29" s="1"/>
  <c r="AO8" i="29"/>
  <c r="BO8" i="29" s="1"/>
  <c r="F8" i="29"/>
  <c r="BM8" i="29"/>
  <c r="BL9" i="29"/>
  <c r="AN9" i="29"/>
  <c r="AI8" i="29"/>
  <c r="AJ8" i="29" s="1"/>
  <c r="AK8" i="29"/>
  <c r="AL8" i="29" s="1"/>
  <c r="BJ7" i="29"/>
  <c r="BK7" i="29"/>
  <c r="BG7" i="29"/>
  <c r="BF7" i="29" s="1"/>
  <c r="BH7" i="29"/>
  <c r="W7" i="29"/>
  <c r="U7" i="29"/>
  <c r="BB9" i="29"/>
  <c r="AY9" i="29"/>
  <c r="AW5" i="29"/>
  <c r="AX5" i="29"/>
  <c r="AT5" i="29"/>
  <c r="AU5" i="29"/>
  <c r="M10" i="29"/>
  <c r="AV10" i="29"/>
  <c r="J10" i="29"/>
  <c r="O10" i="29" s="1"/>
  <c r="I10" i="29"/>
  <c r="S10" i="29" s="1"/>
  <c r="K10" i="29"/>
  <c r="AS10" i="29"/>
  <c r="C10" i="29"/>
  <c r="BL10" i="29" s="1"/>
  <c r="AP10" i="29"/>
  <c r="B11" i="29"/>
  <c r="N10" i="29"/>
  <c r="AB10" i="2"/>
  <c r="V4" i="2"/>
  <c r="AI4" i="2"/>
  <c r="AK4" i="2"/>
  <c r="V5" i="2"/>
  <c r="AK5" i="2"/>
  <c r="AI5" i="2"/>
  <c r="AZ6" i="23"/>
  <c r="K11" i="2"/>
  <c r="AG4" i="2"/>
  <c r="O10" i="2"/>
  <c r="J11" i="2"/>
  <c r="I11" i="2"/>
  <c r="S11" i="2" s="1"/>
  <c r="M11" i="2"/>
  <c r="N11" i="2"/>
  <c r="C11" i="2"/>
  <c r="AP11" i="2"/>
  <c r="AS11" i="2"/>
  <c r="BB11" i="2" s="1"/>
  <c r="AV11" i="2"/>
  <c r="B12" i="2"/>
  <c r="Q4" i="2"/>
  <c r="Q5" i="2"/>
  <c r="BE5" i="2"/>
  <c r="AM6" i="23"/>
  <c r="E6" i="2"/>
  <c r="BI6" i="2" s="1"/>
  <c r="BL6" i="2"/>
  <c r="P3" i="2"/>
  <c r="BG6" i="23"/>
  <c r="BM4" i="2"/>
  <c r="AV6" i="23"/>
  <c r="AU6" i="23" s="1"/>
  <c r="N6" i="23"/>
  <c r="AI6" i="23"/>
  <c r="M8" i="23"/>
  <c r="BB8" i="23" s="1"/>
  <c r="AI7" i="23"/>
  <c r="AM7" i="23"/>
  <c r="BM5" i="2"/>
  <c r="AY7" i="23"/>
  <c r="R6" i="2"/>
  <c r="T6" i="2" s="1"/>
  <c r="BH7" i="23"/>
  <c r="AW7" i="23"/>
  <c r="AG6" i="23"/>
  <c r="AF6" i="23"/>
  <c r="BA9" i="23"/>
  <c r="D9" i="23"/>
  <c r="C10" i="23"/>
  <c r="AC10" i="23" s="1"/>
  <c r="B11" i="23"/>
  <c r="I10" i="23"/>
  <c r="AH10" i="23"/>
  <c r="AE10" i="23"/>
  <c r="AK10" i="23"/>
  <c r="AT9" i="23"/>
  <c r="AR8" i="23"/>
  <c r="AS8" i="23"/>
  <c r="J9" i="23"/>
  <c r="M9" i="23"/>
  <c r="AX9" i="23"/>
  <c r="P7" i="23"/>
  <c r="N7" i="23"/>
  <c r="AQ9" i="23"/>
  <c r="AN9" i="23"/>
  <c r="AC9" i="23"/>
  <c r="G30" i="23"/>
  <c r="F30" i="23"/>
  <c r="E30" i="23"/>
  <c r="BC2" i="2"/>
  <c r="BD2" i="2"/>
  <c r="H3" i="2"/>
  <c r="AY6" i="2"/>
  <c r="I7" i="20"/>
  <c r="A7" i="19"/>
  <c r="A8" i="20"/>
  <c r="G3" i="2"/>
  <c r="F3" i="2"/>
  <c r="B3" i="19"/>
  <c r="D10" i="14"/>
  <c r="C11" i="14"/>
  <c r="A15" i="14"/>
  <c r="B14" i="14"/>
  <c r="N121" i="32" l="1"/>
  <c r="R119" i="32"/>
  <c r="A51" i="30"/>
  <c r="D50" i="30"/>
  <c r="X6" i="29"/>
  <c r="Y6" i="29" s="1"/>
  <c r="AQ6" i="29"/>
  <c r="Z6" i="29"/>
  <c r="AA6" i="29" s="1"/>
  <c r="BH8" i="29"/>
  <c r="L11" i="2"/>
  <c r="BI9" i="29"/>
  <c r="H9" i="29"/>
  <c r="BC9" i="29"/>
  <c r="L10" i="29"/>
  <c r="AG10" i="29" s="1"/>
  <c r="G9" i="29"/>
  <c r="P9" i="29"/>
  <c r="F9" i="29"/>
  <c r="W8" i="29"/>
  <c r="AQ8" i="29" s="1"/>
  <c r="AO9" i="29"/>
  <c r="BO9" i="29" s="1"/>
  <c r="V9" i="29"/>
  <c r="U9" i="29" s="1"/>
  <c r="AN10" i="29"/>
  <c r="BG8" i="29"/>
  <c r="BF8" i="29" s="1"/>
  <c r="E10" i="29"/>
  <c r="BI10" i="29" s="1"/>
  <c r="BR7" i="29"/>
  <c r="BK8" i="29"/>
  <c r="BJ8" i="29"/>
  <c r="AI9" i="29"/>
  <c r="AJ9" i="29" s="1"/>
  <c r="BH9" i="29" s="1"/>
  <c r="AK9" i="29"/>
  <c r="AL9" i="29" s="1"/>
  <c r="BS7" i="29"/>
  <c r="BD9" i="29"/>
  <c r="Q9" i="29"/>
  <c r="AR7" i="29"/>
  <c r="AQ7" i="29"/>
  <c r="Z7" i="29"/>
  <c r="AA7" i="29" s="1"/>
  <c r="X7" i="29"/>
  <c r="Y7" i="29" s="1"/>
  <c r="BM9" i="29"/>
  <c r="R10" i="29"/>
  <c r="T10" i="29" s="1"/>
  <c r="AB10" i="29"/>
  <c r="AY10" i="29"/>
  <c r="BB10" i="29"/>
  <c r="B12" i="29"/>
  <c r="N11" i="29"/>
  <c r="I11" i="29"/>
  <c r="AV11" i="29"/>
  <c r="J11" i="29"/>
  <c r="O11" i="29" s="1"/>
  <c r="K11" i="29"/>
  <c r="AP11" i="29"/>
  <c r="AS11" i="29"/>
  <c r="C11" i="29"/>
  <c r="BL11" i="29" s="1"/>
  <c r="M11" i="29"/>
  <c r="S11" i="29"/>
  <c r="AB11" i="2"/>
  <c r="V6" i="2"/>
  <c r="AK6" i="2"/>
  <c r="AI6" i="2"/>
  <c r="BH6" i="23"/>
  <c r="K12" i="2"/>
  <c r="AG5" i="2"/>
  <c r="J12" i="2"/>
  <c r="I12" i="2"/>
  <c r="S12" i="2" s="1"/>
  <c r="O11" i="2"/>
  <c r="M12" i="2"/>
  <c r="N12" i="2"/>
  <c r="P4" i="2"/>
  <c r="C12" i="2"/>
  <c r="AP12" i="2"/>
  <c r="AV12" i="2"/>
  <c r="AS12" i="2"/>
  <c r="BB12" i="2" s="1"/>
  <c r="B13" i="2"/>
  <c r="Q6" i="2"/>
  <c r="BE6" i="2"/>
  <c r="BL7" i="2"/>
  <c r="E7" i="2"/>
  <c r="BI7" i="2" s="1"/>
  <c r="Q8" i="23"/>
  <c r="R8" i="23" s="1"/>
  <c r="AJ8" i="23" s="1"/>
  <c r="Z8" i="23"/>
  <c r="AA8" i="23" s="1"/>
  <c r="AY8" i="23" s="1"/>
  <c r="O8" i="23"/>
  <c r="P8" i="23" s="1"/>
  <c r="S8" i="23"/>
  <c r="T8" i="23" s="1"/>
  <c r="AL8" i="23" s="1"/>
  <c r="X8" i="23"/>
  <c r="Y8" i="23" s="1"/>
  <c r="AV8" i="23" s="1"/>
  <c r="AU8" i="23" s="1"/>
  <c r="AD8" i="23"/>
  <c r="BD8" i="23" s="1"/>
  <c r="K10" i="23"/>
  <c r="L10" i="23" s="1"/>
  <c r="M10" i="23" s="1"/>
  <c r="BB9" i="23"/>
  <c r="BM6" i="2"/>
  <c r="R7" i="2"/>
  <c r="T7" i="2" s="1"/>
  <c r="BG7" i="23"/>
  <c r="Z9" i="23"/>
  <c r="AA9" i="23" s="1"/>
  <c r="AZ9" i="23" s="1"/>
  <c r="Q9" i="23"/>
  <c r="R9" i="23" s="1"/>
  <c r="AI9" i="23" s="1"/>
  <c r="S9" i="23"/>
  <c r="T9" i="23" s="1"/>
  <c r="AL9" i="23" s="1"/>
  <c r="BA10" i="23"/>
  <c r="AX10" i="23"/>
  <c r="AT10" i="23"/>
  <c r="AD9" i="23"/>
  <c r="BD9" i="23" s="1"/>
  <c r="AQ10" i="23"/>
  <c r="AN10" i="23"/>
  <c r="O9" i="23"/>
  <c r="X9" i="23"/>
  <c r="Y9" i="23" s="1"/>
  <c r="AV9" i="23" s="1"/>
  <c r="AU9" i="23" s="1"/>
  <c r="AS9" i="23"/>
  <c r="AR9" i="23"/>
  <c r="AF7" i="23"/>
  <c r="AG7" i="23"/>
  <c r="C11" i="23"/>
  <c r="AX11" i="23" s="1"/>
  <c r="B12" i="23"/>
  <c r="I11" i="23"/>
  <c r="AK11" i="23"/>
  <c r="AE11" i="23"/>
  <c r="AH11" i="23"/>
  <c r="D10" i="23"/>
  <c r="F31" i="23"/>
  <c r="G31" i="23"/>
  <c r="E31" i="23"/>
  <c r="BC3" i="2"/>
  <c r="BD3" i="2"/>
  <c r="AY7" i="2"/>
  <c r="H4" i="2"/>
  <c r="A8" i="19"/>
  <c r="A9" i="20"/>
  <c r="I8" i="20"/>
  <c r="H8" i="20"/>
  <c r="F4" i="2"/>
  <c r="G4" i="2"/>
  <c r="B4" i="19"/>
  <c r="D11" i="14"/>
  <c r="C12" i="14"/>
  <c r="D12" i="14" s="1"/>
  <c r="A16" i="14"/>
  <c r="B15" i="14"/>
  <c r="N123" i="32" l="1"/>
  <c r="R121" i="32"/>
  <c r="L12" i="2"/>
  <c r="BR8" i="29"/>
  <c r="A52" i="30"/>
  <c r="D51" i="30"/>
  <c r="AX6" i="29"/>
  <c r="AW6" i="29"/>
  <c r="AU6" i="29"/>
  <c r="AT6" i="29"/>
  <c r="W9" i="29"/>
  <c r="AR9" i="29" s="1"/>
  <c r="F10" i="29"/>
  <c r="P10" i="29"/>
  <c r="H10" i="29"/>
  <c r="G10" i="29"/>
  <c r="BD10" i="29"/>
  <c r="BE10" i="29"/>
  <c r="X8" i="29"/>
  <c r="Y8" i="29" s="1"/>
  <c r="AT8" i="29" s="1"/>
  <c r="Z8" i="29"/>
  <c r="AA8" i="29" s="1"/>
  <c r="AW8" i="29" s="1"/>
  <c r="AR8" i="29"/>
  <c r="AO10" i="29"/>
  <c r="BO10" i="29" s="1"/>
  <c r="AN11" i="29"/>
  <c r="BS8" i="29"/>
  <c r="E11" i="29"/>
  <c r="BE11" i="29" s="1"/>
  <c r="L11" i="29"/>
  <c r="F11" i="29" s="1"/>
  <c r="AT7" i="29"/>
  <c r="AU7" i="29"/>
  <c r="BK9" i="29"/>
  <c r="BJ9" i="29"/>
  <c r="BR9" i="29" s="1"/>
  <c r="BC10" i="29"/>
  <c r="AK10" i="29"/>
  <c r="AL10" i="29" s="1"/>
  <c r="AI10" i="29"/>
  <c r="AJ10" i="29" s="1"/>
  <c r="AX7" i="29"/>
  <c r="AW7" i="29"/>
  <c r="BG9" i="29"/>
  <c r="BF9" i="29" s="1"/>
  <c r="AQ9" i="29"/>
  <c r="V10" i="29"/>
  <c r="Q10" i="29"/>
  <c r="R11" i="29"/>
  <c r="T11" i="29" s="1"/>
  <c r="AB11" i="29"/>
  <c r="AS12" i="29"/>
  <c r="J12" i="29"/>
  <c r="O12" i="29" s="1"/>
  <c r="C12" i="29"/>
  <c r="AB12" i="29" s="1"/>
  <c r="B13" i="29"/>
  <c r="AP12" i="29"/>
  <c r="K12" i="29"/>
  <c r="AV12" i="29"/>
  <c r="M12" i="29"/>
  <c r="N12" i="29"/>
  <c r="I12" i="29"/>
  <c r="S12" i="29" s="1"/>
  <c r="R12" i="29"/>
  <c r="BM10" i="29"/>
  <c r="H11" i="29"/>
  <c r="BB11" i="29"/>
  <c r="AY11" i="29"/>
  <c r="AB12" i="2"/>
  <c r="V7" i="2"/>
  <c r="AI7" i="2"/>
  <c r="AK7" i="2"/>
  <c r="O12" i="2"/>
  <c r="K13" i="2"/>
  <c r="AG6" i="2"/>
  <c r="I13" i="2"/>
  <c r="S13" i="2" s="1"/>
  <c r="J13" i="2"/>
  <c r="M13" i="2"/>
  <c r="N13" i="2"/>
  <c r="P5" i="2"/>
  <c r="C13" i="2"/>
  <c r="AV13" i="2"/>
  <c r="AS13" i="2"/>
  <c r="BB13" i="2" s="1"/>
  <c r="AP13" i="2"/>
  <c r="B14" i="2"/>
  <c r="Q7" i="2"/>
  <c r="BE7" i="2"/>
  <c r="BL8" i="2"/>
  <c r="E8" i="2"/>
  <c r="BI8" i="2" s="1"/>
  <c r="J10" i="23"/>
  <c r="N8" i="23"/>
  <c r="AI8" i="23"/>
  <c r="BM7" i="2"/>
  <c r="AZ8" i="23"/>
  <c r="BH8" i="23" s="1"/>
  <c r="AW8" i="23"/>
  <c r="BG8" i="23" s="1"/>
  <c r="AM8" i="23"/>
  <c r="K11" i="23"/>
  <c r="L11" i="23" s="1"/>
  <c r="M11" i="23" s="1"/>
  <c r="BB10" i="23"/>
  <c r="AY9" i="23"/>
  <c r="AM9" i="23"/>
  <c r="R8" i="2"/>
  <c r="T8" i="2" s="1"/>
  <c r="S10" i="23"/>
  <c r="T10" i="23" s="1"/>
  <c r="AM10" i="23" s="1"/>
  <c r="Z10" i="23"/>
  <c r="AA10" i="23" s="1"/>
  <c r="AY10" i="23" s="1"/>
  <c r="Q10" i="23"/>
  <c r="R10" i="23" s="1"/>
  <c r="AJ10" i="23" s="1"/>
  <c r="AJ9" i="23"/>
  <c r="AW9" i="23"/>
  <c r="AT11" i="23"/>
  <c r="O10" i="23"/>
  <c r="X10" i="23"/>
  <c r="Y10" i="23" s="1"/>
  <c r="AG8" i="23"/>
  <c r="AF8" i="23"/>
  <c r="BH9" i="23"/>
  <c r="AC11" i="23"/>
  <c r="C12" i="23"/>
  <c r="AC12" i="23" s="1"/>
  <c r="B13" i="23"/>
  <c r="I12" i="23"/>
  <c r="AK12" i="23"/>
  <c r="AH12" i="23"/>
  <c r="AE12" i="23"/>
  <c r="D11" i="23"/>
  <c r="N9" i="23"/>
  <c r="P9" i="23"/>
  <c r="AS10" i="23"/>
  <c r="AR10" i="23"/>
  <c r="AQ11" i="23"/>
  <c r="AN11" i="23"/>
  <c r="BA11" i="23"/>
  <c r="AD10" i="23"/>
  <c r="BD10" i="23" s="1"/>
  <c r="E32" i="23"/>
  <c r="F32" i="23"/>
  <c r="G32" i="23"/>
  <c r="BD4" i="2"/>
  <c r="BC4" i="2"/>
  <c r="H5" i="2"/>
  <c r="AY8" i="2"/>
  <c r="A9" i="19"/>
  <c r="A10" i="20"/>
  <c r="H9" i="20"/>
  <c r="I9" i="20"/>
  <c r="G5" i="2"/>
  <c r="F5" i="2"/>
  <c r="B5" i="19"/>
  <c r="C13" i="14"/>
  <c r="D13" i="14" s="1"/>
  <c r="A17" i="14"/>
  <c r="B16" i="14"/>
  <c r="F108" i="3"/>
  <c r="G108" i="3" s="1"/>
  <c r="C108" i="3"/>
  <c r="F107" i="3"/>
  <c r="G107" i="3" s="1"/>
  <c r="C107" i="3"/>
  <c r="D107" i="3" s="1"/>
  <c r="E107" i="3" s="1"/>
  <c r="F106" i="3"/>
  <c r="G106" i="3" s="1"/>
  <c r="C106" i="3"/>
  <c r="F105" i="3"/>
  <c r="G105" i="3" s="1"/>
  <c r="C105" i="3"/>
  <c r="D105" i="3" s="1"/>
  <c r="E105" i="3" s="1"/>
  <c r="F104" i="3"/>
  <c r="G104" i="3" s="1"/>
  <c r="C104" i="3"/>
  <c r="F103" i="3"/>
  <c r="G103" i="3" s="1"/>
  <c r="C103" i="3"/>
  <c r="D103" i="3" s="1"/>
  <c r="E103" i="3" s="1"/>
  <c r="F102" i="3"/>
  <c r="G102" i="3" s="1"/>
  <c r="C102" i="3"/>
  <c r="F101" i="3"/>
  <c r="G101" i="3" s="1"/>
  <c r="C101" i="3"/>
  <c r="D101" i="3" s="1"/>
  <c r="E101" i="3" s="1"/>
  <c r="F100" i="3"/>
  <c r="G100" i="3" s="1"/>
  <c r="C100" i="3"/>
  <c r="F99" i="3"/>
  <c r="G99" i="3" s="1"/>
  <c r="C99" i="3"/>
  <c r="D99" i="3" s="1"/>
  <c r="E99" i="3" s="1"/>
  <c r="F98" i="3"/>
  <c r="G98" i="3" s="1"/>
  <c r="C98" i="3"/>
  <c r="F97" i="3"/>
  <c r="G97" i="3" s="1"/>
  <c r="C97" i="3"/>
  <c r="D97" i="3" s="1"/>
  <c r="E97" i="3" s="1"/>
  <c r="F96" i="3"/>
  <c r="G96" i="3" s="1"/>
  <c r="C96" i="3"/>
  <c r="F95" i="3"/>
  <c r="G95" i="3" s="1"/>
  <c r="C95" i="3"/>
  <c r="D95" i="3" s="1"/>
  <c r="E95" i="3" s="1"/>
  <c r="F94" i="3"/>
  <c r="G94" i="3" s="1"/>
  <c r="C94" i="3"/>
  <c r="F93" i="3"/>
  <c r="G93" i="3" s="1"/>
  <c r="C93" i="3"/>
  <c r="D93" i="3" s="1"/>
  <c r="E93" i="3" s="1"/>
  <c r="F92" i="3"/>
  <c r="G92" i="3" s="1"/>
  <c r="C92" i="3"/>
  <c r="F91" i="3"/>
  <c r="G91" i="3" s="1"/>
  <c r="C91" i="3"/>
  <c r="D91" i="3" s="1"/>
  <c r="E91" i="3" s="1"/>
  <c r="F90" i="3"/>
  <c r="G90" i="3" s="1"/>
  <c r="C90" i="3"/>
  <c r="F89" i="3"/>
  <c r="G89" i="3" s="1"/>
  <c r="C89" i="3"/>
  <c r="D89" i="3" s="1"/>
  <c r="E89" i="3" s="1"/>
  <c r="F88" i="3"/>
  <c r="G88" i="3" s="1"/>
  <c r="C88" i="3"/>
  <c r="F87" i="3"/>
  <c r="G87" i="3" s="1"/>
  <c r="C87" i="3"/>
  <c r="D87" i="3" s="1"/>
  <c r="E87" i="3" s="1"/>
  <c r="F86" i="3"/>
  <c r="G86" i="3" s="1"/>
  <c r="C86" i="3"/>
  <c r="F85" i="3"/>
  <c r="G85" i="3" s="1"/>
  <c r="C85" i="3"/>
  <c r="D85" i="3" s="1"/>
  <c r="E85" i="3" s="1"/>
  <c r="F84" i="3"/>
  <c r="G84" i="3" s="1"/>
  <c r="C84" i="3"/>
  <c r="F83" i="3"/>
  <c r="G83" i="3" s="1"/>
  <c r="C83" i="3"/>
  <c r="D83" i="3" s="1"/>
  <c r="E83" i="3" s="1"/>
  <c r="F82" i="3"/>
  <c r="G82" i="3" s="1"/>
  <c r="C82" i="3"/>
  <c r="F81" i="3"/>
  <c r="G81" i="3" s="1"/>
  <c r="C81" i="3"/>
  <c r="D81" i="3" s="1"/>
  <c r="E81" i="3" s="1"/>
  <c r="F80" i="3"/>
  <c r="G80" i="3" s="1"/>
  <c r="C80" i="3"/>
  <c r="F79" i="3"/>
  <c r="G79" i="3" s="1"/>
  <c r="C79" i="3"/>
  <c r="D79" i="3" s="1"/>
  <c r="E79" i="3" s="1"/>
  <c r="F78" i="3"/>
  <c r="G78" i="3" s="1"/>
  <c r="C78" i="3"/>
  <c r="F77" i="3"/>
  <c r="G77" i="3" s="1"/>
  <c r="C77" i="3"/>
  <c r="D77" i="3" s="1"/>
  <c r="E77" i="3" s="1"/>
  <c r="F76" i="3"/>
  <c r="G76" i="3" s="1"/>
  <c r="C76" i="3"/>
  <c r="F75" i="3"/>
  <c r="G75" i="3" s="1"/>
  <c r="C75" i="3"/>
  <c r="D75" i="3" s="1"/>
  <c r="E75" i="3" s="1"/>
  <c r="F74" i="3"/>
  <c r="G74" i="3" s="1"/>
  <c r="C74" i="3"/>
  <c r="F73" i="3"/>
  <c r="G73" i="3" s="1"/>
  <c r="C73" i="3"/>
  <c r="D73" i="3" s="1"/>
  <c r="E73" i="3" s="1"/>
  <c r="F72" i="3"/>
  <c r="G72" i="3" s="1"/>
  <c r="C72" i="3"/>
  <c r="F71" i="3"/>
  <c r="G71" i="3" s="1"/>
  <c r="C71" i="3"/>
  <c r="D71" i="3" s="1"/>
  <c r="E71" i="3" s="1"/>
  <c r="F70" i="3"/>
  <c r="G70" i="3" s="1"/>
  <c r="C70" i="3"/>
  <c r="F69" i="3"/>
  <c r="G69" i="3" s="1"/>
  <c r="C69" i="3"/>
  <c r="D69" i="3" s="1"/>
  <c r="E69" i="3" s="1"/>
  <c r="F68" i="3"/>
  <c r="G68" i="3" s="1"/>
  <c r="C68" i="3"/>
  <c r="F67" i="3"/>
  <c r="G67" i="3" s="1"/>
  <c r="C67" i="3"/>
  <c r="D67" i="3" s="1"/>
  <c r="E67" i="3" s="1"/>
  <c r="F66" i="3"/>
  <c r="G66" i="3" s="1"/>
  <c r="C66" i="3"/>
  <c r="F65" i="3"/>
  <c r="G65" i="3" s="1"/>
  <c r="C65" i="3"/>
  <c r="D65" i="3" s="1"/>
  <c r="E65" i="3" s="1"/>
  <c r="F64" i="3"/>
  <c r="G64" i="3" s="1"/>
  <c r="C64" i="3"/>
  <c r="F63" i="3"/>
  <c r="G63" i="3" s="1"/>
  <c r="C63" i="3"/>
  <c r="D63" i="3" s="1"/>
  <c r="E63" i="3" s="1"/>
  <c r="F62" i="3"/>
  <c r="G62" i="3" s="1"/>
  <c r="C62" i="3"/>
  <c r="F61" i="3"/>
  <c r="G61" i="3" s="1"/>
  <c r="C61" i="3"/>
  <c r="D61" i="3" s="1"/>
  <c r="E61" i="3" s="1"/>
  <c r="F60" i="3"/>
  <c r="G60" i="3" s="1"/>
  <c r="C60" i="3"/>
  <c r="F59" i="3"/>
  <c r="G59" i="3" s="1"/>
  <c r="C59" i="3"/>
  <c r="F58" i="3"/>
  <c r="G58" i="3" s="1"/>
  <c r="C58" i="3"/>
  <c r="F57" i="3"/>
  <c r="G57" i="3" s="1"/>
  <c r="C57" i="3"/>
  <c r="F56" i="3"/>
  <c r="G56" i="3" s="1"/>
  <c r="C56" i="3"/>
  <c r="F55" i="3"/>
  <c r="G55" i="3" s="1"/>
  <c r="C55" i="3"/>
  <c r="F54" i="3"/>
  <c r="G54" i="3" s="1"/>
  <c r="C54" i="3"/>
  <c r="F53" i="3"/>
  <c r="G53" i="3" s="1"/>
  <c r="C53" i="3"/>
  <c r="F52" i="3"/>
  <c r="G52" i="3" s="1"/>
  <c r="C52" i="3"/>
  <c r="F51" i="3"/>
  <c r="G51" i="3" s="1"/>
  <c r="C51" i="3"/>
  <c r="F50" i="3"/>
  <c r="G50" i="3" s="1"/>
  <c r="C50" i="3"/>
  <c r="F49" i="3"/>
  <c r="G49" i="3" s="1"/>
  <c r="C49" i="3"/>
  <c r="F48" i="3"/>
  <c r="G48" i="3" s="1"/>
  <c r="C48" i="3"/>
  <c r="F47" i="3"/>
  <c r="G47" i="3" s="1"/>
  <c r="C47" i="3"/>
  <c r="F46" i="3"/>
  <c r="G46" i="3" s="1"/>
  <c r="C46" i="3"/>
  <c r="F45" i="3"/>
  <c r="G45" i="3" s="1"/>
  <c r="C45" i="3"/>
  <c r="F44" i="3"/>
  <c r="G44" i="3" s="1"/>
  <c r="C44" i="3"/>
  <c r="F43" i="3"/>
  <c r="G43" i="3" s="1"/>
  <c r="C43" i="3"/>
  <c r="F42" i="3"/>
  <c r="G42" i="3" s="1"/>
  <c r="C42" i="3"/>
  <c r="F41" i="3"/>
  <c r="G41" i="3" s="1"/>
  <c r="C41" i="3"/>
  <c r="F40" i="3"/>
  <c r="G40" i="3" s="1"/>
  <c r="C40" i="3"/>
  <c r="F39" i="3"/>
  <c r="G39" i="3" s="1"/>
  <c r="C39" i="3"/>
  <c r="F38" i="3"/>
  <c r="G38" i="3" s="1"/>
  <c r="C38" i="3"/>
  <c r="F37" i="3"/>
  <c r="G37" i="3" s="1"/>
  <c r="C37" i="3"/>
  <c r="F36" i="3"/>
  <c r="G36" i="3" s="1"/>
  <c r="C36" i="3"/>
  <c r="F35" i="3"/>
  <c r="G35" i="3" s="1"/>
  <c r="C35" i="3"/>
  <c r="F34" i="3"/>
  <c r="G34" i="3" s="1"/>
  <c r="C34" i="3"/>
  <c r="F33" i="3"/>
  <c r="G33" i="3" s="1"/>
  <c r="C33" i="3"/>
  <c r="F32" i="3"/>
  <c r="G32" i="3" s="1"/>
  <c r="C32" i="3"/>
  <c r="F31" i="3"/>
  <c r="G31" i="3" s="1"/>
  <c r="C31" i="3"/>
  <c r="F30" i="3"/>
  <c r="G30" i="3" s="1"/>
  <c r="C30" i="3"/>
  <c r="F29" i="3"/>
  <c r="G29" i="3" s="1"/>
  <c r="C29" i="3"/>
  <c r="F28" i="3"/>
  <c r="G28" i="3" s="1"/>
  <c r="C28" i="3"/>
  <c r="F27" i="3"/>
  <c r="G27" i="3" s="1"/>
  <c r="C27" i="3"/>
  <c r="F26" i="3"/>
  <c r="G26" i="3" s="1"/>
  <c r="C26" i="3"/>
  <c r="F25" i="3"/>
  <c r="G25" i="3" s="1"/>
  <c r="C25" i="3"/>
  <c r="F24" i="3"/>
  <c r="G24" i="3" s="1"/>
  <c r="C24" i="3"/>
  <c r="F23" i="3"/>
  <c r="G23" i="3" s="1"/>
  <c r="C23" i="3"/>
  <c r="F22" i="3"/>
  <c r="G22" i="3" s="1"/>
  <c r="C22" i="3"/>
  <c r="F21" i="3"/>
  <c r="G21" i="3" s="1"/>
  <c r="C21" i="3"/>
  <c r="F20" i="3"/>
  <c r="G20" i="3" s="1"/>
  <c r="C20" i="3"/>
  <c r="F19" i="3"/>
  <c r="G19" i="3" s="1"/>
  <c r="C19" i="3"/>
  <c r="F18" i="3"/>
  <c r="G18" i="3" s="1"/>
  <c r="C18" i="3"/>
  <c r="F17" i="3"/>
  <c r="G17" i="3" s="1"/>
  <c r="C17" i="3"/>
  <c r="F16" i="3"/>
  <c r="G16" i="3" s="1"/>
  <c r="C16" i="3"/>
  <c r="F15" i="3"/>
  <c r="G15" i="3" s="1"/>
  <c r="C15" i="3"/>
  <c r="F14" i="3"/>
  <c r="G14" i="3" s="1"/>
  <c r="C14" i="3"/>
  <c r="F13" i="3"/>
  <c r="G13" i="3" s="1"/>
  <c r="C13" i="3"/>
  <c r="F12" i="3"/>
  <c r="G12" i="3" s="1"/>
  <c r="C12" i="3"/>
  <c r="F11" i="3"/>
  <c r="G11" i="3" s="1"/>
  <c r="C11" i="3"/>
  <c r="F10" i="3"/>
  <c r="G10" i="3" s="1"/>
  <c r="C10" i="3"/>
  <c r="F9" i="3"/>
  <c r="G9" i="3" s="1"/>
  <c r="C9" i="3"/>
  <c r="F8" i="3"/>
  <c r="G8" i="3" s="1"/>
  <c r="C8" i="3"/>
  <c r="F7" i="3"/>
  <c r="G7" i="3" s="1"/>
  <c r="C7" i="3"/>
  <c r="F6" i="3"/>
  <c r="G6" i="3" s="1"/>
  <c r="C6" i="3"/>
  <c r="F5" i="3"/>
  <c r="G5" i="3" s="1"/>
  <c r="C5" i="3"/>
  <c r="F4" i="3"/>
  <c r="G4" i="3" s="1"/>
  <c r="C4" i="3"/>
  <c r="F3" i="3"/>
  <c r="G3" i="3" s="1"/>
  <c r="C3" i="3"/>
  <c r="A3" i="3"/>
  <c r="F2" i="3"/>
  <c r="G2" i="3" s="1"/>
  <c r="C2" i="3"/>
  <c r="L13" i="2" l="1"/>
  <c r="N125" i="32"/>
  <c r="R123" i="32"/>
  <c r="A53" i="30"/>
  <c r="D52" i="30"/>
  <c r="X9" i="29"/>
  <c r="Y9" i="29" s="1"/>
  <c r="AU9" i="29" s="1"/>
  <c r="Z9" i="29"/>
  <c r="AA9" i="29" s="1"/>
  <c r="AX9" i="29" s="1"/>
  <c r="G11" i="29"/>
  <c r="L12" i="29"/>
  <c r="P12" i="29" s="1"/>
  <c r="BG10" i="29"/>
  <c r="BF10" i="29" s="1"/>
  <c r="AU8" i="29"/>
  <c r="AX8" i="29"/>
  <c r="E12" i="29"/>
  <c r="BE12" i="29" s="1"/>
  <c r="BL12" i="29"/>
  <c r="BH10" i="29"/>
  <c r="AN12" i="29"/>
  <c r="BI11" i="29"/>
  <c r="BS9" i="29"/>
  <c r="T12" i="29"/>
  <c r="V12" i="29" s="1"/>
  <c r="AK11" i="29"/>
  <c r="AL11" i="29" s="1"/>
  <c r="AI11" i="29"/>
  <c r="AJ11" i="29" s="1"/>
  <c r="AG11" i="29"/>
  <c r="BD11" i="29" s="1"/>
  <c r="P11" i="29"/>
  <c r="BJ10" i="29"/>
  <c r="BK10" i="29"/>
  <c r="V11" i="29"/>
  <c r="Q11" i="29"/>
  <c r="U10" i="29"/>
  <c r="W10" i="29"/>
  <c r="AT9" i="29"/>
  <c r="BM11" i="29"/>
  <c r="AO11" i="29"/>
  <c r="BO11" i="29" s="1"/>
  <c r="BB12" i="29"/>
  <c r="AY12" i="29"/>
  <c r="B14" i="29"/>
  <c r="N13" i="29"/>
  <c r="I13" i="29"/>
  <c r="S13" i="29" s="1"/>
  <c r="AV13" i="29"/>
  <c r="J13" i="29"/>
  <c r="O13" i="29" s="1"/>
  <c r="AS13" i="29"/>
  <c r="K13" i="29"/>
  <c r="AP13" i="29"/>
  <c r="C13" i="29"/>
  <c r="AB13" i="29" s="1"/>
  <c r="M13" i="29"/>
  <c r="AB13" i="2"/>
  <c r="V8" i="2"/>
  <c r="AI8" i="2"/>
  <c r="AK8" i="2"/>
  <c r="O13" i="2"/>
  <c r="K14" i="2"/>
  <c r="AG7" i="2"/>
  <c r="J14" i="2"/>
  <c r="I14" i="2"/>
  <c r="S14" i="2" s="1"/>
  <c r="M14" i="2"/>
  <c r="N14" i="2"/>
  <c r="P6" i="2"/>
  <c r="C14" i="2"/>
  <c r="AP14" i="2"/>
  <c r="AS14" i="2"/>
  <c r="BB14" i="2" s="1"/>
  <c r="AV14" i="2"/>
  <c r="B15" i="2"/>
  <c r="Q8" i="2"/>
  <c r="BE8" i="2"/>
  <c r="E9" i="2"/>
  <c r="BI9" i="2" s="1"/>
  <c r="BL9" i="2"/>
  <c r="J11" i="23"/>
  <c r="K12" i="23"/>
  <c r="L12" i="23" s="1"/>
  <c r="J12" i="23" s="1"/>
  <c r="BM8" i="2"/>
  <c r="BB11" i="23"/>
  <c r="AI10" i="23"/>
  <c r="BG9" i="23"/>
  <c r="AL10" i="23"/>
  <c r="AZ10" i="23"/>
  <c r="R9" i="2"/>
  <c r="S11" i="23"/>
  <c r="T11" i="23" s="1"/>
  <c r="AM11" i="23" s="1"/>
  <c r="Q11" i="23"/>
  <c r="R11" i="23" s="1"/>
  <c r="AI11" i="23" s="1"/>
  <c r="Z11" i="23"/>
  <c r="AA11" i="23" s="1"/>
  <c r="AZ11" i="23" s="1"/>
  <c r="AD11" i="23"/>
  <c r="BD11" i="23" s="1"/>
  <c r="AS11" i="23"/>
  <c r="AR11" i="23"/>
  <c r="AQ12" i="23"/>
  <c r="AN12" i="23"/>
  <c r="AX12" i="23"/>
  <c r="P10" i="23"/>
  <c r="N10" i="23"/>
  <c r="O11" i="23"/>
  <c r="X11" i="23"/>
  <c r="Y11" i="23" s="1"/>
  <c r="B14" i="23"/>
  <c r="C13" i="23"/>
  <c r="AC13" i="23" s="1"/>
  <c r="I13" i="23"/>
  <c r="AE13" i="23"/>
  <c r="AK13" i="23"/>
  <c r="AH13" i="23"/>
  <c r="D12" i="23"/>
  <c r="AV10" i="23"/>
  <c r="AU10" i="23" s="1"/>
  <c r="AW10" i="23"/>
  <c r="BG10" i="23" s="1"/>
  <c r="AG9" i="23"/>
  <c r="AF9" i="23"/>
  <c r="BA12" i="23"/>
  <c r="AT12" i="23"/>
  <c r="E33" i="23"/>
  <c r="G33" i="23"/>
  <c r="F33" i="23"/>
  <c r="BC5" i="2"/>
  <c r="BD5" i="2"/>
  <c r="AY9" i="2"/>
  <c r="H6" i="2"/>
  <c r="A10" i="19"/>
  <c r="A11" i="20"/>
  <c r="I10" i="20"/>
  <c r="H10" i="20"/>
  <c r="G6" i="2"/>
  <c r="F6" i="2"/>
  <c r="B6" i="19"/>
  <c r="C14" i="14"/>
  <c r="A18" i="14"/>
  <c r="B17" i="14"/>
  <c r="D19" i="3"/>
  <c r="E19" i="3" s="1"/>
  <c r="D21" i="3"/>
  <c r="E21" i="3" s="1"/>
  <c r="D23" i="3"/>
  <c r="E23" i="3" s="1"/>
  <c r="D25" i="3"/>
  <c r="E25" i="3" s="1"/>
  <c r="D27" i="3"/>
  <c r="E27" i="3" s="1"/>
  <c r="L3" i="3"/>
  <c r="D42" i="3"/>
  <c r="E42" i="3" s="1"/>
  <c r="D44" i="3"/>
  <c r="E44" i="3" s="1"/>
  <c r="D46" i="3"/>
  <c r="E46" i="3" s="1"/>
  <c r="D48" i="3"/>
  <c r="E48" i="3" s="1"/>
  <c r="D50" i="3"/>
  <c r="E50" i="3" s="1"/>
  <c r="D52" i="3"/>
  <c r="E52" i="3" s="1"/>
  <c r="D54" i="3"/>
  <c r="E54" i="3" s="1"/>
  <c r="D56" i="3"/>
  <c r="E56" i="3" s="1"/>
  <c r="D58" i="3"/>
  <c r="E58" i="3" s="1"/>
  <c r="N2" i="3"/>
  <c r="L2" i="3"/>
  <c r="Q2" i="3" s="1"/>
  <c r="K3" i="3"/>
  <c r="I3" i="3"/>
  <c r="P2" i="3"/>
  <c r="D2" i="3"/>
  <c r="E2" i="3" s="1"/>
  <c r="J3" i="3"/>
  <c r="M3" i="3"/>
  <c r="N3" i="3"/>
  <c r="A4" i="3"/>
  <c r="L4" i="3" s="1"/>
  <c r="D4" i="3"/>
  <c r="E4" i="3" s="1"/>
  <c r="D6" i="3"/>
  <c r="E6" i="3" s="1"/>
  <c r="D8" i="3"/>
  <c r="E8" i="3" s="1"/>
  <c r="D10" i="3"/>
  <c r="E10" i="3" s="1"/>
  <c r="D12" i="3"/>
  <c r="E12" i="3" s="1"/>
  <c r="D14" i="3"/>
  <c r="E14" i="3" s="1"/>
  <c r="D16" i="3"/>
  <c r="E16" i="3" s="1"/>
  <c r="D18" i="3"/>
  <c r="E18" i="3" s="1"/>
  <c r="D20" i="3"/>
  <c r="E20" i="3" s="1"/>
  <c r="D22" i="3"/>
  <c r="E22" i="3" s="1"/>
  <c r="D24" i="3"/>
  <c r="E24" i="3" s="1"/>
  <c r="D26" i="3"/>
  <c r="E26" i="3" s="1"/>
  <c r="D3" i="3"/>
  <c r="E3" i="3" s="1"/>
  <c r="D5" i="3"/>
  <c r="E5" i="3" s="1"/>
  <c r="D7" i="3"/>
  <c r="E7" i="3" s="1"/>
  <c r="D9" i="3"/>
  <c r="E9" i="3" s="1"/>
  <c r="D11" i="3"/>
  <c r="E11" i="3" s="1"/>
  <c r="D13" i="3"/>
  <c r="E13" i="3" s="1"/>
  <c r="D15" i="3"/>
  <c r="E15" i="3" s="1"/>
  <c r="D17" i="3"/>
  <c r="E17" i="3" s="1"/>
  <c r="D28" i="3"/>
  <c r="E28" i="3" s="1"/>
  <c r="D30" i="3"/>
  <c r="E30" i="3" s="1"/>
  <c r="D32" i="3"/>
  <c r="E32" i="3" s="1"/>
  <c r="D34" i="3"/>
  <c r="E34" i="3" s="1"/>
  <c r="D36" i="3"/>
  <c r="E36" i="3" s="1"/>
  <c r="D38" i="3"/>
  <c r="E38" i="3" s="1"/>
  <c r="D40" i="3"/>
  <c r="E40" i="3" s="1"/>
  <c r="D29" i="3"/>
  <c r="E29" i="3" s="1"/>
  <c r="D31" i="3"/>
  <c r="E31" i="3" s="1"/>
  <c r="D33" i="3"/>
  <c r="E33" i="3" s="1"/>
  <c r="D35" i="3"/>
  <c r="E35" i="3" s="1"/>
  <c r="D37" i="3"/>
  <c r="E37" i="3" s="1"/>
  <c r="D39" i="3"/>
  <c r="E39" i="3" s="1"/>
  <c r="D41" i="3"/>
  <c r="E41" i="3" s="1"/>
  <c r="D43" i="3"/>
  <c r="E43" i="3" s="1"/>
  <c r="D45" i="3"/>
  <c r="E45" i="3" s="1"/>
  <c r="D47" i="3"/>
  <c r="E47" i="3" s="1"/>
  <c r="D49" i="3"/>
  <c r="E49" i="3" s="1"/>
  <c r="D51" i="3"/>
  <c r="E51" i="3" s="1"/>
  <c r="D53" i="3"/>
  <c r="E53" i="3" s="1"/>
  <c r="D55" i="3"/>
  <c r="E55" i="3" s="1"/>
  <c r="D57" i="3"/>
  <c r="E57" i="3" s="1"/>
  <c r="D59" i="3"/>
  <c r="E59" i="3" s="1"/>
  <c r="D60" i="3"/>
  <c r="E60" i="3" s="1"/>
  <c r="D62" i="3"/>
  <c r="E62" i="3" s="1"/>
  <c r="D64" i="3"/>
  <c r="E64" i="3" s="1"/>
  <c r="D66" i="3"/>
  <c r="E66" i="3" s="1"/>
  <c r="D68" i="3"/>
  <c r="E68" i="3" s="1"/>
  <c r="D70" i="3"/>
  <c r="E70" i="3" s="1"/>
  <c r="D72" i="3"/>
  <c r="E72" i="3" s="1"/>
  <c r="D74" i="3"/>
  <c r="E74" i="3" s="1"/>
  <c r="D76" i="3"/>
  <c r="E76" i="3" s="1"/>
  <c r="D78" i="3"/>
  <c r="E78" i="3" s="1"/>
  <c r="D80" i="3"/>
  <c r="E80" i="3" s="1"/>
  <c r="D82" i="3"/>
  <c r="E82" i="3" s="1"/>
  <c r="D84" i="3"/>
  <c r="E84" i="3" s="1"/>
  <c r="D86" i="3"/>
  <c r="E86" i="3" s="1"/>
  <c r="D88" i="3"/>
  <c r="E88" i="3" s="1"/>
  <c r="D90" i="3"/>
  <c r="E90" i="3" s="1"/>
  <c r="D92" i="3"/>
  <c r="E92" i="3" s="1"/>
  <c r="D94" i="3"/>
  <c r="E94" i="3" s="1"/>
  <c r="D96" i="3"/>
  <c r="E96" i="3" s="1"/>
  <c r="D98" i="3"/>
  <c r="E98" i="3" s="1"/>
  <c r="D100" i="3"/>
  <c r="E100" i="3" s="1"/>
  <c r="D102" i="3"/>
  <c r="E102" i="3" s="1"/>
  <c r="D104" i="3"/>
  <c r="E104" i="3" s="1"/>
  <c r="D106" i="3"/>
  <c r="E106" i="3" s="1"/>
  <c r="D108" i="3"/>
  <c r="E108" i="3" s="1"/>
  <c r="N127" i="32" l="1"/>
  <c r="R125" i="32"/>
  <c r="A54" i="30"/>
  <c r="D53" i="30"/>
  <c r="AG12" i="29"/>
  <c r="BD12" i="29" s="1"/>
  <c r="F12" i="29"/>
  <c r="H12" i="29"/>
  <c r="AW9" i="29"/>
  <c r="G12" i="29"/>
  <c r="BS10" i="29"/>
  <c r="AO12" i="29"/>
  <c r="BO12" i="29" s="1"/>
  <c r="Q12" i="29"/>
  <c r="BK11" i="29"/>
  <c r="R13" i="29"/>
  <c r="T13" i="29" s="1"/>
  <c r="AI13" i="29" s="1"/>
  <c r="AJ13" i="29" s="1"/>
  <c r="BL13" i="29"/>
  <c r="L13" i="29"/>
  <c r="AG13" i="29" s="1"/>
  <c r="E13" i="29"/>
  <c r="BI13" i="29" s="1"/>
  <c r="BI12" i="29"/>
  <c r="AN13" i="29"/>
  <c r="BR10" i="29"/>
  <c r="AI12" i="29"/>
  <c r="AJ12" i="29" s="1"/>
  <c r="AK12" i="29"/>
  <c r="AL12" i="29" s="1"/>
  <c r="BM12" i="29"/>
  <c r="BC11" i="29"/>
  <c r="BJ11" i="29"/>
  <c r="BG11" i="29"/>
  <c r="BF11" i="29" s="1"/>
  <c r="BH11" i="29"/>
  <c r="AY13" i="29"/>
  <c r="BB13" i="29"/>
  <c r="U12" i="29"/>
  <c r="W12" i="29"/>
  <c r="M14" i="29"/>
  <c r="AV14" i="29"/>
  <c r="N14" i="29"/>
  <c r="I14" i="29"/>
  <c r="S14" i="29" s="1"/>
  <c r="K14" i="29"/>
  <c r="J14" i="29"/>
  <c r="O14" i="29" s="1"/>
  <c r="AS14" i="29"/>
  <c r="C14" i="29"/>
  <c r="R14" i="29" s="1"/>
  <c r="AP14" i="29"/>
  <c r="B15" i="29"/>
  <c r="W11" i="29"/>
  <c r="U11" i="29"/>
  <c r="Z10" i="29"/>
  <c r="AA10" i="29" s="1"/>
  <c r="X10" i="29"/>
  <c r="Y10" i="29" s="1"/>
  <c r="AQ10" i="29"/>
  <c r="AR10" i="29"/>
  <c r="V13" i="29"/>
  <c r="AB14" i="2"/>
  <c r="O14" i="2"/>
  <c r="L14" i="2"/>
  <c r="K15" i="2"/>
  <c r="AG8" i="2"/>
  <c r="J15" i="2"/>
  <c r="O15" i="2" s="1"/>
  <c r="I15" i="2"/>
  <c r="S15" i="2" s="1"/>
  <c r="M15" i="2"/>
  <c r="N15" i="2"/>
  <c r="P7" i="2"/>
  <c r="C15" i="2"/>
  <c r="AP15" i="2"/>
  <c r="AS15" i="2"/>
  <c r="BB15" i="2" s="1"/>
  <c r="AV15" i="2"/>
  <c r="B16" i="2"/>
  <c r="BE9" i="2"/>
  <c r="E10" i="2"/>
  <c r="BI10" i="2" s="1"/>
  <c r="BL10" i="2"/>
  <c r="T9" i="2"/>
  <c r="M12" i="23"/>
  <c r="Z12" i="23" s="1"/>
  <c r="AA12" i="23" s="1"/>
  <c r="AZ12" i="23" s="1"/>
  <c r="K13" i="23"/>
  <c r="L13" i="23" s="1"/>
  <c r="J13" i="23" s="1"/>
  <c r="AL11" i="23"/>
  <c r="AJ11" i="23"/>
  <c r="AY11" i="23"/>
  <c r="BH10" i="23"/>
  <c r="R10" i="2"/>
  <c r="T10" i="2" s="1"/>
  <c r="AX13" i="23"/>
  <c r="AT13" i="23"/>
  <c r="AF10" i="23"/>
  <c r="AG10" i="23"/>
  <c r="D13" i="23"/>
  <c r="BA13" i="23"/>
  <c r="AV11" i="23"/>
  <c r="AU11" i="23" s="1"/>
  <c r="BH11" i="23" s="1"/>
  <c r="AW11" i="23"/>
  <c r="AN13" i="23"/>
  <c r="AQ13" i="23"/>
  <c r="N11" i="23"/>
  <c r="P11" i="23"/>
  <c r="B15" i="23"/>
  <c r="C14" i="23"/>
  <c r="AX14" i="23" s="1"/>
  <c r="I14" i="23"/>
  <c r="AH14" i="23"/>
  <c r="AE14" i="23"/>
  <c r="AK14" i="23"/>
  <c r="AS12" i="23"/>
  <c r="AR12" i="23"/>
  <c r="G34" i="23"/>
  <c r="E34" i="23"/>
  <c r="F34" i="23"/>
  <c r="BD6" i="2"/>
  <c r="BC6" i="2"/>
  <c r="AY10" i="2"/>
  <c r="H7" i="2"/>
  <c r="AJ6" i="2"/>
  <c r="W6" i="2"/>
  <c r="AL6" i="2"/>
  <c r="U4" i="2"/>
  <c r="AL4" i="2"/>
  <c r="AJ4" i="2"/>
  <c r="AL8" i="2"/>
  <c r="W8" i="2"/>
  <c r="AJ8" i="2"/>
  <c r="AJ2" i="2"/>
  <c r="W2" i="2"/>
  <c r="AL2" i="2"/>
  <c r="AL7" i="2"/>
  <c r="AJ7" i="2"/>
  <c r="W7" i="2"/>
  <c r="AL5" i="2"/>
  <c r="AJ5" i="2"/>
  <c r="W5" i="2"/>
  <c r="AJ3" i="2"/>
  <c r="AL3" i="2"/>
  <c r="W3" i="2"/>
  <c r="A11" i="19"/>
  <c r="A12" i="20"/>
  <c r="I11" i="20"/>
  <c r="H11" i="20"/>
  <c r="G7" i="2"/>
  <c r="F7" i="2"/>
  <c r="B7" i="19"/>
  <c r="D14" i="14"/>
  <c r="A19" i="14"/>
  <c r="BX2" i="2"/>
  <c r="C15" i="14"/>
  <c r="E10" i="14"/>
  <c r="E12" i="14"/>
  <c r="E11" i="14"/>
  <c r="E14" i="14"/>
  <c r="E16" i="14"/>
  <c r="E15" i="14"/>
  <c r="E13" i="14"/>
  <c r="B18" i="14"/>
  <c r="R3" i="3"/>
  <c r="P3" i="3"/>
  <c r="Q3" i="3"/>
  <c r="J4" i="3"/>
  <c r="N4" i="3"/>
  <c r="K4" i="3"/>
  <c r="Q4" i="3" s="1"/>
  <c r="A5" i="3"/>
  <c r="M4" i="3"/>
  <c r="I4" i="3"/>
  <c r="N129" i="32" l="1"/>
  <c r="R127" i="32"/>
  <c r="BC12" i="29"/>
  <c r="A55" i="30"/>
  <c r="D54" i="30"/>
  <c r="G13" i="29"/>
  <c r="F13" i="29"/>
  <c r="H13" i="29"/>
  <c r="T14" i="29"/>
  <c r="AI14" i="29" s="1"/>
  <c r="AJ14" i="29" s="1"/>
  <c r="AO13" i="29"/>
  <c r="BO13" i="29" s="1"/>
  <c r="Q13" i="29"/>
  <c r="P13" i="29"/>
  <c r="BM13" i="29"/>
  <c r="BS11" i="29"/>
  <c r="BE13" i="29"/>
  <c r="BG13" i="29" s="1"/>
  <c r="BF13" i="29" s="1"/>
  <c r="BD13" i="29"/>
  <c r="BC13" i="29"/>
  <c r="AK13" i="29"/>
  <c r="AL13" i="29" s="1"/>
  <c r="BJ13" i="29" s="1"/>
  <c r="BJ12" i="29"/>
  <c r="BK12" i="29"/>
  <c r="E14" i="29"/>
  <c r="BI14" i="29" s="1"/>
  <c r="L14" i="29"/>
  <c r="H14" i="29" s="1"/>
  <c r="BG12" i="29"/>
  <c r="BF12" i="29" s="1"/>
  <c r="BH12" i="29"/>
  <c r="BL14" i="29"/>
  <c r="AN14" i="29"/>
  <c r="BR11" i="29"/>
  <c r="L15" i="2"/>
  <c r="AT10" i="29"/>
  <c r="AU10" i="29"/>
  <c r="X11" i="29"/>
  <c r="Y11" i="29" s="1"/>
  <c r="Z11" i="29"/>
  <c r="AA11" i="29" s="1"/>
  <c r="AR11" i="29"/>
  <c r="AQ11" i="29"/>
  <c r="AB14" i="29"/>
  <c r="AQ12" i="29"/>
  <c r="Z12" i="29"/>
  <c r="AA12" i="29" s="1"/>
  <c r="X12" i="29"/>
  <c r="Y12" i="29" s="1"/>
  <c r="AR12" i="29"/>
  <c r="U13" i="29"/>
  <c r="W13" i="29"/>
  <c r="AW10" i="29"/>
  <c r="AX10" i="29"/>
  <c r="BB14" i="29"/>
  <c r="AY14" i="29"/>
  <c r="AS15" i="29"/>
  <c r="C15" i="29"/>
  <c r="AN15" i="29" s="1"/>
  <c r="N15" i="29"/>
  <c r="AP15" i="29"/>
  <c r="B16" i="29"/>
  <c r="M15" i="29"/>
  <c r="AV15" i="29"/>
  <c r="J15" i="29"/>
  <c r="O15" i="29" s="1"/>
  <c r="I15" i="29"/>
  <c r="S15" i="29" s="1"/>
  <c r="K15" i="29"/>
  <c r="AB15" i="2"/>
  <c r="V10" i="2"/>
  <c r="W10" i="2" s="1"/>
  <c r="AK10" i="2"/>
  <c r="AL10" i="2" s="1"/>
  <c r="AI10" i="2"/>
  <c r="AJ10" i="2" s="1"/>
  <c r="V9" i="2"/>
  <c r="W9" i="2" s="1"/>
  <c r="AK9" i="2"/>
  <c r="AL9" i="2" s="1"/>
  <c r="BK9" i="2" s="1"/>
  <c r="AI9" i="2"/>
  <c r="AJ9" i="2" s="1"/>
  <c r="BH9" i="2" s="1"/>
  <c r="Z8" i="2"/>
  <c r="AA8" i="2" s="1"/>
  <c r="X8" i="2"/>
  <c r="Y8" i="2" s="1"/>
  <c r="G16" i="14" s="1"/>
  <c r="X3" i="2"/>
  <c r="Y3" i="2" s="1"/>
  <c r="G11" i="14" s="1"/>
  <c r="Z3" i="2"/>
  <c r="AA3" i="2" s="1"/>
  <c r="X7" i="2"/>
  <c r="Y7" i="2" s="1"/>
  <c r="G15" i="14" s="1"/>
  <c r="Z7" i="2"/>
  <c r="AA7" i="2" s="1"/>
  <c r="Z5" i="2"/>
  <c r="AA5" i="2" s="1"/>
  <c r="X5" i="2"/>
  <c r="Y5" i="2" s="1"/>
  <c r="AT5" i="2" s="1"/>
  <c r="X6" i="2"/>
  <c r="Y6" i="2" s="1"/>
  <c r="G14" i="14" s="1"/>
  <c r="Z6" i="2"/>
  <c r="AA6" i="2" s="1"/>
  <c r="K16" i="2"/>
  <c r="AG9" i="2"/>
  <c r="J16" i="2"/>
  <c r="O16" i="2" s="1"/>
  <c r="I16" i="2"/>
  <c r="S16" i="2" s="1"/>
  <c r="M16" i="2"/>
  <c r="N16" i="2"/>
  <c r="P8" i="2"/>
  <c r="X2" i="2"/>
  <c r="Y2" i="2" s="1"/>
  <c r="AU2" i="2" s="1"/>
  <c r="Z2" i="2"/>
  <c r="AA2" i="2" s="1"/>
  <c r="H10" i="14" s="1"/>
  <c r="C16" i="2"/>
  <c r="AP16" i="2"/>
  <c r="AS16" i="2"/>
  <c r="BB16" i="2" s="1"/>
  <c r="B17" i="2"/>
  <c r="AV16" i="2"/>
  <c r="AQ3" i="2"/>
  <c r="AQ2" i="2"/>
  <c r="Q10" i="2"/>
  <c r="Q9" i="2"/>
  <c r="BE10" i="2"/>
  <c r="E11" i="2"/>
  <c r="BI11" i="2" s="1"/>
  <c r="BL11" i="2"/>
  <c r="E17" i="14"/>
  <c r="M13" i="23"/>
  <c r="Z13" i="23" s="1"/>
  <c r="AA13" i="23" s="1"/>
  <c r="AY13" i="23" s="1"/>
  <c r="BM9" i="2"/>
  <c r="S12" i="23"/>
  <c r="T12" i="23" s="1"/>
  <c r="AM12" i="23" s="1"/>
  <c r="Q12" i="23"/>
  <c r="R12" i="23" s="1"/>
  <c r="AI12" i="23" s="1"/>
  <c r="AD12" i="23"/>
  <c r="BD12" i="23" s="1"/>
  <c r="O12" i="23"/>
  <c r="P12" i="23" s="1"/>
  <c r="BB12" i="23"/>
  <c r="X12" i="23"/>
  <c r="Y12" i="23" s="1"/>
  <c r="AW12" i="23" s="1"/>
  <c r="BM10" i="2"/>
  <c r="K14" i="23"/>
  <c r="L14" i="23" s="1"/>
  <c r="J14" i="23" s="1"/>
  <c r="BG11" i="23"/>
  <c r="R11" i="2"/>
  <c r="AY12" i="23"/>
  <c r="AQ14" i="23"/>
  <c r="AN14" i="23"/>
  <c r="AR13" i="23"/>
  <c r="AS13" i="23"/>
  <c r="AC14" i="23"/>
  <c r="D14" i="23"/>
  <c r="B16" i="23"/>
  <c r="C15" i="23"/>
  <c r="AT15" i="23" s="1"/>
  <c r="I15" i="23"/>
  <c r="AH15" i="23"/>
  <c r="AE15" i="23"/>
  <c r="AK15" i="23"/>
  <c r="BA14" i="23"/>
  <c r="AT14" i="23"/>
  <c r="AG11" i="23"/>
  <c r="AF11" i="23"/>
  <c r="F35" i="23"/>
  <c r="G35" i="23"/>
  <c r="E35" i="23"/>
  <c r="K2" i="20"/>
  <c r="H5" i="20" s="1"/>
  <c r="F16" i="14"/>
  <c r="U8" i="2"/>
  <c r="BJ2" i="2"/>
  <c r="BK2" i="2"/>
  <c r="BK5" i="2"/>
  <c r="BJ5" i="2"/>
  <c r="BK3" i="2"/>
  <c r="BJ3" i="2"/>
  <c r="BK7" i="2"/>
  <c r="BJ7" i="2"/>
  <c r="BJ4" i="2"/>
  <c r="BK4" i="2"/>
  <c r="BJ6" i="2"/>
  <c r="BK6" i="2"/>
  <c r="BJ8" i="2"/>
  <c r="BK8" i="2"/>
  <c r="BC7" i="2"/>
  <c r="BD7" i="2"/>
  <c r="U3" i="2"/>
  <c r="U5" i="2"/>
  <c r="U6" i="2"/>
  <c r="U7" i="2"/>
  <c r="F15" i="14"/>
  <c r="AR3" i="2"/>
  <c r="F13" i="14"/>
  <c r="F14" i="14"/>
  <c r="AY11" i="2"/>
  <c r="W4" i="2"/>
  <c r="AR2" i="2"/>
  <c r="H8" i="2"/>
  <c r="BH6" i="2"/>
  <c r="BG6" i="2"/>
  <c r="BF6" i="2" s="1"/>
  <c r="BH5" i="2"/>
  <c r="BG5" i="2"/>
  <c r="BF5" i="2" s="1"/>
  <c r="BH8" i="2"/>
  <c r="BG8" i="2"/>
  <c r="BF8" i="2" s="1"/>
  <c r="BH3" i="2"/>
  <c r="BG3" i="2"/>
  <c r="BF3" i="2" s="1"/>
  <c r="BH4" i="2"/>
  <c r="BG4" i="2"/>
  <c r="BF4" i="2" s="1"/>
  <c r="BH2" i="2"/>
  <c r="BG2" i="2"/>
  <c r="BF2" i="2" s="1"/>
  <c r="BH7" i="2"/>
  <c r="BG7" i="2"/>
  <c r="BF7" i="2" s="1"/>
  <c r="A13" i="20"/>
  <c r="H13" i="20" s="1"/>
  <c r="I12" i="20"/>
  <c r="H12" i="20"/>
  <c r="F11" i="14"/>
  <c r="F8" i="2"/>
  <c r="G8" i="2"/>
  <c r="F10" i="14"/>
  <c r="U2" i="2"/>
  <c r="A12" i="19"/>
  <c r="B8" i="19"/>
  <c r="D15" i="14"/>
  <c r="C16" i="14"/>
  <c r="D16" i="14" s="1"/>
  <c r="A20" i="14"/>
  <c r="E18" i="14"/>
  <c r="I11" i="14"/>
  <c r="B19" i="14"/>
  <c r="J10" i="14"/>
  <c r="I10" i="14"/>
  <c r="P4" i="3"/>
  <c r="R4" i="3"/>
  <c r="AQ5" i="2"/>
  <c r="K5" i="3"/>
  <c r="L5" i="3"/>
  <c r="A6" i="3"/>
  <c r="M5" i="3"/>
  <c r="I5" i="3"/>
  <c r="N5" i="3"/>
  <c r="J5" i="3"/>
  <c r="N131" i="32" l="1"/>
  <c r="R129" i="32"/>
  <c r="A56" i="30"/>
  <c r="D55" i="30"/>
  <c r="Q14" i="29"/>
  <c r="V14" i="29"/>
  <c r="W14" i="29" s="1"/>
  <c r="AK14" i="29"/>
  <c r="AL14" i="29" s="1"/>
  <c r="BK14" i="29" s="1"/>
  <c r="BM14" i="29"/>
  <c r="AO14" i="29"/>
  <c r="BO14" i="29" s="1"/>
  <c r="BL15" i="29"/>
  <c r="E15" i="29"/>
  <c r="BE15" i="29" s="1"/>
  <c r="BE14" i="29"/>
  <c r="BG14" i="29" s="1"/>
  <c r="BF14" i="29" s="1"/>
  <c r="BS12" i="29"/>
  <c r="BH13" i="29"/>
  <c r="BR13" i="29" s="1"/>
  <c r="BK13" i="29"/>
  <c r="BS13" i="29" s="1"/>
  <c r="L15" i="29"/>
  <c r="P15" i="29" s="1"/>
  <c r="BR12" i="29"/>
  <c r="BH14" i="29"/>
  <c r="F14" i="29"/>
  <c r="G14" i="29"/>
  <c r="AG14" i="29"/>
  <c r="BC14" i="29" s="1"/>
  <c r="P14" i="29"/>
  <c r="B17" i="29"/>
  <c r="CD17" i="29" s="1"/>
  <c r="N16" i="29"/>
  <c r="I16" i="29"/>
  <c r="S16" i="29" s="1"/>
  <c r="AV16" i="29"/>
  <c r="J16" i="29"/>
  <c r="O16" i="29" s="1"/>
  <c r="K16" i="29"/>
  <c r="AP16" i="29"/>
  <c r="AS16" i="29"/>
  <c r="C16" i="29"/>
  <c r="AN16" i="29" s="1"/>
  <c r="M16" i="29"/>
  <c r="BB15" i="29"/>
  <c r="AY15" i="29"/>
  <c r="Z13" i="29"/>
  <c r="AA13" i="29" s="1"/>
  <c r="X13" i="29"/>
  <c r="Y13" i="29" s="1"/>
  <c r="AQ13" i="29"/>
  <c r="AR13" i="29"/>
  <c r="AW12" i="29"/>
  <c r="AX12" i="29"/>
  <c r="AU11" i="29"/>
  <c r="AT11" i="29"/>
  <c r="H15" i="29"/>
  <c r="R15" i="29"/>
  <c r="T15" i="29" s="1"/>
  <c r="AB15" i="29"/>
  <c r="AU12" i="29"/>
  <c r="AT12" i="29"/>
  <c r="AX11" i="29"/>
  <c r="AW11" i="29"/>
  <c r="AB16" i="2"/>
  <c r="AK17" i="2"/>
  <c r="AI17" i="2"/>
  <c r="Z10" i="2"/>
  <c r="AA10" i="2" s="1"/>
  <c r="AW10" i="2" s="1"/>
  <c r="X10" i="2"/>
  <c r="Y10" i="2" s="1"/>
  <c r="L16" i="2"/>
  <c r="Z4" i="2"/>
  <c r="AA4" i="2" s="1"/>
  <c r="X4" i="2"/>
  <c r="Y4" i="2" s="1"/>
  <c r="V17" i="2"/>
  <c r="L17" i="2"/>
  <c r="S17" i="2"/>
  <c r="Z9" i="2"/>
  <c r="AA9" i="2" s="1"/>
  <c r="AX9" i="2" s="1"/>
  <c r="X9" i="2"/>
  <c r="Y9" i="2" s="1"/>
  <c r="AT9" i="2" s="1"/>
  <c r="K17" i="2"/>
  <c r="AG10" i="2"/>
  <c r="I17" i="2"/>
  <c r="J17" i="2"/>
  <c r="M17" i="2"/>
  <c r="N17" i="2"/>
  <c r="AD13" i="23"/>
  <c r="BD13" i="23" s="1"/>
  <c r="P9" i="2"/>
  <c r="G10" i="14"/>
  <c r="AU8" i="2"/>
  <c r="C17" i="2"/>
  <c r="AU3" i="2"/>
  <c r="G13" i="14"/>
  <c r="AT6" i="2"/>
  <c r="AP17" i="2"/>
  <c r="AS17" i="2"/>
  <c r="BB17" i="2" s="1"/>
  <c r="AV17" i="2"/>
  <c r="B18" i="2"/>
  <c r="AU6" i="2"/>
  <c r="AT2" i="2"/>
  <c r="AT7" i="2"/>
  <c r="AT8" i="2"/>
  <c r="AU7" i="2"/>
  <c r="AQ4" i="2"/>
  <c r="AT3" i="2"/>
  <c r="AU5" i="2"/>
  <c r="AX8" i="2"/>
  <c r="AW8" i="2"/>
  <c r="AX6" i="2"/>
  <c r="AW6" i="2"/>
  <c r="AX2" i="2"/>
  <c r="AW2" i="2"/>
  <c r="AW5" i="2"/>
  <c r="AX5" i="2"/>
  <c r="AX3" i="2"/>
  <c r="AW3" i="2"/>
  <c r="F17" i="14"/>
  <c r="AX7" i="2"/>
  <c r="AW7" i="2"/>
  <c r="BE11" i="2"/>
  <c r="AL12" i="23"/>
  <c r="N12" i="23"/>
  <c r="BL12" i="2"/>
  <c r="E12" i="2"/>
  <c r="BI12" i="2" s="1"/>
  <c r="U9" i="2"/>
  <c r="BG9" i="2"/>
  <c r="BF9" i="2" s="1"/>
  <c r="BS9" i="2" s="1"/>
  <c r="BJ9" i="2"/>
  <c r="Q13" i="23"/>
  <c r="R13" i="23" s="1"/>
  <c r="AI13" i="23" s="1"/>
  <c r="BG12" i="23"/>
  <c r="BB13" i="23"/>
  <c r="O13" i="23"/>
  <c r="P13" i="23" s="1"/>
  <c r="S13" i="23"/>
  <c r="T13" i="23" s="1"/>
  <c r="AM13" i="23" s="1"/>
  <c r="T11" i="2"/>
  <c r="X13" i="23"/>
  <c r="Y13" i="23" s="1"/>
  <c r="AW13" i="23" s="1"/>
  <c r="BG13" i="23" s="1"/>
  <c r="AV12" i="23"/>
  <c r="AU12" i="23" s="1"/>
  <c r="BH12" i="23" s="1"/>
  <c r="AJ12" i="23"/>
  <c r="M14" i="23"/>
  <c r="BB14" i="23" s="1"/>
  <c r="K15" i="23"/>
  <c r="L15" i="23" s="1"/>
  <c r="M15" i="23" s="1"/>
  <c r="R12" i="2"/>
  <c r="AZ13" i="23"/>
  <c r="AX15" i="23"/>
  <c r="AC15" i="23"/>
  <c r="BA15" i="23"/>
  <c r="C16" i="23"/>
  <c r="AX16" i="23" s="1"/>
  <c r="B17" i="23"/>
  <c r="BT17" i="23" s="1"/>
  <c r="I16" i="23"/>
  <c r="AK16" i="23"/>
  <c r="AH16" i="23"/>
  <c r="AE16" i="23"/>
  <c r="AF12" i="23"/>
  <c r="AG12" i="23"/>
  <c r="AQ15" i="23"/>
  <c r="AN15" i="23"/>
  <c r="D15" i="23"/>
  <c r="AS14" i="23"/>
  <c r="AR14" i="23"/>
  <c r="E36" i="23"/>
  <c r="F36" i="23"/>
  <c r="G36" i="23"/>
  <c r="H4" i="20"/>
  <c r="H7" i="20"/>
  <c r="H3" i="20"/>
  <c r="H6" i="20"/>
  <c r="BS4" i="2"/>
  <c r="BS2" i="2"/>
  <c r="BS6" i="2"/>
  <c r="F18" i="14"/>
  <c r="I13" i="20"/>
  <c r="BS8" i="2"/>
  <c r="BS7" i="2"/>
  <c r="BS5" i="2"/>
  <c r="BS3" i="2"/>
  <c r="BJ10" i="2"/>
  <c r="BK10" i="2"/>
  <c r="BD8" i="2"/>
  <c r="BC8" i="2"/>
  <c r="U10" i="2"/>
  <c r="AY12" i="2"/>
  <c r="H9" i="2"/>
  <c r="AR5" i="2"/>
  <c r="AR4" i="2"/>
  <c r="F12" i="14"/>
  <c r="BH10" i="2"/>
  <c r="BG10" i="2"/>
  <c r="BF10" i="2" s="1"/>
  <c r="A14" i="20"/>
  <c r="H14" i="20" s="1"/>
  <c r="G9" i="2"/>
  <c r="F9" i="2"/>
  <c r="A13" i="19"/>
  <c r="B9" i="19"/>
  <c r="C17" i="14"/>
  <c r="A21" i="14"/>
  <c r="J11" i="14"/>
  <c r="BR3" i="2"/>
  <c r="J12" i="14"/>
  <c r="B20" i="14"/>
  <c r="BR2" i="2"/>
  <c r="H11" i="14"/>
  <c r="R5" i="3"/>
  <c r="Q5" i="3"/>
  <c r="P5" i="3"/>
  <c r="AQ6" i="2"/>
  <c r="K6" i="3"/>
  <c r="L6" i="3"/>
  <c r="A7" i="3"/>
  <c r="M6" i="3"/>
  <c r="I6" i="3"/>
  <c r="N6" i="3"/>
  <c r="J6" i="3"/>
  <c r="Q14" i="23" l="1"/>
  <c r="R14" i="23" s="1"/>
  <c r="AJ14" i="23" s="1"/>
  <c r="N133" i="32"/>
  <c r="R131" i="32"/>
  <c r="A57" i="30"/>
  <c r="D56" i="30"/>
  <c r="U14" i="29"/>
  <c r="BJ14" i="29"/>
  <c r="BR14" i="29" s="1"/>
  <c r="G15" i="29"/>
  <c r="F15" i="29"/>
  <c r="BI15" i="29"/>
  <c r="BL16" i="29"/>
  <c r="E16" i="29"/>
  <c r="BI16" i="29" s="1"/>
  <c r="BS14" i="29"/>
  <c r="AG15" i="29"/>
  <c r="L16" i="29"/>
  <c r="P16" i="29" s="1"/>
  <c r="BD14" i="29"/>
  <c r="Q15" i="29"/>
  <c r="AI15" i="29"/>
  <c r="AJ15" i="29" s="1"/>
  <c r="AK15" i="29"/>
  <c r="AL15" i="29" s="1"/>
  <c r="V15" i="29"/>
  <c r="AU13" i="29"/>
  <c r="AT13" i="29"/>
  <c r="R16" i="29"/>
  <c r="T16" i="29" s="1"/>
  <c r="AB16" i="29"/>
  <c r="AK17" i="29"/>
  <c r="BL17" i="29"/>
  <c r="C17" i="29"/>
  <c r="CJ17" i="29"/>
  <c r="CK17" i="29" s="1"/>
  <c r="E17" i="29"/>
  <c r="S17" i="29"/>
  <c r="L17" i="29"/>
  <c r="AV17" i="29"/>
  <c r="R17" i="29"/>
  <c r="T17" i="29" s="1"/>
  <c r="Q17" i="29" s="1"/>
  <c r="AP17" i="29"/>
  <c r="CI17" i="29"/>
  <c r="AS17" i="29"/>
  <c r="V17" i="29"/>
  <c r="B18" i="29"/>
  <c r="CD18" i="29" s="1"/>
  <c r="AN17" i="29"/>
  <c r="N17" i="29"/>
  <c r="M17" i="29"/>
  <c r="CE17" i="29"/>
  <c r="CF17" i="29" s="1"/>
  <c r="P17" i="29"/>
  <c r="AI17" i="29"/>
  <c r="CH17" i="29"/>
  <c r="K17" i="29"/>
  <c r="J17" i="29"/>
  <c r="I17" i="29"/>
  <c r="BI17" i="29"/>
  <c r="BE17" i="29"/>
  <c r="AX13" i="29"/>
  <c r="AW13" i="29"/>
  <c r="AY16" i="29"/>
  <c r="BB16" i="29"/>
  <c r="AO15" i="29"/>
  <c r="BO15" i="29" s="1"/>
  <c r="BM15" i="29"/>
  <c r="Z14" i="29"/>
  <c r="AA14" i="29" s="1"/>
  <c r="X14" i="29"/>
  <c r="Y14" i="29" s="1"/>
  <c r="AR14" i="29"/>
  <c r="AQ14" i="29"/>
  <c r="AB17" i="2"/>
  <c r="AI18" i="2"/>
  <c r="AK18" i="2"/>
  <c r="V11" i="2"/>
  <c r="W11" i="2" s="1"/>
  <c r="AI11" i="2"/>
  <c r="AJ11" i="2" s="1"/>
  <c r="BH11" i="2" s="1"/>
  <c r="AK11" i="2"/>
  <c r="AL11" i="2" s="1"/>
  <c r="BK11" i="2" s="1"/>
  <c r="V18" i="2"/>
  <c r="L18" i="2"/>
  <c r="S18" i="2"/>
  <c r="K18" i="2"/>
  <c r="J18" i="2"/>
  <c r="I18" i="2"/>
  <c r="M18" i="2"/>
  <c r="N18" i="2"/>
  <c r="N13" i="23"/>
  <c r="P10" i="2"/>
  <c r="AV13" i="23"/>
  <c r="AU13" i="23" s="1"/>
  <c r="BH13" i="23" s="1"/>
  <c r="C18" i="2"/>
  <c r="AW9" i="2"/>
  <c r="AP18" i="2"/>
  <c r="AS18" i="2"/>
  <c r="BB18" i="2" s="1"/>
  <c r="AV18" i="2"/>
  <c r="B19" i="2"/>
  <c r="AU9" i="2"/>
  <c r="G17" i="14"/>
  <c r="AX4" i="2"/>
  <c r="AW4" i="2"/>
  <c r="AX10" i="2"/>
  <c r="AU4" i="2"/>
  <c r="AT4" i="2"/>
  <c r="G12" i="14"/>
  <c r="Q11" i="2"/>
  <c r="BE12" i="2"/>
  <c r="BL13" i="2"/>
  <c r="E13" i="2"/>
  <c r="BI13" i="2" s="1"/>
  <c r="BM11" i="2"/>
  <c r="E19" i="14"/>
  <c r="AJ13" i="23"/>
  <c r="AL13" i="23"/>
  <c r="T12" i="2"/>
  <c r="J15" i="23"/>
  <c r="O14" i="23"/>
  <c r="N14" i="23" s="1"/>
  <c r="Z14" i="23"/>
  <c r="AA14" i="23" s="1"/>
  <c r="AY14" i="23" s="1"/>
  <c r="AD14" i="23"/>
  <c r="BD14" i="23" s="1"/>
  <c r="X14" i="23"/>
  <c r="Y14" i="23" s="1"/>
  <c r="AW14" i="23" s="1"/>
  <c r="S14" i="23"/>
  <c r="T14" i="23" s="1"/>
  <c r="AM14" i="23" s="1"/>
  <c r="K16" i="23"/>
  <c r="L16" i="23" s="1"/>
  <c r="M16" i="23" s="1"/>
  <c r="BB15" i="23"/>
  <c r="BA16" i="23"/>
  <c r="AI14" i="23"/>
  <c r="Q15" i="23"/>
  <c r="R15" i="23" s="1"/>
  <c r="AI15" i="23" s="1"/>
  <c r="Z15" i="23"/>
  <c r="AA15" i="23" s="1"/>
  <c r="AY15" i="23" s="1"/>
  <c r="S15" i="23"/>
  <c r="T15" i="23" s="1"/>
  <c r="AM15" i="23" s="1"/>
  <c r="R13" i="2"/>
  <c r="AT16" i="23"/>
  <c r="C17" i="23"/>
  <c r="AC17" i="23" s="1"/>
  <c r="B18" i="23"/>
  <c r="BT18" i="23" s="1"/>
  <c r="I17" i="23"/>
  <c r="AE17" i="23"/>
  <c r="AK17" i="23"/>
  <c r="AH17" i="23"/>
  <c r="X15" i="23"/>
  <c r="Y15" i="23" s="1"/>
  <c r="O15" i="23"/>
  <c r="AS15" i="23"/>
  <c r="AR15" i="23"/>
  <c r="AQ16" i="23"/>
  <c r="AN16" i="23"/>
  <c r="AD15" i="23"/>
  <c r="BD15" i="23" s="1"/>
  <c r="AF13" i="23"/>
  <c r="AG13" i="23"/>
  <c r="AC16" i="23"/>
  <c r="D16" i="23"/>
  <c r="E37" i="23"/>
  <c r="G37" i="23"/>
  <c r="F37" i="23"/>
  <c r="E3" i="19"/>
  <c r="BS10" i="2"/>
  <c r="BD9" i="2"/>
  <c r="BC9" i="2"/>
  <c r="I14" i="20"/>
  <c r="G18" i="14"/>
  <c r="AU10" i="2"/>
  <c r="AT10" i="2"/>
  <c r="AR6" i="2"/>
  <c r="H10" i="2"/>
  <c r="AY13" i="2"/>
  <c r="A15" i="20"/>
  <c r="I15" i="20" s="1"/>
  <c r="G10" i="2"/>
  <c r="F10" i="2"/>
  <c r="A14" i="19"/>
  <c r="E2" i="19"/>
  <c r="B10" i="19"/>
  <c r="D17" i="14"/>
  <c r="C18" i="14"/>
  <c r="A22" i="14"/>
  <c r="BR4" i="2"/>
  <c r="I12" i="14"/>
  <c r="I13" i="14"/>
  <c r="J13" i="14"/>
  <c r="B21" i="14"/>
  <c r="H12" i="14"/>
  <c r="Q6" i="3"/>
  <c r="P6" i="3"/>
  <c r="R6" i="3"/>
  <c r="AQ7" i="2"/>
  <c r="K7" i="3"/>
  <c r="L7" i="3"/>
  <c r="A8" i="3"/>
  <c r="M7" i="3"/>
  <c r="I7" i="3"/>
  <c r="N7" i="3"/>
  <c r="J7" i="3"/>
  <c r="N135" i="32" l="1"/>
  <c r="R133" i="32"/>
  <c r="A58" i="30"/>
  <c r="D57" i="30"/>
  <c r="BE16" i="29"/>
  <c r="BC15" i="29"/>
  <c r="BD15" i="29"/>
  <c r="G16" i="29"/>
  <c r="H16" i="29"/>
  <c r="AG16" i="29"/>
  <c r="BD16" i="29" s="1"/>
  <c r="F16" i="29"/>
  <c r="AO17" i="29"/>
  <c r="BO17" i="29" s="1"/>
  <c r="W15" i="29"/>
  <c r="U15" i="29"/>
  <c r="AX14" i="29"/>
  <c r="AW14" i="29"/>
  <c r="BM16" i="29"/>
  <c r="AK16" i="29"/>
  <c r="AL16" i="29" s="1"/>
  <c r="AI16" i="29"/>
  <c r="AJ16" i="29" s="1"/>
  <c r="BH15" i="29"/>
  <c r="BG15" i="29"/>
  <c r="BF15" i="29" s="1"/>
  <c r="BK15" i="29"/>
  <c r="BJ15" i="29"/>
  <c r="W17" i="29"/>
  <c r="AQ17" i="29" s="1"/>
  <c r="U17" i="29"/>
  <c r="AO16" i="29"/>
  <c r="BO16" i="29" s="1"/>
  <c r="AT14" i="29"/>
  <c r="AU14" i="29"/>
  <c r="AY17" i="29"/>
  <c r="BB17" i="29"/>
  <c r="AG17" i="29"/>
  <c r="G17" i="29"/>
  <c r="F17" i="29"/>
  <c r="H17" i="29"/>
  <c r="AL17" i="29"/>
  <c r="BK17" i="29" s="1"/>
  <c r="Y17" i="29"/>
  <c r="AU17" i="29" s="1"/>
  <c r="AJ17" i="29"/>
  <c r="BG17" i="29" s="1"/>
  <c r="BF17" i="29" s="1"/>
  <c r="AA17" i="29"/>
  <c r="AW17" i="29" s="1"/>
  <c r="AB17" i="29"/>
  <c r="V18" i="29"/>
  <c r="L18" i="29"/>
  <c r="J18" i="29"/>
  <c r="I18" i="29"/>
  <c r="BI18" i="29"/>
  <c r="AG18" i="29"/>
  <c r="AV18" i="29"/>
  <c r="AI18" i="29"/>
  <c r="CJ18" i="29"/>
  <c r="CK18" i="29" s="1"/>
  <c r="E18" i="29"/>
  <c r="BE18" i="29"/>
  <c r="B19" i="29"/>
  <c r="CD19" i="29" s="1"/>
  <c r="AN18" i="29"/>
  <c r="AK18" i="29"/>
  <c r="R18" i="29"/>
  <c r="T18" i="29" s="1"/>
  <c r="Q18" i="29" s="1"/>
  <c r="AP18" i="29"/>
  <c r="CI18" i="29"/>
  <c r="AS18" i="29"/>
  <c r="CH18" i="29"/>
  <c r="K18" i="29"/>
  <c r="S18" i="29"/>
  <c r="N18" i="29"/>
  <c r="M18" i="29"/>
  <c r="CE18" i="29"/>
  <c r="CF18" i="29" s="1"/>
  <c r="P18" i="29"/>
  <c r="BL18" i="29"/>
  <c r="C18" i="29"/>
  <c r="AR17" i="29"/>
  <c r="BM17" i="29"/>
  <c r="V16" i="29"/>
  <c r="Q16" i="29"/>
  <c r="AB18" i="2"/>
  <c r="AI19" i="2"/>
  <c r="AK19" i="2"/>
  <c r="V12" i="2"/>
  <c r="U12" i="2" s="1"/>
  <c r="AI12" i="2"/>
  <c r="AJ12" i="2" s="1"/>
  <c r="BG12" i="2" s="1"/>
  <c r="BF12" i="2" s="1"/>
  <c r="AK12" i="2"/>
  <c r="AL12" i="2" s="1"/>
  <c r="BK12" i="2" s="1"/>
  <c r="X11" i="2"/>
  <c r="Y11" i="2" s="1"/>
  <c r="AU11" i="2" s="1"/>
  <c r="Z11" i="2"/>
  <c r="AA11" i="2" s="1"/>
  <c r="AX11" i="2" s="1"/>
  <c r="V19" i="2"/>
  <c r="L19" i="2"/>
  <c r="S19" i="2"/>
  <c r="AG11" i="2"/>
  <c r="K19" i="2"/>
  <c r="J19" i="2"/>
  <c r="I19" i="2"/>
  <c r="M19" i="2"/>
  <c r="N19" i="2"/>
  <c r="P11" i="2"/>
  <c r="C19" i="2"/>
  <c r="J16" i="23"/>
  <c r="AP19" i="2"/>
  <c r="AS19" i="2"/>
  <c r="BB19" i="2" s="1"/>
  <c r="AV19" i="2"/>
  <c r="B20" i="2"/>
  <c r="F19" i="14"/>
  <c r="Q12" i="2"/>
  <c r="BE13" i="2"/>
  <c r="P14" i="23"/>
  <c r="AG14" i="23" s="1"/>
  <c r="BL14" i="2"/>
  <c r="E14" i="2"/>
  <c r="BI14" i="2" s="1"/>
  <c r="BJ11" i="2"/>
  <c r="E20" i="14"/>
  <c r="BG11" i="2"/>
  <c r="BF11" i="2" s="1"/>
  <c r="BS11" i="2" s="1"/>
  <c r="U11" i="2"/>
  <c r="BM12" i="2"/>
  <c r="T13" i="2"/>
  <c r="BG14" i="23"/>
  <c r="AV14" i="23"/>
  <c r="AU14" i="23" s="1"/>
  <c r="AZ14" i="23"/>
  <c r="AL14" i="23"/>
  <c r="K17" i="23"/>
  <c r="L17" i="23" s="1"/>
  <c r="J17" i="23" s="1"/>
  <c r="BB16" i="23"/>
  <c r="AX17" i="23"/>
  <c r="AJ15" i="23"/>
  <c r="AL15" i="23"/>
  <c r="AZ15" i="23"/>
  <c r="Q16" i="23"/>
  <c r="R16" i="23" s="1"/>
  <c r="AI16" i="23" s="1"/>
  <c r="Z16" i="23"/>
  <c r="AA16" i="23" s="1"/>
  <c r="AY16" i="23" s="1"/>
  <c r="S16" i="23"/>
  <c r="T16" i="23" s="1"/>
  <c r="AL16" i="23" s="1"/>
  <c r="R14" i="2"/>
  <c r="BA17" i="23"/>
  <c r="AT17" i="23"/>
  <c r="AS16" i="23"/>
  <c r="AR16" i="23"/>
  <c r="N15" i="23"/>
  <c r="P15" i="23"/>
  <c r="AD16" i="23"/>
  <c r="BD16" i="23" s="1"/>
  <c r="AV15" i="23"/>
  <c r="AU15" i="23" s="1"/>
  <c r="AW15" i="23"/>
  <c r="BG15" i="23" s="1"/>
  <c r="AN17" i="23"/>
  <c r="AQ17" i="23"/>
  <c r="D17" i="23"/>
  <c r="O16" i="23"/>
  <c r="X16" i="23"/>
  <c r="Y16" i="23" s="1"/>
  <c r="C18" i="23"/>
  <c r="AT18" i="23" s="1"/>
  <c r="B19" i="23"/>
  <c r="BT19" i="23" s="1"/>
  <c r="I18" i="23"/>
  <c r="AK18" i="23"/>
  <c r="AH18" i="23"/>
  <c r="AE18" i="23"/>
  <c r="G38" i="23"/>
  <c r="F38" i="23"/>
  <c r="E38" i="23"/>
  <c r="E4" i="19"/>
  <c r="BD10" i="2"/>
  <c r="BC10" i="2"/>
  <c r="AR7" i="2"/>
  <c r="AY14" i="2"/>
  <c r="H15" i="20"/>
  <c r="A16" i="20"/>
  <c r="H16" i="20" s="1"/>
  <c r="H11" i="2"/>
  <c r="G11" i="2"/>
  <c r="F11" i="2"/>
  <c r="A15" i="19"/>
  <c r="B11" i="19"/>
  <c r="D18" i="14"/>
  <c r="C19" i="14"/>
  <c r="D19" i="14" s="1"/>
  <c r="A23" i="14"/>
  <c r="I14" i="14"/>
  <c r="J14" i="14"/>
  <c r="B22" i="14"/>
  <c r="H13" i="14"/>
  <c r="P7" i="3"/>
  <c r="Q7" i="3"/>
  <c r="R7" i="3"/>
  <c r="AQ8" i="2"/>
  <c r="K8" i="3"/>
  <c r="L8" i="3"/>
  <c r="A9" i="3"/>
  <c r="M8" i="3"/>
  <c r="I8" i="3"/>
  <c r="N8" i="3"/>
  <c r="J8" i="3"/>
  <c r="N137" i="32" l="1"/>
  <c r="R135" i="32"/>
  <c r="A59" i="30"/>
  <c r="D58" i="30"/>
  <c r="BD17" i="29"/>
  <c r="BC17" i="29"/>
  <c r="BR15" i="29"/>
  <c r="BC16" i="29"/>
  <c r="BM18" i="29"/>
  <c r="BG16" i="29"/>
  <c r="BF16" i="29" s="1"/>
  <c r="BH16" i="29"/>
  <c r="BH17" i="29"/>
  <c r="BK16" i="29"/>
  <c r="BJ16" i="29"/>
  <c r="AT17" i="29"/>
  <c r="BS15" i="29"/>
  <c r="AR15" i="29"/>
  <c r="X15" i="29"/>
  <c r="Y15" i="29" s="1"/>
  <c r="Z15" i="29"/>
  <c r="AA15" i="29" s="1"/>
  <c r="AQ15" i="29"/>
  <c r="AO18" i="29"/>
  <c r="BO18" i="29" s="1"/>
  <c r="W16" i="29"/>
  <c r="U16" i="29"/>
  <c r="U18" i="29"/>
  <c r="W18" i="29"/>
  <c r="AQ18" i="29" s="1"/>
  <c r="AX17" i="29"/>
  <c r="L19" i="29"/>
  <c r="CJ19" i="29"/>
  <c r="CK19" i="29" s="1"/>
  <c r="E19" i="29"/>
  <c r="BE19" i="29"/>
  <c r="CH19" i="29"/>
  <c r="K19" i="29"/>
  <c r="J19" i="29"/>
  <c r="V19" i="29"/>
  <c r="AI19" i="29"/>
  <c r="AP19" i="29"/>
  <c r="CI19" i="29"/>
  <c r="AS19" i="29"/>
  <c r="BL19" i="29"/>
  <c r="C19" i="29"/>
  <c r="S19" i="29"/>
  <c r="M19" i="29"/>
  <c r="CE19" i="29"/>
  <c r="CF19" i="29" s="1"/>
  <c r="P19" i="29"/>
  <c r="AV19" i="29"/>
  <c r="R19" i="29"/>
  <c r="T19" i="29" s="1"/>
  <c r="Q19" i="29" s="1"/>
  <c r="AK19" i="29"/>
  <c r="I19" i="29"/>
  <c r="BI19" i="29"/>
  <c r="B20" i="29"/>
  <c r="CD20" i="29" s="1"/>
  <c r="AN19" i="29"/>
  <c r="N19" i="29"/>
  <c r="AJ18" i="29"/>
  <c r="BG18" i="29" s="1"/>
  <c r="BF18" i="29" s="1"/>
  <c r="AB18" i="29"/>
  <c r="AL18" i="29"/>
  <c r="BK18" i="29" s="1"/>
  <c r="AA18" i="29"/>
  <c r="AX18" i="29" s="1"/>
  <c r="Y18" i="29"/>
  <c r="AT18" i="29" s="1"/>
  <c r="BS17" i="29"/>
  <c r="X17" i="29"/>
  <c r="Z17" i="29"/>
  <c r="AY18" i="29"/>
  <c r="BB18" i="29"/>
  <c r="BC18" i="29" s="1"/>
  <c r="H18" i="29"/>
  <c r="G18" i="29"/>
  <c r="F18" i="29"/>
  <c r="BJ17" i="29"/>
  <c r="AB19" i="2"/>
  <c r="BC11" i="2"/>
  <c r="AK20" i="2"/>
  <c r="AI20" i="2"/>
  <c r="V13" i="2"/>
  <c r="W13" i="2" s="1"/>
  <c r="AK13" i="2"/>
  <c r="AL13" i="2" s="1"/>
  <c r="BJ13" i="2" s="1"/>
  <c r="AI13" i="2"/>
  <c r="AJ13" i="2" s="1"/>
  <c r="BH13" i="2" s="1"/>
  <c r="V20" i="2"/>
  <c r="L20" i="2"/>
  <c r="S20" i="2"/>
  <c r="K20" i="2"/>
  <c r="J20" i="2"/>
  <c r="I20" i="2"/>
  <c r="M20" i="2"/>
  <c r="N20" i="2"/>
  <c r="AF14" i="23"/>
  <c r="P12" i="2"/>
  <c r="AG12" i="2"/>
  <c r="C20" i="2"/>
  <c r="AT11" i="2"/>
  <c r="G19" i="14"/>
  <c r="AP20" i="2"/>
  <c r="AV20" i="2"/>
  <c r="AS20" i="2"/>
  <c r="BB20" i="2" s="1"/>
  <c r="B21" i="2"/>
  <c r="AW11" i="2"/>
  <c r="Q13" i="2"/>
  <c r="BE14" i="2"/>
  <c r="E15" i="2"/>
  <c r="BI15" i="2" s="1"/>
  <c r="BL15" i="2"/>
  <c r="R15" i="2"/>
  <c r="T15" i="2" s="1"/>
  <c r="BJ12" i="2"/>
  <c r="W12" i="2"/>
  <c r="BM13" i="2"/>
  <c r="E21" i="14"/>
  <c r="BH12" i="2"/>
  <c r="T14" i="2"/>
  <c r="BH14" i="23"/>
  <c r="M17" i="23"/>
  <c r="Q17" i="23" s="1"/>
  <c r="R17" i="23" s="1"/>
  <c r="AI17" i="23" s="1"/>
  <c r="K18" i="23"/>
  <c r="L18" i="23" s="1"/>
  <c r="M18" i="23" s="1"/>
  <c r="AJ16" i="23"/>
  <c r="BH15" i="23"/>
  <c r="AZ16" i="23"/>
  <c r="AM16" i="23"/>
  <c r="BA18" i="23"/>
  <c r="AX18" i="23"/>
  <c r="B20" i="23"/>
  <c r="BT20" i="23" s="1"/>
  <c r="C19" i="23"/>
  <c r="AT19" i="23" s="1"/>
  <c r="I19" i="23"/>
  <c r="AH19" i="23"/>
  <c r="AE19" i="23"/>
  <c r="AK19" i="23"/>
  <c r="AV16" i="23"/>
  <c r="AU16" i="23" s="1"/>
  <c r="AW16" i="23"/>
  <c r="BG16" i="23" s="1"/>
  <c r="N16" i="23"/>
  <c r="P16" i="23"/>
  <c r="AR17" i="23"/>
  <c r="AS17" i="23"/>
  <c r="AG15" i="23"/>
  <c r="AF15" i="23"/>
  <c r="AQ18" i="23"/>
  <c r="AN18" i="23"/>
  <c r="AC18" i="23"/>
  <c r="D18" i="23"/>
  <c r="F39" i="23"/>
  <c r="G39" i="23"/>
  <c r="E39" i="23"/>
  <c r="BS12" i="2"/>
  <c r="AY15" i="2"/>
  <c r="AR8" i="2"/>
  <c r="I16" i="20"/>
  <c r="A17" i="20"/>
  <c r="H17" i="20" s="1"/>
  <c r="H12" i="2"/>
  <c r="F12" i="2"/>
  <c r="G12" i="2"/>
  <c r="A16" i="19"/>
  <c r="B12" i="19"/>
  <c r="C20" i="14"/>
  <c r="A24" i="14"/>
  <c r="BR5" i="2"/>
  <c r="I15" i="14"/>
  <c r="B23" i="14"/>
  <c r="H14" i="14"/>
  <c r="R8" i="3"/>
  <c r="Q8" i="3"/>
  <c r="P8" i="3"/>
  <c r="AQ9" i="2"/>
  <c r="K9" i="3"/>
  <c r="L9" i="3"/>
  <c r="A10" i="3"/>
  <c r="M9" i="3"/>
  <c r="I9" i="3"/>
  <c r="N9" i="3"/>
  <c r="J9" i="3"/>
  <c r="N139" i="32" l="1"/>
  <c r="R137" i="32"/>
  <c r="A60" i="30"/>
  <c r="D59" i="30"/>
  <c r="BR17" i="29"/>
  <c r="BR16" i="29"/>
  <c r="BS18" i="29"/>
  <c r="BD18" i="29"/>
  <c r="AU18" i="29"/>
  <c r="BH18" i="29"/>
  <c r="AW15" i="29"/>
  <c r="AX15" i="29"/>
  <c r="AT15" i="29"/>
  <c r="AU15" i="29"/>
  <c r="BS16" i="29"/>
  <c r="AJ19" i="29"/>
  <c r="BH19" i="29" s="1"/>
  <c r="AB19" i="29"/>
  <c r="AA19" i="29"/>
  <c r="AX19" i="29" s="1"/>
  <c r="Y19" i="29"/>
  <c r="AU19" i="29" s="1"/>
  <c r="AL19" i="29"/>
  <c r="BK19" i="29" s="1"/>
  <c r="BJ18" i="29"/>
  <c r="V20" i="29"/>
  <c r="CI20" i="29"/>
  <c r="AS20" i="29"/>
  <c r="CH20" i="29"/>
  <c r="K20" i="29"/>
  <c r="J20" i="29"/>
  <c r="I20" i="29"/>
  <c r="AI20" i="29"/>
  <c r="CE20" i="29"/>
  <c r="CF20" i="29" s="1"/>
  <c r="P20" i="29"/>
  <c r="BL20" i="29"/>
  <c r="C20" i="29"/>
  <c r="CJ20" i="29"/>
  <c r="CK20" i="29" s="1"/>
  <c r="E20" i="29"/>
  <c r="AK20" i="29"/>
  <c r="BI20" i="29"/>
  <c r="AV20" i="29"/>
  <c r="R20" i="29"/>
  <c r="T20" i="29" s="1"/>
  <c r="Q20" i="29" s="1"/>
  <c r="AP20" i="29"/>
  <c r="S20" i="29"/>
  <c r="L20" i="29"/>
  <c r="AG20" i="29" s="1"/>
  <c r="BE20" i="29"/>
  <c r="B21" i="29"/>
  <c r="CD21" i="29" s="1"/>
  <c r="AN20" i="29"/>
  <c r="N20" i="29"/>
  <c r="M20" i="29"/>
  <c r="AO19" i="29"/>
  <c r="BO19" i="29" s="1"/>
  <c r="BM19" i="29"/>
  <c r="AG19" i="29"/>
  <c r="G19" i="29"/>
  <c r="F19" i="29"/>
  <c r="H19" i="29"/>
  <c r="AY19" i="29"/>
  <c r="BB19" i="29"/>
  <c r="U19" i="29"/>
  <c r="W19" i="29"/>
  <c r="AQ19" i="29" s="1"/>
  <c r="Z18" i="29"/>
  <c r="X18" i="29"/>
  <c r="Z16" i="29"/>
  <c r="AA16" i="29" s="1"/>
  <c r="X16" i="29"/>
  <c r="Y16" i="29" s="1"/>
  <c r="AR16" i="29"/>
  <c r="AQ16" i="29"/>
  <c r="AW18" i="29"/>
  <c r="AR18" i="29"/>
  <c r="BD11" i="2"/>
  <c r="AB20" i="2"/>
  <c r="BC12" i="2"/>
  <c r="AK21" i="2"/>
  <c r="AI21" i="2"/>
  <c r="V15" i="2"/>
  <c r="W15" i="2" s="1"/>
  <c r="AK15" i="2"/>
  <c r="AL15" i="2" s="1"/>
  <c r="AI15" i="2"/>
  <c r="AJ15" i="2" s="1"/>
  <c r="V14" i="2"/>
  <c r="W14" i="2" s="1"/>
  <c r="AK14" i="2"/>
  <c r="AL14" i="2" s="1"/>
  <c r="BJ14" i="2" s="1"/>
  <c r="AI14" i="2"/>
  <c r="V21" i="2"/>
  <c r="S21" i="2"/>
  <c r="L21" i="2"/>
  <c r="Z13" i="2"/>
  <c r="AA13" i="2" s="1"/>
  <c r="AX13" i="2" s="1"/>
  <c r="X13" i="2"/>
  <c r="Y13" i="2" s="1"/>
  <c r="G21" i="14" s="1"/>
  <c r="Z12" i="2"/>
  <c r="AA12" i="2" s="1"/>
  <c r="X12" i="2"/>
  <c r="Y12" i="2" s="1"/>
  <c r="AJ14" i="2"/>
  <c r="BG14" i="2" s="1"/>
  <c r="BF14" i="2" s="1"/>
  <c r="K21" i="2"/>
  <c r="I21" i="2"/>
  <c r="J21" i="2"/>
  <c r="M21" i="2"/>
  <c r="N21" i="2"/>
  <c r="P13" i="2"/>
  <c r="AG13" i="2"/>
  <c r="AG14" i="2"/>
  <c r="C21" i="2"/>
  <c r="AP21" i="2"/>
  <c r="AV21" i="2"/>
  <c r="B22" i="2"/>
  <c r="AS21" i="2"/>
  <c r="BB21" i="2" s="1"/>
  <c r="F20" i="14"/>
  <c r="F21" i="14"/>
  <c r="Q15" i="2"/>
  <c r="Q14" i="2"/>
  <c r="BE15" i="2"/>
  <c r="BM15" i="2"/>
  <c r="BL16" i="2"/>
  <c r="E16" i="2"/>
  <c r="BI16" i="2" s="1"/>
  <c r="R16" i="2"/>
  <c r="T16" i="2" s="1"/>
  <c r="U13" i="2"/>
  <c r="BK13" i="2"/>
  <c r="BG13" i="2"/>
  <c r="BF13" i="2" s="1"/>
  <c r="J18" i="23"/>
  <c r="BM14" i="2"/>
  <c r="E22" i="14"/>
  <c r="AD17" i="23"/>
  <c r="BD17" i="23" s="1"/>
  <c r="X17" i="23"/>
  <c r="Y17" i="23" s="1"/>
  <c r="AW17" i="23" s="1"/>
  <c r="O17" i="23"/>
  <c r="N17" i="23" s="1"/>
  <c r="Z17" i="23"/>
  <c r="AA17" i="23" s="1"/>
  <c r="AY17" i="23" s="1"/>
  <c r="S17" i="23"/>
  <c r="T17" i="23" s="1"/>
  <c r="AM17" i="23" s="1"/>
  <c r="BB17" i="23"/>
  <c r="K19" i="23"/>
  <c r="L19" i="23" s="1"/>
  <c r="M19" i="23" s="1"/>
  <c r="BB18" i="23"/>
  <c r="Z18" i="23"/>
  <c r="AA18" i="23" s="1"/>
  <c r="AY18" i="23" s="1"/>
  <c r="S18" i="23"/>
  <c r="T18" i="23" s="1"/>
  <c r="AL18" i="23" s="1"/>
  <c r="Q18" i="23"/>
  <c r="R18" i="23" s="1"/>
  <c r="AI18" i="23" s="1"/>
  <c r="AJ17" i="23"/>
  <c r="AD18" i="23"/>
  <c r="BD18" i="23" s="1"/>
  <c r="BH16" i="23"/>
  <c r="AX19" i="23"/>
  <c r="AR18" i="23"/>
  <c r="AS18" i="23"/>
  <c r="AG16" i="23"/>
  <c r="AF16" i="23"/>
  <c r="X18" i="23"/>
  <c r="Y18" i="23" s="1"/>
  <c r="O18" i="23"/>
  <c r="BA19" i="23"/>
  <c r="AC19" i="23"/>
  <c r="AQ19" i="23"/>
  <c r="AN19" i="23"/>
  <c r="D19" i="23"/>
  <c r="B21" i="23"/>
  <c r="BT21" i="23" s="1"/>
  <c r="C20" i="23"/>
  <c r="K20" i="23" s="1"/>
  <c r="L20" i="23" s="1"/>
  <c r="I20" i="23"/>
  <c r="AK20" i="23"/>
  <c r="AH20" i="23"/>
  <c r="AE20" i="23"/>
  <c r="E40" i="23"/>
  <c r="F40" i="23"/>
  <c r="G40" i="23"/>
  <c r="E5" i="19"/>
  <c r="AR9" i="2"/>
  <c r="AY16" i="2"/>
  <c r="I17" i="20"/>
  <c r="A18" i="20"/>
  <c r="I18" i="20" s="1"/>
  <c r="H13" i="2"/>
  <c r="F13" i="2"/>
  <c r="G13" i="2"/>
  <c r="A17" i="19"/>
  <c r="B13" i="19"/>
  <c r="D20" i="14"/>
  <c r="C21" i="14"/>
  <c r="D21" i="14" s="1"/>
  <c r="A25" i="14"/>
  <c r="J15" i="14"/>
  <c r="BR7" i="2"/>
  <c r="E23" i="14"/>
  <c r="BR6" i="2"/>
  <c r="I16" i="14"/>
  <c r="J16" i="14"/>
  <c r="B24" i="14"/>
  <c r="H15" i="14"/>
  <c r="P9" i="3"/>
  <c r="R9" i="3"/>
  <c r="Q9" i="3"/>
  <c r="AQ10" i="2"/>
  <c r="K10" i="3"/>
  <c r="L10" i="3"/>
  <c r="A11" i="3"/>
  <c r="M10" i="3"/>
  <c r="I10" i="3"/>
  <c r="N10" i="3"/>
  <c r="J10" i="3"/>
  <c r="N141" i="32" l="1"/>
  <c r="R139" i="32"/>
  <c r="A61" i="30"/>
  <c r="D60" i="30"/>
  <c r="BJ19" i="29"/>
  <c r="BR19" i="29" s="1"/>
  <c r="BG19" i="29"/>
  <c r="BF19" i="29" s="1"/>
  <c r="BS19" i="29" s="1"/>
  <c r="AW19" i="29"/>
  <c r="BC19" i="29"/>
  <c r="BR18" i="29"/>
  <c r="BD19" i="29"/>
  <c r="BM20" i="29"/>
  <c r="BB20" i="29"/>
  <c r="BC20" i="29" s="1"/>
  <c r="AY20" i="29"/>
  <c r="AT19" i="29"/>
  <c r="H20" i="29"/>
  <c r="G20" i="29"/>
  <c r="F20" i="29"/>
  <c r="AR19" i="29"/>
  <c r="AT16" i="29"/>
  <c r="AU16" i="29"/>
  <c r="AO20" i="29"/>
  <c r="BO20" i="29" s="1"/>
  <c r="W20" i="29"/>
  <c r="AQ20" i="29" s="1"/>
  <c r="U20" i="29"/>
  <c r="AW16" i="29"/>
  <c r="AX16" i="29"/>
  <c r="Z19" i="29"/>
  <c r="X19" i="29"/>
  <c r="AK21" i="29"/>
  <c r="AV21" i="29"/>
  <c r="R21" i="29"/>
  <c r="T21" i="29" s="1"/>
  <c r="Q21" i="29" s="1"/>
  <c r="AP21" i="29"/>
  <c r="CI21" i="29"/>
  <c r="AS21" i="29"/>
  <c r="V21" i="29"/>
  <c r="L21" i="29"/>
  <c r="AG21" i="29" s="1"/>
  <c r="B22" i="29"/>
  <c r="CD22" i="29" s="1"/>
  <c r="AN21" i="29"/>
  <c r="N21" i="29"/>
  <c r="M21" i="29"/>
  <c r="CE21" i="29"/>
  <c r="CF21" i="29" s="1"/>
  <c r="P21" i="29"/>
  <c r="S21" i="29"/>
  <c r="CH21" i="29"/>
  <c r="K21" i="29"/>
  <c r="J21" i="29"/>
  <c r="I21" i="29"/>
  <c r="BI21" i="29"/>
  <c r="AI21" i="29"/>
  <c r="BL21" i="29"/>
  <c r="C21" i="29"/>
  <c r="CJ21" i="29"/>
  <c r="CK21" i="29" s="1"/>
  <c r="E21" i="29"/>
  <c r="BE21" i="29"/>
  <c r="AB20" i="29"/>
  <c r="AA20" i="29"/>
  <c r="AW20" i="29" s="1"/>
  <c r="AL20" i="29"/>
  <c r="BJ20" i="29" s="1"/>
  <c r="AJ20" i="29"/>
  <c r="BH20" i="29" s="1"/>
  <c r="Y20" i="29"/>
  <c r="AU20" i="29" s="1"/>
  <c r="BD12" i="2"/>
  <c r="AB21" i="2"/>
  <c r="BC13" i="2"/>
  <c r="AI22" i="2"/>
  <c r="AK22" i="2"/>
  <c r="V16" i="2"/>
  <c r="W16" i="2" s="1"/>
  <c r="AI16" i="2"/>
  <c r="AJ16" i="2" s="1"/>
  <c r="AK16" i="2"/>
  <c r="AL16" i="2" s="1"/>
  <c r="X15" i="2"/>
  <c r="Y15" i="2" s="1"/>
  <c r="Z15" i="2"/>
  <c r="AA15" i="2" s="1"/>
  <c r="AW15" i="2" s="1"/>
  <c r="V22" i="2"/>
  <c r="L22" i="2"/>
  <c r="S22" i="2"/>
  <c r="Z14" i="2"/>
  <c r="AA14" i="2" s="1"/>
  <c r="AW14" i="2" s="1"/>
  <c r="X14" i="2"/>
  <c r="Y14" i="2" s="1"/>
  <c r="AU14" i="2" s="1"/>
  <c r="K22" i="2"/>
  <c r="J22" i="2"/>
  <c r="I22" i="2"/>
  <c r="M22" i="2"/>
  <c r="N22" i="2"/>
  <c r="BD13" i="2"/>
  <c r="P14" i="2"/>
  <c r="BD14" i="2"/>
  <c r="AG15" i="2"/>
  <c r="AZ17" i="23"/>
  <c r="C22" i="2"/>
  <c r="AT13" i="2"/>
  <c r="AU13" i="2"/>
  <c r="AP22" i="2"/>
  <c r="AS22" i="2"/>
  <c r="BB22" i="2" s="1"/>
  <c r="AV22" i="2"/>
  <c r="B23" i="2"/>
  <c r="AW13" i="2"/>
  <c r="AW12" i="2"/>
  <c r="AX12" i="2"/>
  <c r="AT12" i="2"/>
  <c r="AU12" i="2"/>
  <c r="G20" i="14"/>
  <c r="F22" i="14"/>
  <c r="Q16" i="2"/>
  <c r="BE16" i="2"/>
  <c r="E17" i="2"/>
  <c r="BI17" i="2" s="1"/>
  <c r="BL17" i="2"/>
  <c r="BM16" i="2"/>
  <c r="U14" i="2"/>
  <c r="BS13" i="2"/>
  <c r="BH14" i="2"/>
  <c r="BK14" i="2"/>
  <c r="BS14" i="2" s="1"/>
  <c r="BG17" i="23"/>
  <c r="P17" i="23"/>
  <c r="AF17" i="23" s="1"/>
  <c r="AV17" i="23"/>
  <c r="AU17" i="23" s="1"/>
  <c r="J19" i="23"/>
  <c r="AL17" i="23"/>
  <c r="BB19" i="23"/>
  <c r="AZ18" i="23"/>
  <c r="AM18" i="23"/>
  <c r="Z19" i="23"/>
  <c r="AA19" i="23" s="1"/>
  <c r="AY19" i="23" s="1"/>
  <c r="Q19" i="23"/>
  <c r="R19" i="23" s="1"/>
  <c r="AI19" i="23" s="1"/>
  <c r="S19" i="23"/>
  <c r="T19" i="23" s="1"/>
  <c r="AL19" i="23" s="1"/>
  <c r="AJ18" i="23"/>
  <c r="R17" i="2"/>
  <c r="D20" i="23"/>
  <c r="AN20" i="23"/>
  <c r="AQ20" i="23"/>
  <c r="AT20" i="23"/>
  <c r="C21" i="23"/>
  <c r="BA21" i="23" s="1"/>
  <c r="B22" i="23"/>
  <c r="BT22" i="23" s="1"/>
  <c r="I21" i="23"/>
  <c r="AK21" i="23"/>
  <c r="AE21" i="23"/>
  <c r="AH21" i="23"/>
  <c r="AS19" i="23"/>
  <c r="AR19" i="23"/>
  <c r="O19" i="23"/>
  <c r="X19" i="23"/>
  <c r="Y19" i="23" s="1"/>
  <c r="AC20" i="23"/>
  <c r="N18" i="23"/>
  <c r="P18" i="23"/>
  <c r="J20" i="23"/>
  <c r="M20" i="23"/>
  <c r="AX20" i="23"/>
  <c r="BA20" i="23"/>
  <c r="AD19" i="23"/>
  <c r="BD19" i="23" s="1"/>
  <c r="AW18" i="23"/>
  <c r="BG18" i="23" s="1"/>
  <c r="AV18" i="23"/>
  <c r="AU18" i="23" s="1"/>
  <c r="E41" i="23"/>
  <c r="G41" i="23"/>
  <c r="F41" i="23"/>
  <c r="E6" i="19"/>
  <c r="E7" i="19"/>
  <c r="U15" i="2"/>
  <c r="BK15" i="2"/>
  <c r="BJ15" i="2"/>
  <c r="F23" i="14"/>
  <c r="AR10" i="2"/>
  <c r="AY17" i="2"/>
  <c r="BH15" i="2"/>
  <c r="BG15" i="2"/>
  <c r="BF15" i="2" s="1"/>
  <c r="H18" i="20"/>
  <c r="A19" i="20"/>
  <c r="I19" i="20" s="1"/>
  <c r="H14" i="2"/>
  <c r="G14" i="2"/>
  <c r="F14" i="2"/>
  <c r="A18" i="19"/>
  <c r="B14" i="19"/>
  <c r="C22" i="14"/>
  <c r="D22" i="14" s="1"/>
  <c r="A26" i="14"/>
  <c r="B25" i="14"/>
  <c r="E24" i="14"/>
  <c r="BR8" i="2"/>
  <c r="I17" i="14"/>
  <c r="H16" i="14"/>
  <c r="R10" i="3"/>
  <c r="Q10" i="3"/>
  <c r="P10" i="3"/>
  <c r="AQ11" i="2"/>
  <c r="K11" i="3"/>
  <c r="L11" i="3"/>
  <c r="A12" i="3"/>
  <c r="M11" i="3"/>
  <c r="I11" i="3"/>
  <c r="N11" i="3"/>
  <c r="J11" i="3"/>
  <c r="N143" i="32" l="1"/>
  <c r="R141" i="32"/>
  <c r="A62" i="30"/>
  <c r="D61" i="30"/>
  <c r="BD20" i="29"/>
  <c r="BM21" i="29"/>
  <c r="AR20" i="29"/>
  <c r="AO21" i="29"/>
  <c r="BO21" i="29" s="1"/>
  <c r="BR20" i="29"/>
  <c r="AY21" i="29"/>
  <c r="BB21" i="29"/>
  <c r="BC21" i="29" s="1"/>
  <c r="Z20" i="29"/>
  <c r="X20" i="29"/>
  <c r="V22" i="29"/>
  <c r="L22" i="29"/>
  <c r="AG22" i="29" s="1"/>
  <c r="R22" i="29"/>
  <c r="T22" i="29" s="1"/>
  <c r="Q22" i="29" s="1"/>
  <c r="AP22" i="29"/>
  <c r="CI22" i="29"/>
  <c r="AS22" i="29"/>
  <c r="CH22" i="29"/>
  <c r="K22" i="29"/>
  <c r="S22" i="29"/>
  <c r="N22" i="29"/>
  <c r="M22" i="29"/>
  <c r="CE22" i="29"/>
  <c r="CF22" i="29" s="1"/>
  <c r="BL22" i="29"/>
  <c r="C22" i="29"/>
  <c r="AK22" i="29"/>
  <c r="J22" i="29"/>
  <c r="I22" i="29"/>
  <c r="BI22" i="29"/>
  <c r="P22" i="29"/>
  <c r="AV22" i="29"/>
  <c r="AI22" i="29"/>
  <c r="CJ22" i="29"/>
  <c r="CK22" i="29" s="1"/>
  <c r="E22" i="29"/>
  <c r="BE22" i="29"/>
  <c r="B23" i="29"/>
  <c r="CD23" i="29" s="1"/>
  <c r="AN22" i="29"/>
  <c r="AX20" i="29"/>
  <c r="BK20" i="29"/>
  <c r="G21" i="29"/>
  <c r="F21" i="29"/>
  <c r="H21" i="29"/>
  <c r="AT20" i="29"/>
  <c r="BG20" i="29"/>
  <c r="BF20" i="29" s="1"/>
  <c r="Y21" i="29"/>
  <c r="AT21" i="29" s="1"/>
  <c r="AJ21" i="29"/>
  <c r="BH21" i="29" s="1"/>
  <c r="AA21" i="29"/>
  <c r="AX21" i="29" s="1"/>
  <c r="AB21" i="29"/>
  <c r="AL21" i="29"/>
  <c r="BJ21" i="29" s="1"/>
  <c r="W21" i="29"/>
  <c r="U21" i="29"/>
  <c r="AB22" i="2"/>
  <c r="AI23" i="2"/>
  <c r="AK23" i="2"/>
  <c r="X16" i="2"/>
  <c r="Y16" i="2" s="1"/>
  <c r="Z16" i="2"/>
  <c r="AA16" i="2" s="1"/>
  <c r="AW16" i="2" s="1"/>
  <c r="V23" i="2"/>
  <c r="L23" i="2"/>
  <c r="S23" i="2"/>
  <c r="K23" i="2"/>
  <c r="J23" i="2"/>
  <c r="I23" i="2"/>
  <c r="M23" i="2"/>
  <c r="N23" i="2"/>
  <c r="BC14" i="2"/>
  <c r="P15" i="2"/>
  <c r="BC15" i="2"/>
  <c r="AG16" i="2"/>
  <c r="BH17" i="23"/>
  <c r="C23" i="2"/>
  <c r="G22" i="14"/>
  <c r="AX14" i="2"/>
  <c r="AP23" i="2"/>
  <c r="AV23" i="2"/>
  <c r="AS23" i="2"/>
  <c r="BB23" i="2" s="1"/>
  <c r="B24" i="2"/>
  <c r="AT14" i="2"/>
  <c r="AX15" i="2"/>
  <c r="BE17" i="2"/>
  <c r="E18" i="2"/>
  <c r="BI18" i="2" s="1"/>
  <c r="BL18" i="2"/>
  <c r="AG17" i="23"/>
  <c r="T17" i="2"/>
  <c r="K21" i="23"/>
  <c r="L21" i="23" s="1"/>
  <c r="J21" i="23" s="1"/>
  <c r="BB20" i="23"/>
  <c r="BH18" i="23"/>
  <c r="AC21" i="23"/>
  <c r="AJ19" i="23"/>
  <c r="AZ19" i="23"/>
  <c r="AM19" i="23"/>
  <c r="Z20" i="23"/>
  <c r="AA20" i="23" s="1"/>
  <c r="AY20" i="23" s="1"/>
  <c r="S20" i="23"/>
  <c r="T20" i="23" s="1"/>
  <c r="AL20" i="23" s="1"/>
  <c r="Q20" i="23"/>
  <c r="R20" i="23" s="1"/>
  <c r="AJ20" i="23" s="1"/>
  <c r="R18" i="2"/>
  <c r="AX21" i="23"/>
  <c r="AD20" i="23"/>
  <c r="BD20" i="23" s="1"/>
  <c r="AS20" i="23"/>
  <c r="AR20" i="23"/>
  <c r="AQ21" i="23"/>
  <c r="AN21" i="23"/>
  <c r="D21" i="23"/>
  <c r="X20" i="23"/>
  <c r="Y20" i="23" s="1"/>
  <c r="AV20" i="23" s="1"/>
  <c r="AU20" i="23" s="1"/>
  <c r="O20" i="23"/>
  <c r="AF18" i="23"/>
  <c r="AG18" i="23"/>
  <c r="AV19" i="23"/>
  <c r="AU19" i="23" s="1"/>
  <c r="AW19" i="23"/>
  <c r="BG19" i="23" s="1"/>
  <c r="AT21" i="23"/>
  <c r="C22" i="23"/>
  <c r="BA22" i="23" s="1"/>
  <c r="B23" i="23"/>
  <c r="BT23" i="23" s="1"/>
  <c r="I22" i="23"/>
  <c r="AK22" i="23"/>
  <c r="AH22" i="23"/>
  <c r="AE22" i="23"/>
  <c r="P19" i="23"/>
  <c r="N19" i="23"/>
  <c r="G42" i="23"/>
  <c r="E42" i="23"/>
  <c r="F42" i="23"/>
  <c r="E8" i="19"/>
  <c r="BJ16" i="2"/>
  <c r="BK16" i="2"/>
  <c r="BS15" i="2"/>
  <c r="U16" i="2"/>
  <c r="G23" i="14"/>
  <c r="AT15" i="2"/>
  <c r="AU15" i="2"/>
  <c r="F24" i="14"/>
  <c r="AR11" i="2"/>
  <c r="AY18" i="2"/>
  <c r="BH16" i="2"/>
  <c r="BG16" i="2"/>
  <c r="BF16" i="2" s="1"/>
  <c r="H19" i="20"/>
  <c r="A20" i="20"/>
  <c r="I20" i="20" s="1"/>
  <c r="H15" i="2"/>
  <c r="G15" i="2"/>
  <c r="F15" i="2"/>
  <c r="A19" i="19"/>
  <c r="B15" i="19"/>
  <c r="C23" i="14"/>
  <c r="D23" i="14" s="1"/>
  <c r="A27" i="14"/>
  <c r="BR9" i="2"/>
  <c r="J17" i="14"/>
  <c r="J18" i="14"/>
  <c r="I18" i="14"/>
  <c r="B26" i="14"/>
  <c r="H17" i="14"/>
  <c r="P11" i="3"/>
  <c r="R11" i="3"/>
  <c r="Q11" i="3"/>
  <c r="AQ12" i="2"/>
  <c r="K12" i="3"/>
  <c r="L12" i="3"/>
  <c r="A13" i="3"/>
  <c r="M12" i="3"/>
  <c r="I12" i="3"/>
  <c r="N12" i="3"/>
  <c r="J12" i="3"/>
  <c r="N145" i="32" l="1"/>
  <c r="R143" i="32"/>
  <c r="A63" i="30"/>
  <c r="D62" i="30"/>
  <c r="BD21" i="29"/>
  <c r="M21" i="23"/>
  <c r="BB21" i="23" s="1"/>
  <c r="BR21" i="29"/>
  <c r="BS20" i="29"/>
  <c r="AU21" i="29"/>
  <c r="Z21" i="29"/>
  <c r="X21" i="29"/>
  <c r="AR21" i="29"/>
  <c r="AO22" i="29"/>
  <c r="BO22" i="29" s="1"/>
  <c r="AJ22" i="29"/>
  <c r="BH22" i="29" s="1"/>
  <c r="AB22" i="29"/>
  <c r="AL22" i="29"/>
  <c r="BJ22" i="29" s="1"/>
  <c r="AA22" i="29"/>
  <c r="AW22" i="29" s="1"/>
  <c r="Y22" i="29"/>
  <c r="AT22" i="29" s="1"/>
  <c r="AQ21" i="29"/>
  <c r="BK21" i="29"/>
  <c r="V23" i="29"/>
  <c r="AI23" i="29"/>
  <c r="CJ23" i="29"/>
  <c r="CK23" i="29" s="1"/>
  <c r="E23" i="29"/>
  <c r="BE23" i="29"/>
  <c r="B24" i="29"/>
  <c r="CD24" i="29" s="1"/>
  <c r="AN23" i="29"/>
  <c r="N23" i="29"/>
  <c r="AK23" i="29"/>
  <c r="AP23" i="29"/>
  <c r="CI23" i="29"/>
  <c r="AS23" i="29"/>
  <c r="CH23" i="29"/>
  <c r="K23" i="29"/>
  <c r="J23" i="29"/>
  <c r="L23" i="29"/>
  <c r="AG23" i="29" s="1"/>
  <c r="M23" i="29"/>
  <c r="CE23" i="29"/>
  <c r="CF23" i="29" s="1"/>
  <c r="P23" i="29"/>
  <c r="BL23" i="29"/>
  <c r="C23" i="29"/>
  <c r="S23" i="29"/>
  <c r="I23" i="29"/>
  <c r="BI23" i="29"/>
  <c r="AV23" i="29"/>
  <c r="R23" i="29"/>
  <c r="T23" i="29" s="1"/>
  <c r="Q23" i="29" s="1"/>
  <c r="BM22" i="29"/>
  <c r="AY22" i="29"/>
  <c r="BB22" i="29"/>
  <c r="BD22" i="29" s="1"/>
  <c r="H22" i="29"/>
  <c r="G22" i="29"/>
  <c r="F22" i="29"/>
  <c r="U22" i="29"/>
  <c r="W22" i="29"/>
  <c r="AR22" i="29" s="1"/>
  <c r="AW21" i="29"/>
  <c r="BG21" i="29"/>
  <c r="BF21" i="29" s="1"/>
  <c r="AB23" i="2"/>
  <c r="AK24" i="2"/>
  <c r="AI24" i="2"/>
  <c r="V24" i="2"/>
  <c r="L24" i="2"/>
  <c r="S24" i="2"/>
  <c r="K24" i="2"/>
  <c r="J24" i="2"/>
  <c r="I24" i="2"/>
  <c r="M24" i="2"/>
  <c r="N24" i="2"/>
  <c r="BD15" i="2"/>
  <c r="P16" i="2"/>
  <c r="BD16" i="2"/>
  <c r="AG17" i="2"/>
  <c r="C24" i="2"/>
  <c r="AP24" i="2"/>
  <c r="AV24" i="2"/>
  <c r="AS24" i="2"/>
  <c r="BB24" i="2" s="1"/>
  <c r="B25" i="2"/>
  <c r="AX16" i="2"/>
  <c r="Q17" i="2"/>
  <c r="W17" i="2"/>
  <c r="BE18" i="2"/>
  <c r="E19" i="2"/>
  <c r="BI19" i="2" s="1"/>
  <c r="BL19" i="2"/>
  <c r="R19" i="2"/>
  <c r="T19" i="2" s="1"/>
  <c r="AJ17" i="2"/>
  <c r="BH17" i="2" s="1"/>
  <c r="E25" i="14"/>
  <c r="AL17" i="2"/>
  <c r="BK17" i="2" s="1"/>
  <c r="T18" i="2"/>
  <c r="BM17" i="2"/>
  <c r="K22" i="23"/>
  <c r="L22" i="23" s="1"/>
  <c r="M22" i="23" s="1"/>
  <c r="BB22" i="23" s="1"/>
  <c r="AM20" i="23"/>
  <c r="AC22" i="23"/>
  <c r="AZ20" i="23"/>
  <c r="BH20" i="23" s="1"/>
  <c r="BH19" i="23"/>
  <c r="Z21" i="23"/>
  <c r="AA21" i="23" s="1"/>
  <c r="AZ21" i="23" s="1"/>
  <c r="Q21" i="23"/>
  <c r="R21" i="23" s="1"/>
  <c r="AJ21" i="23" s="1"/>
  <c r="S21" i="23"/>
  <c r="T21" i="23" s="1"/>
  <c r="AM21" i="23" s="1"/>
  <c r="AI20" i="23"/>
  <c r="AW20" i="23"/>
  <c r="BG20" i="23" s="1"/>
  <c r="AF19" i="23"/>
  <c r="AG19" i="23"/>
  <c r="D22" i="23"/>
  <c r="AX22" i="23"/>
  <c r="B24" i="23"/>
  <c r="BT24" i="23" s="1"/>
  <c r="AH23" i="23"/>
  <c r="C23" i="23"/>
  <c r="K23" i="23" s="1"/>
  <c r="L23" i="23" s="1"/>
  <c r="AK23" i="23"/>
  <c r="AE23" i="23"/>
  <c r="I23" i="23"/>
  <c r="N20" i="23"/>
  <c r="P20" i="23"/>
  <c r="AQ22" i="23"/>
  <c r="AN22" i="23"/>
  <c r="AT22" i="23"/>
  <c r="X21" i="23"/>
  <c r="Y21" i="23" s="1"/>
  <c r="AW21" i="23" s="1"/>
  <c r="O21" i="23"/>
  <c r="AS21" i="23"/>
  <c r="AR21" i="23"/>
  <c r="F43" i="23"/>
  <c r="G43" i="23"/>
  <c r="E43" i="23"/>
  <c r="E9" i="19"/>
  <c r="BS16" i="2"/>
  <c r="G24" i="14"/>
  <c r="AT16" i="2"/>
  <c r="AU16" i="2"/>
  <c r="AR12" i="2"/>
  <c r="AY19" i="2"/>
  <c r="H20" i="20"/>
  <c r="A21" i="20"/>
  <c r="I21" i="20" s="1"/>
  <c r="H16" i="2"/>
  <c r="F16" i="2"/>
  <c r="G16" i="2"/>
  <c r="A20" i="19"/>
  <c r="B16" i="19"/>
  <c r="C24" i="14"/>
  <c r="D24" i="14" s="1"/>
  <c r="A28" i="14"/>
  <c r="B27" i="14"/>
  <c r="H18" i="14"/>
  <c r="P12" i="3"/>
  <c r="R12" i="3"/>
  <c r="Q12" i="3"/>
  <c r="AQ13" i="2"/>
  <c r="K13" i="3"/>
  <c r="L13" i="3"/>
  <c r="A14" i="3"/>
  <c r="M13" i="3"/>
  <c r="I13" i="3"/>
  <c r="N13" i="3"/>
  <c r="J13" i="3"/>
  <c r="AD21" i="23" l="1"/>
  <c r="BD21" i="23" s="1"/>
  <c r="N147" i="32"/>
  <c r="R145" i="32"/>
  <c r="A64" i="30"/>
  <c r="D63" i="30"/>
  <c r="BS21" i="29"/>
  <c r="BC22" i="29"/>
  <c r="AX22" i="29"/>
  <c r="BG22" i="29"/>
  <c r="BF22" i="29" s="1"/>
  <c r="AU22" i="29"/>
  <c r="BR22" i="29"/>
  <c r="BM23" i="29"/>
  <c r="H23" i="29"/>
  <c r="G23" i="29"/>
  <c r="F23" i="29"/>
  <c r="AY23" i="29"/>
  <c r="BB23" i="29"/>
  <c r="BC23" i="29" s="1"/>
  <c r="BK22" i="29"/>
  <c r="AO23" i="29"/>
  <c r="BO23" i="29" s="1"/>
  <c r="V24" i="29"/>
  <c r="BE24" i="29"/>
  <c r="CH24" i="29"/>
  <c r="K24" i="29"/>
  <c r="J24" i="29"/>
  <c r="M24" i="29"/>
  <c r="AK24" i="29"/>
  <c r="CI24" i="29"/>
  <c r="AS24" i="29"/>
  <c r="BL24" i="29"/>
  <c r="C24" i="29"/>
  <c r="CJ24" i="29"/>
  <c r="CK24" i="29" s="1"/>
  <c r="I24" i="29"/>
  <c r="S24" i="29"/>
  <c r="L24" i="29"/>
  <c r="CE24" i="29"/>
  <c r="CF24" i="29" s="1"/>
  <c r="P24" i="29"/>
  <c r="AV24" i="29"/>
  <c r="R24" i="29"/>
  <c r="T24" i="29" s="1"/>
  <c r="Q24" i="29" s="1"/>
  <c r="AP24" i="29"/>
  <c r="E24" i="29"/>
  <c r="AI24" i="29"/>
  <c r="BI24" i="29"/>
  <c r="B25" i="29"/>
  <c r="CD25" i="29" s="1"/>
  <c r="AN24" i="29"/>
  <c r="N24" i="29"/>
  <c r="AG24" i="29"/>
  <c r="X22" i="29"/>
  <c r="Z22" i="29"/>
  <c r="AJ23" i="29"/>
  <c r="BG23" i="29" s="1"/>
  <c r="BF23" i="29" s="1"/>
  <c r="AB23" i="29"/>
  <c r="AA23" i="29"/>
  <c r="AX23" i="29" s="1"/>
  <c r="Y23" i="29"/>
  <c r="AU23" i="29" s="1"/>
  <c r="AL23" i="29"/>
  <c r="BJ23" i="29" s="1"/>
  <c r="U23" i="29"/>
  <c r="W23" i="29"/>
  <c r="AQ22" i="29"/>
  <c r="AB24" i="2"/>
  <c r="AK25" i="2"/>
  <c r="AI25" i="2"/>
  <c r="Z17" i="2"/>
  <c r="X17" i="2"/>
  <c r="V25" i="2"/>
  <c r="L25" i="2"/>
  <c r="S25" i="2"/>
  <c r="K25" i="2"/>
  <c r="I25" i="2"/>
  <c r="J25" i="2"/>
  <c r="M25" i="2"/>
  <c r="N25" i="2"/>
  <c r="BC16" i="2"/>
  <c r="P17" i="2"/>
  <c r="BC17" i="2"/>
  <c r="AG18" i="2"/>
  <c r="Y17" i="2"/>
  <c r="G25" i="14" s="1"/>
  <c r="AA17" i="2"/>
  <c r="AX17" i="2" s="1"/>
  <c r="C25" i="2"/>
  <c r="AP25" i="2"/>
  <c r="AS25" i="2"/>
  <c r="BB25" i="2" s="1"/>
  <c r="B26" i="2"/>
  <c r="AV25" i="2"/>
  <c r="F25" i="14"/>
  <c r="Q18" i="2"/>
  <c r="W18" i="2"/>
  <c r="Q19" i="2"/>
  <c r="W19" i="2"/>
  <c r="BE19" i="2"/>
  <c r="BL20" i="2"/>
  <c r="E20" i="2"/>
  <c r="BI20" i="2" s="1"/>
  <c r="BM19" i="2"/>
  <c r="U17" i="2"/>
  <c r="BG17" i="2"/>
  <c r="BF17" i="2" s="1"/>
  <c r="BS17" i="2" s="1"/>
  <c r="BJ17" i="2"/>
  <c r="BM18" i="2"/>
  <c r="AL18" i="2"/>
  <c r="BJ18" i="2" s="1"/>
  <c r="E26" i="14"/>
  <c r="AJ18" i="2"/>
  <c r="BG18" i="2" s="1"/>
  <c r="BF18" i="2" s="1"/>
  <c r="J22" i="23"/>
  <c r="AY21" i="23"/>
  <c r="BG21" i="23" s="1"/>
  <c r="AL21" i="23"/>
  <c r="AD22" i="23"/>
  <c r="BD22" i="23" s="1"/>
  <c r="Q22" i="23"/>
  <c r="R22" i="23" s="1"/>
  <c r="AJ22" i="23" s="1"/>
  <c r="S22" i="23"/>
  <c r="T22" i="23" s="1"/>
  <c r="AM22" i="23" s="1"/>
  <c r="Z22" i="23"/>
  <c r="AA22" i="23" s="1"/>
  <c r="AZ22" i="23" s="1"/>
  <c r="AI21" i="23"/>
  <c r="R20" i="2"/>
  <c r="D23" i="23"/>
  <c r="J23" i="23"/>
  <c r="M23" i="23"/>
  <c r="AC23" i="23"/>
  <c r="AV21" i="23"/>
  <c r="AU21" i="23" s="1"/>
  <c r="BH21" i="23" s="1"/>
  <c r="BA23" i="23"/>
  <c r="C24" i="23"/>
  <c r="AT24" i="23" s="1"/>
  <c r="AE24" i="23"/>
  <c r="AK24" i="23"/>
  <c r="B25" i="23"/>
  <c r="BT25" i="23" s="1"/>
  <c r="AH24" i="23"/>
  <c r="I24" i="23"/>
  <c r="AQ23" i="23"/>
  <c r="AN23" i="23"/>
  <c r="O22" i="23"/>
  <c r="X22" i="23"/>
  <c r="Y22" i="23" s="1"/>
  <c r="AW22" i="23" s="1"/>
  <c r="N21" i="23"/>
  <c r="P21" i="23"/>
  <c r="AS22" i="23"/>
  <c r="AR22" i="23"/>
  <c r="AG20" i="23"/>
  <c r="AF20" i="23"/>
  <c r="AX23" i="23"/>
  <c r="AT23" i="23"/>
  <c r="E44" i="23"/>
  <c r="F44" i="23"/>
  <c r="G44" i="23"/>
  <c r="AR13" i="2"/>
  <c r="AY20" i="2"/>
  <c r="AL19" i="2"/>
  <c r="AJ19" i="2"/>
  <c r="H21" i="20"/>
  <c r="A22" i="20"/>
  <c r="H22" i="20" s="1"/>
  <c r="H17" i="2"/>
  <c r="G17" i="2"/>
  <c r="F17" i="2"/>
  <c r="A21" i="19"/>
  <c r="B17" i="19"/>
  <c r="C25" i="14"/>
  <c r="A29" i="14"/>
  <c r="BR10" i="2"/>
  <c r="E27" i="14"/>
  <c r="I19" i="14"/>
  <c r="J19" i="14"/>
  <c r="I20" i="14"/>
  <c r="B28" i="14"/>
  <c r="H19" i="14"/>
  <c r="R13" i="3"/>
  <c r="Q13" i="3"/>
  <c r="P13" i="3"/>
  <c r="BR11" i="2"/>
  <c r="AQ14" i="2"/>
  <c r="K14" i="3"/>
  <c r="L14" i="3"/>
  <c r="A15" i="3"/>
  <c r="M14" i="3"/>
  <c r="I14" i="3"/>
  <c r="N14" i="3"/>
  <c r="J14" i="3"/>
  <c r="N149" i="32" l="1"/>
  <c r="R147" i="32"/>
  <c r="A65" i="30"/>
  <c r="D64" i="30"/>
  <c r="AO24" i="29"/>
  <c r="BO24" i="29" s="1"/>
  <c r="BD23" i="29"/>
  <c r="BS22" i="29"/>
  <c r="BH23" i="29"/>
  <c r="BR23" i="29" s="1"/>
  <c r="AK25" i="29"/>
  <c r="CH25" i="29"/>
  <c r="K25" i="29"/>
  <c r="J25" i="29"/>
  <c r="I25" i="29"/>
  <c r="BI25" i="29"/>
  <c r="V25" i="29"/>
  <c r="L25" i="29"/>
  <c r="AG25" i="29" s="1"/>
  <c r="BL25" i="29"/>
  <c r="C25" i="29"/>
  <c r="CJ25" i="29"/>
  <c r="CK25" i="29" s="1"/>
  <c r="E25" i="29"/>
  <c r="BE25" i="29"/>
  <c r="S25" i="29"/>
  <c r="AV25" i="29"/>
  <c r="R25" i="29"/>
  <c r="T25" i="29" s="1"/>
  <c r="Q25" i="29" s="1"/>
  <c r="AP25" i="29"/>
  <c r="CI25" i="29"/>
  <c r="AS25" i="29"/>
  <c r="AI25" i="29"/>
  <c r="B26" i="29"/>
  <c r="CD26" i="29" s="1"/>
  <c r="AN25" i="29"/>
  <c r="N25" i="29"/>
  <c r="M25" i="29"/>
  <c r="CE25" i="29"/>
  <c r="CF25" i="29" s="1"/>
  <c r="P25" i="29"/>
  <c r="X23" i="29"/>
  <c r="Z23" i="29"/>
  <c r="G24" i="29"/>
  <c r="F24" i="29"/>
  <c r="H24" i="29"/>
  <c r="AL24" i="29"/>
  <c r="BK24" i="29" s="1"/>
  <c r="AJ24" i="29"/>
  <c r="BG24" i="29" s="1"/>
  <c r="BF24" i="29" s="1"/>
  <c r="Y24" i="29"/>
  <c r="AT24" i="29" s="1"/>
  <c r="AB24" i="29"/>
  <c r="AA24" i="29"/>
  <c r="AX24" i="29" s="1"/>
  <c r="AQ23" i="29"/>
  <c r="BM24" i="29"/>
  <c r="AR23" i="29"/>
  <c r="BK23" i="29"/>
  <c r="BS23" i="29" s="1"/>
  <c r="BB24" i="29"/>
  <c r="BC24" i="29" s="1"/>
  <c r="AY24" i="29"/>
  <c r="U24" i="29"/>
  <c r="W24" i="29"/>
  <c r="AR24" i="29" s="1"/>
  <c r="AW23" i="29"/>
  <c r="AT23" i="29"/>
  <c r="AB25" i="2"/>
  <c r="AI26" i="2"/>
  <c r="AK26" i="2"/>
  <c r="X18" i="2"/>
  <c r="Z18" i="2"/>
  <c r="V26" i="2"/>
  <c r="L26" i="2"/>
  <c r="S26" i="2"/>
  <c r="X19" i="2"/>
  <c r="Z19" i="2"/>
  <c r="K26" i="2"/>
  <c r="J26" i="2"/>
  <c r="I26" i="2"/>
  <c r="M26" i="2"/>
  <c r="N26" i="2"/>
  <c r="BD17" i="2"/>
  <c r="P18" i="2"/>
  <c r="BC18" i="2"/>
  <c r="AG19" i="2"/>
  <c r="Y18" i="2"/>
  <c r="G26" i="14" s="1"/>
  <c r="AA18" i="2"/>
  <c r="AW18" i="2" s="1"/>
  <c r="Y19" i="2"/>
  <c r="AA19" i="2"/>
  <c r="AW19" i="2" s="1"/>
  <c r="C26" i="2"/>
  <c r="BB23" i="23"/>
  <c r="B27" i="2"/>
  <c r="AP26" i="2"/>
  <c r="AS26" i="2"/>
  <c r="BB26" i="2" s="1"/>
  <c r="AV26" i="2"/>
  <c r="AW17" i="2"/>
  <c r="F26" i="14"/>
  <c r="AT17" i="2"/>
  <c r="AU17" i="2"/>
  <c r="BE20" i="2"/>
  <c r="BL21" i="2"/>
  <c r="E21" i="2"/>
  <c r="BI21" i="2" s="1"/>
  <c r="R21" i="2"/>
  <c r="T21" i="2" s="1"/>
  <c r="U18" i="2"/>
  <c r="BH18" i="2"/>
  <c r="BK18" i="2"/>
  <c r="BS18" i="2" s="1"/>
  <c r="T20" i="2"/>
  <c r="AG22" i="2"/>
  <c r="K24" i="23"/>
  <c r="L24" i="23" s="1"/>
  <c r="M24" i="23" s="1"/>
  <c r="AY22" i="23"/>
  <c r="BG22" i="23" s="1"/>
  <c r="AL22" i="23"/>
  <c r="BA24" i="23"/>
  <c r="AX24" i="23"/>
  <c r="S23" i="23"/>
  <c r="T23" i="23" s="1"/>
  <c r="AL23" i="23" s="1"/>
  <c r="Q23" i="23"/>
  <c r="R23" i="23" s="1"/>
  <c r="AJ23" i="23" s="1"/>
  <c r="Z23" i="23"/>
  <c r="AA23" i="23" s="1"/>
  <c r="AZ23" i="23" s="1"/>
  <c r="AI22" i="23"/>
  <c r="AV22" i="23"/>
  <c r="AU22" i="23" s="1"/>
  <c r="BH22" i="23" s="1"/>
  <c r="AC24" i="23"/>
  <c r="AG21" i="23"/>
  <c r="AF21" i="23"/>
  <c r="D24" i="23"/>
  <c r="AD23" i="23"/>
  <c r="BD23" i="23" s="1"/>
  <c r="X23" i="23"/>
  <c r="Y23" i="23" s="1"/>
  <c r="AW23" i="23" s="1"/>
  <c r="O23" i="23"/>
  <c r="AR23" i="23"/>
  <c r="AS23" i="23"/>
  <c r="AQ24" i="23"/>
  <c r="AN24" i="23"/>
  <c r="N22" i="23"/>
  <c r="P22" i="23"/>
  <c r="B26" i="23"/>
  <c r="BT26" i="23" s="1"/>
  <c r="C25" i="23"/>
  <c r="AT25" i="23" s="1"/>
  <c r="AH25" i="23"/>
  <c r="I25" i="23"/>
  <c r="AK25" i="23"/>
  <c r="AE25" i="23"/>
  <c r="E45" i="23"/>
  <c r="F45" i="23"/>
  <c r="G45" i="23"/>
  <c r="E11" i="19"/>
  <c r="E10" i="19"/>
  <c r="BK19" i="2"/>
  <c r="BJ19" i="2"/>
  <c r="U19" i="2"/>
  <c r="AR14" i="2"/>
  <c r="F27" i="14"/>
  <c r="AY21" i="2"/>
  <c r="BH19" i="2"/>
  <c r="BG19" i="2"/>
  <c r="BF19" i="2" s="1"/>
  <c r="I22" i="20"/>
  <c r="A23" i="20"/>
  <c r="H18" i="2"/>
  <c r="G18" i="2"/>
  <c r="F18" i="2"/>
  <c r="A22" i="19"/>
  <c r="B18" i="19"/>
  <c r="D25" i="14"/>
  <c r="C26" i="14"/>
  <c r="A30" i="14"/>
  <c r="BR12" i="2"/>
  <c r="J20" i="14"/>
  <c r="J21" i="14"/>
  <c r="I21" i="14"/>
  <c r="B29" i="14"/>
  <c r="P14" i="3"/>
  <c r="H20" i="14"/>
  <c r="R14" i="3"/>
  <c r="Q14" i="3"/>
  <c r="AQ15" i="2"/>
  <c r="K15" i="3"/>
  <c r="L15" i="3"/>
  <c r="A16" i="3"/>
  <c r="M15" i="3"/>
  <c r="I15" i="3"/>
  <c r="N15" i="3"/>
  <c r="J15" i="3"/>
  <c r="N151" i="32" l="1"/>
  <c r="R149" i="32"/>
  <c r="D65" i="30"/>
  <c r="A66" i="30"/>
  <c r="AO25" i="29"/>
  <c r="BO25" i="29" s="1"/>
  <c r="BH24" i="29"/>
  <c r="BD24" i="29"/>
  <c r="BJ24" i="29"/>
  <c r="AJ25" i="29"/>
  <c r="BH25" i="29" s="1"/>
  <c r="AA25" i="29"/>
  <c r="AX25" i="29" s="1"/>
  <c r="AB25" i="29"/>
  <c r="AL25" i="29"/>
  <c r="BK25" i="29" s="1"/>
  <c r="Y25" i="29"/>
  <c r="AU25" i="29" s="1"/>
  <c r="Z24" i="29"/>
  <c r="X24" i="29"/>
  <c r="AQ24" i="29"/>
  <c r="AK26" i="29"/>
  <c r="N26" i="29"/>
  <c r="M26" i="29"/>
  <c r="CE26" i="29"/>
  <c r="CF26" i="29" s="1"/>
  <c r="P26" i="29"/>
  <c r="BL26" i="29"/>
  <c r="C26" i="29"/>
  <c r="AV26" i="29"/>
  <c r="V26" i="29"/>
  <c r="L26" i="29"/>
  <c r="AG26" i="29" s="1"/>
  <c r="J26" i="29"/>
  <c r="I26" i="29"/>
  <c r="BI26" i="29"/>
  <c r="AN26" i="29"/>
  <c r="S26" i="29"/>
  <c r="CJ26" i="29"/>
  <c r="CK26" i="29" s="1"/>
  <c r="E26" i="29"/>
  <c r="BE26" i="29"/>
  <c r="B27" i="29"/>
  <c r="CD27" i="29" s="1"/>
  <c r="AI26" i="29"/>
  <c r="R26" i="29"/>
  <c r="T26" i="29" s="1"/>
  <c r="Q26" i="29" s="1"/>
  <c r="AP26" i="29"/>
  <c r="CI26" i="29"/>
  <c r="AS26" i="29"/>
  <c r="CH26" i="29"/>
  <c r="K26" i="29"/>
  <c r="BM25" i="29"/>
  <c r="AW24" i="29"/>
  <c r="G25" i="29"/>
  <c r="F25" i="29"/>
  <c r="H25" i="29"/>
  <c r="AU24" i="29"/>
  <c r="BS24" i="29"/>
  <c r="AY25" i="29"/>
  <c r="BB25" i="29"/>
  <c r="BC25" i="29" s="1"/>
  <c r="U25" i="29"/>
  <c r="W25" i="29"/>
  <c r="AQ25" i="29" s="1"/>
  <c r="AB26" i="2"/>
  <c r="AI27" i="2"/>
  <c r="AK27" i="2"/>
  <c r="V27" i="2"/>
  <c r="L27" i="2"/>
  <c r="S27" i="2"/>
  <c r="K27" i="2"/>
  <c r="J27" i="2"/>
  <c r="I27" i="2"/>
  <c r="M27" i="2"/>
  <c r="N27" i="2"/>
  <c r="BD18" i="2"/>
  <c r="P19" i="2"/>
  <c r="AG20" i="2"/>
  <c r="P22" i="2"/>
  <c r="C27" i="2"/>
  <c r="AT18" i="2"/>
  <c r="AX19" i="2"/>
  <c r="B28" i="2"/>
  <c r="AS27" i="2"/>
  <c r="BB27" i="2" s="1"/>
  <c r="AV27" i="2"/>
  <c r="AP27" i="2"/>
  <c r="AX18" i="2"/>
  <c r="AU18" i="2"/>
  <c r="Q21" i="2"/>
  <c r="W21" i="2"/>
  <c r="Q20" i="2"/>
  <c r="W20" i="2"/>
  <c r="BE21" i="2"/>
  <c r="E22" i="2"/>
  <c r="BI22" i="2" s="1"/>
  <c r="BL22" i="2"/>
  <c r="BM21" i="2"/>
  <c r="AJ20" i="2"/>
  <c r="BH20" i="2" s="1"/>
  <c r="AL20" i="2"/>
  <c r="BJ20" i="2" s="1"/>
  <c r="BM20" i="2"/>
  <c r="E28" i="14"/>
  <c r="AG23" i="2"/>
  <c r="J24" i="23"/>
  <c r="K25" i="23"/>
  <c r="L25" i="23" s="1"/>
  <c r="J25" i="23" s="1"/>
  <c r="BB24" i="23"/>
  <c r="AM23" i="23"/>
  <c r="AY23" i="23"/>
  <c r="BG23" i="23" s="1"/>
  <c r="S24" i="23"/>
  <c r="T24" i="23" s="1"/>
  <c r="AL24" i="23" s="1"/>
  <c r="Q24" i="23"/>
  <c r="R24" i="23" s="1"/>
  <c r="AJ24" i="23" s="1"/>
  <c r="Z24" i="23"/>
  <c r="AA24" i="23" s="1"/>
  <c r="AY24" i="23" s="1"/>
  <c r="AI23" i="23"/>
  <c r="AV23" i="23"/>
  <c r="AU23" i="23" s="1"/>
  <c r="BH23" i="23" s="1"/>
  <c r="AC25" i="23"/>
  <c r="R22" i="2"/>
  <c r="BA25" i="23"/>
  <c r="AS24" i="23"/>
  <c r="AR24" i="23"/>
  <c r="AF22" i="23"/>
  <c r="AG22" i="23"/>
  <c r="AK26" i="23"/>
  <c r="C26" i="23"/>
  <c r="BA26" i="23" s="1"/>
  <c r="B27" i="23"/>
  <c r="BT27" i="23" s="1"/>
  <c r="AH26" i="23"/>
  <c r="AE26" i="23"/>
  <c r="I26" i="23"/>
  <c r="AQ25" i="23"/>
  <c r="AN25" i="23"/>
  <c r="AX25" i="23"/>
  <c r="D25" i="23"/>
  <c r="P23" i="23"/>
  <c r="N23" i="23"/>
  <c r="AD24" i="23"/>
  <c r="BD24" i="23" s="1"/>
  <c r="O24" i="23"/>
  <c r="X24" i="23"/>
  <c r="Y24" i="23" s="1"/>
  <c r="AV24" i="23" s="1"/>
  <c r="AU24" i="23" s="1"/>
  <c r="G46" i="23"/>
  <c r="F46" i="23"/>
  <c r="E46" i="23"/>
  <c r="E12" i="19"/>
  <c r="BS19" i="2"/>
  <c r="BC19" i="2"/>
  <c r="BD19" i="2"/>
  <c r="G27" i="14"/>
  <c r="AU19" i="2"/>
  <c r="AT19" i="2"/>
  <c r="AL21" i="2"/>
  <c r="AJ21" i="2"/>
  <c r="AY22" i="2"/>
  <c r="AR15" i="2"/>
  <c r="A24" i="20"/>
  <c r="I24" i="20" s="1"/>
  <c r="I23" i="20"/>
  <c r="H23" i="20"/>
  <c r="H19" i="2"/>
  <c r="G19" i="2"/>
  <c r="F19" i="2"/>
  <c r="A23" i="19"/>
  <c r="B19" i="19"/>
  <c r="D26" i="14"/>
  <c r="C27" i="14"/>
  <c r="D27" i="14" s="1"/>
  <c r="A31" i="14"/>
  <c r="E29" i="14"/>
  <c r="J22" i="14"/>
  <c r="B30" i="14"/>
  <c r="H21" i="14"/>
  <c r="R15" i="3"/>
  <c r="Q15" i="3"/>
  <c r="P15" i="3"/>
  <c r="AQ16" i="2"/>
  <c r="K16" i="3"/>
  <c r="L16" i="3"/>
  <c r="A17" i="3"/>
  <c r="M16" i="3"/>
  <c r="I16" i="3"/>
  <c r="N16" i="3"/>
  <c r="J16" i="3"/>
  <c r="N153" i="32" l="1"/>
  <c r="R151" i="32"/>
  <c r="A67" i="30"/>
  <c r="D66" i="30"/>
  <c r="AW25" i="29"/>
  <c r="BJ25" i="29"/>
  <c r="BR25" i="29" s="1"/>
  <c r="BG25" i="29"/>
  <c r="BF25" i="29" s="1"/>
  <c r="BS25" i="29" s="1"/>
  <c r="BR24" i="29"/>
  <c r="BD25" i="29"/>
  <c r="AT25" i="29"/>
  <c r="AK27" i="29"/>
  <c r="M27" i="29"/>
  <c r="CE27" i="29"/>
  <c r="CF27" i="29" s="1"/>
  <c r="P27" i="29"/>
  <c r="BL27" i="29"/>
  <c r="C27" i="29"/>
  <c r="L27" i="29"/>
  <c r="AG27" i="29" s="1"/>
  <c r="I27" i="29"/>
  <c r="BI27" i="29"/>
  <c r="AV27" i="29"/>
  <c r="R27" i="29"/>
  <c r="T27" i="29" s="1"/>
  <c r="Q27" i="29" s="1"/>
  <c r="AI27" i="29"/>
  <c r="CJ27" i="29"/>
  <c r="CK27" i="29" s="1"/>
  <c r="E27" i="29"/>
  <c r="BE27" i="29"/>
  <c r="B28" i="29"/>
  <c r="CD28" i="29" s="1"/>
  <c r="AN27" i="29"/>
  <c r="N27" i="29"/>
  <c r="V27" i="29"/>
  <c r="S27" i="29"/>
  <c r="AP27" i="29"/>
  <c r="CI27" i="29"/>
  <c r="AS27" i="29"/>
  <c r="CH27" i="29"/>
  <c r="K27" i="29"/>
  <c r="J27" i="29"/>
  <c r="AB26" i="29"/>
  <c r="AL26" i="29"/>
  <c r="BJ26" i="29" s="1"/>
  <c r="AA26" i="29"/>
  <c r="AX26" i="29" s="1"/>
  <c r="Y26" i="29"/>
  <c r="AU26" i="29" s="1"/>
  <c r="AJ26" i="29"/>
  <c r="BH26" i="29" s="1"/>
  <c r="Z25" i="29"/>
  <c r="X25" i="29"/>
  <c r="AR25" i="29"/>
  <c r="AO26" i="29"/>
  <c r="BO26" i="29" s="1"/>
  <c r="H26" i="29"/>
  <c r="G26" i="29"/>
  <c r="F26" i="29"/>
  <c r="BM26" i="29"/>
  <c r="BK26" i="29"/>
  <c r="U26" i="29"/>
  <c r="W26" i="29"/>
  <c r="AQ26" i="29" s="1"/>
  <c r="AY26" i="29"/>
  <c r="BB26" i="29"/>
  <c r="BC26" i="29" s="1"/>
  <c r="AB27" i="2"/>
  <c r="AK28" i="2"/>
  <c r="AI28" i="2"/>
  <c r="Z20" i="2"/>
  <c r="X20" i="2"/>
  <c r="V28" i="2"/>
  <c r="L28" i="2"/>
  <c r="S28" i="2"/>
  <c r="Z21" i="2"/>
  <c r="X21" i="2"/>
  <c r="K28" i="2"/>
  <c r="J28" i="2"/>
  <c r="I28" i="2"/>
  <c r="M28" i="2"/>
  <c r="N28" i="2"/>
  <c r="P23" i="2"/>
  <c r="P20" i="2"/>
  <c r="BC20" i="2"/>
  <c r="AG21" i="2"/>
  <c r="Y20" i="2"/>
  <c r="AU20" i="2" s="1"/>
  <c r="AA20" i="2"/>
  <c r="AX20" i="2" s="1"/>
  <c r="Y21" i="2"/>
  <c r="AA21" i="2"/>
  <c r="C28" i="2"/>
  <c r="B29" i="2"/>
  <c r="AP28" i="2"/>
  <c r="AV28" i="2"/>
  <c r="AS28" i="2"/>
  <c r="BB28" i="2" s="1"/>
  <c r="F28" i="14"/>
  <c r="BE22" i="2"/>
  <c r="BL23" i="2"/>
  <c r="E23" i="2"/>
  <c r="BI23" i="2" s="1"/>
  <c r="BG20" i="2"/>
  <c r="BF20" i="2" s="1"/>
  <c r="M25" i="23"/>
  <c r="AD25" i="23" s="1"/>
  <c r="BD25" i="23" s="1"/>
  <c r="BK20" i="2"/>
  <c r="U20" i="2"/>
  <c r="T22" i="2"/>
  <c r="AG24" i="2"/>
  <c r="K26" i="23"/>
  <c r="L26" i="23" s="1"/>
  <c r="J26" i="23" s="1"/>
  <c r="R23" i="2"/>
  <c r="AZ24" i="23"/>
  <c r="BH24" i="23" s="1"/>
  <c r="S25" i="23"/>
  <c r="T25" i="23" s="1"/>
  <c r="AL25" i="23" s="1"/>
  <c r="Q25" i="23"/>
  <c r="R25" i="23" s="1"/>
  <c r="AJ25" i="23" s="1"/>
  <c r="Z25" i="23"/>
  <c r="AA25" i="23" s="1"/>
  <c r="AZ25" i="23" s="1"/>
  <c r="AI24" i="23"/>
  <c r="AM24" i="23"/>
  <c r="AW24" i="23"/>
  <c r="BG24" i="23" s="1"/>
  <c r="X25" i="23"/>
  <c r="Y25" i="23" s="1"/>
  <c r="AV25" i="23" s="1"/>
  <c r="AU25" i="23" s="1"/>
  <c r="O25" i="23"/>
  <c r="AX26" i="23"/>
  <c r="C27" i="23"/>
  <c r="AC27" i="23" s="1"/>
  <c r="AH27" i="23"/>
  <c r="B28" i="23"/>
  <c r="BT28" i="23" s="1"/>
  <c r="AK27" i="23"/>
  <c r="AE27" i="23"/>
  <c r="I27" i="23"/>
  <c r="AF23" i="23"/>
  <c r="AG23" i="23"/>
  <c r="AS25" i="23"/>
  <c r="AR25" i="23"/>
  <c r="AQ26" i="23"/>
  <c r="AN26" i="23"/>
  <c r="AT26" i="23"/>
  <c r="D26" i="23"/>
  <c r="N24" i="23"/>
  <c r="P24" i="23"/>
  <c r="AC26" i="23"/>
  <c r="F47" i="23"/>
  <c r="G47" i="23"/>
  <c r="E47" i="23"/>
  <c r="U21" i="2"/>
  <c r="BK21" i="2"/>
  <c r="BJ21" i="2"/>
  <c r="H24" i="20"/>
  <c r="F29" i="14"/>
  <c r="AY23" i="2"/>
  <c r="AR16" i="2"/>
  <c r="BH21" i="2"/>
  <c r="BG21" i="2"/>
  <c r="BF21" i="2" s="1"/>
  <c r="A25" i="20"/>
  <c r="H20" i="2"/>
  <c r="F20" i="2"/>
  <c r="G20" i="2"/>
  <c r="A24" i="19"/>
  <c r="B20" i="19"/>
  <c r="C28" i="14"/>
  <c r="D28" i="14" s="1"/>
  <c r="A32" i="14"/>
  <c r="I22" i="14"/>
  <c r="BR14" i="2"/>
  <c r="BR13" i="2"/>
  <c r="J23" i="14"/>
  <c r="B31" i="14"/>
  <c r="H22" i="14"/>
  <c r="R16" i="3"/>
  <c r="P16" i="3"/>
  <c r="Q16" i="3"/>
  <c r="AQ17" i="2"/>
  <c r="K17" i="3"/>
  <c r="L17" i="3"/>
  <c r="A18" i="3"/>
  <c r="M17" i="3"/>
  <c r="I17" i="3"/>
  <c r="N17" i="3"/>
  <c r="J17" i="3"/>
  <c r="N155" i="32" l="1"/>
  <c r="R153" i="32"/>
  <c r="A68" i="30"/>
  <c r="D67" i="30"/>
  <c r="AW26" i="29"/>
  <c r="AT26" i="29"/>
  <c r="BD26" i="29"/>
  <c r="AO27" i="29"/>
  <c r="BO27" i="29" s="1"/>
  <c r="BG26" i="29"/>
  <c r="BF26" i="29" s="1"/>
  <c r="BS26" i="29" s="1"/>
  <c r="BR26" i="29"/>
  <c r="F27" i="29"/>
  <c r="H27" i="29"/>
  <c r="G27" i="29"/>
  <c r="AB27" i="29"/>
  <c r="AA27" i="29"/>
  <c r="AX27" i="29" s="1"/>
  <c r="Y27" i="29"/>
  <c r="AU27" i="29" s="1"/>
  <c r="AL27" i="29"/>
  <c r="BJ27" i="29" s="1"/>
  <c r="AJ27" i="29"/>
  <c r="BG27" i="29" s="1"/>
  <c r="BF27" i="29" s="1"/>
  <c r="S28" i="29"/>
  <c r="L28" i="29"/>
  <c r="CI28" i="29"/>
  <c r="AS28" i="29"/>
  <c r="BL28" i="29"/>
  <c r="C28" i="29"/>
  <c r="J28" i="29"/>
  <c r="I28" i="29"/>
  <c r="AI28" i="29"/>
  <c r="CE28" i="29"/>
  <c r="CF28" i="29" s="1"/>
  <c r="P28" i="29"/>
  <c r="AV28" i="29"/>
  <c r="CJ28" i="29"/>
  <c r="CK28" i="29" s="1"/>
  <c r="CH28" i="29"/>
  <c r="E28" i="29"/>
  <c r="AK28" i="29"/>
  <c r="BI28" i="29"/>
  <c r="AG28" i="29"/>
  <c r="AN28" i="29"/>
  <c r="R28" i="29"/>
  <c r="T28" i="29" s="1"/>
  <c r="Q28" i="29" s="1"/>
  <c r="AP28" i="29"/>
  <c r="V28" i="29"/>
  <c r="BE28" i="29"/>
  <c r="B29" i="29"/>
  <c r="CD29" i="29" s="1"/>
  <c r="K28" i="29"/>
  <c r="N28" i="29"/>
  <c r="M28" i="29"/>
  <c r="BM27" i="29"/>
  <c r="AR26" i="29"/>
  <c r="X26" i="29"/>
  <c r="Z26" i="29"/>
  <c r="AY27" i="29"/>
  <c r="BB27" i="29"/>
  <c r="BC27" i="29" s="1"/>
  <c r="U27" i="29"/>
  <c r="W27" i="29"/>
  <c r="AR27" i="29" s="1"/>
  <c r="AB28" i="2"/>
  <c r="AK29" i="2"/>
  <c r="AI29" i="2"/>
  <c r="S29" i="2"/>
  <c r="V29" i="2"/>
  <c r="L29" i="2"/>
  <c r="K29" i="2"/>
  <c r="I29" i="2"/>
  <c r="J29" i="2"/>
  <c r="M29" i="2"/>
  <c r="N29" i="2"/>
  <c r="BB25" i="23"/>
  <c r="P24" i="2"/>
  <c r="BD20" i="2"/>
  <c r="P21" i="2"/>
  <c r="BD21" i="2"/>
  <c r="C29" i="2"/>
  <c r="G28" i="14"/>
  <c r="B30" i="2"/>
  <c r="AP29" i="2"/>
  <c r="AV29" i="2"/>
  <c r="AS29" i="2"/>
  <c r="BB29" i="2" s="1"/>
  <c r="AW20" i="2"/>
  <c r="AT20" i="2"/>
  <c r="AX21" i="2"/>
  <c r="AW21" i="2"/>
  <c r="W22" i="2"/>
  <c r="BE23" i="2"/>
  <c r="BL24" i="2"/>
  <c r="E24" i="2"/>
  <c r="BI24" i="2" s="1"/>
  <c r="AL22" i="2"/>
  <c r="BJ22" i="2" s="1"/>
  <c r="BS20" i="2"/>
  <c r="Q22" i="2"/>
  <c r="E30" i="14"/>
  <c r="AJ22" i="2"/>
  <c r="BH22" i="2" s="1"/>
  <c r="BM22" i="2"/>
  <c r="T23" i="2"/>
  <c r="AG25" i="2"/>
  <c r="M26" i="23"/>
  <c r="BB26" i="23" s="1"/>
  <c r="K27" i="23"/>
  <c r="L27" i="23" s="1"/>
  <c r="J27" i="23" s="1"/>
  <c r="AY25" i="23"/>
  <c r="AM25" i="23"/>
  <c r="AW25" i="23"/>
  <c r="AI25" i="23"/>
  <c r="BH25" i="23"/>
  <c r="R24" i="2"/>
  <c r="D27" i="23"/>
  <c r="P25" i="23"/>
  <c r="N25" i="23"/>
  <c r="AG24" i="23"/>
  <c r="AF24" i="23"/>
  <c r="O26" i="23"/>
  <c r="AX27" i="23"/>
  <c r="BA27" i="23"/>
  <c r="AK28" i="23"/>
  <c r="I28" i="23"/>
  <c r="B29" i="23"/>
  <c r="BT29" i="23" s="1"/>
  <c r="AH28" i="23"/>
  <c r="AE28" i="23"/>
  <c r="C28" i="23"/>
  <c r="AT28" i="23" s="1"/>
  <c r="AS26" i="23"/>
  <c r="AR26" i="23"/>
  <c r="AT27" i="23"/>
  <c r="AN27" i="23"/>
  <c r="AQ27" i="23"/>
  <c r="G48" i="23"/>
  <c r="F48" i="23"/>
  <c r="E48" i="23"/>
  <c r="E13" i="19"/>
  <c r="E14" i="19"/>
  <c r="BS21" i="2"/>
  <c r="H25" i="20"/>
  <c r="G29" i="14"/>
  <c r="AT21" i="2"/>
  <c r="AU21" i="2"/>
  <c r="AY24" i="2"/>
  <c r="AR17" i="2"/>
  <c r="I25" i="20"/>
  <c r="A26" i="20"/>
  <c r="H21" i="2"/>
  <c r="G21" i="2"/>
  <c r="F21" i="2"/>
  <c r="A25" i="19"/>
  <c r="B21" i="19"/>
  <c r="C29" i="14"/>
  <c r="A33" i="14"/>
  <c r="BR15" i="2"/>
  <c r="I23" i="14"/>
  <c r="I24" i="14"/>
  <c r="J24" i="14"/>
  <c r="B32" i="14"/>
  <c r="H23" i="14"/>
  <c r="P17" i="3"/>
  <c r="R17" i="3"/>
  <c r="Q17" i="3"/>
  <c r="AQ18" i="2"/>
  <c r="K18" i="3"/>
  <c r="L18" i="3"/>
  <c r="A19" i="3"/>
  <c r="M18" i="3"/>
  <c r="I18" i="3"/>
  <c r="N18" i="3"/>
  <c r="J18" i="3"/>
  <c r="N157" i="32" l="1"/>
  <c r="R155" i="32"/>
  <c r="A69" i="30"/>
  <c r="D68" i="30"/>
  <c r="BK27" i="29"/>
  <c r="BS27" i="29" s="1"/>
  <c r="BH27" i="29"/>
  <c r="BR27" i="29" s="1"/>
  <c r="AO28" i="29"/>
  <c r="BO28" i="29" s="1"/>
  <c r="AT27" i="29"/>
  <c r="BD27" i="29"/>
  <c r="W28" i="29"/>
  <c r="AR28" i="29" s="1"/>
  <c r="U28" i="29"/>
  <c r="AJ28" i="29"/>
  <c r="BG28" i="29" s="1"/>
  <c r="BF28" i="29" s="1"/>
  <c r="Y28" i="29"/>
  <c r="AU28" i="29" s="1"/>
  <c r="AB28" i="29"/>
  <c r="AA28" i="29"/>
  <c r="AW28" i="29" s="1"/>
  <c r="AL28" i="29"/>
  <c r="BJ28" i="29" s="1"/>
  <c r="F28" i="29"/>
  <c r="H28" i="29"/>
  <c r="G28" i="29"/>
  <c r="AQ27" i="29"/>
  <c r="BM28" i="29"/>
  <c r="AW27" i="29"/>
  <c r="Z27" i="29"/>
  <c r="X27" i="29"/>
  <c r="V29" i="29"/>
  <c r="S29" i="29"/>
  <c r="CJ29" i="29"/>
  <c r="CK29" i="29" s="1"/>
  <c r="E29" i="29"/>
  <c r="BE29" i="29"/>
  <c r="B30" i="29"/>
  <c r="CD30" i="29" s="1"/>
  <c r="AN29" i="29"/>
  <c r="AI29" i="29"/>
  <c r="AP29" i="29"/>
  <c r="CI29" i="29"/>
  <c r="AS29" i="29"/>
  <c r="CH29" i="29"/>
  <c r="K29" i="29"/>
  <c r="AK29" i="29"/>
  <c r="R29" i="29"/>
  <c r="T29" i="29" s="1"/>
  <c r="Q29" i="29" s="1"/>
  <c r="M29" i="29"/>
  <c r="CE29" i="29"/>
  <c r="CF29" i="29" s="1"/>
  <c r="BL29" i="29"/>
  <c r="C29" i="29"/>
  <c r="L29" i="29"/>
  <c r="AG29" i="29" s="1"/>
  <c r="N29" i="29"/>
  <c r="I29" i="29"/>
  <c r="BI29" i="29"/>
  <c r="P29" i="29"/>
  <c r="AV29" i="29"/>
  <c r="J29" i="29"/>
  <c r="BB28" i="29"/>
  <c r="BD28" i="29" s="1"/>
  <c r="AY28" i="29"/>
  <c r="AB29" i="2"/>
  <c r="AI30" i="2"/>
  <c r="AK30" i="2"/>
  <c r="Z22" i="2"/>
  <c r="X22" i="2"/>
  <c r="V30" i="2"/>
  <c r="L30" i="2"/>
  <c r="S30" i="2"/>
  <c r="K30" i="2"/>
  <c r="J30" i="2"/>
  <c r="I30" i="2"/>
  <c r="M30" i="2"/>
  <c r="N30" i="2"/>
  <c r="P25" i="2"/>
  <c r="C30" i="2"/>
  <c r="B31" i="2"/>
  <c r="AP30" i="2"/>
  <c r="AS30" i="2"/>
  <c r="BB30" i="2" s="1"/>
  <c r="AV30" i="2"/>
  <c r="F30" i="14"/>
  <c r="Y22" i="2"/>
  <c r="AU22" i="2" s="1"/>
  <c r="AA22" i="2"/>
  <c r="AW22" i="2" s="1"/>
  <c r="U22" i="2"/>
  <c r="Q23" i="2"/>
  <c r="W23" i="2"/>
  <c r="BE24" i="2"/>
  <c r="BK22" i="2"/>
  <c r="E25" i="2"/>
  <c r="BI25" i="2" s="1"/>
  <c r="BL25" i="2"/>
  <c r="AJ23" i="2"/>
  <c r="BG23" i="2" s="1"/>
  <c r="BF23" i="2" s="1"/>
  <c r="E31" i="14"/>
  <c r="BG22" i="2"/>
  <c r="BF22" i="2" s="1"/>
  <c r="BM23" i="2"/>
  <c r="AL23" i="2"/>
  <c r="BK23" i="2" s="1"/>
  <c r="T24" i="2"/>
  <c r="AG26" i="2"/>
  <c r="Q26" i="23"/>
  <c r="R26" i="23" s="1"/>
  <c r="AI26" i="23" s="1"/>
  <c r="AD26" i="23"/>
  <c r="BD26" i="23" s="1"/>
  <c r="S26" i="23"/>
  <c r="T26" i="23" s="1"/>
  <c r="AL26" i="23" s="1"/>
  <c r="Z26" i="23"/>
  <c r="AA26" i="23" s="1"/>
  <c r="AZ26" i="23" s="1"/>
  <c r="X26" i="23"/>
  <c r="Y26" i="23" s="1"/>
  <c r="AW26" i="23" s="1"/>
  <c r="M27" i="23"/>
  <c r="Q27" i="23" s="1"/>
  <c r="R27" i="23" s="1"/>
  <c r="AI27" i="23" s="1"/>
  <c r="K28" i="23"/>
  <c r="L28" i="23" s="1"/>
  <c r="J28" i="23" s="1"/>
  <c r="BG25" i="23"/>
  <c r="R25" i="2"/>
  <c r="AC28" i="23"/>
  <c r="AE29" i="23"/>
  <c r="C29" i="23"/>
  <c r="AT29" i="23" s="1"/>
  <c r="AH29" i="23"/>
  <c r="I29" i="23"/>
  <c r="AK29" i="23"/>
  <c r="B30" i="23"/>
  <c r="BT30" i="23" s="1"/>
  <c r="BA28" i="23"/>
  <c r="AR27" i="23"/>
  <c r="AS27" i="23"/>
  <c r="D28" i="23"/>
  <c r="AX28" i="23"/>
  <c r="AN28" i="23"/>
  <c r="AQ28" i="23"/>
  <c r="P26" i="23"/>
  <c r="N26" i="23"/>
  <c r="AF25" i="23"/>
  <c r="AG25" i="23"/>
  <c r="G49" i="23"/>
  <c r="F49" i="23"/>
  <c r="E49" i="23"/>
  <c r="E15" i="19"/>
  <c r="BC21" i="2"/>
  <c r="F22" i="2"/>
  <c r="H22" i="2"/>
  <c r="G22" i="2"/>
  <c r="H26" i="20"/>
  <c r="I26" i="20"/>
  <c r="AY25" i="2"/>
  <c r="AR18" i="2"/>
  <c r="A27" i="20"/>
  <c r="A26" i="19"/>
  <c r="B22" i="19"/>
  <c r="D29" i="14"/>
  <c r="C30" i="14"/>
  <c r="D30" i="14" s="1"/>
  <c r="A34" i="14"/>
  <c r="BR16" i="2"/>
  <c r="B33" i="14"/>
  <c r="H24" i="14"/>
  <c r="P18" i="3"/>
  <c r="R18" i="3"/>
  <c r="Q18" i="3"/>
  <c r="AQ19" i="2"/>
  <c r="K19" i="3"/>
  <c r="L19" i="3"/>
  <c r="A20" i="3"/>
  <c r="M19" i="3"/>
  <c r="I19" i="3"/>
  <c r="N19" i="3"/>
  <c r="J19" i="3"/>
  <c r="N159" i="32" l="1"/>
  <c r="R157" i="32"/>
  <c r="D69" i="30"/>
  <c r="A70" i="30"/>
  <c r="AT28" i="29"/>
  <c r="BH28" i="29"/>
  <c r="BR28" i="29" s="1"/>
  <c r="AQ28" i="29"/>
  <c r="BC28" i="29"/>
  <c r="AX28" i="29"/>
  <c r="H29" i="29"/>
  <c r="G29" i="29"/>
  <c r="F29" i="29"/>
  <c r="U29" i="29"/>
  <c r="W29" i="29"/>
  <c r="Y29" i="29"/>
  <c r="AU29" i="29" s="1"/>
  <c r="AJ29" i="29"/>
  <c r="BG29" i="29" s="1"/>
  <c r="BF29" i="29" s="1"/>
  <c r="AB29" i="29"/>
  <c r="AL29" i="29"/>
  <c r="BJ29" i="29" s="1"/>
  <c r="AA29" i="29"/>
  <c r="AX29" i="29" s="1"/>
  <c r="BM29" i="29"/>
  <c r="AY29" i="29"/>
  <c r="BB29" i="29"/>
  <c r="BC29" i="29" s="1"/>
  <c r="AT29" i="29"/>
  <c r="AO29" i="29"/>
  <c r="BO29" i="29" s="1"/>
  <c r="BK28" i="29"/>
  <c r="BS28" i="29" s="1"/>
  <c r="AI30" i="29"/>
  <c r="I30" i="29"/>
  <c r="BI30" i="29"/>
  <c r="B31" i="29"/>
  <c r="CD31" i="29" s="1"/>
  <c r="AN30" i="29"/>
  <c r="N30" i="29"/>
  <c r="C30" i="29"/>
  <c r="V30" i="29"/>
  <c r="L30" i="29"/>
  <c r="CJ30" i="29"/>
  <c r="CK30" i="29" s="1"/>
  <c r="E30" i="29"/>
  <c r="BE30" i="29"/>
  <c r="CH30" i="29"/>
  <c r="K30" i="29"/>
  <c r="J30" i="29"/>
  <c r="AS30" i="29"/>
  <c r="S30" i="29"/>
  <c r="AP30" i="29"/>
  <c r="CI30" i="29"/>
  <c r="BL30" i="29"/>
  <c r="AK30" i="29"/>
  <c r="M30" i="29"/>
  <c r="CE30" i="29"/>
  <c r="CF30" i="29" s="1"/>
  <c r="P30" i="29"/>
  <c r="AV30" i="29"/>
  <c r="R30" i="29"/>
  <c r="T30" i="29" s="1"/>
  <c r="Q30" i="29" s="1"/>
  <c r="Z28" i="29"/>
  <c r="X28" i="29"/>
  <c r="AB30" i="2"/>
  <c r="AI31" i="2"/>
  <c r="AK31" i="2"/>
  <c r="X23" i="2"/>
  <c r="Z23" i="2"/>
  <c r="V31" i="2"/>
  <c r="L31" i="2"/>
  <c r="S31" i="2"/>
  <c r="K31" i="2"/>
  <c r="J31" i="2"/>
  <c r="I31" i="2"/>
  <c r="M31" i="2"/>
  <c r="N31" i="2"/>
  <c r="P26" i="2"/>
  <c r="C31" i="2"/>
  <c r="AT22" i="2"/>
  <c r="AS31" i="2"/>
  <c r="BB31" i="2" s="1"/>
  <c r="AV31" i="2"/>
  <c r="AP31" i="2"/>
  <c r="B32" i="2"/>
  <c r="AX22" i="2"/>
  <c r="G30" i="14"/>
  <c r="F31" i="14"/>
  <c r="Y23" i="2"/>
  <c r="G31" i="14" s="1"/>
  <c r="AA23" i="2"/>
  <c r="AW23" i="2" s="1"/>
  <c r="Q24" i="2"/>
  <c r="W24" i="2"/>
  <c r="BE25" i="2"/>
  <c r="S27" i="23"/>
  <c r="T27" i="23" s="1"/>
  <c r="AL27" i="23" s="1"/>
  <c r="BS22" i="2"/>
  <c r="E26" i="2"/>
  <c r="BI26" i="2" s="1"/>
  <c r="BL26" i="2"/>
  <c r="U23" i="2"/>
  <c r="AJ24" i="2"/>
  <c r="BG24" i="2" s="1"/>
  <c r="BF24" i="2" s="1"/>
  <c r="BH23" i="2"/>
  <c r="BJ23" i="2"/>
  <c r="E32" i="14"/>
  <c r="BM24" i="2"/>
  <c r="AL24" i="2"/>
  <c r="BJ24" i="2" s="1"/>
  <c r="T25" i="2"/>
  <c r="AG27" i="2"/>
  <c r="AM26" i="23"/>
  <c r="M28" i="23"/>
  <c r="BB28" i="23" s="1"/>
  <c r="AJ26" i="23"/>
  <c r="AV26" i="23"/>
  <c r="AU26" i="23" s="1"/>
  <c r="BH26" i="23" s="1"/>
  <c r="O27" i="23"/>
  <c r="N27" i="23" s="1"/>
  <c r="Z27" i="23"/>
  <c r="AA27" i="23" s="1"/>
  <c r="AY27" i="23" s="1"/>
  <c r="AY26" i="23"/>
  <c r="BG26" i="23" s="1"/>
  <c r="AD27" i="23"/>
  <c r="BD27" i="23" s="1"/>
  <c r="BB27" i="23"/>
  <c r="X27" i="23"/>
  <c r="Y27" i="23" s="1"/>
  <c r="AW27" i="23" s="1"/>
  <c r="K29" i="23"/>
  <c r="L29" i="23" s="1"/>
  <c r="J29" i="23" s="1"/>
  <c r="AJ27" i="23"/>
  <c r="BA29" i="23"/>
  <c r="R26" i="2"/>
  <c r="AC29" i="23"/>
  <c r="AX29" i="23"/>
  <c r="AQ29" i="23"/>
  <c r="AN29" i="23"/>
  <c r="O28" i="23"/>
  <c r="AR28" i="23"/>
  <c r="AS28" i="23"/>
  <c r="C30" i="23"/>
  <c r="AT30" i="23" s="1"/>
  <c r="I30" i="23"/>
  <c r="B31" i="23"/>
  <c r="BT31" i="23" s="1"/>
  <c r="AE30" i="23"/>
  <c r="AK30" i="23"/>
  <c r="AH30" i="23"/>
  <c r="D29" i="23"/>
  <c r="AG26" i="23"/>
  <c r="AF26" i="23"/>
  <c r="F50" i="23"/>
  <c r="G50" i="23"/>
  <c r="E50" i="23"/>
  <c r="E16" i="19"/>
  <c r="BS23" i="2"/>
  <c r="BD22" i="2"/>
  <c r="BC22" i="2"/>
  <c r="H23" i="2"/>
  <c r="G23" i="2"/>
  <c r="F23" i="2"/>
  <c r="I27" i="20"/>
  <c r="AY26" i="2"/>
  <c r="AR19" i="2"/>
  <c r="A28" i="20"/>
  <c r="H27" i="20"/>
  <c r="A27" i="19"/>
  <c r="B23" i="19"/>
  <c r="C31" i="14"/>
  <c r="A35" i="14"/>
  <c r="B34" i="14"/>
  <c r="I25" i="14"/>
  <c r="J26" i="14"/>
  <c r="H25" i="14"/>
  <c r="J25" i="14"/>
  <c r="P19" i="3"/>
  <c r="R19" i="3"/>
  <c r="Q19" i="3"/>
  <c r="AQ20" i="2"/>
  <c r="K20" i="3"/>
  <c r="L20" i="3"/>
  <c r="A21" i="3"/>
  <c r="M20" i="3"/>
  <c r="I20" i="3"/>
  <c r="J20" i="3"/>
  <c r="N20" i="3"/>
  <c r="N161" i="32" l="1"/>
  <c r="R159" i="32"/>
  <c r="A71" i="30"/>
  <c r="D70" i="30"/>
  <c r="BD29" i="29"/>
  <c r="AW29" i="29"/>
  <c r="BM30" i="29"/>
  <c r="AG30" i="29"/>
  <c r="H30" i="29"/>
  <c r="G30" i="29"/>
  <c r="F30" i="29"/>
  <c r="AO30" i="29"/>
  <c r="BO30" i="29" s="1"/>
  <c r="X29" i="29"/>
  <c r="Z29" i="29"/>
  <c r="AQ29" i="29"/>
  <c r="AY30" i="29"/>
  <c r="BB30" i="29"/>
  <c r="U30" i="29"/>
  <c r="W30" i="29"/>
  <c r="AR30" i="29" s="1"/>
  <c r="V31" i="29"/>
  <c r="AI31" i="29"/>
  <c r="CI31" i="29"/>
  <c r="AS31" i="29"/>
  <c r="BL31" i="29"/>
  <c r="C31" i="29"/>
  <c r="CJ31" i="29"/>
  <c r="CK31" i="29" s="1"/>
  <c r="E31" i="29"/>
  <c r="AK31" i="29"/>
  <c r="CE31" i="29"/>
  <c r="CF31" i="29" s="1"/>
  <c r="P31" i="29"/>
  <c r="AV31" i="29"/>
  <c r="R31" i="29"/>
  <c r="T31" i="29" s="1"/>
  <c r="Q31" i="29" s="1"/>
  <c r="AP31" i="29"/>
  <c r="S31" i="29"/>
  <c r="BI31" i="29"/>
  <c r="B32" i="29"/>
  <c r="CD32" i="29" s="1"/>
  <c r="AN31" i="29"/>
  <c r="N31" i="29"/>
  <c r="M31" i="29"/>
  <c r="L31" i="29"/>
  <c r="BE31" i="29"/>
  <c r="CH31" i="29"/>
  <c r="K31" i="29"/>
  <c r="J31" i="29"/>
  <c r="I31" i="29"/>
  <c r="AB30" i="29"/>
  <c r="AA30" i="29"/>
  <c r="AX30" i="29" s="1"/>
  <c r="Y30" i="29"/>
  <c r="AT30" i="29" s="1"/>
  <c r="AL30" i="29"/>
  <c r="BK30" i="29" s="1"/>
  <c r="AJ30" i="29"/>
  <c r="BH30" i="29" s="1"/>
  <c r="BH29" i="29"/>
  <c r="BR29" i="29" s="1"/>
  <c r="BK29" i="29"/>
  <c r="BS29" i="29" s="1"/>
  <c r="AR29" i="29"/>
  <c r="AB31" i="2"/>
  <c r="AK32" i="2"/>
  <c r="AI32" i="2"/>
  <c r="Z24" i="2"/>
  <c r="X24" i="2"/>
  <c r="V32" i="2"/>
  <c r="S32" i="2"/>
  <c r="L32" i="2"/>
  <c r="K32" i="2"/>
  <c r="J32" i="2"/>
  <c r="I32" i="2"/>
  <c r="M32" i="2"/>
  <c r="N32" i="2"/>
  <c r="P27" i="2"/>
  <c r="AM27" i="23"/>
  <c r="C32" i="2"/>
  <c r="AX23" i="2"/>
  <c r="BE32" i="2"/>
  <c r="AP32" i="2"/>
  <c r="B33" i="2"/>
  <c r="AV32" i="2"/>
  <c r="E32" i="2"/>
  <c r="BI32" i="2"/>
  <c r="AS32" i="2"/>
  <c r="BB32" i="2" s="1"/>
  <c r="BL32" i="2"/>
  <c r="AU23" i="2"/>
  <c r="AT23" i="2"/>
  <c r="F32" i="14"/>
  <c r="AA24" i="2"/>
  <c r="AX24" i="2" s="1"/>
  <c r="Y24" i="2"/>
  <c r="G32" i="14" s="1"/>
  <c r="Q25" i="2"/>
  <c r="U25" i="2"/>
  <c r="BE26" i="2"/>
  <c r="E27" i="2"/>
  <c r="BI27" i="2" s="1"/>
  <c r="BL27" i="2"/>
  <c r="BH24" i="2"/>
  <c r="AJ25" i="2"/>
  <c r="BH25" i="2" s="1"/>
  <c r="AL25" i="2"/>
  <c r="BK25" i="2" s="1"/>
  <c r="U24" i="2"/>
  <c r="BK24" i="2"/>
  <c r="BS24" i="2" s="1"/>
  <c r="E33" i="14"/>
  <c r="AD28" i="23"/>
  <c r="BD28" i="23" s="1"/>
  <c r="Z28" i="23"/>
  <c r="AA28" i="23" s="1"/>
  <c r="AY28" i="23" s="1"/>
  <c r="X28" i="23"/>
  <c r="Y28" i="23" s="1"/>
  <c r="AW28" i="23" s="1"/>
  <c r="S28" i="23"/>
  <c r="T28" i="23" s="1"/>
  <c r="AL28" i="23" s="1"/>
  <c r="BM25" i="2"/>
  <c r="T26" i="2"/>
  <c r="P27" i="23"/>
  <c r="AF27" i="23" s="1"/>
  <c r="AG28" i="2"/>
  <c r="Q28" i="23"/>
  <c r="R28" i="23" s="1"/>
  <c r="AJ28" i="23" s="1"/>
  <c r="M29" i="23"/>
  <c r="Z29" i="23" s="1"/>
  <c r="AA29" i="23" s="1"/>
  <c r="AY29" i="23" s="1"/>
  <c r="AV27" i="23"/>
  <c r="AU27" i="23" s="1"/>
  <c r="BG27" i="23"/>
  <c r="AZ27" i="23"/>
  <c r="K30" i="23"/>
  <c r="L30" i="23" s="1"/>
  <c r="M30" i="23" s="1"/>
  <c r="S29" i="23"/>
  <c r="T29" i="23" s="1"/>
  <c r="AM29" i="23" s="1"/>
  <c r="R27" i="2"/>
  <c r="BA30" i="23"/>
  <c r="AC30" i="23"/>
  <c r="AX30" i="23"/>
  <c r="P28" i="23"/>
  <c r="N28" i="23"/>
  <c r="AS29" i="23"/>
  <c r="AR29" i="23"/>
  <c r="AK31" i="23"/>
  <c r="I31" i="23"/>
  <c r="B32" i="23"/>
  <c r="BT32" i="23" s="1"/>
  <c r="AH31" i="23"/>
  <c r="AE31" i="23"/>
  <c r="C31" i="23"/>
  <c r="BA31" i="23" s="1"/>
  <c r="AQ30" i="23"/>
  <c r="AN30" i="23"/>
  <c r="D30" i="23"/>
  <c r="E51" i="23"/>
  <c r="F51" i="23"/>
  <c r="G51" i="23"/>
  <c r="F24" i="2"/>
  <c r="G24" i="2"/>
  <c r="H24" i="2"/>
  <c r="BD23" i="2"/>
  <c r="BC23" i="2"/>
  <c r="I28" i="20"/>
  <c r="H28" i="20"/>
  <c r="AR20" i="2"/>
  <c r="AY27" i="2"/>
  <c r="A29" i="20"/>
  <c r="A28" i="19"/>
  <c r="B24" i="19"/>
  <c r="D31" i="14"/>
  <c r="C32" i="14"/>
  <c r="A36" i="14"/>
  <c r="BR18" i="2"/>
  <c r="I26" i="14"/>
  <c r="B35" i="14"/>
  <c r="BR17" i="2"/>
  <c r="H26" i="14"/>
  <c r="R20" i="3"/>
  <c r="P20" i="3"/>
  <c r="Q20" i="3"/>
  <c r="AQ21" i="2"/>
  <c r="K21" i="3"/>
  <c r="L21" i="3"/>
  <c r="A22" i="3"/>
  <c r="M21" i="3"/>
  <c r="I21" i="3"/>
  <c r="N21" i="3"/>
  <c r="J21" i="3"/>
  <c r="N163" i="32" l="1"/>
  <c r="R161" i="32"/>
  <c r="A72" i="30"/>
  <c r="D71" i="30"/>
  <c r="AQ30" i="29"/>
  <c r="BJ30" i="29"/>
  <c r="BR30" i="29" s="1"/>
  <c r="BD30" i="29"/>
  <c r="BC30" i="29"/>
  <c r="Z30" i="29"/>
  <c r="X30" i="29"/>
  <c r="AO31" i="29"/>
  <c r="BO31" i="29" s="1"/>
  <c r="AB31" i="29"/>
  <c r="AA31" i="29"/>
  <c r="AX31" i="29" s="1"/>
  <c r="AL31" i="29"/>
  <c r="BK31" i="29" s="1"/>
  <c r="AJ31" i="29"/>
  <c r="BH31" i="29" s="1"/>
  <c r="Y31" i="29"/>
  <c r="AU31" i="29" s="1"/>
  <c r="AG31" i="29"/>
  <c r="F31" i="29"/>
  <c r="H31" i="29"/>
  <c r="G31" i="29"/>
  <c r="S32" i="29"/>
  <c r="L32" i="29"/>
  <c r="AV32" i="29"/>
  <c r="R32" i="29"/>
  <c r="T32" i="29" s="1"/>
  <c r="Q32" i="29" s="1"/>
  <c r="AP32" i="29"/>
  <c r="CI32" i="29"/>
  <c r="AS32" i="29"/>
  <c r="AI32" i="29"/>
  <c r="B33" i="29"/>
  <c r="CD33" i="29" s="1"/>
  <c r="AN32" i="29"/>
  <c r="N32" i="29"/>
  <c r="M32" i="29"/>
  <c r="CE32" i="29"/>
  <c r="CF32" i="29" s="1"/>
  <c r="P32" i="29"/>
  <c r="AK32" i="29"/>
  <c r="CH32" i="29"/>
  <c r="K32" i="29"/>
  <c r="J32" i="29"/>
  <c r="I32" i="29"/>
  <c r="BI32" i="29"/>
  <c r="V32" i="29"/>
  <c r="BL32" i="29"/>
  <c r="C32" i="29"/>
  <c r="CJ32" i="29"/>
  <c r="CK32" i="29" s="1"/>
  <c r="E32" i="29"/>
  <c r="BE32" i="29"/>
  <c r="BM31" i="29"/>
  <c r="W31" i="29"/>
  <c r="U31" i="29"/>
  <c r="BG30" i="29"/>
  <c r="BF30" i="29" s="1"/>
  <c r="BS30" i="29" s="1"/>
  <c r="AY31" i="29"/>
  <c r="BB31" i="29"/>
  <c r="AU30" i="29"/>
  <c r="AW30" i="29"/>
  <c r="AB32" i="2"/>
  <c r="AK33" i="2"/>
  <c r="AI33" i="2"/>
  <c r="S33" i="2"/>
  <c r="V33" i="2"/>
  <c r="L33" i="2"/>
  <c r="K33" i="2"/>
  <c r="I33" i="2"/>
  <c r="J33" i="2"/>
  <c r="M33" i="2"/>
  <c r="N33" i="2"/>
  <c r="P28" i="2"/>
  <c r="C33" i="2"/>
  <c r="AT24" i="2"/>
  <c r="BI33" i="2"/>
  <c r="AS33" i="2"/>
  <c r="BB33" i="2" s="1"/>
  <c r="B34" i="2"/>
  <c r="BE33" i="2"/>
  <c r="AP33" i="2"/>
  <c r="BL33" i="2"/>
  <c r="E33" i="2"/>
  <c r="AV33" i="2"/>
  <c r="AW24" i="2"/>
  <c r="AU24" i="2"/>
  <c r="Q26" i="2"/>
  <c r="W26" i="2"/>
  <c r="BE27" i="2"/>
  <c r="AG27" i="23"/>
  <c r="BG28" i="23"/>
  <c r="BL28" i="2"/>
  <c r="E28" i="2"/>
  <c r="BI28" i="2" s="1"/>
  <c r="W25" i="2"/>
  <c r="BG25" i="2"/>
  <c r="BF25" i="2" s="1"/>
  <c r="BS25" i="2" s="1"/>
  <c r="AJ26" i="2"/>
  <c r="BG26" i="2" s="1"/>
  <c r="BF26" i="2" s="1"/>
  <c r="BJ25" i="2"/>
  <c r="AL26" i="2"/>
  <c r="BJ26" i="2" s="1"/>
  <c r="BM26" i="2"/>
  <c r="AV28" i="23"/>
  <c r="AU28" i="23" s="1"/>
  <c r="AM28" i="23"/>
  <c r="AZ28" i="23"/>
  <c r="E34" i="14"/>
  <c r="T27" i="2"/>
  <c r="AG29" i="2"/>
  <c r="AD29" i="23"/>
  <c r="BD29" i="23" s="1"/>
  <c r="X29" i="23"/>
  <c r="Y29" i="23" s="1"/>
  <c r="AW29" i="23" s="1"/>
  <c r="BG29" i="23" s="1"/>
  <c r="AI28" i="23"/>
  <c r="Q29" i="23"/>
  <c r="R29" i="23" s="1"/>
  <c r="AJ29" i="23" s="1"/>
  <c r="BB29" i="23"/>
  <c r="O29" i="23"/>
  <c r="P29" i="23" s="1"/>
  <c r="BH27" i="23"/>
  <c r="J30" i="23"/>
  <c r="K31" i="23"/>
  <c r="L31" i="23" s="1"/>
  <c r="J31" i="23" s="1"/>
  <c r="BB30" i="23"/>
  <c r="AZ29" i="23"/>
  <c r="AL29" i="23"/>
  <c r="Z30" i="23"/>
  <c r="AA30" i="23" s="1"/>
  <c r="AY30" i="23" s="1"/>
  <c r="Q30" i="23"/>
  <c r="R30" i="23" s="1"/>
  <c r="AI30" i="23" s="1"/>
  <c r="S30" i="23"/>
  <c r="T30" i="23" s="1"/>
  <c r="AL30" i="23" s="1"/>
  <c r="R28" i="2"/>
  <c r="AC31" i="23"/>
  <c r="AR30" i="23"/>
  <c r="AS30" i="23"/>
  <c r="AQ31" i="23"/>
  <c r="AN31" i="23"/>
  <c r="AF28" i="23"/>
  <c r="AG28" i="23"/>
  <c r="AD30" i="23"/>
  <c r="BD30" i="23" s="1"/>
  <c r="O30" i="23"/>
  <c r="X30" i="23"/>
  <c r="Y30" i="23" s="1"/>
  <c r="AW30" i="23" s="1"/>
  <c r="D31" i="23"/>
  <c r="AE32" i="23"/>
  <c r="AH32" i="23"/>
  <c r="C32" i="23"/>
  <c r="AC32" i="23" s="1"/>
  <c r="B33" i="23"/>
  <c r="BT33" i="23" s="1"/>
  <c r="I32" i="23"/>
  <c r="AK32" i="23"/>
  <c r="AX31" i="23"/>
  <c r="AT31" i="23"/>
  <c r="E52" i="23"/>
  <c r="G52" i="23"/>
  <c r="F52" i="23"/>
  <c r="E17" i="19"/>
  <c r="E18" i="19"/>
  <c r="H25" i="2"/>
  <c r="F25" i="2"/>
  <c r="G25" i="2"/>
  <c r="BC24" i="2"/>
  <c r="BD24" i="2"/>
  <c r="AY28" i="2"/>
  <c r="AR21" i="2"/>
  <c r="I29" i="20"/>
  <c r="H29" i="20"/>
  <c r="A30" i="20"/>
  <c r="A29" i="19"/>
  <c r="B25" i="19"/>
  <c r="D32" i="14"/>
  <c r="C33" i="14"/>
  <c r="D33" i="14" s="1"/>
  <c r="A37" i="14"/>
  <c r="J27" i="14"/>
  <c r="I27" i="14"/>
  <c r="B36" i="14"/>
  <c r="H27" i="14"/>
  <c r="P21" i="3"/>
  <c r="Q21" i="3"/>
  <c r="BR19" i="2"/>
  <c r="R21" i="3"/>
  <c r="AQ22" i="2"/>
  <c r="K22" i="3"/>
  <c r="L22" i="3"/>
  <c r="A23" i="3"/>
  <c r="M22" i="3"/>
  <c r="I22" i="3"/>
  <c r="N22" i="3"/>
  <c r="J22" i="3"/>
  <c r="N165" i="32" l="1"/>
  <c r="R163" i="32"/>
  <c r="A73" i="30"/>
  <c r="D72" i="30"/>
  <c r="AT31" i="29"/>
  <c r="AW31" i="29"/>
  <c r="BJ31" i="29"/>
  <c r="BR31" i="29" s="1"/>
  <c r="BD31" i="29"/>
  <c r="BC31" i="29"/>
  <c r="Z31" i="29"/>
  <c r="X31" i="29"/>
  <c r="BM32" i="29"/>
  <c r="AO32" i="29"/>
  <c r="BO32" i="29" s="1"/>
  <c r="AG32" i="29"/>
  <c r="G32" i="29"/>
  <c r="F32" i="29"/>
  <c r="H32" i="29"/>
  <c r="AR31" i="29"/>
  <c r="U32" i="29"/>
  <c r="W32" i="29"/>
  <c r="AR32" i="29" s="1"/>
  <c r="S33" i="29"/>
  <c r="N33" i="29"/>
  <c r="M33" i="29"/>
  <c r="CE33" i="29"/>
  <c r="CF33" i="29" s="1"/>
  <c r="P33" i="29"/>
  <c r="AV33" i="29"/>
  <c r="AK33" i="29"/>
  <c r="J33" i="29"/>
  <c r="I33" i="29"/>
  <c r="BI33" i="29"/>
  <c r="B34" i="29"/>
  <c r="CD34" i="29" s="1"/>
  <c r="AN33" i="29"/>
  <c r="V33" i="29"/>
  <c r="L33" i="29"/>
  <c r="AG33" i="29" s="1"/>
  <c r="CJ33" i="29"/>
  <c r="CK33" i="29" s="1"/>
  <c r="E33" i="29"/>
  <c r="BE33" i="29"/>
  <c r="CH33" i="29"/>
  <c r="K33" i="29"/>
  <c r="AI33" i="29"/>
  <c r="R33" i="29"/>
  <c r="T33" i="29" s="1"/>
  <c r="Q33" i="29" s="1"/>
  <c r="AP33" i="29"/>
  <c r="CI33" i="29"/>
  <c r="AS33" i="29"/>
  <c r="BL33" i="29"/>
  <c r="C33" i="29"/>
  <c r="AQ31" i="29"/>
  <c r="AJ32" i="29"/>
  <c r="BH32" i="29" s="1"/>
  <c r="AA32" i="29"/>
  <c r="AX32" i="29" s="1"/>
  <c r="AB32" i="29"/>
  <c r="AL32" i="29"/>
  <c r="BK32" i="29" s="1"/>
  <c r="Y32" i="29"/>
  <c r="AU32" i="29" s="1"/>
  <c r="BB32" i="29"/>
  <c r="AY32" i="29"/>
  <c r="BG31" i="29"/>
  <c r="BF31" i="29" s="1"/>
  <c r="BS31" i="29" s="1"/>
  <c r="AB33" i="2"/>
  <c r="AI34" i="2"/>
  <c r="AK34" i="2"/>
  <c r="Z26" i="2"/>
  <c r="X26" i="2"/>
  <c r="V34" i="2"/>
  <c r="S34" i="2"/>
  <c r="L34" i="2"/>
  <c r="Z25" i="2"/>
  <c r="X25" i="2"/>
  <c r="K34" i="2"/>
  <c r="J34" i="2"/>
  <c r="I34" i="2"/>
  <c r="M31" i="23"/>
  <c r="BB31" i="23" s="1"/>
  <c r="M34" i="2"/>
  <c r="N34" i="2"/>
  <c r="N29" i="23"/>
  <c r="P29" i="2"/>
  <c r="C34" i="2"/>
  <c r="AV34" i="2"/>
  <c r="BL34" i="2"/>
  <c r="BE34" i="2"/>
  <c r="BI34" i="2"/>
  <c r="AP34" i="2"/>
  <c r="B35" i="2"/>
  <c r="AS34" i="2"/>
  <c r="BB34" i="2" s="1"/>
  <c r="E34" i="2"/>
  <c r="F34" i="14"/>
  <c r="Y26" i="2"/>
  <c r="G34" i="14" s="1"/>
  <c r="AA26" i="2"/>
  <c r="AX26" i="2" s="1"/>
  <c r="F33" i="14"/>
  <c r="AA25" i="2"/>
  <c r="Y25" i="2"/>
  <c r="Q27" i="2"/>
  <c r="W27" i="2"/>
  <c r="BE28" i="2"/>
  <c r="BH28" i="23"/>
  <c r="BL29" i="2"/>
  <c r="E29" i="2"/>
  <c r="BI29" i="2" s="1"/>
  <c r="BK26" i="2"/>
  <c r="BS26" i="2" s="1"/>
  <c r="BH26" i="2"/>
  <c r="U26" i="2"/>
  <c r="AJ27" i="2"/>
  <c r="BG27" i="2" s="1"/>
  <c r="BF27" i="2" s="1"/>
  <c r="AL27" i="2"/>
  <c r="BK27" i="2" s="1"/>
  <c r="AV29" i="23"/>
  <c r="AU29" i="23" s="1"/>
  <c r="BH29" i="23" s="1"/>
  <c r="E35" i="14"/>
  <c r="BM27" i="2"/>
  <c r="AI29" i="23"/>
  <c r="T28" i="2"/>
  <c r="AG30" i="2"/>
  <c r="K32" i="23"/>
  <c r="L32" i="23" s="1"/>
  <c r="M32" i="23" s="1"/>
  <c r="AJ30" i="23"/>
  <c r="AM30" i="23"/>
  <c r="S31" i="23"/>
  <c r="T31" i="23" s="1"/>
  <c r="AL31" i="23" s="1"/>
  <c r="Q31" i="23"/>
  <c r="R31" i="23" s="1"/>
  <c r="AI31" i="23" s="1"/>
  <c r="Z31" i="23"/>
  <c r="AA31" i="23" s="1"/>
  <c r="AZ31" i="23" s="1"/>
  <c r="BG30" i="23"/>
  <c r="AZ30" i="23"/>
  <c r="AV30" i="23"/>
  <c r="AU30" i="23" s="1"/>
  <c r="R29" i="2"/>
  <c r="AF29" i="23"/>
  <c r="AG29" i="23"/>
  <c r="AT32" i="23"/>
  <c r="D32" i="23"/>
  <c r="BA32" i="23"/>
  <c r="B34" i="23"/>
  <c r="BT34" i="23" s="1"/>
  <c r="C33" i="23"/>
  <c r="AX33" i="23" s="1"/>
  <c r="I33" i="23"/>
  <c r="AE33" i="23"/>
  <c r="AK33" i="23"/>
  <c r="AH33" i="23"/>
  <c r="AX32" i="23"/>
  <c r="AQ32" i="23"/>
  <c r="AN32" i="23"/>
  <c r="AS31" i="23"/>
  <c r="AR31" i="23"/>
  <c r="N30" i="23"/>
  <c r="P30" i="23"/>
  <c r="O31" i="23"/>
  <c r="X31" i="23"/>
  <c r="Y31" i="23" s="1"/>
  <c r="AV31" i="23" s="1"/>
  <c r="AU31" i="23" s="1"/>
  <c r="F53" i="23"/>
  <c r="G53" i="23"/>
  <c r="E53" i="23"/>
  <c r="E19" i="19"/>
  <c r="BC25" i="2"/>
  <c r="BD25" i="2"/>
  <c r="F26" i="2"/>
  <c r="H26" i="2"/>
  <c r="G26" i="2"/>
  <c r="AR22" i="2"/>
  <c r="AY29" i="2"/>
  <c r="H30" i="20"/>
  <c r="I30" i="20"/>
  <c r="A31" i="20"/>
  <c r="A30" i="19"/>
  <c r="B26" i="19"/>
  <c r="C34" i="14"/>
  <c r="A38" i="14"/>
  <c r="I28" i="14"/>
  <c r="J28" i="14"/>
  <c r="B37" i="14"/>
  <c r="H28" i="14"/>
  <c r="R22" i="3"/>
  <c r="Q22" i="3"/>
  <c r="BR20" i="2"/>
  <c r="P22" i="3"/>
  <c r="AQ23" i="2"/>
  <c r="K23" i="3"/>
  <c r="L23" i="3"/>
  <c r="A24" i="3"/>
  <c r="M23" i="3"/>
  <c r="I23" i="3"/>
  <c r="N23" i="3"/>
  <c r="J23" i="3"/>
  <c r="N167" i="32" l="1"/>
  <c r="R165" i="32"/>
  <c r="D73" i="30"/>
  <c r="A74" i="30"/>
  <c r="AQ32" i="29"/>
  <c r="BC32" i="29"/>
  <c r="BM33" i="29"/>
  <c r="AT32" i="29"/>
  <c r="BD32" i="29"/>
  <c r="BJ32" i="29"/>
  <c r="BR32" i="29" s="1"/>
  <c r="U33" i="29"/>
  <c r="W33" i="29"/>
  <c r="AR33" i="29" s="1"/>
  <c r="AY33" i="29"/>
  <c r="BB33" i="29"/>
  <c r="BC33" i="29" s="1"/>
  <c r="AO33" i="29"/>
  <c r="BO33" i="29" s="1"/>
  <c r="AI34" i="29"/>
  <c r="CJ34" i="29"/>
  <c r="CK34" i="29" s="1"/>
  <c r="E34" i="29"/>
  <c r="BE34" i="29"/>
  <c r="CH34" i="29"/>
  <c r="K34" i="29"/>
  <c r="J34" i="29"/>
  <c r="S34" i="29"/>
  <c r="AP34" i="29"/>
  <c r="CI34" i="29"/>
  <c r="AS34" i="29"/>
  <c r="BL34" i="29"/>
  <c r="C34" i="29"/>
  <c r="L34" i="29"/>
  <c r="AG34" i="29" s="1"/>
  <c r="M34" i="29"/>
  <c r="CE34" i="29"/>
  <c r="CF34" i="29" s="1"/>
  <c r="P34" i="29"/>
  <c r="AV34" i="29"/>
  <c r="R34" i="29"/>
  <c r="T34" i="29" s="1"/>
  <c r="Q34" i="29" s="1"/>
  <c r="V34" i="29"/>
  <c r="AK34" i="29"/>
  <c r="I34" i="29"/>
  <c r="BI34" i="29"/>
  <c r="B35" i="29"/>
  <c r="CD35" i="29" s="1"/>
  <c r="AN34" i="29"/>
  <c r="N34" i="29"/>
  <c r="Z32" i="29"/>
  <c r="X32" i="29"/>
  <c r="AW32" i="29"/>
  <c r="Y33" i="29"/>
  <c r="AU33" i="29" s="1"/>
  <c r="AJ33" i="29"/>
  <c r="BG33" i="29" s="1"/>
  <c r="BF33" i="29" s="1"/>
  <c r="AB33" i="29"/>
  <c r="AL33" i="29"/>
  <c r="BK33" i="29" s="1"/>
  <c r="AA33" i="29"/>
  <c r="AX33" i="29" s="1"/>
  <c r="G33" i="29"/>
  <c r="F33" i="29"/>
  <c r="H33" i="29"/>
  <c r="BG32" i="29"/>
  <c r="BF32" i="29" s="1"/>
  <c r="BS32" i="29" s="1"/>
  <c r="AB34" i="2"/>
  <c r="AI35" i="2"/>
  <c r="AK35" i="2"/>
  <c r="Z27" i="2"/>
  <c r="X27" i="2"/>
  <c r="V35" i="2"/>
  <c r="L35" i="2"/>
  <c r="S35" i="2"/>
  <c r="AD31" i="23"/>
  <c r="BD31" i="23" s="1"/>
  <c r="K35" i="2"/>
  <c r="J35" i="2"/>
  <c r="I35" i="2"/>
  <c r="M35" i="2"/>
  <c r="N35" i="2"/>
  <c r="P30" i="2"/>
  <c r="C35" i="2"/>
  <c r="AP35" i="2"/>
  <c r="B36" i="2"/>
  <c r="BI35" i="2"/>
  <c r="AS35" i="2"/>
  <c r="BB35" i="2" s="1"/>
  <c r="E35" i="2"/>
  <c r="BE35" i="2"/>
  <c r="AV35" i="2"/>
  <c r="BL35" i="2"/>
  <c r="AW26" i="2"/>
  <c r="AT26" i="2"/>
  <c r="AU26" i="2"/>
  <c r="F35" i="14"/>
  <c r="Y27" i="2"/>
  <c r="AU27" i="2" s="1"/>
  <c r="AA27" i="2"/>
  <c r="AW27" i="2" s="1"/>
  <c r="AX25" i="2"/>
  <c r="AW25" i="2"/>
  <c r="AU25" i="2"/>
  <c r="AT25" i="2"/>
  <c r="G33" i="14"/>
  <c r="Q28" i="2"/>
  <c r="W28" i="2"/>
  <c r="BE29" i="2"/>
  <c r="E30" i="2"/>
  <c r="BI30" i="2" s="1"/>
  <c r="BL30" i="2"/>
  <c r="BH27" i="2"/>
  <c r="U27" i="2"/>
  <c r="AJ28" i="2"/>
  <c r="BG28" i="2" s="1"/>
  <c r="BF28" i="2" s="1"/>
  <c r="AL28" i="2"/>
  <c r="BJ28" i="2" s="1"/>
  <c r="BJ27" i="2"/>
  <c r="E36" i="14"/>
  <c r="T29" i="2"/>
  <c r="BM28" i="2"/>
  <c r="AG31" i="2"/>
  <c r="J32" i="23"/>
  <c r="K33" i="23"/>
  <c r="L33" i="23" s="1"/>
  <c r="M33" i="23" s="1"/>
  <c r="BB32" i="23"/>
  <c r="AY31" i="23"/>
  <c r="AC33" i="23"/>
  <c r="BH30" i="23"/>
  <c r="AM31" i="23"/>
  <c r="AD32" i="23"/>
  <c r="BD32" i="23" s="1"/>
  <c r="Q32" i="23"/>
  <c r="R32" i="23" s="1"/>
  <c r="AI32" i="23" s="1"/>
  <c r="S32" i="23"/>
  <c r="T32" i="23" s="1"/>
  <c r="AM32" i="23" s="1"/>
  <c r="Z32" i="23"/>
  <c r="AA32" i="23" s="1"/>
  <c r="AZ32" i="23" s="1"/>
  <c r="AJ31" i="23"/>
  <c r="AW31" i="23"/>
  <c r="R30" i="2"/>
  <c r="BH31" i="23"/>
  <c r="AT33" i="23"/>
  <c r="BA33" i="23"/>
  <c r="AG30" i="23"/>
  <c r="AF30" i="23"/>
  <c r="AS32" i="23"/>
  <c r="AR32" i="23"/>
  <c r="C34" i="23"/>
  <c r="AT34" i="23" s="1"/>
  <c r="AK34" i="23"/>
  <c r="I34" i="23"/>
  <c r="AE34" i="23"/>
  <c r="B35" i="23"/>
  <c r="BT35" i="23" s="1"/>
  <c r="AH34" i="23"/>
  <c r="AQ33" i="23"/>
  <c r="AN33" i="23"/>
  <c r="N31" i="23"/>
  <c r="P31" i="23"/>
  <c r="O32" i="23"/>
  <c r="X32" i="23"/>
  <c r="Y32" i="23" s="1"/>
  <c r="AV32" i="23" s="1"/>
  <c r="AU32" i="23" s="1"/>
  <c r="D33" i="23"/>
  <c r="E54" i="23"/>
  <c r="G54" i="23"/>
  <c r="F54" i="23"/>
  <c r="E20" i="19"/>
  <c r="BD26" i="2"/>
  <c r="BC26" i="2"/>
  <c r="H27" i="2"/>
  <c r="G27" i="2"/>
  <c r="F27" i="2"/>
  <c r="BS27" i="2"/>
  <c r="AR23" i="2"/>
  <c r="AY30" i="2"/>
  <c r="H31" i="20"/>
  <c r="I31" i="20"/>
  <c r="A32" i="20"/>
  <c r="A31" i="19"/>
  <c r="B27" i="19"/>
  <c r="D34" i="14"/>
  <c r="C35" i="14"/>
  <c r="D35" i="14" s="1"/>
  <c r="A39" i="14"/>
  <c r="I29" i="14"/>
  <c r="J29" i="14"/>
  <c r="J30" i="14"/>
  <c r="I30" i="14"/>
  <c r="B38" i="14"/>
  <c r="H29" i="14"/>
  <c r="R23" i="3"/>
  <c r="Q23" i="3"/>
  <c r="BR21" i="2"/>
  <c r="P23" i="3"/>
  <c r="AQ24" i="2"/>
  <c r="K24" i="3"/>
  <c r="L24" i="3"/>
  <c r="A25" i="3"/>
  <c r="M24" i="3"/>
  <c r="I24" i="3"/>
  <c r="J24" i="3"/>
  <c r="N24" i="3"/>
  <c r="N169" i="32" l="1"/>
  <c r="R167" i="32"/>
  <c r="A75" i="30"/>
  <c r="D74" i="30"/>
  <c r="AQ33" i="29"/>
  <c r="BD33" i="29"/>
  <c r="AW33" i="29"/>
  <c r="BJ33" i="29"/>
  <c r="BS33" i="29"/>
  <c r="H34" i="29"/>
  <c r="G34" i="29"/>
  <c r="F34" i="29"/>
  <c r="Z33" i="29"/>
  <c r="X33" i="29"/>
  <c r="AO34" i="29"/>
  <c r="BO34" i="29" s="1"/>
  <c r="Y34" i="29"/>
  <c r="AT34" i="29" s="1"/>
  <c r="AL34" i="29"/>
  <c r="BJ34" i="29" s="1"/>
  <c r="AJ34" i="29"/>
  <c r="BH34" i="29" s="1"/>
  <c r="AB34" i="29"/>
  <c r="AA34" i="29"/>
  <c r="AX34" i="29" s="1"/>
  <c r="S35" i="29"/>
  <c r="BI35" i="29"/>
  <c r="AV35" i="29"/>
  <c r="R35" i="29"/>
  <c r="T35" i="29" s="1"/>
  <c r="Q35" i="29" s="1"/>
  <c r="AP35" i="29"/>
  <c r="AK35" i="29"/>
  <c r="BE35" i="29"/>
  <c r="B36" i="29"/>
  <c r="CD36" i="29" s="1"/>
  <c r="AN35" i="29"/>
  <c r="N35" i="29"/>
  <c r="M35" i="29"/>
  <c r="L35" i="29"/>
  <c r="AG35" i="29" s="1"/>
  <c r="CI35" i="29"/>
  <c r="AS35" i="29"/>
  <c r="CH35" i="29"/>
  <c r="K35" i="29"/>
  <c r="J35" i="29"/>
  <c r="I35" i="29"/>
  <c r="V35" i="29"/>
  <c r="AI35" i="29"/>
  <c r="CE35" i="29"/>
  <c r="CF35" i="29" s="1"/>
  <c r="P35" i="29"/>
  <c r="BL35" i="29"/>
  <c r="C35" i="29"/>
  <c r="CJ35" i="29"/>
  <c r="CK35" i="29" s="1"/>
  <c r="E35" i="29"/>
  <c r="U34" i="29"/>
  <c r="W34" i="29"/>
  <c r="BM34" i="29"/>
  <c r="BH33" i="29"/>
  <c r="BB34" i="29"/>
  <c r="BC34" i="29" s="1"/>
  <c r="AY34" i="29"/>
  <c r="AT33" i="29"/>
  <c r="AB35" i="2"/>
  <c r="AK36" i="2"/>
  <c r="AI36" i="2"/>
  <c r="V36" i="2"/>
  <c r="S36" i="2"/>
  <c r="L36" i="2"/>
  <c r="Z28" i="2"/>
  <c r="X28" i="2"/>
  <c r="K36" i="2"/>
  <c r="J36" i="2"/>
  <c r="I36" i="2"/>
  <c r="M36" i="2"/>
  <c r="N36" i="2"/>
  <c r="P31" i="2"/>
  <c r="C36" i="2"/>
  <c r="AT27" i="2"/>
  <c r="AS36" i="2"/>
  <c r="BB36" i="2" s="1"/>
  <c r="B37" i="2"/>
  <c r="BI36" i="2"/>
  <c r="AP36" i="2"/>
  <c r="BL36" i="2"/>
  <c r="BE36" i="2"/>
  <c r="E36" i="2"/>
  <c r="AV36" i="2"/>
  <c r="AX27" i="2"/>
  <c r="G35" i="14"/>
  <c r="F36" i="14"/>
  <c r="AA28" i="2"/>
  <c r="AX28" i="2" s="1"/>
  <c r="Y28" i="2"/>
  <c r="G36" i="14" s="1"/>
  <c r="Q29" i="2"/>
  <c r="W29" i="2"/>
  <c r="BE30" i="2"/>
  <c r="E31" i="2"/>
  <c r="BI31" i="2" s="1"/>
  <c r="BL31" i="2"/>
  <c r="R31" i="2"/>
  <c r="T31" i="2" s="1"/>
  <c r="AJ29" i="2"/>
  <c r="BG29" i="2" s="1"/>
  <c r="BF29" i="2" s="1"/>
  <c r="BH28" i="2"/>
  <c r="U28" i="2"/>
  <c r="BK28" i="2"/>
  <c r="BS28" i="2" s="1"/>
  <c r="AL29" i="2"/>
  <c r="BK29" i="2" s="1"/>
  <c r="P32" i="2"/>
  <c r="E37" i="14"/>
  <c r="BM29" i="2"/>
  <c r="T30" i="2"/>
  <c r="AG32" i="2"/>
  <c r="J33" i="23"/>
  <c r="K34" i="23"/>
  <c r="L34" i="23" s="1"/>
  <c r="J34" i="23" s="1"/>
  <c r="BB33" i="23"/>
  <c r="AJ32" i="23"/>
  <c r="BG31" i="23"/>
  <c r="AY32" i="23"/>
  <c r="AD33" i="23"/>
  <c r="BD33" i="23" s="1"/>
  <c r="Z33" i="23"/>
  <c r="AA33" i="23" s="1"/>
  <c r="AY33" i="23" s="1"/>
  <c r="Q33" i="23"/>
  <c r="R33" i="23" s="1"/>
  <c r="AI33" i="23" s="1"/>
  <c r="S33" i="23"/>
  <c r="T33" i="23" s="1"/>
  <c r="AM33" i="23" s="1"/>
  <c r="AL32" i="23"/>
  <c r="AW32" i="23"/>
  <c r="BH32" i="23"/>
  <c r="AX34" i="23"/>
  <c r="P32" i="23"/>
  <c r="N32" i="23"/>
  <c r="O33" i="23"/>
  <c r="X33" i="23"/>
  <c r="Y33" i="23" s="1"/>
  <c r="AV33" i="23" s="1"/>
  <c r="AU33" i="23" s="1"/>
  <c r="AN34" i="23"/>
  <c r="AQ34" i="23"/>
  <c r="AR33" i="23"/>
  <c r="AS33" i="23"/>
  <c r="AK35" i="23"/>
  <c r="I35" i="23"/>
  <c r="B36" i="23"/>
  <c r="BT36" i="23" s="1"/>
  <c r="C35" i="23"/>
  <c r="AT35" i="23" s="1"/>
  <c r="AH35" i="23"/>
  <c r="AE35" i="23"/>
  <c r="AC34" i="23"/>
  <c r="D34" i="23"/>
  <c r="AF31" i="23"/>
  <c r="AG31" i="23"/>
  <c r="BA34" i="23"/>
  <c r="G55" i="23"/>
  <c r="F55" i="23"/>
  <c r="E55" i="23"/>
  <c r="E21" i="19"/>
  <c r="G28" i="2"/>
  <c r="H28" i="2"/>
  <c r="F28" i="2"/>
  <c r="BC27" i="2"/>
  <c r="BD27" i="2"/>
  <c r="AR24" i="2"/>
  <c r="AY31" i="2"/>
  <c r="I32" i="20"/>
  <c r="H32" i="20"/>
  <c r="A33" i="20"/>
  <c r="A32" i="19"/>
  <c r="B28" i="19"/>
  <c r="C36" i="14"/>
  <c r="D36" i="14" s="1"/>
  <c r="A40" i="14"/>
  <c r="B39" i="14"/>
  <c r="I31" i="14"/>
  <c r="J31" i="14"/>
  <c r="H30" i="14"/>
  <c r="R24" i="3"/>
  <c r="P24" i="3"/>
  <c r="Q24" i="3"/>
  <c r="AQ25" i="2"/>
  <c r="K25" i="3"/>
  <c r="L25" i="3"/>
  <c r="A26" i="3"/>
  <c r="M25" i="3"/>
  <c r="I25" i="3"/>
  <c r="N25" i="3"/>
  <c r="J25" i="3"/>
  <c r="N171" i="32" l="1"/>
  <c r="R169" i="32"/>
  <c r="A76" i="30"/>
  <c r="D75" i="30"/>
  <c r="BK34" i="29"/>
  <c r="BM35" i="29"/>
  <c r="BD34" i="29"/>
  <c r="BR33" i="29"/>
  <c r="AU34" i="29"/>
  <c r="BG34" i="29"/>
  <c r="BF34" i="29" s="1"/>
  <c r="BR34" i="29"/>
  <c r="X34" i="29"/>
  <c r="Z34" i="29"/>
  <c r="BB35" i="29"/>
  <c r="BC35" i="29" s="1"/>
  <c r="AY35" i="29"/>
  <c r="AQ34" i="29"/>
  <c r="AO35" i="29"/>
  <c r="BO35" i="29" s="1"/>
  <c r="AR34" i="29"/>
  <c r="AJ35" i="29"/>
  <c r="BG35" i="29" s="1"/>
  <c r="BF35" i="29" s="1"/>
  <c r="Y35" i="29"/>
  <c r="AT35" i="29" s="1"/>
  <c r="AB35" i="29"/>
  <c r="AA35" i="29"/>
  <c r="AW35" i="29" s="1"/>
  <c r="AL35" i="29"/>
  <c r="BK35" i="29" s="1"/>
  <c r="G35" i="29"/>
  <c r="F35" i="29"/>
  <c r="H35" i="29"/>
  <c r="AI36" i="29"/>
  <c r="BL36" i="29"/>
  <c r="C36" i="29"/>
  <c r="CJ36" i="29"/>
  <c r="CK36" i="29" s="1"/>
  <c r="E36" i="29"/>
  <c r="BE36" i="29"/>
  <c r="AK36" i="29"/>
  <c r="AV36" i="29"/>
  <c r="R36" i="29"/>
  <c r="T36" i="29" s="1"/>
  <c r="Q36" i="29" s="1"/>
  <c r="AP36" i="29"/>
  <c r="CI36" i="29"/>
  <c r="AS36" i="29"/>
  <c r="S36" i="29"/>
  <c r="L36" i="29"/>
  <c r="AG36" i="29" s="1"/>
  <c r="B37" i="29"/>
  <c r="CD37" i="29" s="1"/>
  <c r="AN36" i="29"/>
  <c r="N36" i="29"/>
  <c r="M36" i="29"/>
  <c r="CE36" i="29"/>
  <c r="CF36" i="29" s="1"/>
  <c r="P36" i="29"/>
  <c r="V36" i="29"/>
  <c r="CH36" i="29"/>
  <c r="K36" i="29"/>
  <c r="J36" i="29"/>
  <c r="I36" i="29"/>
  <c r="BI36" i="29"/>
  <c r="AW34" i="29"/>
  <c r="W35" i="29"/>
  <c r="U35" i="29"/>
  <c r="AB36" i="2"/>
  <c r="AK37" i="2"/>
  <c r="AI37" i="2"/>
  <c r="Z29" i="2"/>
  <c r="X29" i="2"/>
  <c r="V37" i="2"/>
  <c r="S37" i="2"/>
  <c r="L37" i="2"/>
  <c r="K37" i="2"/>
  <c r="I37" i="2"/>
  <c r="J37" i="2"/>
  <c r="M37" i="2"/>
  <c r="N37" i="2"/>
  <c r="M34" i="23"/>
  <c r="BB34" i="23" s="1"/>
  <c r="C37" i="2"/>
  <c r="AW28" i="2"/>
  <c r="AU28" i="2"/>
  <c r="BI37" i="2"/>
  <c r="AS37" i="2"/>
  <c r="BB37" i="2" s="1"/>
  <c r="E37" i="2"/>
  <c r="BE37" i="2"/>
  <c r="AP37" i="2"/>
  <c r="B38" i="2"/>
  <c r="AV37" i="2"/>
  <c r="BL37" i="2"/>
  <c r="AT28" i="2"/>
  <c r="F37" i="14"/>
  <c r="AA29" i="2"/>
  <c r="AX29" i="2" s="1"/>
  <c r="Y29" i="2"/>
  <c r="AT29" i="2" s="1"/>
  <c r="Q31" i="2"/>
  <c r="U31" i="2"/>
  <c r="Q30" i="2"/>
  <c r="W30" i="2"/>
  <c r="BE31" i="2"/>
  <c r="BH29" i="2"/>
  <c r="BJ29" i="2"/>
  <c r="AJ30" i="2"/>
  <c r="BG30" i="2" s="1"/>
  <c r="BF30" i="2" s="1"/>
  <c r="AL30" i="2"/>
  <c r="BJ30" i="2" s="1"/>
  <c r="U29" i="2"/>
  <c r="P33" i="2"/>
  <c r="BM31" i="2"/>
  <c r="E38" i="14"/>
  <c r="BM30" i="2"/>
  <c r="AG33" i="2"/>
  <c r="K35" i="23"/>
  <c r="L35" i="23" s="1"/>
  <c r="J35" i="23" s="1"/>
  <c r="BG32" i="23"/>
  <c r="AZ33" i="23"/>
  <c r="BH33" i="23" s="1"/>
  <c r="AJ33" i="23"/>
  <c r="Q34" i="23"/>
  <c r="R34" i="23" s="1"/>
  <c r="AI34" i="23" s="1"/>
  <c r="S34" i="23"/>
  <c r="T34" i="23" s="1"/>
  <c r="AM34" i="23" s="1"/>
  <c r="Z34" i="23"/>
  <c r="AA34" i="23" s="1"/>
  <c r="AZ34" i="23" s="1"/>
  <c r="AL33" i="23"/>
  <c r="R32" i="2"/>
  <c r="AW33" i="23"/>
  <c r="BG33" i="23" s="1"/>
  <c r="BA35" i="23"/>
  <c r="AX35" i="23"/>
  <c r="C36" i="23"/>
  <c r="BA36" i="23" s="1"/>
  <c r="B37" i="23"/>
  <c r="BT37" i="23" s="1"/>
  <c r="AE36" i="23"/>
  <c r="AH36" i="23"/>
  <c r="AK36" i="23"/>
  <c r="I36" i="23"/>
  <c r="O34" i="23"/>
  <c r="X34" i="23"/>
  <c r="Y34" i="23" s="1"/>
  <c r="AW34" i="23" s="1"/>
  <c r="AF32" i="23"/>
  <c r="AG32" i="23"/>
  <c r="N33" i="23"/>
  <c r="P33" i="23"/>
  <c r="AQ35" i="23"/>
  <c r="AN35" i="23"/>
  <c r="AR34" i="23"/>
  <c r="AS34" i="23"/>
  <c r="AC35" i="23"/>
  <c r="D35" i="23"/>
  <c r="G56" i="23"/>
  <c r="F56" i="23"/>
  <c r="E56" i="23"/>
  <c r="AJ31" i="2"/>
  <c r="AL31" i="2"/>
  <c r="F29" i="2"/>
  <c r="G29" i="2"/>
  <c r="H29" i="2"/>
  <c r="BD28" i="2"/>
  <c r="BC28" i="2"/>
  <c r="BS29" i="2"/>
  <c r="AY32" i="2"/>
  <c r="AR25" i="2"/>
  <c r="I33" i="20"/>
  <c r="H33" i="20"/>
  <c r="A34" i="20"/>
  <c r="A33" i="19"/>
  <c r="B29" i="19"/>
  <c r="C37" i="14"/>
  <c r="A41" i="14"/>
  <c r="B40" i="14"/>
  <c r="E39" i="14"/>
  <c r="BR22" i="2"/>
  <c r="J32" i="14"/>
  <c r="H31" i="14"/>
  <c r="R25" i="3"/>
  <c r="P25" i="3"/>
  <c r="Q25" i="3"/>
  <c r="AQ26" i="2"/>
  <c r="K26" i="3"/>
  <c r="L26" i="3"/>
  <c r="A27" i="3"/>
  <c r="M26" i="3"/>
  <c r="I26" i="3"/>
  <c r="N26" i="3"/>
  <c r="J26" i="3"/>
  <c r="N173" i="32" l="1"/>
  <c r="R171" i="32"/>
  <c r="A77" i="30"/>
  <c r="D76" i="30"/>
  <c r="BD35" i="29"/>
  <c r="BS34" i="29"/>
  <c r="AX35" i="29"/>
  <c r="BH35" i="29"/>
  <c r="BM36" i="29"/>
  <c r="X35" i="29"/>
  <c r="Z35" i="29"/>
  <c r="S37" i="29"/>
  <c r="J37" i="29"/>
  <c r="I37" i="29"/>
  <c r="BI37" i="29"/>
  <c r="B38" i="29"/>
  <c r="CD38" i="29" s="1"/>
  <c r="AN37" i="29"/>
  <c r="AI37" i="29"/>
  <c r="CJ37" i="29"/>
  <c r="CK37" i="29" s="1"/>
  <c r="E37" i="29"/>
  <c r="BE37" i="29"/>
  <c r="CH37" i="29"/>
  <c r="K37" i="29"/>
  <c r="AK37" i="29"/>
  <c r="R37" i="29"/>
  <c r="T37" i="29" s="1"/>
  <c r="Q37" i="29" s="1"/>
  <c r="AP37" i="29"/>
  <c r="CI37" i="29"/>
  <c r="AS37" i="29"/>
  <c r="BL37" i="29"/>
  <c r="C37" i="29"/>
  <c r="V37" i="29"/>
  <c r="L37" i="29"/>
  <c r="N37" i="29"/>
  <c r="M37" i="29"/>
  <c r="CE37" i="29"/>
  <c r="CF37" i="29" s="1"/>
  <c r="P37" i="29"/>
  <c r="AV37" i="29"/>
  <c r="AL36" i="29"/>
  <c r="BK36" i="29" s="1"/>
  <c r="Y36" i="29"/>
  <c r="AT36" i="29" s="1"/>
  <c r="AJ36" i="29"/>
  <c r="BH36" i="29" s="1"/>
  <c r="AA36" i="29"/>
  <c r="AX36" i="29" s="1"/>
  <c r="AB36" i="29"/>
  <c r="F36" i="29"/>
  <c r="H36" i="29"/>
  <c r="G36" i="29"/>
  <c r="BJ35" i="29"/>
  <c r="W36" i="29"/>
  <c r="U36" i="29"/>
  <c r="AR35" i="29"/>
  <c r="AU35" i="29"/>
  <c r="AO36" i="29"/>
  <c r="BO36" i="29" s="1"/>
  <c r="AY36" i="29"/>
  <c r="BB36" i="29"/>
  <c r="BD36" i="29" s="1"/>
  <c r="BS35" i="29"/>
  <c r="AQ35" i="29"/>
  <c r="AB37" i="2"/>
  <c r="AI38" i="2"/>
  <c r="AK38" i="2"/>
  <c r="V38" i="2"/>
  <c r="S38" i="2"/>
  <c r="L38" i="2"/>
  <c r="X30" i="2"/>
  <c r="Z30" i="2"/>
  <c r="K38" i="2"/>
  <c r="J38" i="2"/>
  <c r="I38" i="2"/>
  <c r="M38" i="2"/>
  <c r="N38" i="2"/>
  <c r="M35" i="23"/>
  <c r="BB35" i="23" s="1"/>
  <c r="AD34" i="23"/>
  <c r="BD34" i="23" s="1"/>
  <c r="C38" i="2"/>
  <c r="BI38" i="2"/>
  <c r="AV38" i="2"/>
  <c r="B39" i="2"/>
  <c r="BE38" i="2"/>
  <c r="AP38" i="2"/>
  <c r="E38" i="2"/>
  <c r="BL38" i="2"/>
  <c r="AS38" i="2"/>
  <c r="BB38" i="2" s="1"/>
  <c r="AU29" i="2"/>
  <c r="G37" i="14"/>
  <c r="AW29" i="2"/>
  <c r="R33" i="2"/>
  <c r="T33" i="2" s="1"/>
  <c r="Q33" i="2" s="1"/>
  <c r="F38" i="14"/>
  <c r="Y30" i="2"/>
  <c r="AU30" i="2" s="1"/>
  <c r="AA30" i="2"/>
  <c r="AX30" i="2" s="1"/>
  <c r="BK30" i="2"/>
  <c r="BS30" i="2" s="1"/>
  <c r="U30" i="2"/>
  <c r="BH30" i="2"/>
  <c r="P34" i="2"/>
  <c r="T32" i="2"/>
  <c r="Q32" i="2" s="1"/>
  <c r="AG34" i="2"/>
  <c r="K36" i="23"/>
  <c r="L36" i="23" s="1"/>
  <c r="M36" i="23" s="1"/>
  <c r="BB36" i="23" s="1"/>
  <c r="AA32" i="2"/>
  <c r="AX32" i="2" s="1"/>
  <c r="AY34" i="23"/>
  <c r="BG34" i="23" s="1"/>
  <c r="AJ34" i="23"/>
  <c r="AV34" i="23"/>
  <c r="AU34" i="23" s="1"/>
  <c r="BH34" i="23" s="1"/>
  <c r="AL34" i="23"/>
  <c r="S35" i="23"/>
  <c r="T35" i="23" s="1"/>
  <c r="AL35" i="23" s="1"/>
  <c r="Q35" i="23"/>
  <c r="R35" i="23" s="1"/>
  <c r="AJ35" i="23" s="1"/>
  <c r="Z35" i="23"/>
  <c r="AA35" i="23" s="1"/>
  <c r="AZ35" i="23" s="1"/>
  <c r="O35" i="23"/>
  <c r="X35" i="23"/>
  <c r="Y35" i="23" s="1"/>
  <c r="AW35" i="23" s="1"/>
  <c r="AR35" i="23"/>
  <c r="AS35" i="23"/>
  <c r="P34" i="23"/>
  <c r="N34" i="23"/>
  <c r="AC36" i="23"/>
  <c r="AK37" i="23"/>
  <c r="B38" i="23"/>
  <c r="BT38" i="23" s="1"/>
  <c r="AE37" i="23"/>
  <c r="AH37" i="23"/>
  <c r="C37" i="23"/>
  <c r="AT37" i="23" s="1"/>
  <c r="I37" i="23"/>
  <c r="AQ36" i="23"/>
  <c r="AN36" i="23"/>
  <c r="AX36" i="23"/>
  <c r="D36" i="23"/>
  <c r="AG33" i="23"/>
  <c r="AF33" i="23"/>
  <c r="AT36" i="23"/>
  <c r="F57" i="23"/>
  <c r="G57" i="23"/>
  <c r="E57" i="23"/>
  <c r="E22" i="19"/>
  <c r="W31" i="2"/>
  <c r="W32" i="2"/>
  <c r="BC29" i="2"/>
  <c r="BD29" i="2"/>
  <c r="H30" i="2"/>
  <c r="G30" i="2"/>
  <c r="F30" i="2"/>
  <c r="BK31" i="2"/>
  <c r="BJ31" i="2"/>
  <c r="AY33" i="2"/>
  <c r="AR26" i="2"/>
  <c r="BH31" i="2"/>
  <c r="BG31" i="2"/>
  <c r="BF31" i="2" s="1"/>
  <c r="I34" i="20"/>
  <c r="H34" i="20"/>
  <c r="A35" i="20"/>
  <c r="AA33" i="2"/>
  <c r="A34" i="19"/>
  <c r="B30" i="19"/>
  <c r="D37" i="14"/>
  <c r="C38" i="14"/>
  <c r="A42" i="14"/>
  <c r="B41" i="14"/>
  <c r="BR23" i="2"/>
  <c r="Y32" i="2"/>
  <c r="BR24" i="2"/>
  <c r="I32" i="14"/>
  <c r="I33" i="14"/>
  <c r="J33" i="14"/>
  <c r="H32" i="14"/>
  <c r="P26" i="3"/>
  <c r="R26" i="3"/>
  <c r="Q26" i="3"/>
  <c r="AQ27" i="2"/>
  <c r="K27" i="3"/>
  <c r="L27" i="3"/>
  <c r="J27" i="3"/>
  <c r="A28" i="3"/>
  <c r="M27" i="3"/>
  <c r="I27" i="3"/>
  <c r="N27" i="3"/>
  <c r="N175" i="32" l="1"/>
  <c r="R173" i="32"/>
  <c r="D77" i="30"/>
  <c r="A78" i="30"/>
  <c r="BR35" i="29"/>
  <c r="BM37" i="29"/>
  <c r="BJ36" i="29"/>
  <c r="BR36" i="29" s="1"/>
  <c r="BG36" i="29"/>
  <c r="BF36" i="29" s="1"/>
  <c r="BS36" i="29" s="1"/>
  <c r="AW36" i="29"/>
  <c r="AU36" i="29"/>
  <c r="BC36" i="29"/>
  <c r="F37" i="29"/>
  <c r="H37" i="29"/>
  <c r="G37" i="29"/>
  <c r="AY37" i="29"/>
  <c r="BB37" i="29"/>
  <c r="S38" i="29"/>
  <c r="CJ38" i="29"/>
  <c r="CK38" i="29" s="1"/>
  <c r="E38" i="29"/>
  <c r="BE38" i="29"/>
  <c r="CH38" i="29"/>
  <c r="K38" i="29"/>
  <c r="J38" i="29"/>
  <c r="AI38" i="29"/>
  <c r="AP38" i="29"/>
  <c r="CI38" i="29"/>
  <c r="AS38" i="29"/>
  <c r="BL38" i="29"/>
  <c r="C38" i="29"/>
  <c r="V38" i="29"/>
  <c r="L38" i="29"/>
  <c r="M38" i="29"/>
  <c r="CE38" i="29"/>
  <c r="CF38" i="29" s="1"/>
  <c r="P38" i="29"/>
  <c r="AV38" i="29"/>
  <c r="R38" i="29"/>
  <c r="T38" i="29" s="1"/>
  <c r="Q38" i="29" s="1"/>
  <c r="AK38" i="29"/>
  <c r="I38" i="29"/>
  <c r="BI38" i="29"/>
  <c r="B39" i="29"/>
  <c r="CD39" i="29" s="1"/>
  <c r="AN38" i="29"/>
  <c r="N38" i="29"/>
  <c r="AG38" i="29"/>
  <c r="Z36" i="29"/>
  <c r="X36" i="29"/>
  <c r="AQ36" i="29"/>
  <c r="U37" i="29"/>
  <c r="W37" i="29"/>
  <c r="AR37" i="29" s="1"/>
  <c r="AR36" i="29"/>
  <c r="AG37" i="29"/>
  <c r="Y37" i="29"/>
  <c r="AU37" i="29" s="1"/>
  <c r="AJ37" i="29"/>
  <c r="BH37" i="29" s="1"/>
  <c r="AB37" i="29"/>
  <c r="AL37" i="29"/>
  <c r="BK37" i="29" s="1"/>
  <c r="AA37" i="29"/>
  <c r="AX37" i="29" s="1"/>
  <c r="AO37" i="29"/>
  <c r="BO37" i="29" s="1"/>
  <c r="AB38" i="2"/>
  <c r="AI39" i="2"/>
  <c r="AK39" i="2"/>
  <c r="X31" i="2"/>
  <c r="Z31" i="2"/>
  <c r="V39" i="2"/>
  <c r="L39" i="2"/>
  <c r="S39" i="2"/>
  <c r="Z32" i="2"/>
  <c r="X32" i="2"/>
  <c r="AD35" i="23"/>
  <c r="BD35" i="23" s="1"/>
  <c r="K39" i="2"/>
  <c r="J39" i="2"/>
  <c r="I39" i="2"/>
  <c r="M39" i="2"/>
  <c r="N39" i="2"/>
  <c r="J36" i="23"/>
  <c r="C39" i="2"/>
  <c r="BE39" i="2"/>
  <c r="B40" i="2"/>
  <c r="AS39" i="2"/>
  <c r="BB39" i="2" s="1"/>
  <c r="E39" i="2"/>
  <c r="AV39" i="2"/>
  <c r="BL39" i="2"/>
  <c r="BI39" i="2"/>
  <c r="AP39" i="2"/>
  <c r="AT30" i="2"/>
  <c r="G38" i="14"/>
  <c r="AW30" i="2"/>
  <c r="Y31" i="2"/>
  <c r="AA31" i="2"/>
  <c r="P35" i="2"/>
  <c r="BM32" i="2"/>
  <c r="BM33" i="2"/>
  <c r="E40" i="14"/>
  <c r="AG35" i="2"/>
  <c r="AW32" i="2"/>
  <c r="K37" i="23"/>
  <c r="L37" i="23" s="1"/>
  <c r="M37" i="23" s="1"/>
  <c r="AM35" i="23"/>
  <c r="BA37" i="23"/>
  <c r="AI35" i="23"/>
  <c r="AY35" i="23"/>
  <c r="BG35" i="23" s="1"/>
  <c r="S36" i="23"/>
  <c r="T36" i="23" s="1"/>
  <c r="AM36" i="23" s="1"/>
  <c r="Z36" i="23"/>
  <c r="AA36" i="23" s="1"/>
  <c r="AZ36" i="23" s="1"/>
  <c r="Q36" i="23"/>
  <c r="R36" i="23" s="1"/>
  <c r="AI36" i="23" s="1"/>
  <c r="AV35" i="23"/>
  <c r="AU35" i="23" s="1"/>
  <c r="BH35" i="23" s="1"/>
  <c r="R34" i="2"/>
  <c r="AC37" i="23"/>
  <c r="AR36" i="23"/>
  <c r="AS36" i="23"/>
  <c r="AQ37" i="23"/>
  <c r="AN37" i="23"/>
  <c r="AH38" i="23"/>
  <c r="C38" i="23"/>
  <c r="AC38" i="23" s="1"/>
  <c r="AK38" i="23"/>
  <c r="AE38" i="23"/>
  <c r="B39" i="23"/>
  <c r="BT39" i="23" s="1"/>
  <c r="I38" i="23"/>
  <c r="AD36" i="23"/>
  <c r="BD36" i="23" s="1"/>
  <c r="AG34" i="23"/>
  <c r="AF34" i="23"/>
  <c r="P35" i="23"/>
  <c r="N35" i="23"/>
  <c r="O36" i="23"/>
  <c r="X36" i="23"/>
  <c r="Y36" i="23" s="1"/>
  <c r="AW36" i="23" s="1"/>
  <c r="D37" i="23"/>
  <c r="AX37" i="23"/>
  <c r="E58" i="23"/>
  <c r="G58" i="23"/>
  <c r="F58" i="23"/>
  <c r="AJ32" i="2"/>
  <c r="BG32" i="2" s="1"/>
  <c r="BF32" i="2" s="1"/>
  <c r="F40" i="14"/>
  <c r="F39" i="14"/>
  <c r="AL32" i="2"/>
  <c r="BK32" i="2" s="1"/>
  <c r="E24" i="19"/>
  <c r="E23" i="19"/>
  <c r="AX33" i="2"/>
  <c r="AW33" i="2"/>
  <c r="U32" i="2"/>
  <c r="F31" i="2"/>
  <c r="H31" i="2"/>
  <c r="G31" i="2"/>
  <c r="W33" i="2"/>
  <c r="BD30" i="2"/>
  <c r="BC30" i="2"/>
  <c r="BS31" i="2"/>
  <c r="G40" i="14"/>
  <c r="AT32" i="2"/>
  <c r="AU32" i="2"/>
  <c r="AR27" i="2"/>
  <c r="AY34" i="2"/>
  <c r="I35" i="20"/>
  <c r="A36" i="20"/>
  <c r="H35" i="20"/>
  <c r="E41" i="14"/>
  <c r="A35" i="19"/>
  <c r="B31" i="19"/>
  <c r="D38" i="14"/>
  <c r="C39" i="14"/>
  <c r="A43" i="14"/>
  <c r="B42" i="14"/>
  <c r="Y33" i="2"/>
  <c r="J34" i="14"/>
  <c r="I34" i="14"/>
  <c r="H33" i="14"/>
  <c r="Q27" i="3"/>
  <c r="R27" i="3"/>
  <c r="P27" i="3"/>
  <c r="AQ28" i="2"/>
  <c r="K28" i="3"/>
  <c r="L28" i="3"/>
  <c r="A29" i="3"/>
  <c r="M28" i="3"/>
  <c r="I28" i="3"/>
  <c r="N28" i="3"/>
  <c r="J28" i="3"/>
  <c r="N177" i="32" l="1"/>
  <c r="R175" i="32"/>
  <c r="A79" i="30"/>
  <c r="D78" i="30"/>
  <c r="AQ37" i="29"/>
  <c r="AW37" i="29"/>
  <c r="BD37" i="29"/>
  <c r="BC37" i="29"/>
  <c r="AO38" i="29"/>
  <c r="BO38" i="29" s="1"/>
  <c r="AB38" i="29"/>
  <c r="AA38" i="29"/>
  <c r="AW38" i="29" s="1"/>
  <c r="Y38" i="29"/>
  <c r="AT38" i="29" s="1"/>
  <c r="AL38" i="29"/>
  <c r="BJ38" i="29" s="1"/>
  <c r="AJ38" i="29"/>
  <c r="BH38" i="29" s="1"/>
  <c r="V39" i="29"/>
  <c r="S39" i="29"/>
  <c r="CI39" i="29"/>
  <c r="AS39" i="29"/>
  <c r="BL39" i="29"/>
  <c r="C39" i="29"/>
  <c r="CJ39" i="29"/>
  <c r="CK39" i="29" s="1"/>
  <c r="I39" i="29"/>
  <c r="AK39" i="29"/>
  <c r="CE39" i="29"/>
  <c r="CF39" i="29" s="1"/>
  <c r="P39" i="29"/>
  <c r="AV39" i="29"/>
  <c r="R39" i="29"/>
  <c r="T39" i="29" s="1"/>
  <c r="Q39" i="29" s="1"/>
  <c r="AP39" i="29"/>
  <c r="E39" i="29"/>
  <c r="L39" i="29"/>
  <c r="AG39" i="29" s="1"/>
  <c r="BI39" i="29"/>
  <c r="B40" i="29"/>
  <c r="CD40" i="29" s="1"/>
  <c r="AN39" i="29"/>
  <c r="N39" i="29"/>
  <c r="AI39" i="29"/>
  <c r="BE39" i="29"/>
  <c r="CH39" i="29"/>
  <c r="K39" i="29"/>
  <c r="J39" i="29"/>
  <c r="M39" i="29"/>
  <c r="BM38" i="29"/>
  <c r="BG37" i="29"/>
  <c r="BF37" i="29" s="1"/>
  <c r="BS37" i="29" s="1"/>
  <c r="BJ37" i="29"/>
  <c r="BR37" i="29" s="1"/>
  <c r="F38" i="29"/>
  <c r="H38" i="29"/>
  <c r="G38" i="29"/>
  <c r="BB38" i="29"/>
  <c r="BC38" i="29" s="1"/>
  <c r="AY38" i="29"/>
  <c r="AT37" i="29"/>
  <c r="Z37" i="29"/>
  <c r="X37" i="29"/>
  <c r="U38" i="29"/>
  <c r="W38" i="29"/>
  <c r="AB39" i="2"/>
  <c r="AK40" i="2"/>
  <c r="AI40" i="2"/>
  <c r="Z33" i="2"/>
  <c r="X33" i="2"/>
  <c r="V40" i="2"/>
  <c r="S40" i="2"/>
  <c r="L40" i="2"/>
  <c r="K40" i="2"/>
  <c r="J40" i="2"/>
  <c r="I40" i="2"/>
  <c r="M40" i="2"/>
  <c r="N40" i="2"/>
  <c r="C40" i="2"/>
  <c r="BI40" i="2"/>
  <c r="AS40" i="2"/>
  <c r="BB40" i="2" s="1"/>
  <c r="B41" i="2"/>
  <c r="BE40" i="2"/>
  <c r="AP40" i="2"/>
  <c r="E40" i="2"/>
  <c r="BL40" i="2"/>
  <c r="AV40" i="2"/>
  <c r="AW31" i="2"/>
  <c r="AX31" i="2"/>
  <c r="G39" i="14"/>
  <c r="AU31" i="2"/>
  <c r="AT31" i="2"/>
  <c r="P36" i="2"/>
  <c r="T34" i="2"/>
  <c r="Q34" i="2" s="1"/>
  <c r="AG36" i="2"/>
  <c r="J37" i="23"/>
  <c r="K38" i="23"/>
  <c r="L38" i="23" s="1"/>
  <c r="M38" i="23" s="1"/>
  <c r="AA34" i="2"/>
  <c r="AX34" i="2" s="1"/>
  <c r="BB37" i="23"/>
  <c r="AJ36" i="23"/>
  <c r="AY36" i="23"/>
  <c r="BG36" i="23" s="1"/>
  <c r="AL36" i="23"/>
  <c r="Z37" i="23"/>
  <c r="AA37" i="23" s="1"/>
  <c r="AZ37" i="23" s="1"/>
  <c r="Q37" i="23"/>
  <c r="R37" i="23" s="1"/>
  <c r="AI37" i="23" s="1"/>
  <c r="S37" i="23"/>
  <c r="T37" i="23" s="1"/>
  <c r="AL37" i="23" s="1"/>
  <c r="AV36" i="23"/>
  <c r="AU36" i="23" s="1"/>
  <c r="BH36" i="23" s="1"/>
  <c r="R35" i="2"/>
  <c r="AX38" i="23"/>
  <c r="BA38" i="23"/>
  <c r="AD37" i="23"/>
  <c r="BD37" i="23" s="1"/>
  <c r="X37" i="23"/>
  <c r="Y37" i="23" s="1"/>
  <c r="AV37" i="23" s="1"/>
  <c r="AU37" i="23" s="1"/>
  <c r="O37" i="23"/>
  <c r="B40" i="23"/>
  <c r="BT40" i="23" s="1"/>
  <c r="C39" i="23"/>
  <c r="BA39" i="23" s="1"/>
  <c r="AH39" i="23"/>
  <c r="I39" i="23"/>
  <c r="AK39" i="23"/>
  <c r="AE39" i="23"/>
  <c r="AF35" i="23"/>
  <c r="AG35" i="23"/>
  <c r="D38" i="23"/>
  <c r="AT38" i="23"/>
  <c r="N36" i="23"/>
  <c r="P36" i="23"/>
  <c r="AN38" i="23"/>
  <c r="AQ38" i="23"/>
  <c r="AR37" i="23"/>
  <c r="AS37" i="23"/>
  <c r="G59" i="23"/>
  <c r="F59" i="23"/>
  <c r="E59" i="23"/>
  <c r="BH32" i="2"/>
  <c r="BS32" i="2"/>
  <c r="AL33" i="2"/>
  <c r="BK33" i="2" s="1"/>
  <c r="AJ33" i="2"/>
  <c r="BH33" i="2" s="1"/>
  <c r="F41" i="14"/>
  <c r="BJ32" i="2"/>
  <c r="AL34" i="2"/>
  <c r="U33" i="2"/>
  <c r="W34" i="2"/>
  <c r="BC31" i="2"/>
  <c r="BD31" i="2"/>
  <c r="G32" i="2"/>
  <c r="F32" i="2"/>
  <c r="H32" i="2"/>
  <c r="G41" i="14"/>
  <c r="AT33" i="2"/>
  <c r="AU33" i="2"/>
  <c r="I36" i="20"/>
  <c r="AY35" i="2"/>
  <c r="H36" i="20"/>
  <c r="AR28" i="2"/>
  <c r="A37" i="20"/>
  <c r="A36" i="19"/>
  <c r="B32" i="19"/>
  <c r="D39" i="14"/>
  <c r="B43" i="14"/>
  <c r="A44" i="14"/>
  <c r="Y34" i="2"/>
  <c r="BR25" i="2"/>
  <c r="I35" i="14"/>
  <c r="J35" i="14"/>
  <c r="H34" i="14"/>
  <c r="C40" i="14"/>
  <c r="R28" i="3"/>
  <c r="Q28" i="3"/>
  <c r="P28" i="3"/>
  <c r="AQ29" i="2"/>
  <c r="K29" i="3"/>
  <c r="L29" i="3"/>
  <c r="A30" i="3"/>
  <c r="M29" i="3"/>
  <c r="I29" i="3"/>
  <c r="N29" i="3"/>
  <c r="J29" i="3"/>
  <c r="N179" i="32" l="1"/>
  <c r="R177" i="32"/>
  <c r="A80" i="30"/>
  <c r="D79" i="30"/>
  <c r="AU38" i="29"/>
  <c r="BG38" i="29"/>
  <c r="BF38" i="29" s="1"/>
  <c r="BD38" i="29"/>
  <c r="BK38" i="29"/>
  <c r="AX38" i="29"/>
  <c r="X38" i="29"/>
  <c r="Z38" i="29"/>
  <c r="AO39" i="29"/>
  <c r="BO39" i="29" s="1"/>
  <c r="AQ38" i="29"/>
  <c r="S40" i="29"/>
  <c r="L40" i="29"/>
  <c r="AV40" i="29"/>
  <c r="R40" i="29"/>
  <c r="T40" i="29" s="1"/>
  <c r="Q40" i="29" s="1"/>
  <c r="AP40" i="29"/>
  <c r="CI40" i="29"/>
  <c r="AS40" i="29"/>
  <c r="AI40" i="29"/>
  <c r="B41" i="29"/>
  <c r="CD41" i="29" s="1"/>
  <c r="AN40" i="29"/>
  <c r="N40" i="29"/>
  <c r="M40" i="29"/>
  <c r="CE40" i="29"/>
  <c r="CF40" i="29" s="1"/>
  <c r="P40" i="29"/>
  <c r="V40" i="29"/>
  <c r="CH40" i="29"/>
  <c r="K40" i="29"/>
  <c r="J40" i="29"/>
  <c r="I40" i="29"/>
  <c r="BI40" i="29"/>
  <c r="AK40" i="29"/>
  <c r="BL40" i="29"/>
  <c r="C40" i="29"/>
  <c r="CJ40" i="29"/>
  <c r="CK40" i="29" s="1"/>
  <c r="E40" i="29"/>
  <c r="BE40" i="29"/>
  <c r="AB39" i="29"/>
  <c r="AA39" i="29"/>
  <c r="AW39" i="29" s="1"/>
  <c r="AL39" i="29"/>
  <c r="BK39" i="29" s="1"/>
  <c r="AJ39" i="29"/>
  <c r="BH39" i="29" s="1"/>
  <c r="Y39" i="29"/>
  <c r="AT39" i="29" s="1"/>
  <c r="AR38" i="29"/>
  <c r="BM39" i="29"/>
  <c r="W39" i="29"/>
  <c r="AR39" i="29" s="1"/>
  <c r="U39" i="29"/>
  <c r="H39" i="29"/>
  <c r="G39" i="29"/>
  <c r="F39" i="29"/>
  <c r="AY39" i="29"/>
  <c r="BB39" i="29"/>
  <c r="BD39" i="29" s="1"/>
  <c r="BR38" i="29"/>
  <c r="AB40" i="2"/>
  <c r="AK41" i="2"/>
  <c r="AI41" i="2"/>
  <c r="X34" i="2"/>
  <c r="Z34" i="2"/>
  <c r="V41" i="2"/>
  <c r="S41" i="2"/>
  <c r="L41" i="2"/>
  <c r="K41" i="2"/>
  <c r="I41" i="2"/>
  <c r="J41" i="2"/>
  <c r="M41" i="2"/>
  <c r="N41" i="2"/>
  <c r="C41" i="2"/>
  <c r="AP41" i="2"/>
  <c r="BL41" i="2"/>
  <c r="E41" i="2"/>
  <c r="BI41" i="2"/>
  <c r="AV41" i="2"/>
  <c r="BE41" i="2"/>
  <c r="AS41" i="2"/>
  <c r="BB41" i="2" s="1"/>
  <c r="B42" i="2"/>
  <c r="P37" i="2"/>
  <c r="E42" i="14"/>
  <c r="BM34" i="2"/>
  <c r="T35" i="2"/>
  <c r="Q35" i="2" s="1"/>
  <c r="AG37" i="2"/>
  <c r="AW34" i="2"/>
  <c r="J38" i="23"/>
  <c r="K39" i="23"/>
  <c r="L39" i="23" s="1"/>
  <c r="M39" i="23" s="1"/>
  <c r="BB39" i="23" s="1"/>
  <c r="AJ37" i="23"/>
  <c r="AA35" i="2"/>
  <c r="AW35" i="2" s="1"/>
  <c r="BB38" i="23"/>
  <c r="AY37" i="23"/>
  <c r="Q38" i="23"/>
  <c r="R38" i="23" s="1"/>
  <c r="AI38" i="23" s="1"/>
  <c r="S38" i="23"/>
  <c r="T38" i="23" s="1"/>
  <c r="AL38" i="23" s="1"/>
  <c r="Z38" i="23"/>
  <c r="AA38" i="23" s="1"/>
  <c r="AY38" i="23" s="1"/>
  <c r="AM37" i="23"/>
  <c r="BH37" i="23"/>
  <c r="R36" i="2"/>
  <c r="AW37" i="23"/>
  <c r="AT39" i="23"/>
  <c r="AN39" i="23"/>
  <c r="AQ39" i="23"/>
  <c r="O38" i="23"/>
  <c r="X38" i="23"/>
  <c r="Y38" i="23" s="1"/>
  <c r="AW38" i="23" s="1"/>
  <c r="D39" i="23"/>
  <c r="N37" i="23"/>
  <c r="P37" i="23"/>
  <c r="I40" i="23"/>
  <c r="AH40" i="23"/>
  <c r="AK40" i="23"/>
  <c r="AE40" i="23"/>
  <c r="C40" i="23"/>
  <c r="AT40" i="23" s="1"/>
  <c r="B41" i="23"/>
  <c r="BT41" i="23" s="1"/>
  <c r="AD38" i="23"/>
  <c r="BD38" i="23" s="1"/>
  <c r="AR38" i="23"/>
  <c r="AS38" i="23"/>
  <c r="AG36" i="23"/>
  <c r="AF36" i="23"/>
  <c r="AX39" i="23"/>
  <c r="AC39" i="23"/>
  <c r="F60" i="23"/>
  <c r="G60" i="23"/>
  <c r="E60" i="23"/>
  <c r="BG33" i="2"/>
  <c r="BF33" i="2" s="1"/>
  <c r="BS33" i="2" s="1"/>
  <c r="F42" i="14"/>
  <c r="BJ33" i="2"/>
  <c r="AJ34" i="2"/>
  <c r="BH34" i="2" s="1"/>
  <c r="E25" i="19"/>
  <c r="U34" i="2"/>
  <c r="U35" i="2"/>
  <c r="BC32" i="2"/>
  <c r="BD32" i="2"/>
  <c r="F33" i="2"/>
  <c r="G33" i="2"/>
  <c r="H33" i="2"/>
  <c r="BK34" i="2"/>
  <c r="BJ34" i="2"/>
  <c r="G42" i="14"/>
  <c r="AT34" i="2"/>
  <c r="AU34" i="2"/>
  <c r="AR29" i="2"/>
  <c r="AY36" i="2"/>
  <c r="I37" i="20"/>
  <c r="H37" i="20"/>
  <c r="A38" i="20"/>
  <c r="A37" i="19"/>
  <c r="B33" i="19"/>
  <c r="D40" i="14"/>
  <c r="C41" i="14"/>
  <c r="D41" i="14" s="1"/>
  <c r="B44" i="14"/>
  <c r="A45" i="14"/>
  <c r="Y36" i="2"/>
  <c r="G44" i="14" s="1"/>
  <c r="Y35" i="2"/>
  <c r="BR26" i="2"/>
  <c r="I36" i="14"/>
  <c r="J36" i="14"/>
  <c r="H35" i="14"/>
  <c r="Q29" i="3"/>
  <c r="R29" i="3"/>
  <c r="P29" i="3"/>
  <c r="AQ30" i="2"/>
  <c r="K30" i="3"/>
  <c r="L30" i="3"/>
  <c r="A31" i="3"/>
  <c r="M30" i="3"/>
  <c r="I30" i="3"/>
  <c r="N30" i="3"/>
  <c r="J30" i="3"/>
  <c r="N181" i="32" l="1"/>
  <c r="R179" i="32"/>
  <c r="A81" i="30"/>
  <c r="D80" i="30"/>
  <c r="BS38" i="29"/>
  <c r="BM40" i="29"/>
  <c r="AX39" i="29"/>
  <c r="AU39" i="29"/>
  <c r="BC39" i="29"/>
  <c r="AI41" i="29"/>
  <c r="CJ41" i="29"/>
  <c r="CK41" i="29" s="1"/>
  <c r="E41" i="29"/>
  <c r="BE41" i="29"/>
  <c r="CH41" i="29"/>
  <c r="K41" i="29"/>
  <c r="AK41" i="29"/>
  <c r="R41" i="29"/>
  <c r="T41" i="29" s="1"/>
  <c r="Q41" i="29" s="1"/>
  <c r="AP41" i="29"/>
  <c r="CI41" i="29"/>
  <c r="AS41" i="29"/>
  <c r="BL41" i="29"/>
  <c r="C41" i="29"/>
  <c r="V41" i="29"/>
  <c r="L41" i="29"/>
  <c r="N41" i="29"/>
  <c r="M41" i="29"/>
  <c r="CE41" i="29"/>
  <c r="CF41" i="29" s="1"/>
  <c r="P41" i="29"/>
  <c r="AV41" i="29"/>
  <c r="S41" i="29"/>
  <c r="J41" i="29"/>
  <c r="I41" i="29"/>
  <c r="BI41" i="29"/>
  <c r="B42" i="29"/>
  <c r="CD42" i="29" s="1"/>
  <c r="AN41" i="29"/>
  <c r="AG41" i="29"/>
  <c r="BG39" i="29"/>
  <c r="BF39" i="29" s="1"/>
  <c r="BS39" i="29" s="1"/>
  <c r="X39" i="29"/>
  <c r="Z39" i="29"/>
  <c r="AL40" i="29"/>
  <c r="BK40" i="29" s="1"/>
  <c r="Y40" i="29"/>
  <c r="AU40" i="29" s="1"/>
  <c r="AJ40" i="29"/>
  <c r="BH40" i="29" s="1"/>
  <c r="AA40" i="29"/>
  <c r="AX40" i="29" s="1"/>
  <c r="AB40" i="29"/>
  <c r="W40" i="29"/>
  <c r="AQ40" i="29" s="1"/>
  <c r="U40" i="29"/>
  <c r="AY40" i="29"/>
  <c r="BB40" i="29"/>
  <c r="AT40" i="29"/>
  <c r="BJ39" i="29"/>
  <c r="BR39" i="29" s="1"/>
  <c r="AQ39" i="29"/>
  <c r="AO40" i="29"/>
  <c r="BO40" i="29" s="1"/>
  <c r="AG40" i="29"/>
  <c r="H40" i="29"/>
  <c r="G40" i="29"/>
  <c r="F40" i="29"/>
  <c r="AB41" i="2"/>
  <c r="AI42" i="2"/>
  <c r="AK42" i="2"/>
  <c r="V42" i="2"/>
  <c r="S42" i="2"/>
  <c r="L42" i="2"/>
  <c r="K42" i="2"/>
  <c r="J42" i="2"/>
  <c r="I42" i="2"/>
  <c r="M42" i="2"/>
  <c r="N42" i="2"/>
  <c r="C42" i="2"/>
  <c r="BI42" i="2"/>
  <c r="AV42" i="2"/>
  <c r="B43" i="2"/>
  <c r="BE42" i="2"/>
  <c r="AP42" i="2"/>
  <c r="E42" i="2"/>
  <c r="BL42" i="2"/>
  <c r="AS42" i="2"/>
  <c r="BB42" i="2" s="1"/>
  <c r="P38" i="2"/>
  <c r="E43" i="14"/>
  <c r="BM35" i="2"/>
  <c r="T36" i="2"/>
  <c r="Q36" i="2" s="1"/>
  <c r="AG38" i="2"/>
  <c r="J39" i="23"/>
  <c r="K40" i="23"/>
  <c r="L40" i="23" s="1"/>
  <c r="M40" i="23" s="1"/>
  <c r="AA36" i="2"/>
  <c r="AX36" i="2" s="1"/>
  <c r="AX35" i="2"/>
  <c r="AJ38" i="23"/>
  <c r="BG37" i="23"/>
  <c r="AM38" i="23"/>
  <c r="AZ38" i="23"/>
  <c r="S39" i="23"/>
  <c r="T39" i="23" s="1"/>
  <c r="AL39" i="23" s="1"/>
  <c r="Z39" i="23"/>
  <c r="AA39" i="23" s="1"/>
  <c r="AY39" i="23" s="1"/>
  <c r="Q39" i="23"/>
  <c r="R39" i="23" s="1"/>
  <c r="AI39" i="23" s="1"/>
  <c r="BG38" i="23"/>
  <c r="AV38" i="23"/>
  <c r="AU38" i="23" s="1"/>
  <c r="R37" i="2"/>
  <c r="BA40" i="23"/>
  <c r="AH41" i="23"/>
  <c r="AE41" i="23"/>
  <c r="B42" i="23"/>
  <c r="BT42" i="23" s="1"/>
  <c r="I41" i="23"/>
  <c r="AK41" i="23"/>
  <c r="C41" i="23"/>
  <c r="AC41" i="23" s="1"/>
  <c r="AF37" i="23"/>
  <c r="AG37" i="23"/>
  <c r="AN40" i="23"/>
  <c r="AQ40" i="23"/>
  <c r="N38" i="23"/>
  <c r="P38" i="23"/>
  <c r="AX40" i="23"/>
  <c r="D40" i="23"/>
  <c r="AC40" i="23"/>
  <c r="AR39" i="23"/>
  <c r="AS39" i="23"/>
  <c r="AD39" i="23"/>
  <c r="BD39" i="23" s="1"/>
  <c r="X39" i="23"/>
  <c r="Y39" i="23" s="1"/>
  <c r="AV39" i="23" s="1"/>
  <c r="AU39" i="23" s="1"/>
  <c r="O39" i="23"/>
  <c r="E61" i="23"/>
  <c r="F61" i="23"/>
  <c r="G61" i="23"/>
  <c r="BG34" i="2"/>
  <c r="BF34" i="2" s="1"/>
  <c r="BS34" i="2" s="1"/>
  <c r="AL35" i="2"/>
  <c r="BK35" i="2" s="1"/>
  <c r="AJ35" i="2"/>
  <c r="BH35" i="2" s="1"/>
  <c r="E26" i="19"/>
  <c r="BD33" i="2"/>
  <c r="BC33" i="2"/>
  <c r="H34" i="2"/>
  <c r="G34" i="2"/>
  <c r="F34" i="2"/>
  <c r="W35" i="2"/>
  <c r="W36" i="2"/>
  <c r="G43" i="14"/>
  <c r="AU35" i="2"/>
  <c r="AT35" i="2"/>
  <c r="AU36" i="2"/>
  <c r="AT36" i="2"/>
  <c r="AR30" i="2"/>
  <c r="AY37" i="2"/>
  <c r="H38" i="20"/>
  <c r="A39" i="20"/>
  <c r="I38" i="20"/>
  <c r="A38" i="19"/>
  <c r="B34" i="19"/>
  <c r="C42" i="14"/>
  <c r="B45" i="14"/>
  <c r="A46" i="14"/>
  <c r="BR27" i="2"/>
  <c r="J37" i="14"/>
  <c r="BR28" i="2"/>
  <c r="I37" i="14"/>
  <c r="H36" i="14"/>
  <c r="Q30" i="3"/>
  <c r="P30" i="3"/>
  <c r="R30" i="3"/>
  <c r="AQ31" i="2"/>
  <c r="K31" i="3"/>
  <c r="L31" i="3"/>
  <c r="A32" i="3"/>
  <c r="M31" i="3"/>
  <c r="I31" i="3"/>
  <c r="N31" i="3"/>
  <c r="J31" i="3"/>
  <c r="N183" i="32" l="1"/>
  <c r="R181" i="32"/>
  <c r="D81" i="30"/>
  <c r="A82" i="30"/>
  <c r="BM41" i="29"/>
  <c r="BC40" i="29"/>
  <c r="BJ40" i="29"/>
  <c r="BR40" i="29" s="1"/>
  <c r="AO41" i="29"/>
  <c r="BO41" i="29" s="1"/>
  <c r="BG40" i="29"/>
  <c r="BF40" i="29" s="1"/>
  <c r="BS40" i="29" s="1"/>
  <c r="BD40" i="29"/>
  <c r="AW40" i="29"/>
  <c r="U41" i="29"/>
  <c r="W41" i="29"/>
  <c r="AR41" i="29" s="1"/>
  <c r="Z40" i="29"/>
  <c r="X40" i="29"/>
  <c r="AK42" i="29"/>
  <c r="I42" i="29"/>
  <c r="BI42" i="29"/>
  <c r="B43" i="29"/>
  <c r="CD43" i="29" s="1"/>
  <c r="AN42" i="29"/>
  <c r="N42" i="29"/>
  <c r="V42" i="29"/>
  <c r="L42" i="29"/>
  <c r="AG42" i="29" s="1"/>
  <c r="CJ42" i="29"/>
  <c r="CK42" i="29" s="1"/>
  <c r="E42" i="29"/>
  <c r="BE42" i="29"/>
  <c r="CH42" i="29"/>
  <c r="K42" i="29"/>
  <c r="J42" i="29"/>
  <c r="S42" i="29"/>
  <c r="AP42" i="29"/>
  <c r="CI42" i="29"/>
  <c r="AS42" i="29"/>
  <c r="BL42" i="29"/>
  <c r="C42" i="29"/>
  <c r="AI42" i="29"/>
  <c r="M42" i="29"/>
  <c r="CE42" i="29"/>
  <c r="CF42" i="29" s="1"/>
  <c r="P42" i="29"/>
  <c r="AV42" i="29"/>
  <c r="R42" i="29"/>
  <c r="T42" i="29" s="1"/>
  <c r="Q42" i="29" s="1"/>
  <c r="Y41" i="29"/>
  <c r="AU41" i="29" s="1"/>
  <c r="AJ41" i="29"/>
  <c r="BG41" i="29" s="1"/>
  <c r="BF41" i="29" s="1"/>
  <c r="AB41" i="29"/>
  <c r="AL41" i="29"/>
  <c r="BJ41" i="29" s="1"/>
  <c r="AA41" i="29"/>
  <c r="AW41" i="29" s="1"/>
  <c r="AR40" i="29"/>
  <c r="H41" i="29"/>
  <c r="G41" i="29"/>
  <c r="F41" i="29"/>
  <c r="BB41" i="29"/>
  <c r="BD41" i="29" s="1"/>
  <c r="AY41" i="29"/>
  <c r="AB42" i="2"/>
  <c r="AI43" i="2"/>
  <c r="AK43" i="2"/>
  <c r="V43" i="2"/>
  <c r="L43" i="2"/>
  <c r="S43" i="2"/>
  <c r="Z36" i="2"/>
  <c r="X36" i="2"/>
  <c r="X35" i="2"/>
  <c r="Z35" i="2"/>
  <c r="K43" i="2"/>
  <c r="J43" i="2"/>
  <c r="I43" i="2"/>
  <c r="M43" i="2"/>
  <c r="N43" i="2"/>
  <c r="C43" i="2"/>
  <c r="AS43" i="2"/>
  <c r="BB43" i="2" s="1"/>
  <c r="BI43" i="2"/>
  <c r="AV43" i="2"/>
  <c r="B44" i="2"/>
  <c r="BE43" i="2"/>
  <c r="AP43" i="2"/>
  <c r="E43" i="2"/>
  <c r="BL43" i="2"/>
  <c r="AW36" i="2"/>
  <c r="P39" i="2"/>
  <c r="E44" i="14"/>
  <c r="T37" i="2"/>
  <c r="Q37" i="2" s="1"/>
  <c r="BM36" i="2"/>
  <c r="AG39" i="2"/>
  <c r="K41" i="23"/>
  <c r="L41" i="23" s="1"/>
  <c r="M41" i="23" s="1"/>
  <c r="J40" i="23"/>
  <c r="BU42" i="23"/>
  <c r="K42" i="23"/>
  <c r="L42" i="23" s="1"/>
  <c r="AA37" i="2"/>
  <c r="AX37" i="2" s="1"/>
  <c r="BB40" i="23"/>
  <c r="AZ39" i="23"/>
  <c r="BH39" i="23" s="1"/>
  <c r="AJ39" i="23"/>
  <c r="BH38" i="23"/>
  <c r="S40" i="23"/>
  <c r="T40" i="23" s="1"/>
  <c r="AL40" i="23" s="1"/>
  <c r="Q40" i="23"/>
  <c r="R40" i="23" s="1"/>
  <c r="AI40" i="23" s="1"/>
  <c r="Z40" i="23"/>
  <c r="AA40" i="23" s="1"/>
  <c r="AZ40" i="23" s="1"/>
  <c r="AM39" i="23"/>
  <c r="AW39" i="23"/>
  <c r="BG39" i="23" s="1"/>
  <c r="R38" i="2"/>
  <c r="BA41" i="23"/>
  <c r="AG38" i="23"/>
  <c r="AF38" i="23"/>
  <c r="D41" i="23"/>
  <c r="AK42" i="23"/>
  <c r="C42" i="23"/>
  <c r="AT42" i="23"/>
  <c r="Z42" i="23"/>
  <c r="AE42" i="23"/>
  <c r="BX42" i="23"/>
  <c r="BZ42" i="23"/>
  <c r="CA42" i="23" s="1"/>
  <c r="BA42" i="23"/>
  <c r="AX42" i="23"/>
  <c r="O42" i="23"/>
  <c r="B43" i="23"/>
  <c r="BT43" i="23" s="1"/>
  <c r="AC42" i="23"/>
  <c r="BY42" i="23"/>
  <c r="AH42" i="23"/>
  <c r="I42" i="23"/>
  <c r="X42" i="23"/>
  <c r="Q42" i="23"/>
  <c r="S42" i="23"/>
  <c r="P39" i="23"/>
  <c r="N39" i="23"/>
  <c r="AT41" i="23"/>
  <c r="AS40" i="23"/>
  <c r="AR40" i="23"/>
  <c r="O40" i="23"/>
  <c r="X40" i="23"/>
  <c r="Y40" i="23" s="1"/>
  <c r="AW40" i="23" s="1"/>
  <c r="AD40" i="23"/>
  <c r="BD40" i="23" s="1"/>
  <c r="AX41" i="23"/>
  <c r="AQ41" i="23"/>
  <c r="AN41" i="23"/>
  <c r="E62" i="23"/>
  <c r="G62" i="23"/>
  <c r="F62" i="23"/>
  <c r="BG35" i="2"/>
  <c r="BF35" i="2" s="1"/>
  <c r="BS35" i="2" s="1"/>
  <c r="AL36" i="2"/>
  <c r="BK36" i="2" s="1"/>
  <c r="BJ35" i="2"/>
  <c r="F44" i="14"/>
  <c r="F43" i="14"/>
  <c r="AJ36" i="2"/>
  <c r="BH36" i="2" s="1"/>
  <c r="E27" i="19"/>
  <c r="E28" i="19"/>
  <c r="U36" i="2"/>
  <c r="BC34" i="2"/>
  <c r="BD34" i="2"/>
  <c r="U37" i="2"/>
  <c r="F35" i="2"/>
  <c r="G35" i="2"/>
  <c r="H35" i="2"/>
  <c r="AR31" i="2"/>
  <c r="AY38" i="2"/>
  <c r="H39" i="20"/>
  <c r="I39" i="20"/>
  <c r="A40" i="20"/>
  <c r="A39" i="19"/>
  <c r="B35" i="19"/>
  <c r="D42" i="14"/>
  <c r="C43" i="14"/>
  <c r="B46" i="14"/>
  <c r="A47" i="14"/>
  <c r="Y37" i="2"/>
  <c r="J38" i="14"/>
  <c r="I38" i="14"/>
  <c r="H37" i="14"/>
  <c r="Q31" i="3"/>
  <c r="R31" i="3"/>
  <c r="P31" i="3"/>
  <c r="AQ32" i="2"/>
  <c r="K32" i="3"/>
  <c r="L32" i="3"/>
  <c r="A33" i="3"/>
  <c r="M32" i="3"/>
  <c r="I32" i="3"/>
  <c r="N32" i="3"/>
  <c r="J32" i="3"/>
  <c r="BV42" i="23" l="1"/>
  <c r="N185" i="32"/>
  <c r="R183" i="32"/>
  <c r="A83" i="30"/>
  <c r="D82" i="30"/>
  <c r="AQ41" i="29"/>
  <c r="AT41" i="29"/>
  <c r="BH41" i="29"/>
  <c r="BR41" i="29" s="1"/>
  <c r="BC41" i="29"/>
  <c r="BK41" i="29"/>
  <c r="BS41" i="29" s="1"/>
  <c r="BB42" i="29"/>
  <c r="BD42" i="29" s="1"/>
  <c r="AY42" i="29"/>
  <c r="AO42" i="29"/>
  <c r="BO42" i="29" s="1"/>
  <c r="Z41" i="29"/>
  <c r="X41" i="29"/>
  <c r="AB42" i="29"/>
  <c r="AA42" i="29"/>
  <c r="AX42" i="29" s="1"/>
  <c r="Y42" i="29"/>
  <c r="AT42" i="29" s="1"/>
  <c r="AL42" i="29"/>
  <c r="BK42" i="29" s="1"/>
  <c r="AJ42" i="29"/>
  <c r="BG42" i="29" s="1"/>
  <c r="BF42" i="29" s="1"/>
  <c r="G42" i="29"/>
  <c r="F42" i="29"/>
  <c r="H42" i="29"/>
  <c r="V43" i="29"/>
  <c r="AI43" i="29"/>
  <c r="CI43" i="29"/>
  <c r="AS43" i="29"/>
  <c r="BL43" i="29"/>
  <c r="C43" i="29"/>
  <c r="CJ43" i="29"/>
  <c r="CK43" i="29" s="1"/>
  <c r="E43" i="29"/>
  <c r="AK43" i="29"/>
  <c r="CE43" i="29"/>
  <c r="CF43" i="29" s="1"/>
  <c r="P43" i="29"/>
  <c r="AV43" i="29"/>
  <c r="R43" i="29"/>
  <c r="T43" i="29" s="1"/>
  <c r="Q43" i="29" s="1"/>
  <c r="AP43" i="29"/>
  <c r="L43" i="29"/>
  <c r="BI43" i="29"/>
  <c r="B44" i="29"/>
  <c r="CD44" i="29" s="1"/>
  <c r="AN43" i="29"/>
  <c r="N43" i="29"/>
  <c r="M43" i="29"/>
  <c r="S43" i="29"/>
  <c r="BE43" i="29"/>
  <c r="CH43" i="29"/>
  <c r="K43" i="29"/>
  <c r="J43" i="29"/>
  <c r="I43" i="29"/>
  <c r="AX41" i="29"/>
  <c r="BM42" i="29"/>
  <c r="U42" i="29"/>
  <c r="W42" i="29"/>
  <c r="AB43" i="2"/>
  <c r="AI44" i="2"/>
  <c r="AK44" i="2"/>
  <c r="V44" i="2"/>
  <c r="S44" i="2"/>
  <c r="L44" i="2"/>
  <c r="K44" i="2"/>
  <c r="J44" i="2"/>
  <c r="I44" i="2"/>
  <c r="M44" i="2"/>
  <c r="N44" i="2"/>
  <c r="C44" i="2"/>
  <c r="AV44" i="2"/>
  <c r="BI44" i="2"/>
  <c r="AS44" i="2"/>
  <c r="BB44" i="2" s="1"/>
  <c r="B45" i="2"/>
  <c r="BE44" i="2"/>
  <c r="AP44" i="2"/>
  <c r="BL44" i="2"/>
  <c r="E44" i="2"/>
  <c r="P40" i="2"/>
  <c r="E45" i="14"/>
  <c r="BM37" i="2"/>
  <c r="T38" i="2"/>
  <c r="Q38" i="2" s="1"/>
  <c r="AG40" i="2"/>
  <c r="AW37" i="2"/>
  <c r="J41" i="23"/>
  <c r="BU43" i="23"/>
  <c r="K43" i="23"/>
  <c r="L43" i="23" s="1"/>
  <c r="AA38" i="2"/>
  <c r="AW38" i="2" s="1"/>
  <c r="BB41" i="23"/>
  <c r="AY40" i="23"/>
  <c r="BG40" i="23" s="1"/>
  <c r="Z41" i="23"/>
  <c r="AA41" i="23" s="1"/>
  <c r="AY41" i="23" s="1"/>
  <c r="S41" i="23"/>
  <c r="T41" i="23" s="1"/>
  <c r="AM41" i="23" s="1"/>
  <c r="Q41" i="23"/>
  <c r="R41" i="23" s="1"/>
  <c r="AJ41" i="23" s="1"/>
  <c r="AJ40" i="23"/>
  <c r="AM40" i="23"/>
  <c r="AV40" i="23"/>
  <c r="AU40" i="23" s="1"/>
  <c r="BH40" i="23" s="1"/>
  <c r="R39" i="2"/>
  <c r="AD41" i="23"/>
  <c r="BD41" i="23" s="1"/>
  <c r="X41" i="23"/>
  <c r="Y41" i="23" s="1"/>
  <c r="AV41" i="23" s="1"/>
  <c r="AU41" i="23" s="1"/>
  <c r="O41" i="23"/>
  <c r="N40" i="23"/>
  <c r="P40" i="23"/>
  <c r="AG39" i="23"/>
  <c r="AF39" i="23"/>
  <c r="J42" i="23"/>
  <c r="M42" i="23"/>
  <c r="BB42" i="23" s="1"/>
  <c r="AR41" i="23"/>
  <c r="AS41" i="23"/>
  <c r="S43" i="23"/>
  <c r="BA43" i="23"/>
  <c r="BY43" i="23"/>
  <c r="AH43" i="23"/>
  <c r="O43" i="23"/>
  <c r="C43" i="23"/>
  <c r="Q43" i="23"/>
  <c r="B44" i="23"/>
  <c r="BT44" i="23" s="1"/>
  <c r="AC43" i="23"/>
  <c r="BX43" i="23"/>
  <c r="X43" i="23"/>
  <c r="AE43" i="23"/>
  <c r="AX43" i="23"/>
  <c r="I43" i="23"/>
  <c r="AK43" i="23"/>
  <c r="AT43" i="23"/>
  <c r="BZ43" i="23"/>
  <c r="CA43" i="23" s="1"/>
  <c r="Z43" i="23"/>
  <c r="AN42" i="23"/>
  <c r="AQ42" i="23"/>
  <c r="P42" i="23"/>
  <c r="AG42" i="23" s="1"/>
  <c r="N42" i="23"/>
  <c r="D42" i="23"/>
  <c r="R42" i="23"/>
  <c r="AI42" i="23" s="1"/>
  <c r="Y42" i="23"/>
  <c r="AW42" i="23" s="1"/>
  <c r="AA42" i="23"/>
  <c r="AY42" i="23" s="1"/>
  <c r="T42" i="23"/>
  <c r="AL42" i="23" s="1"/>
  <c r="G63" i="23"/>
  <c r="E63" i="23"/>
  <c r="F63" i="23"/>
  <c r="BJ36" i="2"/>
  <c r="AL37" i="2"/>
  <c r="BK37" i="2" s="1"/>
  <c r="AJ37" i="2"/>
  <c r="BG37" i="2" s="1"/>
  <c r="BF37" i="2" s="1"/>
  <c r="BG36" i="2"/>
  <c r="BF36" i="2" s="1"/>
  <c r="BS36" i="2" s="1"/>
  <c r="W37" i="2"/>
  <c r="W38" i="2"/>
  <c r="H36" i="2"/>
  <c r="F36" i="2"/>
  <c r="G36" i="2"/>
  <c r="BD35" i="2"/>
  <c r="BC35" i="2"/>
  <c r="I40" i="20"/>
  <c r="G45" i="14"/>
  <c r="AU37" i="2"/>
  <c r="AT37" i="2"/>
  <c r="AR32" i="2"/>
  <c r="AY39" i="2"/>
  <c r="A41" i="20"/>
  <c r="H40" i="20"/>
  <c r="A40" i="19"/>
  <c r="B36" i="19"/>
  <c r="D43" i="14"/>
  <c r="A48" i="14"/>
  <c r="C44" i="14"/>
  <c r="B47" i="14"/>
  <c r="BR29" i="2"/>
  <c r="Y38" i="2"/>
  <c r="I39" i="14"/>
  <c r="J39" i="14"/>
  <c r="BR30" i="2"/>
  <c r="H38" i="14"/>
  <c r="P32" i="3"/>
  <c r="R32" i="3"/>
  <c r="Q32" i="3"/>
  <c r="AQ33" i="2"/>
  <c r="K33" i="3"/>
  <c r="L33" i="3"/>
  <c r="A34" i="3"/>
  <c r="M33" i="3"/>
  <c r="I33" i="3"/>
  <c r="N33" i="3"/>
  <c r="J33" i="3"/>
  <c r="BV43" i="23" l="1"/>
  <c r="N187" i="32"/>
  <c r="R185" i="32"/>
  <c r="A84" i="30"/>
  <c r="D83" i="30"/>
  <c r="BC42" i="29"/>
  <c r="BH42" i="29"/>
  <c r="AU42" i="29"/>
  <c r="Z42" i="29"/>
  <c r="X42" i="29"/>
  <c r="L44" i="29"/>
  <c r="AG44" i="29" s="1"/>
  <c r="CH44" i="29"/>
  <c r="K44" i="29"/>
  <c r="J44" i="29"/>
  <c r="I44" i="29"/>
  <c r="BI44" i="29"/>
  <c r="S44" i="29"/>
  <c r="V44" i="29"/>
  <c r="BL44" i="29"/>
  <c r="C44" i="29"/>
  <c r="CJ44" i="29"/>
  <c r="CK44" i="29" s="1"/>
  <c r="E44" i="29"/>
  <c r="BE44" i="29"/>
  <c r="AI44" i="29"/>
  <c r="AV44" i="29"/>
  <c r="R44" i="29"/>
  <c r="T44" i="29" s="1"/>
  <c r="Q44" i="29" s="1"/>
  <c r="AP44" i="29"/>
  <c r="CI44" i="29"/>
  <c r="AS44" i="29"/>
  <c r="AK44" i="29"/>
  <c r="B45" i="29"/>
  <c r="CD45" i="29" s="1"/>
  <c r="AN44" i="29"/>
  <c r="N44" i="29"/>
  <c r="M44" i="29"/>
  <c r="CE44" i="29"/>
  <c r="CF44" i="29" s="1"/>
  <c r="P44" i="29"/>
  <c r="BM43" i="29"/>
  <c r="U43" i="29"/>
  <c r="W43" i="29"/>
  <c r="AR43" i="29" s="1"/>
  <c r="AY43" i="29"/>
  <c r="BB43" i="29"/>
  <c r="AR42" i="29"/>
  <c r="AG43" i="29"/>
  <c r="G43" i="29"/>
  <c r="F43" i="29"/>
  <c r="H43" i="29"/>
  <c r="AQ42" i="29"/>
  <c r="BJ42" i="29"/>
  <c r="AO43" i="29"/>
  <c r="BO43" i="29" s="1"/>
  <c r="AL43" i="29"/>
  <c r="BK43" i="29" s="1"/>
  <c r="AJ43" i="29"/>
  <c r="BG43" i="29" s="1"/>
  <c r="BF43" i="29" s="1"/>
  <c r="Y43" i="29"/>
  <c r="AT43" i="29" s="1"/>
  <c r="AB43" i="29"/>
  <c r="AA43" i="29"/>
  <c r="AX43" i="29" s="1"/>
  <c r="BS42" i="29"/>
  <c r="AW42" i="29"/>
  <c r="AB44" i="2"/>
  <c r="AK45" i="2"/>
  <c r="AI45" i="2"/>
  <c r="Z38" i="2"/>
  <c r="X38" i="2"/>
  <c r="Z37" i="2"/>
  <c r="X37" i="2"/>
  <c r="S45" i="2"/>
  <c r="V45" i="2"/>
  <c r="L45" i="2"/>
  <c r="K45" i="2"/>
  <c r="J45" i="2"/>
  <c r="I45" i="2"/>
  <c r="M45" i="2"/>
  <c r="N45" i="2"/>
  <c r="C45" i="2"/>
  <c r="AS45" i="2"/>
  <c r="BB45" i="2" s="1"/>
  <c r="BI45" i="2"/>
  <c r="AP45" i="2"/>
  <c r="B46" i="2"/>
  <c r="BE45" i="2"/>
  <c r="BL45" i="2"/>
  <c r="AV45" i="2"/>
  <c r="E45" i="2"/>
  <c r="E46" i="14"/>
  <c r="P41" i="2"/>
  <c r="AX38" i="2"/>
  <c r="Y39" i="2"/>
  <c r="G47" i="14" s="1"/>
  <c r="T39" i="2"/>
  <c r="Q39" i="2" s="1"/>
  <c r="BM38" i="2"/>
  <c r="AG41" i="2"/>
  <c r="AA39" i="2"/>
  <c r="AW39" i="2" s="1"/>
  <c r="BU44" i="23"/>
  <c r="K44" i="23"/>
  <c r="L44" i="23" s="1"/>
  <c r="AW41" i="23"/>
  <c r="BG41" i="23" s="1"/>
  <c r="AZ41" i="23"/>
  <c r="BH41" i="23" s="1"/>
  <c r="AI41" i="23"/>
  <c r="AL41" i="23"/>
  <c r="R40" i="2"/>
  <c r="AF42" i="23"/>
  <c r="AV42" i="23"/>
  <c r="AU42" i="23" s="1"/>
  <c r="BG42" i="23"/>
  <c r="AS42" i="23"/>
  <c r="AR42" i="23"/>
  <c r="Z44" i="23"/>
  <c r="B45" i="23"/>
  <c r="BT45" i="23" s="1"/>
  <c r="BX44" i="23"/>
  <c r="BA44" i="23"/>
  <c r="I44" i="23"/>
  <c r="AX44" i="23"/>
  <c r="X44" i="23"/>
  <c r="BY44" i="23"/>
  <c r="C44" i="23"/>
  <c r="BZ44" i="23"/>
  <c r="CA44" i="23" s="1"/>
  <c r="S44" i="23"/>
  <c r="AH44" i="23"/>
  <c r="AC44" i="23"/>
  <c r="AK44" i="23"/>
  <c r="AE44" i="23"/>
  <c r="O44" i="23"/>
  <c r="Q44" i="23"/>
  <c r="AT44" i="23"/>
  <c r="AN43" i="23"/>
  <c r="AQ43" i="23"/>
  <c r="AD42" i="23"/>
  <c r="BD42" i="23" s="1"/>
  <c r="AZ42" i="23"/>
  <c r="N41" i="23"/>
  <c r="P41" i="23"/>
  <c r="AJ42" i="23"/>
  <c r="N43" i="23"/>
  <c r="P43" i="23"/>
  <c r="AG43" i="23" s="1"/>
  <c r="AF40" i="23"/>
  <c r="AG40" i="23"/>
  <c r="R43" i="23"/>
  <c r="AJ43" i="23" s="1"/>
  <c r="AA43" i="23"/>
  <c r="AY43" i="23" s="1"/>
  <c r="Y43" i="23"/>
  <c r="AW43" i="23" s="1"/>
  <c r="T43" i="23"/>
  <c r="AM43" i="23" s="1"/>
  <c r="D43" i="23"/>
  <c r="J43" i="23"/>
  <c r="M43" i="23"/>
  <c r="BB43" i="23" s="1"/>
  <c r="AM42" i="23"/>
  <c r="F64" i="23"/>
  <c r="G64" i="23"/>
  <c r="E64" i="23"/>
  <c r="BH37" i="2"/>
  <c r="BS37" i="2"/>
  <c r="F46" i="14"/>
  <c r="AJ38" i="2"/>
  <c r="BG38" i="2" s="1"/>
  <c r="BF38" i="2" s="1"/>
  <c r="BJ37" i="2"/>
  <c r="AL38" i="2"/>
  <c r="BK38" i="2" s="1"/>
  <c r="F45" i="14"/>
  <c r="E30" i="19"/>
  <c r="E29" i="19"/>
  <c r="U38" i="2"/>
  <c r="W39" i="2"/>
  <c r="BD36" i="2"/>
  <c r="BC36" i="2"/>
  <c r="G37" i="2"/>
  <c r="F37" i="2"/>
  <c r="H37" i="2"/>
  <c r="G46" i="14"/>
  <c r="AU38" i="2"/>
  <c r="AT38" i="2"/>
  <c r="AY40" i="2"/>
  <c r="AR33" i="2"/>
  <c r="H41" i="20"/>
  <c r="I41" i="20"/>
  <c r="A42" i="20"/>
  <c r="A41" i="19"/>
  <c r="B37" i="19"/>
  <c r="D44" i="14"/>
  <c r="C45" i="14"/>
  <c r="D45" i="14" s="1"/>
  <c r="B48" i="14"/>
  <c r="A49" i="14"/>
  <c r="J40" i="14"/>
  <c r="H39" i="14"/>
  <c r="P33" i="3"/>
  <c r="Q33" i="3"/>
  <c r="BR31" i="2"/>
  <c r="R33" i="3"/>
  <c r="AQ34" i="2"/>
  <c r="K34" i="3"/>
  <c r="L34" i="3"/>
  <c r="A35" i="3"/>
  <c r="M34" i="3"/>
  <c r="I34" i="3"/>
  <c r="N34" i="3"/>
  <c r="J34" i="3"/>
  <c r="BV44" i="23" l="1"/>
  <c r="N189" i="32"/>
  <c r="R187" i="32"/>
  <c r="A85" i="30"/>
  <c r="D84" i="30"/>
  <c r="BR42" i="29"/>
  <c r="BD43" i="29"/>
  <c r="AQ43" i="29"/>
  <c r="BJ43" i="29"/>
  <c r="BS43" i="29"/>
  <c r="BC43" i="29"/>
  <c r="AU43" i="29"/>
  <c r="AI45" i="29"/>
  <c r="R45" i="29"/>
  <c r="T45" i="29" s="1"/>
  <c r="Q45" i="29" s="1"/>
  <c r="AP45" i="29"/>
  <c r="CH45" i="29"/>
  <c r="AN45" i="29"/>
  <c r="AK45" i="29"/>
  <c r="B46" i="29"/>
  <c r="CD46" i="29" s="1"/>
  <c r="N45" i="29"/>
  <c r="M45" i="29"/>
  <c r="BI45" i="29"/>
  <c r="P45" i="29"/>
  <c r="K45" i="29"/>
  <c r="V45" i="29"/>
  <c r="L45" i="29"/>
  <c r="AG45" i="29" s="1"/>
  <c r="CJ45" i="29"/>
  <c r="CK45" i="29" s="1"/>
  <c r="J45" i="29"/>
  <c r="I45" i="29"/>
  <c r="BE45" i="29"/>
  <c r="BL45" i="29"/>
  <c r="C45" i="29"/>
  <c r="S45" i="29"/>
  <c r="CE45" i="29"/>
  <c r="CF45" i="29" s="1"/>
  <c r="CI45" i="29"/>
  <c r="E45" i="29"/>
  <c r="AS45" i="29"/>
  <c r="AV45" i="29"/>
  <c r="BM44" i="29"/>
  <c r="H44" i="29"/>
  <c r="G44" i="29"/>
  <c r="F44" i="29"/>
  <c r="X43" i="29"/>
  <c r="Z43" i="29"/>
  <c r="W44" i="29"/>
  <c r="U44" i="29"/>
  <c r="AY44" i="29"/>
  <c r="BB44" i="29"/>
  <c r="BD44" i="29" s="1"/>
  <c r="BH43" i="29"/>
  <c r="BR43" i="29" s="1"/>
  <c r="AW43" i="29"/>
  <c r="AO44" i="29"/>
  <c r="BO44" i="29" s="1"/>
  <c r="AL44" i="29"/>
  <c r="BJ44" i="29" s="1"/>
  <c r="Y44" i="29"/>
  <c r="AT44" i="29" s="1"/>
  <c r="AJ44" i="29"/>
  <c r="BG44" i="29" s="1"/>
  <c r="BF44" i="29" s="1"/>
  <c r="AA44" i="29"/>
  <c r="AX44" i="29" s="1"/>
  <c r="AB44" i="29"/>
  <c r="AB45" i="2"/>
  <c r="AI46" i="2"/>
  <c r="AK46" i="2"/>
  <c r="X39" i="2"/>
  <c r="Z39" i="2"/>
  <c r="V46" i="2"/>
  <c r="S46" i="2"/>
  <c r="L46" i="2"/>
  <c r="K46" i="2"/>
  <c r="J46" i="2"/>
  <c r="I46" i="2"/>
  <c r="M46" i="2"/>
  <c r="N46" i="2"/>
  <c r="C46" i="2"/>
  <c r="BI46" i="2"/>
  <c r="AV46" i="2"/>
  <c r="BE46" i="2"/>
  <c r="AP46" i="2"/>
  <c r="B47" i="2"/>
  <c r="E46" i="2"/>
  <c r="AS46" i="2"/>
  <c r="BB46" i="2" s="1"/>
  <c r="BL46" i="2"/>
  <c r="R41" i="2"/>
  <c r="T41" i="2" s="1"/>
  <c r="Q41" i="2" s="1"/>
  <c r="AU39" i="2"/>
  <c r="AT39" i="2"/>
  <c r="P42" i="2"/>
  <c r="BM39" i="2"/>
  <c r="E47" i="14"/>
  <c r="T40" i="2"/>
  <c r="Q40" i="2" s="1"/>
  <c r="AX39" i="2"/>
  <c r="AG42" i="2"/>
  <c r="BU45" i="23"/>
  <c r="K45" i="23"/>
  <c r="L45" i="23" s="1"/>
  <c r="AA40" i="2"/>
  <c r="AX40" i="2" s="1"/>
  <c r="R42" i="2"/>
  <c r="BH42" i="23"/>
  <c r="AV43" i="23"/>
  <c r="AU43" i="23" s="1"/>
  <c r="BG43" i="23"/>
  <c r="P44" i="23"/>
  <c r="AF44" i="23" s="1"/>
  <c r="N44" i="23"/>
  <c r="AN44" i="23"/>
  <c r="AQ44" i="23"/>
  <c r="AI43" i="23"/>
  <c r="AL43" i="23"/>
  <c r="AZ43" i="23"/>
  <c r="AF41" i="23"/>
  <c r="AG41" i="23"/>
  <c r="AR43" i="23"/>
  <c r="AS43" i="23"/>
  <c r="M44" i="23"/>
  <c r="BB44" i="23" s="1"/>
  <c r="J44" i="23"/>
  <c r="AT45" i="23"/>
  <c r="AE45" i="23"/>
  <c r="BA45" i="23"/>
  <c r="C45" i="23"/>
  <c r="X45" i="23"/>
  <c r="Z45" i="23"/>
  <c r="AC45" i="23"/>
  <c r="AX45" i="23"/>
  <c r="BZ45" i="23"/>
  <c r="CA45" i="23" s="1"/>
  <c r="BX45" i="23"/>
  <c r="B46" i="23"/>
  <c r="BT46" i="23" s="1"/>
  <c r="BY45" i="23"/>
  <c r="AH45" i="23"/>
  <c r="AK45" i="23"/>
  <c r="S45" i="23"/>
  <c r="Q45" i="23"/>
  <c r="I45" i="23"/>
  <c r="O45" i="23"/>
  <c r="AD43" i="23"/>
  <c r="BD43" i="23" s="1"/>
  <c r="T44" i="23"/>
  <c r="AM44" i="23" s="1"/>
  <c r="R44" i="23"/>
  <c r="AJ44" i="23" s="1"/>
  <c r="Y44" i="23"/>
  <c r="AV44" i="23" s="1"/>
  <c r="AU44" i="23" s="1"/>
  <c r="D44" i="23"/>
  <c r="AA44" i="23"/>
  <c r="AZ44" i="23" s="1"/>
  <c r="AF43" i="23"/>
  <c r="E65" i="23"/>
  <c r="F65" i="23"/>
  <c r="G65" i="23"/>
  <c r="BS38" i="2"/>
  <c r="BH38" i="2"/>
  <c r="AL39" i="2"/>
  <c r="BK39" i="2" s="1"/>
  <c r="BJ38" i="2"/>
  <c r="AJ39" i="2"/>
  <c r="BH39" i="2" s="1"/>
  <c r="F47" i="14"/>
  <c r="E31" i="19"/>
  <c r="U39" i="2"/>
  <c r="H38" i="2"/>
  <c r="G38" i="2"/>
  <c r="F38" i="2"/>
  <c r="BD37" i="2"/>
  <c r="BC37" i="2"/>
  <c r="W40" i="2"/>
  <c r="AR34" i="2"/>
  <c r="AY41" i="2"/>
  <c r="H42" i="20"/>
  <c r="I42" i="20"/>
  <c r="A43" i="20"/>
  <c r="AA41" i="2"/>
  <c r="A42" i="19"/>
  <c r="B38" i="19"/>
  <c r="B49" i="14"/>
  <c r="C46" i="14"/>
  <c r="A50" i="14"/>
  <c r="Y40" i="2"/>
  <c r="I40" i="14"/>
  <c r="H40" i="14"/>
  <c r="P34" i="3"/>
  <c r="R34" i="3"/>
  <c r="Q34" i="3"/>
  <c r="BR32" i="2"/>
  <c r="AQ35" i="2"/>
  <c r="K35" i="3"/>
  <c r="L35" i="3"/>
  <c r="A36" i="3"/>
  <c r="M35" i="3"/>
  <c r="I35" i="3"/>
  <c r="N35" i="3"/>
  <c r="J35" i="3"/>
  <c r="BV45" i="23" l="1"/>
  <c r="N191" i="32"/>
  <c r="R189" i="32"/>
  <c r="A86" i="30"/>
  <c r="D85" i="30"/>
  <c r="BC44" i="29"/>
  <c r="BK44" i="29"/>
  <c r="BS44" i="29" s="1"/>
  <c r="AU44" i="29"/>
  <c r="BM45" i="29"/>
  <c r="BH44" i="29"/>
  <c r="BR44" i="29" s="1"/>
  <c r="Y45" i="29"/>
  <c r="AT45" i="29" s="1"/>
  <c r="AJ45" i="29"/>
  <c r="BG45" i="29" s="1"/>
  <c r="BF45" i="29" s="1"/>
  <c r="AB45" i="29"/>
  <c r="AL45" i="29"/>
  <c r="BK45" i="29" s="1"/>
  <c r="AA45" i="29"/>
  <c r="AX45" i="29" s="1"/>
  <c r="Z44" i="29"/>
  <c r="X44" i="29"/>
  <c r="AR44" i="29"/>
  <c r="AK46" i="29"/>
  <c r="BL46" i="29"/>
  <c r="C46" i="29"/>
  <c r="CJ46" i="29"/>
  <c r="CK46" i="29" s="1"/>
  <c r="E46" i="29"/>
  <c r="BE46" i="29"/>
  <c r="AN46" i="29"/>
  <c r="P46" i="29"/>
  <c r="S46" i="29"/>
  <c r="AV46" i="29"/>
  <c r="R46" i="29"/>
  <c r="T46" i="29" s="1"/>
  <c r="Q46" i="29" s="1"/>
  <c r="AP46" i="29"/>
  <c r="CI46" i="29"/>
  <c r="AS46" i="29"/>
  <c r="B47" i="29"/>
  <c r="CD47" i="29" s="1"/>
  <c r="AI46" i="29"/>
  <c r="N46" i="29"/>
  <c r="M46" i="29"/>
  <c r="CE46" i="29"/>
  <c r="CF46" i="29" s="1"/>
  <c r="V46" i="29"/>
  <c r="L46" i="29"/>
  <c r="CH46" i="29"/>
  <c r="K46" i="29"/>
  <c r="J46" i="29"/>
  <c r="I46" i="29"/>
  <c r="BI46" i="29"/>
  <c r="AQ44" i="29"/>
  <c r="H45" i="29"/>
  <c r="G45" i="29"/>
  <c r="F45" i="29"/>
  <c r="AW44" i="29"/>
  <c r="AY45" i="29"/>
  <c r="BB45" i="29"/>
  <c r="BD45" i="29" s="1"/>
  <c r="U45" i="29"/>
  <c r="W45" i="29"/>
  <c r="AQ45" i="29" s="1"/>
  <c r="AO45" i="29"/>
  <c r="BO45" i="29" s="1"/>
  <c r="AB46" i="2"/>
  <c r="AI47" i="2"/>
  <c r="AK47" i="2"/>
  <c r="V47" i="2"/>
  <c r="L47" i="2"/>
  <c r="S47" i="2"/>
  <c r="Z40" i="2"/>
  <c r="X40" i="2"/>
  <c r="K47" i="2"/>
  <c r="J47" i="2"/>
  <c r="I47" i="2"/>
  <c r="M47" i="2"/>
  <c r="N47" i="2"/>
  <c r="C47" i="2"/>
  <c r="BE47" i="2"/>
  <c r="BL47" i="2"/>
  <c r="AS47" i="2"/>
  <c r="BB47" i="2" s="1"/>
  <c r="AV47" i="2"/>
  <c r="B48" i="2"/>
  <c r="BI47" i="2"/>
  <c r="AP47" i="2"/>
  <c r="E47" i="2"/>
  <c r="AW40" i="2"/>
  <c r="P43" i="2"/>
  <c r="E48" i="14"/>
  <c r="BM40" i="2"/>
  <c r="BM41" i="2"/>
  <c r="W42" i="2"/>
  <c r="T42" i="2"/>
  <c r="Q42" i="2" s="1"/>
  <c r="AG43" i="2"/>
  <c r="BU46" i="23"/>
  <c r="K46" i="23"/>
  <c r="L46" i="23" s="1"/>
  <c r="R43" i="2"/>
  <c r="BH43" i="23"/>
  <c r="AG44" i="23"/>
  <c r="AD44" i="23"/>
  <c r="BD44" i="23" s="1"/>
  <c r="AY44" i="23"/>
  <c r="BH44" i="23"/>
  <c r="AL44" i="23"/>
  <c r="B47" i="23"/>
  <c r="BT47" i="23" s="1"/>
  <c r="AC46" i="23"/>
  <c r="BY46" i="23"/>
  <c r="AH46" i="23"/>
  <c r="AE46" i="23"/>
  <c r="BX46" i="23"/>
  <c r="X46" i="23"/>
  <c r="Z46" i="23"/>
  <c r="BA46" i="23"/>
  <c r="AK46" i="23"/>
  <c r="C46" i="23"/>
  <c r="AT46" i="23"/>
  <c r="BZ46" i="23"/>
  <c r="CA46" i="23" s="1"/>
  <c r="S46" i="23"/>
  <c r="Q46" i="23"/>
  <c r="AX46" i="23"/>
  <c r="O46" i="23"/>
  <c r="I46" i="23"/>
  <c r="AI44" i="23"/>
  <c r="AN45" i="23"/>
  <c r="AQ45" i="23"/>
  <c r="AW44" i="23"/>
  <c r="N45" i="23"/>
  <c r="P45" i="23"/>
  <c r="AG45" i="23" s="1"/>
  <c r="M45" i="23"/>
  <c r="BB45" i="23" s="1"/>
  <c r="J45" i="23"/>
  <c r="Y45" i="23"/>
  <c r="AW45" i="23" s="1"/>
  <c r="AA45" i="23"/>
  <c r="AY45" i="23" s="1"/>
  <c r="D45" i="23"/>
  <c r="T45" i="23"/>
  <c r="AL45" i="23" s="1"/>
  <c r="R45" i="23"/>
  <c r="AI45" i="23" s="1"/>
  <c r="AR44" i="23"/>
  <c r="AS44" i="23"/>
  <c r="E66" i="23"/>
  <c r="F66" i="23"/>
  <c r="G66" i="23"/>
  <c r="BG39" i="2"/>
  <c r="BF39" i="2" s="1"/>
  <c r="BS39" i="2" s="1"/>
  <c r="AL42" i="2"/>
  <c r="AA42" i="2"/>
  <c r="AW42" i="2" s="1"/>
  <c r="AJ42" i="2"/>
  <c r="BJ39" i="2"/>
  <c r="F48" i="14"/>
  <c r="AJ40" i="2"/>
  <c r="BG40" i="2" s="1"/>
  <c r="BF40" i="2" s="1"/>
  <c r="AL40" i="2"/>
  <c r="BK40" i="2" s="1"/>
  <c r="AX41" i="2"/>
  <c r="AW41" i="2"/>
  <c r="E32" i="19"/>
  <c r="U40" i="2"/>
  <c r="W41" i="2"/>
  <c r="H39" i="2"/>
  <c r="G39" i="2"/>
  <c r="F39" i="2"/>
  <c r="BD38" i="2"/>
  <c r="BC38" i="2"/>
  <c r="H43" i="20"/>
  <c r="G48" i="14"/>
  <c r="AU40" i="2"/>
  <c r="AT40" i="2"/>
  <c r="AR35" i="2"/>
  <c r="AY42" i="2"/>
  <c r="I43" i="20"/>
  <c r="A44" i="20"/>
  <c r="E49" i="14"/>
  <c r="A43" i="19"/>
  <c r="B39" i="19"/>
  <c r="D46" i="14"/>
  <c r="A51" i="14"/>
  <c r="B50" i="14"/>
  <c r="C47" i="14"/>
  <c r="D47" i="14" s="1"/>
  <c r="Y41" i="2"/>
  <c r="J41" i="14"/>
  <c r="I41" i="14"/>
  <c r="H41" i="14"/>
  <c r="Q35" i="3"/>
  <c r="BR33" i="2"/>
  <c r="P35" i="3"/>
  <c r="R35" i="3"/>
  <c r="AQ36" i="2"/>
  <c r="K36" i="3"/>
  <c r="L36" i="3"/>
  <c r="A37" i="3"/>
  <c r="M36" i="3"/>
  <c r="I36" i="3"/>
  <c r="N36" i="3"/>
  <c r="J36" i="3"/>
  <c r="BV46" i="23" l="1"/>
  <c r="N193" i="32"/>
  <c r="R191" i="32"/>
  <c r="A87" i="30"/>
  <c r="D86" i="30"/>
  <c r="AU45" i="29"/>
  <c r="AW45" i="29"/>
  <c r="BH45" i="29"/>
  <c r="BC45" i="29"/>
  <c r="BM46" i="29"/>
  <c r="BJ45" i="29"/>
  <c r="BS45" i="29"/>
  <c r="BB46" i="29"/>
  <c r="AY46" i="29"/>
  <c r="X45" i="29"/>
  <c r="Z45" i="29"/>
  <c r="F46" i="29"/>
  <c r="H46" i="29"/>
  <c r="G46" i="29"/>
  <c r="W46" i="29"/>
  <c r="AR46" i="29" s="1"/>
  <c r="U46" i="29"/>
  <c r="AR45" i="29"/>
  <c r="AG46" i="29"/>
  <c r="S47" i="29"/>
  <c r="J47" i="29"/>
  <c r="I47" i="29"/>
  <c r="BI47" i="29"/>
  <c r="B48" i="29"/>
  <c r="CD48" i="29" s="1"/>
  <c r="AN47" i="29"/>
  <c r="V47" i="29"/>
  <c r="AI47" i="29"/>
  <c r="CJ47" i="29"/>
  <c r="CK47" i="29" s="1"/>
  <c r="E47" i="29"/>
  <c r="BE47" i="29"/>
  <c r="CH47" i="29"/>
  <c r="K47" i="29"/>
  <c r="AK47" i="29"/>
  <c r="R47" i="29"/>
  <c r="T47" i="29" s="1"/>
  <c r="Q47" i="29" s="1"/>
  <c r="AP47" i="29"/>
  <c r="CI47" i="29"/>
  <c r="AS47" i="29"/>
  <c r="BL47" i="29"/>
  <c r="C47" i="29"/>
  <c r="L47" i="29"/>
  <c r="AG47" i="29" s="1"/>
  <c r="N47" i="29"/>
  <c r="M47" i="29"/>
  <c r="CE47" i="29"/>
  <c r="CF47" i="29" s="1"/>
  <c r="P47" i="29"/>
  <c r="AV47" i="29"/>
  <c r="AO46" i="29"/>
  <c r="BO46" i="29" s="1"/>
  <c r="AA46" i="29"/>
  <c r="AX46" i="29" s="1"/>
  <c r="AB46" i="29"/>
  <c r="AL46" i="29"/>
  <c r="BK46" i="29" s="1"/>
  <c r="Y46" i="29"/>
  <c r="AT46" i="29" s="1"/>
  <c r="AJ46" i="29"/>
  <c r="BG46" i="29" s="1"/>
  <c r="BF46" i="29" s="1"/>
  <c r="AB47" i="2"/>
  <c r="AK48" i="2"/>
  <c r="AI48" i="2"/>
  <c r="V48" i="2"/>
  <c r="S48" i="2"/>
  <c r="L48" i="2"/>
  <c r="Z41" i="2"/>
  <c r="X41" i="2"/>
  <c r="X42" i="2"/>
  <c r="Z42" i="2"/>
  <c r="K48" i="2"/>
  <c r="J48" i="2"/>
  <c r="I48" i="2"/>
  <c r="M48" i="2"/>
  <c r="N48" i="2"/>
  <c r="C48" i="2"/>
  <c r="AV48" i="2"/>
  <c r="BI48" i="2"/>
  <c r="AS48" i="2"/>
  <c r="BB48" i="2" s="1"/>
  <c r="B49" i="2"/>
  <c r="BE48" i="2"/>
  <c r="AP48" i="2"/>
  <c r="E48" i="2"/>
  <c r="BL48" i="2"/>
  <c r="P44" i="2"/>
  <c r="BM42" i="2"/>
  <c r="T43" i="2"/>
  <c r="Q43" i="2" s="1"/>
  <c r="AG44" i="2"/>
  <c r="BU47" i="23"/>
  <c r="K47" i="23"/>
  <c r="L47" i="23" s="1"/>
  <c r="BG44" i="23"/>
  <c r="R44" i="2"/>
  <c r="AF45" i="23"/>
  <c r="AM45" i="23"/>
  <c r="AZ45" i="23"/>
  <c r="BG45" i="23"/>
  <c r="Y46" i="23"/>
  <c r="AV46" i="23" s="1"/>
  <c r="AU46" i="23" s="1"/>
  <c r="R46" i="23"/>
  <c r="AI46" i="23" s="1"/>
  <c r="T46" i="23"/>
  <c r="AM46" i="23" s="1"/>
  <c r="D46" i="23"/>
  <c r="AA46" i="23"/>
  <c r="AY46" i="23" s="1"/>
  <c r="AQ46" i="23"/>
  <c r="AN46" i="23"/>
  <c r="AV45" i="23"/>
  <c r="AU45" i="23" s="1"/>
  <c r="AD45" i="23"/>
  <c r="BD45" i="23" s="1"/>
  <c r="AS45" i="23"/>
  <c r="AR45" i="23"/>
  <c r="P46" i="23"/>
  <c r="AG46" i="23" s="1"/>
  <c r="N46" i="23"/>
  <c r="AJ45" i="23"/>
  <c r="J46" i="23"/>
  <c r="M46" i="23"/>
  <c r="BB46" i="23" s="1"/>
  <c r="S47" i="23"/>
  <c r="AK47" i="23"/>
  <c r="C47" i="23"/>
  <c r="AH47" i="23"/>
  <c r="AE47" i="23"/>
  <c r="AT47" i="23"/>
  <c r="BA47" i="23"/>
  <c r="AX47" i="23"/>
  <c r="BZ47" i="23"/>
  <c r="CA47" i="23" s="1"/>
  <c r="O47" i="23"/>
  <c r="AC47" i="23"/>
  <c r="Q47" i="23"/>
  <c r="B48" i="23"/>
  <c r="BT48" i="23" s="1"/>
  <c r="BX47" i="23"/>
  <c r="X47" i="23"/>
  <c r="Z47" i="23"/>
  <c r="BY47" i="23"/>
  <c r="I47" i="23"/>
  <c r="G67" i="23"/>
  <c r="F67" i="23"/>
  <c r="E67" i="23"/>
  <c r="AX42" i="2"/>
  <c r="AL43" i="2"/>
  <c r="AA43" i="2"/>
  <c r="AX43" i="2" s="1"/>
  <c r="AJ43" i="2"/>
  <c r="BS40" i="2"/>
  <c r="F49" i="14"/>
  <c r="BJ40" i="2"/>
  <c r="BH40" i="2"/>
  <c r="AJ41" i="2"/>
  <c r="BH41" i="2" s="1"/>
  <c r="AL41" i="2"/>
  <c r="BK41" i="2" s="1"/>
  <c r="E33" i="19"/>
  <c r="U41" i="2"/>
  <c r="BD39" i="2"/>
  <c r="BC39" i="2"/>
  <c r="H40" i="2"/>
  <c r="G40" i="2"/>
  <c r="F40" i="2"/>
  <c r="BK42" i="2"/>
  <c r="BJ42" i="2"/>
  <c r="G49" i="14"/>
  <c r="AU41" i="2"/>
  <c r="AT41" i="2"/>
  <c r="AY43" i="2"/>
  <c r="AR36" i="2"/>
  <c r="BH42" i="2"/>
  <c r="BG42" i="2"/>
  <c r="BF42" i="2" s="1"/>
  <c r="I44" i="20"/>
  <c r="H44" i="20"/>
  <c r="A45" i="20"/>
  <c r="E50" i="14"/>
  <c r="F50" i="14"/>
  <c r="U42" i="2"/>
  <c r="W43" i="2"/>
  <c r="A44" i="19"/>
  <c r="B40" i="19"/>
  <c r="B51" i="14"/>
  <c r="C48" i="14"/>
  <c r="D48" i="14" s="1"/>
  <c r="A52" i="14"/>
  <c r="Y42" i="2"/>
  <c r="Y43" i="2"/>
  <c r="G51" i="14" s="1"/>
  <c r="I42" i="14"/>
  <c r="J42" i="14"/>
  <c r="I43" i="14"/>
  <c r="J43" i="14"/>
  <c r="H42" i="14"/>
  <c r="P36" i="3"/>
  <c r="R36" i="3"/>
  <c r="Q36" i="3"/>
  <c r="BR34" i="2"/>
  <c r="AQ37" i="2"/>
  <c r="K37" i="3"/>
  <c r="L37" i="3"/>
  <c r="A38" i="3"/>
  <c r="M37" i="3"/>
  <c r="I37" i="3"/>
  <c r="N37" i="3"/>
  <c r="J37" i="3"/>
  <c r="BV47" i="23" l="1"/>
  <c r="N195" i="32"/>
  <c r="R193" i="32"/>
  <c r="A88" i="30"/>
  <c r="D87" i="30"/>
  <c r="BR45" i="29"/>
  <c r="BM47" i="29"/>
  <c r="BD46" i="29"/>
  <c r="BC46" i="29"/>
  <c r="BS46" i="29"/>
  <c r="AQ46" i="29"/>
  <c r="H47" i="29"/>
  <c r="G47" i="29"/>
  <c r="F47" i="29"/>
  <c r="S48" i="29"/>
  <c r="V48" i="29"/>
  <c r="CJ48" i="29"/>
  <c r="CK48" i="29" s="1"/>
  <c r="E48" i="29"/>
  <c r="BE48" i="29"/>
  <c r="CH48" i="29"/>
  <c r="K48" i="29"/>
  <c r="J48" i="29"/>
  <c r="AI48" i="29"/>
  <c r="AP48" i="29"/>
  <c r="CI48" i="29"/>
  <c r="AS48" i="29"/>
  <c r="BL48" i="29"/>
  <c r="C48" i="29"/>
  <c r="AK48" i="29"/>
  <c r="M48" i="29"/>
  <c r="CE48" i="29"/>
  <c r="CF48" i="29" s="1"/>
  <c r="P48" i="29"/>
  <c r="AV48" i="29"/>
  <c r="R48" i="29"/>
  <c r="T48" i="29" s="1"/>
  <c r="Q48" i="29" s="1"/>
  <c r="L48" i="29"/>
  <c r="AG48" i="29" s="1"/>
  <c r="I48" i="29"/>
  <c r="BI48" i="29"/>
  <c r="B49" i="29"/>
  <c r="CD49" i="29" s="1"/>
  <c r="AN48" i="29"/>
  <c r="N48" i="29"/>
  <c r="AU46" i="29"/>
  <c r="Y47" i="29"/>
  <c r="AU47" i="29" s="1"/>
  <c r="AJ47" i="29"/>
  <c r="BG47" i="29" s="1"/>
  <c r="BF47" i="29" s="1"/>
  <c r="AB47" i="29"/>
  <c r="AL47" i="29"/>
  <c r="BK47" i="29" s="1"/>
  <c r="AA47" i="29"/>
  <c r="AX47" i="29" s="1"/>
  <c r="U47" i="29"/>
  <c r="W47" i="29"/>
  <c r="AR47" i="29" s="1"/>
  <c r="BH46" i="29"/>
  <c r="AY47" i="29"/>
  <c r="BB47" i="29"/>
  <c r="BC47" i="29" s="1"/>
  <c r="AO47" i="29"/>
  <c r="BO47" i="29" s="1"/>
  <c r="Z46" i="29"/>
  <c r="X46" i="29"/>
  <c r="AW46" i="29"/>
  <c r="BJ46" i="29"/>
  <c r="AB48" i="2"/>
  <c r="AK49" i="2"/>
  <c r="AI49" i="2"/>
  <c r="Z43" i="2"/>
  <c r="X43" i="2"/>
  <c r="V49" i="2"/>
  <c r="S49" i="2"/>
  <c r="L49" i="2"/>
  <c r="K49" i="2"/>
  <c r="J49" i="2"/>
  <c r="I49" i="2"/>
  <c r="M49" i="2"/>
  <c r="N49" i="2"/>
  <c r="C49" i="2"/>
  <c r="AV49" i="2"/>
  <c r="E49" i="2"/>
  <c r="BI49" i="2"/>
  <c r="AS49" i="2"/>
  <c r="BB49" i="2" s="1"/>
  <c r="BE49" i="2"/>
  <c r="AP49" i="2"/>
  <c r="B50" i="2"/>
  <c r="BL49" i="2"/>
  <c r="P45" i="2"/>
  <c r="BM43" i="2"/>
  <c r="T44" i="2"/>
  <c r="Q44" i="2" s="1"/>
  <c r="AG45" i="2"/>
  <c r="BU48" i="23"/>
  <c r="K48" i="23"/>
  <c r="L48" i="23" s="1"/>
  <c r="R45" i="2"/>
  <c r="BH45" i="23"/>
  <c r="AJ46" i="23"/>
  <c r="AZ46" i="23"/>
  <c r="BH46" i="23" s="1"/>
  <c r="AW46" i="23"/>
  <c r="BG46" i="23" s="1"/>
  <c r="AF46" i="23"/>
  <c r="AQ47" i="23"/>
  <c r="AN47" i="23"/>
  <c r="AX48" i="23"/>
  <c r="B49" i="23"/>
  <c r="BT49" i="23" s="1"/>
  <c r="BX48" i="23"/>
  <c r="O48" i="23"/>
  <c r="BZ48" i="23"/>
  <c r="CA48" i="23" s="1"/>
  <c r="AT48" i="23"/>
  <c r="AE48" i="23"/>
  <c r="BA48" i="23"/>
  <c r="I48" i="23"/>
  <c r="BY48" i="23"/>
  <c r="AH48" i="23"/>
  <c r="X48" i="23"/>
  <c r="AK48" i="23"/>
  <c r="C48" i="23"/>
  <c r="Q48" i="23"/>
  <c r="S48" i="23"/>
  <c r="Z48" i="23"/>
  <c r="AC48" i="23"/>
  <c r="P47" i="23"/>
  <c r="AF47" i="23" s="1"/>
  <c r="N47" i="23"/>
  <c r="AL46" i="23"/>
  <c r="AD46" i="23"/>
  <c r="BD46" i="23" s="1"/>
  <c r="J47" i="23"/>
  <c r="M47" i="23"/>
  <c r="AD47" i="23" s="1"/>
  <c r="BD47" i="23" s="1"/>
  <c r="R47" i="23"/>
  <c r="AI47" i="23" s="1"/>
  <c r="Y47" i="23"/>
  <c r="AV47" i="23" s="1"/>
  <c r="AU47" i="23" s="1"/>
  <c r="AA47" i="23"/>
  <c r="AZ47" i="23" s="1"/>
  <c r="D47" i="23"/>
  <c r="T47" i="23"/>
  <c r="AL47" i="23" s="1"/>
  <c r="AR46" i="23"/>
  <c r="AS46" i="23"/>
  <c r="E68" i="23"/>
  <c r="F68" i="23"/>
  <c r="G68" i="23"/>
  <c r="CE45" i="2"/>
  <c r="BG41" i="2"/>
  <c r="BF41" i="2" s="1"/>
  <c r="BS41" i="2" s="1"/>
  <c r="AJ44" i="2"/>
  <c r="AL44" i="2"/>
  <c r="AA44" i="2"/>
  <c r="AX44" i="2" s="1"/>
  <c r="AW43" i="2"/>
  <c r="BJ41" i="2"/>
  <c r="E34" i="19"/>
  <c r="BD40" i="2"/>
  <c r="BC40" i="2"/>
  <c r="F41" i="2"/>
  <c r="H41" i="2"/>
  <c r="G41" i="2"/>
  <c r="BS42" i="2"/>
  <c r="BK43" i="2"/>
  <c r="BJ43" i="2"/>
  <c r="AU43" i="2"/>
  <c r="G50" i="14"/>
  <c r="AU42" i="2"/>
  <c r="AT42" i="2"/>
  <c r="AT43" i="2"/>
  <c r="AY44" i="2"/>
  <c r="AR37" i="2"/>
  <c r="BH43" i="2"/>
  <c r="BG43" i="2"/>
  <c r="BF43" i="2" s="1"/>
  <c r="I45" i="20"/>
  <c r="A46" i="20"/>
  <c r="E46" i="20" s="1"/>
  <c r="H45" i="20"/>
  <c r="F51" i="14"/>
  <c r="U43" i="2"/>
  <c r="E51" i="14"/>
  <c r="W44" i="2"/>
  <c r="A45" i="19"/>
  <c r="B41" i="19"/>
  <c r="A53" i="14"/>
  <c r="C49" i="14"/>
  <c r="D49" i="14" s="1"/>
  <c r="B52" i="14"/>
  <c r="Y44" i="2"/>
  <c r="G52" i="14" s="1"/>
  <c r="BR35" i="2"/>
  <c r="I44" i="14"/>
  <c r="J44" i="14"/>
  <c r="H43" i="14"/>
  <c r="P37" i="3"/>
  <c r="R37" i="3"/>
  <c r="Q37" i="3"/>
  <c r="AQ38" i="2"/>
  <c r="K38" i="3"/>
  <c r="L38" i="3"/>
  <c r="A39" i="3"/>
  <c r="M38" i="3"/>
  <c r="I38" i="3"/>
  <c r="N38" i="3"/>
  <c r="J38" i="3"/>
  <c r="BV48" i="23" l="1"/>
  <c r="N197" i="32"/>
  <c r="R195" i="32"/>
  <c r="A89" i="30"/>
  <c r="D88" i="30"/>
  <c r="BD47" i="29"/>
  <c r="AT47" i="29"/>
  <c r="BJ47" i="29"/>
  <c r="BS47" i="29"/>
  <c r="AW47" i="29"/>
  <c r="BR46" i="29"/>
  <c r="BH47" i="29"/>
  <c r="AK49" i="29"/>
  <c r="CE49" i="29"/>
  <c r="CF49" i="29" s="1"/>
  <c r="P49" i="29"/>
  <c r="AV49" i="29"/>
  <c r="R49" i="29"/>
  <c r="T49" i="29" s="1"/>
  <c r="Q49" i="29" s="1"/>
  <c r="AP49" i="29"/>
  <c r="V49" i="29"/>
  <c r="L49" i="29"/>
  <c r="BI49" i="29"/>
  <c r="B50" i="29"/>
  <c r="CD50" i="29" s="1"/>
  <c r="AN49" i="29"/>
  <c r="N49" i="29"/>
  <c r="M49" i="29"/>
  <c r="S49" i="29"/>
  <c r="BE49" i="29"/>
  <c r="CH49" i="29"/>
  <c r="K49" i="29"/>
  <c r="J49" i="29"/>
  <c r="I49" i="29"/>
  <c r="AI49" i="29"/>
  <c r="CI49" i="29"/>
  <c r="AS49" i="29"/>
  <c r="BL49" i="29"/>
  <c r="C49" i="29"/>
  <c r="CJ49" i="29"/>
  <c r="CK49" i="29" s="1"/>
  <c r="E49" i="29"/>
  <c r="BB48" i="29"/>
  <c r="BD48" i="29" s="1"/>
  <c r="AY48" i="29"/>
  <c r="AA48" i="29"/>
  <c r="AX48" i="29" s="1"/>
  <c r="Y48" i="29"/>
  <c r="AT48" i="29" s="1"/>
  <c r="AL48" i="29"/>
  <c r="BJ48" i="29" s="1"/>
  <c r="AJ48" i="29"/>
  <c r="BH48" i="29" s="1"/>
  <c r="AB48" i="29"/>
  <c r="W48" i="29"/>
  <c r="U48" i="29"/>
  <c r="X47" i="29"/>
  <c r="Z47" i="29"/>
  <c r="AQ47" i="29"/>
  <c r="AO48" i="29"/>
  <c r="BO48" i="29" s="1"/>
  <c r="G48" i="29"/>
  <c r="F48" i="29"/>
  <c r="H48" i="29"/>
  <c r="BM48" i="29"/>
  <c r="AB49" i="2"/>
  <c r="AI50" i="2"/>
  <c r="AK50" i="2"/>
  <c r="Z44" i="2"/>
  <c r="X44" i="2"/>
  <c r="V50" i="2"/>
  <c r="S50" i="2"/>
  <c r="L50" i="2"/>
  <c r="K50" i="2"/>
  <c r="J50" i="2"/>
  <c r="I50" i="2"/>
  <c r="M50" i="2"/>
  <c r="N50" i="2"/>
  <c r="C50" i="2"/>
  <c r="BI50" i="2"/>
  <c r="AV50" i="2"/>
  <c r="B51" i="2"/>
  <c r="BE50" i="2"/>
  <c r="AP50" i="2"/>
  <c r="E50" i="2"/>
  <c r="BL50" i="2"/>
  <c r="AS50" i="2"/>
  <c r="BB50" i="2" s="1"/>
  <c r="P46" i="2"/>
  <c r="BM44" i="2"/>
  <c r="T45" i="2"/>
  <c r="Q45" i="2" s="1"/>
  <c r="AG46" i="2"/>
  <c r="BU49" i="23"/>
  <c r="K49" i="23"/>
  <c r="L49" i="23" s="1"/>
  <c r="BB47" i="23"/>
  <c r="R46" i="2"/>
  <c r="AY47" i="23"/>
  <c r="AG47" i="23"/>
  <c r="AW47" i="23"/>
  <c r="R48" i="23"/>
  <c r="AI48" i="23" s="1"/>
  <c r="Y48" i="23"/>
  <c r="AW48" i="23" s="1"/>
  <c r="D48" i="23"/>
  <c r="T48" i="23"/>
  <c r="AL48" i="23" s="1"/>
  <c r="AA48" i="23"/>
  <c r="AZ48" i="23" s="1"/>
  <c r="BH47" i="23"/>
  <c r="M48" i="23"/>
  <c r="AD48" i="23" s="1"/>
  <c r="BD48" i="23" s="1"/>
  <c r="J48" i="23"/>
  <c r="BY49" i="23"/>
  <c r="AT49" i="23"/>
  <c r="AK49" i="23"/>
  <c r="Z49" i="23"/>
  <c r="AX49" i="23"/>
  <c r="B50" i="23"/>
  <c r="BT50" i="23" s="1"/>
  <c r="AC49" i="23"/>
  <c r="AE49" i="23"/>
  <c r="O49" i="23"/>
  <c r="AH49" i="23"/>
  <c r="BX49" i="23"/>
  <c r="X49" i="23"/>
  <c r="S49" i="23"/>
  <c r="I49" i="23"/>
  <c r="Q49" i="23"/>
  <c r="BA49" i="23"/>
  <c r="BZ49" i="23"/>
  <c r="CA49" i="23" s="1"/>
  <c r="C49" i="23"/>
  <c r="AJ47" i="23"/>
  <c r="AM47" i="23"/>
  <c r="AQ48" i="23"/>
  <c r="AN48" i="23"/>
  <c r="N48" i="23"/>
  <c r="P48" i="23"/>
  <c r="AF48" i="23" s="1"/>
  <c r="AR47" i="23"/>
  <c r="AS47" i="23"/>
  <c r="G42" i="2"/>
  <c r="E69" i="23"/>
  <c r="G69" i="23"/>
  <c r="F69" i="23"/>
  <c r="F42" i="2"/>
  <c r="H42" i="2"/>
  <c r="BC42" i="2"/>
  <c r="BD42" i="2"/>
  <c r="G43" i="2"/>
  <c r="F43" i="2"/>
  <c r="H43" i="2"/>
  <c r="CE46" i="2"/>
  <c r="AW44" i="2"/>
  <c r="AJ45" i="2"/>
  <c r="AL45" i="2"/>
  <c r="AA45" i="2"/>
  <c r="AX45" i="2" s="1"/>
  <c r="E35" i="19"/>
  <c r="BC41" i="2"/>
  <c r="BD41" i="2"/>
  <c r="BK44" i="2"/>
  <c r="BJ44" i="2"/>
  <c r="BS43" i="2"/>
  <c r="AU44" i="2"/>
  <c r="AT44" i="2"/>
  <c r="AY45" i="2"/>
  <c r="H45" i="2"/>
  <c r="AR38" i="2"/>
  <c r="BH44" i="2"/>
  <c r="BG44" i="2"/>
  <c r="BF44" i="2" s="1"/>
  <c r="H46" i="20"/>
  <c r="I46" i="20"/>
  <c r="A47" i="20"/>
  <c r="E47" i="20" s="1"/>
  <c r="G45" i="2"/>
  <c r="F45" i="2"/>
  <c r="F52" i="14"/>
  <c r="U44" i="2"/>
  <c r="E52" i="14"/>
  <c r="W45" i="2"/>
  <c r="A46" i="19"/>
  <c r="B42" i="19"/>
  <c r="B53" i="14"/>
  <c r="C50" i="14"/>
  <c r="A54" i="14"/>
  <c r="Y45" i="2"/>
  <c r="G53" i="14" s="1"/>
  <c r="BR36" i="2"/>
  <c r="I45" i="14"/>
  <c r="J45" i="14"/>
  <c r="H44" i="14"/>
  <c r="R38" i="3"/>
  <c r="Q38" i="3"/>
  <c r="P38" i="3"/>
  <c r="AQ39" i="2"/>
  <c r="K39" i="3"/>
  <c r="L39" i="3"/>
  <c r="A40" i="3"/>
  <c r="M39" i="3"/>
  <c r="I39" i="3"/>
  <c r="N39" i="3"/>
  <c r="J39" i="3"/>
  <c r="BV49" i="23" l="1"/>
  <c r="N199" i="32"/>
  <c r="R197" i="32"/>
  <c r="A90" i="30"/>
  <c r="D89" i="30"/>
  <c r="BR47" i="29"/>
  <c r="BM49" i="29"/>
  <c r="BC48" i="29"/>
  <c r="AY49" i="29"/>
  <c r="BB49" i="29"/>
  <c r="S50" i="29"/>
  <c r="CH50" i="29"/>
  <c r="K50" i="29"/>
  <c r="J50" i="29"/>
  <c r="I50" i="29"/>
  <c r="BI50" i="29"/>
  <c r="AI50" i="29"/>
  <c r="BL50" i="29"/>
  <c r="C50" i="29"/>
  <c r="CJ50" i="29"/>
  <c r="CK50" i="29" s="1"/>
  <c r="E50" i="29"/>
  <c r="BE50" i="29"/>
  <c r="AK50" i="29"/>
  <c r="AV50" i="29"/>
  <c r="R50" i="29"/>
  <c r="T50" i="29" s="1"/>
  <c r="Q50" i="29" s="1"/>
  <c r="AP50" i="29"/>
  <c r="CI50" i="29"/>
  <c r="AS50" i="29"/>
  <c r="V50" i="29"/>
  <c r="L50" i="29"/>
  <c r="AG50" i="29" s="1"/>
  <c r="B51" i="29"/>
  <c r="CD51" i="29" s="1"/>
  <c r="AN50" i="29"/>
  <c r="N50" i="29"/>
  <c r="M50" i="29"/>
  <c r="CE50" i="29"/>
  <c r="CF50" i="29" s="1"/>
  <c r="P50" i="29"/>
  <c r="X48" i="29"/>
  <c r="Z48" i="29"/>
  <c r="AW48" i="29"/>
  <c r="AR48" i="29"/>
  <c r="BR48" i="29"/>
  <c r="BK48" i="29"/>
  <c r="AL49" i="29"/>
  <c r="BK49" i="29" s="1"/>
  <c r="AJ49" i="29"/>
  <c r="BG49" i="29" s="1"/>
  <c r="BF49" i="29" s="1"/>
  <c r="Y49" i="29"/>
  <c r="AT49" i="29" s="1"/>
  <c r="AB49" i="29"/>
  <c r="AA49" i="29"/>
  <c r="AW49" i="29" s="1"/>
  <c r="AG49" i="29"/>
  <c r="H49" i="29"/>
  <c r="G49" i="29"/>
  <c r="F49" i="29"/>
  <c r="BG48" i="29"/>
  <c r="BF48" i="29" s="1"/>
  <c r="AQ48" i="29"/>
  <c r="AU48" i="29"/>
  <c r="AO49" i="29"/>
  <c r="BO49" i="29" s="1"/>
  <c r="U49" i="29"/>
  <c r="W49" i="29"/>
  <c r="AB50" i="2"/>
  <c r="AI51" i="2"/>
  <c r="AK51" i="2"/>
  <c r="Z45" i="2"/>
  <c r="X45" i="2"/>
  <c r="V51" i="2"/>
  <c r="L51" i="2"/>
  <c r="S51" i="2"/>
  <c r="K51" i="2"/>
  <c r="J51" i="2"/>
  <c r="I51" i="2"/>
  <c r="M51" i="2"/>
  <c r="N51" i="2"/>
  <c r="C51" i="2"/>
  <c r="AV51" i="2"/>
  <c r="B52" i="2"/>
  <c r="BI51" i="2"/>
  <c r="AP51" i="2"/>
  <c r="E51" i="2"/>
  <c r="BE51" i="2"/>
  <c r="BL51" i="2"/>
  <c r="AS51" i="2"/>
  <c r="BB51" i="2" s="1"/>
  <c r="P47" i="2"/>
  <c r="T46" i="2"/>
  <c r="Q46" i="2" s="1"/>
  <c r="BM45" i="2"/>
  <c r="AG47" i="2"/>
  <c r="BU50" i="23"/>
  <c r="K50" i="23"/>
  <c r="L50" i="23" s="1"/>
  <c r="BB48" i="23"/>
  <c r="R47" i="2"/>
  <c r="BG47" i="23"/>
  <c r="AJ48" i="23"/>
  <c r="AY48" i="23"/>
  <c r="BG48" i="23" s="1"/>
  <c r="AV48" i="23"/>
  <c r="AU48" i="23" s="1"/>
  <c r="BH48" i="23" s="1"/>
  <c r="D49" i="23"/>
  <c r="AA49" i="23"/>
  <c r="AY49" i="23" s="1"/>
  <c r="T49" i="23"/>
  <c r="AL49" i="23" s="1"/>
  <c r="R49" i="23"/>
  <c r="AJ49" i="23" s="1"/>
  <c r="Y49" i="23"/>
  <c r="AW49" i="23" s="1"/>
  <c r="AQ49" i="23"/>
  <c r="AN49" i="23"/>
  <c r="S50" i="23"/>
  <c r="AK50" i="23"/>
  <c r="Z50" i="23"/>
  <c r="AX50" i="23"/>
  <c r="O50" i="23"/>
  <c r="AE50" i="23"/>
  <c r="I50" i="23"/>
  <c r="AC50" i="23"/>
  <c r="AT50" i="23"/>
  <c r="BX50" i="23"/>
  <c r="C50" i="23"/>
  <c r="B51" i="23"/>
  <c r="BT51" i="23" s="1"/>
  <c r="Q50" i="23"/>
  <c r="X50" i="23"/>
  <c r="BA50" i="23"/>
  <c r="BY50" i="23"/>
  <c r="BZ50" i="23"/>
  <c r="CA50" i="23" s="1"/>
  <c r="AH50" i="23"/>
  <c r="AG48" i="23"/>
  <c r="AR48" i="23"/>
  <c r="AS48" i="23"/>
  <c r="P49" i="23"/>
  <c r="AG49" i="23" s="1"/>
  <c r="N49" i="23"/>
  <c r="M49" i="23"/>
  <c r="AD49" i="23" s="1"/>
  <c r="BD49" i="23" s="1"/>
  <c r="J49" i="23"/>
  <c r="AM48" i="23"/>
  <c r="G70" i="23"/>
  <c r="E70" i="23"/>
  <c r="F70" i="23"/>
  <c r="BD43" i="2"/>
  <c r="BC43" i="2"/>
  <c r="F44" i="2"/>
  <c r="H44" i="2"/>
  <c r="G44" i="2"/>
  <c r="CE47" i="2"/>
  <c r="AL46" i="2"/>
  <c r="AA46" i="2"/>
  <c r="AW46" i="2" s="1"/>
  <c r="AJ46" i="2"/>
  <c r="AW45" i="2"/>
  <c r="E36" i="19"/>
  <c r="BS44" i="2"/>
  <c r="BK45" i="2"/>
  <c r="BJ45" i="2"/>
  <c r="BD45" i="2"/>
  <c r="BC45" i="2"/>
  <c r="AU45" i="2"/>
  <c r="AT45" i="2"/>
  <c r="H46" i="2"/>
  <c r="AR39" i="2"/>
  <c r="AY46" i="2"/>
  <c r="H47" i="20"/>
  <c r="BH45" i="2"/>
  <c r="BG45" i="2"/>
  <c r="BF45" i="2" s="1"/>
  <c r="I47" i="20"/>
  <c r="A48" i="20"/>
  <c r="E48" i="20" s="1"/>
  <c r="G46" i="2"/>
  <c r="F46" i="2"/>
  <c r="E53" i="14"/>
  <c r="F53" i="14"/>
  <c r="U45" i="2"/>
  <c r="W46" i="2"/>
  <c r="A47" i="19"/>
  <c r="B43" i="19"/>
  <c r="D50" i="14"/>
  <c r="A55" i="14"/>
  <c r="B54" i="14"/>
  <c r="C51" i="14"/>
  <c r="J46" i="14"/>
  <c r="I46" i="14"/>
  <c r="H45" i="14"/>
  <c r="P39" i="3"/>
  <c r="Q39" i="3"/>
  <c r="R39" i="3"/>
  <c r="AQ40" i="2"/>
  <c r="K40" i="3"/>
  <c r="L40" i="3"/>
  <c r="A41" i="3"/>
  <c r="M40" i="3"/>
  <c r="I40" i="3"/>
  <c r="N40" i="3"/>
  <c r="J40" i="3"/>
  <c r="BV50" i="23" l="1"/>
  <c r="N201" i="32"/>
  <c r="R199" i="32"/>
  <c r="A91" i="30"/>
  <c r="D90" i="30"/>
  <c r="BC49" i="29"/>
  <c r="BH49" i="29"/>
  <c r="AX49" i="29"/>
  <c r="BD49" i="29"/>
  <c r="AO50" i="29"/>
  <c r="BO50" i="29" s="1"/>
  <c r="X49" i="29"/>
  <c r="Z49" i="29"/>
  <c r="U50" i="29"/>
  <c r="W50" i="29"/>
  <c r="AR50" i="29" s="1"/>
  <c r="BJ49" i="29"/>
  <c r="BR49" i="29" s="1"/>
  <c r="AQ49" i="29"/>
  <c r="BB50" i="29"/>
  <c r="BC50" i="29" s="1"/>
  <c r="AY50" i="29"/>
  <c r="AU49" i="29"/>
  <c r="BS48" i="29"/>
  <c r="AR49" i="29"/>
  <c r="S51" i="29"/>
  <c r="N51" i="29"/>
  <c r="M51" i="29"/>
  <c r="CE51" i="29"/>
  <c r="CF51" i="29" s="1"/>
  <c r="P51" i="29"/>
  <c r="AV51" i="29"/>
  <c r="V51" i="29"/>
  <c r="AI51" i="29"/>
  <c r="J51" i="29"/>
  <c r="I51" i="29"/>
  <c r="BI51" i="29"/>
  <c r="B52" i="29"/>
  <c r="CD52" i="29" s="1"/>
  <c r="AN51" i="29"/>
  <c r="AK51" i="29"/>
  <c r="CJ51" i="29"/>
  <c r="CK51" i="29" s="1"/>
  <c r="E51" i="29"/>
  <c r="BE51" i="29"/>
  <c r="CH51" i="29"/>
  <c r="K51" i="29"/>
  <c r="L51" i="29"/>
  <c r="AG51" i="29" s="1"/>
  <c r="R51" i="29"/>
  <c r="T51" i="29" s="1"/>
  <c r="Q51" i="29" s="1"/>
  <c r="AP51" i="29"/>
  <c r="CI51" i="29"/>
  <c r="AS51" i="29"/>
  <c r="BL51" i="29"/>
  <c r="BM51" i="29" s="1"/>
  <c r="C51" i="29"/>
  <c r="AJ50" i="29"/>
  <c r="BH50" i="29" s="1"/>
  <c r="AA50" i="29"/>
  <c r="AX50" i="29" s="1"/>
  <c r="AB50" i="29"/>
  <c r="AL50" i="29"/>
  <c r="BK50" i="29" s="1"/>
  <c r="Y50" i="29"/>
  <c r="AT50" i="29" s="1"/>
  <c r="BS49" i="29"/>
  <c r="G50" i="29"/>
  <c r="F50" i="29"/>
  <c r="H50" i="29"/>
  <c r="BM50" i="29"/>
  <c r="AB51" i="2"/>
  <c r="AK52" i="2"/>
  <c r="AI52" i="2"/>
  <c r="Z46" i="2"/>
  <c r="X46" i="2"/>
  <c r="V52" i="2"/>
  <c r="S52" i="2"/>
  <c r="L52" i="2"/>
  <c r="AI49" i="23"/>
  <c r="K52" i="2"/>
  <c r="J52" i="2"/>
  <c r="I52" i="2"/>
  <c r="M52" i="2"/>
  <c r="N52" i="2"/>
  <c r="C52" i="2"/>
  <c r="BI52" i="2"/>
  <c r="AP52" i="2"/>
  <c r="BL52" i="2"/>
  <c r="BE52" i="2"/>
  <c r="E52" i="2"/>
  <c r="AV52" i="2"/>
  <c r="AS52" i="2"/>
  <c r="BB52" i="2" s="1"/>
  <c r="B53" i="2"/>
  <c r="P48" i="2"/>
  <c r="T47" i="2"/>
  <c r="Q47" i="2" s="1"/>
  <c r="BM46" i="2"/>
  <c r="AG48" i="2"/>
  <c r="AV49" i="23"/>
  <c r="AU49" i="23" s="1"/>
  <c r="BU51" i="23"/>
  <c r="K51" i="23"/>
  <c r="L51" i="23" s="1"/>
  <c r="BB49" i="23"/>
  <c r="R48" i="2"/>
  <c r="AM49" i="23"/>
  <c r="AZ49" i="23"/>
  <c r="P50" i="23"/>
  <c r="AF50" i="23" s="1"/>
  <c r="N50" i="23"/>
  <c r="AR49" i="23"/>
  <c r="AS49" i="23"/>
  <c r="BG49" i="23"/>
  <c r="T50" i="23"/>
  <c r="AM50" i="23" s="1"/>
  <c r="AA50" i="23"/>
  <c r="AZ50" i="23" s="1"/>
  <c r="R50" i="23"/>
  <c r="AJ50" i="23" s="1"/>
  <c r="Y50" i="23"/>
  <c r="AV50" i="23" s="1"/>
  <c r="AU50" i="23" s="1"/>
  <c r="D50" i="23"/>
  <c r="Z51" i="23"/>
  <c r="O51" i="23"/>
  <c r="AT51" i="23"/>
  <c r="BA51" i="23"/>
  <c r="S51" i="23"/>
  <c r="I51" i="23"/>
  <c r="X51" i="23"/>
  <c r="BX51" i="23"/>
  <c r="BZ51" i="23"/>
  <c r="CA51" i="23" s="1"/>
  <c r="B52" i="23"/>
  <c r="BT52" i="23" s="1"/>
  <c r="AH51" i="23"/>
  <c r="Q51" i="23"/>
  <c r="AE51" i="23"/>
  <c r="AK51" i="23"/>
  <c r="AX51" i="23"/>
  <c r="BY51" i="23"/>
  <c r="C51" i="23"/>
  <c r="AC51" i="23"/>
  <c r="M50" i="23"/>
  <c r="BB50" i="23" s="1"/>
  <c r="J50" i="23"/>
  <c r="AF49" i="23"/>
  <c r="AQ50" i="23"/>
  <c r="AN50" i="23"/>
  <c r="F71" i="23"/>
  <c r="E71" i="23"/>
  <c r="G71" i="23"/>
  <c r="BD44" i="2"/>
  <c r="BC44" i="2"/>
  <c r="CE48" i="2"/>
  <c r="AX46" i="2"/>
  <c r="AL47" i="2"/>
  <c r="AA47" i="2"/>
  <c r="AX47" i="2" s="1"/>
  <c r="AJ47" i="2"/>
  <c r="BS45" i="2"/>
  <c r="BK46" i="2"/>
  <c r="BJ46" i="2"/>
  <c r="BD46" i="2"/>
  <c r="BC46" i="2"/>
  <c r="H47" i="2"/>
  <c r="AR40" i="2"/>
  <c r="AY47" i="2"/>
  <c r="BH46" i="2"/>
  <c r="BG46" i="2"/>
  <c r="BF46" i="2" s="1"/>
  <c r="I48" i="20"/>
  <c r="H48" i="20"/>
  <c r="A49" i="20"/>
  <c r="E49" i="20" s="1"/>
  <c r="G47" i="2"/>
  <c r="F47" i="2"/>
  <c r="F54" i="14"/>
  <c r="U46" i="2"/>
  <c r="E54" i="14"/>
  <c r="W47" i="2"/>
  <c r="A48" i="19"/>
  <c r="B44" i="19"/>
  <c r="D51" i="14"/>
  <c r="A56" i="14"/>
  <c r="B55" i="14"/>
  <c r="BR37" i="2"/>
  <c r="Y46" i="2"/>
  <c r="BR38" i="2"/>
  <c r="C52" i="14"/>
  <c r="J47" i="14"/>
  <c r="I47" i="14"/>
  <c r="H46" i="14"/>
  <c r="R40" i="3"/>
  <c r="Q40" i="3"/>
  <c r="P40" i="3"/>
  <c r="AQ41" i="2"/>
  <c r="K41" i="3"/>
  <c r="L41" i="3"/>
  <c r="A42" i="3"/>
  <c r="M41" i="3"/>
  <c r="I41" i="3"/>
  <c r="N41" i="3"/>
  <c r="J41" i="3"/>
  <c r="BV51" i="23" l="1"/>
  <c r="N203" i="32"/>
  <c r="R201" i="32"/>
  <c r="A92" i="30"/>
  <c r="D91" i="30"/>
  <c r="BJ50" i="29"/>
  <c r="BD50" i="29"/>
  <c r="BG50" i="29"/>
  <c r="BF50" i="29" s="1"/>
  <c r="BS50" i="29" s="1"/>
  <c r="AQ50" i="29"/>
  <c r="BR50" i="29"/>
  <c r="AO51" i="29"/>
  <c r="BO51" i="29" s="1"/>
  <c r="X50" i="29"/>
  <c r="Z50" i="29"/>
  <c r="AY51" i="29"/>
  <c r="BB51" i="29"/>
  <c r="BD51" i="29" s="1"/>
  <c r="H51" i="29"/>
  <c r="G51" i="29"/>
  <c r="F51" i="29"/>
  <c r="S52" i="29"/>
  <c r="I52" i="29"/>
  <c r="BI52" i="29"/>
  <c r="B53" i="29"/>
  <c r="CD53" i="29" s="1"/>
  <c r="AN52" i="29"/>
  <c r="N52" i="29"/>
  <c r="AI52" i="29"/>
  <c r="CJ52" i="29"/>
  <c r="CK52" i="29" s="1"/>
  <c r="E52" i="29"/>
  <c r="BE52" i="29"/>
  <c r="CH52" i="29"/>
  <c r="K52" i="29"/>
  <c r="J52" i="29"/>
  <c r="AK52" i="29"/>
  <c r="AP52" i="29"/>
  <c r="CI52" i="29"/>
  <c r="AS52" i="29"/>
  <c r="BL52" i="29"/>
  <c r="C52" i="29"/>
  <c r="V52" i="29"/>
  <c r="L52" i="29"/>
  <c r="M52" i="29"/>
  <c r="CE52" i="29"/>
  <c r="CF52" i="29" s="1"/>
  <c r="P52" i="29"/>
  <c r="AV52" i="29"/>
  <c r="R52" i="29"/>
  <c r="T52" i="29" s="1"/>
  <c r="Q52" i="29" s="1"/>
  <c r="U51" i="29"/>
  <c r="W51" i="29"/>
  <c r="AQ51" i="29" s="1"/>
  <c r="AW50" i="29"/>
  <c r="AL51" i="29"/>
  <c r="BJ51" i="29" s="1"/>
  <c r="AA51" i="29"/>
  <c r="AX51" i="29" s="1"/>
  <c r="Y51" i="29"/>
  <c r="AT51" i="29" s="1"/>
  <c r="AJ51" i="29"/>
  <c r="BG51" i="29" s="1"/>
  <c r="BF51" i="29" s="1"/>
  <c r="AB51" i="29"/>
  <c r="AW51" i="29"/>
  <c r="AU50" i="29"/>
  <c r="AB52" i="2"/>
  <c r="AK53" i="2"/>
  <c r="AI53" i="2"/>
  <c r="V53" i="2"/>
  <c r="S53" i="2"/>
  <c r="L53" i="2"/>
  <c r="Z47" i="2"/>
  <c r="X47" i="2"/>
  <c r="K53" i="2"/>
  <c r="J53" i="2"/>
  <c r="I53" i="2"/>
  <c r="M53" i="2"/>
  <c r="N53" i="2"/>
  <c r="C53" i="2"/>
  <c r="BE53" i="2"/>
  <c r="AP53" i="2"/>
  <c r="B54" i="2"/>
  <c r="BL53" i="2"/>
  <c r="AV53" i="2"/>
  <c r="E53" i="2"/>
  <c r="BI53" i="2"/>
  <c r="AS53" i="2"/>
  <c r="BB53" i="2" s="1"/>
  <c r="P49" i="2"/>
  <c r="BM47" i="2"/>
  <c r="T48" i="2"/>
  <c r="Q48" i="2" s="1"/>
  <c r="AG49" i="2"/>
  <c r="BH49" i="23"/>
  <c r="BU52" i="23"/>
  <c r="K52" i="23"/>
  <c r="L52" i="23" s="1"/>
  <c r="R49" i="2"/>
  <c r="AI50" i="23"/>
  <c r="AW50" i="23"/>
  <c r="AG50" i="23"/>
  <c r="AA51" i="23"/>
  <c r="AY51" i="23" s="1"/>
  <c r="R51" i="23"/>
  <c r="AI51" i="23" s="1"/>
  <c r="D51" i="23"/>
  <c r="Y51" i="23"/>
  <c r="AV51" i="23" s="1"/>
  <c r="AU51" i="23" s="1"/>
  <c r="T51" i="23"/>
  <c r="AM51" i="23" s="1"/>
  <c r="AS50" i="23"/>
  <c r="AR50" i="23"/>
  <c r="AD50" i="23"/>
  <c r="BD50" i="23" s="1"/>
  <c r="J51" i="23"/>
  <c r="M51" i="23"/>
  <c r="BB51" i="23" s="1"/>
  <c r="BH50" i="23"/>
  <c r="AY50" i="23"/>
  <c r="AQ51" i="23"/>
  <c r="AN51" i="23"/>
  <c r="BA52" i="23"/>
  <c r="BZ52" i="23"/>
  <c r="CA52" i="23" s="1"/>
  <c r="AH52" i="23"/>
  <c r="AC52" i="23"/>
  <c r="O52" i="23"/>
  <c r="I52" i="23"/>
  <c r="X52" i="23"/>
  <c r="AE52" i="23"/>
  <c r="Q52" i="23"/>
  <c r="BY52" i="23"/>
  <c r="BX52" i="23"/>
  <c r="AT52" i="23"/>
  <c r="B53" i="23"/>
  <c r="BT53" i="23" s="1"/>
  <c r="Z52" i="23"/>
  <c r="AX52" i="23"/>
  <c r="S52" i="23"/>
  <c r="C52" i="23"/>
  <c r="AK52" i="23"/>
  <c r="P51" i="23"/>
  <c r="AG51" i="23" s="1"/>
  <c r="N51" i="23"/>
  <c r="AL50" i="23"/>
  <c r="E72" i="23"/>
  <c r="F72" i="23"/>
  <c r="G72" i="23"/>
  <c r="CE49" i="2"/>
  <c r="AW47" i="2"/>
  <c r="AJ48" i="2"/>
  <c r="AL48" i="2"/>
  <c r="AA48" i="2"/>
  <c r="AX48" i="2" s="1"/>
  <c r="E38" i="19"/>
  <c r="E37" i="19"/>
  <c r="BS46" i="2"/>
  <c r="BK47" i="2"/>
  <c r="BJ47" i="2"/>
  <c r="BC47" i="2"/>
  <c r="BD47" i="2"/>
  <c r="G54" i="14"/>
  <c r="AU46" i="2"/>
  <c r="AT46" i="2"/>
  <c r="AR41" i="2"/>
  <c r="H48" i="2"/>
  <c r="AY48" i="2"/>
  <c r="BH47" i="2"/>
  <c r="BG47" i="2"/>
  <c r="BF47" i="2" s="1"/>
  <c r="I49" i="20"/>
  <c r="H49" i="20"/>
  <c r="A50" i="20"/>
  <c r="E50" i="20" s="1"/>
  <c r="F48" i="2"/>
  <c r="G48" i="2"/>
  <c r="F55" i="14"/>
  <c r="U47" i="2"/>
  <c r="E55" i="14"/>
  <c r="W48" i="2"/>
  <c r="A57" i="14"/>
  <c r="A49" i="19"/>
  <c r="B45" i="19"/>
  <c r="D52" i="14"/>
  <c r="B56" i="14"/>
  <c r="Y47" i="2"/>
  <c r="Y48" i="2"/>
  <c r="G56" i="14" s="1"/>
  <c r="C53" i="14"/>
  <c r="D53" i="14" s="1"/>
  <c r="I48" i="14"/>
  <c r="J48" i="14"/>
  <c r="BR39" i="2"/>
  <c r="H47" i="14"/>
  <c r="R41" i="3"/>
  <c r="Q41" i="3"/>
  <c r="P41" i="3"/>
  <c r="AQ42" i="2"/>
  <c r="K42" i="3"/>
  <c r="L42" i="3"/>
  <c r="A43" i="3"/>
  <c r="M42" i="3"/>
  <c r="I42" i="3"/>
  <c r="N42" i="3"/>
  <c r="J42" i="3"/>
  <c r="BV52" i="23" l="1"/>
  <c r="N205" i="32"/>
  <c r="R203" i="32"/>
  <c r="A93" i="30"/>
  <c r="BC51" i="29"/>
  <c r="Z51" i="29"/>
  <c r="X51" i="29"/>
  <c r="H52" i="29"/>
  <c r="F52" i="29"/>
  <c r="G52" i="29"/>
  <c r="BB52" i="29"/>
  <c r="AY52" i="29"/>
  <c r="AO52" i="29"/>
  <c r="BO52" i="29" s="1"/>
  <c r="AR51" i="29"/>
  <c r="W52" i="29"/>
  <c r="AQ52" i="29" s="1"/>
  <c r="U52" i="29"/>
  <c r="S53" i="29"/>
  <c r="BE53" i="29"/>
  <c r="B54" i="29"/>
  <c r="CD54" i="29" s="1"/>
  <c r="AN53" i="29"/>
  <c r="N53" i="29"/>
  <c r="M53" i="29"/>
  <c r="CI53" i="29"/>
  <c r="CH53" i="29"/>
  <c r="I53" i="29"/>
  <c r="J53" i="29"/>
  <c r="AK53" i="29"/>
  <c r="CE53" i="29"/>
  <c r="CF53" i="29" s="1"/>
  <c r="P53" i="29"/>
  <c r="BL53" i="29"/>
  <c r="C53" i="29"/>
  <c r="CJ53" i="29"/>
  <c r="CK53" i="29" s="1"/>
  <c r="E53" i="29"/>
  <c r="AI53" i="29"/>
  <c r="V53" i="29"/>
  <c r="L53" i="29"/>
  <c r="AG53" i="29" s="1"/>
  <c r="BI53" i="29"/>
  <c r="AV53" i="29"/>
  <c r="R53" i="29"/>
  <c r="T53" i="29" s="1"/>
  <c r="Q53" i="29" s="1"/>
  <c r="AP53" i="29"/>
  <c r="AS53" i="29"/>
  <c r="K53" i="29"/>
  <c r="BK51" i="29"/>
  <c r="BS51" i="29" s="1"/>
  <c r="AG52" i="29"/>
  <c r="AJ52" i="29"/>
  <c r="BH52" i="29" s="1"/>
  <c r="AA52" i="29"/>
  <c r="AX52" i="29" s="1"/>
  <c r="AB52" i="29"/>
  <c r="Y52" i="29"/>
  <c r="AU52" i="29" s="1"/>
  <c r="AL52" i="29"/>
  <c r="BJ52" i="29" s="1"/>
  <c r="BR52" i="29" s="1"/>
  <c r="AU51" i="29"/>
  <c r="BM52" i="29"/>
  <c r="BH51" i="29"/>
  <c r="BR51" i="29" s="1"/>
  <c r="AB53" i="2"/>
  <c r="AI54" i="2"/>
  <c r="AK54" i="2"/>
  <c r="Z48" i="2"/>
  <c r="X48" i="2"/>
  <c r="V54" i="2"/>
  <c r="S54" i="2"/>
  <c r="L54" i="2"/>
  <c r="K54" i="2"/>
  <c r="J54" i="2"/>
  <c r="I54" i="2"/>
  <c r="M54" i="2"/>
  <c r="N54" i="2"/>
  <c r="C54" i="2"/>
  <c r="AV54" i="2"/>
  <c r="BI54" i="2"/>
  <c r="B55" i="2"/>
  <c r="BE54" i="2"/>
  <c r="AP54" i="2"/>
  <c r="E54" i="2"/>
  <c r="AS54" i="2"/>
  <c r="BB54" i="2" s="1"/>
  <c r="BL54" i="2"/>
  <c r="BM48" i="2"/>
  <c r="P50" i="2"/>
  <c r="T49" i="2"/>
  <c r="Q49" i="2" s="1"/>
  <c r="AG50" i="2"/>
  <c r="BU53" i="23"/>
  <c r="K53" i="23"/>
  <c r="L53" i="23" s="1"/>
  <c r="R50" i="2"/>
  <c r="AJ51" i="23"/>
  <c r="AD51" i="23"/>
  <c r="BD51" i="23" s="1"/>
  <c r="AZ51" i="23"/>
  <c r="BH51" i="23" s="1"/>
  <c r="BG50" i="23"/>
  <c r="AL51" i="23"/>
  <c r="AR51" i="23"/>
  <c r="AS51" i="23"/>
  <c r="Y52" i="23"/>
  <c r="AW52" i="23" s="1"/>
  <c r="R52" i="23"/>
  <c r="AI52" i="23" s="1"/>
  <c r="T52" i="23"/>
  <c r="AL52" i="23" s="1"/>
  <c r="D52" i="23"/>
  <c r="AA52" i="23"/>
  <c r="AY52" i="23" s="1"/>
  <c r="O53" i="23"/>
  <c r="BZ53" i="23"/>
  <c r="CA53" i="23" s="1"/>
  <c r="AC53" i="23"/>
  <c r="AK53" i="23"/>
  <c r="I53" i="23"/>
  <c r="X53" i="23"/>
  <c r="AH53" i="23"/>
  <c r="Z53" i="23"/>
  <c r="B54" i="23"/>
  <c r="BT54" i="23" s="1"/>
  <c r="Q53" i="23"/>
  <c r="C53" i="23"/>
  <c r="BA53" i="23"/>
  <c r="AT53" i="23"/>
  <c r="AX53" i="23"/>
  <c r="BY53" i="23"/>
  <c r="AE53" i="23"/>
  <c r="S53" i="23"/>
  <c r="BX53" i="23"/>
  <c r="J52" i="23"/>
  <c r="M52" i="23"/>
  <c r="BB52" i="23" s="1"/>
  <c r="AN52" i="23"/>
  <c r="AQ52" i="23"/>
  <c r="AW51" i="23"/>
  <c r="BG51" i="23" s="1"/>
  <c r="P52" i="23"/>
  <c r="AG52" i="23" s="1"/>
  <c r="N52" i="23"/>
  <c r="AF51" i="23"/>
  <c r="G73" i="23"/>
  <c r="E73" i="23"/>
  <c r="F73" i="23"/>
  <c r="CE50" i="2"/>
  <c r="AJ49" i="2"/>
  <c r="AL49" i="2"/>
  <c r="AA49" i="2"/>
  <c r="AX49" i="2" s="1"/>
  <c r="AW48" i="2"/>
  <c r="E39" i="19"/>
  <c r="BS47" i="2"/>
  <c r="BK48" i="2"/>
  <c r="BJ48" i="2"/>
  <c r="BD48" i="2"/>
  <c r="BC48" i="2"/>
  <c r="AT48" i="2"/>
  <c r="G55" i="14"/>
  <c r="AT47" i="2"/>
  <c r="AU47" i="2"/>
  <c r="AU48" i="2"/>
  <c r="AY49" i="2"/>
  <c r="H49" i="2"/>
  <c r="AR42" i="2"/>
  <c r="BH48" i="2"/>
  <c r="BG48" i="2"/>
  <c r="BF48" i="2" s="1"/>
  <c r="I50" i="20"/>
  <c r="H50" i="20"/>
  <c r="A51" i="20"/>
  <c r="E51" i="20" s="1"/>
  <c r="G49" i="2"/>
  <c r="F49" i="2"/>
  <c r="F56" i="14"/>
  <c r="U48" i="2"/>
  <c r="E56" i="14"/>
  <c r="W49" i="2"/>
  <c r="A50" i="19"/>
  <c r="B46" i="19"/>
  <c r="B57" i="14"/>
  <c r="A58" i="14"/>
  <c r="Y49" i="2"/>
  <c r="G57" i="14" s="1"/>
  <c r="C54" i="14"/>
  <c r="H48" i="14"/>
  <c r="P42" i="3"/>
  <c r="R42" i="3"/>
  <c r="Q42" i="3"/>
  <c r="AQ43" i="2"/>
  <c r="K43" i="3"/>
  <c r="L43" i="3"/>
  <c r="A44" i="3"/>
  <c r="M43" i="3"/>
  <c r="I43" i="3"/>
  <c r="N43" i="3"/>
  <c r="J43" i="3"/>
  <c r="BV53" i="23" l="1"/>
  <c r="N207" i="32"/>
  <c r="R205" i="32"/>
  <c r="A94" i="30"/>
  <c r="BC52" i="29"/>
  <c r="BD52" i="29"/>
  <c r="AR52" i="29"/>
  <c r="BK52" i="29"/>
  <c r="BG52" i="29"/>
  <c r="BF52" i="29" s="1"/>
  <c r="G53" i="29"/>
  <c r="F53" i="29"/>
  <c r="H53" i="29"/>
  <c r="AO53" i="29"/>
  <c r="BO53" i="29" s="1"/>
  <c r="AW52" i="29"/>
  <c r="W53" i="29"/>
  <c r="U53" i="29"/>
  <c r="AB53" i="29"/>
  <c r="AA53" i="29"/>
  <c r="AX53" i="29" s="1"/>
  <c r="AL53" i="29"/>
  <c r="BK53" i="29" s="1"/>
  <c r="AJ53" i="29"/>
  <c r="BH53" i="29" s="1"/>
  <c r="Y53" i="29"/>
  <c r="AU53" i="29" s="1"/>
  <c r="AI54" i="29"/>
  <c r="AV54" i="29"/>
  <c r="R54" i="29"/>
  <c r="T54" i="29" s="1"/>
  <c r="Q54" i="29" s="1"/>
  <c r="AP54" i="29"/>
  <c r="CI54" i="29"/>
  <c r="AS54" i="29"/>
  <c r="V54" i="29"/>
  <c r="L54" i="29"/>
  <c r="AG54" i="29" s="1"/>
  <c r="B55" i="29"/>
  <c r="CD55" i="29" s="1"/>
  <c r="AN54" i="29"/>
  <c r="N54" i="29"/>
  <c r="M54" i="29"/>
  <c r="CE54" i="29"/>
  <c r="CF54" i="29" s="1"/>
  <c r="P54" i="29"/>
  <c r="AK54" i="29"/>
  <c r="CH54" i="29"/>
  <c r="K54" i="29"/>
  <c r="J54" i="29"/>
  <c r="I54" i="29"/>
  <c r="BI54" i="29"/>
  <c r="S54" i="29"/>
  <c r="BL54" i="29"/>
  <c r="C54" i="29"/>
  <c r="CJ54" i="29"/>
  <c r="CK54" i="29" s="1"/>
  <c r="E54" i="29"/>
  <c r="BE54" i="29"/>
  <c r="BB53" i="29"/>
  <c r="BC53" i="29" s="1"/>
  <c r="AY53" i="29"/>
  <c r="BM53" i="29"/>
  <c r="X52" i="29"/>
  <c r="Z52" i="29"/>
  <c r="AT52" i="29"/>
  <c r="AB54" i="2"/>
  <c r="AI55" i="2"/>
  <c r="AK55" i="2"/>
  <c r="Z49" i="2"/>
  <c r="X49" i="2"/>
  <c r="V55" i="2"/>
  <c r="L55" i="2"/>
  <c r="S55" i="2"/>
  <c r="K55" i="2"/>
  <c r="J55" i="2"/>
  <c r="I55" i="2"/>
  <c r="M55" i="2"/>
  <c r="N55" i="2"/>
  <c r="C55" i="2"/>
  <c r="AP55" i="2"/>
  <c r="E55" i="2"/>
  <c r="AS55" i="2"/>
  <c r="BB55" i="2" s="1"/>
  <c r="BL55" i="2"/>
  <c r="BI55" i="2"/>
  <c r="AV55" i="2"/>
  <c r="BE55" i="2"/>
  <c r="B56" i="2"/>
  <c r="P51" i="2"/>
  <c r="T50" i="2"/>
  <c r="Q50" i="2" s="1"/>
  <c r="BM49" i="2"/>
  <c r="AG51" i="2"/>
  <c r="BU54" i="23"/>
  <c r="K54" i="23"/>
  <c r="L54" i="23" s="1"/>
  <c r="AJ52" i="23"/>
  <c r="R51" i="2"/>
  <c r="AD52" i="23"/>
  <c r="BD52" i="23" s="1"/>
  <c r="AM52" i="23"/>
  <c r="BG52" i="23"/>
  <c r="AF52" i="23"/>
  <c r="J53" i="23"/>
  <c r="M53" i="23"/>
  <c r="AD53" i="23" s="1"/>
  <c r="BD53" i="23" s="1"/>
  <c r="D53" i="23"/>
  <c r="Y53" i="23"/>
  <c r="AV53" i="23" s="1"/>
  <c r="AU53" i="23" s="1"/>
  <c r="AA53" i="23"/>
  <c r="AY53" i="23" s="1"/>
  <c r="T53" i="23"/>
  <c r="AL53" i="23" s="1"/>
  <c r="R53" i="23"/>
  <c r="AJ53" i="23" s="1"/>
  <c r="AR52" i="23"/>
  <c r="AS52" i="23"/>
  <c r="AV52" i="23"/>
  <c r="AU52" i="23" s="1"/>
  <c r="Z54" i="23"/>
  <c r="X54" i="23"/>
  <c r="AH54" i="23"/>
  <c r="BA54" i="23"/>
  <c r="AK54" i="23"/>
  <c r="B55" i="23"/>
  <c r="BT55" i="23" s="1"/>
  <c r="BX54" i="23"/>
  <c r="AT54" i="23"/>
  <c r="I54" i="23"/>
  <c r="S54" i="23"/>
  <c r="AC54" i="23"/>
  <c r="BY54" i="23"/>
  <c r="O54" i="23"/>
  <c r="BZ54" i="23"/>
  <c r="CA54" i="23" s="1"/>
  <c r="Q54" i="23"/>
  <c r="AE54" i="23"/>
  <c r="AX54" i="23"/>
  <c r="C54" i="23"/>
  <c r="P53" i="23"/>
  <c r="AG53" i="23" s="1"/>
  <c r="N53" i="23"/>
  <c r="AZ52" i="23"/>
  <c r="AQ53" i="23"/>
  <c r="AN53" i="23"/>
  <c r="F74" i="23"/>
  <c r="G74" i="23"/>
  <c r="E74" i="23"/>
  <c r="CE51" i="2"/>
  <c r="AL50" i="2"/>
  <c r="AA50" i="2"/>
  <c r="AW50" i="2" s="1"/>
  <c r="AJ50" i="2"/>
  <c r="AW49" i="2"/>
  <c r="BS48" i="2"/>
  <c r="BK49" i="2"/>
  <c r="BJ49" i="2"/>
  <c r="BD49" i="2"/>
  <c r="BC49" i="2"/>
  <c r="AT49" i="2"/>
  <c r="AU49" i="2"/>
  <c r="H50" i="2"/>
  <c r="AY50" i="2"/>
  <c r="AR43" i="2"/>
  <c r="BH49" i="2"/>
  <c r="BG49" i="2"/>
  <c r="BF49" i="2" s="1"/>
  <c r="H51" i="20"/>
  <c r="I51" i="20"/>
  <c r="A52" i="20"/>
  <c r="E52" i="20" s="1"/>
  <c r="G50" i="2"/>
  <c r="F50" i="2"/>
  <c r="F57" i="14"/>
  <c r="U49" i="2"/>
  <c r="E57" i="14"/>
  <c r="W50" i="2"/>
  <c r="A51" i="19"/>
  <c r="B47" i="19"/>
  <c r="B58" i="14"/>
  <c r="D54" i="14"/>
  <c r="A59" i="14"/>
  <c r="BR40" i="2"/>
  <c r="J49" i="14"/>
  <c r="C55" i="14"/>
  <c r="I49" i="14"/>
  <c r="I50" i="14"/>
  <c r="J50" i="14"/>
  <c r="H49" i="14"/>
  <c r="P43" i="3"/>
  <c r="R43" i="3"/>
  <c r="Q43" i="3"/>
  <c r="BR41" i="2"/>
  <c r="AQ44" i="2"/>
  <c r="K44" i="3"/>
  <c r="L44" i="3"/>
  <c r="A45" i="3"/>
  <c r="M44" i="3"/>
  <c r="I44" i="3"/>
  <c r="N44" i="3"/>
  <c r="J44" i="3"/>
  <c r="BV54" i="23" l="1"/>
  <c r="N209" i="32"/>
  <c r="R207" i="32"/>
  <c r="A95" i="30"/>
  <c r="BD53" i="29"/>
  <c r="AT53" i="29"/>
  <c r="BS52" i="29"/>
  <c r="BG53" i="29"/>
  <c r="BF53" i="29" s="1"/>
  <c r="BS53" i="29" s="1"/>
  <c r="AA54" i="29"/>
  <c r="AW54" i="29" s="1"/>
  <c r="AB54" i="29"/>
  <c r="AL54" i="29"/>
  <c r="BK54" i="29" s="1"/>
  <c r="Y54" i="29"/>
  <c r="AU54" i="29" s="1"/>
  <c r="AJ54" i="29"/>
  <c r="BH54" i="29" s="1"/>
  <c r="W54" i="29"/>
  <c r="AR54" i="29" s="1"/>
  <c r="U54" i="29"/>
  <c r="BM54" i="29"/>
  <c r="AO54" i="29"/>
  <c r="BO54" i="29" s="1"/>
  <c r="BB54" i="29"/>
  <c r="BD54" i="29" s="1"/>
  <c r="AY54" i="29"/>
  <c r="BJ53" i="29"/>
  <c r="BR53" i="29" s="1"/>
  <c r="V55" i="29"/>
  <c r="S55" i="29"/>
  <c r="J55" i="29"/>
  <c r="I55" i="29"/>
  <c r="BI55" i="29"/>
  <c r="B56" i="29"/>
  <c r="CD56" i="29" s="1"/>
  <c r="AN55" i="29"/>
  <c r="AK55" i="29"/>
  <c r="CJ55" i="29"/>
  <c r="CK55" i="29" s="1"/>
  <c r="E55" i="29"/>
  <c r="BE55" i="29"/>
  <c r="CH55" i="29"/>
  <c r="K55" i="29"/>
  <c r="L55" i="29"/>
  <c r="AG55" i="29" s="1"/>
  <c r="R55" i="29"/>
  <c r="T55" i="29" s="1"/>
  <c r="Q55" i="29" s="1"/>
  <c r="AP55" i="29"/>
  <c r="CI55" i="29"/>
  <c r="AS55" i="29"/>
  <c r="BL55" i="29"/>
  <c r="C55" i="29"/>
  <c r="AI55" i="29"/>
  <c r="N55" i="29"/>
  <c r="M55" i="29"/>
  <c r="CE55" i="29"/>
  <c r="CF55" i="29" s="1"/>
  <c r="P55" i="29"/>
  <c r="AV55" i="29"/>
  <c r="Z53" i="29"/>
  <c r="X53" i="29"/>
  <c r="AQ53" i="29"/>
  <c r="F54" i="29"/>
  <c r="H54" i="29"/>
  <c r="G54" i="29"/>
  <c r="AW53" i="29"/>
  <c r="AR53" i="29"/>
  <c r="AB55" i="2"/>
  <c r="AK56" i="2"/>
  <c r="AI56" i="2"/>
  <c r="V56" i="2"/>
  <c r="S56" i="2"/>
  <c r="L56" i="2"/>
  <c r="Z50" i="2"/>
  <c r="X50" i="2"/>
  <c r="K56" i="2"/>
  <c r="J56" i="2"/>
  <c r="I56" i="2"/>
  <c r="M56" i="2"/>
  <c r="N56" i="2"/>
  <c r="C56" i="2"/>
  <c r="BL56" i="2"/>
  <c r="AV56" i="2"/>
  <c r="BI56" i="2"/>
  <c r="AS56" i="2"/>
  <c r="BB56" i="2" s="1"/>
  <c r="B57" i="2"/>
  <c r="BE56" i="2"/>
  <c r="AP56" i="2"/>
  <c r="E56" i="2"/>
  <c r="BM50" i="2"/>
  <c r="P52" i="2"/>
  <c r="T51" i="2"/>
  <c r="Q51" i="2" s="1"/>
  <c r="AG52" i="2"/>
  <c r="BU55" i="23"/>
  <c r="K55" i="23"/>
  <c r="L55" i="23" s="1"/>
  <c r="BB53" i="23"/>
  <c r="R52" i="2"/>
  <c r="AZ53" i="23"/>
  <c r="BH53" i="23" s="1"/>
  <c r="AF53" i="23"/>
  <c r="AW53" i="23"/>
  <c r="BG53" i="23" s="1"/>
  <c r="AQ54" i="23"/>
  <c r="AN54" i="23"/>
  <c r="AA54" i="23"/>
  <c r="AZ54" i="23" s="1"/>
  <c r="D54" i="23"/>
  <c r="R54" i="23"/>
  <c r="AI54" i="23" s="1"/>
  <c r="Y54" i="23"/>
  <c r="AW54" i="23" s="1"/>
  <c r="T54" i="23"/>
  <c r="AM54" i="23" s="1"/>
  <c r="AM53" i="23"/>
  <c r="P54" i="23"/>
  <c r="AF54" i="23" s="1"/>
  <c r="N54" i="23"/>
  <c r="AT55" i="23"/>
  <c r="AE55" i="23"/>
  <c r="O55" i="23"/>
  <c r="I55" i="23"/>
  <c r="AH55" i="23"/>
  <c r="BX55" i="23"/>
  <c r="Q55" i="23"/>
  <c r="S55" i="23"/>
  <c r="AK55" i="23"/>
  <c r="BZ55" i="23"/>
  <c r="CA55" i="23" s="1"/>
  <c r="C55" i="23"/>
  <c r="AX55" i="23"/>
  <c r="B56" i="23"/>
  <c r="BT56" i="23" s="1"/>
  <c r="AC55" i="23"/>
  <c r="Z55" i="23"/>
  <c r="BA55" i="23"/>
  <c r="BY55" i="23"/>
  <c r="X55" i="23"/>
  <c r="AS53" i="23"/>
  <c r="AR53" i="23"/>
  <c r="BH52" i="23"/>
  <c r="AI53" i="23"/>
  <c r="M54" i="23"/>
  <c r="AD54" i="23" s="1"/>
  <c r="BD54" i="23" s="1"/>
  <c r="J54" i="23"/>
  <c r="E75" i="23"/>
  <c r="F75" i="23"/>
  <c r="G75" i="23"/>
  <c r="CE52" i="2"/>
  <c r="AL51" i="2"/>
  <c r="AA51" i="2"/>
  <c r="AX51" i="2" s="1"/>
  <c r="AJ51" i="2"/>
  <c r="AX50" i="2"/>
  <c r="BS49" i="2"/>
  <c r="E40" i="19"/>
  <c r="E41" i="19"/>
  <c r="BK50" i="2"/>
  <c r="BJ50" i="2"/>
  <c r="BD50" i="2"/>
  <c r="BC50" i="2"/>
  <c r="AR44" i="2"/>
  <c r="H51" i="2"/>
  <c r="AY51" i="2"/>
  <c r="BH50" i="2"/>
  <c r="BG50" i="2"/>
  <c r="BF50" i="2" s="1"/>
  <c r="H52" i="20"/>
  <c r="I52" i="20"/>
  <c r="A53" i="20"/>
  <c r="E53" i="20" s="1"/>
  <c r="E58" i="14"/>
  <c r="G51" i="2"/>
  <c r="F51" i="2"/>
  <c r="F58" i="14"/>
  <c r="U50" i="2"/>
  <c r="W51" i="2"/>
  <c r="A52" i="19"/>
  <c r="B48" i="19"/>
  <c r="D55" i="14"/>
  <c r="A60" i="14"/>
  <c r="B59" i="14"/>
  <c r="Y50" i="2"/>
  <c r="BR42" i="2"/>
  <c r="C56" i="14"/>
  <c r="J51" i="14"/>
  <c r="H50" i="14"/>
  <c r="Q44" i="3"/>
  <c r="P44" i="3"/>
  <c r="R44" i="3"/>
  <c r="AQ45" i="2"/>
  <c r="K45" i="3"/>
  <c r="L45" i="3"/>
  <c r="A46" i="3"/>
  <c r="M45" i="3"/>
  <c r="I45" i="3"/>
  <c r="J45" i="3"/>
  <c r="N45" i="3"/>
  <c r="BV55" i="23" l="1"/>
  <c r="R209" i="32"/>
  <c r="N211" i="32"/>
  <c r="A96" i="30"/>
  <c r="BJ54" i="29"/>
  <c r="BR54" i="29" s="1"/>
  <c r="BM55" i="29"/>
  <c r="AX54" i="29"/>
  <c r="AT54" i="29"/>
  <c r="BC54" i="29"/>
  <c r="AQ54" i="29"/>
  <c r="BG54" i="29"/>
  <c r="BF54" i="29" s="1"/>
  <c r="BS54" i="29" s="1"/>
  <c r="AO55" i="29"/>
  <c r="BO55" i="29" s="1"/>
  <c r="BB55" i="29"/>
  <c r="BC55" i="29" s="1"/>
  <c r="AY55" i="29"/>
  <c r="F55" i="29"/>
  <c r="H55" i="29"/>
  <c r="G55" i="29"/>
  <c r="S56" i="29"/>
  <c r="L56" i="29"/>
  <c r="AP56" i="29"/>
  <c r="CI56" i="29"/>
  <c r="AS56" i="29"/>
  <c r="CH56" i="29"/>
  <c r="K56" i="29"/>
  <c r="J56" i="29"/>
  <c r="AI56" i="29"/>
  <c r="M56" i="29"/>
  <c r="CE56" i="29"/>
  <c r="CF56" i="29" s="1"/>
  <c r="P56" i="29"/>
  <c r="BL56" i="29"/>
  <c r="C56" i="29"/>
  <c r="V56" i="29"/>
  <c r="I56" i="29"/>
  <c r="BI56" i="29"/>
  <c r="AG56" i="29"/>
  <c r="AV56" i="29"/>
  <c r="R56" i="29"/>
  <c r="T56" i="29" s="1"/>
  <c r="Q56" i="29" s="1"/>
  <c r="AK56" i="29"/>
  <c r="CJ56" i="29"/>
  <c r="CK56" i="29" s="1"/>
  <c r="E56" i="29"/>
  <c r="BE56" i="29"/>
  <c r="B57" i="29"/>
  <c r="CD57" i="29" s="1"/>
  <c r="AN56" i="29"/>
  <c r="N56" i="29"/>
  <c r="U55" i="29"/>
  <c r="W55" i="29"/>
  <c r="AQ55" i="29" s="1"/>
  <c r="X54" i="29"/>
  <c r="Z54" i="29"/>
  <c r="AB55" i="29"/>
  <c r="AL55" i="29"/>
  <c r="BJ55" i="29" s="1"/>
  <c r="AA55" i="29"/>
  <c r="AW55" i="29" s="1"/>
  <c r="Y55" i="29"/>
  <c r="AT55" i="29" s="1"/>
  <c r="AJ55" i="29"/>
  <c r="BH55" i="29" s="1"/>
  <c r="AB56" i="2"/>
  <c r="AK57" i="2"/>
  <c r="AI57" i="2"/>
  <c r="V57" i="2"/>
  <c r="S57" i="2"/>
  <c r="L57" i="2"/>
  <c r="X51" i="2"/>
  <c r="Z51" i="2"/>
  <c r="K57" i="2"/>
  <c r="J57" i="2"/>
  <c r="I57" i="2"/>
  <c r="M57" i="2"/>
  <c r="N57" i="2"/>
  <c r="C57" i="2"/>
  <c r="BE57" i="2"/>
  <c r="AS57" i="2"/>
  <c r="BB57" i="2" s="1"/>
  <c r="AP57" i="2"/>
  <c r="B58" i="2"/>
  <c r="BL57" i="2"/>
  <c r="BI57" i="2"/>
  <c r="AV57" i="2"/>
  <c r="E57" i="2"/>
  <c r="P53" i="2"/>
  <c r="BM51" i="2"/>
  <c r="T52" i="2"/>
  <c r="Q52" i="2" s="1"/>
  <c r="AG53" i="2"/>
  <c r="AY54" i="23"/>
  <c r="BG54" i="23" s="1"/>
  <c r="BU56" i="23"/>
  <c r="K56" i="23"/>
  <c r="L56" i="23" s="1"/>
  <c r="BB54" i="23"/>
  <c r="R53" i="2"/>
  <c r="AL54" i="23"/>
  <c r="AG54" i="23"/>
  <c r="AV54" i="23"/>
  <c r="AU54" i="23" s="1"/>
  <c r="BH54" i="23" s="1"/>
  <c r="AJ54" i="23"/>
  <c r="AQ55" i="23"/>
  <c r="AN55" i="23"/>
  <c r="P55" i="23"/>
  <c r="AF55" i="23" s="1"/>
  <c r="N55" i="23"/>
  <c r="D55" i="23"/>
  <c r="R55" i="23"/>
  <c r="AI55" i="23" s="1"/>
  <c r="Y55" i="23"/>
  <c r="AW55" i="23" s="1"/>
  <c r="T55" i="23"/>
  <c r="AL55" i="23" s="1"/>
  <c r="AA55" i="23"/>
  <c r="AZ55" i="23" s="1"/>
  <c r="B57" i="23"/>
  <c r="BT57" i="23" s="1"/>
  <c r="AC56" i="23"/>
  <c r="AE56" i="23"/>
  <c r="BY56" i="23"/>
  <c r="Q56" i="23"/>
  <c r="BX56" i="23"/>
  <c r="X56" i="23"/>
  <c r="S56" i="23"/>
  <c r="AH56" i="23"/>
  <c r="Z56" i="23"/>
  <c r="AK56" i="23"/>
  <c r="C56" i="23"/>
  <c r="I56" i="23"/>
  <c r="O56" i="23"/>
  <c r="BZ56" i="23"/>
  <c r="CA56" i="23" s="1"/>
  <c r="BA56" i="23"/>
  <c r="AT56" i="23"/>
  <c r="AX56" i="23"/>
  <c r="J55" i="23"/>
  <c r="M55" i="23"/>
  <c r="BB55" i="23" s="1"/>
  <c r="AS54" i="23"/>
  <c r="AR54" i="23"/>
  <c r="E76" i="23"/>
  <c r="F76" i="23"/>
  <c r="G76" i="23"/>
  <c r="CE53" i="2"/>
  <c r="AJ52" i="2"/>
  <c r="AL52" i="2"/>
  <c r="AA52" i="2"/>
  <c r="AX52" i="2" s="1"/>
  <c r="AW51" i="2"/>
  <c r="E42" i="19"/>
  <c r="BS50" i="2"/>
  <c r="BK51" i="2"/>
  <c r="BJ51" i="2"/>
  <c r="BC51" i="2"/>
  <c r="BD51" i="2"/>
  <c r="G58" i="14"/>
  <c r="AU50" i="2"/>
  <c r="AT50" i="2"/>
  <c r="AY52" i="2"/>
  <c r="AR45" i="2"/>
  <c r="H52" i="2"/>
  <c r="BH51" i="2"/>
  <c r="BG51" i="2"/>
  <c r="BF51" i="2" s="1"/>
  <c r="H53" i="20"/>
  <c r="I53" i="20"/>
  <c r="A54" i="20"/>
  <c r="E54" i="20" s="1"/>
  <c r="F52" i="2"/>
  <c r="G52" i="2"/>
  <c r="E59" i="14"/>
  <c r="F59" i="14"/>
  <c r="U51" i="2"/>
  <c r="W52" i="2"/>
  <c r="A53" i="19"/>
  <c r="B49" i="19"/>
  <c r="D56" i="14"/>
  <c r="B60" i="14"/>
  <c r="A61" i="14"/>
  <c r="Y52" i="2"/>
  <c r="G60" i="14" s="1"/>
  <c r="Y51" i="2"/>
  <c r="BR43" i="2"/>
  <c r="C57" i="14"/>
  <c r="D57" i="14" s="1"/>
  <c r="I51" i="14"/>
  <c r="J52" i="14"/>
  <c r="H51" i="14"/>
  <c r="Q45" i="3"/>
  <c r="P45" i="3"/>
  <c r="R45" i="3"/>
  <c r="AQ46" i="2"/>
  <c r="K46" i="3"/>
  <c r="L46" i="3"/>
  <c r="A47" i="3"/>
  <c r="M46" i="3"/>
  <c r="I46" i="3"/>
  <c r="N46" i="3"/>
  <c r="J46" i="3"/>
  <c r="BV56" i="23" l="1"/>
  <c r="R211" i="32"/>
  <c r="N213" i="32"/>
  <c r="A97" i="30"/>
  <c r="BD55" i="29"/>
  <c r="AO56" i="29"/>
  <c r="BO56" i="29" s="1"/>
  <c r="AR55" i="29"/>
  <c r="BK55" i="29"/>
  <c r="AB56" i="29"/>
  <c r="AA56" i="29"/>
  <c r="AW56" i="29" s="1"/>
  <c r="Y56" i="29"/>
  <c r="AT56" i="29" s="1"/>
  <c r="AL56" i="29"/>
  <c r="BK56" i="29" s="1"/>
  <c r="AJ56" i="29"/>
  <c r="BG56" i="29" s="1"/>
  <c r="BF56" i="29" s="1"/>
  <c r="F56" i="29"/>
  <c r="H56" i="29"/>
  <c r="G56" i="29"/>
  <c r="BR55" i="29"/>
  <c r="V57" i="29"/>
  <c r="L57" i="29"/>
  <c r="CI57" i="29"/>
  <c r="AS57" i="29"/>
  <c r="BL57" i="29"/>
  <c r="C57" i="29"/>
  <c r="CJ57" i="29"/>
  <c r="CK57" i="29" s="1"/>
  <c r="E57" i="29"/>
  <c r="S57" i="29"/>
  <c r="CE57" i="29"/>
  <c r="CF57" i="29" s="1"/>
  <c r="P57" i="29"/>
  <c r="AV57" i="29"/>
  <c r="R57" i="29"/>
  <c r="T57" i="29" s="1"/>
  <c r="Q57" i="29" s="1"/>
  <c r="AP57" i="29"/>
  <c r="AI57" i="29"/>
  <c r="BI57" i="29"/>
  <c r="B58" i="29"/>
  <c r="CD58" i="29" s="1"/>
  <c r="AN57" i="29"/>
  <c r="N57" i="29"/>
  <c r="M57" i="29"/>
  <c r="AK57" i="29"/>
  <c r="BE57" i="29"/>
  <c r="CH57" i="29"/>
  <c r="K57" i="29"/>
  <c r="J57" i="29"/>
  <c r="I57" i="29"/>
  <c r="BM56" i="29"/>
  <c r="BB56" i="29"/>
  <c r="BD56" i="29" s="1"/>
  <c r="AY56" i="29"/>
  <c r="AX55" i="29"/>
  <c r="X55" i="29"/>
  <c r="Z55" i="29"/>
  <c r="AU55" i="29"/>
  <c r="U56" i="29"/>
  <c r="W56" i="29"/>
  <c r="AR56" i="29" s="1"/>
  <c r="BG55" i="29"/>
  <c r="BF55" i="29" s="1"/>
  <c r="AB57" i="2"/>
  <c r="AI58" i="2"/>
  <c r="AK58" i="2"/>
  <c r="V58" i="2"/>
  <c r="S58" i="2"/>
  <c r="L58" i="2"/>
  <c r="Z52" i="2"/>
  <c r="X52" i="2"/>
  <c r="K58" i="2"/>
  <c r="J58" i="2"/>
  <c r="I58" i="2"/>
  <c r="M58" i="2"/>
  <c r="N58" i="2"/>
  <c r="C58" i="2"/>
  <c r="BE58" i="2"/>
  <c r="AV58" i="2"/>
  <c r="B59" i="2"/>
  <c r="AP58" i="2"/>
  <c r="E58" i="2"/>
  <c r="BL58" i="2"/>
  <c r="BI58" i="2"/>
  <c r="AS58" i="2"/>
  <c r="BB58" i="2" s="1"/>
  <c r="P54" i="2"/>
  <c r="BM52" i="2"/>
  <c r="T53" i="2"/>
  <c r="Q53" i="2" s="1"/>
  <c r="AG54" i="2"/>
  <c r="BU57" i="23"/>
  <c r="K57" i="23"/>
  <c r="L57" i="23" s="1"/>
  <c r="R54" i="2"/>
  <c r="AY55" i="23"/>
  <c r="BG55" i="23" s="1"/>
  <c r="AJ55" i="23"/>
  <c r="Y56" i="23"/>
  <c r="AW56" i="23" s="1"/>
  <c r="AA56" i="23"/>
  <c r="AZ56" i="23" s="1"/>
  <c r="R56" i="23"/>
  <c r="AI56" i="23" s="1"/>
  <c r="T56" i="23"/>
  <c r="AM56" i="23" s="1"/>
  <c r="D56" i="23"/>
  <c r="AN56" i="23"/>
  <c r="AQ56" i="23"/>
  <c r="AG55" i="23"/>
  <c r="AM55" i="23"/>
  <c r="BA57" i="23"/>
  <c r="B58" i="23"/>
  <c r="BT58" i="23" s="1"/>
  <c r="Z57" i="23"/>
  <c r="Q57" i="23"/>
  <c r="O57" i="23"/>
  <c r="AE57" i="23"/>
  <c r="X57" i="23"/>
  <c r="AX57" i="23"/>
  <c r="S57" i="23"/>
  <c r="AK57" i="23"/>
  <c r="BZ57" i="23"/>
  <c r="CA57" i="23" s="1"/>
  <c r="AH57" i="23"/>
  <c r="BX57" i="23"/>
  <c r="C57" i="23"/>
  <c r="BY57" i="23"/>
  <c r="AC57" i="23"/>
  <c r="I57" i="23"/>
  <c r="AT57" i="23"/>
  <c r="AV55" i="23"/>
  <c r="AU55" i="23" s="1"/>
  <c r="BH55" i="23" s="1"/>
  <c r="J56" i="23"/>
  <c r="M56" i="23"/>
  <c r="AD56" i="23" s="1"/>
  <c r="BD56" i="23" s="1"/>
  <c r="N56" i="23"/>
  <c r="P56" i="23"/>
  <c r="AG56" i="23" s="1"/>
  <c r="AD55" i="23"/>
  <c r="BD55" i="23" s="1"/>
  <c r="AR55" i="23"/>
  <c r="AS55" i="23"/>
  <c r="G77" i="23"/>
  <c r="F77" i="23"/>
  <c r="E77" i="23"/>
  <c r="CE54" i="2"/>
  <c r="AJ53" i="2"/>
  <c r="AL53" i="2"/>
  <c r="AA53" i="2"/>
  <c r="AX53" i="2" s="1"/>
  <c r="AW52" i="2"/>
  <c r="E43" i="19"/>
  <c r="BS51" i="2"/>
  <c r="BK52" i="2"/>
  <c r="BJ52" i="2"/>
  <c r="BD52" i="2"/>
  <c r="BC52" i="2"/>
  <c r="AT52" i="2"/>
  <c r="G59" i="14"/>
  <c r="AT51" i="2"/>
  <c r="AU51" i="2"/>
  <c r="AU52" i="2"/>
  <c r="AR46" i="2"/>
  <c r="H53" i="2"/>
  <c r="AY53" i="2"/>
  <c r="BH52" i="2"/>
  <c r="BG52" i="2"/>
  <c r="BF52" i="2" s="1"/>
  <c r="H54" i="20"/>
  <c r="I54" i="20"/>
  <c r="A55" i="20"/>
  <c r="E55" i="20" s="1"/>
  <c r="G53" i="2"/>
  <c r="F53" i="2"/>
  <c r="E60" i="14"/>
  <c r="F60" i="14"/>
  <c r="U52" i="2"/>
  <c r="W53" i="2"/>
  <c r="A54" i="19"/>
  <c r="B50" i="19"/>
  <c r="B61" i="14"/>
  <c r="A62" i="14"/>
  <c r="I52" i="14"/>
  <c r="BR44" i="2"/>
  <c r="C58" i="14"/>
  <c r="D58" i="14" s="1"/>
  <c r="J53" i="14"/>
  <c r="I53" i="14"/>
  <c r="H52" i="14"/>
  <c r="P46" i="3"/>
  <c r="R46" i="3"/>
  <c r="Q46" i="3"/>
  <c r="AQ47" i="2"/>
  <c r="K47" i="3"/>
  <c r="L47" i="3"/>
  <c r="A48" i="3"/>
  <c r="M47" i="3"/>
  <c r="I47" i="3"/>
  <c r="J47" i="3"/>
  <c r="N47" i="3"/>
  <c r="BV57" i="23" l="1"/>
  <c r="R213" i="32"/>
  <c r="N215" i="32"/>
  <c r="A98" i="30"/>
  <c r="BS55" i="29"/>
  <c r="AX56" i="29"/>
  <c r="BJ56" i="29"/>
  <c r="BS56" i="29"/>
  <c r="BH56" i="29"/>
  <c r="BC56" i="29"/>
  <c r="AU56" i="29"/>
  <c r="S58" i="29"/>
  <c r="BL58" i="29"/>
  <c r="C58" i="29"/>
  <c r="CJ58" i="29"/>
  <c r="CK58" i="29" s="1"/>
  <c r="E58" i="29"/>
  <c r="BE58" i="29"/>
  <c r="AI58" i="29"/>
  <c r="AV58" i="29"/>
  <c r="R58" i="29"/>
  <c r="T58" i="29" s="1"/>
  <c r="Q58" i="29" s="1"/>
  <c r="AP58" i="29"/>
  <c r="CI58" i="29"/>
  <c r="AS58" i="29"/>
  <c r="AK58" i="29"/>
  <c r="B59" i="29"/>
  <c r="CD59" i="29" s="1"/>
  <c r="AN58" i="29"/>
  <c r="N58" i="29"/>
  <c r="M58" i="29"/>
  <c r="CE58" i="29"/>
  <c r="CF58" i="29" s="1"/>
  <c r="P58" i="29"/>
  <c r="V58" i="29"/>
  <c r="L58" i="29"/>
  <c r="AG58" i="29" s="1"/>
  <c r="CH58" i="29"/>
  <c r="K58" i="29"/>
  <c r="J58" i="29"/>
  <c r="I58" i="29"/>
  <c r="BI58" i="29"/>
  <c r="BM57" i="29"/>
  <c r="W57" i="29"/>
  <c r="U57" i="29"/>
  <c r="AY57" i="29"/>
  <c r="BB57" i="29"/>
  <c r="AQ56" i="29"/>
  <c r="Z56" i="29"/>
  <c r="X56" i="29"/>
  <c r="AO57" i="29"/>
  <c r="BO57" i="29" s="1"/>
  <c r="AJ57" i="29"/>
  <c r="BH57" i="29" s="1"/>
  <c r="Y57" i="29"/>
  <c r="AU57" i="29" s="1"/>
  <c r="AB57" i="29"/>
  <c r="AA57" i="29"/>
  <c r="AW57" i="29" s="1"/>
  <c r="AL57" i="29"/>
  <c r="BK57" i="29" s="1"/>
  <c r="AG57" i="29"/>
  <c r="F57" i="29"/>
  <c r="H57" i="29"/>
  <c r="G57" i="29"/>
  <c r="AB58" i="2"/>
  <c r="AI59" i="2"/>
  <c r="AK59" i="2"/>
  <c r="Z53" i="2"/>
  <c r="X53" i="2"/>
  <c r="V59" i="2"/>
  <c r="L59" i="2"/>
  <c r="S59" i="2"/>
  <c r="K59" i="2"/>
  <c r="J59" i="2"/>
  <c r="I59" i="2"/>
  <c r="M59" i="2"/>
  <c r="N59" i="2"/>
  <c r="C59" i="2"/>
  <c r="BI59" i="2"/>
  <c r="AV59" i="2"/>
  <c r="B60" i="2"/>
  <c r="BE59" i="2"/>
  <c r="AP59" i="2"/>
  <c r="E59" i="2"/>
  <c r="BL59" i="2"/>
  <c r="AS59" i="2"/>
  <c r="BB59" i="2" s="1"/>
  <c r="P55" i="2"/>
  <c r="BM53" i="2"/>
  <c r="T54" i="2"/>
  <c r="Q54" i="2" s="1"/>
  <c r="AG55" i="2"/>
  <c r="BU58" i="23"/>
  <c r="K58" i="23"/>
  <c r="L58" i="23" s="1"/>
  <c r="BB56" i="23"/>
  <c r="AV56" i="23"/>
  <c r="AU56" i="23" s="1"/>
  <c r="BH56" i="23" s="1"/>
  <c r="R55" i="2"/>
  <c r="AJ56" i="23"/>
  <c r="AL56" i="23"/>
  <c r="AF56" i="23"/>
  <c r="R57" i="23"/>
  <c r="AI57" i="23" s="1"/>
  <c r="Y57" i="23"/>
  <c r="AW57" i="23" s="1"/>
  <c r="D57" i="23"/>
  <c r="T57" i="23"/>
  <c r="AM57" i="23" s="1"/>
  <c r="AA57" i="23"/>
  <c r="AY57" i="23" s="1"/>
  <c r="AY56" i="23"/>
  <c r="BG56" i="23" s="1"/>
  <c r="AN57" i="23"/>
  <c r="AQ57" i="23"/>
  <c r="J57" i="23"/>
  <c r="M57" i="23"/>
  <c r="BB57" i="23" s="1"/>
  <c r="P57" i="23"/>
  <c r="AF57" i="23" s="1"/>
  <c r="N57" i="23"/>
  <c r="Z58" i="23"/>
  <c r="AK58" i="23"/>
  <c r="X58" i="23"/>
  <c r="Q58" i="23"/>
  <c r="I58" i="23"/>
  <c r="B59" i="23"/>
  <c r="BT59" i="23" s="1"/>
  <c r="BZ58" i="23"/>
  <c r="CA58" i="23" s="1"/>
  <c r="BX58" i="23"/>
  <c r="C58" i="23"/>
  <c r="AX58" i="23"/>
  <c r="BY58" i="23"/>
  <c r="O58" i="23"/>
  <c r="S58" i="23"/>
  <c r="AE58" i="23"/>
  <c r="BA58" i="23"/>
  <c r="AT58" i="23"/>
  <c r="AH58" i="23"/>
  <c r="AC58" i="23"/>
  <c r="AS56" i="23"/>
  <c r="AR56" i="23"/>
  <c r="F78" i="23"/>
  <c r="G78" i="23"/>
  <c r="E78" i="23"/>
  <c r="CE55" i="2"/>
  <c r="AL54" i="2"/>
  <c r="AA54" i="2"/>
  <c r="AW54" i="2" s="1"/>
  <c r="AJ54" i="2"/>
  <c r="AW53" i="2"/>
  <c r="E44" i="19"/>
  <c r="BS52" i="2"/>
  <c r="BK53" i="2"/>
  <c r="BJ53" i="2"/>
  <c r="BD53" i="2"/>
  <c r="BC53" i="2"/>
  <c r="AY54" i="2"/>
  <c r="H54" i="2"/>
  <c r="AR47" i="2"/>
  <c r="H55" i="20"/>
  <c r="BH53" i="2"/>
  <c r="BG53" i="2"/>
  <c r="BF53" i="2" s="1"/>
  <c r="I55" i="20"/>
  <c r="A56" i="20"/>
  <c r="E56" i="20" s="1"/>
  <c r="E61" i="14"/>
  <c r="G54" i="2"/>
  <c r="F54" i="2"/>
  <c r="F61" i="14"/>
  <c r="U53" i="2"/>
  <c r="W54" i="2"/>
  <c r="B51" i="19"/>
  <c r="A55" i="19"/>
  <c r="A63" i="14"/>
  <c r="B62" i="14"/>
  <c r="Y53" i="2"/>
  <c r="C59" i="14"/>
  <c r="I54" i="14"/>
  <c r="H53" i="14"/>
  <c r="P47" i="3"/>
  <c r="Q47" i="3"/>
  <c r="R47" i="3"/>
  <c r="AQ48" i="2"/>
  <c r="K48" i="3"/>
  <c r="L48" i="3"/>
  <c r="A49" i="3"/>
  <c r="M48" i="3"/>
  <c r="I48" i="3"/>
  <c r="N48" i="3"/>
  <c r="J48" i="3"/>
  <c r="BV58" i="23" l="1"/>
  <c r="R215" i="32"/>
  <c r="N217" i="32"/>
  <c r="A99" i="30"/>
  <c r="BD57" i="29"/>
  <c r="BR56" i="29"/>
  <c r="BC57" i="29"/>
  <c r="AO58" i="29"/>
  <c r="BO58" i="29" s="1"/>
  <c r="Z57" i="29"/>
  <c r="X57" i="29"/>
  <c r="AJ58" i="29"/>
  <c r="BH58" i="29" s="1"/>
  <c r="AA58" i="29"/>
  <c r="AX58" i="29" s="1"/>
  <c r="AB58" i="29"/>
  <c r="AL58" i="29"/>
  <c r="BK58" i="29" s="1"/>
  <c r="Y58" i="29"/>
  <c r="AT58" i="29" s="1"/>
  <c r="BG57" i="29"/>
  <c r="BF57" i="29" s="1"/>
  <c r="BS57" i="29" s="1"/>
  <c r="AX57" i="29"/>
  <c r="BJ58" i="29"/>
  <c r="L59" i="29"/>
  <c r="AG59" i="29" s="1"/>
  <c r="J59" i="29"/>
  <c r="I59" i="29"/>
  <c r="BI59" i="29"/>
  <c r="B60" i="29"/>
  <c r="CD60" i="29" s="1"/>
  <c r="AN59" i="29"/>
  <c r="S59" i="29"/>
  <c r="CJ59" i="29"/>
  <c r="CK59" i="29" s="1"/>
  <c r="E59" i="29"/>
  <c r="BE59" i="29"/>
  <c r="CH59" i="29"/>
  <c r="K59" i="29"/>
  <c r="V59" i="29"/>
  <c r="AI59" i="29"/>
  <c r="R59" i="29"/>
  <c r="T59" i="29" s="1"/>
  <c r="Q59" i="29" s="1"/>
  <c r="AP59" i="29"/>
  <c r="CI59" i="29"/>
  <c r="AS59" i="29"/>
  <c r="BL59" i="29"/>
  <c r="BM59" i="29" s="1"/>
  <c r="C59" i="29"/>
  <c r="AK59" i="29"/>
  <c r="N59" i="29"/>
  <c r="M59" i="29"/>
  <c r="CE59" i="29"/>
  <c r="CF59" i="29" s="1"/>
  <c r="P59" i="29"/>
  <c r="AV59" i="29"/>
  <c r="BM58" i="29"/>
  <c r="AR57" i="29"/>
  <c r="AT57" i="29"/>
  <c r="BJ57" i="29"/>
  <c r="BR57" i="29" s="1"/>
  <c r="G58" i="29"/>
  <c r="F58" i="29"/>
  <c r="H58" i="29"/>
  <c r="AQ57" i="29"/>
  <c r="U58" i="29"/>
  <c r="W58" i="29"/>
  <c r="AR58" i="29" s="1"/>
  <c r="AY58" i="29"/>
  <c r="BB58" i="29"/>
  <c r="BD58" i="29" s="1"/>
  <c r="AB59" i="2"/>
  <c r="AI60" i="2"/>
  <c r="AK60" i="2"/>
  <c r="X54" i="2"/>
  <c r="Z54" i="2"/>
  <c r="V60" i="2"/>
  <c r="S60" i="2"/>
  <c r="L60" i="2"/>
  <c r="K60" i="2"/>
  <c r="J60" i="2"/>
  <c r="I60" i="2"/>
  <c r="M60" i="2"/>
  <c r="N60" i="2"/>
  <c r="C60" i="2"/>
  <c r="BE60" i="2"/>
  <c r="E60" i="2"/>
  <c r="AV60" i="2"/>
  <c r="AS60" i="2"/>
  <c r="BB60" i="2" s="1"/>
  <c r="B61" i="2"/>
  <c r="BI60" i="2"/>
  <c r="AP60" i="2"/>
  <c r="BL60" i="2"/>
  <c r="BM54" i="2"/>
  <c r="P56" i="2"/>
  <c r="T55" i="2"/>
  <c r="Q55" i="2" s="1"/>
  <c r="AG56" i="2"/>
  <c r="BU59" i="23"/>
  <c r="K59" i="23"/>
  <c r="L59" i="23" s="1"/>
  <c r="R56" i="2"/>
  <c r="AZ57" i="23"/>
  <c r="AJ57" i="23"/>
  <c r="AG57" i="23"/>
  <c r="AD57" i="23"/>
  <c r="BD57" i="23" s="1"/>
  <c r="BG57" i="23"/>
  <c r="AV57" i="23"/>
  <c r="AU57" i="23" s="1"/>
  <c r="N58" i="23"/>
  <c r="P58" i="23"/>
  <c r="AF58" i="23" s="1"/>
  <c r="R58" i="23"/>
  <c r="AI58" i="23" s="1"/>
  <c r="D58" i="23"/>
  <c r="T58" i="23"/>
  <c r="AM58" i="23" s="1"/>
  <c r="Y58" i="23"/>
  <c r="AW58" i="23" s="1"/>
  <c r="AA58" i="23"/>
  <c r="AZ58" i="23" s="1"/>
  <c r="M58" i="23"/>
  <c r="AD58" i="23" s="1"/>
  <c r="BD58" i="23" s="1"/>
  <c r="J58" i="23"/>
  <c r="AS57" i="23"/>
  <c r="AR57" i="23"/>
  <c r="AL57" i="23"/>
  <c r="AQ58" i="23"/>
  <c r="AN58" i="23"/>
  <c r="AK59" i="23"/>
  <c r="C59" i="23"/>
  <c r="AT59" i="23"/>
  <c r="BZ59" i="23"/>
  <c r="CA59" i="23" s="1"/>
  <c r="S59" i="23"/>
  <c r="AC59" i="23"/>
  <c r="AE59" i="23"/>
  <c r="BX59" i="23"/>
  <c r="X59" i="23"/>
  <c r="Q59" i="23"/>
  <c r="Z59" i="23"/>
  <c r="B60" i="23"/>
  <c r="BT60" i="23" s="1"/>
  <c r="AH59" i="23"/>
  <c r="BA59" i="23"/>
  <c r="AX59" i="23"/>
  <c r="O59" i="23"/>
  <c r="I59" i="23"/>
  <c r="BY59" i="23"/>
  <c r="E79" i="23"/>
  <c r="F79" i="23"/>
  <c r="G79" i="23"/>
  <c r="CE56" i="2"/>
  <c r="AX54" i="2"/>
  <c r="AL55" i="2"/>
  <c r="AA55" i="2"/>
  <c r="AX55" i="2" s="1"/>
  <c r="AJ55" i="2"/>
  <c r="BS53" i="2"/>
  <c r="BK54" i="2"/>
  <c r="BJ54" i="2"/>
  <c r="BD54" i="2"/>
  <c r="BC54" i="2"/>
  <c r="G61" i="14"/>
  <c r="AU53" i="2"/>
  <c r="AT53" i="2"/>
  <c r="AR48" i="2"/>
  <c r="AY55" i="2"/>
  <c r="H55" i="2"/>
  <c r="BH54" i="2"/>
  <c r="BG54" i="2"/>
  <c r="BF54" i="2" s="1"/>
  <c r="H56" i="20"/>
  <c r="I56" i="20"/>
  <c r="A57" i="20"/>
  <c r="E57" i="20" s="1"/>
  <c r="G55" i="2"/>
  <c r="F55" i="2"/>
  <c r="F62" i="14"/>
  <c r="U54" i="2"/>
  <c r="W55" i="2"/>
  <c r="E62" i="14"/>
  <c r="A56" i="19"/>
  <c r="A64" i="14"/>
  <c r="B52" i="19"/>
  <c r="D59" i="14"/>
  <c r="B63" i="14"/>
  <c r="BR45" i="2"/>
  <c r="Y54" i="2"/>
  <c r="BR46" i="2"/>
  <c r="Y55" i="2"/>
  <c r="G63" i="14" s="1"/>
  <c r="J54" i="14"/>
  <c r="C60" i="14"/>
  <c r="D60" i="14" s="1"/>
  <c r="H54" i="14"/>
  <c r="Q48" i="3"/>
  <c r="P48" i="3"/>
  <c r="R48" i="3"/>
  <c r="AQ49" i="2"/>
  <c r="K49" i="3"/>
  <c r="L49" i="3"/>
  <c r="A50" i="3"/>
  <c r="M49" i="3"/>
  <c r="I49" i="3"/>
  <c r="N49" i="3"/>
  <c r="J49" i="3"/>
  <c r="BV59" i="23" l="1"/>
  <c r="R217" i="32"/>
  <c r="N219" i="32"/>
  <c r="A100" i="30"/>
  <c r="AW58" i="29"/>
  <c r="BC58" i="29"/>
  <c r="BR58" i="29"/>
  <c r="AU58" i="29"/>
  <c r="BG58" i="29"/>
  <c r="BF58" i="29" s="1"/>
  <c r="BS58" i="29" s="1"/>
  <c r="AL59" i="29"/>
  <c r="BK59" i="29" s="1"/>
  <c r="AA59" i="29"/>
  <c r="AX59" i="29" s="1"/>
  <c r="Y59" i="29"/>
  <c r="AU59" i="29" s="1"/>
  <c r="AJ59" i="29"/>
  <c r="BG59" i="29" s="1"/>
  <c r="BF59" i="29" s="1"/>
  <c r="AB59" i="29"/>
  <c r="X58" i="29"/>
  <c r="Z58" i="29"/>
  <c r="AQ58" i="29"/>
  <c r="AY59" i="29"/>
  <c r="BB59" i="29"/>
  <c r="BD59" i="29" s="1"/>
  <c r="AO59" i="29"/>
  <c r="BO59" i="29" s="1"/>
  <c r="U59" i="29"/>
  <c r="W59" i="29"/>
  <c r="AI60" i="29"/>
  <c r="I60" i="29"/>
  <c r="BI60" i="29"/>
  <c r="B61" i="29"/>
  <c r="CD61" i="29" s="1"/>
  <c r="AN60" i="29"/>
  <c r="N60" i="29"/>
  <c r="AK60" i="29"/>
  <c r="CJ60" i="29"/>
  <c r="CK60" i="29" s="1"/>
  <c r="E60" i="29"/>
  <c r="BE60" i="29"/>
  <c r="CH60" i="29"/>
  <c r="K60" i="29"/>
  <c r="J60" i="29"/>
  <c r="V60" i="29"/>
  <c r="AP60" i="29"/>
  <c r="CI60" i="29"/>
  <c r="AS60" i="29"/>
  <c r="BL60" i="29"/>
  <c r="C60" i="29"/>
  <c r="S60" i="29"/>
  <c r="L60" i="29"/>
  <c r="AG60" i="29" s="1"/>
  <c r="M60" i="29"/>
  <c r="CE60" i="29"/>
  <c r="CF60" i="29" s="1"/>
  <c r="P60" i="29"/>
  <c r="AV60" i="29"/>
  <c r="R60" i="29"/>
  <c r="T60" i="29" s="1"/>
  <c r="Q60" i="29" s="1"/>
  <c r="H59" i="29"/>
  <c r="G59" i="29"/>
  <c r="F59" i="29"/>
  <c r="AB60" i="2"/>
  <c r="AK61" i="2"/>
  <c r="AI61" i="2"/>
  <c r="X55" i="2"/>
  <c r="Z55" i="2"/>
  <c r="S61" i="2"/>
  <c r="V61" i="2"/>
  <c r="L61" i="2"/>
  <c r="K61" i="2"/>
  <c r="J61" i="2"/>
  <c r="I61" i="2"/>
  <c r="M61" i="2"/>
  <c r="N61" i="2"/>
  <c r="C61" i="2"/>
  <c r="BE61" i="2"/>
  <c r="AP61" i="2"/>
  <c r="B62" i="2"/>
  <c r="AV61" i="2"/>
  <c r="BL61" i="2"/>
  <c r="BI61" i="2"/>
  <c r="AS61" i="2"/>
  <c r="BB61" i="2" s="1"/>
  <c r="E61" i="2"/>
  <c r="P57" i="2"/>
  <c r="BM55" i="2"/>
  <c r="T56" i="2"/>
  <c r="Q56" i="2" s="1"/>
  <c r="AG57" i="2"/>
  <c r="BU60" i="23"/>
  <c r="K60" i="23"/>
  <c r="L60" i="23" s="1"/>
  <c r="BB58" i="23"/>
  <c r="R57" i="2"/>
  <c r="BH57" i="23"/>
  <c r="AL58" i="23"/>
  <c r="AY58" i="23"/>
  <c r="BG58" i="23" s="1"/>
  <c r="AJ58" i="23"/>
  <c r="AQ59" i="23"/>
  <c r="AN59" i="23"/>
  <c r="AR58" i="23"/>
  <c r="AS58" i="23"/>
  <c r="P59" i="23"/>
  <c r="AG59" i="23" s="1"/>
  <c r="N59" i="23"/>
  <c r="BX60" i="23"/>
  <c r="X60" i="23"/>
  <c r="I60" i="23"/>
  <c r="Q60" i="23"/>
  <c r="AT60" i="23"/>
  <c r="AK60" i="23"/>
  <c r="S60" i="23"/>
  <c r="BA60" i="23"/>
  <c r="BY60" i="23"/>
  <c r="C60" i="23"/>
  <c r="AX60" i="23"/>
  <c r="B61" i="23"/>
  <c r="BT61" i="23" s="1"/>
  <c r="AC60" i="23"/>
  <c r="Z60" i="23"/>
  <c r="AH60" i="23"/>
  <c r="AE60" i="23"/>
  <c r="O60" i="23"/>
  <c r="BZ60" i="23"/>
  <c r="CA60" i="23" s="1"/>
  <c r="AG58" i="23"/>
  <c r="T59" i="23"/>
  <c r="AM59" i="23" s="1"/>
  <c r="R59" i="23"/>
  <c r="AJ59" i="23" s="1"/>
  <c r="Y59" i="23"/>
  <c r="AW59" i="23" s="1"/>
  <c r="AA59" i="23"/>
  <c r="AY59" i="23" s="1"/>
  <c r="D59" i="23"/>
  <c r="M59" i="23"/>
  <c r="AD59" i="23" s="1"/>
  <c r="BD59" i="23" s="1"/>
  <c r="J59" i="23"/>
  <c r="AV58" i="23"/>
  <c r="AU58" i="23" s="1"/>
  <c r="BH58" i="23" s="1"/>
  <c r="E80" i="23"/>
  <c r="G80" i="23"/>
  <c r="F80" i="23"/>
  <c r="CE57" i="2"/>
  <c r="AJ56" i="2"/>
  <c r="AL56" i="2"/>
  <c r="AA56" i="2"/>
  <c r="AX56" i="2" s="1"/>
  <c r="AW55" i="2"/>
  <c r="E46" i="19"/>
  <c r="E45" i="19"/>
  <c r="BS54" i="2"/>
  <c r="BK55" i="2"/>
  <c r="BJ55" i="2"/>
  <c r="BC55" i="2"/>
  <c r="BD55" i="2"/>
  <c r="G62" i="14"/>
  <c r="AU54" i="2"/>
  <c r="AT54" i="2"/>
  <c r="AT55" i="2"/>
  <c r="AU55" i="2"/>
  <c r="AR49" i="2"/>
  <c r="I57" i="20"/>
  <c r="H56" i="2"/>
  <c r="AY56" i="2"/>
  <c r="BH55" i="2"/>
  <c r="BG55" i="2"/>
  <c r="BF55" i="2" s="1"/>
  <c r="H57" i="20"/>
  <c r="A58" i="20"/>
  <c r="E58" i="20" s="1"/>
  <c r="F56" i="2"/>
  <c r="G56" i="2"/>
  <c r="E63" i="14"/>
  <c r="F63" i="14"/>
  <c r="U55" i="2"/>
  <c r="W56" i="2"/>
  <c r="A57" i="19"/>
  <c r="B53" i="19"/>
  <c r="A65" i="14"/>
  <c r="B64" i="14"/>
  <c r="J55" i="14"/>
  <c r="Y56" i="2"/>
  <c r="G64" i="14" s="1"/>
  <c r="C61" i="14"/>
  <c r="I55" i="14"/>
  <c r="I56" i="14"/>
  <c r="H55" i="14"/>
  <c r="Q49" i="3"/>
  <c r="R49" i="3"/>
  <c r="P49" i="3"/>
  <c r="BR47" i="2"/>
  <c r="AQ50" i="2"/>
  <c r="K50" i="3"/>
  <c r="L50" i="3"/>
  <c r="A51" i="3"/>
  <c r="M50" i="3"/>
  <c r="I50" i="3"/>
  <c r="N50" i="3"/>
  <c r="J50" i="3"/>
  <c r="BV60" i="23" l="1"/>
  <c r="R219" i="32"/>
  <c r="N221" i="32"/>
  <c r="A101" i="30"/>
  <c r="AW59" i="29"/>
  <c r="BJ59" i="29"/>
  <c r="BS59" i="29"/>
  <c r="AT59" i="29"/>
  <c r="BC59" i="29"/>
  <c r="BH59" i="29"/>
  <c r="AJ60" i="29"/>
  <c r="BH60" i="29" s="1"/>
  <c r="AB60" i="29"/>
  <c r="AA60" i="29"/>
  <c r="AW60" i="29" s="1"/>
  <c r="Y60" i="29"/>
  <c r="AU60" i="29" s="1"/>
  <c r="AL60" i="29"/>
  <c r="BJ60" i="29" s="1"/>
  <c r="Z59" i="29"/>
  <c r="X59" i="29"/>
  <c r="BR59" i="29"/>
  <c r="BM60" i="29"/>
  <c r="U60" i="29"/>
  <c r="W60" i="29"/>
  <c r="AQ60" i="29" s="1"/>
  <c r="AR59" i="29"/>
  <c r="F60" i="29"/>
  <c r="H60" i="29"/>
  <c r="G60" i="29"/>
  <c r="AY60" i="29"/>
  <c r="BB60" i="29"/>
  <c r="BC60" i="29" s="1"/>
  <c r="AO60" i="29"/>
  <c r="BO60" i="29" s="1"/>
  <c r="AQ59" i="29"/>
  <c r="AI61" i="29"/>
  <c r="BE61" i="29"/>
  <c r="CH61" i="29"/>
  <c r="K61" i="29"/>
  <c r="J61" i="29"/>
  <c r="I61" i="29"/>
  <c r="AK61" i="29"/>
  <c r="CI61" i="29"/>
  <c r="AS61" i="29"/>
  <c r="BL61" i="29"/>
  <c r="C61" i="29"/>
  <c r="CJ61" i="29"/>
  <c r="CK61" i="29" s="1"/>
  <c r="E61" i="29"/>
  <c r="V61" i="29"/>
  <c r="L61" i="29"/>
  <c r="CE61" i="29"/>
  <c r="CF61" i="29" s="1"/>
  <c r="P61" i="29"/>
  <c r="AV61" i="29"/>
  <c r="R61" i="29"/>
  <c r="T61" i="29" s="1"/>
  <c r="Q61" i="29" s="1"/>
  <c r="AP61" i="29"/>
  <c r="S61" i="29"/>
  <c r="BI61" i="29"/>
  <c r="B62" i="29"/>
  <c r="CD62" i="29" s="1"/>
  <c r="AN61" i="29"/>
  <c r="N61" i="29"/>
  <c r="M61" i="29"/>
  <c r="AB61" i="2"/>
  <c r="AI62" i="2"/>
  <c r="AK62" i="2"/>
  <c r="Z56" i="2"/>
  <c r="X56" i="2"/>
  <c r="V62" i="2"/>
  <c r="S62" i="2"/>
  <c r="L62" i="2"/>
  <c r="K62" i="2"/>
  <c r="J62" i="2"/>
  <c r="I62" i="2"/>
  <c r="M62" i="2"/>
  <c r="N62" i="2"/>
  <c r="C62" i="2"/>
  <c r="BE62" i="2"/>
  <c r="B63" i="2"/>
  <c r="AS62" i="2"/>
  <c r="BB62" i="2" s="1"/>
  <c r="E62" i="2"/>
  <c r="AV62" i="2"/>
  <c r="BL62" i="2"/>
  <c r="BI62" i="2"/>
  <c r="AP62" i="2"/>
  <c r="BM56" i="2"/>
  <c r="P58" i="2"/>
  <c r="T57" i="2"/>
  <c r="Q57" i="2" s="1"/>
  <c r="AG58" i="2"/>
  <c r="BU61" i="23"/>
  <c r="K61" i="23"/>
  <c r="L61" i="23" s="1"/>
  <c r="BB59" i="23"/>
  <c r="R58" i="2"/>
  <c r="AV59" i="23"/>
  <c r="AU59" i="23" s="1"/>
  <c r="AI59" i="23"/>
  <c r="BG59" i="23"/>
  <c r="AL59" i="23"/>
  <c r="J60" i="23"/>
  <c r="M60" i="23"/>
  <c r="AD60" i="23" s="1"/>
  <c r="BD60" i="23" s="1"/>
  <c r="I61" i="23"/>
  <c r="AT61" i="23"/>
  <c r="AC61" i="23"/>
  <c r="AX61" i="23"/>
  <c r="B62" i="23"/>
  <c r="BT62" i="23" s="1"/>
  <c r="BZ61" i="23"/>
  <c r="CA61" i="23" s="1"/>
  <c r="S61" i="23"/>
  <c r="BX61" i="23"/>
  <c r="AH61" i="23"/>
  <c r="O61" i="23"/>
  <c r="C61" i="23"/>
  <c r="Q61" i="23"/>
  <c r="Z61" i="23"/>
  <c r="BY61" i="23"/>
  <c r="AK61" i="23"/>
  <c r="X61" i="23"/>
  <c r="AE61" i="23"/>
  <c r="BA61" i="23"/>
  <c r="AQ60" i="23"/>
  <c r="AN60" i="23"/>
  <c r="R60" i="23"/>
  <c r="AJ60" i="23" s="1"/>
  <c r="Y60" i="23"/>
  <c r="AV60" i="23" s="1"/>
  <c r="AU60" i="23" s="1"/>
  <c r="AA60" i="23"/>
  <c r="AZ60" i="23" s="1"/>
  <c r="T60" i="23"/>
  <c r="AM60" i="23" s="1"/>
  <c r="D60" i="23"/>
  <c r="AZ59" i="23"/>
  <c r="AF59" i="23"/>
  <c r="P60" i="23"/>
  <c r="AG60" i="23" s="1"/>
  <c r="N60" i="23"/>
  <c r="AS59" i="23"/>
  <c r="AR59" i="23"/>
  <c r="E81" i="23"/>
  <c r="F81" i="23"/>
  <c r="G81" i="23"/>
  <c r="CE58" i="2"/>
  <c r="AW56" i="2"/>
  <c r="AJ57" i="2"/>
  <c r="AL57" i="2"/>
  <c r="AA57" i="2"/>
  <c r="AX57" i="2" s="1"/>
  <c r="BS55" i="2"/>
  <c r="E47" i="19"/>
  <c r="BK56" i="2"/>
  <c r="BJ56" i="2"/>
  <c r="BD56" i="2"/>
  <c r="BC56" i="2"/>
  <c r="AT56" i="2"/>
  <c r="AU56" i="2"/>
  <c r="AR50" i="2"/>
  <c r="H57" i="2"/>
  <c r="AY57" i="2"/>
  <c r="BH56" i="2"/>
  <c r="BG56" i="2"/>
  <c r="BF56" i="2" s="1"/>
  <c r="H58" i="20"/>
  <c r="I58" i="20"/>
  <c r="A59" i="20"/>
  <c r="E59" i="20" s="1"/>
  <c r="G57" i="2"/>
  <c r="F57" i="2"/>
  <c r="E64" i="14"/>
  <c r="F64" i="14"/>
  <c r="U56" i="2"/>
  <c r="W57" i="2"/>
  <c r="A66" i="14"/>
  <c r="A58" i="19"/>
  <c r="B54" i="19"/>
  <c r="B65" i="14"/>
  <c r="D61" i="14"/>
  <c r="Y57" i="2"/>
  <c r="G65" i="14" s="1"/>
  <c r="J56" i="14"/>
  <c r="BR48" i="2"/>
  <c r="C62" i="14"/>
  <c r="J57" i="14"/>
  <c r="H56" i="14"/>
  <c r="Q50" i="3"/>
  <c r="R50" i="3"/>
  <c r="P50" i="3"/>
  <c r="AQ51" i="2"/>
  <c r="K51" i="3"/>
  <c r="L51" i="3"/>
  <c r="A52" i="3"/>
  <c r="M51" i="3"/>
  <c r="I51" i="3"/>
  <c r="J51" i="3"/>
  <c r="N51" i="3"/>
  <c r="BV61" i="23" l="1"/>
  <c r="R221" i="32"/>
  <c r="N223" i="32"/>
  <c r="BR60" i="29"/>
  <c r="A102" i="30"/>
  <c r="BD60" i="29"/>
  <c r="AT60" i="29"/>
  <c r="BG60" i="29"/>
  <c r="BF60" i="29" s="1"/>
  <c r="AX60" i="29"/>
  <c r="BK60" i="29"/>
  <c r="AY61" i="29"/>
  <c r="BB61" i="29"/>
  <c r="AO61" i="29"/>
  <c r="BO61" i="29" s="1"/>
  <c r="AK62" i="29"/>
  <c r="CE62" i="29"/>
  <c r="CF62" i="29" s="1"/>
  <c r="K62" i="29"/>
  <c r="R62" i="29"/>
  <c r="T62" i="29" s="1"/>
  <c r="Q62" i="29" s="1"/>
  <c r="M62" i="29"/>
  <c r="BE62" i="29"/>
  <c r="S62" i="29"/>
  <c r="B63" i="29"/>
  <c r="CD63" i="29" s="1"/>
  <c r="C62" i="29"/>
  <c r="N62" i="29"/>
  <c r="I62" i="29"/>
  <c r="AS62" i="29"/>
  <c r="AI62" i="29"/>
  <c r="CJ62" i="29"/>
  <c r="CK62" i="29" s="1"/>
  <c r="AV62" i="29"/>
  <c r="CH62" i="29"/>
  <c r="J62" i="29"/>
  <c r="E62" i="29"/>
  <c r="P62" i="29"/>
  <c r="V62" i="29"/>
  <c r="L62" i="29"/>
  <c r="AG62" i="29" s="1"/>
  <c r="CI62" i="29"/>
  <c r="AN62" i="29"/>
  <c r="BL62" i="29"/>
  <c r="BM62" i="29" s="1"/>
  <c r="AP62" i="29"/>
  <c r="BI62" i="29"/>
  <c r="AG61" i="29"/>
  <c r="F61" i="29"/>
  <c r="H61" i="29"/>
  <c r="G61" i="29"/>
  <c r="AJ61" i="29"/>
  <c r="BH61" i="29" s="1"/>
  <c r="Y61" i="29"/>
  <c r="AT61" i="29" s="1"/>
  <c r="AB61" i="29"/>
  <c r="AA61" i="29"/>
  <c r="AX61" i="29" s="1"/>
  <c r="AL61" i="29"/>
  <c r="BJ61" i="29" s="1"/>
  <c r="Z60" i="29"/>
  <c r="X60" i="29"/>
  <c r="AR60" i="29"/>
  <c r="W61" i="29"/>
  <c r="U61" i="29"/>
  <c r="BM61" i="29"/>
  <c r="AB62" i="2"/>
  <c r="AI63" i="2"/>
  <c r="AK63" i="2"/>
  <c r="Z57" i="2"/>
  <c r="X57" i="2"/>
  <c r="V63" i="2"/>
  <c r="L63" i="2"/>
  <c r="S63" i="2"/>
  <c r="K63" i="2"/>
  <c r="J63" i="2"/>
  <c r="I63" i="2"/>
  <c r="M63" i="2"/>
  <c r="N63" i="2"/>
  <c r="C63" i="2"/>
  <c r="AS63" i="2"/>
  <c r="BB63" i="2" s="1"/>
  <c r="E63" i="2"/>
  <c r="AV63" i="2"/>
  <c r="BL63" i="2"/>
  <c r="BI63" i="2"/>
  <c r="AP63" i="2"/>
  <c r="BE63" i="2"/>
  <c r="B64" i="2"/>
  <c r="P59" i="2"/>
  <c r="BM57" i="2"/>
  <c r="T58" i="2"/>
  <c r="Q58" i="2" s="1"/>
  <c r="AG59" i="2"/>
  <c r="BU62" i="23"/>
  <c r="K62" i="23"/>
  <c r="L62" i="23" s="1"/>
  <c r="BB60" i="23"/>
  <c r="BH59" i="23"/>
  <c r="R59" i="2"/>
  <c r="BH60" i="23"/>
  <c r="AI60" i="23"/>
  <c r="R61" i="23"/>
  <c r="AJ61" i="23" s="1"/>
  <c r="Y61" i="23"/>
  <c r="AV61" i="23" s="1"/>
  <c r="AU61" i="23" s="1"/>
  <c r="AA61" i="23"/>
  <c r="AZ61" i="23" s="1"/>
  <c r="D61" i="23"/>
  <c r="T61" i="23"/>
  <c r="AM61" i="23" s="1"/>
  <c r="AF60" i="23"/>
  <c r="N61" i="23"/>
  <c r="P61" i="23"/>
  <c r="AF61" i="23" s="1"/>
  <c r="AS60" i="23"/>
  <c r="AR60" i="23"/>
  <c r="AQ61" i="23"/>
  <c r="AN61" i="23"/>
  <c r="AY60" i="23"/>
  <c r="AL60" i="23"/>
  <c r="M61" i="23"/>
  <c r="AD61" i="23" s="1"/>
  <c r="BD61" i="23" s="1"/>
  <c r="J61" i="23"/>
  <c r="AT62" i="23"/>
  <c r="AE62" i="23"/>
  <c r="X62" i="23"/>
  <c r="BA62" i="23"/>
  <c r="AK62" i="23"/>
  <c r="BY62" i="23"/>
  <c r="AH62" i="23"/>
  <c r="Z62" i="23"/>
  <c r="O62" i="23"/>
  <c r="S62" i="23"/>
  <c r="BX62" i="23"/>
  <c r="AX62" i="23"/>
  <c r="BZ62" i="23"/>
  <c r="CA62" i="23" s="1"/>
  <c r="B63" i="23"/>
  <c r="BT63" i="23" s="1"/>
  <c r="C62" i="23"/>
  <c r="Q62" i="23"/>
  <c r="I62" i="23"/>
  <c r="AC62" i="23"/>
  <c r="AW60" i="23"/>
  <c r="G82" i="23"/>
  <c r="E82" i="23"/>
  <c r="F82" i="23"/>
  <c r="CE59" i="2"/>
  <c r="AW57" i="2"/>
  <c r="AL58" i="2"/>
  <c r="AA58" i="2"/>
  <c r="AW58" i="2" s="1"/>
  <c r="AJ58" i="2"/>
  <c r="E48" i="19"/>
  <c r="BK57" i="2"/>
  <c r="BJ57" i="2"/>
  <c r="BS56" i="2"/>
  <c r="BD57" i="2"/>
  <c r="BC57" i="2"/>
  <c r="AT57" i="2"/>
  <c r="AU57" i="2"/>
  <c r="AR51" i="2"/>
  <c r="H58" i="2"/>
  <c r="H59" i="20"/>
  <c r="AY58" i="2"/>
  <c r="BH57" i="2"/>
  <c r="BG57" i="2"/>
  <c r="BF57" i="2" s="1"/>
  <c r="I59" i="20"/>
  <c r="A60" i="20"/>
  <c r="E60" i="20" s="1"/>
  <c r="G58" i="2"/>
  <c r="F58" i="2"/>
  <c r="E65" i="14"/>
  <c r="F65" i="14"/>
  <c r="U57" i="2"/>
  <c r="W58" i="2"/>
  <c r="A59" i="19"/>
  <c r="A67" i="14"/>
  <c r="B55" i="19"/>
  <c r="B66" i="14"/>
  <c r="D62" i="14"/>
  <c r="BR49" i="2"/>
  <c r="I57" i="14"/>
  <c r="C63" i="14"/>
  <c r="H59" i="14"/>
  <c r="I58" i="14"/>
  <c r="H57" i="14"/>
  <c r="P51" i="3"/>
  <c r="Q51" i="3"/>
  <c r="R51" i="3"/>
  <c r="AQ52" i="2"/>
  <c r="K52" i="3"/>
  <c r="L52" i="3"/>
  <c r="A53" i="3"/>
  <c r="M52" i="3"/>
  <c r="I52" i="3"/>
  <c r="N52" i="3"/>
  <c r="J52" i="3"/>
  <c r="BV62" i="23" l="1"/>
  <c r="R223" i="32"/>
  <c r="N225" i="32"/>
  <c r="A103" i="30"/>
  <c r="BR61" i="29"/>
  <c r="BS60" i="29"/>
  <c r="BC61" i="29"/>
  <c r="BG61" i="29"/>
  <c r="BF61" i="29" s="1"/>
  <c r="AW61" i="29"/>
  <c r="BD61" i="29"/>
  <c r="Z61" i="29"/>
  <c r="X61" i="29"/>
  <c r="G62" i="29"/>
  <c r="F62" i="29"/>
  <c r="H62" i="29"/>
  <c r="Y62" i="29"/>
  <c r="AT62" i="29" s="1"/>
  <c r="AJ62" i="29"/>
  <c r="BH62" i="29" s="1"/>
  <c r="AA62" i="29"/>
  <c r="AX62" i="29" s="1"/>
  <c r="AB62" i="29"/>
  <c r="AL62" i="29"/>
  <c r="BK62" i="29" s="1"/>
  <c r="U62" i="29"/>
  <c r="W62" i="29"/>
  <c r="AR62" i="29" s="1"/>
  <c r="AY62" i="29"/>
  <c r="BB62" i="29"/>
  <c r="BD62" i="29" s="1"/>
  <c r="L63" i="29"/>
  <c r="M63" i="29"/>
  <c r="CE63" i="29"/>
  <c r="CF63" i="29" s="1"/>
  <c r="P63" i="29"/>
  <c r="AV63" i="29"/>
  <c r="R63" i="29"/>
  <c r="T63" i="29" s="1"/>
  <c r="Q63" i="29" s="1"/>
  <c r="AI63" i="29"/>
  <c r="I63" i="29"/>
  <c r="BI63" i="29"/>
  <c r="B64" i="29"/>
  <c r="CD64" i="29" s="1"/>
  <c r="AN63" i="29"/>
  <c r="N63" i="29"/>
  <c r="V63" i="29"/>
  <c r="S63" i="29"/>
  <c r="CJ63" i="29"/>
  <c r="CK63" i="29" s="1"/>
  <c r="E63" i="29"/>
  <c r="BE63" i="29"/>
  <c r="CH63" i="29"/>
  <c r="K63" i="29"/>
  <c r="J63" i="29"/>
  <c r="AK63" i="29"/>
  <c r="AP63" i="29"/>
  <c r="CI63" i="29"/>
  <c r="AS63" i="29"/>
  <c r="BL63" i="29"/>
  <c r="C63" i="29"/>
  <c r="AU61" i="29"/>
  <c r="BK61" i="29"/>
  <c r="AO62" i="29"/>
  <c r="BO62" i="29" s="1"/>
  <c r="AQ61" i="29"/>
  <c r="AR61" i="29"/>
  <c r="AB63" i="2"/>
  <c r="AK64" i="2"/>
  <c r="AI64" i="2"/>
  <c r="V64" i="2"/>
  <c r="S64" i="2"/>
  <c r="L64" i="2"/>
  <c r="Z58" i="2"/>
  <c r="X58" i="2"/>
  <c r="K64" i="2"/>
  <c r="J64" i="2"/>
  <c r="I64" i="2"/>
  <c r="M64" i="2"/>
  <c r="N64" i="2"/>
  <c r="C64" i="2"/>
  <c r="AV64" i="2"/>
  <c r="E64" i="2"/>
  <c r="AS64" i="2"/>
  <c r="BB64" i="2" s="1"/>
  <c r="BL64" i="2"/>
  <c r="BI64" i="2"/>
  <c r="AP64" i="2"/>
  <c r="BE64" i="2"/>
  <c r="B65" i="2"/>
  <c r="BM58" i="2"/>
  <c r="P60" i="2"/>
  <c r="T59" i="2"/>
  <c r="Q59" i="2" s="1"/>
  <c r="AG60" i="2"/>
  <c r="BU63" i="23"/>
  <c r="K63" i="23"/>
  <c r="L63" i="23" s="1"/>
  <c r="BB61" i="23"/>
  <c r="R60" i="2"/>
  <c r="AW61" i="23"/>
  <c r="AI61" i="23"/>
  <c r="AL61" i="23"/>
  <c r="AG61" i="23"/>
  <c r="N62" i="23"/>
  <c r="P62" i="23"/>
  <c r="AF62" i="23" s="1"/>
  <c r="BG60" i="23"/>
  <c r="AR61" i="23"/>
  <c r="AS61" i="23"/>
  <c r="R62" i="23"/>
  <c r="AI62" i="23" s="1"/>
  <c r="AA62" i="23"/>
  <c r="AY62" i="23" s="1"/>
  <c r="Y62" i="23"/>
  <c r="AV62" i="23" s="1"/>
  <c r="AU62" i="23" s="1"/>
  <c r="T62" i="23"/>
  <c r="AL62" i="23" s="1"/>
  <c r="D62" i="23"/>
  <c r="M62" i="23"/>
  <c r="BB62" i="23" s="1"/>
  <c r="J62" i="23"/>
  <c r="AQ62" i="23"/>
  <c r="AN62" i="23"/>
  <c r="BA63" i="23"/>
  <c r="AK63" i="23"/>
  <c r="B64" i="23"/>
  <c r="BT64" i="23" s="1"/>
  <c r="AC63" i="23"/>
  <c r="BY63" i="23"/>
  <c r="AH63" i="23"/>
  <c r="I63" i="23"/>
  <c r="S63" i="23"/>
  <c r="Z63" i="23"/>
  <c r="BX63" i="23"/>
  <c r="X63" i="23"/>
  <c r="Q63" i="23"/>
  <c r="BZ63" i="23"/>
  <c r="CA63" i="23" s="1"/>
  <c r="AX63" i="23"/>
  <c r="O63" i="23"/>
  <c r="C63" i="23"/>
  <c r="AT63" i="23"/>
  <c r="AE63" i="23"/>
  <c r="AY61" i="23"/>
  <c r="BH61" i="23"/>
  <c r="F83" i="23"/>
  <c r="E83" i="23"/>
  <c r="G83" i="23"/>
  <c r="CE60" i="2"/>
  <c r="AL59" i="2"/>
  <c r="AA59" i="2"/>
  <c r="AX59" i="2" s="1"/>
  <c r="AJ59" i="2"/>
  <c r="AX58" i="2"/>
  <c r="E49" i="19"/>
  <c r="BS57" i="2"/>
  <c r="BK58" i="2"/>
  <c r="BJ58" i="2"/>
  <c r="BD58" i="2"/>
  <c r="BC58" i="2"/>
  <c r="AY59" i="2"/>
  <c r="H59" i="2"/>
  <c r="AR52" i="2"/>
  <c r="BH58" i="2"/>
  <c r="BG58" i="2"/>
  <c r="BF58" i="2" s="1"/>
  <c r="H60" i="20"/>
  <c r="I60" i="20"/>
  <c r="A61" i="20"/>
  <c r="E61" i="20" s="1"/>
  <c r="G59" i="2"/>
  <c r="F59" i="2"/>
  <c r="F66" i="14"/>
  <c r="U58" i="2"/>
  <c r="E66" i="14"/>
  <c r="W59" i="2"/>
  <c r="A60" i="19"/>
  <c r="A68" i="14"/>
  <c r="B56" i="19"/>
  <c r="B67" i="14"/>
  <c r="D63" i="14"/>
  <c r="Y58" i="2"/>
  <c r="J58" i="14"/>
  <c r="C64" i="14"/>
  <c r="BR50" i="2"/>
  <c r="I59" i="14"/>
  <c r="J59" i="14"/>
  <c r="H58" i="14"/>
  <c r="P52" i="3"/>
  <c r="R52" i="3"/>
  <c r="Q52" i="3"/>
  <c r="AQ53" i="2"/>
  <c r="K53" i="3"/>
  <c r="L53" i="3"/>
  <c r="A54" i="3"/>
  <c r="M53" i="3"/>
  <c r="I53" i="3"/>
  <c r="N53" i="3"/>
  <c r="J53" i="3"/>
  <c r="BV63" i="23" l="1"/>
  <c r="R225" i="32"/>
  <c r="N227" i="32"/>
  <c r="A104" i="30"/>
  <c r="BC62" i="29"/>
  <c r="BS61" i="29"/>
  <c r="BJ62" i="29"/>
  <c r="BR62" i="29" s="1"/>
  <c r="AU62" i="29"/>
  <c r="BM63" i="29"/>
  <c r="BG62" i="29"/>
  <c r="BF62" i="29" s="1"/>
  <c r="BS62" i="29" s="1"/>
  <c r="AO63" i="29"/>
  <c r="BO63" i="29" s="1"/>
  <c r="AW62" i="29"/>
  <c r="W63" i="29"/>
  <c r="AQ63" i="29" s="1"/>
  <c r="U63" i="29"/>
  <c r="AG63" i="29"/>
  <c r="H63" i="29"/>
  <c r="G63" i="29"/>
  <c r="F63" i="29"/>
  <c r="BB63" i="29"/>
  <c r="AY63" i="29"/>
  <c r="Z62" i="29"/>
  <c r="X62" i="29"/>
  <c r="AQ62" i="29"/>
  <c r="AA63" i="29"/>
  <c r="AX63" i="29" s="1"/>
  <c r="Y63" i="29"/>
  <c r="AT63" i="29" s="1"/>
  <c r="AL63" i="29"/>
  <c r="BJ63" i="29" s="1"/>
  <c r="AJ63" i="29"/>
  <c r="BG63" i="29" s="1"/>
  <c r="BF63" i="29" s="1"/>
  <c r="AB63" i="29"/>
  <c r="AR63" i="29"/>
  <c r="AK64" i="29"/>
  <c r="CE64" i="29"/>
  <c r="CF64" i="29" s="1"/>
  <c r="P64" i="29"/>
  <c r="AV64" i="29"/>
  <c r="R64" i="29"/>
  <c r="T64" i="29" s="1"/>
  <c r="Q64" i="29" s="1"/>
  <c r="AP64" i="29"/>
  <c r="V64" i="29"/>
  <c r="BI64" i="29"/>
  <c r="B65" i="29"/>
  <c r="CD65" i="29" s="1"/>
  <c r="AN64" i="29"/>
  <c r="N64" i="29"/>
  <c r="M64" i="29"/>
  <c r="S64" i="29"/>
  <c r="L64" i="29"/>
  <c r="BE64" i="29"/>
  <c r="CH64" i="29"/>
  <c r="K64" i="29"/>
  <c r="J64" i="29"/>
  <c r="I64" i="29"/>
  <c r="AI64" i="29"/>
  <c r="CI64" i="29"/>
  <c r="AS64" i="29"/>
  <c r="BL64" i="29"/>
  <c r="C64" i="29"/>
  <c r="CJ64" i="29"/>
  <c r="CK64" i="29" s="1"/>
  <c r="E64" i="29"/>
  <c r="AB64" i="2"/>
  <c r="AK65" i="2"/>
  <c r="AI65" i="2"/>
  <c r="V65" i="2"/>
  <c r="S65" i="2"/>
  <c r="L65" i="2"/>
  <c r="X59" i="2"/>
  <c r="Z59" i="2"/>
  <c r="K65" i="2"/>
  <c r="J65" i="2"/>
  <c r="I65" i="2"/>
  <c r="M65" i="2"/>
  <c r="N65" i="2"/>
  <c r="C65" i="2"/>
  <c r="AS65" i="2"/>
  <c r="BB65" i="2" s="1"/>
  <c r="E65" i="2"/>
  <c r="BI65" i="2"/>
  <c r="AP65" i="2"/>
  <c r="BE65" i="2"/>
  <c r="B66" i="2"/>
  <c r="AV65" i="2"/>
  <c r="BL65" i="2"/>
  <c r="BM59" i="2"/>
  <c r="P61" i="2"/>
  <c r="T60" i="2"/>
  <c r="Q60" i="2" s="1"/>
  <c r="AG61" i="2"/>
  <c r="BU64" i="23"/>
  <c r="K64" i="23"/>
  <c r="L64" i="23" s="1"/>
  <c r="R61" i="2"/>
  <c r="BG61" i="23"/>
  <c r="AZ62" i="23"/>
  <c r="BH62" i="23" s="1"/>
  <c r="AJ62" i="23"/>
  <c r="AR62" i="23"/>
  <c r="AS62" i="23"/>
  <c r="AM62" i="23"/>
  <c r="Y63" i="23"/>
  <c r="AW63" i="23" s="1"/>
  <c r="R63" i="23"/>
  <c r="AJ63" i="23" s="1"/>
  <c r="D63" i="23"/>
  <c r="AA63" i="23"/>
  <c r="AZ63" i="23" s="1"/>
  <c r="T63" i="23"/>
  <c r="AL63" i="23" s="1"/>
  <c r="AN63" i="23"/>
  <c r="AQ63" i="23"/>
  <c r="M63" i="23"/>
  <c r="AD63" i="23" s="1"/>
  <c r="BD63" i="23" s="1"/>
  <c r="J63" i="23"/>
  <c r="BX64" i="23"/>
  <c r="X64" i="23"/>
  <c r="AE64" i="23"/>
  <c r="AX64" i="23"/>
  <c r="Z64" i="23"/>
  <c r="AC64" i="23"/>
  <c r="S64" i="23"/>
  <c r="BA64" i="23"/>
  <c r="BY64" i="23"/>
  <c r="AH64" i="23"/>
  <c r="O64" i="23"/>
  <c r="AK64" i="23"/>
  <c r="C64" i="23"/>
  <c r="AT64" i="23"/>
  <c r="Q64" i="23"/>
  <c r="B65" i="23"/>
  <c r="BT65" i="23" s="1"/>
  <c r="BZ64" i="23"/>
  <c r="CA64" i="23" s="1"/>
  <c r="I64" i="23"/>
  <c r="AG62" i="23"/>
  <c r="P63" i="23"/>
  <c r="AG63" i="23" s="1"/>
  <c r="N63" i="23"/>
  <c r="AW62" i="23"/>
  <c r="BG62" i="23" s="1"/>
  <c r="AD62" i="23"/>
  <c r="BD62" i="23" s="1"/>
  <c r="E84" i="23"/>
  <c r="G84" i="23"/>
  <c r="F84" i="23"/>
  <c r="CE61" i="2"/>
  <c r="AJ60" i="2"/>
  <c r="AL60" i="2"/>
  <c r="AA60" i="2"/>
  <c r="AX60" i="2" s="1"/>
  <c r="AW59" i="2"/>
  <c r="E50" i="19"/>
  <c r="BS58" i="2"/>
  <c r="BK59" i="2"/>
  <c r="BJ59" i="2"/>
  <c r="BC59" i="2"/>
  <c r="BD59" i="2"/>
  <c r="G66" i="14"/>
  <c r="AU58" i="2"/>
  <c r="AT58" i="2"/>
  <c r="H60" i="2"/>
  <c r="AR53" i="2"/>
  <c r="AY60" i="2"/>
  <c r="BH59" i="2"/>
  <c r="BG59" i="2"/>
  <c r="BF59" i="2" s="1"/>
  <c r="A62" i="20"/>
  <c r="E62" i="20" s="1"/>
  <c r="H61" i="20"/>
  <c r="I61" i="20"/>
  <c r="B68" i="14"/>
  <c r="F60" i="2"/>
  <c r="G60" i="2"/>
  <c r="F67" i="14"/>
  <c r="U59" i="2"/>
  <c r="W60" i="2"/>
  <c r="E67" i="14"/>
  <c r="A61" i="19"/>
  <c r="A69" i="14"/>
  <c r="B57" i="19"/>
  <c r="D64" i="14"/>
  <c r="Y59" i="2"/>
  <c r="Y60" i="2"/>
  <c r="G68" i="14" s="1"/>
  <c r="C65" i="14"/>
  <c r="D65" i="14" s="1"/>
  <c r="BR51" i="2"/>
  <c r="I60" i="14"/>
  <c r="P53" i="3"/>
  <c r="R53" i="3"/>
  <c r="Q53" i="3"/>
  <c r="AQ54" i="2"/>
  <c r="K54" i="3"/>
  <c r="L54" i="3"/>
  <c r="A55" i="3"/>
  <c r="M54" i="3"/>
  <c r="I54" i="3"/>
  <c r="N54" i="3"/>
  <c r="J54" i="3"/>
  <c r="BV64" i="23" l="1"/>
  <c r="R227" i="32"/>
  <c r="N229" i="32"/>
  <c r="A105" i="30"/>
  <c r="BD63" i="29"/>
  <c r="BC63" i="29"/>
  <c r="BM64" i="29"/>
  <c r="AL64" i="29"/>
  <c r="BJ64" i="29" s="1"/>
  <c r="AJ64" i="29"/>
  <c r="BH64" i="29" s="1"/>
  <c r="Y64" i="29"/>
  <c r="AU64" i="29" s="1"/>
  <c r="AB64" i="29"/>
  <c r="AA64" i="29"/>
  <c r="AW64" i="29" s="1"/>
  <c r="U64" i="29"/>
  <c r="W64" i="29"/>
  <c r="AR64" i="29" s="1"/>
  <c r="X63" i="29"/>
  <c r="Z63" i="29"/>
  <c r="BB64" i="29"/>
  <c r="AY64" i="29"/>
  <c r="AG64" i="29"/>
  <c r="G64" i="29"/>
  <c r="F64" i="29"/>
  <c r="H64" i="29"/>
  <c r="AO64" i="29"/>
  <c r="BO64" i="29" s="1"/>
  <c r="AW63" i="29"/>
  <c r="BH63" i="29"/>
  <c r="BR63" i="29" s="1"/>
  <c r="S65" i="29"/>
  <c r="CH65" i="29"/>
  <c r="K65" i="29"/>
  <c r="J65" i="29"/>
  <c r="I65" i="29"/>
  <c r="BI65" i="29"/>
  <c r="AI65" i="29"/>
  <c r="BL65" i="29"/>
  <c r="C65" i="29"/>
  <c r="CJ65" i="29"/>
  <c r="CK65" i="29" s="1"/>
  <c r="E65" i="29"/>
  <c r="BE65" i="29"/>
  <c r="AK65" i="29"/>
  <c r="AV65" i="29"/>
  <c r="R65" i="29"/>
  <c r="T65" i="29" s="1"/>
  <c r="Q65" i="29" s="1"/>
  <c r="AP65" i="29"/>
  <c r="CI65" i="29"/>
  <c r="AS65" i="29"/>
  <c r="V65" i="29"/>
  <c r="L65" i="29"/>
  <c r="B66" i="29"/>
  <c r="CD66" i="29" s="1"/>
  <c r="AN65" i="29"/>
  <c r="N65" i="29"/>
  <c r="M65" i="29"/>
  <c r="CE65" i="29"/>
  <c r="CF65" i="29" s="1"/>
  <c r="P65" i="29"/>
  <c r="AU63" i="29"/>
  <c r="BK63" i="29"/>
  <c r="BS63" i="29" s="1"/>
  <c r="AB65" i="2"/>
  <c r="AI66" i="2"/>
  <c r="AK66" i="2"/>
  <c r="Z60" i="2"/>
  <c r="X60" i="2"/>
  <c r="V66" i="2"/>
  <c r="S66" i="2"/>
  <c r="L66" i="2"/>
  <c r="K66" i="2"/>
  <c r="J66" i="2"/>
  <c r="I66" i="2"/>
  <c r="M66" i="2"/>
  <c r="N66" i="2"/>
  <c r="C66" i="2"/>
  <c r="BE66" i="2"/>
  <c r="B67" i="2"/>
  <c r="AS66" i="2"/>
  <c r="BB66" i="2" s="1"/>
  <c r="E66" i="2"/>
  <c r="AV66" i="2"/>
  <c r="BL66" i="2"/>
  <c r="BI66" i="2"/>
  <c r="AP66" i="2"/>
  <c r="BM60" i="2"/>
  <c r="P62" i="2"/>
  <c r="T61" i="2"/>
  <c r="Q61" i="2" s="1"/>
  <c r="AG62" i="2"/>
  <c r="BU65" i="23"/>
  <c r="K65" i="23"/>
  <c r="L65" i="23" s="1"/>
  <c r="BB63" i="23"/>
  <c r="AM63" i="23"/>
  <c r="R62" i="2"/>
  <c r="AI63" i="23"/>
  <c r="AY63" i="23"/>
  <c r="BG63" i="23" s="1"/>
  <c r="AQ64" i="23"/>
  <c r="AN64" i="23"/>
  <c r="AE65" i="23"/>
  <c r="O65" i="23"/>
  <c r="Q65" i="23"/>
  <c r="AK65" i="23"/>
  <c r="BX65" i="23"/>
  <c r="Z65" i="23"/>
  <c r="B66" i="23"/>
  <c r="BT66" i="23" s="1"/>
  <c r="AT65" i="23"/>
  <c r="C65" i="23"/>
  <c r="AH65" i="23"/>
  <c r="I65" i="23"/>
  <c r="AX65" i="23"/>
  <c r="X65" i="23"/>
  <c r="BY65" i="23"/>
  <c r="BA65" i="23"/>
  <c r="BZ65" i="23"/>
  <c r="CA65" i="23" s="1"/>
  <c r="S65" i="23"/>
  <c r="AC65" i="23"/>
  <c r="J64" i="23"/>
  <c r="M64" i="23"/>
  <c r="BB64" i="23" s="1"/>
  <c r="AS63" i="23"/>
  <c r="AR63" i="23"/>
  <c r="P64" i="23"/>
  <c r="AF64" i="23" s="1"/>
  <c r="N64" i="23"/>
  <c r="AA64" i="23"/>
  <c r="AZ64" i="23" s="1"/>
  <c r="Y64" i="23"/>
  <c r="AW64" i="23" s="1"/>
  <c r="T64" i="23"/>
  <c r="AL64" i="23" s="1"/>
  <c r="R64" i="23"/>
  <c r="AI64" i="23" s="1"/>
  <c r="D64" i="23"/>
  <c r="AV63" i="23"/>
  <c r="AU63" i="23" s="1"/>
  <c r="BH63" i="23" s="1"/>
  <c r="AF63" i="23"/>
  <c r="G85" i="23"/>
  <c r="F85" i="23"/>
  <c r="E85" i="23"/>
  <c r="CE62" i="2"/>
  <c r="AJ61" i="2"/>
  <c r="AL61" i="2"/>
  <c r="AA61" i="2"/>
  <c r="AX61" i="2" s="1"/>
  <c r="AW60" i="2"/>
  <c r="E51" i="19"/>
  <c r="BS59" i="2"/>
  <c r="BK60" i="2"/>
  <c r="BJ60" i="2"/>
  <c r="BD60" i="2"/>
  <c r="BC60" i="2"/>
  <c r="AU60" i="2"/>
  <c r="AT60" i="2"/>
  <c r="G67" i="14"/>
  <c r="AU59" i="2"/>
  <c r="AT59" i="2"/>
  <c r="AR54" i="2"/>
  <c r="H61" i="2"/>
  <c r="H62" i="20"/>
  <c r="AY61" i="2"/>
  <c r="I62" i="20"/>
  <c r="BH60" i="2"/>
  <c r="BG60" i="2"/>
  <c r="BF60" i="2" s="1"/>
  <c r="A63" i="20"/>
  <c r="E63" i="20" s="1"/>
  <c r="G61" i="2"/>
  <c r="F61" i="2"/>
  <c r="F68" i="14"/>
  <c r="U60" i="2"/>
  <c r="E68" i="14"/>
  <c r="W61" i="2"/>
  <c r="B69" i="14"/>
  <c r="A62" i="19"/>
  <c r="A70" i="14"/>
  <c r="B58" i="19"/>
  <c r="Y61" i="2"/>
  <c r="G69" i="14" s="1"/>
  <c r="C66" i="14"/>
  <c r="I61" i="14"/>
  <c r="P54" i="3"/>
  <c r="J60" i="14"/>
  <c r="H60" i="14"/>
  <c r="R54" i="3"/>
  <c r="AO2" i="2"/>
  <c r="Q54" i="3"/>
  <c r="AN3" i="2"/>
  <c r="AO3" i="2" s="1"/>
  <c r="AN4" i="2"/>
  <c r="AO4" i="2" s="1"/>
  <c r="AN12" i="2"/>
  <c r="AO12" i="2" s="1"/>
  <c r="AN13" i="2"/>
  <c r="AO13" i="2" s="1"/>
  <c r="AN14" i="2"/>
  <c r="AO14" i="2" s="1"/>
  <c r="AN15" i="2"/>
  <c r="AO15" i="2" s="1"/>
  <c r="AN16" i="2"/>
  <c r="AO16" i="2" s="1"/>
  <c r="AN17" i="2"/>
  <c r="AO17" i="2" s="1"/>
  <c r="AN18" i="2"/>
  <c r="AO18" i="2" s="1"/>
  <c r="AN19" i="2"/>
  <c r="AO19" i="2" s="1"/>
  <c r="AQ55" i="2"/>
  <c r="K55" i="3"/>
  <c r="L55" i="3"/>
  <c r="A56" i="3"/>
  <c r="M55" i="3"/>
  <c r="I55" i="3"/>
  <c r="J55" i="3"/>
  <c r="N55" i="3"/>
  <c r="BV65" i="23" l="1"/>
  <c r="R229" i="32"/>
  <c r="N231" i="32"/>
  <c r="A106" i="30"/>
  <c r="AT64" i="29"/>
  <c r="BD64" i="29"/>
  <c r="BK64" i="29"/>
  <c r="AX64" i="29"/>
  <c r="BG64" i="29"/>
  <c r="BF64" i="29" s="1"/>
  <c r="BC64" i="29"/>
  <c r="AO65" i="29"/>
  <c r="BO65" i="29" s="1"/>
  <c r="AQ64" i="29"/>
  <c r="AI66" i="29"/>
  <c r="N66" i="29"/>
  <c r="M66" i="29"/>
  <c r="CE66" i="29"/>
  <c r="CF66" i="29" s="1"/>
  <c r="P66" i="29"/>
  <c r="AV66" i="29"/>
  <c r="AK66" i="29"/>
  <c r="J66" i="29"/>
  <c r="I66" i="29"/>
  <c r="BI66" i="29"/>
  <c r="B67" i="29"/>
  <c r="CD67" i="29" s="1"/>
  <c r="AN66" i="29"/>
  <c r="V66" i="29"/>
  <c r="L66" i="29"/>
  <c r="AG66" i="29" s="1"/>
  <c r="CJ66" i="29"/>
  <c r="CK66" i="29" s="1"/>
  <c r="E66" i="29"/>
  <c r="BE66" i="29"/>
  <c r="CH66" i="29"/>
  <c r="K66" i="29"/>
  <c r="S66" i="29"/>
  <c r="R66" i="29"/>
  <c r="T66" i="29" s="1"/>
  <c r="Q66" i="29" s="1"/>
  <c r="AP66" i="29"/>
  <c r="CI66" i="29"/>
  <c r="AS66" i="29"/>
  <c r="BL66" i="29"/>
  <c r="BM66" i="29" s="1"/>
  <c r="C66" i="29"/>
  <c r="AJ65" i="29"/>
  <c r="BG65" i="29" s="1"/>
  <c r="BF65" i="29" s="1"/>
  <c r="AA65" i="29"/>
  <c r="AX65" i="29" s="1"/>
  <c r="AB65" i="29"/>
  <c r="AL65" i="29"/>
  <c r="BK65" i="29" s="1"/>
  <c r="Y65" i="29"/>
  <c r="AT65" i="29" s="1"/>
  <c r="G65" i="29"/>
  <c r="F65" i="29"/>
  <c r="H65" i="29"/>
  <c r="BM65" i="29"/>
  <c r="U65" i="29"/>
  <c r="W65" i="29"/>
  <c r="Z64" i="29"/>
  <c r="X64" i="29"/>
  <c r="AY65" i="29"/>
  <c r="BB65" i="29"/>
  <c r="AG65" i="29"/>
  <c r="BR64" i="29"/>
  <c r="AB66" i="2"/>
  <c r="AI67" i="2"/>
  <c r="AK67" i="2"/>
  <c r="Z61" i="2"/>
  <c r="X61" i="2"/>
  <c r="V67" i="2"/>
  <c r="L67" i="2"/>
  <c r="S67" i="2"/>
  <c r="K67" i="2"/>
  <c r="J67" i="2"/>
  <c r="I67" i="2"/>
  <c r="M67" i="2"/>
  <c r="N67" i="2"/>
  <c r="C67" i="2"/>
  <c r="BE67" i="2"/>
  <c r="B68" i="2"/>
  <c r="AS67" i="2"/>
  <c r="BB67" i="2" s="1"/>
  <c r="E67" i="2"/>
  <c r="AV67" i="2"/>
  <c r="BL67" i="2"/>
  <c r="BI67" i="2"/>
  <c r="AP67" i="2"/>
  <c r="P63" i="2"/>
  <c r="BM61" i="2"/>
  <c r="T62" i="2"/>
  <c r="Q62" i="2" s="1"/>
  <c r="AG63" i="2"/>
  <c r="BU66" i="23"/>
  <c r="K66" i="23"/>
  <c r="L66" i="23" s="1"/>
  <c r="R63" i="2"/>
  <c r="AY64" i="23"/>
  <c r="BG64" i="23" s="1"/>
  <c r="AD64" i="23"/>
  <c r="BD64" i="23" s="1"/>
  <c r="N65" i="23"/>
  <c r="P65" i="23"/>
  <c r="AF65" i="23" s="1"/>
  <c r="AN65" i="23"/>
  <c r="AQ65" i="23"/>
  <c r="J65" i="23"/>
  <c r="M65" i="23"/>
  <c r="AD65" i="23" s="1"/>
  <c r="BD65" i="23" s="1"/>
  <c r="AJ64" i="23"/>
  <c r="AR64" i="23"/>
  <c r="AS64" i="23"/>
  <c r="AA65" i="23"/>
  <c r="AZ65" i="23" s="1"/>
  <c r="Y65" i="23"/>
  <c r="AV65" i="23" s="1"/>
  <c r="AU65" i="23" s="1"/>
  <c r="D65" i="23"/>
  <c r="R65" i="23"/>
  <c r="AI65" i="23" s="1"/>
  <c r="T65" i="23"/>
  <c r="AM65" i="23" s="1"/>
  <c r="AG64" i="23"/>
  <c r="AV64" i="23"/>
  <c r="AU64" i="23" s="1"/>
  <c r="BH64" i="23" s="1"/>
  <c r="AM64" i="23"/>
  <c r="AT66" i="23"/>
  <c r="AE66" i="23"/>
  <c r="BA66" i="23"/>
  <c r="C66" i="23"/>
  <c r="O66" i="23"/>
  <c r="Z66" i="23"/>
  <c r="AK66" i="23"/>
  <c r="AC66" i="23"/>
  <c r="AH66" i="23"/>
  <c r="Q66" i="23"/>
  <c r="B67" i="23"/>
  <c r="BT67" i="23" s="1"/>
  <c r="AX66" i="23"/>
  <c r="BZ66" i="23"/>
  <c r="CA66" i="23" s="1"/>
  <c r="BX66" i="23"/>
  <c r="X66" i="23"/>
  <c r="BY66" i="23"/>
  <c r="S66" i="23"/>
  <c r="I66" i="23"/>
  <c r="G86" i="23"/>
  <c r="E86" i="23"/>
  <c r="F86" i="23"/>
  <c r="CE63" i="2"/>
  <c r="AL62" i="2"/>
  <c r="AA62" i="2"/>
  <c r="AX62" i="2" s="1"/>
  <c r="AJ62" i="2"/>
  <c r="AW61" i="2"/>
  <c r="BS60" i="2"/>
  <c r="BK61" i="2"/>
  <c r="BJ61" i="2"/>
  <c r="BD61" i="2"/>
  <c r="BC61" i="2"/>
  <c r="AU61" i="2"/>
  <c r="I63" i="20"/>
  <c r="AT61" i="2"/>
  <c r="AY62" i="2"/>
  <c r="H62" i="2"/>
  <c r="H63" i="20"/>
  <c r="AR55" i="2"/>
  <c r="BH61" i="2"/>
  <c r="BG61" i="2"/>
  <c r="BF61" i="2" s="1"/>
  <c r="A71" i="14"/>
  <c r="A64" i="20"/>
  <c r="E64" i="20" s="1"/>
  <c r="G62" i="2"/>
  <c r="F62" i="2"/>
  <c r="F69" i="14"/>
  <c r="U61" i="2"/>
  <c r="E69" i="14"/>
  <c r="W62" i="2"/>
  <c r="B70" i="14"/>
  <c r="A63" i="19"/>
  <c r="B59" i="19"/>
  <c r="D66" i="14"/>
  <c r="BR52" i="2"/>
  <c r="C67" i="14"/>
  <c r="D67" i="14" s="1"/>
  <c r="J62" i="14"/>
  <c r="I63" i="14"/>
  <c r="BR53" i="2"/>
  <c r="J61" i="14"/>
  <c r="H61" i="14"/>
  <c r="Q55" i="3"/>
  <c r="R55" i="3"/>
  <c r="AN20" i="2" s="1"/>
  <c r="AO20" i="2" s="1"/>
  <c r="P55" i="3"/>
  <c r="AN5" i="2" s="1"/>
  <c r="BO13" i="2"/>
  <c r="BO3" i="2"/>
  <c r="BO4" i="2"/>
  <c r="BO12" i="2"/>
  <c r="AQ56" i="2"/>
  <c r="K56" i="3"/>
  <c r="L56" i="3"/>
  <c r="A57" i="3"/>
  <c r="M56" i="3"/>
  <c r="I56" i="3"/>
  <c r="N56" i="3"/>
  <c r="J56" i="3"/>
  <c r="BV66" i="23" l="1"/>
  <c r="R231" i="32"/>
  <c r="N233" i="32"/>
  <c r="A107" i="30"/>
  <c r="AU65" i="29"/>
  <c r="BH65" i="29"/>
  <c r="BS64" i="29"/>
  <c r="BJ65" i="29"/>
  <c r="BC65" i="29"/>
  <c r="BD65" i="29"/>
  <c r="AW65" i="29"/>
  <c r="BS65" i="29"/>
  <c r="AB66" i="29"/>
  <c r="AL66" i="29"/>
  <c r="BJ66" i="29" s="1"/>
  <c r="AA66" i="29"/>
  <c r="AX66" i="29" s="1"/>
  <c r="Y66" i="29"/>
  <c r="AT66" i="29" s="1"/>
  <c r="AJ66" i="29"/>
  <c r="BH66" i="29" s="1"/>
  <c r="F66" i="29"/>
  <c r="H66" i="29"/>
  <c r="G66" i="29"/>
  <c r="U66" i="29"/>
  <c r="W66" i="29"/>
  <c r="Z65" i="29"/>
  <c r="X65" i="29"/>
  <c r="AR65" i="29"/>
  <c r="AY66" i="29"/>
  <c r="BB66" i="29"/>
  <c r="BD66" i="29" s="1"/>
  <c r="AO66" i="29"/>
  <c r="BO66" i="29" s="1"/>
  <c r="AQ65" i="29"/>
  <c r="L67" i="29"/>
  <c r="AG67" i="29" s="1"/>
  <c r="M67" i="29"/>
  <c r="CE67" i="29"/>
  <c r="CF67" i="29" s="1"/>
  <c r="P67" i="29"/>
  <c r="AV67" i="29"/>
  <c r="R67" i="29"/>
  <c r="T67" i="29" s="1"/>
  <c r="Q67" i="29" s="1"/>
  <c r="S67" i="29"/>
  <c r="I67" i="29"/>
  <c r="BI67" i="29"/>
  <c r="B68" i="29"/>
  <c r="CD68" i="29" s="1"/>
  <c r="AN67" i="29"/>
  <c r="N67" i="29"/>
  <c r="V67" i="29"/>
  <c r="AI67" i="29"/>
  <c r="CJ67" i="29"/>
  <c r="CK67" i="29" s="1"/>
  <c r="E67" i="29"/>
  <c r="BE67" i="29"/>
  <c r="CH67" i="29"/>
  <c r="K67" i="29"/>
  <c r="J67" i="29"/>
  <c r="AK67" i="29"/>
  <c r="AP67" i="29"/>
  <c r="CI67" i="29"/>
  <c r="AS67" i="29"/>
  <c r="BL67" i="29"/>
  <c r="C67" i="29"/>
  <c r="AB67" i="2"/>
  <c r="AK68" i="2"/>
  <c r="AI68" i="2"/>
  <c r="Z62" i="2"/>
  <c r="X62" i="2"/>
  <c r="V68" i="2"/>
  <c r="S68" i="2"/>
  <c r="L68" i="2"/>
  <c r="K68" i="2"/>
  <c r="J68" i="2"/>
  <c r="I68" i="2"/>
  <c r="M68" i="2"/>
  <c r="N68" i="2"/>
  <c r="C68" i="2"/>
  <c r="BE68" i="2"/>
  <c r="B69" i="2"/>
  <c r="AV68" i="2"/>
  <c r="BL68" i="2"/>
  <c r="AS68" i="2"/>
  <c r="BB68" i="2" s="1"/>
  <c r="E68" i="2"/>
  <c r="BI68" i="2"/>
  <c r="AP68" i="2"/>
  <c r="BM62" i="2"/>
  <c r="P64" i="2"/>
  <c r="T63" i="2"/>
  <c r="Q63" i="2" s="1"/>
  <c r="AG64" i="2"/>
  <c r="BU67" i="23"/>
  <c r="K67" i="23"/>
  <c r="L67" i="23" s="1"/>
  <c r="BB65" i="23"/>
  <c r="R64" i="2"/>
  <c r="AL65" i="23"/>
  <c r="BH65" i="23"/>
  <c r="P66" i="23"/>
  <c r="AF66" i="23" s="1"/>
  <c r="N66" i="23"/>
  <c r="AR65" i="23"/>
  <c r="AS65" i="23"/>
  <c r="AW65" i="23"/>
  <c r="AG65" i="23"/>
  <c r="AY65" i="23"/>
  <c r="AQ66" i="23"/>
  <c r="AN66" i="23"/>
  <c r="M66" i="23"/>
  <c r="BB66" i="23" s="1"/>
  <c r="J66" i="23"/>
  <c r="BA67" i="23"/>
  <c r="Q67" i="23"/>
  <c r="AX67" i="23"/>
  <c r="AC67" i="23"/>
  <c r="I67" i="23"/>
  <c r="AK67" i="23"/>
  <c r="C67" i="23"/>
  <c r="B68" i="23"/>
  <c r="BT68" i="23" s="1"/>
  <c r="AE67" i="23"/>
  <c r="Z67" i="23"/>
  <c r="O67" i="23"/>
  <c r="BX67" i="23"/>
  <c r="X67" i="23"/>
  <c r="AH67" i="23"/>
  <c r="BZ67" i="23"/>
  <c r="CA67" i="23" s="1"/>
  <c r="AT67" i="23"/>
  <c r="BY67" i="23"/>
  <c r="S67" i="23"/>
  <c r="T66" i="23"/>
  <c r="AL66" i="23" s="1"/>
  <c r="Y66" i="23"/>
  <c r="AV66" i="23" s="1"/>
  <c r="AU66" i="23" s="1"/>
  <c r="AA66" i="23"/>
  <c r="AY66" i="23" s="1"/>
  <c r="R66" i="23"/>
  <c r="AI66" i="23" s="1"/>
  <c r="D66" i="23"/>
  <c r="AJ65" i="23"/>
  <c r="G87" i="23"/>
  <c r="F87" i="23"/>
  <c r="E87" i="23"/>
  <c r="CE64" i="2"/>
  <c r="AL63" i="2"/>
  <c r="AA63" i="2"/>
  <c r="AX63" i="2" s="1"/>
  <c r="AJ63" i="2"/>
  <c r="AW62" i="2"/>
  <c r="AO5" i="2"/>
  <c r="BO5" i="2" s="1"/>
  <c r="E53" i="19"/>
  <c r="E52" i="19"/>
  <c r="BS61" i="2"/>
  <c r="BK62" i="2"/>
  <c r="BJ62" i="2"/>
  <c r="BD62" i="2"/>
  <c r="BC62" i="2"/>
  <c r="AY63" i="2"/>
  <c r="AR56" i="2"/>
  <c r="H63" i="2"/>
  <c r="BH62" i="2"/>
  <c r="BG62" i="2"/>
  <c r="BF62" i="2" s="1"/>
  <c r="A65" i="20"/>
  <c r="E65" i="20" s="1"/>
  <c r="H64" i="20"/>
  <c r="I64" i="20"/>
  <c r="E70" i="14"/>
  <c r="G63" i="2"/>
  <c r="F63" i="2"/>
  <c r="F70" i="14"/>
  <c r="U62" i="2"/>
  <c r="W63" i="2"/>
  <c r="B71" i="14"/>
  <c r="A64" i="19"/>
  <c r="A72" i="14"/>
  <c r="B60" i="19"/>
  <c r="Y63" i="2"/>
  <c r="G71" i="14" s="1"/>
  <c r="Y62" i="2"/>
  <c r="C68" i="14"/>
  <c r="D68" i="14" s="1"/>
  <c r="H63" i="14"/>
  <c r="H62" i="14"/>
  <c r="I62" i="14"/>
  <c r="P56" i="3"/>
  <c r="R56" i="3"/>
  <c r="Q56" i="3"/>
  <c r="BO14" i="2"/>
  <c r="AQ57" i="2"/>
  <c r="K57" i="3"/>
  <c r="L57" i="3"/>
  <c r="A58" i="3"/>
  <c r="M57" i="3"/>
  <c r="I57" i="3"/>
  <c r="N57" i="3"/>
  <c r="J57" i="3"/>
  <c r="BV67" i="23" l="1"/>
  <c r="R233" i="32"/>
  <c r="N235" i="32"/>
  <c r="A108" i="30"/>
  <c r="BR65" i="29"/>
  <c r="AW66" i="29"/>
  <c r="BM67" i="29"/>
  <c r="BC66" i="29"/>
  <c r="AU66" i="29"/>
  <c r="BK66" i="29"/>
  <c r="AO67" i="29"/>
  <c r="BO67" i="29" s="1"/>
  <c r="U67" i="29"/>
  <c r="W67" i="29"/>
  <c r="AR67" i="29" s="1"/>
  <c r="H67" i="29"/>
  <c r="G67" i="29"/>
  <c r="F67" i="29"/>
  <c r="BB67" i="29"/>
  <c r="BD67" i="29" s="1"/>
  <c r="AY67" i="29"/>
  <c r="BG66" i="29"/>
  <c r="BF66" i="29" s="1"/>
  <c r="Y67" i="29"/>
  <c r="AU67" i="29" s="1"/>
  <c r="AL67" i="29"/>
  <c r="BJ67" i="29" s="1"/>
  <c r="AJ67" i="29"/>
  <c r="BH67" i="29" s="1"/>
  <c r="AB67" i="29"/>
  <c r="AA67" i="29"/>
  <c r="AW67" i="29" s="1"/>
  <c r="V68" i="29"/>
  <c r="L68" i="29"/>
  <c r="AG68" i="29" s="1"/>
  <c r="BI68" i="29"/>
  <c r="B69" i="29"/>
  <c r="CD69" i="29" s="1"/>
  <c r="AN68" i="29"/>
  <c r="N68" i="29"/>
  <c r="S68" i="29"/>
  <c r="BE68" i="29"/>
  <c r="CH68" i="29"/>
  <c r="K68" i="29"/>
  <c r="J68" i="29"/>
  <c r="M68" i="29"/>
  <c r="AI68" i="29"/>
  <c r="CI68" i="29"/>
  <c r="AS68" i="29"/>
  <c r="BL68" i="29"/>
  <c r="C68" i="29"/>
  <c r="CJ68" i="29"/>
  <c r="CK68" i="29" s="1"/>
  <c r="I68" i="29"/>
  <c r="AK68" i="29"/>
  <c r="CE68" i="29"/>
  <c r="CF68" i="29" s="1"/>
  <c r="P68" i="29"/>
  <c r="AV68" i="29"/>
  <c r="R68" i="29"/>
  <c r="T68" i="29" s="1"/>
  <c r="Q68" i="29" s="1"/>
  <c r="AP68" i="29"/>
  <c r="E68" i="29"/>
  <c r="AR66" i="29"/>
  <c r="Z66" i="29"/>
  <c r="X66" i="29"/>
  <c r="AQ66" i="29"/>
  <c r="BR66" i="29"/>
  <c r="AB68" i="2"/>
  <c r="AK69" i="2"/>
  <c r="AI69" i="2"/>
  <c r="X63" i="2"/>
  <c r="Z63" i="2"/>
  <c r="V69" i="2"/>
  <c r="S69" i="2"/>
  <c r="L69" i="2"/>
  <c r="K69" i="2"/>
  <c r="J69" i="2"/>
  <c r="I69" i="2"/>
  <c r="M69" i="2"/>
  <c r="N69" i="2"/>
  <c r="C69" i="2"/>
  <c r="BE69" i="2"/>
  <c r="B70" i="2"/>
  <c r="AV69" i="2"/>
  <c r="BL69" i="2"/>
  <c r="AS69" i="2"/>
  <c r="BB69" i="2" s="1"/>
  <c r="E69" i="2"/>
  <c r="BI69" i="2"/>
  <c r="AP69" i="2"/>
  <c r="BM63" i="2"/>
  <c r="P65" i="2"/>
  <c r="T64" i="2"/>
  <c r="Q64" i="2" s="1"/>
  <c r="AG65" i="2"/>
  <c r="BU68" i="23"/>
  <c r="K68" i="23"/>
  <c r="L68" i="23" s="1"/>
  <c r="R65" i="2"/>
  <c r="AG66" i="23"/>
  <c r="BG65" i="23"/>
  <c r="AD66" i="23"/>
  <c r="BD66" i="23" s="1"/>
  <c r="J67" i="23"/>
  <c r="M67" i="23"/>
  <c r="BB67" i="23" s="1"/>
  <c r="AW66" i="23"/>
  <c r="BG66" i="23" s="1"/>
  <c r="AM66" i="23"/>
  <c r="T67" i="23"/>
  <c r="AM67" i="23" s="1"/>
  <c r="AA67" i="23"/>
  <c r="AZ67" i="23" s="1"/>
  <c r="D67" i="23"/>
  <c r="R67" i="23"/>
  <c r="AI67" i="23" s="1"/>
  <c r="Y67" i="23"/>
  <c r="AV67" i="23" s="1"/>
  <c r="AU67" i="23" s="1"/>
  <c r="Z68" i="23"/>
  <c r="AK68" i="23"/>
  <c r="AT68" i="23"/>
  <c r="S68" i="23"/>
  <c r="O68" i="23"/>
  <c r="Q68" i="23"/>
  <c r="BZ68" i="23"/>
  <c r="CA68" i="23" s="1"/>
  <c r="BX68" i="23"/>
  <c r="C68" i="23"/>
  <c r="AC68" i="23"/>
  <c r="X68" i="23"/>
  <c r="AE68" i="23"/>
  <c r="BA68" i="23"/>
  <c r="BY68" i="23"/>
  <c r="AH68" i="23"/>
  <c r="B69" i="23"/>
  <c r="BT69" i="23" s="1"/>
  <c r="I68" i="23"/>
  <c r="AX68" i="23"/>
  <c r="AJ66" i="23"/>
  <c r="N67" i="23"/>
  <c r="P67" i="23"/>
  <c r="AF67" i="23" s="1"/>
  <c r="AQ67" i="23"/>
  <c r="AN67" i="23"/>
  <c r="AS66" i="23"/>
  <c r="AR66" i="23"/>
  <c r="AZ66" i="23"/>
  <c r="BH66" i="23" s="1"/>
  <c r="F88" i="23"/>
  <c r="E88" i="23"/>
  <c r="G88" i="23"/>
  <c r="CE65" i="2"/>
  <c r="AJ64" i="2"/>
  <c r="AL64" i="2"/>
  <c r="AA64" i="2"/>
  <c r="AX64" i="2" s="1"/>
  <c r="AW63" i="2"/>
  <c r="BS62" i="2"/>
  <c r="BK63" i="2"/>
  <c r="BJ63" i="2"/>
  <c r="BC63" i="2"/>
  <c r="BD63" i="2"/>
  <c r="G70" i="14"/>
  <c r="AU62" i="2"/>
  <c r="AT62" i="2"/>
  <c r="AT63" i="2"/>
  <c r="AU63" i="2"/>
  <c r="AY64" i="2"/>
  <c r="AR57" i="2"/>
  <c r="H64" i="2"/>
  <c r="H65" i="20"/>
  <c r="BH63" i="2"/>
  <c r="BG63" i="2"/>
  <c r="BF63" i="2" s="1"/>
  <c r="I65" i="20"/>
  <c r="A66" i="20"/>
  <c r="E66" i="20" s="1"/>
  <c r="F64" i="2"/>
  <c r="G64" i="2"/>
  <c r="A65" i="19"/>
  <c r="B72" i="14"/>
  <c r="F71" i="14"/>
  <c r="U63" i="2"/>
  <c r="E71" i="14"/>
  <c r="A73" i="14"/>
  <c r="W64" i="2"/>
  <c r="B61" i="19"/>
  <c r="Y64" i="2"/>
  <c r="G72" i="14" s="1"/>
  <c r="BR54" i="2"/>
  <c r="J63" i="14"/>
  <c r="C69" i="14"/>
  <c r="D69" i="14" s="1"/>
  <c r="J64" i="14"/>
  <c r="H64" i="14"/>
  <c r="P57" i="3"/>
  <c r="BR55" i="2"/>
  <c r="R57" i="3"/>
  <c r="Q57" i="3"/>
  <c r="BO15" i="2"/>
  <c r="AQ58" i="2"/>
  <c r="K58" i="3"/>
  <c r="L58" i="3"/>
  <c r="A59" i="3"/>
  <c r="M58" i="3"/>
  <c r="I58" i="3"/>
  <c r="N58" i="3"/>
  <c r="J58" i="3"/>
  <c r="BV68" i="23" l="1"/>
  <c r="R235" i="32"/>
  <c r="N237" i="32"/>
  <c r="A109" i="30"/>
  <c r="BS66" i="29"/>
  <c r="BR67" i="29"/>
  <c r="BC67" i="29"/>
  <c r="AQ67" i="29"/>
  <c r="AT67" i="29"/>
  <c r="BK67" i="29"/>
  <c r="AB68" i="29"/>
  <c r="AA68" i="29"/>
  <c r="AX68" i="29" s="1"/>
  <c r="AL68" i="29"/>
  <c r="BJ68" i="29" s="1"/>
  <c r="AJ68" i="29"/>
  <c r="BH68" i="29" s="1"/>
  <c r="Y68" i="29"/>
  <c r="AT68" i="29" s="1"/>
  <c r="G68" i="29"/>
  <c r="F68" i="29"/>
  <c r="H68" i="29"/>
  <c r="Z67" i="29"/>
  <c r="X67" i="29"/>
  <c r="BM68" i="29"/>
  <c r="BG68" i="29"/>
  <c r="BF68" i="29" s="1"/>
  <c r="AO68" i="29"/>
  <c r="BO68" i="29" s="1"/>
  <c r="W68" i="29"/>
  <c r="AQ68" i="29" s="1"/>
  <c r="U68" i="29"/>
  <c r="AY68" i="29"/>
  <c r="BB68" i="29"/>
  <c r="BC68" i="29" s="1"/>
  <c r="AK69" i="29"/>
  <c r="AV69" i="29"/>
  <c r="R69" i="29"/>
  <c r="T69" i="29" s="1"/>
  <c r="Q69" i="29" s="1"/>
  <c r="AP69" i="29"/>
  <c r="CI69" i="29"/>
  <c r="AS69" i="29"/>
  <c r="V69" i="29"/>
  <c r="L69" i="29"/>
  <c r="AG69" i="29" s="1"/>
  <c r="B70" i="29"/>
  <c r="CD70" i="29" s="1"/>
  <c r="AN69" i="29"/>
  <c r="N69" i="29"/>
  <c r="M69" i="29"/>
  <c r="CE69" i="29"/>
  <c r="CF69" i="29" s="1"/>
  <c r="P69" i="29"/>
  <c r="S69" i="29"/>
  <c r="CH69" i="29"/>
  <c r="K69" i="29"/>
  <c r="J69" i="29"/>
  <c r="I69" i="29"/>
  <c r="BI69" i="29"/>
  <c r="AI69" i="29"/>
  <c r="BL69" i="29"/>
  <c r="C69" i="29"/>
  <c r="CJ69" i="29"/>
  <c r="CK69" i="29" s="1"/>
  <c r="E69" i="29"/>
  <c r="BE69" i="29"/>
  <c r="AX67" i="29"/>
  <c r="BG67" i="29"/>
  <c r="BF67" i="29" s="1"/>
  <c r="AB69" i="2"/>
  <c r="AI70" i="2"/>
  <c r="AK70" i="2"/>
  <c r="Z64" i="2"/>
  <c r="X64" i="2"/>
  <c r="V70" i="2"/>
  <c r="S70" i="2"/>
  <c r="L70" i="2"/>
  <c r="K70" i="2"/>
  <c r="J70" i="2"/>
  <c r="I70" i="2"/>
  <c r="M70" i="2"/>
  <c r="N70" i="2"/>
  <c r="C70" i="2"/>
  <c r="BE70" i="2"/>
  <c r="B71" i="2"/>
  <c r="AS70" i="2"/>
  <c r="BB70" i="2" s="1"/>
  <c r="E70" i="2"/>
  <c r="AV70" i="2"/>
  <c r="BL70" i="2"/>
  <c r="BI70" i="2"/>
  <c r="AP70" i="2"/>
  <c r="P66" i="2"/>
  <c r="BM64" i="2"/>
  <c r="T65" i="2"/>
  <c r="Q65" i="2" s="1"/>
  <c r="AG66" i="2"/>
  <c r="BU69" i="23"/>
  <c r="K69" i="23"/>
  <c r="L69" i="23" s="1"/>
  <c r="R66" i="2"/>
  <c r="AW67" i="23"/>
  <c r="AJ67" i="23"/>
  <c r="AL67" i="23"/>
  <c r="AY67" i="23"/>
  <c r="AD67" i="23"/>
  <c r="BD67" i="23" s="1"/>
  <c r="BH67" i="23"/>
  <c r="AQ68" i="23"/>
  <c r="AN68" i="23"/>
  <c r="AR67" i="23"/>
  <c r="AS67" i="23"/>
  <c r="J68" i="23"/>
  <c r="M68" i="23"/>
  <c r="AD68" i="23" s="1"/>
  <c r="BD68" i="23" s="1"/>
  <c r="AG67" i="23"/>
  <c r="BY69" i="23"/>
  <c r="AH69" i="23"/>
  <c r="AK69" i="23"/>
  <c r="C69" i="23"/>
  <c r="S69" i="23"/>
  <c r="Q69" i="23"/>
  <c r="AC69" i="23"/>
  <c r="AX69" i="23"/>
  <c r="BX69" i="23"/>
  <c r="O69" i="23"/>
  <c r="B70" i="23"/>
  <c r="BT70" i="23" s="1"/>
  <c r="X69" i="23"/>
  <c r="AT69" i="23"/>
  <c r="BA69" i="23"/>
  <c r="I69" i="23"/>
  <c r="AE69" i="23"/>
  <c r="Z69" i="23"/>
  <c r="BZ69" i="23"/>
  <c r="CA69" i="23" s="1"/>
  <c r="R68" i="23"/>
  <c r="AJ68" i="23" s="1"/>
  <c r="D68" i="23"/>
  <c r="Y68" i="23"/>
  <c r="AW68" i="23" s="1"/>
  <c r="T68" i="23"/>
  <c r="AL68" i="23" s="1"/>
  <c r="AA68" i="23"/>
  <c r="AY68" i="23" s="1"/>
  <c r="N68" i="23"/>
  <c r="P68" i="23"/>
  <c r="AG68" i="23" s="1"/>
  <c r="E89" i="23"/>
  <c r="F89" i="23"/>
  <c r="G89" i="23"/>
  <c r="CE66" i="2"/>
  <c r="AJ65" i="2"/>
  <c r="AL65" i="2"/>
  <c r="AA65" i="2"/>
  <c r="AX65" i="2" s="1"/>
  <c r="AW64" i="2"/>
  <c r="E55" i="19"/>
  <c r="E54" i="19"/>
  <c r="BK64" i="2"/>
  <c r="BJ64" i="2"/>
  <c r="BS63" i="2"/>
  <c r="BD64" i="2"/>
  <c r="BC64" i="2"/>
  <c r="AU64" i="2"/>
  <c r="AT64" i="2"/>
  <c r="AY65" i="2"/>
  <c r="A66" i="19"/>
  <c r="AR58" i="2"/>
  <c r="H65" i="2"/>
  <c r="BH64" i="2"/>
  <c r="BG64" i="2"/>
  <c r="BF64" i="2" s="1"/>
  <c r="U65" i="2"/>
  <c r="W65" i="2"/>
  <c r="F65" i="2"/>
  <c r="G65" i="2"/>
  <c r="A74" i="14"/>
  <c r="A67" i="20"/>
  <c r="E67" i="20" s="1"/>
  <c r="I66" i="20"/>
  <c r="H66" i="20"/>
  <c r="B73" i="14"/>
  <c r="E72" i="14"/>
  <c r="F72" i="14"/>
  <c r="U64" i="2"/>
  <c r="B62" i="19"/>
  <c r="Y65" i="2"/>
  <c r="G73" i="14" s="1"/>
  <c r="C70" i="14"/>
  <c r="D70" i="14" s="1"/>
  <c r="J65" i="14"/>
  <c r="H66" i="14"/>
  <c r="I64" i="14"/>
  <c r="P58" i="3"/>
  <c r="R58" i="3"/>
  <c r="Q58" i="3"/>
  <c r="AQ59" i="2"/>
  <c r="K59" i="3"/>
  <c r="L59" i="3"/>
  <c r="A60" i="3"/>
  <c r="M59" i="3"/>
  <c r="I59" i="3"/>
  <c r="N59" i="3"/>
  <c r="J59" i="3"/>
  <c r="BV69" i="23" l="1"/>
  <c r="R237" i="32"/>
  <c r="N239" i="32"/>
  <c r="A110" i="30"/>
  <c r="BS67" i="29"/>
  <c r="BD68" i="29"/>
  <c r="BM69" i="29"/>
  <c r="AO69" i="29"/>
  <c r="BO69" i="29" s="1"/>
  <c r="AW68" i="29"/>
  <c r="AU68" i="29"/>
  <c r="AJ69" i="29"/>
  <c r="BH69" i="29" s="1"/>
  <c r="AA69" i="29"/>
  <c r="AW69" i="29" s="1"/>
  <c r="AB69" i="29"/>
  <c r="AL69" i="29"/>
  <c r="BK69" i="29" s="1"/>
  <c r="Y69" i="29"/>
  <c r="AT69" i="29" s="1"/>
  <c r="U69" i="29"/>
  <c r="W69" i="29"/>
  <c r="AR69" i="29" s="1"/>
  <c r="AY69" i="29"/>
  <c r="BB69" i="29"/>
  <c r="BD69" i="29" s="1"/>
  <c r="Z68" i="29"/>
  <c r="X68" i="29"/>
  <c r="BR68" i="29"/>
  <c r="AR68" i="29"/>
  <c r="AK70" i="29"/>
  <c r="N70" i="29"/>
  <c r="M70" i="29"/>
  <c r="CE70" i="29"/>
  <c r="CF70" i="29" s="1"/>
  <c r="P70" i="29"/>
  <c r="AV70" i="29"/>
  <c r="S70" i="29"/>
  <c r="J70" i="29"/>
  <c r="I70" i="29"/>
  <c r="BI70" i="29"/>
  <c r="B71" i="29"/>
  <c r="CD71" i="29" s="1"/>
  <c r="AN70" i="29"/>
  <c r="AI70" i="29"/>
  <c r="CJ70" i="29"/>
  <c r="CK70" i="29" s="1"/>
  <c r="E70" i="29"/>
  <c r="BE70" i="29"/>
  <c r="CH70" i="29"/>
  <c r="K70" i="29"/>
  <c r="V70" i="29"/>
  <c r="L70" i="29"/>
  <c r="AG70" i="29" s="1"/>
  <c r="R70" i="29"/>
  <c r="T70" i="29" s="1"/>
  <c r="Q70" i="29" s="1"/>
  <c r="AP70" i="29"/>
  <c r="CI70" i="29"/>
  <c r="AS70" i="29"/>
  <c r="BL70" i="29"/>
  <c r="BM70" i="29" s="1"/>
  <c r="C70" i="29"/>
  <c r="G69" i="29"/>
  <c r="F69" i="29"/>
  <c r="H69" i="29"/>
  <c r="BK68" i="29"/>
  <c r="BS68" i="29" s="1"/>
  <c r="AB70" i="2"/>
  <c r="AI71" i="2"/>
  <c r="AK71" i="2"/>
  <c r="Z65" i="2"/>
  <c r="X65" i="2"/>
  <c r="V71" i="2"/>
  <c r="L71" i="2"/>
  <c r="S71" i="2"/>
  <c r="K71" i="2"/>
  <c r="J71" i="2"/>
  <c r="I71" i="2"/>
  <c r="M71" i="2"/>
  <c r="N71" i="2"/>
  <c r="C71" i="2"/>
  <c r="AV71" i="2"/>
  <c r="BL71" i="2"/>
  <c r="BI71" i="2"/>
  <c r="AP71" i="2"/>
  <c r="BE71" i="2"/>
  <c r="B72" i="2"/>
  <c r="AS71" i="2"/>
  <c r="BB71" i="2" s="1"/>
  <c r="E71" i="2"/>
  <c r="P67" i="2"/>
  <c r="BM65" i="2"/>
  <c r="T66" i="2"/>
  <c r="Q66" i="2" s="1"/>
  <c r="AG67" i="2"/>
  <c r="BU70" i="23"/>
  <c r="K70" i="23"/>
  <c r="L70" i="23" s="1"/>
  <c r="BB68" i="23"/>
  <c r="BG67" i="23"/>
  <c r="R67" i="2"/>
  <c r="AM68" i="23"/>
  <c r="BG68" i="23"/>
  <c r="AR68" i="23"/>
  <c r="AS68" i="23"/>
  <c r="Y69" i="23"/>
  <c r="AV69" i="23" s="1"/>
  <c r="AU69" i="23" s="1"/>
  <c r="R69" i="23"/>
  <c r="AI69" i="23" s="1"/>
  <c r="T69" i="23"/>
  <c r="AL69" i="23" s="1"/>
  <c r="D69" i="23"/>
  <c r="AA69" i="23"/>
  <c r="AZ69" i="23" s="1"/>
  <c r="BX70" i="23"/>
  <c r="X70" i="23"/>
  <c r="Z70" i="23"/>
  <c r="AT70" i="23"/>
  <c r="BA70" i="23"/>
  <c r="AX70" i="23"/>
  <c r="AK70" i="23"/>
  <c r="C70" i="23"/>
  <c r="I70" i="23"/>
  <c r="AH70" i="23"/>
  <c r="AE70" i="23"/>
  <c r="O70" i="23"/>
  <c r="S70" i="23"/>
  <c r="B71" i="23"/>
  <c r="BT71" i="23" s="1"/>
  <c r="AC70" i="23"/>
  <c r="BY70" i="23"/>
  <c r="BZ70" i="23"/>
  <c r="CA70" i="23" s="1"/>
  <c r="Q70" i="23"/>
  <c r="AZ68" i="23"/>
  <c r="N69" i="23"/>
  <c r="P69" i="23"/>
  <c r="AF69" i="23" s="1"/>
  <c r="AQ69" i="23"/>
  <c r="AN69" i="23"/>
  <c r="AI68" i="23"/>
  <c r="AF68" i="23"/>
  <c r="M69" i="23"/>
  <c r="BB69" i="23" s="1"/>
  <c r="J69" i="23"/>
  <c r="AV68" i="23"/>
  <c r="AU68" i="23" s="1"/>
  <c r="G90" i="23"/>
  <c r="F90" i="23"/>
  <c r="E90" i="23"/>
  <c r="AJ66" i="2"/>
  <c r="BG66" i="2" s="1"/>
  <c r="BF66" i="2" s="1"/>
  <c r="CE67" i="2"/>
  <c r="AA66" i="2"/>
  <c r="AW66" i="2" s="1"/>
  <c r="B74" i="14"/>
  <c r="AL66" i="2"/>
  <c r="BK66" i="2" s="1"/>
  <c r="AW65" i="2"/>
  <c r="E73" i="14"/>
  <c r="A75" i="14"/>
  <c r="BS64" i="2"/>
  <c r="BK65" i="2"/>
  <c r="BJ65" i="2"/>
  <c r="BD65" i="2"/>
  <c r="BC65" i="2"/>
  <c r="AT65" i="2"/>
  <c r="AU65" i="2"/>
  <c r="A67" i="19"/>
  <c r="W66" i="2"/>
  <c r="H66" i="2"/>
  <c r="AR59" i="2"/>
  <c r="AY66" i="2"/>
  <c r="F73" i="14"/>
  <c r="BH65" i="2"/>
  <c r="BG65" i="2"/>
  <c r="BF65" i="2" s="1"/>
  <c r="F66" i="2"/>
  <c r="G66" i="2"/>
  <c r="A68" i="20"/>
  <c r="I67" i="20"/>
  <c r="H67" i="20"/>
  <c r="U66" i="2"/>
  <c r="B63" i="19"/>
  <c r="C71" i="14"/>
  <c r="I66" i="14"/>
  <c r="BR56" i="2"/>
  <c r="J67" i="14"/>
  <c r="J66" i="14"/>
  <c r="H65" i="14"/>
  <c r="I65" i="14"/>
  <c r="P59" i="3"/>
  <c r="Q59" i="3"/>
  <c r="R59" i="3"/>
  <c r="AQ60" i="2"/>
  <c r="K60" i="3"/>
  <c r="L60" i="3"/>
  <c r="A61" i="3"/>
  <c r="M60" i="3"/>
  <c r="I60" i="3"/>
  <c r="N60" i="3"/>
  <c r="J60" i="3"/>
  <c r="BV70" i="23" l="1"/>
  <c r="R239" i="32"/>
  <c r="N241" i="32"/>
  <c r="A111" i="30"/>
  <c r="AX69" i="29"/>
  <c r="BC69" i="29"/>
  <c r="AQ69" i="29"/>
  <c r="BG69" i="29"/>
  <c r="BF69" i="29" s="1"/>
  <c r="BS69" i="29" s="1"/>
  <c r="AU69" i="29"/>
  <c r="BJ69" i="29"/>
  <c r="BR69" i="29" s="1"/>
  <c r="AO70" i="29"/>
  <c r="BO70" i="29" s="1"/>
  <c r="U70" i="29"/>
  <c r="W70" i="29"/>
  <c r="AQ70" i="29" s="1"/>
  <c r="AK71" i="29"/>
  <c r="CE71" i="29"/>
  <c r="CF71" i="29" s="1"/>
  <c r="B72" i="29"/>
  <c r="CD72" i="29" s="1"/>
  <c r="M71" i="29"/>
  <c r="P71" i="29"/>
  <c r="R71" i="29"/>
  <c r="T71" i="29" s="1"/>
  <c r="Q71" i="29" s="1"/>
  <c r="L71" i="29"/>
  <c r="BI71" i="29"/>
  <c r="CH71" i="29"/>
  <c r="I71" i="29"/>
  <c r="K71" i="29"/>
  <c r="N71" i="29"/>
  <c r="S71" i="29"/>
  <c r="CJ71" i="29"/>
  <c r="CK71" i="29" s="1"/>
  <c r="BE71" i="29"/>
  <c r="BL71" i="29"/>
  <c r="E71" i="29"/>
  <c r="C71" i="29"/>
  <c r="J71" i="29"/>
  <c r="V71" i="29"/>
  <c r="AI71" i="29"/>
  <c r="CI71" i="29"/>
  <c r="AS71" i="29"/>
  <c r="AV71" i="29"/>
  <c r="AP71" i="29"/>
  <c r="AN71" i="29"/>
  <c r="AO71" i="29" s="1"/>
  <c r="BO71" i="29" s="1"/>
  <c r="AG71" i="29"/>
  <c r="AB70" i="29"/>
  <c r="AL70" i="29"/>
  <c r="BJ70" i="29" s="1"/>
  <c r="AA70" i="29"/>
  <c r="AW70" i="29" s="1"/>
  <c r="Y70" i="29"/>
  <c r="AU70" i="29" s="1"/>
  <c r="AJ70" i="29"/>
  <c r="BH70" i="29" s="1"/>
  <c r="Z69" i="29"/>
  <c r="X69" i="29"/>
  <c r="AY70" i="29"/>
  <c r="BB70" i="29"/>
  <c r="BD70" i="29" s="1"/>
  <c r="H70" i="29"/>
  <c r="G70" i="29"/>
  <c r="F70" i="29"/>
  <c r="AB71" i="2"/>
  <c r="AI72" i="2"/>
  <c r="AK72" i="2"/>
  <c r="X66" i="2"/>
  <c r="Z66" i="2"/>
  <c r="V72" i="2"/>
  <c r="S72" i="2"/>
  <c r="L72" i="2"/>
  <c r="K72" i="2"/>
  <c r="J72" i="2"/>
  <c r="I72" i="2"/>
  <c r="M72" i="2"/>
  <c r="N72" i="2"/>
  <c r="C72" i="2"/>
  <c r="BE72" i="2"/>
  <c r="B73" i="2"/>
  <c r="AV72" i="2"/>
  <c r="E72" i="2"/>
  <c r="AS72" i="2"/>
  <c r="BB72" i="2" s="1"/>
  <c r="BL72" i="2"/>
  <c r="BI72" i="2"/>
  <c r="AP72" i="2"/>
  <c r="P68" i="2"/>
  <c r="BM66" i="2"/>
  <c r="T67" i="2"/>
  <c r="Q67" i="2" s="1"/>
  <c r="AG68" i="2"/>
  <c r="BH66" i="2"/>
  <c r="BU71" i="23"/>
  <c r="K71" i="23"/>
  <c r="L71" i="23" s="1"/>
  <c r="BH68" i="23"/>
  <c r="R68" i="2"/>
  <c r="AM69" i="23"/>
  <c r="AW69" i="23"/>
  <c r="AD69" i="23"/>
  <c r="BD69" i="23" s="1"/>
  <c r="AY69" i="23"/>
  <c r="M70" i="23"/>
  <c r="BB70" i="23" s="1"/>
  <c r="J70" i="23"/>
  <c r="AA70" i="23"/>
  <c r="AY70" i="23" s="1"/>
  <c r="Y70" i="23"/>
  <c r="AV70" i="23" s="1"/>
  <c r="AU70" i="23" s="1"/>
  <c r="T70" i="23"/>
  <c r="AM70" i="23" s="1"/>
  <c r="R70" i="23"/>
  <c r="AI70" i="23" s="1"/>
  <c r="D70" i="23"/>
  <c r="AR69" i="23"/>
  <c r="AS69" i="23"/>
  <c r="AQ70" i="23"/>
  <c r="AN70" i="23"/>
  <c r="P70" i="23"/>
  <c r="AF70" i="23" s="1"/>
  <c r="N70" i="23"/>
  <c r="AJ69" i="23"/>
  <c r="S71" i="23"/>
  <c r="I71" i="23"/>
  <c r="AH71" i="23"/>
  <c r="BA71" i="23"/>
  <c r="C71" i="23"/>
  <c r="AE71" i="23"/>
  <c r="BY71" i="23"/>
  <c r="Q71" i="23"/>
  <c r="B72" i="23"/>
  <c r="BT72" i="23" s="1"/>
  <c r="AT71" i="23"/>
  <c r="O71" i="23"/>
  <c r="AC71" i="23"/>
  <c r="Z71" i="23"/>
  <c r="AX71" i="23"/>
  <c r="AK71" i="23"/>
  <c r="X71" i="23"/>
  <c r="BZ71" i="23"/>
  <c r="CA71" i="23" s="1"/>
  <c r="BX71" i="23"/>
  <c r="BH69" i="23"/>
  <c r="AG69" i="23"/>
  <c r="G91" i="23"/>
  <c r="F91" i="23"/>
  <c r="E91" i="23"/>
  <c r="CE68" i="2"/>
  <c r="F67" i="2"/>
  <c r="G67" i="2"/>
  <c r="H67" i="2"/>
  <c r="BJ66" i="2"/>
  <c r="AX66" i="2"/>
  <c r="AL67" i="2"/>
  <c r="BJ67" i="2" s="1"/>
  <c r="AA67" i="2"/>
  <c r="AX67" i="2" s="1"/>
  <c r="AJ67" i="2"/>
  <c r="BH67" i="2" s="1"/>
  <c r="F74" i="14"/>
  <c r="E56" i="19"/>
  <c r="A76" i="14"/>
  <c r="A68" i="19"/>
  <c r="BS66" i="2"/>
  <c r="B75" i="14"/>
  <c r="AY68" i="2"/>
  <c r="A69" i="20"/>
  <c r="I69" i="20" s="1"/>
  <c r="BS65" i="2"/>
  <c r="BD66" i="2"/>
  <c r="BC66" i="2"/>
  <c r="AR60" i="2"/>
  <c r="W67" i="2"/>
  <c r="E74" i="14"/>
  <c r="AY67" i="2"/>
  <c r="E68" i="20"/>
  <c r="I68" i="20"/>
  <c r="H68" i="20"/>
  <c r="U67" i="2"/>
  <c r="B64" i="19"/>
  <c r="D71" i="14"/>
  <c r="BR57" i="2"/>
  <c r="Y66" i="2"/>
  <c r="Y67" i="2"/>
  <c r="G75" i="14" s="1"/>
  <c r="C72" i="14"/>
  <c r="I67" i="14"/>
  <c r="R60" i="3"/>
  <c r="P60" i="3"/>
  <c r="Q60" i="3"/>
  <c r="AQ61" i="2"/>
  <c r="K61" i="3"/>
  <c r="L61" i="3"/>
  <c r="A62" i="3"/>
  <c r="M61" i="3"/>
  <c r="I61" i="3"/>
  <c r="N61" i="3"/>
  <c r="J61" i="3"/>
  <c r="BV71" i="23" l="1"/>
  <c r="R241" i="32"/>
  <c r="N243" i="32"/>
  <c r="A112" i="30"/>
  <c r="BC70" i="29"/>
  <c r="BG70" i="29"/>
  <c r="BF70" i="29" s="1"/>
  <c r="AT70" i="29"/>
  <c r="AR70" i="29"/>
  <c r="BM71" i="29"/>
  <c r="AX70" i="29"/>
  <c r="U71" i="29"/>
  <c r="W71" i="29"/>
  <c r="AQ71" i="29" s="1"/>
  <c r="BR70" i="29"/>
  <c r="BB71" i="29"/>
  <c r="BC71" i="29" s="1"/>
  <c r="AY71" i="29"/>
  <c r="F71" i="29"/>
  <c r="H71" i="29"/>
  <c r="G71" i="29"/>
  <c r="AI72" i="29"/>
  <c r="AP72" i="29"/>
  <c r="CI72" i="29"/>
  <c r="AS72" i="29"/>
  <c r="BL72" i="29"/>
  <c r="C72" i="29"/>
  <c r="V72" i="29"/>
  <c r="M72" i="29"/>
  <c r="CE72" i="29"/>
  <c r="CF72" i="29" s="1"/>
  <c r="P72" i="29"/>
  <c r="AV72" i="29"/>
  <c r="R72" i="29"/>
  <c r="T72" i="29" s="1"/>
  <c r="Q72" i="29" s="1"/>
  <c r="AK72" i="29"/>
  <c r="I72" i="29"/>
  <c r="BI72" i="29"/>
  <c r="B73" i="29"/>
  <c r="CD73" i="29" s="1"/>
  <c r="AN72" i="29"/>
  <c r="N72" i="29"/>
  <c r="S72" i="29"/>
  <c r="L72" i="29"/>
  <c r="CJ72" i="29"/>
  <c r="CK72" i="29" s="1"/>
  <c r="E72" i="29"/>
  <c r="BE72" i="29"/>
  <c r="CH72" i="29"/>
  <c r="K72" i="29"/>
  <c r="J72" i="29"/>
  <c r="X70" i="29"/>
  <c r="Z70" i="29"/>
  <c r="AJ71" i="29"/>
  <c r="BH71" i="29" s="1"/>
  <c r="AB71" i="29"/>
  <c r="AL71" i="29"/>
  <c r="BK71" i="29" s="1"/>
  <c r="AA71" i="29"/>
  <c r="AX71" i="29" s="1"/>
  <c r="Y71" i="29"/>
  <c r="AU71" i="29" s="1"/>
  <c r="BK70" i="29"/>
  <c r="AB72" i="2"/>
  <c r="AK73" i="2"/>
  <c r="AI73" i="2"/>
  <c r="X67" i="2"/>
  <c r="Z67" i="2"/>
  <c r="V73" i="2"/>
  <c r="S73" i="2"/>
  <c r="L73" i="2"/>
  <c r="K73" i="2"/>
  <c r="J73" i="2"/>
  <c r="I73" i="2"/>
  <c r="M73" i="2"/>
  <c r="N73" i="2"/>
  <c r="C73" i="2"/>
  <c r="AS73" i="2"/>
  <c r="BB73" i="2" s="1"/>
  <c r="E73" i="2"/>
  <c r="BI73" i="2"/>
  <c r="AP73" i="2"/>
  <c r="BE73" i="2"/>
  <c r="B74" i="2"/>
  <c r="AV73" i="2"/>
  <c r="BL73" i="2"/>
  <c r="P69" i="2"/>
  <c r="E75" i="14"/>
  <c r="BM67" i="2"/>
  <c r="T68" i="2"/>
  <c r="Q68" i="2" s="1"/>
  <c r="AG69" i="2"/>
  <c r="BU72" i="23"/>
  <c r="K72" i="23"/>
  <c r="L72" i="23" s="1"/>
  <c r="R69" i="2"/>
  <c r="AG70" i="23"/>
  <c r="BG69" i="23"/>
  <c r="AW70" i="23"/>
  <c r="BG70" i="23" s="1"/>
  <c r="AZ70" i="23"/>
  <c r="BH70" i="23" s="1"/>
  <c r="AJ70" i="23"/>
  <c r="M71" i="23"/>
  <c r="AD71" i="23" s="1"/>
  <c r="BD71" i="23" s="1"/>
  <c r="J71" i="23"/>
  <c r="P71" i="23"/>
  <c r="AF71" i="23" s="1"/>
  <c r="N71" i="23"/>
  <c r="T71" i="23"/>
  <c r="AM71" i="23" s="1"/>
  <c r="AA71" i="23"/>
  <c r="AZ71" i="23" s="1"/>
  <c r="Y71" i="23"/>
  <c r="AW71" i="23" s="1"/>
  <c r="R71" i="23"/>
  <c r="AI71" i="23" s="1"/>
  <c r="D71" i="23"/>
  <c r="AN71" i="23"/>
  <c r="AQ71" i="23"/>
  <c r="AL70" i="23"/>
  <c r="Z72" i="23"/>
  <c r="AC72" i="23"/>
  <c r="O72" i="23"/>
  <c r="BA72" i="23"/>
  <c r="Q72" i="23"/>
  <c r="BZ72" i="23"/>
  <c r="CA72" i="23" s="1"/>
  <c r="B73" i="23"/>
  <c r="BT73" i="23" s="1"/>
  <c r="AT72" i="23"/>
  <c r="S72" i="23"/>
  <c r="I72" i="23"/>
  <c r="BX72" i="23"/>
  <c r="BY72" i="23"/>
  <c r="AE72" i="23"/>
  <c r="AH72" i="23"/>
  <c r="AK72" i="23"/>
  <c r="X72" i="23"/>
  <c r="AX72" i="23"/>
  <c r="C72" i="23"/>
  <c r="AD70" i="23"/>
  <c r="BD70" i="23" s="1"/>
  <c r="AR70" i="23"/>
  <c r="AS70" i="23"/>
  <c r="G92" i="23"/>
  <c r="F92" i="23"/>
  <c r="E92" i="23"/>
  <c r="H68" i="2"/>
  <c r="A77" i="14"/>
  <c r="CE69" i="2"/>
  <c r="AW67" i="2"/>
  <c r="AJ68" i="2"/>
  <c r="BH68" i="2" s="1"/>
  <c r="AL68" i="2"/>
  <c r="BK68" i="2" s="1"/>
  <c r="AA68" i="2"/>
  <c r="AX68" i="2" s="1"/>
  <c r="F75" i="14"/>
  <c r="E57" i="19"/>
  <c r="BG67" i="2"/>
  <c r="BF67" i="2" s="1"/>
  <c r="G68" i="2"/>
  <c r="F68" i="2"/>
  <c r="A70" i="20"/>
  <c r="E70" i="20" s="1"/>
  <c r="A69" i="19"/>
  <c r="B76" i="14"/>
  <c r="BK67" i="2"/>
  <c r="E69" i="20"/>
  <c r="H69" i="20"/>
  <c r="BC67" i="2"/>
  <c r="BD67" i="2"/>
  <c r="AT67" i="2"/>
  <c r="AU67" i="2"/>
  <c r="G74" i="14"/>
  <c r="AU66" i="2"/>
  <c r="AT66" i="2"/>
  <c r="W68" i="2"/>
  <c r="AR61" i="2"/>
  <c r="U68" i="2"/>
  <c r="B65" i="19"/>
  <c r="D72" i="14"/>
  <c r="BR58" i="2"/>
  <c r="C73" i="14"/>
  <c r="BR59" i="2"/>
  <c r="I68" i="14"/>
  <c r="H67" i="14"/>
  <c r="P61" i="3"/>
  <c r="R61" i="3"/>
  <c r="Q61" i="3"/>
  <c r="AQ62" i="2"/>
  <c r="K62" i="3"/>
  <c r="L62" i="3"/>
  <c r="A63" i="3"/>
  <c r="M62" i="3"/>
  <c r="I62" i="3"/>
  <c r="J62" i="3"/>
  <c r="N62" i="3"/>
  <c r="BV72" i="23" l="1"/>
  <c r="R243" i="32"/>
  <c r="N245" i="32"/>
  <c r="A113" i="30"/>
  <c r="BD71" i="29"/>
  <c r="BS70" i="29"/>
  <c r="AR71" i="29"/>
  <c r="AO72" i="29"/>
  <c r="BO72" i="29" s="1"/>
  <c r="BM72" i="29"/>
  <c r="AA72" i="29"/>
  <c r="AX72" i="29" s="1"/>
  <c r="Y72" i="29"/>
  <c r="AU72" i="29" s="1"/>
  <c r="AL72" i="29"/>
  <c r="BJ72" i="29" s="1"/>
  <c r="AJ72" i="29"/>
  <c r="BH72" i="29" s="1"/>
  <c r="AB72" i="29"/>
  <c r="BJ71" i="29"/>
  <c r="BR71" i="29" s="1"/>
  <c r="Z71" i="29"/>
  <c r="X71" i="29"/>
  <c r="AG72" i="29"/>
  <c r="F72" i="29"/>
  <c r="H72" i="29"/>
  <c r="G72" i="29"/>
  <c r="AK73" i="29"/>
  <c r="CE73" i="29"/>
  <c r="CF73" i="29" s="1"/>
  <c r="P73" i="29"/>
  <c r="AV73" i="29"/>
  <c r="R73" i="29"/>
  <c r="T73" i="29" s="1"/>
  <c r="Q73" i="29" s="1"/>
  <c r="AP73" i="29"/>
  <c r="V73" i="29"/>
  <c r="L73" i="29"/>
  <c r="BI73" i="29"/>
  <c r="B74" i="29"/>
  <c r="CD74" i="29" s="1"/>
  <c r="AN73" i="29"/>
  <c r="N73" i="29"/>
  <c r="M73" i="29"/>
  <c r="S73" i="29"/>
  <c r="BE73" i="29"/>
  <c r="CH73" i="29"/>
  <c r="K73" i="29"/>
  <c r="J73" i="29"/>
  <c r="I73" i="29"/>
  <c r="AI73" i="29"/>
  <c r="CI73" i="29"/>
  <c r="AS73" i="29"/>
  <c r="BL73" i="29"/>
  <c r="C73" i="29"/>
  <c r="CJ73" i="29"/>
  <c r="CK73" i="29" s="1"/>
  <c r="E73" i="29"/>
  <c r="BB72" i="29"/>
  <c r="AY72" i="29"/>
  <c r="BG71" i="29"/>
  <c r="BF71" i="29" s="1"/>
  <c r="BS71" i="29" s="1"/>
  <c r="W72" i="29"/>
  <c r="U72" i="29"/>
  <c r="AT71" i="29"/>
  <c r="AW71" i="29"/>
  <c r="AB73" i="2"/>
  <c r="AI74" i="2"/>
  <c r="AK74" i="2"/>
  <c r="Z68" i="2"/>
  <c r="X68" i="2"/>
  <c r="V74" i="2"/>
  <c r="S74" i="2"/>
  <c r="L74" i="2"/>
  <c r="K74" i="2"/>
  <c r="J74" i="2"/>
  <c r="I74" i="2"/>
  <c r="M74" i="2"/>
  <c r="N74" i="2"/>
  <c r="C74" i="2"/>
  <c r="AV74" i="2"/>
  <c r="BL74" i="2"/>
  <c r="BI74" i="2"/>
  <c r="AP74" i="2"/>
  <c r="BE74" i="2"/>
  <c r="B75" i="2"/>
  <c r="AS74" i="2"/>
  <c r="BB74" i="2" s="1"/>
  <c r="E74" i="2"/>
  <c r="P70" i="2"/>
  <c r="E76" i="14"/>
  <c r="BM68" i="2"/>
  <c r="T69" i="2"/>
  <c r="Q69" i="2" s="1"/>
  <c r="AG70" i="2"/>
  <c r="BU73" i="23"/>
  <c r="K73" i="23"/>
  <c r="L73" i="23" s="1"/>
  <c r="BB71" i="23"/>
  <c r="AY69" i="2"/>
  <c r="R70" i="2"/>
  <c r="BC68" i="2"/>
  <c r="AG71" i="23"/>
  <c r="AV71" i="23"/>
  <c r="AU71" i="23" s="1"/>
  <c r="BH71" i="23" s="1"/>
  <c r="AL71" i="23"/>
  <c r="AY71" i="23"/>
  <c r="BG71" i="23" s="1"/>
  <c r="J72" i="23"/>
  <c r="M72" i="23"/>
  <c r="AD72" i="23" s="1"/>
  <c r="BD72" i="23" s="1"/>
  <c r="AA72" i="23"/>
  <c r="AY72" i="23" s="1"/>
  <c r="Y72" i="23"/>
  <c r="AW72" i="23" s="1"/>
  <c r="R72" i="23"/>
  <c r="AJ72" i="23" s="1"/>
  <c r="T72" i="23"/>
  <c r="AL72" i="23" s="1"/>
  <c r="D72" i="23"/>
  <c r="AQ72" i="23"/>
  <c r="AN72" i="23"/>
  <c r="B74" i="23"/>
  <c r="BT74" i="23" s="1"/>
  <c r="AC73" i="23"/>
  <c r="BY73" i="23"/>
  <c r="AH73" i="23"/>
  <c r="AE73" i="23"/>
  <c r="BX73" i="23"/>
  <c r="X73" i="23"/>
  <c r="Q73" i="23"/>
  <c r="Z73" i="23"/>
  <c r="BA73" i="23"/>
  <c r="AX73" i="23"/>
  <c r="S73" i="23"/>
  <c r="I73" i="23"/>
  <c r="AK73" i="23"/>
  <c r="C73" i="23"/>
  <c r="AT73" i="23"/>
  <c r="BZ73" i="23"/>
  <c r="CA73" i="23" s="1"/>
  <c r="O73" i="23"/>
  <c r="N72" i="23"/>
  <c r="P72" i="23"/>
  <c r="AG72" i="23" s="1"/>
  <c r="AJ71" i="23"/>
  <c r="AR71" i="23"/>
  <c r="AS71" i="23"/>
  <c r="G93" i="23"/>
  <c r="E93" i="23"/>
  <c r="F93" i="23"/>
  <c r="CE70" i="2"/>
  <c r="G69" i="2"/>
  <c r="BC69" i="2"/>
  <c r="H69" i="2"/>
  <c r="AW68" i="2"/>
  <c r="F69" i="2"/>
  <c r="AJ69" i="2"/>
  <c r="BH69" i="2" s="1"/>
  <c r="AL69" i="2"/>
  <c r="BJ69" i="2" s="1"/>
  <c r="AA69" i="2"/>
  <c r="AX69" i="2" s="1"/>
  <c r="F76" i="14"/>
  <c r="BJ68" i="2"/>
  <c r="BS67" i="2"/>
  <c r="E58" i="19"/>
  <c r="E59" i="19"/>
  <c r="A78" i="14"/>
  <c r="AY70" i="2"/>
  <c r="A70" i="19"/>
  <c r="A71" i="20"/>
  <c r="E71" i="20" s="1"/>
  <c r="W69" i="2"/>
  <c r="BG68" i="2"/>
  <c r="BF68" i="2" s="1"/>
  <c r="BS68" i="2" s="1"/>
  <c r="I70" i="20"/>
  <c r="H70" i="20"/>
  <c r="B77" i="14"/>
  <c r="BD68" i="2"/>
  <c r="AR62" i="2"/>
  <c r="U69" i="2"/>
  <c r="B66" i="19"/>
  <c r="D73" i="14"/>
  <c r="Y69" i="2"/>
  <c r="Y68" i="2"/>
  <c r="C74" i="14"/>
  <c r="I69" i="14"/>
  <c r="J68" i="14"/>
  <c r="H68" i="14"/>
  <c r="P62" i="3"/>
  <c r="Q62" i="3"/>
  <c r="R62" i="3"/>
  <c r="AN62" i="2"/>
  <c r="AO62" i="2" s="1"/>
  <c r="AQ63" i="2"/>
  <c r="K63" i="3"/>
  <c r="L63" i="3"/>
  <c r="A64" i="3"/>
  <c r="M63" i="3"/>
  <c r="I63" i="3"/>
  <c r="N63" i="3"/>
  <c r="J63" i="3"/>
  <c r="BV73" i="23" l="1"/>
  <c r="R245" i="32"/>
  <c r="N247" i="32"/>
  <c r="A114" i="30"/>
  <c r="BG72" i="29"/>
  <c r="BF72" i="29" s="1"/>
  <c r="AT72" i="29"/>
  <c r="BK72" i="29"/>
  <c r="BD72" i="29"/>
  <c r="AW72" i="29"/>
  <c r="BC72" i="29"/>
  <c r="BM73" i="29"/>
  <c r="AO73" i="29"/>
  <c r="BO73" i="29" s="1"/>
  <c r="BR72" i="29"/>
  <c r="Z72" i="29"/>
  <c r="X72" i="29"/>
  <c r="AJ73" i="29"/>
  <c r="BH73" i="29" s="1"/>
  <c r="Y73" i="29"/>
  <c r="AU73" i="29" s="1"/>
  <c r="AB73" i="29"/>
  <c r="AA73" i="29"/>
  <c r="AX73" i="29" s="1"/>
  <c r="AL73" i="29"/>
  <c r="BK73" i="29" s="1"/>
  <c r="AG73" i="29"/>
  <c r="H73" i="29"/>
  <c r="G73" i="29"/>
  <c r="F73" i="29"/>
  <c r="AR72" i="29"/>
  <c r="AY73" i="29"/>
  <c r="BB73" i="29"/>
  <c r="W73" i="29"/>
  <c r="AR73" i="29" s="1"/>
  <c r="U73" i="29"/>
  <c r="AQ72" i="29"/>
  <c r="S74" i="29"/>
  <c r="BL74" i="29"/>
  <c r="C74" i="29"/>
  <c r="CJ74" i="29"/>
  <c r="CK74" i="29" s="1"/>
  <c r="E74" i="29"/>
  <c r="BE74" i="29"/>
  <c r="AI74" i="29"/>
  <c r="AV74" i="29"/>
  <c r="R74" i="29"/>
  <c r="T74" i="29" s="1"/>
  <c r="Q74" i="29" s="1"/>
  <c r="AP74" i="29"/>
  <c r="CI74" i="29"/>
  <c r="AS74" i="29"/>
  <c r="L74" i="29"/>
  <c r="B75" i="29"/>
  <c r="CD75" i="29" s="1"/>
  <c r="AN74" i="29"/>
  <c r="N74" i="29"/>
  <c r="M74" i="29"/>
  <c r="CE74" i="29"/>
  <c r="CF74" i="29" s="1"/>
  <c r="P74" i="29"/>
  <c r="V74" i="29"/>
  <c r="AK74" i="29"/>
  <c r="CH74" i="29"/>
  <c r="K74" i="29"/>
  <c r="J74" i="29"/>
  <c r="I74" i="29"/>
  <c r="BI74" i="29"/>
  <c r="AB74" i="2"/>
  <c r="AI75" i="2"/>
  <c r="AK75" i="2"/>
  <c r="Z69" i="2"/>
  <c r="X69" i="2"/>
  <c r="V75" i="2"/>
  <c r="L75" i="2"/>
  <c r="S75" i="2"/>
  <c r="K75" i="2"/>
  <c r="J75" i="2"/>
  <c r="I75" i="2"/>
  <c r="M75" i="2"/>
  <c r="N75" i="2"/>
  <c r="C75" i="2"/>
  <c r="AV75" i="2"/>
  <c r="BL75" i="2"/>
  <c r="BI75" i="2"/>
  <c r="AP75" i="2"/>
  <c r="BE75" i="2"/>
  <c r="B76" i="2"/>
  <c r="AS75" i="2"/>
  <c r="BB75" i="2" s="1"/>
  <c r="E75" i="2"/>
  <c r="BM69" i="2"/>
  <c r="P71" i="2"/>
  <c r="T70" i="2"/>
  <c r="Q70" i="2" s="1"/>
  <c r="AG71" i="2"/>
  <c r="BU74" i="23"/>
  <c r="K74" i="23"/>
  <c r="L74" i="23" s="1"/>
  <c r="BB72" i="23"/>
  <c r="R71" i="2"/>
  <c r="AM72" i="23"/>
  <c r="AF72" i="23"/>
  <c r="AI72" i="23"/>
  <c r="BG72" i="23"/>
  <c r="AA73" i="23"/>
  <c r="AY73" i="23" s="1"/>
  <c r="T73" i="23"/>
  <c r="AL73" i="23" s="1"/>
  <c r="Y73" i="23"/>
  <c r="AW73" i="23" s="1"/>
  <c r="D73" i="23"/>
  <c r="R73" i="23"/>
  <c r="AI73" i="23" s="1"/>
  <c r="B75" i="23"/>
  <c r="BT75" i="23" s="1"/>
  <c r="AC74" i="23"/>
  <c r="BZ74" i="23"/>
  <c r="CA74" i="23" s="1"/>
  <c r="AH74" i="23"/>
  <c r="AT74" i="23"/>
  <c r="S74" i="23"/>
  <c r="BA74" i="23"/>
  <c r="BY74" i="23"/>
  <c r="BX74" i="23"/>
  <c r="X74" i="23"/>
  <c r="Q74" i="23"/>
  <c r="Z74" i="23"/>
  <c r="O74" i="23"/>
  <c r="AK74" i="23"/>
  <c r="C74" i="23"/>
  <c r="AX74" i="23"/>
  <c r="I74" i="23"/>
  <c r="AE74" i="23"/>
  <c r="AR72" i="23"/>
  <c r="AS72" i="23"/>
  <c r="P73" i="23"/>
  <c r="AF73" i="23" s="1"/>
  <c r="N73" i="23"/>
  <c r="J73" i="23"/>
  <c r="M73" i="23"/>
  <c r="BB73" i="23" s="1"/>
  <c r="AQ73" i="23"/>
  <c r="AN73" i="23"/>
  <c r="AZ72" i="23"/>
  <c r="AV72" i="23"/>
  <c r="AU72" i="23" s="1"/>
  <c r="G94" i="23"/>
  <c r="F94" i="23"/>
  <c r="E94" i="23"/>
  <c r="CE71" i="2"/>
  <c r="F70" i="2"/>
  <c r="H71" i="20"/>
  <c r="H70" i="2"/>
  <c r="BK69" i="2"/>
  <c r="I71" i="20"/>
  <c r="AL70" i="2"/>
  <c r="BJ70" i="2" s="1"/>
  <c r="AA70" i="2"/>
  <c r="AX70" i="2" s="1"/>
  <c r="AJ70" i="2"/>
  <c r="BG70" i="2" s="1"/>
  <c r="BF70" i="2" s="1"/>
  <c r="AW69" i="2"/>
  <c r="F77" i="14"/>
  <c r="W70" i="2"/>
  <c r="G70" i="2"/>
  <c r="E77" i="14"/>
  <c r="B78" i="14"/>
  <c r="A79" i="14"/>
  <c r="A72" i="20"/>
  <c r="E72" i="20" s="1"/>
  <c r="AY71" i="2"/>
  <c r="BG69" i="2"/>
  <c r="BF69" i="2" s="1"/>
  <c r="BD69" i="2"/>
  <c r="G76" i="14"/>
  <c r="AT68" i="2"/>
  <c r="AU68" i="2"/>
  <c r="G77" i="14"/>
  <c r="AU69" i="2"/>
  <c r="AT69" i="2"/>
  <c r="AR63" i="2"/>
  <c r="U70" i="2"/>
  <c r="B67" i="19"/>
  <c r="D74" i="14"/>
  <c r="BR60" i="2"/>
  <c r="C75" i="14"/>
  <c r="D75" i="14" s="1"/>
  <c r="J70" i="14"/>
  <c r="J71" i="14"/>
  <c r="H69" i="14"/>
  <c r="J69" i="14"/>
  <c r="R63" i="3"/>
  <c r="Q63" i="3"/>
  <c r="P63" i="3"/>
  <c r="AN63" i="2"/>
  <c r="AO63" i="2" s="1"/>
  <c r="AQ64" i="2"/>
  <c r="K64" i="3"/>
  <c r="L64" i="3"/>
  <c r="A65" i="3"/>
  <c r="M64" i="3"/>
  <c r="I64" i="3"/>
  <c r="J64" i="3"/>
  <c r="N64" i="3"/>
  <c r="BV74" i="23" l="1"/>
  <c r="R247" i="32"/>
  <c r="N249" i="32"/>
  <c r="A115" i="30"/>
  <c r="BS72" i="29"/>
  <c r="AT73" i="29"/>
  <c r="AO74" i="29"/>
  <c r="BO74" i="29" s="1"/>
  <c r="BC73" i="29"/>
  <c r="AW73" i="29"/>
  <c r="BD73" i="29"/>
  <c r="BJ73" i="29"/>
  <c r="BR73" i="29" s="1"/>
  <c r="BG73" i="29"/>
  <c r="BF73" i="29" s="1"/>
  <c r="BS73" i="29" s="1"/>
  <c r="AA74" i="29"/>
  <c r="AW74" i="29" s="1"/>
  <c r="AB74" i="29"/>
  <c r="AL74" i="29"/>
  <c r="BK74" i="29" s="1"/>
  <c r="Y74" i="29"/>
  <c r="AU74" i="29" s="1"/>
  <c r="AJ74" i="29"/>
  <c r="BH74" i="29" s="1"/>
  <c r="S75" i="29"/>
  <c r="J75" i="29"/>
  <c r="I75" i="29"/>
  <c r="BI75" i="29"/>
  <c r="B76" i="29"/>
  <c r="CD76" i="29" s="1"/>
  <c r="AN75" i="29"/>
  <c r="V75" i="29"/>
  <c r="AI75" i="29"/>
  <c r="CJ75" i="29"/>
  <c r="CK75" i="29" s="1"/>
  <c r="E75" i="29"/>
  <c r="BE75" i="29"/>
  <c r="CH75" i="29"/>
  <c r="K75" i="29"/>
  <c r="AK75" i="29"/>
  <c r="R75" i="29"/>
  <c r="T75" i="29" s="1"/>
  <c r="Q75" i="29" s="1"/>
  <c r="AP75" i="29"/>
  <c r="CI75" i="29"/>
  <c r="AS75" i="29"/>
  <c r="BL75" i="29"/>
  <c r="C75" i="29"/>
  <c r="L75" i="29"/>
  <c r="AG75" i="29" s="1"/>
  <c r="N75" i="29"/>
  <c r="M75" i="29"/>
  <c r="CE75" i="29"/>
  <c r="CF75" i="29" s="1"/>
  <c r="P75" i="29"/>
  <c r="AV75" i="29"/>
  <c r="BM74" i="29"/>
  <c r="AG74" i="29"/>
  <c r="F74" i="29"/>
  <c r="H74" i="29"/>
  <c r="G74" i="29"/>
  <c r="AQ73" i="29"/>
  <c r="X73" i="29"/>
  <c r="Z73" i="29"/>
  <c r="W74" i="29"/>
  <c r="AQ74" i="29" s="1"/>
  <c r="U74" i="29"/>
  <c r="AY74" i="29"/>
  <c r="BB74" i="29"/>
  <c r="AB75" i="2"/>
  <c r="AK76" i="2"/>
  <c r="AI76" i="2"/>
  <c r="X70" i="2"/>
  <c r="Z70" i="2"/>
  <c r="V76" i="2"/>
  <c r="S76" i="2"/>
  <c r="L76" i="2"/>
  <c r="K76" i="2"/>
  <c r="J76" i="2"/>
  <c r="I76" i="2"/>
  <c r="M76" i="2"/>
  <c r="N76" i="2"/>
  <c r="C76" i="2"/>
  <c r="AS76" i="2"/>
  <c r="BB76" i="2" s="1"/>
  <c r="E76" i="2"/>
  <c r="BI76" i="2"/>
  <c r="AP76" i="2"/>
  <c r="BE76" i="2"/>
  <c r="B77" i="2"/>
  <c r="AV76" i="2"/>
  <c r="BL76" i="2"/>
  <c r="P72" i="2"/>
  <c r="BM70" i="2"/>
  <c r="T71" i="2"/>
  <c r="Q71" i="2" s="1"/>
  <c r="AG72" i="2"/>
  <c r="BU75" i="23"/>
  <c r="K75" i="23"/>
  <c r="L75" i="23" s="1"/>
  <c r="AZ73" i="23"/>
  <c r="R72" i="2"/>
  <c r="BD70" i="2"/>
  <c r="AG73" i="23"/>
  <c r="AJ73" i="23"/>
  <c r="AM73" i="23"/>
  <c r="P74" i="23"/>
  <c r="AF74" i="23" s="1"/>
  <c r="N74" i="23"/>
  <c r="AD73" i="23"/>
  <c r="BD73" i="23" s="1"/>
  <c r="BH72" i="23"/>
  <c r="AV73" i="23"/>
  <c r="AU73" i="23" s="1"/>
  <c r="AA74" i="23"/>
  <c r="AZ74" i="23" s="1"/>
  <c r="R74" i="23"/>
  <c r="AJ74" i="23" s="1"/>
  <c r="T74" i="23"/>
  <c r="AM74" i="23" s="1"/>
  <c r="D74" i="23"/>
  <c r="Y74" i="23"/>
  <c r="AW74" i="23" s="1"/>
  <c r="AE75" i="23"/>
  <c r="O75" i="23"/>
  <c r="Q75" i="23"/>
  <c r="AC75" i="23"/>
  <c r="BY75" i="23"/>
  <c r="I75" i="23"/>
  <c r="BA75" i="23"/>
  <c r="Z75" i="23"/>
  <c r="BX75" i="23"/>
  <c r="B76" i="23"/>
  <c r="BT76" i="23" s="1"/>
  <c r="X75" i="23"/>
  <c r="BZ75" i="23"/>
  <c r="CA75" i="23" s="1"/>
  <c r="S75" i="23"/>
  <c r="AH75" i="23"/>
  <c r="AK75" i="23"/>
  <c r="AT75" i="23"/>
  <c r="AX75" i="23"/>
  <c r="C75" i="23"/>
  <c r="AS73" i="23"/>
  <c r="AR73" i="23"/>
  <c r="M74" i="23"/>
  <c r="AD74" i="23" s="1"/>
  <c r="BD74" i="23" s="1"/>
  <c r="J74" i="23"/>
  <c r="AN74" i="23"/>
  <c r="AQ74" i="23"/>
  <c r="BG73" i="23"/>
  <c r="F95" i="23"/>
  <c r="E95" i="23"/>
  <c r="G95" i="23"/>
  <c r="CE72" i="2"/>
  <c r="F71" i="2"/>
  <c r="H71" i="2"/>
  <c r="A73" i="20"/>
  <c r="E73" i="20" s="1"/>
  <c r="BS69" i="2"/>
  <c r="AW70" i="2"/>
  <c r="H72" i="20"/>
  <c r="AL71" i="2"/>
  <c r="BJ71" i="2" s="1"/>
  <c r="AA71" i="2"/>
  <c r="AJ71" i="2"/>
  <c r="BG71" i="2" s="1"/>
  <c r="BF71" i="2" s="1"/>
  <c r="F78" i="14"/>
  <c r="BH70" i="2"/>
  <c r="E60" i="19"/>
  <c r="BK70" i="2"/>
  <c r="BS70" i="2" s="1"/>
  <c r="E78" i="14"/>
  <c r="I72" i="20"/>
  <c r="B79" i="14"/>
  <c r="G71" i="2"/>
  <c r="W71" i="2"/>
  <c r="AY72" i="2"/>
  <c r="BC70" i="2"/>
  <c r="W72" i="2"/>
  <c r="AR64" i="2"/>
  <c r="U71" i="2"/>
  <c r="B68" i="19"/>
  <c r="BR61" i="2"/>
  <c r="Y70" i="2"/>
  <c r="BR62" i="2"/>
  <c r="I70" i="14"/>
  <c r="C76" i="14"/>
  <c r="D76" i="14" s="1"/>
  <c r="I71" i="14"/>
  <c r="J72" i="14"/>
  <c r="AN72" i="2"/>
  <c r="H70" i="14"/>
  <c r="P64" i="3"/>
  <c r="Q64" i="3"/>
  <c r="R64" i="3"/>
  <c r="AN64" i="2"/>
  <c r="AO64" i="2" s="1"/>
  <c r="AQ65" i="2"/>
  <c r="K65" i="3"/>
  <c r="L65" i="3"/>
  <c r="A66" i="3"/>
  <c r="M65" i="3"/>
  <c r="I65" i="3"/>
  <c r="N65" i="3"/>
  <c r="J65" i="3"/>
  <c r="BV75" i="23" l="1"/>
  <c r="R249" i="32"/>
  <c r="N251" i="32"/>
  <c r="A116" i="30"/>
  <c r="AX74" i="29"/>
  <c r="BM75" i="29"/>
  <c r="BD74" i="29"/>
  <c r="AT74" i="29"/>
  <c r="BJ74" i="29"/>
  <c r="BR74" i="29" s="1"/>
  <c r="BG74" i="29"/>
  <c r="BF74" i="29" s="1"/>
  <c r="BS74" i="29" s="1"/>
  <c r="BC74" i="29"/>
  <c r="H75" i="29"/>
  <c r="G75" i="29"/>
  <c r="F75" i="29"/>
  <c r="AK76" i="29"/>
  <c r="CJ76" i="29"/>
  <c r="CK76" i="29" s="1"/>
  <c r="E76" i="29"/>
  <c r="BE76" i="29"/>
  <c r="CH76" i="29"/>
  <c r="K76" i="29"/>
  <c r="J76" i="29"/>
  <c r="L76" i="29"/>
  <c r="AG76" i="29" s="1"/>
  <c r="AP76" i="29"/>
  <c r="CI76" i="29"/>
  <c r="AS76" i="29"/>
  <c r="BL76" i="29"/>
  <c r="C76" i="29"/>
  <c r="S76" i="29"/>
  <c r="V76" i="29"/>
  <c r="M76" i="29"/>
  <c r="CE76" i="29"/>
  <c r="CF76" i="29" s="1"/>
  <c r="P76" i="29"/>
  <c r="AV76" i="29"/>
  <c r="R76" i="29"/>
  <c r="T76" i="29" s="1"/>
  <c r="Q76" i="29" s="1"/>
  <c r="AI76" i="29"/>
  <c r="I76" i="29"/>
  <c r="BI76" i="29"/>
  <c r="B77" i="29"/>
  <c r="CD77" i="29" s="1"/>
  <c r="AN76" i="29"/>
  <c r="N76" i="29"/>
  <c r="Y75" i="29"/>
  <c r="AU75" i="29" s="1"/>
  <c r="AJ75" i="29"/>
  <c r="BH75" i="29" s="1"/>
  <c r="AB75" i="29"/>
  <c r="AL75" i="29"/>
  <c r="BK75" i="29" s="1"/>
  <c r="AA75" i="29"/>
  <c r="AX75" i="29" s="1"/>
  <c r="U75" i="29"/>
  <c r="W75" i="29"/>
  <c r="X74" i="29"/>
  <c r="Z74" i="29"/>
  <c r="AR74" i="29"/>
  <c r="AY75" i="29"/>
  <c r="BB75" i="29"/>
  <c r="BC75" i="29" s="1"/>
  <c r="AO75" i="29"/>
  <c r="BO75" i="29" s="1"/>
  <c r="AB76" i="2"/>
  <c r="AK77" i="2"/>
  <c r="AI77" i="2"/>
  <c r="X71" i="2"/>
  <c r="Z71" i="2"/>
  <c r="Z72" i="2"/>
  <c r="X72" i="2"/>
  <c r="S77" i="2"/>
  <c r="V77" i="2"/>
  <c r="L77" i="2"/>
  <c r="K77" i="2"/>
  <c r="J77" i="2"/>
  <c r="I77" i="2"/>
  <c r="M77" i="2"/>
  <c r="N77" i="2"/>
  <c r="C77" i="2"/>
  <c r="AS77" i="2"/>
  <c r="BB77" i="2" s="1"/>
  <c r="E77" i="2"/>
  <c r="BI77" i="2"/>
  <c r="AP77" i="2"/>
  <c r="BE77" i="2"/>
  <c r="B78" i="2"/>
  <c r="AV77" i="2"/>
  <c r="BL77" i="2"/>
  <c r="BH73" i="23"/>
  <c r="P73" i="2"/>
  <c r="BM71" i="2"/>
  <c r="E79" i="14"/>
  <c r="T72" i="2"/>
  <c r="Q72" i="2" s="1"/>
  <c r="AG73" i="2"/>
  <c r="BU76" i="23"/>
  <c r="K76" i="23"/>
  <c r="L76" i="23" s="1"/>
  <c r="BB74" i="23"/>
  <c r="AG74" i="23"/>
  <c r="AI74" i="23"/>
  <c r="R73" i="2"/>
  <c r="AY74" i="23"/>
  <c r="BG74" i="23" s="1"/>
  <c r="AV74" i="23"/>
  <c r="AU74" i="23" s="1"/>
  <c r="BH74" i="23" s="1"/>
  <c r="N75" i="23"/>
  <c r="P75" i="23"/>
  <c r="AF75" i="23" s="1"/>
  <c r="AS74" i="23"/>
  <c r="AR74" i="23"/>
  <c r="AL74" i="23"/>
  <c r="R75" i="23"/>
  <c r="AI75" i="23" s="1"/>
  <c r="D75" i="23"/>
  <c r="Y75" i="23"/>
  <c r="AV75" i="23" s="1"/>
  <c r="AU75" i="23" s="1"/>
  <c r="AA75" i="23"/>
  <c r="AZ75" i="23" s="1"/>
  <c r="T75" i="23"/>
  <c r="AM75" i="23" s="1"/>
  <c r="AN75" i="23"/>
  <c r="AQ75" i="23"/>
  <c r="BY76" i="23"/>
  <c r="AH76" i="23"/>
  <c r="Z76" i="23"/>
  <c r="AK76" i="23"/>
  <c r="O76" i="23"/>
  <c r="Q76" i="23"/>
  <c r="I76" i="23"/>
  <c r="AC76" i="23"/>
  <c r="B77" i="23"/>
  <c r="BT77" i="23" s="1"/>
  <c r="BZ76" i="23"/>
  <c r="CA76" i="23" s="1"/>
  <c r="AT76" i="23"/>
  <c r="AE76" i="23"/>
  <c r="BA76" i="23"/>
  <c r="C76" i="23"/>
  <c r="S76" i="23"/>
  <c r="AX76" i="23"/>
  <c r="BX76" i="23"/>
  <c r="X76" i="23"/>
  <c r="J75" i="23"/>
  <c r="M75" i="23"/>
  <c r="BB75" i="23" s="1"/>
  <c r="BD71" i="2"/>
  <c r="E96" i="23"/>
  <c r="F96" i="23"/>
  <c r="G96" i="23"/>
  <c r="H72" i="2"/>
  <c r="CE73" i="2"/>
  <c r="AY73" i="2"/>
  <c r="I73" i="20"/>
  <c r="A74" i="20"/>
  <c r="E74" i="20" s="1"/>
  <c r="W73" i="2"/>
  <c r="G72" i="2"/>
  <c r="BK71" i="2"/>
  <c r="BS71" i="2" s="1"/>
  <c r="BH71" i="2"/>
  <c r="H73" i="20"/>
  <c r="AX71" i="2"/>
  <c r="AW71" i="2"/>
  <c r="AJ72" i="2"/>
  <c r="BH72" i="2" s="1"/>
  <c r="AL72" i="2"/>
  <c r="BJ72" i="2" s="1"/>
  <c r="AA72" i="2"/>
  <c r="AX72" i="2" s="1"/>
  <c r="F79" i="14"/>
  <c r="E61" i="19"/>
  <c r="E62" i="19"/>
  <c r="Y72" i="2"/>
  <c r="AT72" i="2" s="1"/>
  <c r="F72" i="2"/>
  <c r="BC71" i="2"/>
  <c r="G78" i="14"/>
  <c r="AU70" i="2"/>
  <c r="AT70" i="2"/>
  <c r="AR65" i="2"/>
  <c r="U72" i="2"/>
  <c r="B69" i="19"/>
  <c r="Y71" i="2"/>
  <c r="C77" i="14"/>
  <c r="D77" i="14" s="1"/>
  <c r="AN73" i="2"/>
  <c r="H71" i="14"/>
  <c r="BR63" i="2"/>
  <c r="P65" i="3"/>
  <c r="Q65" i="3"/>
  <c r="R65" i="3"/>
  <c r="AN65" i="2"/>
  <c r="AO65" i="2" s="1"/>
  <c r="AQ66" i="2"/>
  <c r="K66" i="3"/>
  <c r="L66" i="3"/>
  <c r="A67" i="3"/>
  <c r="M66" i="3"/>
  <c r="I66" i="3"/>
  <c r="J66" i="3"/>
  <c r="N66" i="3"/>
  <c r="BV76" i="23" l="1"/>
  <c r="R251" i="32"/>
  <c r="N253" i="32"/>
  <c r="A117" i="30"/>
  <c r="BD75" i="29"/>
  <c r="BJ75" i="29"/>
  <c r="BR75" i="29" s="1"/>
  <c r="AW75" i="29"/>
  <c r="AT75" i="29"/>
  <c r="AQ75" i="29"/>
  <c r="Z75" i="29"/>
  <c r="X75" i="29"/>
  <c r="S77" i="29"/>
  <c r="BI77" i="29"/>
  <c r="B78" i="29"/>
  <c r="CD78" i="29" s="1"/>
  <c r="AN77" i="29"/>
  <c r="N77" i="29"/>
  <c r="M77" i="29"/>
  <c r="AI77" i="29"/>
  <c r="BE77" i="29"/>
  <c r="CH77" i="29"/>
  <c r="K77" i="29"/>
  <c r="J77" i="29"/>
  <c r="I77" i="29"/>
  <c r="AP77" i="29"/>
  <c r="AK77" i="29"/>
  <c r="CI77" i="29"/>
  <c r="AS77" i="29"/>
  <c r="BL77" i="29"/>
  <c r="C77" i="29"/>
  <c r="CJ77" i="29"/>
  <c r="CK77" i="29" s="1"/>
  <c r="E77" i="29"/>
  <c r="V77" i="29"/>
  <c r="L77" i="29"/>
  <c r="CE77" i="29"/>
  <c r="CF77" i="29" s="1"/>
  <c r="P77" i="29"/>
  <c r="AV77" i="29"/>
  <c r="R77" i="29"/>
  <c r="T77" i="29" s="1"/>
  <c r="Q77" i="29" s="1"/>
  <c r="BM76" i="29"/>
  <c r="H76" i="29"/>
  <c r="G76" i="29"/>
  <c r="F76" i="29"/>
  <c r="AR75" i="29"/>
  <c r="U76" i="29"/>
  <c r="W76" i="29"/>
  <c r="AR76" i="29" s="1"/>
  <c r="BB76" i="29"/>
  <c r="BD76" i="29" s="1"/>
  <c r="AY76" i="29"/>
  <c r="BG75" i="29"/>
  <c r="BF75" i="29" s="1"/>
  <c r="BS75" i="29" s="1"/>
  <c r="AO76" i="29"/>
  <c r="BO76" i="29" s="1"/>
  <c r="Y76" i="29"/>
  <c r="AU76" i="29" s="1"/>
  <c r="AL76" i="29"/>
  <c r="BJ76" i="29" s="1"/>
  <c r="AJ76" i="29"/>
  <c r="BH76" i="29" s="1"/>
  <c r="AB76" i="29"/>
  <c r="AA76" i="29"/>
  <c r="AW76" i="29" s="1"/>
  <c r="AB77" i="2"/>
  <c r="AI78" i="2"/>
  <c r="AK78" i="2"/>
  <c r="V78" i="2"/>
  <c r="S78" i="2"/>
  <c r="L78" i="2"/>
  <c r="Z73" i="2"/>
  <c r="X73" i="2"/>
  <c r="K78" i="2"/>
  <c r="J78" i="2"/>
  <c r="I78" i="2"/>
  <c r="M78" i="2"/>
  <c r="N78" i="2"/>
  <c r="C78" i="2"/>
  <c r="AV78" i="2"/>
  <c r="BL78" i="2"/>
  <c r="BI78" i="2"/>
  <c r="AP78" i="2"/>
  <c r="BE78" i="2"/>
  <c r="B79" i="2"/>
  <c r="AS78" i="2"/>
  <c r="BB78" i="2" s="1"/>
  <c r="E78" i="2"/>
  <c r="P74" i="2"/>
  <c r="AO72" i="2"/>
  <c r="T73" i="2"/>
  <c r="Q73" i="2" s="1"/>
  <c r="AG74" i="2"/>
  <c r="BU77" i="23"/>
  <c r="K77" i="23"/>
  <c r="L77" i="23" s="1"/>
  <c r="R74" i="2"/>
  <c r="AY75" i="23"/>
  <c r="AW75" i="23"/>
  <c r="AL75" i="23"/>
  <c r="AJ75" i="23"/>
  <c r="M76" i="23"/>
  <c r="AD76" i="23" s="1"/>
  <c r="BD76" i="23" s="1"/>
  <c r="J76" i="23"/>
  <c r="R76" i="23"/>
  <c r="AI76" i="23" s="1"/>
  <c r="T76" i="23"/>
  <c r="AM76" i="23" s="1"/>
  <c r="Y76" i="23"/>
  <c r="AW76" i="23" s="1"/>
  <c r="D76" i="23"/>
  <c r="AA76" i="23"/>
  <c r="AZ76" i="23" s="1"/>
  <c r="AS75" i="23"/>
  <c r="AR75" i="23"/>
  <c r="BH75" i="23"/>
  <c r="AK77" i="23"/>
  <c r="C77" i="23"/>
  <c r="AT77" i="23"/>
  <c r="Z77" i="23"/>
  <c r="AE77" i="23"/>
  <c r="BX77" i="23"/>
  <c r="Q77" i="23"/>
  <c r="B78" i="23"/>
  <c r="BT78" i="23" s="1"/>
  <c r="AC77" i="23"/>
  <c r="BY77" i="23"/>
  <c r="AH77" i="23"/>
  <c r="I77" i="23"/>
  <c r="X77" i="23"/>
  <c r="BZ77" i="23"/>
  <c r="CA77" i="23" s="1"/>
  <c r="BA77" i="23"/>
  <c r="AX77" i="23"/>
  <c r="O77" i="23"/>
  <c r="S77" i="23"/>
  <c r="AQ76" i="23"/>
  <c r="AN76" i="23"/>
  <c r="AD75" i="23"/>
  <c r="BD75" i="23" s="1"/>
  <c r="P76" i="23"/>
  <c r="AG76" i="23" s="1"/>
  <c r="N76" i="23"/>
  <c r="AG75" i="23"/>
  <c r="BD72" i="2"/>
  <c r="G97" i="23"/>
  <c r="F97" i="23"/>
  <c r="E97" i="23"/>
  <c r="H73" i="2"/>
  <c r="W74" i="2"/>
  <c r="F73" i="2"/>
  <c r="AL73" i="2"/>
  <c r="BK73" i="2" s="1"/>
  <c r="AA73" i="2"/>
  <c r="AW73" i="2" s="1"/>
  <c r="CE74" i="2"/>
  <c r="AJ73" i="2"/>
  <c r="BG73" i="2" s="1"/>
  <c r="BF73" i="2" s="1"/>
  <c r="Y73" i="2"/>
  <c r="AU73" i="2" s="1"/>
  <c r="AY74" i="2"/>
  <c r="G73" i="2"/>
  <c r="A75" i="20"/>
  <c r="E75" i="20" s="1"/>
  <c r="I74" i="20"/>
  <c r="H74" i="20"/>
  <c r="BM72" i="2"/>
  <c r="BG72" i="2"/>
  <c r="BF72" i="2" s="1"/>
  <c r="AW72" i="2"/>
  <c r="AU72" i="2"/>
  <c r="E63" i="19"/>
  <c r="BC72" i="2"/>
  <c r="BK72" i="2"/>
  <c r="G79" i="14"/>
  <c r="AU71" i="2"/>
  <c r="AT71" i="2"/>
  <c r="AR66" i="2"/>
  <c r="U73" i="2"/>
  <c r="B70" i="19"/>
  <c r="H73" i="14"/>
  <c r="C78" i="14"/>
  <c r="J74" i="14"/>
  <c r="J73" i="14"/>
  <c r="BR64" i="2"/>
  <c r="I72" i="14"/>
  <c r="AN74" i="2"/>
  <c r="H72" i="14"/>
  <c r="R66" i="3"/>
  <c r="P66" i="3"/>
  <c r="Q66" i="3"/>
  <c r="AN66" i="2"/>
  <c r="AO66" i="2" s="1"/>
  <c r="AQ67" i="2"/>
  <c r="K67" i="3"/>
  <c r="L67" i="3"/>
  <c r="A68" i="3"/>
  <c r="M67" i="3"/>
  <c r="I67" i="3"/>
  <c r="N67" i="3"/>
  <c r="J67" i="3"/>
  <c r="BV77" i="23" l="1"/>
  <c r="R253" i="32"/>
  <c r="N255" i="32"/>
  <c r="A118" i="30"/>
  <c r="BC76" i="29"/>
  <c r="AX76" i="29"/>
  <c r="AY77" i="29"/>
  <c r="BB77" i="29"/>
  <c r="AO77" i="29"/>
  <c r="BO77" i="29" s="1"/>
  <c r="BK76" i="29"/>
  <c r="AI78" i="29"/>
  <c r="BL78" i="29"/>
  <c r="C78" i="29"/>
  <c r="CJ78" i="29"/>
  <c r="CK78" i="29" s="1"/>
  <c r="E78" i="29"/>
  <c r="BE78" i="29"/>
  <c r="V78" i="29"/>
  <c r="L78" i="29"/>
  <c r="AG78" i="29" s="1"/>
  <c r="AV78" i="29"/>
  <c r="R78" i="29"/>
  <c r="T78" i="29" s="1"/>
  <c r="Q78" i="29" s="1"/>
  <c r="AP78" i="29"/>
  <c r="CI78" i="29"/>
  <c r="AS78" i="29"/>
  <c r="AK78" i="29"/>
  <c r="B79" i="29"/>
  <c r="CD79" i="29" s="1"/>
  <c r="AN78" i="29"/>
  <c r="N78" i="29"/>
  <c r="M78" i="29"/>
  <c r="CE78" i="29"/>
  <c r="CF78" i="29" s="1"/>
  <c r="P78" i="29"/>
  <c r="S78" i="29"/>
  <c r="CH78" i="29"/>
  <c r="K78" i="29"/>
  <c r="J78" i="29"/>
  <c r="I78" i="29"/>
  <c r="BI78" i="29"/>
  <c r="BR76" i="29"/>
  <c r="AQ76" i="29"/>
  <c r="X76" i="29"/>
  <c r="Z76" i="29"/>
  <c r="AG77" i="29"/>
  <c r="H77" i="29"/>
  <c r="G77" i="29"/>
  <c r="F77" i="29"/>
  <c r="AJ77" i="29"/>
  <c r="BG77" i="29" s="1"/>
  <c r="BF77" i="29" s="1"/>
  <c r="Y77" i="29"/>
  <c r="AT77" i="29" s="1"/>
  <c r="AB77" i="29"/>
  <c r="AA77" i="29"/>
  <c r="AX77" i="29" s="1"/>
  <c r="AL77" i="29"/>
  <c r="BK77" i="29" s="1"/>
  <c r="AT76" i="29"/>
  <c r="BG76" i="29"/>
  <c r="BF76" i="29" s="1"/>
  <c r="W77" i="29"/>
  <c r="AQ77" i="29" s="1"/>
  <c r="U77" i="29"/>
  <c r="BM77" i="29"/>
  <c r="AB78" i="2"/>
  <c r="AI79" i="2"/>
  <c r="AK79" i="2"/>
  <c r="X74" i="2"/>
  <c r="Z74" i="2"/>
  <c r="V79" i="2"/>
  <c r="L79" i="2"/>
  <c r="S79" i="2"/>
  <c r="K79" i="2"/>
  <c r="J79" i="2"/>
  <c r="I79" i="2"/>
  <c r="M79" i="2"/>
  <c r="N79" i="2"/>
  <c r="C79" i="2"/>
  <c r="AV79" i="2"/>
  <c r="BL79" i="2"/>
  <c r="BI79" i="2"/>
  <c r="AP79" i="2"/>
  <c r="BE79" i="2"/>
  <c r="B80" i="2"/>
  <c r="AS79" i="2"/>
  <c r="BB79" i="2" s="1"/>
  <c r="E79" i="2"/>
  <c r="AO73" i="2"/>
  <c r="P75" i="2"/>
  <c r="BM73" i="2"/>
  <c r="T74" i="2"/>
  <c r="Q74" i="2" s="1"/>
  <c r="AG75" i="2"/>
  <c r="BU78" i="23"/>
  <c r="K78" i="23"/>
  <c r="L78" i="23" s="1"/>
  <c r="BB76" i="23"/>
  <c r="R75" i="2"/>
  <c r="BD73" i="2"/>
  <c r="BG75" i="23"/>
  <c r="AL76" i="23"/>
  <c r="AY76" i="23"/>
  <c r="BG76" i="23" s="1"/>
  <c r="AJ76" i="23"/>
  <c r="AV76" i="23"/>
  <c r="AU76" i="23" s="1"/>
  <c r="BH76" i="23" s="1"/>
  <c r="P77" i="23"/>
  <c r="AF77" i="23" s="1"/>
  <c r="N77" i="23"/>
  <c r="D77" i="23"/>
  <c r="R77" i="23"/>
  <c r="AJ77" i="23" s="1"/>
  <c r="T77" i="23"/>
  <c r="AM77" i="23" s="1"/>
  <c r="AA77" i="23"/>
  <c r="AY77" i="23" s="1"/>
  <c r="Y77" i="23"/>
  <c r="AW77" i="23" s="1"/>
  <c r="AF76" i="23"/>
  <c r="AS76" i="23"/>
  <c r="AR76" i="23"/>
  <c r="AN77" i="23"/>
  <c r="AQ77" i="23"/>
  <c r="M77" i="23"/>
  <c r="BB77" i="23" s="1"/>
  <c r="J77" i="23"/>
  <c r="S78" i="23"/>
  <c r="BA78" i="23"/>
  <c r="BY78" i="23"/>
  <c r="AH78" i="23"/>
  <c r="O78" i="23"/>
  <c r="AK78" i="23"/>
  <c r="C78" i="23"/>
  <c r="AT78" i="23"/>
  <c r="Q78" i="23"/>
  <c r="B79" i="23"/>
  <c r="BT79" i="23" s="1"/>
  <c r="Z78" i="23"/>
  <c r="AE78" i="23"/>
  <c r="BX78" i="23"/>
  <c r="X78" i="23"/>
  <c r="I78" i="23"/>
  <c r="AX78" i="23"/>
  <c r="BZ78" i="23"/>
  <c r="CA78" i="23" s="1"/>
  <c r="AC78" i="23"/>
  <c r="E98" i="23"/>
  <c r="G98" i="23"/>
  <c r="F98" i="23"/>
  <c r="AA74" i="2"/>
  <c r="AX74" i="2" s="1"/>
  <c r="H74" i="2"/>
  <c r="BC74" i="2"/>
  <c r="AJ74" i="2"/>
  <c r="BH74" i="2" s="1"/>
  <c r="AY75" i="2"/>
  <c r="A76" i="20"/>
  <c r="E76" i="20" s="1"/>
  <c r="G74" i="2"/>
  <c r="Y74" i="2"/>
  <c r="AU74" i="2" s="1"/>
  <c r="AL74" i="2"/>
  <c r="BK74" i="2" s="1"/>
  <c r="F74" i="2"/>
  <c r="W75" i="2"/>
  <c r="CE75" i="2"/>
  <c r="BJ73" i="2"/>
  <c r="AX73" i="2"/>
  <c r="AT73" i="2"/>
  <c r="BH73" i="2"/>
  <c r="I75" i="20"/>
  <c r="BC73" i="2"/>
  <c r="H75" i="20"/>
  <c r="BS72" i="2"/>
  <c r="E64" i="19"/>
  <c r="BS73" i="2"/>
  <c r="AR67" i="2"/>
  <c r="U74" i="2"/>
  <c r="D78" i="14"/>
  <c r="I73" i="14"/>
  <c r="C79" i="14"/>
  <c r="I75" i="14"/>
  <c r="I74" i="14"/>
  <c r="AN75" i="2"/>
  <c r="P67" i="3"/>
  <c r="Q67" i="3"/>
  <c r="R67" i="3"/>
  <c r="AN67" i="2"/>
  <c r="AO67" i="2" s="1"/>
  <c r="AQ68" i="2"/>
  <c r="K68" i="3"/>
  <c r="L68" i="3"/>
  <c r="A69" i="3"/>
  <c r="M68" i="3"/>
  <c r="I68" i="3"/>
  <c r="J68" i="3"/>
  <c r="N68" i="3"/>
  <c r="BV78" i="23" l="1"/>
  <c r="R255" i="32"/>
  <c r="N257" i="32"/>
  <c r="A119" i="30"/>
  <c r="BD77" i="29"/>
  <c r="BS76" i="29"/>
  <c r="AW77" i="29"/>
  <c r="BC77" i="29"/>
  <c r="AO78" i="29"/>
  <c r="BO78" i="29" s="1"/>
  <c r="H78" i="29"/>
  <c r="G78" i="29"/>
  <c r="F78" i="29"/>
  <c r="BH77" i="29"/>
  <c r="AR77" i="29"/>
  <c r="Z77" i="29"/>
  <c r="X77" i="29"/>
  <c r="BJ77" i="29"/>
  <c r="AK79" i="29"/>
  <c r="N79" i="29"/>
  <c r="I79" i="29"/>
  <c r="BI79" i="29"/>
  <c r="P79" i="29"/>
  <c r="AN79" i="29"/>
  <c r="L79" i="29"/>
  <c r="AG79" i="29" s="1"/>
  <c r="CI79" i="29"/>
  <c r="J79" i="29"/>
  <c r="E79" i="29"/>
  <c r="BE79" i="29"/>
  <c r="CJ79" i="29"/>
  <c r="CK79" i="29" s="1"/>
  <c r="K79" i="29"/>
  <c r="S79" i="29"/>
  <c r="CH79" i="29"/>
  <c r="AP79" i="29"/>
  <c r="B80" i="29"/>
  <c r="CD80" i="29" s="1"/>
  <c r="AS79" i="29"/>
  <c r="BL79" i="29"/>
  <c r="C79" i="29"/>
  <c r="V79" i="29"/>
  <c r="AI79" i="29"/>
  <c r="R79" i="29"/>
  <c r="T79" i="29" s="1"/>
  <c r="Q79" i="29" s="1"/>
  <c r="M79" i="29"/>
  <c r="CE79" i="29"/>
  <c r="CF79" i="29" s="1"/>
  <c r="AV79" i="29"/>
  <c r="W78" i="29"/>
  <c r="AR78" i="29" s="1"/>
  <c r="U78" i="29"/>
  <c r="AL78" i="29"/>
  <c r="BK78" i="29" s="1"/>
  <c r="Y78" i="29"/>
  <c r="AU78" i="29" s="1"/>
  <c r="AJ78" i="29"/>
  <c r="BG78" i="29" s="1"/>
  <c r="BF78" i="29" s="1"/>
  <c r="AA78" i="29"/>
  <c r="AW78" i="29" s="1"/>
  <c r="AB78" i="29"/>
  <c r="AU77" i="29"/>
  <c r="BS77" i="29"/>
  <c r="BM78" i="29"/>
  <c r="BB78" i="29"/>
  <c r="BC78" i="29" s="1"/>
  <c r="AY78" i="29"/>
  <c r="AB79" i="2"/>
  <c r="AK80" i="2"/>
  <c r="AI80" i="2"/>
  <c r="X75" i="2"/>
  <c r="Z75" i="2"/>
  <c r="V80" i="2"/>
  <c r="S80" i="2"/>
  <c r="L80" i="2"/>
  <c r="K80" i="2"/>
  <c r="J80" i="2"/>
  <c r="I80" i="2"/>
  <c r="M80" i="2"/>
  <c r="N80" i="2"/>
  <c r="H75" i="2"/>
  <c r="C80" i="2"/>
  <c r="AS80" i="2"/>
  <c r="BB80" i="2" s="1"/>
  <c r="BL80" i="2"/>
  <c r="BI80" i="2"/>
  <c r="AP80" i="2"/>
  <c r="BE80" i="2"/>
  <c r="B81" i="2"/>
  <c r="AV80" i="2"/>
  <c r="E80" i="2"/>
  <c r="BM74" i="2"/>
  <c r="AO74" i="2"/>
  <c r="P76" i="2"/>
  <c r="T75" i="2"/>
  <c r="Q75" i="2" s="1"/>
  <c r="AG76" i="2"/>
  <c r="BU79" i="23"/>
  <c r="K79" i="23"/>
  <c r="L79" i="23" s="1"/>
  <c r="F75" i="2"/>
  <c r="G75" i="2"/>
  <c r="CE76" i="2"/>
  <c r="R76" i="2"/>
  <c r="AZ77" i="23"/>
  <c r="AL77" i="23"/>
  <c r="AG77" i="23"/>
  <c r="AI77" i="23"/>
  <c r="AN78" i="23"/>
  <c r="AQ78" i="23"/>
  <c r="BG77" i="23"/>
  <c r="AA78" i="23"/>
  <c r="AZ78" i="23" s="1"/>
  <c r="Y78" i="23"/>
  <c r="AW78" i="23" s="1"/>
  <c r="R78" i="23"/>
  <c r="AI78" i="23" s="1"/>
  <c r="T78" i="23"/>
  <c r="AM78" i="23" s="1"/>
  <c r="D78" i="23"/>
  <c r="P78" i="23"/>
  <c r="AF78" i="23" s="1"/>
  <c r="N78" i="23"/>
  <c r="AE79" i="23"/>
  <c r="O79" i="23"/>
  <c r="X79" i="23"/>
  <c r="Q79" i="23"/>
  <c r="C79" i="23"/>
  <c r="Z79" i="23"/>
  <c r="BY79" i="23"/>
  <c r="AC79" i="23"/>
  <c r="BA79" i="23"/>
  <c r="AH79" i="23"/>
  <c r="I79" i="23"/>
  <c r="AK79" i="23"/>
  <c r="BZ79" i="23"/>
  <c r="CA79" i="23" s="1"/>
  <c r="S79" i="23"/>
  <c r="B80" i="23"/>
  <c r="BT80" i="23" s="1"/>
  <c r="AX79" i="23"/>
  <c r="BX79" i="23"/>
  <c r="AT79" i="23"/>
  <c r="J78" i="23"/>
  <c r="M78" i="23"/>
  <c r="BB78" i="23" s="1"/>
  <c r="AS77" i="23"/>
  <c r="AR77" i="23"/>
  <c r="AD77" i="23"/>
  <c r="BD77" i="23" s="1"/>
  <c r="AV77" i="23"/>
  <c r="AU77" i="23" s="1"/>
  <c r="AW74" i="2"/>
  <c r="E99" i="23"/>
  <c r="F99" i="23"/>
  <c r="G99" i="23"/>
  <c r="A77" i="20"/>
  <c r="E77" i="20" s="1"/>
  <c r="W76" i="2"/>
  <c r="AL75" i="2"/>
  <c r="BK75" i="2" s="1"/>
  <c r="BG74" i="2"/>
  <c r="BF74" i="2" s="1"/>
  <c r="BS74" i="2" s="1"/>
  <c r="BJ74" i="2"/>
  <c r="AJ75" i="2"/>
  <c r="BG75" i="2" s="1"/>
  <c r="BF75" i="2" s="1"/>
  <c r="Y75" i="2"/>
  <c r="AU75" i="2" s="1"/>
  <c r="BD74" i="2"/>
  <c r="I76" i="20"/>
  <c r="AA75" i="2"/>
  <c r="AX75" i="2" s="1"/>
  <c r="AT74" i="2"/>
  <c r="H76" i="20"/>
  <c r="AR68" i="2"/>
  <c r="U75" i="2"/>
  <c r="D79" i="14"/>
  <c r="Q68" i="3"/>
  <c r="BR65" i="2"/>
  <c r="J75" i="14"/>
  <c r="J76" i="14"/>
  <c r="BR66" i="2"/>
  <c r="H74" i="14"/>
  <c r="AN76" i="2"/>
  <c r="P68" i="3"/>
  <c r="R68" i="3"/>
  <c r="AN68" i="2"/>
  <c r="AO68" i="2" s="1"/>
  <c r="AQ69" i="2"/>
  <c r="K69" i="3"/>
  <c r="L69" i="3"/>
  <c r="A70" i="3"/>
  <c r="M69" i="3"/>
  <c r="I69" i="3"/>
  <c r="N69" i="3"/>
  <c r="J69" i="3"/>
  <c r="BV79" i="23" l="1"/>
  <c r="R257" i="32"/>
  <c r="N259" i="32"/>
  <c r="A120" i="30"/>
  <c r="AX78" i="29"/>
  <c r="BJ78" i="29"/>
  <c r="AT78" i="29"/>
  <c r="AQ78" i="29"/>
  <c r="BD78" i="29"/>
  <c r="BH78" i="29"/>
  <c r="BR77" i="29"/>
  <c r="AJ79" i="29"/>
  <c r="BG79" i="29" s="1"/>
  <c r="BF79" i="29" s="1"/>
  <c r="AB79" i="29"/>
  <c r="AL79" i="29"/>
  <c r="BK79" i="29" s="1"/>
  <c r="AA79" i="29"/>
  <c r="AW79" i="29" s="1"/>
  <c r="Y79" i="29"/>
  <c r="AT79" i="29" s="1"/>
  <c r="BM79" i="29"/>
  <c r="H79" i="29"/>
  <c r="G79" i="29"/>
  <c r="F79" i="29"/>
  <c r="AY79" i="29"/>
  <c r="BB79" i="29"/>
  <c r="BD79" i="29" s="1"/>
  <c r="AO79" i="29"/>
  <c r="BO79" i="29" s="1"/>
  <c r="BS78" i="29"/>
  <c r="Z78" i="29"/>
  <c r="X78" i="29"/>
  <c r="U79" i="29"/>
  <c r="W79" i="29"/>
  <c r="AR79" i="29" s="1"/>
  <c r="S80" i="29"/>
  <c r="V80" i="29"/>
  <c r="B81" i="29"/>
  <c r="CD81" i="29" s="1"/>
  <c r="AN80" i="29"/>
  <c r="N80" i="29"/>
  <c r="M80" i="29"/>
  <c r="CE80" i="29"/>
  <c r="CF80" i="29" s="1"/>
  <c r="AI80" i="29"/>
  <c r="CH80" i="29"/>
  <c r="K80" i="29"/>
  <c r="J80" i="29"/>
  <c r="I80" i="29"/>
  <c r="BI80" i="29"/>
  <c r="P80" i="29"/>
  <c r="AK80" i="29"/>
  <c r="BL80" i="29"/>
  <c r="C80" i="29"/>
  <c r="CJ80" i="29"/>
  <c r="CK80" i="29" s="1"/>
  <c r="E80" i="29"/>
  <c r="BE80" i="29"/>
  <c r="L80" i="29"/>
  <c r="AG80" i="29" s="1"/>
  <c r="AV80" i="29"/>
  <c r="R80" i="29"/>
  <c r="T80" i="29" s="1"/>
  <c r="Q80" i="29" s="1"/>
  <c r="AP80" i="29"/>
  <c r="CI80" i="29"/>
  <c r="AS80" i="29"/>
  <c r="AB80" i="2"/>
  <c r="AK81" i="2"/>
  <c r="AI81" i="2"/>
  <c r="Z76" i="2"/>
  <c r="X76" i="2"/>
  <c r="S81" i="2"/>
  <c r="V81" i="2"/>
  <c r="L81" i="2"/>
  <c r="K81" i="2"/>
  <c r="J81" i="2"/>
  <c r="I81" i="2"/>
  <c r="M81" i="2"/>
  <c r="N81" i="2"/>
  <c r="G76" i="2"/>
  <c r="BD76" i="2"/>
  <c r="C81" i="2"/>
  <c r="AS81" i="2"/>
  <c r="BB81" i="2" s="1"/>
  <c r="E81" i="2"/>
  <c r="BI81" i="2"/>
  <c r="AP81" i="2"/>
  <c r="BE81" i="2"/>
  <c r="B82" i="2"/>
  <c r="AV81" i="2"/>
  <c r="BL81" i="2"/>
  <c r="AJ76" i="2"/>
  <c r="BH76" i="2" s="1"/>
  <c r="AO75" i="2"/>
  <c r="P77" i="2"/>
  <c r="BM75" i="2"/>
  <c r="T76" i="2"/>
  <c r="Q76" i="2" s="1"/>
  <c r="AG77" i="2"/>
  <c r="BU80" i="23"/>
  <c r="K80" i="23"/>
  <c r="L80" i="23" s="1"/>
  <c r="AL78" i="23"/>
  <c r="BH77" i="23"/>
  <c r="R77" i="2"/>
  <c r="Y76" i="2"/>
  <c r="AT76" i="2" s="1"/>
  <c r="CE77" i="2"/>
  <c r="AY76" i="2"/>
  <c r="W77" i="2"/>
  <c r="AA76" i="2"/>
  <c r="AX76" i="2" s="1"/>
  <c r="BC75" i="2"/>
  <c r="F76" i="2"/>
  <c r="A78" i="20"/>
  <c r="E78" i="20" s="1"/>
  <c r="I77" i="20"/>
  <c r="R79" i="23"/>
  <c r="AI79" i="23" s="1"/>
  <c r="T79" i="23"/>
  <c r="AM79" i="23" s="1"/>
  <c r="D79" i="23"/>
  <c r="AA79" i="23"/>
  <c r="AY79" i="23" s="1"/>
  <c r="Y79" i="23"/>
  <c r="AV79" i="23" s="1"/>
  <c r="AU79" i="23" s="1"/>
  <c r="AR78" i="23"/>
  <c r="AS78" i="23"/>
  <c r="H76" i="2"/>
  <c r="Q80" i="23"/>
  <c r="X80" i="23"/>
  <c r="BA80" i="23"/>
  <c r="O80" i="23"/>
  <c r="AX80" i="23"/>
  <c r="AE80" i="23"/>
  <c r="S80" i="23"/>
  <c r="AK80" i="23"/>
  <c r="AC80" i="23"/>
  <c r="AT80" i="23"/>
  <c r="C80" i="23"/>
  <c r="BY80" i="23"/>
  <c r="AH80" i="23"/>
  <c r="I80" i="23"/>
  <c r="BX80" i="23"/>
  <c r="BZ80" i="23"/>
  <c r="CA80" i="23" s="1"/>
  <c r="Z80" i="23"/>
  <c r="B81" i="23"/>
  <c r="BT81" i="23" s="1"/>
  <c r="AD78" i="23"/>
  <c r="BD78" i="23" s="1"/>
  <c r="AQ79" i="23"/>
  <c r="AN79" i="23"/>
  <c r="AG78" i="23"/>
  <c r="AV78" i="23"/>
  <c r="AU78" i="23" s="1"/>
  <c r="BH78" i="23" s="1"/>
  <c r="H77" i="20"/>
  <c r="AL76" i="2"/>
  <c r="BK76" i="2" s="1"/>
  <c r="J79" i="23"/>
  <c r="M79" i="23"/>
  <c r="BB79" i="23" s="1"/>
  <c r="N79" i="23"/>
  <c r="P79" i="23"/>
  <c r="AF79" i="23" s="1"/>
  <c r="AJ78" i="23"/>
  <c r="AY78" i="23"/>
  <c r="BG78" i="23" s="1"/>
  <c r="G100" i="23"/>
  <c r="F100" i="23"/>
  <c r="E100" i="23"/>
  <c r="BJ75" i="2"/>
  <c r="BH75" i="2"/>
  <c r="BD75" i="2"/>
  <c r="AW75" i="2"/>
  <c r="AT75" i="2"/>
  <c r="E65" i="19"/>
  <c r="E66" i="19"/>
  <c r="BS75" i="2"/>
  <c r="AR69" i="2"/>
  <c r="AY77" i="2"/>
  <c r="U76" i="2"/>
  <c r="I76" i="14"/>
  <c r="AN77" i="2"/>
  <c r="H75" i="14"/>
  <c r="BR67" i="2"/>
  <c r="P69" i="3"/>
  <c r="R69" i="3"/>
  <c r="Q69" i="3"/>
  <c r="AN69" i="2"/>
  <c r="AO69" i="2" s="1"/>
  <c r="AQ70" i="2"/>
  <c r="K70" i="3"/>
  <c r="L70" i="3"/>
  <c r="A71" i="3"/>
  <c r="M70" i="3"/>
  <c r="I70" i="3"/>
  <c r="J70" i="3"/>
  <c r="N70" i="3"/>
  <c r="BV80" i="23" l="1"/>
  <c r="R259" i="32"/>
  <c r="N261" i="32"/>
  <c r="A121" i="30"/>
  <c r="BR78" i="29"/>
  <c r="BC79" i="29"/>
  <c r="BJ79" i="29"/>
  <c r="BH79" i="29"/>
  <c r="AU79" i="29"/>
  <c r="AX79" i="29"/>
  <c r="F80" i="29"/>
  <c r="H80" i="29"/>
  <c r="G80" i="29"/>
  <c r="AA80" i="29"/>
  <c r="AW80" i="29" s="1"/>
  <c r="AB80" i="29"/>
  <c r="AL80" i="29"/>
  <c r="BJ80" i="29" s="1"/>
  <c r="Y80" i="29"/>
  <c r="AU80" i="29" s="1"/>
  <c r="AJ80" i="29"/>
  <c r="BH80" i="29" s="1"/>
  <c r="W80" i="29"/>
  <c r="AQ80" i="29" s="1"/>
  <c r="U80" i="29"/>
  <c r="BM80" i="29"/>
  <c r="AQ79" i="29"/>
  <c r="AO80" i="29"/>
  <c r="BO80" i="29" s="1"/>
  <c r="AY80" i="29"/>
  <c r="BB80" i="29"/>
  <c r="BC80" i="29" s="1"/>
  <c r="AX80" i="29"/>
  <c r="AI81" i="29"/>
  <c r="J81" i="29"/>
  <c r="I81" i="29"/>
  <c r="BI81" i="29"/>
  <c r="B82" i="29"/>
  <c r="CD82" i="29" s="1"/>
  <c r="AN81" i="29"/>
  <c r="AK81" i="29"/>
  <c r="CJ81" i="29"/>
  <c r="CK81" i="29" s="1"/>
  <c r="E81" i="29"/>
  <c r="BE81" i="29"/>
  <c r="CH81" i="29"/>
  <c r="K81" i="29"/>
  <c r="V81" i="29"/>
  <c r="L81" i="29"/>
  <c r="AG81" i="29" s="1"/>
  <c r="R81" i="29"/>
  <c r="T81" i="29" s="1"/>
  <c r="Q81" i="29" s="1"/>
  <c r="AP81" i="29"/>
  <c r="CI81" i="29"/>
  <c r="AS81" i="29"/>
  <c r="BL81" i="29"/>
  <c r="BM81" i="29" s="1"/>
  <c r="C81" i="29"/>
  <c r="S81" i="29"/>
  <c r="N81" i="29"/>
  <c r="M81" i="29"/>
  <c r="CE81" i="29"/>
  <c r="CF81" i="29" s="1"/>
  <c r="P81" i="29"/>
  <c r="AV81" i="29"/>
  <c r="X79" i="29"/>
  <c r="Z79" i="29"/>
  <c r="BS79" i="29"/>
  <c r="AB81" i="2"/>
  <c r="AI82" i="2"/>
  <c r="AK82" i="2"/>
  <c r="Z77" i="2"/>
  <c r="X77" i="2"/>
  <c r="V82" i="2"/>
  <c r="S82" i="2"/>
  <c r="L82" i="2"/>
  <c r="K82" i="2"/>
  <c r="J82" i="2"/>
  <c r="I82" i="2"/>
  <c r="M82" i="2"/>
  <c r="N82" i="2"/>
  <c r="G77" i="2"/>
  <c r="BD77" i="2"/>
  <c r="C82" i="2"/>
  <c r="AV82" i="2"/>
  <c r="BL82" i="2"/>
  <c r="BI82" i="2"/>
  <c r="AP82" i="2"/>
  <c r="BE82" i="2"/>
  <c r="B83" i="2"/>
  <c r="AS82" i="2"/>
  <c r="BB82" i="2" s="1"/>
  <c r="E82" i="2"/>
  <c r="BG76" i="2"/>
  <c r="BF76" i="2" s="1"/>
  <c r="BS76" i="2" s="1"/>
  <c r="Y77" i="2"/>
  <c r="AU77" i="2" s="1"/>
  <c r="P78" i="2"/>
  <c r="BM76" i="2"/>
  <c r="AO76" i="2"/>
  <c r="T77" i="2"/>
  <c r="Q77" i="2" s="1"/>
  <c r="AG78" i="2"/>
  <c r="BU81" i="23"/>
  <c r="K81" i="23"/>
  <c r="L81" i="23" s="1"/>
  <c r="R78" i="2"/>
  <c r="H78" i="20"/>
  <c r="I78" i="20"/>
  <c r="AU76" i="2"/>
  <c r="H77" i="2"/>
  <c r="F77" i="2"/>
  <c r="W78" i="2"/>
  <c r="AA77" i="2"/>
  <c r="AX77" i="2" s="1"/>
  <c r="AY78" i="2"/>
  <c r="A79" i="20"/>
  <c r="E79" i="20" s="1"/>
  <c r="CE78" i="2"/>
  <c r="AW76" i="2"/>
  <c r="AL77" i="2"/>
  <c r="BK77" i="2" s="1"/>
  <c r="BJ76" i="2"/>
  <c r="AJ77" i="2"/>
  <c r="BG77" i="2" s="1"/>
  <c r="BF77" i="2" s="1"/>
  <c r="AD79" i="23"/>
  <c r="BD79" i="23" s="1"/>
  <c r="AW79" i="23"/>
  <c r="BG79" i="23" s="1"/>
  <c r="AL79" i="23"/>
  <c r="AJ79" i="23"/>
  <c r="AX81" i="23"/>
  <c r="BZ81" i="23"/>
  <c r="CA81" i="23" s="1"/>
  <c r="AK81" i="23"/>
  <c r="B82" i="23"/>
  <c r="BT82" i="23" s="1"/>
  <c r="BA81" i="23"/>
  <c r="BY81" i="23"/>
  <c r="O81" i="23"/>
  <c r="AT81" i="23"/>
  <c r="AC81" i="23"/>
  <c r="Z81" i="23"/>
  <c r="AE81" i="23"/>
  <c r="I81" i="23"/>
  <c r="AH81" i="23"/>
  <c r="S81" i="23"/>
  <c r="Q81" i="23"/>
  <c r="BX81" i="23"/>
  <c r="C81" i="23"/>
  <c r="X81" i="23"/>
  <c r="D80" i="23"/>
  <c r="AA80" i="23"/>
  <c r="AY80" i="23" s="1"/>
  <c r="R80" i="23"/>
  <c r="AI80" i="23" s="1"/>
  <c r="Y80" i="23"/>
  <c r="AW80" i="23" s="1"/>
  <c r="T80" i="23"/>
  <c r="AL80" i="23" s="1"/>
  <c r="BC76" i="2"/>
  <c r="M80" i="23"/>
  <c r="AD80" i="23" s="1"/>
  <c r="BD80" i="23" s="1"/>
  <c r="J80" i="23"/>
  <c r="N80" i="23"/>
  <c r="P80" i="23"/>
  <c r="AG80" i="23" s="1"/>
  <c r="AR79" i="23"/>
  <c r="AS79" i="23"/>
  <c r="AN80" i="23"/>
  <c r="AQ80" i="23"/>
  <c r="AG79" i="23"/>
  <c r="AZ79" i="23"/>
  <c r="BH79" i="23" s="1"/>
  <c r="E101" i="23"/>
  <c r="F101" i="23"/>
  <c r="G101" i="23"/>
  <c r="E67" i="19"/>
  <c r="AR70" i="2"/>
  <c r="U77" i="2"/>
  <c r="J78" i="14"/>
  <c r="J77" i="14"/>
  <c r="H76" i="14"/>
  <c r="AN78" i="2"/>
  <c r="BR68" i="2"/>
  <c r="P70" i="3"/>
  <c r="Q70" i="3"/>
  <c r="R70" i="3"/>
  <c r="AN70" i="2"/>
  <c r="AO70" i="2" s="1"/>
  <c r="AQ71" i="2"/>
  <c r="K71" i="3"/>
  <c r="L71" i="3"/>
  <c r="A72" i="3"/>
  <c r="M71" i="3"/>
  <c r="I71" i="3"/>
  <c r="N71" i="3"/>
  <c r="J71" i="3"/>
  <c r="BV81" i="23" l="1"/>
  <c r="R261" i="32"/>
  <c r="N263" i="32"/>
  <c r="A122" i="30"/>
  <c r="BD80" i="29"/>
  <c r="BR79" i="29"/>
  <c r="BG80" i="29"/>
  <c r="BF80" i="29" s="1"/>
  <c r="AR80" i="29"/>
  <c r="BK80" i="29"/>
  <c r="AJ81" i="29"/>
  <c r="BG81" i="29" s="1"/>
  <c r="BF81" i="29" s="1"/>
  <c r="AB81" i="29"/>
  <c r="AL81" i="29"/>
  <c r="BK81" i="29" s="1"/>
  <c r="AA81" i="29"/>
  <c r="AW81" i="29" s="1"/>
  <c r="Y81" i="29"/>
  <c r="AT81" i="29" s="1"/>
  <c r="AY81" i="29"/>
  <c r="BB81" i="29"/>
  <c r="BC81" i="29" s="1"/>
  <c r="F81" i="29"/>
  <c r="H81" i="29"/>
  <c r="G81" i="29"/>
  <c r="AO81" i="29"/>
  <c r="BO81" i="29" s="1"/>
  <c r="AT80" i="29"/>
  <c r="X80" i="29"/>
  <c r="Z80" i="29"/>
  <c r="BR80" i="29"/>
  <c r="W81" i="29"/>
  <c r="AQ81" i="29" s="1"/>
  <c r="U81" i="29"/>
  <c r="V82" i="29"/>
  <c r="L82" i="29"/>
  <c r="AP82" i="29"/>
  <c r="CI82" i="29"/>
  <c r="AS82" i="29"/>
  <c r="BL82" i="29"/>
  <c r="C82" i="29"/>
  <c r="S82" i="29"/>
  <c r="M82" i="29"/>
  <c r="CE82" i="29"/>
  <c r="CF82" i="29" s="1"/>
  <c r="P82" i="29"/>
  <c r="AV82" i="29"/>
  <c r="R82" i="29"/>
  <c r="T82" i="29" s="1"/>
  <c r="Q82" i="29" s="1"/>
  <c r="AI82" i="29"/>
  <c r="I82" i="29"/>
  <c r="BI82" i="29"/>
  <c r="B83" i="29"/>
  <c r="CD83" i="29" s="1"/>
  <c r="AN82" i="29"/>
  <c r="N82" i="29"/>
  <c r="AK82" i="29"/>
  <c r="CJ82" i="29"/>
  <c r="CK82" i="29" s="1"/>
  <c r="E82" i="29"/>
  <c r="BE82" i="29"/>
  <c r="CH82" i="29"/>
  <c r="K82" i="29"/>
  <c r="J82" i="29"/>
  <c r="AB82" i="2"/>
  <c r="AI83" i="2"/>
  <c r="AK83" i="2"/>
  <c r="V83" i="2"/>
  <c r="L83" i="2"/>
  <c r="S83" i="2"/>
  <c r="X78" i="2"/>
  <c r="Z78" i="2"/>
  <c r="K83" i="2"/>
  <c r="J83" i="2"/>
  <c r="I83" i="2"/>
  <c r="M83" i="2"/>
  <c r="N83" i="2"/>
  <c r="G78" i="2"/>
  <c r="C83" i="2"/>
  <c r="AT77" i="2"/>
  <c r="AV83" i="2"/>
  <c r="BL83" i="2"/>
  <c r="BI83" i="2"/>
  <c r="AP83" i="2"/>
  <c r="BE83" i="2"/>
  <c r="B84" i="2"/>
  <c r="AS83" i="2"/>
  <c r="BB83" i="2" s="1"/>
  <c r="E83" i="2"/>
  <c r="BM77" i="2"/>
  <c r="P79" i="2"/>
  <c r="T78" i="2"/>
  <c r="Q78" i="2" s="1"/>
  <c r="AG79" i="2"/>
  <c r="CE79" i="2"/>
  <c r="CE80" i="2"/>
  <c r="BH77" i="2"/>
  <c r="BU82" i="23"/>
  <c r="K82" i="23"/>
  <c r="L82" i="23" s="1"/>
  <c r="BB80" i="23"/>
  <c r="I79" i="20"/>
  <c r="H78" i="2"/>
  <c r="F78" i="2"/>
  <c r="A80" i="20"/>
  <c r="E80" i="20" s="1"/>
  <c r="H79" i="20"/>
  <c r="AO77" i="2"/>
  <c r="R79" i="2"/>
  <c r="W79" i="2"/>
  <c r="BC77" i="2"/>
  <c r="AW77" i="2"/>
  <c r="AL78" i="2"/>
  <c r="BJ78" i="2" s="1"/>
  <c r="Y78" i="2"/>
  <c r="AU78" i="2" s="1"/>
  <c r="AJ78" i="2"/>
  <c r="BG78" i="2" s="1"/>
  <c r="BF78" i="2" s="1"/>
  <c r="BJ77" i="2"/>
  <c r="AJ80" i="23"/>
  <c r="AA78" i="2"/>
  <c r="AW78" i="2" s="1"/>
  <c r="AV80" i="23"/>
  <c r="AU80" i="23" s="1"/>
  <c r="AM80" i="23"/>
  <c r="BG80" i="23"/>
  <c r="AN81" i="23"/>
  <c r="AQ81" i="23"/>
  <c r="Y81" i="23"/>
  <c r="AW81" i="23" s="1"/>
  <c r="T81" i="23"/>
  <c r="AL81" i="23" s="1"/>
  <c r="D81" i="23"/>
  <c r="AA81" i="23"/>
  <c r="AY81" i="23" s="1"/>
  <c r="R81" i="23"/>
  <c r="AI81" i="23" s="1"/>
  <c r="AR80" i="23"/>
  <c r="AS80" i="23"/>
  <c r="AF80" i="23"/>
  <c r="M81" i="23"/>
  <c r="BB81" i="23" s="1"/>
  <c r="J81" i="23"/>
  <c r="BA82" i="23"/>
  <c r="AX82" i="23"/>
  <c r="I82" i="23"/>
  <c r="Z82" i="23"/>
  <c r="B83" i="23"/>
  <c r="BT83" i="23" s="1"/>
  <c r="AK82" i="23"/>
  <c r="C82" i="23"/>
  <c r="AH82" i="23"/>
  <c r="S82" i="23"/>
  <c r="AE82" i="23"/>
  <c r="AC82" i="23"/>
  <c r="Q82" i="23"/>
  <c r="BX82" i="23"/>
  <c r="X82" i="23"/>
  <c r="AT82" i="23"/>
  <c r="BY82" i="23"/>
  <c r="BZ82" i="23"/>
  <c r="CA82" i="23" s="1"/>
  <c r="O82" i="23"/>
  <c r="AZ80" i="23"/>
  <c r="P81" i="23"/>
  <c r="AF81" i="23" s="1"/>
  <c r="N81" i="23"/>
  <c r="F102" i="23"/>
  <c r="E102" i="23"/>
  <c r="G102" i="23"/>
  <c r="E68" i="19"/>
  <c r="BS77" i="2"/>
  <c r="AR71" i="2"/>
  <c r="AY79" i="2"/>
  <c r="A81" i="20"/>
  <c r="E81" i="20" s="1"/>
  <c r="U78" i="2"/>
  <c r="I79" i="14"/>
  <c r="AN79" i="2"/>
  <c r="H77" i="14"/>
  <c r="I77" i="14"/>
  <c r="P71" i="3"/>
  <c r="R71" i="3"/>
  <c r="Q71" i="3"/>
  <c r="AN71" i="2"/>
  <c r="AO71" i="2" s="1"/>
  <c r="AQ72" i="2"/>
  <c r="K72" i="3"/>
  <c r="L72" i="3"/>
  <c r="A73" i="3"/>
  <c r="M72" i="3"/>
  <c r="I72" i="3"/>
  <c r="J72" i="3"/>
  <c r="N72" i="3"/>
  <c r="BV82" i="23" l="1"/>
  <c r="R263" i="32"/>
  <c r="N265" i="32"/>
  <c r="A123" i="30"/>
  <c r="BD81" i="29"/>
  <c r="BS80" i="29"/>
  <c r="BS81" i="29"/>
  <c r="BJ81" i="29"/>
  <c r="BH81" i="29"/>
  <c r="AU81" i="29"/>
  <c r="AO82" i="29"/>
  <c r="BO82" i="29" s="1"/>
  <c r="BM82" i="29"/>
  <c r="AG82" i="29"/>
  <c r="F82" i="29"/>
  <c r="H82" i="29"/>
  <c r="G82" i="29"/>
  <c r="X81" i="29"/>
  <c r="Z81" i="29"/>
  <c r="AR81" i="29"/>
  <c r="U82" i="29"/>
  <c r="W82" i="29"/>
  <c r="AQ82" i="29" s="1"/>
  <c r="AX81" i="29"/>
  <c r="AK83" i="29"/>
  <c r="CI83" i="29"/>
  <c r="AS83" i="29"/>
  <c r="BL83" i="29"/>
  <c r="C83" i="29"/>
  <c r="CJ83" i="29"/>
  <c r="CK83" i="29" s="1"/>
  <c r="E83" i="29"/>
  <c r="L83" i="29"/>
  <c r="CE83" i="29"/>
  <c r="CF83" i="29" s="1"/>
  <c r="P83" i="29"/>
  <c r="AV83" i="29"/>
  <c r="R83" i="29"/>
  <c r="T83" i="29" s="1"/>
  <c r="Q83" i="29" s="1"/>
  <c r="AP83" i="29"/>
  <c r="S83" i="29"/>
  <c r="BI83" i="29"/>
  <c r="B84" i="29"/>
  <c r="CD84" i="29" s="1"/>
  <c r="AN83" i="29"/>
  <c r="N83" i="29"/>
  <c r="M83" i="29"/>
  <c r="V83" i="29"/>
  <c r="AI83" i="29"/>
  <c r="BE83" i="29"/>
  <c r="CH83" i="29"/>
  <c r="K83" i="29"/>
  <c r="J83" i="29"/>
  <c r="I83" i="29"/>
  <c r="BB82" i="29"/>
  <c r="AY82" i="29"/>
  <c r="AB82" i="29"/>
  <c r="AA82" i="29"/>
  <c r="AW82" i="29" s="1"/>
  <c r="Y82" i="29"/>
  <c r="AT82" i="29" s="1"/>
  <c r="AL82" i="29"/>
  <c r="BK82" i="29" s="1"/>
  <c r="AJ82" i="29"/>
  <c r="BH82" i="29" s="1"/>
  <c r="AB83" i="2"/>
  <c r="AI84" i="2"/>
  <c r="AK84" i="2"/>
  <c r="X79" i="2"/>
  <c r="Z79" i="2"/>
  <c r="V84" i="2"/>
  <c r="S84" i="2"/>
  <c r="L84" i="2"/>
  <c r="K84" i="2"/>
  <c r="J84" i="2"/>
  <c r="I84" i="2"/>
  <c r="M84" i="2"/>
  <c r="N84" i="2"/>
  <c r="H79" i="2"/>
  <c r="BD79" i="2"/>
  <c r="C84" i="2"/>
  <c r="AS84" i="2"/>
  <c r="BB84" i="2" s="1"/>
  <c r="E84" i="2"/>
  <c r="BI84" i="2"/>
  <c r="AP84" i="2"/>
  <c r="BE84" i="2"/>
  <c r="B85" i="2"/>
  <c r="AV84" i="2"/>
  <c r="BL84" i="2"/>
  <c r="AL79" i="2"/>
  <c r="BJ79" i="2" s="1"/>
  <c r="F79" i="2"/>
  <c r="G79" i="2"/>
  <c r="AA79" i="2"/>
  <c r="AW79" i="2" s="1"/>
  <c r="P80" i="2"/>
  <c r="R80" i="2"/>
  <c r="T80" i="2" s="1"/>
  <c r="Q80" i="2" s="1"/>
  <c r="BM78" i="2"/>
  <c r="AO78" i="2"/>
  <c r="T79" i="2"/>
  <c r="Q79" i="2" s="1"/>
  <c r="AJ79" i="2"/>
  <c r="BH79" i="2" s="1"/>
  <c r="AG80" i="2"/>
  <c r="AG81" i="2"/>
  <c r="BU83" i="23"/>
  <c r="K83" i="23"/>
  <c r="L83" i="23" s="1"/>
  <c r="BH78" i="2"/>
  <c r="Y79" i="2"/>
  <c r="AU79" i="2" s="1"/>
  <c r="BK78" i="2"/>
  <c r="BS78" i="2" s="1"/>
  <c r="BD78" i="2"/>
  <c r="H80" i="20"/>
  <c r="I80" i="20"/>
  <c r="BC78" i="2"/>
  <c r="AT78" i="2"/>
  <c r="AX78" i="2"/>
  <c r="BH80" i="23"/>
  <c r="AV81" i="23"/>
  <c r="AU81" i="23" s="1"/>
  <c r="AJ81" i="23"/>
  <c r="AM81" i="23"/>
  <c r="AG81" i="23"/>
  <c r="BG81" i="23"/>
  <c r="BY83" i="23"/>
  <c r="Q83" i="23"/>
  <c r="X83" i="23"/>
  <c r="AE83" i="23"/>
  <c r="BX83" i="23"/>
  <c r="BZ83" i="23"/>
  <c r="CA83" i="23" s="1"/>
  <c r="B84" i="23"/>
  <c r="BT84" i="23" s="1"/>
  <c r="AX83" i="23"/>
  <c r="Z83" i="23"/>
  <c r="AK83" i="23"/>
  <c r="S83" i="23"/>
  <c r="O83" i="23"/>
  <c r="AC83" i="23"/>
  <c r="AT83" i="23"/>
  <c r="BA83" i="23"/>
  <c r="C83" i="23"/>
  <c r="AH83" i="23"/>
  <c r="I83" i="23"/>
  <c r="M82" i="23"/>
  <c r="BB82" i="23" s="1"/>
  <c r="J82" i="23"/>
  <c r="AN82" i="23"/>
  <c r="AQ82" i="23"/>
  <c r="AS81" i="23"/>
  <c r="AR81" i="23"/>
  <c r="N82" i="23"/>
  <c r="P82" i="23"/>
  <c r="AG82" i="23" s="1"/>
  <c r="R82" i="23"/>
  <c r="AI82" i="23" s="1"/>
  <c r="Y82" i="23"/>
  <c r="AW82" i="23" s="1"/>
  <c r="T82" i="23"/>
  <c r="AL82" i="23" s="1"/>
  <c r="AA82" i="23"/>
  <c r="AY82" i="23" s="1"/>
  <c r="D82" i="23"/>
  <c r="AZ81" i="23"/>
  <c r="AD81" i="23"/>
  <c r="BD81" i="23" s="1"/>
  <c r="G103" i="23"/>
  <c r="F103" i="23"/>
  <c r="E103" i="23"/>
  <c r="CE81" i="2"/>
  <c r="AY80" i="2"/>
  <c r="AR72" i="2"/>
  <c r="H81" i="20"/>
  <c r="I81" i="20"/>
  <c r="U79" i="2"/>
  <c r="W80" i="2"/>
  <c r="BR69" i="2"/>
  <c r="AN80" i="2"/>
  <c r="H78" i="14"/>
  <c r="BR70" i="2"/>
  <c r="I78" i="14"/>
  <c r="R72" i="3"/>
  <c r="P72" i="3"/>
  <c r="Q72" i="3"/>
  <c r="AQ73" i="2"/>
  <c r="K73" i="3"/>
  <c r="L73" i="3"/>
  <c r="A74" i="3"/>
  <c r="M73" i="3"/>
  <c r="I73" i="3"/>
  <c r="N73" i="3"/>
  <c r="J73" i="3"/>
  <c r="BV83" i="23" l="1"/>
  <c r="R265" i="32"/>
  <c r="N267" i="32"/>
  <c r="A124" i="30"/>
  <c r="BR81" i="29"/>
  <c r="BD82" i="29"/>
  <c r="BG82" i="29"/>
  <c r="BF82" i="29" s="1"/>
  <c r="BS82" i="29" s="1"/>
  <c r="V84" i="29"/>
  <c r="L84" i="29"/>
  <c r="AG84" i="29" s="1"/>
  <c r="AV84" i="29"/>
  <c r="R84" i="29"/>
  <c r="T84" i="29" s="1"/>
  <c r="Q84" i="29" s="1"/>
  <c r="AP84" i="29"/>
  <c r="CI84" i="29"/>
  <c r="AS84" i="29"/>
  <c r="S84" i="29"/>
  <c r="B85" i="29"/>
  <c r="CD85" i="29" s="1"/>
  <c r="AN84" i="29"/>
  <c r="N84" i="29"/>
  <c r="M84" i="29"/>
  <c r="CE84" i="29"/>
  <c r="CF84" i="29" s="1"/>
  <c r="AI84" i="29"/>
  <c r="CH84" i="29"/>
  <c r="K84" i="29"/>
  <c r="J84" i="29"/>
  <c r="I84" i="29"/>
  <c r="BI84" i="29"/>
  <c r="P84" i="29"/>
  <c r="AK84" i="29"/>
  <c r="BL84" i="29"/>
  <c r="C84" i="29"/>
  <c r="CJ84" i="29"/>
  <c r="CK84" i="29" s="1"/>
  <c r="E84" i="29"/>
  <c r="BE84" i="29"/>
  <c r="BM83" i="29"/>
  <c r="AU82" i="29"/>
  <c r="BB83" i="29"/>
  <c r="AY83" i="29"/>
  <c r="W83" i="29"/>
  <c r="AQ83" i="29" s="1"/>
  <c r="U83" i="29"/>
  <c r="AG83" i="29"/>
  <c r="BC83" i="29" s="1"/>
  <c r="G83" i="29"/>
  <c r="F83" i="29"/>
  <c r="H83" i="29"/>
  <c r="Z82" i="29"/>
  <c r="X82" i="29"/>
  <c r="BC82" i="29"/>
  <c r="AR82" i="29"/>
  <c r="AX82" i="29"/>
  <c r="AO83" i="29"/>
  <c r="BO83" i="29" s="1"/>
  <c r="AB83" i="29"/>
  <c r="AA83" i="29"/>
  <c r="AW83" i="29" s="1"/>
  <c r="AL83" i="29"/>
  <c r="BK83" i="29" s="1"/>
  <c r="AJ83" i="29"/>
  <c r="BG83" i="29" s="1"/>
  <c r="BF83" i="29" s="1"/>
  <c r="Y83" i="29"/>
  <c r="AT83" i="29" s="1"/>
  <c r="BJ82" i="29"/>
  <c r="BR82" i="29" s="1"/>
  <c r="AB84" i="2"/>
  <c r="AK85" i="2"/>
  <c r="AI85" i="2"/>
  <c r="Z80" i="2"/>
  <c r="X80" i="2"/>
  <c r="V85" i="2"/>
  <c r="S85" i="2"/>
  <c r="L85" i="2"/>
  <c r="K85" i="2"/>
  <c r="J85" i="2"/>
  <c r="I85" i="2"/>
  <c r="M85" i="2"/>
  <c r="N85" i="2"/>
  <c r="C85" i="2"/>
  <c r="BK79" i="2"/>
  <c r="AS85" i="2"/>
  <c r="BB85" i="2" s="1"/>
  <c r="E85" i="2"/>
  <c r="BI85" i="2"/>
  <c r="AP85" i="2"/>
  <c r="BE85" i="2"/>
  <c r="B86" i="2"/>
  <c r="AV85" i="2"/>
  <c r="BL85" i="2"/>
  <c r="AJ80" i="2"/>
  <c r="BH80" i="2" s="1"/>
  <c r="BD80" i="2"/>
  <c r="Y80" i="2"/>
  <c r="AU80" i="2" s="1"/>
  <c r="AA80" i="2"/>
  <c r="AX80" i="2" s="1"/>
  <c r="BG79" i="2"/>
  <c r="BF79" i="2" s="1"/>
  <c r="AX79" i="2"/>
  <c r="BM80" i="2"/>
  <c r="AL80" i="2"/>
  <c r="BK80" i="2" s="1"/>
  <c r="R81" i="2"/>
  <c r="T81" i="2" s="1"/>
  <c r="Q81" i="2" s="1"/>
  <c r="A82" i="20"/>
  <c r="E82" i="20" s="1"/>
  <c r="W81" i="2"/>
  <c r="AO79" i="2"/>
  <c r="P81" i="2"/>
  <c r="BC79" i="2"/>
  <c r="G80" i="2"/>
  <c r="F80" i="2"/>
  <c r="H80" i="2"/>
  <c r="AO80" i="2"/>
  <c r="AG82" i="2"/>
  <c r="AT79" i="2"/>
  <c r="BU84" i="23"/>
  <c r="K84" i="23"/>
  <c r="L84" i="23" s="1"/>
  <c r="BM79" i="2"/>
  <c r="R82" i="2"/>
  <c r="BH81" i="23"/>
  <c r="AF82" i="23"/>
  <c r="BG82" i="23"/>
  <c r="AD82" i="23"/>
  <c r="BD82" i="23" s="1"/>
  <c r="AM82" i="23"/>
  <c r="AV82" i="23"/>
  <c r="AU82" i="23" s="1"/>
  <c r="AN83" i="23"/>
  <c r="AQ83" i="23"/>
  <c r="BZ84" i="23"/>
  <c r="CA84" i="23" s="1"/>
  <c r="B85" i="23"/>
  <c r="BT85" i="23" s="1"/>
  <c r="AX84" i="23"/>
  <c r="Q84" i="23"/>
  <c r="X84" i="23"/>
  <c r="AE84" i="23"/>
  <c r="AT84" i="23"/>
  <c r="AK84" i="23"/>
  <c r="BA84" i="23"/>
  <c r="BY84" i="23"/>
  <c r="AC84" i="23"/>
  <c r="I84" i="23"/>
  <c r="S84" i="23"/>
  <c r="O84" i="23"/>
  <c r="BX84" i="23"/>
  <c r="C84" i="23"/>
  <c r="Z84" i="23"/>
  <c r="AH84" i="23"/>
  <c r="AZ82" i="23"/>
  <c r="AJ82" i="23"/>
  <c r="D83" i="23"/>
  <c r="Y83" i="23"/>
  <c r="AW83" i="23" s="1"/>
  <c r="T83" i="23"/>
  <c r="AM83" i="23" s="1"/>
  <c r="R83" i="23"/>
  <c r="AJ83" i="23" s="1"/>
  <c r="AA83" i="23"/>
  <c r="AY83" i="23" s="1"/>
  <c r="P83" i="23"/>
  <c r="AF83" i="23" s="1"/>
  <c r="N83" i="23"/>
  <c r="AS82" i="23"/>
  <c r="AR82" i="23"/>
  <c r="J83" i="23"/>
  <c r="M83" i="23"/>
  <c r="AD83" i="23" s="1"/>
  <c r="BD83" i="23" s="1"/>
  <c r="F104" i="23"/>
  <c r="G104" i="23"/>
  <c r="E104" i="23"/>
  <c r="CE82" i="2"/>
  <c r="E69" i="19"/>
  <c r="E70" i="19"/>
  <c r="W82" i="2"/>
  <c r="H81" i="2"/>
  <c r="AR73" i="2"/>
  <c r="AY81" i="2"/>
  <c r="A83" i="20"/>
  <c r="E83" i="20" s="1"/>
  <c r="G81" i="2"/>
  <c r="F81" i="2"/>
  <c r="U80" i="2"/>
  <c r="CH82" i="2"/>
  <c r="CJ82" i="2"/>
  <c r="CK82" i="2" s="1"/>
  <c r="CI82" i="2"/>
  <c r="AN81" i="2"/>
  <c r="H79" i="14"/>
  <c r="BR71" i="2"/>
  <c r="J79" i="14"/>
  <c r="BO72" i="2"/>
  <c r="R73" i="3"/>
  <c r="P73" i="3"/>
  <c r="Q73" i="3"/>
  <c r="AQ74" i="2"/>
  <c r="K74" i="3"/>
  <c r="L74" i="3"/>
  <c r="A75" i="3"/>
  <c r="M74" i="3"/>
  <c r="I74" i="3"/>
  <c r="J74" i="3"/>
  <c r="N74" i="3"/>
  <c r="BV84" i="23" l="1"/>
  <c r="R267" i="32"/>
  <c r="N269" i="32"/>
  <c r="A125" i="30"/>
  <c r="AR83" i="29"/>
  <c r="BS83" i="29"/>
  <c r="BD83" i="29"/>
  <c r="BJ83" i="29"/>
  <c r="AU83" i="29"/>
  <c r="AJ84" i="29"/>
  <c r="BH84" i="29" s="1"/>
  <c r="AA84" i="29"/>
  <c r="AW84" i="29" s="1"/>
  <c r="AB84" i="29"/>
  <c r="AL84" i="29"/>
  <c r="BK84" i="29" s="1"/>
  <c r="Y84" i="29"/>
  <c r="AT84" i="29" s="1"/>
  <c r="X83" i="29"/>
  <c r="Z83" i="29"/>
  <c r="AX83" i="29"/>
  <c r="AO84" i="29"/>
  <c r="BO84" i="29" s="1"/>
  <c r="G84" i="29"/>
  <c r="F84" i="29"/>
  <c r="H84" i="29"/>
  <c r="BH83" i="29"/>
  <c r="AK85" i="29"/>
  <c r="N85" i="29"/>
  <c r="M85" i="29"/>
  <c r="CE85" i="29"/>
  <c r="CF85" i="29" s="1"/>
  <c r="P85" i="29"/>
  <c r="AV85" i="29"/>
  <c r="V85" i="29"/>
  <c r="L85" i="29"/>
  <c r="AG85" i="29" s="1"/>
  <c r="J85" i="29"/>
  <c r="I85" i="29"/>
  <c r="BI85" i="29"/>
  <c r="B86" i="29"/>
  <c r="CD86" i="29" s="1"/>
  <c r="AN85" i="29"/>
  <c r="S85" i="29"/>
  <c r="CJ85" i="29"/>
  <c r="CK85" i="29" s="1"/>
  <c r="E85" i="29"/>
  <c r="BE85" i="29"/>
  <c r="CH85" i="29"/>
  <c r="K85" i="29"/>
  <c r="AI85" i="29"/>
  <c r="R85" i="29"/>
  <c r="T85" i="29" s="1"/>
  <c r="Q85" i="29" s="1"/>
  <c r="AP85" i="29"/>
  <c r="CI85" i="29"/>
  <c r="AS85" i="29"/>
  <c r="BL85" i="29"/>
  <c r="C85" i="29"/>
  <c r="U84" i="29"/>
  <c r="W84" i="29"/>
  <c r="AR84" i="29" s="1"/>
  <c r="BM84" i="29"/>
  <c r="AY84" i="29"/>
  <c r="BB84" i="29"/>
  <c r="BD84" i="29" s="1"/>
  <c r="AB85" i="2"/>
  <c r="AI86" i="2"/>
  <c r="AK86" i="2"/>
  <c r="Z81" i="2"/>
  <c r="X81" i="2"/>
  <c r="X82" i="2"/>
  <c r="Z82" i="2"/>
  <c r="V86" i="2"/>
  <c r="S86" i="2"/>
  <c r="L86" i="2"/>
  <c r="K86" i="2"/>
  <c r="J86" i="2"/>
  <c r="I86" i="2"/>
  <c r="M86" i="2"/>
  <c r="N86" i="2"/>
  <c r="BS79" i="2"/>
  <c r="C86" i="2"/>
  <c r="AV86" i="2"/>
  <c r="BL86" i="2"/>
  <c r="BI86" i="2"/>
  <c r="AP86" i="2"/>
  <c r="BE86" i="2"/>
  <c r="B87" i="2"/>
  <c r="AS86" i="2"/>
  <c r="BB86" i="2" s="1"/>
  <c r="E86" i="2"/>
  <c r="BG80" i="2"/>
  <c r="BF80" i="2" s="1"/>
  <c r="BS80" i="2" s="1"/>
  <c r="AA81" i="2"/>
  <c r="AX81" i="2" s="1"/>
  <c r="AT80" i="2"/>
  <c r="BC80" i="2"/>
  <c r="AW80" i="2"/>
  <c r="BJ80" i="2"/>
  <c r="BD81" i="2"/>
  <c r="H82" i="20"/>
  <c r="I82" i="20"/>
  <c r="AL81" i="2"/>
  <c r="BK81" i="2" s="1"/>
  <c r="AJ81" i="2"/>
  <c r="BH81" i="2" s="1"/>
  <c r="P83" i="2"/>
  <c r="Y81" i="2"/>
  <c r="AU81" i="2" s="1"/>
  <c r="P82" i="2"/>
  <c r="AO81" i="2"/>
  <c r="BO81" i="2" s="1"/>
  <c r="BM81" i="2"/>
  <c r="T82" i="2"/>
  <c r="Q82" i="2" s="1"/>
  <c r="AG83" i="2"/>
  <c r="BU85" i="23"/>
  <c r="K85" i="23"/>
  <c r="L85" i="23" s="1"/>
  <c r="BB83" i="23"/>
  <c r="R83" i="2"/>
  <c r="BH82" i="23"/>
  <c r="AL83" i="23"/>
  <c r="AV83" i="23"/>
  <c r="AU83" i="23" s="1"/>
  <c r="N84" i="23"/>
  <c r="P84" i="23"/>
  <c r="AF84" i="23" s="1"/>
  <c r="BG83" i="23"/>
  <c r="AZ83" i="23"/>
  <c r="Y84" i="23"/>
  <c r="AV84" i="23" s="1"/>
  <c r="AU84" i="23" s="1"/>
  <c r="T84" i="23"/>
  <c r="AM84" i="23" s="1"/>
  <c r="R84" i="23"/>
  <c r="AI84" i="23" s="1"/>
  <c r="D84" i="23"/>
  <c r="AA84" i="23"/>
  <c r="AY84" i="23" s="1"/>
  <c r="Q85" i="23"/>
  <c r="S85" i="23"/>
  <c r="Z85" i="23"/>
  <c r="BA85" i="23"/>
  <c r="AT85" i="23"/>
  <c r="AE85" i="23"/>
  <c r="I85" i="23"/>
  <c r="AK85" i="23"/>
  <c r="O85" i="23"/>
  <c r="B86" i="23"/>
  <c r="BT86" i="23" s="1"/>
  <c r="AC85" i="23"/>
  <c r="BY85" i="23"/>
  <c r="AH85" i="23"/>
  <c r="X85" i="23"/>
  <c r="BX85" i="23"/>
  <c r="BZ85" i="23"/>
  <c r="CA85" i="23" s="1"/>
  <c r="AX85" i="23"/>
  <c r="C85" i="23"/>
  <c r="AI83" i="23"/>
  <c r="M84" i="23"/>
  <c r="BB84" i="23" s="1"/>
  <c r="J84" i="23"/>
  <c r="AR83" i="23"/>
  <c r="AS83" i="23"/>
  <c r="AQ84" i="23"/>
  <c r="AN84" i="23"/>
  <c r="AG83" i="23"/>
  <c r="G105" i="23"/>
  <c r="F105" i="23"/>
  <c r="E105" i="23"/>
  <c r="CE83" i="2"/>
  <c r="CF82" i="2"/>
  <c r="AL82" i="2"/>
  <c r="AA82" i="2"/>
  <c r="AW82" i="2" s="1"/>
  <c r="AJ82" i="2"/>
  <c r="AQ82" i="2"/>
  <c r="AR81" i="2"/>
  <c r="AQ81" i="2"/>
  <c r="AR82" i="2"/>
  <c r="AR74" i="2"/>
  <c r="H83" i="20"/>
  <c r="W83" i="2"/>
  <c r="AY82" i="2"/>
  <c r="H82" i="2"/>
  <c r="A84" i="20"/>
  <c r="E84" i="20" s="1"/>
  <c r="I83" i="20"/>
  <c r="C83" i="20"/>
  <c r="G82" i="2"/>
  <c r="F82" i="2"/>
  <c r="U82" i="2"/>
  <c r="U81" i="2"/>
  <c r="CH83" i="2"/>
  <c r="CJ83" i="2"/>
  <c r="CK83" i="2" s="1"/>
  <c r="CI83" i="2"/>
  <c r="AN82" i="2"/>
  <c r="Y82" i="2"/>
  <c r="AU82" i="2" s="1"/>
  <c r="BO73" i="2"/>
  <c r="R74" i="3"/>
  <c r="P74" i="3"/>
  <c r="Q74" i="3"/>
  <c r="AQ75" i="2"/>
  <c r="K75" i="3"/>
  <c r="L75" i="3"/>
  <c r="A76" i="3"/>
  <c r="M75" i="3"/>
  <c r="I75" i="3"/>
  <c r="N75" i="3"/>
  <c r="J75" i="3"/>
  <c r="BV85" i="23" l="1"/>
  <c r="R269" i="32"/>
  <c r="N271" i="32"/>
  <c r="A126" i="30"/>
  <c r="AU84" i="29"/>
  <c r="BG84" i="29"/>
  <c r="BF84" i="29" s="1"/>
  <c r="BS84" i="29" s="1"/>
  <c r="BC84" i="29"/>
  <c r="AX84" i="29"/>
  <c r="BM85" i="29"/>
  <c r="BR83" i="29"/>
  <c r="Y85" i="29"/>
  <c r="AU85" i="29" s="1"/>
  <c r="AJ85" i="29"/>
  <c r="BG85" i="29" s="1"/>
  <c r="BF85" i="29" s="1"/>
  <c r="AB85" i="29"/>
  <c r="AL85" i="29"/>
  <c r="BJ85" i="29" s="1"/>
  <c r="AA85" i="29"/>
  <c r="AX85" i="29" s="1"/>
  <c r="X84" i="29"/>
  <c r="Z84" i="29"/>
  <c r="W85" i="29"/>
  <c r="AR85" i="29" s="1"/>
  <c r="U85" i="29"/>
  <c r="AO85" i="29"/>
  <c r="BO85" i="29" s="1"/>
  <c r="BJ84" i="29"/>
  <c r="BR84" i="29" s="1"/>
  <c r="AY85" i="29"/>
  <c r="BB85" i="29"/>
  <c r="BC85" i="29" s="1"/>
  <c r="AK86" i="29"/>
  <c r="I86" i="29"/>
  <c r="BI86" i="29"/>
  <c r="B87" i="29"/>
  <c r="CD87" i="29" s="1"/>
  <c r="AN86" i="29"/>
  <c r="N86" i="29"/>
  <c r="S86" i="29"/>
  <c r="CJ86" i="29"/>
  <c r="CK86" i="29" s="1"/>
  <c r="E86" i="29"/>
  <c r="BE86" i="29"/>
  <c r="CH86" i="29"/>
  <c r="K86" i="29"/>
  <c r="J86" i="29"/>
  <c r="AI86" i="29"/>
  <c r="AP86" i="29"/>
  <c r="CI86" i="29"/>
  <c r="AS86" i="29"/>
  <c r="BL86" i="29"/>
  <c r="C86" i="29"/>
  <c r="V86" i="29"/>
  <c r="L86" i="29"/>
  <c r="M86" i="29"/>
  <c r="CE86" i="29"/>
  <c r="CF86" i="29" s="1"/>
  <c r="P86" i="29"/>
  <c r="AV86" i="29"/>
  <c r="R86" i="29"/>
  <c r="T86" i="29" s="1"/>
  <c r="Q86" i="29" s="1"/>
  <c r="F85" i="29"/>
  <c r="H85" i="29"/>
  <c r="G85" i="29"/>
  <c r="AQ84" i="29"/>
  <c r="AB86" i="2"/>
  <c r="AI87" i="2"/>
  <c r="AK87" i="2"/>
  <c r="V87" i="2"/>
  <c r="L87" i="2"/>
  <c r="S87" i="2"/>
  <c r="Z83" i="2"/>
  <c r="X83" i="2"/>
  <c r="K87" i="2"/>
  <c r="J87" i="2"/>
  <c r="I87" i="2"/>
  <c r="M87" i="2"/>
  <c r="N87" i="2"/>
  <c r="C87" i="2"/>
  <c r="AW81" i="2"/>
  <c r="AV87" i="2"/>
  <c r="BL87" i="2"/>
  <c r="BI87" i="2"/>
  <c r="AP87" i="2"/>
  <c r="BE87" i="2"/>
  <c r="B88" i="2"/>
  <c r="AS87" i="2"/>
  <c r="BB87" i="2" s="1"/>
  <c r="E87" i="2"/>
  <c r="BM82" i="2"/>
  <c r="BC81" i="2"/>
  <c r="BJ81" i="2"/>
  <c r="BR81" i="2" s="1"/>
  <c r="BG81" i="2"/>
  <c r="BF81" i="2" s="1"/>
  <c r="BS81" i="2" s="1"/>
  <c r="AT81" i="2"/>
  <c r="P84" i="2"/>
  <c r="AO82" i="2"/>
  <c r="BO82" i="2" s="1"/>
  <c r="T83" i="2"/>
  <c r="Q83" i="2" s="1"/>
  <c r="AG84" i="2"/>
  <c r="BU86" i="23"/>
  <c r="K86" i="23"/>
  <c r="L86" i="23" s="1"/>
  <c r="R84" i="2"/>
  <c r="AW84" i="23"/>
  <c r="BG84" i="23" s="1"/>
  <c r="AJ84" i="23"/>
  <c r="BH83" i="23"/>
  <c r="AL84" i="23"/>
  <c r="AD84" i="23"/>
  <c r="BD84" i="23" s="1"/>
  <c r="AG84" i="23"/>
  <c r="M85" i="23"/>
  <c r="AD85" i="23" s="1"/>
  <c r="BD85" i="23" s="1"/>
  <c r="J85" i="23"/>
  <c r="D85" i="23"/>
  <c r="R85" i="23"/>
  <c r="AI85" i="23" s="1"/>
  <c r="AA85" i="23"/>
  <c r="AZ85" i="23" s="1"/>
  <c r="Y85" i="23"/>
  <c r="AV85" i="23" s="1"/>
  <c r="AU85" i="23" s="1"/>
  <c r="T85" i="23"/>
  <c r="AL85" i="23" s="1"/>
  <c r="B87" i="23"/>
  <c r="BT87" i="23" s="1"/>
  <c r="AC86" i="23"/>
  <c r="BZ86" i="23"/>
  <c r="CA86" i="23" s="1"/>
  <c r="Z86" i="23"/>
  <c r="Q86" i="23"/>
  <c r="BX86" i="23"/>
  <c r="I86" i="23"/>
  <c r="BA86" i="23"/>
  <c r="S86" i="23"/>
  <c r="O86" i="23"/>
  <c r="AX86" i="23"/>
  <c r="AK86" i="23"/>
  <c r="C86" i="23"/>
  <c r="AH86" i="23"/>
  <c r="AT86" i="23"/>
  <c r="BY86" i="23"/>
  <c r="X86" i="23"/>
  <c r="AE86" i="23"/>
  <c r="AS84" i="23"/>
  <c r="AR84" i="23"/>
  <c r="AQ85" i="23"/>
  <c r="AN85" i="23"/>
  <c r="P85" i="23"/>
  <c r="AG85" i="23" s="1"/>
  <c r="N85" i="23"/>
  <c r="AZ84" i="23"/>
  <c r="BH84" i="23" s="1"/>
  <c r="G106" i="23"/>
  <c r="F106" i="23"/>
  <c r="E106" i="23"/>
  <c r="CE84" i="2"/>
  <c r="CF83" i="2"/>
  <c r="AX82" i="2"/>
  <c r="AQ83" i="2"/>
  <c r="AL83" i="2"/>
  <c r="AA83" i="2"/>
  <c r="AX83" i="2" s="1"/>
  <c r="AJ83" i="2"/>
  <c r="BK82" i="2"/>
  <c r="BJ82" i="2"/>
  <c r="BD82" i="2"/>
  <c r="BC82" i="2"/>
  <c r="I84" i="20"/>
  <c r="AT82" i="2"/>
  <c r="AR75" i="2"/>
  <c r="W84" i="2"/>
  <c r="H84" i="20"/>
  <c r="AR83" i="2"/>
  <c r="H83" i="2"/>
  <c r="AY83" i="2"/>
  <c r="BH82" i="2"/>
  <c r="BG82" i="2"/>
  <c r="BF82" i="2" s="1"/>
  <c r="A85" i="20"/>
  <c r="E85" i="20" s="1"/>
  <c r="C84" i="20"/>
  <c r="G83" i="2"/>
  <c r="F83" i="2"/>
  <c r="U83" i="2"/>
  <c r="CH84" i="2"/>
  <c r="CJ84" i="2"/>
  <c r="CK84" i="2" s="1"/>
  <c r="CI84" i="2"/>
  <c r="AN83" i="2"/>
  <c r="Y83" i="2"/>
  <c r="AT83" i="2" s="1"/>
  <c r="BR72" i="2"/>
  <c r="R75" i="3"/>
  <c r="P75" i="3"/>
  <c r="Q75" i="3"/>
  <c r="AQ76" i="2"/>
  <c r="K76" i="3"/>
  <c r="L76" i="3"/>
  <c r="A77" i="3"/>
  <c r="I76" i="3"/>
  <c r="M76" i="3"/>
  <c r="J76" i="3"/>
  <c r="N76" i="3"/>
  <c r="BV86" i="23" l="1"/>
  <c r="R271" i="32"/>
  <c r="N273" i="32"/>
  <c r="A127" i="30"/>
  <c r="AT85" i="29"/>
  <c r="AW85" i="29"/>
  <c r="BD85" i="29"/>
  <c r="AQ85" i="29"/>
  <c r="BK85" i="29"/>
  <c r="BS85" i="29" s="1"/>
  <c r="AO86" i="29"/>
  <c r="BO86" i="29" s="1"/>
  <c r="H86" i="29"/>
  <c r="G86" i="29"/>
  <c r="F86" i="29"/>
  <c r="BM86" i="29"/>
  <c r="U86" i="29"/>
  <c r="W86" i="29"/>
  <c r="AQ86" i="29" s="1"/>
  <c r="AI87" i="29"/>
  <c r="CE87" i="29"/>
  <c r="CF87" i="29" s="1"/>
  <c r="P87" i="29"/>
  <c r="B88" i="29"/>
  <c r="CD88" i="29" s="1"/>
  <c r="CH87" i="29"/>
  <c r="I87" i="29"/>
  <c r="V87" i="29"/>
  <c r="S87" i="29"/>
  <c r="CJ87" i="29"/>
  <c r="CK87" i="29" s="1"/>
  <c r="BI87" i="29"/>
  <c r="AN87" i="29"/>
  <c r="R87" i="29"/>
  <c r="T87" i="29" s="1"/>
  <c r="Q87" i="29" s="1"/>
  <c r="BL87" i="29"/>
  <c r="E87" i="29"/>
  <c r="AK87" i="29"/>
  <c r="AP87" i="29"/>
  <c r="BE87" i="29"/>
  <c r="K87" i="29"/>
  <c r="N87" i="29"/>
  <c r="AV87" i="29"/>
  <c r="L87" i="29"/>
  <c r="CI87" i="29"/>
  <c r="AS87" i="29"/>
  <c r="C87" i="29"/>
  <c r="J87" i="29"/>
  <c r="M87" i="29"/>
  <c r="BB86" i="29"/>
  <c r="AY86" i="29"/>
  <c r="AG86" i="29"/>
  <c r="AJ86" i="29"/>
  <c r="BH86" i="29" s="1"/>
  <c r="AB86" i="29"/>
  <c r="AA86" i="29"/>
  <c r="AX86" i="29" s="1"/>
  <c r="Y86" i="29"/>
  <c r="AT86" i="29" s="1"/>
  <c r="AL86" i="29"/>
  <c r="BK86" i="29" s="1"/>
  <c r="X85" i="29"/>
  <c r="Z85" i="29"/>
  <c r="BH85" i="29"/>
  <c r="BR85" i="29" s="1"/>
  <c r="AB87" i="2"/>
  <c r="AK88" i="2"/>
  <c r="AI88" i="2"/>
  <c r="Z84" i="2"/>
  <c r="X84" i="2"/>
  <c r="V88" i="2"/>
  <c r="S88" i="2"/>
  <c r="L88" i="2"/>
  <c r="K88" i="2"/>
  <c r="J88" i="2"/>
  <c r="I88" i="2"/>
  <c r="M88" i="2"/>
  <c r="N88" i="2"/>
  <c r="C88" i="2"/>
  <c r="AS88" i="2"/>
  <c r="BB88" i="2" s="1"/>
  <c r="BL88" i="2"/>
  <c r="BI88" i="2"/>
  <c r="AP88" i="2"/>
  <c r="BE88" i="2"/>
  <c r="B89" i="2"/>
  <c r="AV88" i="2"/>
  <c r="E88" i="2"/>
  <c r="BM83" i="2"/>
  <c r="P85" i="2"/>
  <c r="AO83" i="2"/>
  <c r="BO83" i="2" s="1"/>
  <c r="T84" i="2"/>
  <c r="Q84" i="2" s="1"/>
  <c r="AG85" i="2"/>
  <c r="BU87" i="23"/>
  <c r="K87" i="23"/>
  <c r="L87" i="23" s="1"/>
  <c r="BB85" i="23"/>
  <c r="R85" i="2"/>
  <c r="AY85" i="23"/>
  <c r="AW85" i="23"/>
  <c r="BH85" i="23"/>
  <c r="AM85" i="23"/>
  <c r="AS85" i="23"/>
  <c r="AR85" i="23"/>
  <c r="J86" i="23"/>
  <c r="M86" i="23"/>
  <c r="BB86" i="23" s="1"/>
  <c r="AF85" i="23"/>
  <c r="AK87" i="23"/>
  <c r="C87" i="23"/>
  <c r="AE87" i="23"/>
  <c r="Z87" i="23"/>
  <c r="AC87" i="23"/>
  <c r="BX87" i="23"/>
  <c r="X87" i="23"/>
  <c r="O87" i="23"/>
  <c r="AH87" i="23"/>
  <c r="AT87" i="23"/>
  <c r="AX87" i="23"/>
  <c r="BA87" i="23"/>
  <c r="BZ87" i="23"/>
  <c r="CA87" i="23" s="1"/>
  <c r="Q87" i="23"/>
  <c r="BY87" i="23"/>
  <c r="B88" i="23"/>
  <c r="BT88" i="23" s="1"/>
  <c r="S87" i="23"/>
  <c r="I87" i="23"/>
  <c r="AJ85" i="23"/>
  <c r="AQ86" i="23"/>
  <c r="AN86" i="23"/>
  <c r="P86" i="23"/>
  <c r="AG86" i="23" s="1"/>
  <c r="N86" i="23"/>
  <c r="R86" i="23"/>
  <c r="AJ86" i="23" s="1"/>
  <c r="T86" i="23"/>
  <c r="AL86" i="23" s="1"/>
  <c r="AA86" i="23"/>
  <c r="AZ86" i="23" s="1"/>
  <c r="Y86" i="23"/>
  <c r="AW86" i="23" s="1"/>
  <c r="D86" i="23"/>
  <c r="F107" i="23"/>
  <c r="E107" i="23"/>
  <c r="G107" i="23"/>
  <c r="CE85" i="2"/>
  <c r="CF84" i="2"/>
  <c r="AW83" i="2"/>
  <c r="AJ84" i="2"/>
  <c r="AL84" i="2"/>
  <c r="AA84" i="2"/>
  <c r="AX84" i="2" s="1"/>
  <c r="AQ84" i="2"/>
  <c r="BK83" i="2"/>
  <c r="BJ83" i="2"/>
  <c r="BS82" i="2"/>
  <c r="AR84" i="2"/>
  <c r="BC83" i="2"/>
  <c r="BD83" i="2"/>
  <c r="AU83" i="2"/>
  <c r="AY84" i="2"/>
  <c r="H84" i="2"/>
  <c r="AR76" i="2"/>
  <c r="W85" i="2"/>
  <c r="BH83" i="2"/>
  <c r="BG83" i="2"/>
  <c r="BF83" i="2" s="1"/>
  <c r="I85" i="20"/>
  <c r="A86" i="20"/>
  <c r="E86" i="20" s="1"/>
  <c r="H85" i="20"/>
  <c r="C85" i="20"/>
  <c r="F84" i="2"/>
  <c r="G84" i="2"/>
  <c r="U84" i="2"/>
  <c r="CH85" i="2"/>
  <c r="CJ85" i="2"/>
  <c r="CK85" i="2" s="1"/>
  <c r="CI85" i="2"/>
  <c r="BR82" i="2"/>
  <c r="AN84" i="2"/>
  <c r="BR75" i="2"/>
  <c r="Y84" i="2"/>
  <c r="AT84" i="2" s="1"/>
  <c r="BR73" i="2"/>
  <c r="BR74" i="2"/>
  <c r="BO74" i="2"/>
  <c r="BO75" i="2"/>
  <c r="P76" i="3"/>
  <c r="Q76" i="3"/>
  <c r="R76" i="3"/>
  <c r="AQ77" i="2"/>
  <c r="K77" i="3"/>
  <c r="L77" i="3"/>
  <c r="A78" i="3"/>
  <c r="M77" i="3"/>
  <c r="I77" i="3"/>
  <c r="N77" i="3"/>
  <c r="J77" i="3"/>
  <c r="BV87" i="23" l="1"/>
  <c r="R273" i="32"/>
  <c r="N275" i="32"/>
  <c r="A128" i="30"/>
  <c r="AR86" i="29"/>
  <c r="BC86" i="29"/>
  <c r="BJ86" i="29"/>
  <c r="BR86" i="29" s="1"/>
  <c r="BM87" i="29"/>
  <c r="BG86" i="29"/>
  <c r="BF86" i="29" s="1"/>
  <c r="BS86" i="29" s="1"/>
  <c r="AW86" i="29"/>
  <c r="AG87" i="29"/>
  <c r="G87" i="29"/>
  <c r="F87" i="29"/>
  <c r="H87" i="29"/>
  <c r="BD86" i="29"/>
  <c r="AU86" i="29"/>
  <c r="AB87" i="29"/>
  <c r="AA87" i="29"/>
  <c r="AX87" i="29" s="1"/>
  <c r="AL87" i="29"/>
  <c r="BK87" i="29" s="1"/>
  <c r="Y87" i="29"/>
  <c r="AU87" i="29" s="1"/>
  <c r="AJ87" i="29"/>
  <c r="BH87" i="29" s="1"/>
  <c r="AW87" i="29"/>
  <c r="S88" i="29"/>
  <c r="L88" i="29"/>
  <c r="CJ88" i="29"/>
  <c r="CK88" i="29" s="1"/>
  <c r="E88" i="29"/>
  <c r="BE88" i="29"/>
  <c r="CH88" i="29"/>
  <c r="K88" i="29"/>
  <c r="N88" i="29"/>
  <c r="AI88" i="29"/>
  <c r="AP88" i="29"/>
  <c r="CI88" i="29"/>
  <c r="AS88" i="29"/>
  <c r="BL88" i="29"/>
  <c r="C88" i="29"/>
  <c r="V88" i="29"/>
  <c r="M88" i="29"/>
  <c r="CE88" i="29"/>
  <c r="CF88" i="29" s="1"/>
  <c r="P88" i="29"/>
  <c r="AV88" i="29"/>
  <c r="J88" i="29"/>
  <c r="AK88" i="29"/>
  <c r="I88" i="29"/>
  <c r="BI88" i="29"/>
  <c r="B89" i="29"/>
  <c r="CD89" i="29" s="1"/>
  <c r="AN88" i="29"/>
  <c r="R88" i="29"/>
  <c r="T88" i="29" s="1"/>
  <c r="Q88" i="29" s="1"/>
  <c r="AY87" i="29"/>
  <c r="BB87" i="29"/>
  <c r="AO87" i="29"/>
  <c r="BO87" i="29" s="1"/>
  <c r="W87" i="29"/>
  <c r="AR87" i="29" s="1"/>
  <c r="U87" i="29"/>
  <c r="X86" i="29"/>
  <c r="Z86" i="29"/>
  <c r="AB88" i="2"/>
  <c r="AK89" i="2"/>
  <c r="AI89" i="2"/>
  <c r="Z85" i="2"/>
  <c r="X85" i="2"/>
  <c r="V89" i="2"/>
  <c r="S89" i="2"/>
  <c r="L89" i="2"/>
  <c r="K89" i="2"/>
  <c r="J89" i="2"/>
  <c r="I89" i="2"/>
  <c r="M89" i="2"/>
  <c r="N89" i="2"/>
  <c r="C89" i="2"/>
  <c r="AS89" i="2"/>
  <c r="BB89" i="2" s="1"/>
  <c r="E89" i="2"/>
  <c r="BI89" i="2"/>
  <c r="AP89" i="2"/>
  <c r="BE89" i="2"/>
  <c r="B90" i="2"/>
  <c r="AV89" i="2"/>
  <c r="BL89" i="2"/>
  <c r="AO84" i="2"/>
  <c r="BO84" i="2" s="1"/>
  <c r="P86" i="2"/>
  <c r="BM84" i="2"/>
  <c r="T85" i="2"/>
  <c r="Q85" i="2" s="1"/>
  <c r="AG86" i="2"/>
  <c r="BU88" i="23"/>
  <c r="K88" i="23"/>
  <c r="L88" i="23" s="1"/>
  <c r="R86" i="2"/>
  <c r="BG85" i="23"/>
  <c r="AI86" i="23"/>
  <c r="AV86" i="23"/>
  <c r="AU86" i="23" s="1"/>
  <c r="BH86" i="23" s="1"/>
  <c r="AF86" i="23"/>
  <c r="AY86" i="23"/>
  <c r="BG86" i="23" s="1"/>
  <c r="AM86" i="23"/>
  <c r="O88" i="23"/>
  <c r="I88" i="23"/>
  <c r="Q88" i="23"/>
  <c r="AC88" i="23"/>
  <c r="X88" i="23"/>
  <c r="BZ88" i="23"/>
  <c r="CA88" i="23" s="1"/>
  <c r="AE88" i="23"/>
  <c r="AX88" i="23"/>
  <c r="BA88" i="23"/>
  <c r="C88" i="23"/>
  <c r="BY88" i="23"/>
  <c r="BX88" i="23"/>
  <c r="AT88" i="23"/>
  <c r="S88" i="23"/>
  <c r="Z88" i="23"/>
  <c r="AH88" i="23"/>
  <c r="AK88" i="23"/>
  <c r="B89" i="23"/>
  <c r="BT89" i="23" s="1"/>
  <c r="J87" i="23"/>
  <c r="M87" i="23"/>
  <c r="BB87" i="23" s="1"/>
  <c r="AN87" i="23"/>
  <c r="AQ87" i="23"/>
  <c r="Y87" i="23"/>
  <c r="AV87" i="23" s="1"/>
  <c r="AU87" i="23" s="1"/>
  <c r="T87" i="23"/>
  <c r="AL87" i="23" s="1"/>
  <c r="D87" i="23"/>
  <c r="AA87" i="23"/>
  <c r="AZ87" i="23" s="1"/>
  <c r="R87" i="23"/>
  <c r="AJ87" i="23" s="1"/>
  <c r="AD86" i="23"/>
  <c r="BD86" i="23" s="1"/>
  <c r="AS86" i="23"/>
  <c r="AR86" i="23"/>
  <c r="P87" i="23"/>
  <c r="AF87" i="23" s="1"/>
  <c r="N87" i="23"/>
  <c r="CE86" i="2"/>
  <c r="CF85" i="2"/>
  <c r="AQ85" i="2"/>
  <c r="AW84" i="2"/>
  <c r="AJ85" i="2"/>
  <c r="AL85" i="2"/>
  <c r="AA85" i="2"/>
  <c r="AX85" i="2" s="1"/>
  <c r="BS83" i="2"/>
  <c r="BJ84" i="2"/>
  <c r="BK84" i="2"/>
  <c r="BD84" i="2"/>
  <c r="BC84" i="2"/>
  <c r="AR85" i="2"/>
  <c r="AU84" i="2"/>
  <c r="AY85" i="2"/>
  <c r="W86" i="2"/>
  <c r="AR77" i="2"/>
  <c r="H85" i="2"/>
  <c r="BH84" i="2"/>
  <c r="BG84" i="2"/>
  <c r="BF84" i="2" s="1"/>
  <c r="I86" i="20"/>
  <c r="H86" i="20"/>
  <c r="A87" i="20"/>
  <c r="E87" i="20" s="1"/>
  <c r="C86" i="20"/>
  <c r="G85" i="2"/>
  <c r="F85" i="2"/>
  <c r="U85" i="2"/>
  <c r="CH86" i="2"/>
  <c r="CJ86" i="2"/>
  <c r="CK86" i="2" s="1"/>
  <c r="CI86" i="2"/>
  <c r="AN85" i="2"/>
  <c r="BR83" i="2"/>
  <c r="Y85" i="2"/>
  <c r="AU85" i="2" s="1"/>
  <c r="BR76" i="2"/>
  <c r="BO76" i="2"/>
  <c r="R77" i="3"/>
  <c r="Q77" i="3"/>
  <c r="P77" i="3"/>
  <c r="AQ78" i="2"/>
  <c r="K78" i="3"/>
  <c r="L78" i="3"/>
  <c r="A79" i="3"/>
  <c r="M78" i="3"/>
  <c r="I78" i="3"/>
  <c r="J78" i="3"/>
  <c r="N78" i="3"/>
  <c r="BV88" i="23" l="1"/>
  <c r="R275" i="32"/>
  <c r="N277" i="32"/>
  <c r="A129" i="30"/>
  <c r="BC87" i="29"/>
  <c r="AT87" i="29"/>
  <c r="BG87" i="29"/>
  <c r="BF87" i="29" s="1"/>
  <c r="BS87" i="29" s="1"/>
  <c r="BD87" i="29"/>
  <c r="AO88" i="29"/>
  <c r="BO88" i="29" s="1"/>
  <c r="BM88" i="29"/>
  <c r="AA88" i="29"/>
  <c r="AX88" i="29" s="1"/>
  <c r="Y88" i="29"/>
  <c r="AU88" i="29" s="1"/>
  <c r="AL88" i="29"/>
  <c r="BJ88" i="29" s="1"/>
  <c r="AJ88" i="29"/>
  <c r="BH88" i="29" s="1"/>
  <c r="AB88" i="29"/>
  <c r="H88" i="29"/>
  <c r="G88" i="29"/>
  <c r="F88" i="29"/>
  <c r="V89" i="29"/>
  <c r="L89" i="29"/>
  <c r="CE89" i="29"/>
  <c r="CF89" i="29" s="1"/>
  <c r="P89" i="29"/>
  <c r="AV89" i="29"/>
  <c r="R89" i="29"/>
  <c r="T89" i="29" s="1"/>
  <c r="Q89" i="29" s="1"/>
  <c r="E89" i="29"/>
  <c r="S89" i="29"/>
  <c r="BI89" i="29"/>
  <c r="B90" i="29"/>
  <c r="CD90" i="29" s="1"/>
  <c r="AN89" i="29"/>
  <c r="N89" i="29"/>
  <c r="AP89" i="29"/>
  <c r="AI89" i="29"/>
  <c r="BE89" i="29"/>
  <c r="CH89" i="29"/>
  <c r="K89" i="29"/>
  <c r="J89" i="29"/>
  <c r="M89" i="29"/>
  <c r="AK89" i="29"/>
  <c r="CI89" i="29"/>
  <c r="AS89" i="29"/>
  <c r="BL89" i="29"/>
  <c r="C89" i="29"/>
  <c r="CJ89" i="29"/>
  <c r="CK89" i="29" s="1"/>
  <c r="I89" i="29"/>
  <c r="BB88" i="29"/>
  <c r="AY88" i="29"/>
  <c r="BJ87" i="29"/>
  <c r="BR87" i="29" s="1"/>
  <c r="X87" i="29"/>
  <c r="Z87" i="29"/>
  <c r="AG88" i="29"/>
  <c r="U88" i="29"/>
  <c r="W88" i="29"/>
  <c r="AQ87" i="29"/>
  <c r="AB89" i="2"/>
  <c r="AI90" i="2"/>
  <c r="AK90" i="2"/>
  <c r="Z86" i="2"/>
  <c r="X86" i="2"/>
  <c r="V90" i="2"/>
  <c r="S90" i="2"/>
  <c r="L90" i="2"/>
  <c r="K90" i="2"/>
  <c r="J90" i="2"/>
  <c r="I90" i="2"/>
  <c r="M90" i="2"/>
  <c r="N90" i="2"/>
  <c r="C90" i="2"/>
  <c r="AV90" i="2"/>
  <c r="BL90" i="2"/>
  <c r="BI90" i="2"/>
  <c r="AP90" i="2"/>
  <c r="BE90" i="2"/>
  <c r="B91" i="2"/>
  <c r="AS90" i="2"/>
  <c r="BB90" i="2" s="1"/>
  <c r="E90" i="2"/>
  <c r="BM85" i="2"/>
  <c r="P87" i="2"/>
  <c r="AO85" i="2"/>
  <c r="BO85" i="2" s="1"/>
  <c r="T86" i="2"/>
  <c r="Q86" i="2" s="1"/>
  <c r="AG87" i="2"/>
  <c r="BU89" i="23"/>
  <c r="K89" i="23"/>
  <c r="L89" i="23" s="1"/>
  <c r="R87" i="2"/>
  <c r="AW87" i="23"/>
  <c r="AD87" i="23"/>
  <c r="BD87" i="23" s="1"/>
  <c r="AG87" i="23"/>
  <c r="AM87" i="23"/>
  <c r="BH87" i="23"/>
  <c r="AE89" i="23"/>
  <c r="Q89" i="23"/>
  <c r="AC89" i="23"/>
  <c r="S89" i="23"/>
  <c r="BX89" i="23"/>
  <c r="I89" i="23"/>
  <c r="AT89" i="23"/>
  <c r="BA89" i="23"/>
  <c r="C89" i="23"/>
  <c r="X89" i="23"/>
  <c r="Z89" i="23"/>
  <c r="B90" i="23"/>
  <c r="BT90" i="23" s="1"/>
  <c r="BZ89" i="23"/>
  <c r="CA89" i="23" s="1"/>
  <c r="BY89" i="23"/>
  <c r="AH89" i="23"/>
  <c r="AK89" i="23"/>
  <c r="O89" i="23"/>
  <c r="AX89" i="23"/>
  <c r="Y88" i="23"/>
  <c r="AV88" i="23" s="1"/>
  <c r="AU88" i="23" s="1"/>
  <c r="AA88" i="23"/>
  <c r="AZ88" i="23" s="1"/>
  <c r="D88" i="23"/>
  <c r="R88" i="23"/>
  <c r="AJ88" i="23" s="1"/>
  <c r="T88" i="23"/>
  <c r="AM88" i="23" s="1"/>
  <c r="M88" i="23"/>
  <c r="AD88" i="23" s="1"/>
  <c r="BD88" i="23" s="1"/>
  <c r="J88" i="23"/>
  <c r="AY87" i="23"/>
  <c r="AI87" i="23"/>
  <c r="AN88" i="23"/>
  <c r="AQ88" i="23"/>
  <c r="P88" i="23"/>
  <c r="AF88" i="23" s="1"/>
  <c r="N88" i="23"/>
  <c r="AS87" i="23"/>
  <c r="AR87" i="23"/>
  <c r="CE87" i="2"/>
  <c r="CF86" i="2"/>
  <c r="AW85" i="2"/>
  <c r="AL86" i="2"/>
  <c r="AA86" i="2"/>
  <c r="AX86" i="2" s="1"/>
  <c r="AJ86" i="2"/>
  <c r="AQ86" i="2"/>
  <c r="BK85" i="2"/>
  <c r="BJ85" i="2"/>
  <c r="BS84" i="2"/>
  <c r="BD85" i="2"/>
  <c r="BC85" i="2"/>
  <c r="AT85" i="2"/>
  <c r="AR78" i="2"/>
  <c r="W87" i="2"/>
  <c r="AR86" i="2"/>
  <c r="H86" i="2"/>
  <c r="AY86" i="2"/>
  <c r="BH85" i="2"/>
  <c r="BG85" i="2"/>
  <c r="BF85" i="2" s="1"/>
  <c r="H87" i="20"/>
  <c r="A88" i="20"/>
  <c r="E88" i="20" s="1"/>
  <c r="I87" i="20"/>
  <c r="C87" i="20"/>
  <c r="G86" i="2"/>
  <c r="F86" i="2"/>
  <c r="U86" i="2"/>
  <c r="CH87" i="2"/>
  <c r="CJ87" i="2"/>
  <c r="CK87" i="2" s="1"/>
  <c r="CI87" i="2"/>
  <c r="BR84" i="2"/>
  <c r="AN86" i="2"/>
  <c r="Y86" i="2"/>
  <c r="AU86" i="2" s="1"/>
  <c r="BR77" i="2"/>
  <c r="BO77" i="2"/>
  <c r="P78" i="3"/>
  <c r="Q78" i="3"/>
  <c r="R78" i="3"/>
  <c r="AQ79" i="2"/>
  <c r="K79" i="3"/>
  <c r="L79" i="3"/>
  <c r="A80" i="3"/>
  <c r="M79" i="3"/>
  <c r="I79" i="3"/>
  <c r="N79" i="3"/>
  <c r="J79" i="3"/>
  <c r="BV89" i="23" l="1"/>
  <c r="R277" i="32"/>
  <c r="N279" i="32"/>
  <c r="A130" i="30"/>
  <c r="BK88" i="29"/>
  <c r="BM89" i="29"/>
  <c r="AO89" i="29"/>
  <c r="BO89" i="29" s="1"/>
  <c r="BR88" i="29"/>
  <c r="BD88" i="29"/>
  <c r="AT88" i="29"/>
  <c r="BC88" i="29"/>
  <c r="Z88" i="29"/>
  <c r="X88" i="29"/>
  <c r="W89" i="29"/>
  <c r="AR89" i="29" s="1"/>
  <c r="U89" i="29"/>
  <c r="AA89" i="29"/>
  <c r="AX89" i="29" s="1"/>
  <c r="AL89" i="29"/>
  <c r="BK89" i="29" s="1"/>
  <c r="AJ89" i="29"/>
  <c r="BH89" i="29" s="1"/>
  <c r="Y89" i="29"/>
  <c r="AU89" i="29" s="1"/>
  <c r="AB89" i="29"/>
  <c r="AW88" i="29"/>
  <c r="AR88" i="29"/>
  <c r="AY89" i="29"/>
  <c r="BB89" i="29"/>
  <c r="S90" i="29"/>
  <c r="B91" i="29"/>
  <c r="CD91" i="29" s="1"/>
  <c r="CE90" i="29"/>
  <c r="CF90" i="29" s="1"/>
  <c r="AV90" i="29"/>
  <c r="R90" i="29"/>
  <c r="T90" i="29" s="1"/>
  <c r="Q90" i="29" s="1"/>
  <c r="M90" i="29"/>
  <c r="P90" i="29"/>
  <c r="AI90" i="29"/>
  <c r="CH90" i="29"/>
  <c r="BI90" i="29"/>
  <c r="AN90" i="29"/>
  <c r="N90" i="29"/>
  <c r="I90" i="29"/>
  <c r="AK90" i="29"/>
  <c r="BL90" i="29"/>
  <c r="BE90" i="29"/>
  <c r="K90" i="29"/>
  <c r="J90" i="29"/>
  <c r="E90" i="29"/>
  <c r="V90" i="29"/>
  <c r="L90" i="29"/>
  <c r="CI90" i="29"/>
  <c r="AS90" i="29"/>
  <c r="C90" i="29"/>
  <c r="CJ90" i="29"/>
  <c r="CK90" i="29" s="1"/>
  <c r="AP90" i="29"/>
  <c r="AG89" i="29"/>
  <c r="G89" i="29"/>
  <c r="F89" i="29"/>
  <c r="H89" i="29"/>
  <c r="BG88" i="29"/>
  <c r="BF88" i="29" s="1"/>
  <c r="BS88" i="29" s="1"/>
  <c r="AQ88" i="29"/>
  <c r="AB90" i="2"/>
  <c r="AI91" i="2"/>
  <c r="AK91" i="2"/>
  <c r="Z87" i="2"/>
  <c r="X87" i="2"/>
  <c r="V91" i="2"/>
  <c r="L91" i="2"/>
  <c r="S91" i="2"/>
  <c r="K91" i="2"/>
  <c r="J91" i="2"/>
  <c r="I91" i="2"/>
  <c r="M91" i="2"/>
  <c r="N91" i="2"/>
  <c r="C91" i="2"/>
  <c r="AV91" i="2"/>
  <c r="BL91" i="2"/>
  <c r="BI91" i="2"/>
  <c r="AP91" i="2"/>
  <c r="BE91" i="2"/>
  <c r="B92" i="2"/>
  <c r="AS91" i="2"/>
  <c r="BB91" i="2" s="1"/>
  <c r="E91" i="2"/>
  <c r="AO86" i="2"/>
  <c r="BO86" i="2" s="1"/>
  <c r="BM86" i="2"/>
  <c r="P88" i="2"/>
  <c r="T87" i="2"/>
  <c r="Q87" i="2" s="1"/>
  <c r="AG88" i="2"/>
  <c r="BU90" i="23"/>
  <c r="K90" i="23"/>
  <c r="L90" i="23" s="1"/>
  <c r="BB88" i="23"/>
  <c r="AG88" i="23"/>
  <c r="AI88" i="23"/>
  <c r="AL88" i="23"/>
  <c r="BG87" i="23"/>
  <c r="AW88" i="23"/>
  <c r="R88" i="2"/>
  <c r="AY88" i="23"/>
  <c r="N89" i="23"/>
  <c r="P89" i="23"/>
  <c r="AF89" i="23" s="1"/>
  <c r="BH88" i="23"/>
  <c r="Q90" i="23"/>
  <c r="AK90" i="23"/>
  <c r="C90" i="23"/>
  <c r="AE90" i="23"/>
  <c r="AC90" i="23"/>
  <c r="AT90" i="23"/>
  <c r="BX90" i="23"/>
  <c r="X90" i="23"/>
  <c r="Z90" i="23"/>
  <c r="BZ90" i="23"/>
  <c r="CA90" i="23" s="1"/>
  <c r="BA90" i="23"/>
  <c r="AX90" i="23"/>
  <c r="B91" i="23"/>
  <c r="BT91" i="23" s="1"/>
  <c r="O90" i="23"/>
  <c r="S90" i="23"/>
  <c r="BY90" i="23"/>
  <c r="AH90" i="23"/>
  <c r="I90" i="23"/>
  <c r="Y89" i="23"/>
  <c r="AW89" i="23" s="1"/>
  <c r="D89" i="23"/>
  <c r="T89" i="23"/>
  <c r="AL89" i="23" s="1"/>
  <c r="R89" i="23"/>
  <c r="AJ89" i="23" s="1"/>
  <c r="AA89" i="23"/>
  <c r="AY89" i="23" s="1"/>
  <c r="AR88" i="23"/>
  <c r="AS88" i="23"/>
  <c r="J89" i="23"/>
  <c r="M89" i="23"/>
  <c r="AD89" i="23" s="1"/>
  <c r="BD89" i="23" s="1"/>
  <c r="AQ89" i="23"/>
  <c r="AN89" i="23"/>
  <c r="CE88" i="2"/>
  <c r="CF87" i="2"/>
  <c r="AW86" i="2"/>
  <c r="AQ87" i="2"/>
  <c r="AA87" i="2"/>
  <c r="AX87" i="2" s="1"/>
  <c r="AL87" i="2"/>
  <c r="AJ87" i="2"/>
  <c r="BK86" i="2"/>
  <c r="BJ86" i="2"/>
  <c r="BS85" i="2"/>
  <c r="BD86" i="2"/>
  <c r="BC86" i="2"/>
  <c r="AT86" i="2"/>
  <c r="AY87" i="2"/>
  <c r="H87" i="2"/>
  <c r="AR79" i="2"/>
  <c r="W88" i="2"/>
  <c r="AR87" i="2"/>
  <c r="I88" i="20"/>
  <c r="BH86" i="2"/>
  <c r="BG86" i="2"/>
  <c r="BF86" i="2" s="1"/>
  <c r="A89" i="20"/>
  <c r="E89" i="20" s="1"/>
  <c r="H88" i="20"/>
  <c r="C88" i="20"/>
  <c r="G87" i="2"/>
  <c r="F87" i="2"/>
  <c r="U87" i="2"/>
  <c r="CH88" i="2"/>
  <c r="CJ88" i="2"/>
  <c r="CK88" i="2" s="1"/>
  <c r="CI88" i="2"/>
  <c r="AN87" i="2"/>
  <c r="BR85" i="2"/>
  <c r="Y87" i="2"/>
  <c r="AU87" i="2" s="1"/>
  <c r="BR78" i="2"/>
  <c r="R79" i="3"/>
  <c r="P79" i="3"/>
  <c r="Q79" i="3"/>
  <c r="AQ80" i="2"/>
  <c r="K80" i="3"/>
  <c r="L80" i="3"/>
  <c r="A81" i="3"/>
  <c r="M80" i="3"/>
  <c r="I80" i="3"/>
  <c r="J80" i="3"/>
  <c r="N80" i="3"/>
  <c r="BV90" i="23" l="1"/>
  <c r="R279" i="32"/>
  <c r="N281" i="32"/>
  <c r="A131" i="30"/>
  <c r="AT89" i="29"/>
  <c r="BC89" i="29"/>
  <c r="AW89" i="29"/>
  <c r="V91" i="29"/>
  <c r="AI91" i="29"/>
  <c r="J91" i="29"/>
  <c r="I91" i="29"/>
  <c r="BL91" i="29"/>
  <c r="C91" i="29"/>
  <c r="BI91" i="29"/>
  <c r="AK91" i="29"/>
  <c r="CJ91" i="29"/>
  <c r="CK91" i="29" s="1"/>
  <c r="E91" i="29"/>
  <c r="AV91" i="29"/>
  <c r="CI91" i="29"/>
  <c r="AS91" i="29"/>
  <c r="L91" i="29"/>
  <c r="R91" i="29"/>
  <c r="T91" i="29" s="1"/>
  <c r="Q91" i="29" s="1"/>
  <c r="AP91" i="29"/>
  <c r="B92" i="29"/>
  <c r="CD92" i="29" s="1"/>
  <c r="AN91" i="29"/>
  <c r="P91" i="29"/>
  <c r="BE91" i="29"/>
  <c r="N91" i="29"/>
  <c r="M91" i="29"/>
  <c r="CH91" i="29"/>
  <c r="K91" i="29"/>
  <c r="CE91" i="29"/>
  <c r="CF91" i="29" s="1"/>
  <c r="AG91" i="29"/>
  <c r="S91" i="29"/>
  <c r="BD89" i="29"/>
  <c r="AG90" i="29"/>
  <c r="F90" i="29"/>
  <c r="H90" i="29"/>
  <c r="G90" i="29"/>
  <c r="Z89" i="29"/>
  <c r="X89" i="29"/>
  <c r="AA90" i="29"/>
  <c r="AX90" i="29" s="1"/>
  <c r="AJ90" i="29"/>
  <c r="BG90" i="29" s="1"/>
  <c r="BF90" i="29" s="1"/>
  <c r="AL90" i="29"/>
  <c r="BJ90" i="29" s="1"/>
  <c r="Y90" i="29"/>
  <c r="AU90" i="29" s="1"/>
  <c r="AB90" i="29"/>
  <c r="W90" i="29"/>
  <c r="AQ90" i="29" s="1"/>
  <c r="U90" i="29"/>
  <c r="BJ89" i="29"/>
  <c r="BR89" i="29" s="1"/>
  <c r="AY90" i="29"/>
  <c r="BB90" i="29"/>
  <c r="BM90" i="29"/>
  <c r="AO90" i="29"/>
  <c r="BO90" i="29" s="1"/>
  <c r="BG89" i="29"/>
  <c r="BF89" i="29" s="1"/>
  <c r="BS89" i="29" s="1"/>
  <c r="AQ89" i="29"/>
  <c r="AB91" i="2"/>
  <c r="AK92" i="2"/>
  <c r="AI92" i="2"/>
  <c r="Z88" i="2"/>
  <c r="X88" i="2"/>
  <c r="V92" i="2"/>
  <c r="S92" i="2"/>
  <c r="L92" i="2"/>
  <c r="K92" i="2"/>
  <c r="J92" i="2"/>
  <c r="I92" i="2"/>
  <c r="M92" i="2"/>
  <c r="N92" i="2"/>
  <c r="C92" i="2"/>
  <c r="AS92" i="2"/>
  <c r="BB92" i="2" s="1"/>
  <c r="E92" i="2"/>
  <c r="BI92" i="2"/>
  <c r="AP92" i="2"/>
  <c r="BE92" i="2"/>
  <c r="B93" i="2"/>
  <c r="AV92" i="2"/>
  <c r="BL92" i="2"/>
  <c r="P89" i="2"/>
  <c r="AO87" i="2"/>
  <c r="BO87" i="2" s="1"/>
  <c r="BM87" i="2"/>
  <c r="T88" i="2"/>
  <c r="Q88" i="2" s="1"/>
  <c r="AG89" i="2"/>
  <c r="BG89" i="23"/>
  <c r="BU91" i="23"/>
  <c r="K91" i="23"/>
  <c r="L91" i="23" s="1"/>
  <c r="BB89" i="23"/>
  <c r="AV89" i="23"/>
  <c r="AU89" i="23" s="1"/>
  <c r="AI89" i="23"/>
  <c r="BG88" i="23"/>
  <c r="R89" i="2"/>
  <c r="AG89" i="23"/>
  <c r="AM89" i="23"/>
  <c r="AS89" i="23"/>
  <c r="AR89" i="23"/>
  <c r="R90" i="23"/>
  <c r="AI90" i="23" s="1"/>
  <c r="D90" i="23"/>
  <c r="AA90" i="23"/>
  <c r="AZ90" i="23" s="1"/>
  <c r="T90" i="23"/>
  <c r="AL90" i="23" s="1"/>
  <c r="Y90" i="23"/>
  <c r="AV90" i="23" s="1"/>
  <c r="AU90" i="23" s="1"/>
  <c r="M90" i="23"/>
  <c r="BB90" i="23" s="1"/>
  <c r="J90" i="23"/>
  <c r="N90" i="23"/>
  <c r="P90" i="23"/>
  <c r="AF90" i="23" s="1"/>
  <c r="AZ89" i="23"/>
  <c r="AN90" i="23"/>
  <c r="AQ90" i="23"/>
  <c r="B92" i="23"/>
  <c r="BT92" i="23" s="1"/>
  <c r="C91" i="23"/>
  <c r="AC91" i="23"/>
  <c r="I91" i="23"/>
  <c r="Q91" i="23"/>
  <c r="AT91" i="23"/>
  <c r="BA91" i="23"/>
  <c r="AE91" i="23"/>
  <c r="X91" i="23"/>
  <c r="AX91" i="23"/>
  <c r="O91" i="23"/>
  <c r="BX91" i="23"/>
  <c r="Z91" i="23"/>
  <c r="AH91" i="23"/>
  <c r="BY91" i="23"/>
  <c r="AK91" i="23"/>
  <c r="BZ91" i="23"/>
  <c r="CA91" i="23" s="1"/>
  <c r="S91" i="23"/>
  <c r="CE89" i="2"/>
  <c r="CF88" i="2"/>
  <c r="AJ88" i="2"/>
  <c r="AL88" i="2"/>
  <c r="AA88" i="2"/>
  <c r="AX88" i="2" s="1"/>
  <c r="AQ88" i="2"/>
  <c r="AW87" i="2"/>
  <c r="BS86" i="2"/>
  <c r="BK87" i="2"/>
  <c r="BJ87" i="2"/>
  <c r="BC87" i="2"/>
  <c r="BD87" i="2"/>
  <c r="AR88" i="2"/>
  <c r="AT87" i="2"/>
  <c r="AY88" i="2"/>
  <c r="AR80" i="2"/>
  <c r="W89" i="2"/>
  <c r="H88" i="2"/>
  <c r="BH87" i="2"/>
  <c r="BG87" i="2"/>
  <c r="BF87" i="2" s="1"/>
  <c r="I89" i="20"/>
  <c r="H89" i="20"/>
  <c r="A90" i="20"/>
  <c r="E90" i="20" s="1"/>
  <c r="C89" i="20"/>
  <c r="F88" i="2"/>
  <c r="G88" i="2"/>
  <c r="U88" i="2"/>
  <c r="CH89" i="2"/>
  <c r="CJ89" i="2"/>
  <c r="CK89" i="2" s="1"/>
  <c r="CI89" i="2"/>
  <c r="BR86" i="2"/>
  <c r="AN88" i="2"/>
  <c r="Y88" i="2"/>
  <c r="AT88" i="2" s="1"/>
  <c r="BR79" i="2"/>
  <c r="BO78" i="2"/>
  <c r="BO79" i="2"/>
  <c r="R80" i="3"/>
  <c r="P80" i="3"/>
  <c r="Q80" i="3"/>
  <c r="K81" i="3"/>
  <c r="L81" i="3"/>
  <c r="A82" i="3"/>
  <c r="M81" i="3"/>
  <c r="I81" i="3"/>
  <c r="N81" i="3"/>
  <c r="J81" i="3"/>
  <c r="BV91" i="23" l="1"/>
  <c r="R281" i="32"/>
  <c r="N283" i="32"/>
  <c r="A132" i="30"/>
  <c r="AW90" i="29"/>
  <c r="AO91" i="29"/>
  <c r="BO91" i="29" s="1"/>
  <c r="AT90" i="29"/>
  <c r="BC90" i="29"/>
  <c r="BK90" i="29"/>
  <c r="BS90" i="29" s="1"/>
  <c r="BD90" i="29"/>
  <c r="X90" i="29"/>
  <c r="Z90" i="29"/>
  <c r="F91" i="29"/>
  <c r="G91" i="29"/>
  <c r="H91" i="29"/>
  <c r="AJ91" i="29"/>
  <c r="BG91" i="29" s="1"/>
  <c r="BF91" i="29" s="1"/>
  <c r="AL91" i="29"/>
  <c r="BK91" i="29" s="1"/>
  <c r="AB91" i="29"/>
  <c r="Y91" i="29"/>
  <c r="AU91" i="29" s="1"/>
  <c r="AA91" i="29"/>
  <c r="AW91" i="29" s="1"/>
  <c r="AI92" i="29"/>
  <c r="AP92" i="29"/>
  <c r="CI92" i="29"/>
  <c r="AS92" i="29"/>
  <c r="J92" i="29"/>
  <c r="BL92" i="29"/>
  <c r="AK92" i="29"/>
  <c r="M92" i="29"/>
  <c r="CE92" i="29"/>
  <c r="CF92" i="29" s="1"/>
  <c r="P92" i="29"/>
  <c r="B93" i="29"/>
  <c r="CD93" i="29" s="1"/>
  <c r="AV92" i="29"/>
  <c r="V92" i="29"/>
  <c r="I92" i="29"/>
  <c r="BI92" i="29"/>
  <c r="R92" i="29"/>
  <c r="T92" i="29" s="1"/>
  <c r="Q92" i="29" s="1"/>
  <c r="C92" i="29"/>
  <c r="K92" i="29"/>
  <c r="S92" i="29"/>
  <c r="L92" i="29"/>
  <c r="CJ92" i="29"/>
  <c r="CK92" i="29" s="1"/>
  <c r="E92" i="29"/>
  <c r="BE92" i="29"/>
  <c r="N92" i="29"/>
  <c r="CH92" i="29"/>
  <c r="AN92" i="29"/>
  <c r="AY91" i="29"/>
  <c r="BB91" i="29"/>
  <c r="BC91" i="29" s="1"/>
  <c r="BM91" i="29"/>
  <c r="U91" i="29"/>
  <c r="W91" i="29"/>
  <c r="AQ91" i="29" s="1"/>
  <c r="AR90" i="29"/>
  <c r="BH90" i="29"/>
  <c r="BR90" i="29" s="1"/>
  <c r="AB92" i="2"/>
  <c r="AK93" i="2"/>
  <c r="AI93" i="2"/>
  <c r="Z89" i="2"/>
  <c r="X89" i="2"/>
  <c r="S93" i="2"/>
  <c r="V93" i="2"/>
  <c r="L93" i="2"/>
  <c r="K93" i="2"/>
  <c r="J93" i="2"/>
  <c r="I93" i="2"/>
  <c r="M93" i="2"/>
  <c r="N93" i="2"/>
  <c r="C93" i="2"/>
  <c r="AS93" i="2"/>
  <c r="BB93" i="2" s="1"/>
  <c r="E93" i="2"/>
  <c r="BI93" i="2"/>
  <c r="AP93" i="2"/>
  <c r="BE93" i="2"/>
  <c r="B94" i="2"/>
  <c r="AV93" i="2"/>
  <c r="BL93" i="2"/>
  <c r="AO88" i="2"/>
  <c r="BO88" i="2" s="1"/>
  <c r="P90" i="2"/>
  <c r="BM88" i="2"/>
  <c r="T89" i="2"/>
  <c r="Q89" i="2" s="1"/>
  <c r="AG90" i="2"/>
  <c r="BU92" i="23"/>
  <c r="K92" i="23"/>
  <c r="L92" i="23" s="1"/>
  <c r="BH89" i="23"/>
  <c r="AD90" i="23"/>
  <c r="BD90" i="23" s="1"/>
  <c r="R90" i="2"/>
  <c r="AJ90" i="23"/>
  <c r="AW90" i="23"/>
  <c r="AG90" i="23"/>
  <c r="J91" i="23"/>
  <c r="M91" i="23"/>
  <c r="AD91" i="23" s="1"/>
  <c r="BD91" i="23" s="1"/>
  <c r="R91" i="23"/>
  <c r="AI91" i="23" s="1"/>
  <c r="Y91" i="23"/>
  <c r="AW91" i="23" s="1"/>
  <c r="D91" i="23"/>
  <c r="AA91" i="23"/>
  <c r="AY91" i="23" s="1"/>
  <c r="T91" i="23"/>
  <c r="AL91" i="23" s="1"/>
  <c r="AM90" i="23"/>
  <c r="AQ91" i="23"/>
  <c r="AN91" i="23"/>
  <c r="N91" i="23"/>
  <c r="P91" i="23"/>
  <c r="AG91" i="23" s="1"/>
  <c r="AS90" i="23"/>
  <c r="AR90" i="23"/>
  <c r="BH90" i="23"/>
  <c r="AE92" i="23"/>
  <c r="AX92" i="23"/>
  <c r="B93" i="23"/>
  <c r="BT93" i="23" s="1"/>
  <c r="BX92" i="23"/>
  <c r="C92" i="23"/>
  <c r="AH92" i="23"/>
  <c r="AK92" i="23"/>
  <c r="Z92" i="23"/>
  <c r="AT92" i="23"/>
  <c r="X92" i="23"/>
  <c r="BA92" i="23"/>
  <c r="AC92" i="23"/>
  <c r="BZ92" i="23"/>
  <c r="CA92" i="23" s="1"/>
  <c r="Q92" i="23"/>
  <c r="O92" i="23"/>
  <c r="BY92" i="23"/>
  <c r="S92" i="23"/>
  <c r="I92" i="23"/>
  <c r="AY90" i="23"/>
  <c r="CE90" i="2"/>
  <c r="CF89" i="2"/>
  <c r="AJ89" i="2"/>
  <c r="AL89" i="2"/>
  <c r="AA89" i="2"/>
  <c r="AX89" i="2" s="1"/>
  <c r="AQ89" i="2"/>
  <c r="AW88" i="2"/>
  <c r="BK88" i="2"/>
  <c r="BJ88" i="2"/>
  <c r="BS87" i="2"/>
  <c r="BD88" i="2"/>
  <c r="BC88" i="2"/>
  <c r="I90" i="20"/>
  <c r="AU88" i="2"/>
  <c r="W90" i="2"/>
  <c r="H89" i="2"/>
  <c r="AY89" i="2"/>
  <c r="AR89" i="2"/>
  <c r="BH88" i="2"/>
  <c r="BG88" i="2"/>
  <c r="BF88" i="2" s="1"/>
  <c r="H90" i="20"/>
  <c r="A91" i="20"/>
  <c r="E91" i="20" s="1"/>
  <c r="C90" i="20"/>
  <c r="G89" i="2"/>
  <c r="F89" i="2"/>
  <c r="U89" i="2"/>
  <c r="CH90" i="2"/>
  <c r="CJ90" i="2"/>
  <c r="CK90" i="2" s="1"/>
  <c r="CI90" i="2"/>
  <c r="BR80" i="2"/>
  <c r="AN28" i="2"/>
  <c r="AO28" i="2" s="1"/>
  <c r="AN29" i="2"/>
  <c r="AO29" i="2" s="1"/>
  <c r="AN27" i="2"/>
  <c r="AO27" i="2" s="1"/>
  <c r="AN30" i="2"/>
  <c r="AO30" i="2" s="1"/>
  <c r="BR87" i="2"/>
  <c r="AN89" i="2"/>
  <c r="Y89" i="2"/>
  <c r="AU89" i="2" s="1"/>
  <c r="AN8" i="2"/>
  <c r="AN10" i="2"/>
  <c r="AN7" i="2"/>
  <c r="AN11" i="2"/>
  <c r="AN9" i="2"/>
  <c r="AN6" i="2"/>
  <c r="AN22" i="2"/>
  <c r="AO22" i="2" s="1"/>
  <c r="AN26" i="2"/>
  <c r="AO26" i="2" s="1"/>
  <c r="AN21" i="2"/>
  <c r="AO21" i="2" s="1"/>
  <c r="AN25" i="2"/>
  <c r="AO25" i="2" s="1"/>
  <c r="AN24" i="2"/>
  <c r="AO24" i="2" s="1"/>
  <c r="AN23" i="2"/>
  <c r="AO23" i="2" s="1"/>
  <c r="BO80" i="2"/>
  <c r="P81" i="3"/>
  <c r="AN33" i="2"/>
  <c r="AO33" i="2" s="1"/>
  <c r="AN35" i="2"/>
  <c r="AO35" i="2" s="1"/>
  <c r="AN37" i="2"/>
  <c r="AO37" i="2" s="1"/>
  <c r="AN39" i="2"/>
  <c r="AO39" i="2" s="1"/>
  <c r="AN41" i="2"/>
  <c r="AO41" i="2" s="1"/>
  <c r="AN43" i="2"/>
  <c r="AO43" i="2" s="1"/>
  <c r="AN45" i="2"/>
  <c r="AO45" i="2" s="1"/>
  <c r="AN47" i="2"/>
  <c r="AO47" i="2" s="1"/>
  <c r="AN49" i="2"/>
  <c r="AO49" i="2" s="1"/>
  <c r="AN51" i="2"/>
  <c r="AO51" i="2" s="1"/>
  <c r="AN53" i="2"/>
  <c r="AO53" i="2" s="1"/>
  <c r="AN31" i="2"/>
  <c r="AO31" i="2" s="1"/>
  <c r="AN32" i="2"/>
  <c r="AO32" i="2" s="1"/>
  <c r="AN34" i="2"/>
  <c r="AO34" i="2" s="1"/>
  <c r="AN36" i="2"/>
  <c r="AO36" i="2" s="1"/>
  <c r="AN38" i="2"/>
  <c r="AO38" i="2" s="1"/>
  <c r="AN40" i="2"/>
  <c r="AO40" i="2" s="1"/>
  <c r="AN42" i="2"/>
  <c r="AO42" i="2" s="1"/>
  <c r="AN44" i="2"/>
  <c r="AO44" i="2" s="1"/>
  <c r="AN46" i="2"/>
  <c r="AO46" i="2" s="1"/>
  <c r="AN48" i="2"/>
  <c r="AO48" i="2" s="1"/>
  <c r="AN50" i="2"/>
  <c r="AO50" i="2" s="1"/>
  <c r="AN52" i="2"/>
  <c r="AO52" i="2" s="1"/>
  <c r="AN54" i="2"/>
  <c r="AO54" i="2" s="1"/>
  <c r="AN55" i="2"/>
  <c r="AO55" i="2" s="1"/>
  <c r="Q81" i="3"/>
  <c r="R81" i="3"/>
  <c r="K82" i="3"/>
  <c r="L82" i="3"/>
  <c r="A83" i="3"/>
  <c r="M82" i="3"/>
  <c r="I82" i="3"/>
  <c r="J82" i="3"/>
  <c r="N82" i="3"/>
  <c r="BV92" i="23" l="1"/>
  <c r="R283" i="32"/>
  <c r="N285" i="32"/>
  <c r="A133" i="30"/>
  <c r="BH91" i="29"/>
  <c r="BD91" i="29"/>
  <c r="AO92" i="29"/>
  <c r="BO92" i="29" s="1"/>
  <c r="BS91" i="29"/>
  <c r="AT91" i="29"/>
  <c r="Z91" i="29"/>
  <c r="X91" i="29"/>
  <c r="BM92" i="29"/>
  <c r="Y92" i="29"/>
  <c r="AT92" i="29" s="1"/>
  <c r="AA92" i="29"/>
  <c r="AX92" i="29" s="1"/>
  <c r="AJ92" i="29"/>
  <c r="BG92" i="29" s="1"/>
  <c r="BF92" i="29" s="1"/>
  <c r="AB92" i="29"/>
  <c r="AL92" i="29"/>
  <c r="BJ92" i="29" s="1"/>
  <c r="U92" i="29"/>
  <c r="W92" i="29"/>
  <c r="AQ92" i="29" s="1"/>
  <c r="AG92" i="29"/>
  <c r="F92" i="29"/>
  <c r="G92" i="29"/>
  <c r="H92" i="29"/>
  <c r="BB92" i="29"/>
  <c r="AY92" i="29"/>
  <c r="BJ91" i="29"/>
  <c r="AR91" i="29"/>
  <c r="AK93" i="29"/>
  <c r="CI93" i="29"/>
  <c r="AS93" i="29"/>
  <c r="BL93" i="29"/>
  <c r="C93" i="29"/>
  <c r="I93" i="29"/>
  <c r="R93" i="29"/>
  <c r="T93" i="29" s="1"/>
  <c r="Q93" i="29" s="1"/>
  <c r="V93" i="29"/>
  <c r="L93" i="29"/>
  <c r="CE93" i="29"/>
  <c r="CF93" i="29" s="1"/>
  <c r="P93" i="29"/>
  <c r="AV93" i="29"/>
  <c r="CJ93" i="29"/>
  <c r="CK93" i="29" s="1"/>
  <c r="E93" i="29"/>
  <c r="S93" i="29"/>
  <c r="BI93" i="29"/>
  <c r="B94" i="29"/>
  <c r="CD94" i="29" s="1"/>
  <c r="AN93" i="29"/>
  <c r="AP93" i="29"/>
  <c r="N93" i="29"/>
  <c r="AI93" i="29"/>
  <c r="BE93" i="29"/>
  <c r="CH93" i="29"/>
  <c r="K93" i="29"/>
  <c r="M93" i="29"/>
  <c r="J93" i="29"/>
  <c r="AX91" i="29"/>
  <c r="AB93" i="2"/>
  <c r="AI94" i="2"/>
  <c r="AK94" i="2"/>
  <c r="X90" i="2"/>
  <c r="Z90" i="2"/>
  <c r="V94" i="2"/>
  <c r="S94" i="2"/>
  <c r="L94" i="2"/>
  <c r="K94" i="2"/>
  <c r="J94" i="2"/>
  <c r="I94" i="2"/>
  <c r="M94" i="2"/>
  <c r="N94" i="2"/>
  <c r="C94" i="2"/>
  <c r="AV94" i="2"/>
  <c r="BL94" i="2"/>
  <c r="BI94" i="2"/>
  <c r="AP94" i="2"/>
  <c r="BE94" i="2"/>
  <c r="B95" i="2"/>
  <c r="AS94" i="2"/>
  <c r="BB94" i="2" s="1"/>
  <c r="E94" i="2"/>
  <c r="P91" i="2"/>
  <c r="T90" i="2"/>
  <c r="Q90" i="2" s="1"/>
  <c r="BM89" i="2"/>
  <c r="AO89" i="2"/>
  <c r="BO89" i="2" s="1"/>
  <c r="AG91" i="2"/>
  <c r="BU93" i="23"/>
  <c r="K93" i="23"/>
  <c r="L93" i="23" s="1"/>
  <c r="BB91" i="23"/>
  <c r="R91" i="2"/>
  <c r="BG90" i="23"/>
  <c r="AM91" i="23"/>
  <c r="AJ91" i="23"/>
  <c r="AZ91" i="23"/>
  <c r="AS91" i="23"/>
  <c r="AR91" i="23"/>
  <c r="AQ92" i="23"/>
  <c r="AN92" i="23"/>
  <c r="Q93" i="23"/>
  <c r="AK93" i="23"/>
  <c r="C93" i="23"/>
  <c r="O93" i="23"/>
  <c r="X93" i="23"/>
  <c r="AX93" i="23"/>
  <c r="B94" i="23"/>
  <c r="BT94" i="23" s="1"/>
  <c r="AC93" i="23"/>
  <c r="S93" i="23"/>
  <c r="BZ93" i="23"/>
  <c r="CA93" i="23" s="1"/>
  <c r="AT93" i="23"/>
  <c r="Z93" i="23"/>
  <c r="BY93" i="23"/>
  <c r="AH93" i="23"/>
  <c r="BA93" i="23"/>
  <c r="I93" i="23"/>
  <c r="BX93" i="23"/>
  <c r="AE93" i="23"/>
  <c r="N92" i="23"/>
  <c r="P92" i="23"/>
  <c r="AG92" i="23" s="1"/>
  <c r="R92" i="23"/>
  <c r="AJ92" i="23" s="1"/>
  <c r="T92" i="23"/>
  <c r="AM92" i="23" s="1"/>
  <c r="AA92" i="23"/>
  <c r="AY92" i="23" s="1"/>
  <c r="D92" i="23"/>
  <c r="Y92" i="23"/>
  <c r="AW92" i="23" s="1"/>
  <c r="AV91" i="23"/>
  <c r="AU91" i="23" s="1"/>
  <c r="BG91" i="23"/>
  <c r="J92" i="23"/>
  <c r="M92" i="23"/>
  <c r="AD92" i="23" s="1"/>
  <c r="BD92" i="23" s="1"/>
  <c r="AF91" i="23"/>
  <c r="CE91" i="2"/>
  <c r="CF90" i="2"/>
  <c r="AO9" i="2"/>
  <c r="BO9" i="2" s="1"/>
  <c r="AO7" i="2"/>
  <c r="BO7" i="2" s="1"/>
  <c r="AL90" i="2"/>
  <c r="AA90" i="2"/>
  <c r="AW90" i="2" s="1"/>
  <c r="AJ90" i="2"/>
  <c r="AO6" i="2"/>
  <c r="BO6" i="2" s="1"/>
  <c r="AO10" i="2"/>
  <c r="BO10" i="2" s="1"/>
  <c r="AQ90" i="2"/>
  <c r="AO8" i="2"/>
  <c r="BO8" i="2" s="1"/>
  <c r="AO11" i="2"/>
  <c r="BO11" i="2" s="1"/>
  <c r="AW89" i="2"/>
  <c r="BS88" i="2"/>
  <c r="BK89" i="2"/>
  <c r="BJ89" i="2"/>
  <c r="BD89" i="2"/>
  <c r="BC89" i="2"/>
  <c r="AR90" i="2"/>
  <c r="AT89" i="2"/>
  <c r="W91" i="2"/>
  <c r="H90" i="2"/>
  <c r="AY90" i="2"/>
  <c r="BH89" i="2"/>
  <c r="BG89" i="2"/>
  <c r="BF89" i="2" s="1"/>
  <c r="H91" i="20"/>
  <c r="I91" i="20"/>
  <c r="A92" i="20"/>
  <c r="E92" i="20" s="1"/>
  <c r="C91" i="20"/>
  <c r="G90" i="2"/>
  <c r="F90" i="2"/>
  <c r="U90" i="2"/>
  <c r="CH91" i="2"/>
  <c r="CJ91" i="2"/>
  <c r="CK91" i="2" s="1"/>
  <c r="CI91" i="2"/>
  <c r="BR88" i="2"/>
  <c r="AN90" i="2"/>
  <c r="Y90" i="2"/>
  <c r="AU90" i="2" s="1"/>
  <c r="AN56" i="2"/>
  <c r="AO56" i="2" s="1"/>
  <c r="R82" i="3"/>
  <c r="P82" i="3"/>
  <c r="Q82" i="3"/>
  <c r="BO33" i="2"/>
  <c r="BO25" i="2"/>
  <c r="BO17" i="2"/>
  <c r="BO21" i="2"/>
  <c r="BO24" i="2"/>
  <c r="BO16" i="2"/>
  <c r="BO39" i="2"/>
  <c r="BO37" i="2"/>
  <c r="BO32" i="2"/>
  <c r="BO28" i="2"/>
  <c r="BO23" i="2"/>
  <c r="BO18" i="2"/>
  <c r="BO34" i="2"/>
  <c r="BO30" i="2"/>
  <c r="BO29" i="2"/>
  <c r="BO20" i="2"/>
  <c r="BO40" i="2"/>
  <c r="BO38" i="2"/>
  <c r="BO36" i="2"/>
  <c r="BO35" i="2"/>
  <c r="BO31" i="2"/>
  <c r="BO26" i="2"/>
  <c r="BO27" i="2"/>
  <c r="BO19" i="2"/>
  <c r="BO22" i="2"/>
  <c r="K83" i="3"/>
  <c r="L83" i="3"/>
  <c r="A84" i="3"/>
  <c r="M83" i="3"/>
  <c r="I83" i="3"/>
  <c r="N83" i="3"/>
  <c r="J83" i="3"/>
  <c r="BV93" i="23" l="1"/>
  <c r="R285" i="32"/>
  <c r="N287" i="32"/>
  <c r="A134" i="30"/>
  <c r="BR91" i="29"/>
  <c r="AW92" i="29"/>
  <c r="BC92" i="29"/>
  <c r="BD92" i="29"/>
  <c r="AU92" i="29"/>
  <c r="BK92" i="29"/>
  <c r="BS92" i="29" s="1"/>
  <c r="BM93" i="29"/>
  <c r="AO93" i="29"/>
  <c r="BO93" i="29" s="1"/>
  <c r="BH92" i="29"/>
  <c r="BR92" i="29" s="1"/>
  <c r="AK94" i="29"/>
  <c r="AV94" i="29"/>
  <c r="R94" i="29"/>
  <c r="T94" i="29" s="1"/>
  <c r="Q94" i="29" s="1"/>
  <c r="CE94" i="29"/>
  <c r="CF94" i="29" s="1"/>
  <c r="P94" i="29"/>
  <c r="CJ94" i="29"/>
  <c r="CK94" i="29" s="1"/>
  <c r="S94" i="29"/>
  <c r="B95" i="29"/>
  <c r="CD95" i="29" s="1"/>
  <c r="AN94" i="29"/>
  <c r="N94" i="29"/>
  <c r="BI94" i="29"/>
  <c r="AP94" i="29"/>
  <c r="E94" i="29"/>
  <c r="AI94" i="29"/>
  <c r="CH94" i="29"/>
  <c r="K94" i="29"/>
  <c r="J94" i="29"/>
  <c r="BE94" i="29"/>
  <c r="M94" i="29"/>
  <c r="V94" i="29"/>
  <c r="L94" i="29"/>
  <c r="AG94" i="29" s="1"/>
  <c r="BL94" i="29"/>
  <c r="C94" i="29"/>
  <c r="CI94" i="29"/>
  <c r="AS94" i="29"/>
  <c r="I94" i="29"/>
  <c r="AG93" i="29"/>
  <c r="H93" i="29"/>
  <c r="G93" i="29"/>
  <c r="F93" i="29"/>
  <c r="AB93" i="29"/>
  <c r="AA93" i="29"/>
  <c r="AX93" i="29" s="1"/>
  <c r="Y93" i="29"/>
  <c r="AT93" i="29" s="1"/>
  <c r="AJ93" i="29"/>
  <c r="BH93" i="29" s="1"/>
  <c r="AL93" i="29"/>
  <c r="BK93" i="29" s="1"/>
  <c r="W93" i="29"/>
  <c r="AQ93" i="29" s="1"/>
  <c r="U93" i="29"/>
  <c r="BB93" i="29"/>
  <c r="AY93" i="29"/>
  <c r="Z92" i="29"/>
  <c r="X92" i="29"/>
  <c r="AR92" i="29"/>
  <c r="AB94" i="2"/>
  <c r="AI95" i="2"/>
  <c r="AK95" i="2"/>
  <c r="X91" i="2"/>
  <c r="Z91" i="2"/>
  <c r="V95" i="2"/>
  <c r="L95" i="2"/>
  <c r="S95" i="2"/>
  <c r="K95" i="2"/>
  <c r="J95" i="2"/>
  <c r="I95" i="2"/>
  <c r="M95" i="2"/>
  <c r="N95" i="2"/>
  <c r="C95" i="2"/>
  <c r="AV95" i="2"/>
  <c r="BL95" i="2"/>
  <c r="BI95" i="2"/>
  <c r="AP95" i="2"/>
  <c r="BE95" i="2"/>
  <c r="B96" i="2"/>
  <c r="AS95" i="2"/>
  <c r="BB95" i="2" s="1"/>
  <c r="E95" i="2"/>
  <c r="P92" i="2"/>
  <c r="BM90" i="2"/>
  <c r="AO90" i="2"/>
  <c r="BO90" i="2" s="1"/>
  <c r="T91" i="2"/>
  <c r="Q91" i="2" s="1"/>
  <c r="AG92" i="2"/>
  <c r="BU94" i="23"/>
  <c r="K94" i="23"/>
  <c r="L94" i="23" s="1"/>
  <c r="BB92" i="23"/>
  <c r="R92" i="2"/>
  <c r="BH91" i="23"/>
  <c r="AF92" i="23"/>
  <c r="AV92" i="23"/>
  <c r="AU92" i="23" s="1"/>
  <c r="AQ93" i="23"/>
  <c r="AN93" i="23"/>
  <c r="AR92" i="23"/>
  <c r="AS92" i="23"/>
  <c r="BG92" i="23"/>
  <c r="AI92" i="23"/>
  <c r="M93" i="23"/>
  <c r="AD93" i="23" s="1"/>
  <c r="BD93" i="23" s="1"/>
  <c r="J93" i="23"/>
  <c r="P93" i="23"/>
  <c r="AG93" i="23" s="1"/>
  <c r="N93" i="23"/>
  <c r="AZ92" i="23"/>
  <c r="BX94" i="23"/>
  <c r="X94" i="23"/>
  <c r="O94" i="23"/>
  <c r="AT94" i="23"/>
  <c r="AX94" i="23"/>
  <c r="C94" i="23"/>
  <c r="I94" i="23"/>
  <c r="BA94" i="23"/>
  <c r="BZ94" i="23"/>
  <c r="CA94" i="23" s="1"/>
  <c r="Z94" i="23"/>
  <c r="AH94" i="23"/>
  <c r="AK94" i="23"/>
  <c r="AE94" i="23"/>
  <c r="Q94" i="23"/>
  <c r="B95" i="23"/>
  <c r="BT95" i="23" s="1"/>
  <c r="AC94" i="23"/>
  <c r="S94" i="23"/>
  <c r="BY94" i="23"/>
  <c r="Y93" i="23"/>
  <c r="AV93" i="23" s="1"/>
  <c r="AU93" i="23" s="1"/>
  <c r="R93" i="23"/>
  <c r="AJ93" i="23" s="1"/>
  <c r="D93" i="23"/>
  <c r="T93" i="23"/>
  <c r="AL93" i="23" s="1"/>
  <c r="AA93" i="23"/>
  <c r="AY93" i="23" s="1"/>
  <c r="AL92" i="23"/>
  <c r="CE92" i="2"/>
  <c r="CF91" i="2"/>
  <c r="AX90" i="2"/>
  <c r="AL91" i="2"/>
  <c r="AJ91" i="2"/>
  <c r="AA91" i="2"/>
  <c r="AX91" i="2" s="1"/>
  <c r="AQ91" i="2"/>
  <c r="BS89" i="2"/>
  <c r="BK90" i="2"/>
  <c r="BJ90" i="2"/>
  <c r="BD90" i="2"/>
  <c r="BC90" i="2"/>
  <c r="AT90" i="2"/>
  <c r="AY91" i="2"/>
  <c r="AR91" i="2"/>
  <c r="W92" i="2"/>
  <c r="H91" i="2"/>
  <c r="BH90" i="2"/>
  <c r="BG90" i="2"/>
  <c r="BF90" i="2" s="1"/>
  <c r="A93" i="20"/>
  <c r="E93" i="20" s="1"/>
  <c r="H92" i="20"/>
  <c r="I92" i="20"/>
  <c r="C92" i="20"/>
  <c r="G91" i="2"/>
  <c r="F91" i="2"/>
  <c r="U91" i="2"/>
  <c r="CH92" i="2"/>
  <c r="CJ92" i="2"/>
  <c r="CK92" i="2" s="1"/>
  <c r="CI92" i="2"/>
  <c r="BR89" i="2"/>
  <c r="AN91" i="2"/>
  <c r="Y91" i="2"/>
  <c r="AU91" i="2" s="1"/>
  <c r="R83" i="3"/>
  <c r="P83" i="3"/>
  <c r="Q83" i="3"/>
  <c r="AN57" i="2"/>
  <c r="AO57" i="2" s="1"/>
  <c r="BO41" i="2"/>
  <c r="K84" i="3"/>
  <c r="L84" i="3"/>
  <c r="A85" i="3"/>
  <c r="M84" i="3"/>
  <c r="I84" i="3"/>
  <c r="N84" i="3"/>
  <c r="J84" i="3"/>
  <c r="BV94" i="23" l="1"/>
  <c r="R287" i="32"/>
  <c r="N289" i="32"/>
  <c r="A135" i="30"/>
  <c r="AW93" i="29"/>
  <c r="BC93" i="29"/>
  <c r="BG93" i="29"/>
  <c r="BF93" i="29" s="1"/>
  <c r="BS93" i="29" s="1"/>
  <c r="BM94" i="29"/>
  <c r="AU93" i="29"/>
  <c r="AR93" i="29"/>
  <c r="AO94" i="29"/>
  <c r="BO94" i="29" s="1"/>
  <c r="BD93" i="29"/>
  <c r="BJ93" i="29"/>
  <c r="BR93" i="29" s="1"/>
  <c r="AY94" i="29"/>
  <c r="BB94" i="29"/>
  <c r="BD94" i="29" s="1"/>
  <c r="G94" i="29"/>
  <c r="F94" i="29"/>
  <c r="H94" i="29"/>
  <c r="U94" i="29"/>
  <c r="W94" i="29"/>
  <c r="AR94" i="29" s="1"/>
  <c r="AK95" i="29"/>
  <c r="N95" i="29"/>
  <c r="M95" i="29"/>
  <c r="CE95" i="29"/>
  <c r="CF95" i="29" s="1"/>
  <c r="B96" i="29"/>
  <c r="CD96" i="29" s="1"/>
  <c r="AN95" i="29"/>
  <c r="P95" i="29"/>
  <c r="L95" i="29"/>
  <c r="AG95" i="29" s="1"/>
  <c r="J95" i="29"/>
  <c r="I95" i="29"/>
  <c r="BI95" i="29"/>
  <c r="AI95" i="29"/>
  <c r="CJ95" i="29"/>
  <c r="CK95" i="29" s="1"/>
  <c r="E95" i="29"/>
  <c r="BE95" i="29"/>
  <c r="BL95" i="29"/>
  <c r="C95" i="29"/>
  <c r="CH95" i="29"/>
  <c r="V95" i="29"/>
  <c r="S95" i="29"/>
  <c r="R95" i="29"/>
  <c r="T95" i="29" s="1"/>
  <c r="Q95" i="29" s="1"/>
  <c r="AP95" i="29"/>
  <c r="CI95" i="29"/>
  <c r="AS95" i="29"/>
  <c r="AV95" i="29"/>
  <c r="K95" i="29"/>
  <c r="Z93" i="29"/>
  <c r="X93" i="29"/>
  <c r="AB94" i="29"/>
  <c r="AA94" i="29"/>
  <c r="AW94" i="29" s="1"/>
  <c r="Y94" i="29"/>
  <c r="AU94" i="29" s="1"/>
  <c r="AL94" i="29"/>
  <c r="BJ94" i="29" s="1"/>
  <c r="AJ94" i="29"/>
  <c r="BH94" i="29" s="1"/>
  <c r="AB95" i="2"/>
  <c r="AI96" i="2"/>
  <c r="AK96" i="2"/>
  <c r="Z92" i="2"/>
  <c r="X92" i="2"/>
  <c r="V96" i="2"/>
  <c r="S96" i="2"/>
  <c r="L96" i="2"/>
  <c r="K96" i="2"/>
  <c r="J96" i="2"/>
  <c r="I96" i="2"/>
  <c r="M96" i="2"/>
  <c r="N96" i="2"/>
  <c r="C96" i="2"/>
  <c r="AS96" i="2"/>
  <c r="BB96" i="2" s="1"/>
  <c r="BL96" i="2"/>
  <c r="BI96" i="2"/>
  <c r="AP96" i="2"/>
  <c r="BE96" i="2"/>
  <c r="B97" i="2"/>
  <c r="AV96" i="2"/>
  <c r="E96" i="2"/>
  <c r="P93" i="2"/>
  <c r="BM91" i="2"/>
  <c r="AO91" i="2"/>
  <c r="BO91" i="2" s="1"/>
  <c r="T92" i="2"/>
  <c r="Q92" i="2" s="1"/>
  <c r="AG93" i="2"/>
  <c r="BU95" i="23"/>
  <c r="K95" i="23"/>
  <c r="L95" i="23" s="1"/>
  <c r="BB93" i="23"/>
  <c r="R93" i="2"/>
  <c r="BH92" i="23"/>
  <c r="AI93" i="23"/>
  <c r="P94" i="23"/>
  <c r="AG94" i="23" s="1"/>
  <c r="N94" i="23"/>
  <c r="AA94" i="23"/>
  <c r="AZ94" i="23" s="1"/>
  <c r="R94" i="23"/>
  <c r="AJ94" i="23" s="1"/>
  <c r="D94" i="23"/>
  <c r="T94" i="23"/>
  <c r="AM94" i="23" s="1"/>
  <c r="Y94" i="23"/>
  <c r="AW94" i="23" s="1"/>
  <c r="AF93" i="23"/>
  <c r="AM93" i="23"/>
  <c r="AS93" i="23"/>
  <c r="AR93" i="23"/>
  <c r="J94" i="23"/>
  <c r="M94" i="23"/>
  <c r="AD94" i="23" s="1"/>
  <c r="BD94" i="23" s="1"/>
  <c r="AZ93" i="23"/>
  <c r="BH93" i="23" s="1"/>
  <c r="AE95" i="23"/>
  <c r="AX95" i="23"/>
  <c r="X95" i="23"/>
  <c r="BX95" i="23"/>
  <c r="BA95" i="23"/>
  <c r="C95" i="23"/>
  <c r="S95" i="23"/>
  <c r="Z95" i="23"/>
  <c r="AH95" i="23"/>
  <c r="BY95" i="23"/>
  <c r="AK95" i="23"/>
  <c r="O95" i="23"/>
  <c r="I95" i="23"/>
  <c r="Q95" i="23"/>
  <c r="AC95" i="23"/>
  <c r="BZ95" i="23"/>
  <c r="CA95" i="23" s="1"/>
  <c r="B96" i="23"/>
  <c r="BT96" i="23" s="1"/>
  <c r="AT95" i="23"/>
  <c r="AN94" i="23"/>
  <c r="AQ94" i="23"/>
  <c r="AW93" i="23"/>
  <c r="BG93" i="23" s="1"/>
  <c r="CE93" i="2"/>
  <c r="CF92" i="2"/>
  <c r="AW91" i="2"/>
  <c r="AJ92" i="2"/>
  <c r="AL92" i="2"/>
  <c r="AA92" i="2"/>
  <c r="AX92" i="2" s="1"/>
  <c r="AQ92" i="2"/>
  <c r="BS90" i="2"/>
  <c r="BK91" i="2"/>
  <c r="BJ91" i="2"/>
  <c r="BC91" i="2"/>
  <c r="BD91" i="2"/>
  <c r="AR92" i="2"/>
  <c r="AT91" i="2"/>
  <c r="W93" i="2"/>
  <c r="AY92" i="2"/>
  <c r="H92" i="2"/>
  <c r="BH91" i="2"/>
  <c r="BG91" i="2"/>
  <c r="BF91" i="2" s="1"/>
  <c r="I93" i="20"/>
  <c r="H93" i="20"/>
  <c r="A94" i="20"/>
  <c r="E94" i="20" s="1"/>
  <c r="C93" i="20"/>
  <c r="F92" i="2"/>
  <c r="G92" i="2"/>
  <c r="U92" i="2"/>
  <c r="CH93" i="2"/>
  <c r="CJ93" i="2"/>
  <c r="CK93" i="2" s="1"/>
  <c r="CI93" i="2"/>
  <c r="BR90" i="2"/>
  <c r="AN92" i="2"/>
  <c r="Y92" i="2"/>
  <c r="AT92" i="2" s="1"/>
  <c r="P84" i="3"/>
  <c r="R84" i="3"/>
  <c r="Q84" i="3"/>
  <c r="BO42" i="2"/>
  <c r="K85" i="3"/>
  <c r="L85" i="3"/>
  <c r="A86" i="3"/>
  <c r="M85" i="3"/>
  <c r="I85" i="3"/>
  <c r="N85" i="3"/>
  <c r="J85" i="3"/>
  <c r="BV95" i="23" l="1"/>
  <c r="R289" i="32"/>
  <c r="N291" i="32"/>
  <c r="A136" i="30"/>
  <c r="BC94" i="29"/>
  <c r="BK94" i="29"/>
  <c r="AQ94" i="29"/>
  <c r="AY95" i="29"/>
  <c r="BB95" i="29"/>
  <c r="BD95" i="29" s="1"/>
  <c r="BM95" i="29"/>
  <c r="F95" i="29"/>
  <c r="G95" i="29"/>
  <c r="H95" i="29"/>
  <c r="AT94" i="29"/>
  <c r="AX94" i="29"/>
  <c r="U95" i="29"/>
  <c r="W95" i="29"/>
  <c r="AQ95" i="29" s="1"/>
  <c r="BG94" i="29"/>
  <c r="BF94" i="29" s="1"/>
  <c r="BS94" i="29" s="1"/>
  <c r="AO95" i="29"/>
  <c r="BO95" i="29" s="1"/>
  <c r="BR94" i="29"/>
  <c r="AB95" i="29"/>
  <c r="AL95" i="29"/>
  <c r="BK95" i="29" s="1"/>
  <c r="AA95" i="29"/>
  <c r="AW95" i="29" s="1"/>
  <c r="Y95" i="29"/>
  <c r="AT95" i="29" s="1"/>
  <c r="AJ95" i="29"/>
  <c r="BH95" i="29" s="1"/>
  <c r="AI96" i="29"/>
  <c r="AP96" i="29"/>
  <c r="CI96" i="29"/>
  <c r="AS96" i="29"/>
  <c r="BL96" i="29"/>
  <c r="C96" i="29"/>
  <c r="AK96" i="29"/>
  <c r="M96" i="29"/>
  <c r="CE96" i="29"/>
  <c r="CF96" i="29" s="1"/>
  <c r="P96" i="29"/>
  <c r="AV96" i="29"/>
  <c r="R96" i="29"/>
  <c r="T96" i="29" s="1"/>
  <c r="Q96" i="29" s="1"/>
  <c r="V96" i="29"/>
  <c r="I96" i="29"/>
  <c r="BI96" i="29"/>
  <c r="B97" i="29"/>
  <c r="CD97" i="29" s="1"/>
  <c r="AN96" i="29"/>
  <c r="N96" i="29"/>
  <c r="S96" i="29"/>
  <c r="L96" i="29"/>
  <c r="CJ96" i="29"/>
  <c r="CK96" i="29" s="1"/>
  <c r="E96" i="29"/>
  <c r="BE96" i="29"/>
  <c r="CH96" i="29"/>
  <c r="K96" i="29"/>
  <c r="J96" i="29"/>
  <c r="Z94" i="29"/>
  <c r="X94" i="29"/>
  <c r="AB96" i="2"/>
  <c r="AK97" i="2"/>
  <c r="AI97" i="2"/>
  <c r="Z93" i="2"/>
  <c r="X93" i="2"/>
  <c r="V97" i="2"/>
  <c r="S97" i="2"/>
  <c r="L97" i="2"/>
  <c r="K97" i="2"/>
  <c r="J97" i="2"/>
  <c r="I97" i="2"/>
  <c r="M97" i="2"/>
  <c r="N97" i="2"/>
  <c r="C97" i="2"/>
  <c r="AS97" i="2"/>
  <c r="BB97" i="2" s="1"/>
  <c r="E97" i="2"/>
  <c r="BI97" i="2"/>
  <c r="AP97" i="2"/>
  <c r="BE97" i="2"/>
  <c r="B98" i="2"/>
  <c r="AV97" i="2"/>
  <c r="BL97" i="2"/>
  <c r="AO92" i="2"/>
  <c r="BO92" i="2" s="1"/>
  <c r="P94" i="2"/>
  <c r="BM92" i="2"/>
  <c r="T93" i="2"/>
  <c r="Q93" i="2" s="1"/>
  <c r="AG94" i="2"/>
  <c r="BU96" i="23"/>
  <c r="K96" i="23"/>
  <c r="L96" i="23" s="1"/>
  <c r="BB94" i="23"/>
  <c r="AV94" i="23"/>
  <c r="AU94" i="23" s="1"/>
  <c r="BH94" i="23" s="1"/>
  <c r="R94" i="2"/>
  <c r="AL94" i="23"/>
  <c r="AF94" i="23"/>
  <c r="P95" i="23"/>
  <c r="AG95" i="23" s="1"/>
  <c r="N95" i="23"/>
  <c r="AI94" i="23"/>
  <c r="M95" i="23"/>
  <c r="BB95" i="23" s="1"/>
  <c r="J95" i="23"/>
  <c r="AY94" i="23"/>
  <c r="BG94" i="23" s="1"/>
  <c r="AS94" i="23"/>
  <c r="AR94" i="23"/>
  <c r="I96" i="23"/>
  <c r="AT96" i="23"/>
  <c r="BA96" i="23"/>
  <c r="C96" i="23"/>
  <c r="O96" i="23"/>
  <c r="AE96" i="23"/>
  <c r="Q96" i="23"/>
  <c r="AC96" i="23"/>
  <c r="AX96" i="23"/>
  <c r="BZ96" i="23"/>
  <c r="CA96" i="23" s="1"/>
  <c r="BY96" i="23"/>
  <c r="AH96" i="23"/>
  <c r="AK96" i="23"/>
  <c r="S96" i="23"/>
  <c r="B97" i="23"/>
  <c r="BT97" i="23" s="1"/>
  <c r="Z96" i="23"/>
  <c r="BX96" i="23"/>
  <c r="X96" i="23"/>
  <c r="R95" i="23"/>
  <c r="AI95" i="23" s="1"/>
  <c r="T95" i="23"/>
  <c r="AM95" i="23" s="1"/>
  <c r="Y95" i="23"/>
  <c r="AV95" i="23" s="1"/>
  <c r="AU95" i="23" s="1"/>
  <c r="D95" i="23"/>
  <c r="AA95" i="23"/>
  <c r="AY95" i="23" s="1"/>
  <c r="AQ95" i="23"/>
  <c r="AN95" i="23"/>
  <c r="CE94" i="2"/>
  <c r="CF93" i="2"/>
  <c r="AJ93" i="2"/>
  <c r="AL93" i="2"/>
  <c r="AA93" i="2"/>
  <c r="AX93" i="2" s="1"/>
  <c r="AQ93" i="2"/>
  <c r="AW92" i="2"/>
  <c r="BK92" i="2"/>
  <c r="BJ92" i="2"/>
  <c r="BS91" i="2"/>
  <c r="BD92" i="2"/>
  <c r="BC92" i="2"/>
  <c r="AU92" i="2"/>
  <c r="H94" i="20"/>
  <c r="W94" i="2"/>
  <c r="AY93" i="2"/>
  <c r="H93" i="2"/>
  <c r="AR93" i="2"/>
  <c r="BH92" i="2"/>
  <c r="BG92" i="2"/>
  <c r="BF92" i="2" s="1"/>
  <c r="A95" i="20"/>
  <c r="E95" i="20" s="1"/>
  <c r="I94" i="20"/>
  <c r="C94" i="20"/>
  <c r="G93" i="2"/>
  <c r="F93" i="2"/>
  <c r="U93" i="2"/>
  <c r="CH94" i="2"/>
  <c r="CJ94" i="2"/>
  <c r="CK94" i="2" s="1"/>
  <c r="CI94" i="2"/>
  <c r="BR91" i="2"/>
  <c r="AN93" i="2"/>
  <c r="Y93" i="2"/>
  <c r="AU93" i="2" s="1"/>
  <c r="Q85" i="3"/>
  <c r="P85" i="3"/>
  <c r="R85" i="3"/>
  <c r="K86" i="3"/>
  <c r="L86" i="3"/>
  <c r="A87" i="3"/>
  <c r="M86" i="3"/>
  <c r="I86" i="3"/>
  <c r="J86" i="3"/>
  <c r="N86" i="3"/>
  <c r="BV96" i="23" l="1"/>
  <c r="R291" i="32"/>
  <c r="N293" i="32"/>
  <c r="A137" i="30"/>
  <c r="BC95" i="29"/>
  <c r="AX95" i="29"/>
  <c r="AG96" i="29"/>
  <c r="H96" i="29"/>
  <c r="G96" i="29"/>
  <c r="F96" i="29"/>
  <c r="V97" i="29"/>
  <c r="L97" i="29"/>
  <c r="AG97" i="29" s="1"/>
  <c r="CI97" i="29"/>
  <c r="BE97" i="29"/>
  <c r="AV97" i="29"/>
  <c r="B98" i="29"/>
  <c r="CD98" i="29" s="1"/>
  <c r="CJ97" i="29"/>
  <c r="CK97" i="29" s="1"/>
  <c r="I97" i="29"/>
  <c r="S97" i="29"/>
  <c r="CE97" i="29"/>
  <c r="CF97" i="29" s="1"/>
  <c r="AS97" i="29"/>
  <c r="AN97" i="29"/>
  <c r="R97" i="29"/>
  <c r="T97" i="29" s="1"/>
  <c r="Q97" i="29" s="1"/>
  <c r="AP97" i="29"/>
  <c r="E97" i="29"/>
  <c r="AI97" i="29"/>
  <c r="CH97" i="29"/>
  <c r="P97" i="29"/>
  <c r="K97" i="29"/>
  <c r="N97" i="29"/>
  <c r="AK97" i="29"/>
  <c r="BI97" i="29"/>
  <c r="BL97" i="29"/>
  <c r="C97" i="29"/>
  <c r="J97" i="29"/>
  <c r="M97" i="29"/>
  <c r="AY96" i="29"/>
  <c r="BB96" i="29"/>
  <c r="AR95" i="29"/>
  <c r="BJ95" i="29"/>
  <c r="BR95" i="29" s="1"/>
  <c r="AU95" i="29"/>
  <c r="BG95" i="29"/>
  <c r="BF95" i="29" s="1"/>
  <c r="BS95" i="29" s="1"/>
  <c r="AB96" i="29"/>
  <c r="AA96" i="29"/>
  <c r="AX96" i="29" s="1"/>
  <c r="Y96" i="29"/>
  <c r="AT96" i="29" s="1"/>
  <c r="AL96" i="29"/>
  <c r="BJ96" i="29" s="1"/>
  <c r="AJ96" i="29"/>
  <c r="BG96" i="29" s="1"/>
  <c r="BF96" i="29" s="1"/>
  <c r="X95" i="29"/>
  <c r="Z95" i="29"/>
  <c r="AO96" i="29"/>
  <c r="BO96" i="29" s="1"/>
  <c r="U96" i="29"/>
  <c r="W96" i="29"/>
  <c r="AR96" i="29" s="1"/>
  <c r="BM96" i="29"/>
  <c r="AB97" i="2"/>
  <c r="AI98" i="2"/>
  <c r="AK98" i="2"/>
  <c r="Z94" i="2"/>
  <c r="X94" i="2"/>
  <c r="V98" i="2"/>
  <c r="S98" i="2"/>
  <c r="L98" i="2"/>
  <c r="K98" i="2"/>
  <c r="J98" i="2"/>
  <c r="I98" i="2"/>
  <c r="M98" i="2"/>
  <c r="N98" i="2"/>
  <c r="C98" i="2"/>
  <c r="AV98" i="2"/>
  <c r="BL98" i="2"/>
  <c r="BI98" i="2"/>
  <c r="AP98" i="2"/>
  <c r="BE98" i="2"/>
  <c r="B99" i="2"/>
  <c r="AS98" i="2"/>
  <c r="BB98" i="2" s="1"/>
  <c r="E98" i="2"/>
  <c r="AO93" i="2"/>
  <c r="BO93" i="2" s="1"/>
  <c r="P95" i="2"/>
  <c r="BM93" i="2"/>
  <c r="T94" i="2"/>
  <c r="Q94" i="2" s="1"/>
  <c r="AG95" i="2"/>
  <c r="BU97" i="23"/>
  <c r="K97" i="23"/>
  <c r="L97" i="23" s="1"/>
  <c r="R95" i="2"/>
  <c r="AJ95" i="23"/>
  <c r="AZ95" i="23"/>
  <c r="BH95" i="23" s="1"/>
  <c r="AD95" i="23"/>
  <c r="BD95" i="23" s="1"/>
  <c r="M96" i="23"/>
  <c r="AD96" i="23" s="1"/>
  <c r="BD96" i="23" s="1"/>
  <c r="J96" i="23"/>
  <c r="AF95" i="23"/>
  <c r="AR95" i="23"/>
  <c r="AS95" i="23"/>
  <c r="AQ96" i="23"/>
  <c r="AN96" i="23"/>
  <c r="AO96" i="23" s="1"/>
  <c r="AW95" i="23"/>
  <c r="BG95" i="23" s="1"/>
  <c r="BX97" i="23"/>
  <c r="O97" i="23"/>
  <c r="BZ97" i="23"/>
  <c r="CA97" i="23" s="1"/>
  <c r="I97" i="23"/>
  <c r="Z97" i="23"/>
  <c r="AK97" i="23"/>
  <c r="AT97" i="23"/>
  <c r="AH97" i="23"/>
  <c r="S97" i="23"/>
  <c r="C97" i="23"/>
  <c r="Q97" i="23"/>
  <c r="AE97" i="23"/>
  <c r="X97" i="23"/>
  <c r="B98" i="23"/>
  <c r="BT98" i="23" s="1"/>
  <c r="AX97" i="23"/>
  <c r="BY97" i="23"/>
  <c r="BA97" i="23"/>
  <c r="AC97" i="23"/>
  <c r="N96" i="23"/>
  <c r="P96" i="23"/>
  <c r="AG96" i="23" s="1"/>
  <c r="AL95" i="23"/>
  <c r="R96" i="23"/>
  <c r="AI96" i="23" s="1"/>
  <c r="AA96" i="23"/>
  <c r="AZ96" i="23" s="1"/>
  <c r="D96" i="23"/>
  <c r="T96" i="23"/>
  <c r="AM96" i="23" s="1"/>
  <c r="Y96" i="23"/>
  <c r="AV96" i="23" s="1"/>
  <c r="AU96" i="23" s="1"/>
  <c r="CE95" i="2"/>
  <c r="CF94" i="2"/>
  <c r="AQ94" i="2"/>
  <c r="AL94" i="2"/>
  <c r="AA94" i="2"/>
  <c r="AX94" i="2" s="1"/>
  <c r="AJ94" i="2"/>
  <c r="AW93" i="2"/>
  <c r="BS92" i="2"/>
  <c r="BK93" i="2"/>
  <c r="BJ93" i="2"/>
  <c r="AR94" i="2"/>
  <c r="I95" i="20"/>
  <c r="BC93" i="2"/>
  <c r="BD93" i="2"/>
  <c r="AT93" i="2"/>
  <c r="AY94" i="2"/>
  <c r="H94" i="2"/>
  <c r="W95" i="2"/>
  <c r="BH93" i="2"/>
  <c r="BG93" i="2"/>
  <c r="BF93" i="2" s="1"/>
  <c r="A96" i="20"/>
  <c r="E96" i="20" s="1"/>
  <c r="H95" i="20"/>
  <c r="C95" i="20"/>
  <c r="G94" i="2"/>
  <c r="F94" i="2"/>
  <c r="U94" i="2"/>
  <c r="CH95" i="2"/>
  <c r="CJ95" i="2"/>
  <c r="CK95" i="2" s="1"/>
  <c r="CI95" i="2"/>
  <c r="BR92" i="2"/>
  <c r="AN94" i="2"/>
  <c r="Y94" i="2"/>
  <c r="AU94" i="2" s="1"/>
  <c r="R86" i="3"/>
  <c r="P86" i="3"/>
  <c r="Q86" i="3"/>
  <c r="K87" i="3"/>
  <c r="L87" i="3"/>
  <c r="A88" i="3"/>
  <c r="M87" i="3"/>
  <c r="I87" i="3"/>
  <c r="N87" i="3"/>
  <c r="J87" i="3"/>
  <c r="BV97" i="23" l="1"/>
  <c r="R293" i="32"/>
  <c r="N295" i="32"/>
  <c r="A138" i="30"/>
  <c r="BC96" i="29"/>
  <c r="BD96" i="29"/>
  <c r="BM97" i="29"/>
  <c r="AO97" i="29"/>
  <c r="BO97" i="29" s="1"/>
  <c r="Z96" i="29"/>
  <c r="X96" i="29"/>
  <c r="AQ96" i="29"/>
  <c r="BH96" i="29"/>
  <c r="BR96" i="29" s="1"/>
  <c r="AU96" i="29"/>
  <c r="AL97" i="29"/>
  <c r="BK97" i="29" s="1"/>
  <c r="AJ97" i="29"/>
  <c r="BH97" i="29" s="1"/>
  <c r="Y97" i="29"/>
  <c r="AT97" i="29" s="1"/>
  <c r="AB97" i="29"/>
  <c r="AA97" i="29"/>
  <c r="AW97" i="29" s="1"/>
  <c r="W97" i="29"/>
  <c r="U97" i="29"/>
  <c r="AW96" i="29"/>
  <c r="BK96" i="29"/>
  <c r="BS96" i="29" s="1"/>
  <c r="BB97" i="29"/>
  <c r="BD97" i="29" s="1"/>
  <c r="AY97" i="29"/>
  <c r="S98" i="29"/>
  <c r="CI98" i="29"/>
  <c r="AS98" i="29"/>
  <c r="BL98" i="29"/>
  <c r="C98" i="29"/>
  <c r="I98" i="29"/>
  <c r="J98" i="29"/>
  <c r="AI98" i="29"/>
  <c r="CE98" i="29"/>
  <c r="CF98" i="29" s="1"/>
  <c r="P98" i="29"/>
  <c r="AV98" i="29"/>
  <c r="CJ98" i="29"/>
  <c r="CK98" i="29" s="1"/>
  <c r="E98" i="29"/>
  <c r="L98" i="29"/>
  <c r="BI98" i="29"/>
  <c r="B99" i="29"/>
  <c r="CD99" i="29" s="1"/>
  <c r="AN98" i="29"/>
  <c r="AP98" i="29"/>
  <c r="N98" i="29"/>
  <c r="V98" i="29"/>
  <c r="AK98" i="29"/>
  <c r="BE98" i="29"/>
  <c r="CH98" i="29"/>
  <c r="K98" i="29"/>
  <c r="M98" i="29"/>
  <c r="R98" i="29"/>
  <c r="T98" i="29" s="1"/>
  <c r="Q98" i="29" s="1"/>
  <c r="H97" i="29"/>
  <c r="G97" i="29"/>
  <c r="F97" i="29"/>
  <c r="AB98" i="2"/>
  <c r="AI99" i="2"/>
  <c r="AK99" i="2"/>
  <c r="X95" i="2"/>
  <c r="Z95" i="2"/>
  <c r="V99" i="2"/>
  <c r="L99" i="2"/>
  <c r="S99" i="2"/>
  <c r="K99" i="2"/>
  <c r="J99" i="2"/>
  <c r="I99" i="2"/>
  <c r="M99" i="2"/>
  <c r="N99" i="2"/>
  <c r="C99" i="2"/>
  <c r="AV99" i="2"/>
  <c r="BL99" i="2"/>
  <c r="BI99" i="2"/>
  <c r="AP99" i="2"/>
  <c r="BE99" i="2"/>
  <c r="B100" i="2"/>
  <c r="AS99" i="2"/>
  <c r="BB99" i="2" s="1"/>
  <c r="E99" i="2"/>
  <c r="AO94" i="2"/>
  <c r="BO94" i="2" s="1"/>
  <c r="P96" i="2"/>
  <c r="BM94" i="2"/>
  <c r="T95" i="2"/>
  <c r="Q95" i="2" s="1"/>
  <c r="AG96" i="2"/>
  <c r="BU98" i="23"/>
  <c r="K98" i="23"/>
  <c r="L98" i="23" s="1"/>
  <c r="BB96" i="23"/>
  <c r="R96" i="2"/>
  <c r="BH96" i="23"/>
  <c r="AW96" i="23"/>
  <c r="D97" i="23"/>
  <c r="AA97" i="23"/>
  <c r="AZ97" i="23" s="1"/>
  <c r="Y97" i="23"/>
  <c r="AV97" i="23" s="1"/>
  <c r="AU97" i="23" s="1"/>
  <c r="T97" i="23"/>
  <c r="AL97" i="23" s="1"/>
  <c r="R97" i="23"/>
  <c r="AJ97" i="23" s="1"/>
  <c r="P97" i="23"/>
  <c r="AF97" i="23" s="1"/>
  <c r="N97" i="23"/>
  <c r="AF96" i="23"/>
  <c r="AS96" i="23"/>
  <c r="AR96" i="23"/>
  <c r="AP96" i="23"/>
  <c r="J97" i="23"/>
  <c r="M97" i="23"/>
  <c r="BB97" i="23" s="1"/>
  <c r="AY96" i="23"/>
  <c r="BZ98" i="23"/>
  <c r="CA98" i="23" s="1"/>
  <c r="BY98" i="23"/>
  <c r="O98" i="23"/>
  <c r="AX98" i="23"/>
  <c r="X98" i="23"/>
  <c r="I98" i="23"/>
  <c r="S98" i="23"/>
  <c r="AE98" i="23"/>
  <c r="BX98" i="23"/>
  <c r="C98" i="23"/>
  <c r="AC98" i="23"/>
  <c r="AH98" i="23"/>
  <c r="Z98" i="23"/>
  <c r="BA98" i="23"/>
  <c r="B99" i="23"/>
  <c r="BT99" i="23" s="1"/>
  <c r="Q98" i="23"/>
  <c r="AK98" i="23"/>
  <c r="AT98" i="23"/>
  <c r="AN97" i="23"/>
  <c r="AQ97" i="23"/>
  <c r="AL96" i="23"/>
  <c r="AJ96" i="23"/>
  <c r="AP95" i="23"/>
  <c r="BF95" i="23" s="1"/>
  <c r="BJ95" i="23" s="1"/>
  <c r="AO95" i="23"/>
  <c r="BE95" i="23" s="1"/>
  <c r="BI95" i="23" s="1"/>
  <c r="CE96" i="2"/>
  <c r="CF95" i="2"/>
  <c r="AW94" i="2"/>
  <c r="AQ95" i="2"/>
  <c r="AL95" i="2"/>
  <c r="AA95" i="2"/>
  <c r="AX95" i="2" s="1"/>
  <c r="AJ95" i="2"/>
  <c r="BK94" i="2"/>
  <c r="BJ94" i="2"/>
  <c r="BS93" i="2"/>
  <c r="BD94" i="2"/>
  <c r="BC94" i="2"/>
  <c r="AT94" i="2"/>
  <c r="H95" i="2"/>
  <c r="W96" i="2"/>
  <c r="AR95" i="2"/>
  <c r="AY95" i="2"/>
  <c r="BH94" i="2"/>
  <c r="BG94" i="2"/>
  <c r="BF94" i="2" s="1"/>
  <c r="I96" i="20"/>
  <c r="A97" i="20"/>
  <c r="E97" i="20" s="1"/>
  <c r="H96" i="20"/>
  <c r="C96" i="20"/>
  <c r="G95" i="2"/>
  <c r="F95" i="2"/>
  <c r="U95" i="2"/>
  <c r="CH96" i="2"/>
  <c r="CJ96" i="2"/>
  <c r="CK96" i="2" s="1"/>
  <c r="CI96" i="2"/>
  <c r="BR93" i="2"/>
  <c r="AN95" i="2"/>
  <c r="Y95" i="2"/>
  <c r="AT95" i="2" s="1"/>
  <c r="P87" i="3"/>
  <c r="R87" i="3"/>
  <c r="Q87" i="3"/>
  <c r="K88" i="3"/>
  <c r="L88" i="3"/>
  <c r="A89" i="3"/>
  <c r="M88" i="3"/>
  <c r="I88" i="3"/>
  <c r="N88" i="3"/>
  <c r="J88" i="3"/>
  <c r="BV98" i="23" l="1"/>
  <c r="R295" i="32"/>
  <c r="N297" i="32"/>
  <c r="A139" i="30"/>
  <c r="BC97" i="29"/>
  <c r="BJ97" i="29"/>
  <c r="BR97" i="29" s="1"/>
  <c r="BG97" i="29"/>
  <c r="BF97" i="29" s="1"/>
  <c r="BS97" i="29" s="1"/>
  <c r="AU97" i="29"/>
  <c r="AX97" i="29"/>
  <c r="AG98" i="29"/>
  <c r="F98" i="29"/>
  <c r="H98" i="29"/>
  <c r="G98" i="29"/>
  <c r="AR97" i="29"/>
  <c r="X97" i="29"/>
  <c r="Z97" i="29"/>
  <c r="AO98" i="29"/>
  <c r="BO98" i="29" s="1"/>
  <c r="AB98" i="29"/>
  <c r="AA98" i="29"/>
  <c r="AW98" i="29" s="1"/>
  <c r="Y98" i="29"/>
  <c r="AT98" i="29" s="1"/>
  <c r="AJ98" i="29"/>
  <c r="BH98" i="29" s="1"/>
  <c r="AL98" i="29"/>
  <c r="BK98" i="29" s="1"/>
  <c r="W98" i="29"/>
  <c r="AR98" i="29" s="1"/>
  <c r="U98" i="29"/>
  <c r="S99" i="29"/>
  <c r="AV99" i="29"/>
  <c r="R99" i="29"/>
  <c r="T99" i="29" s="1"/>
  <c r="Q99" i="29" s="1"/>
  <c r="CE99" i="29"/>
  <c r="CF99" i="29" s="1"/>
  <c r="E99" i="29"/>
  <c r="K99" i="29"/>
  <c r="M99" i="29"/>
  <c r="V99" i="29"/>
  <c r="AI99" i="29"/>
  <c r="B100" i="29"/>
  <c r="CD100" i="29" s="1"/>
  <c r="AN99" i="29"/>
  <c r="N99" i="29"/>
  <c r="BI99" i="29"/>
  <c r="P99" i="29"/>
  <c r="AP99" i="29"/>
  <c r="AK99" i="29"/>
  <c r="J99" i="29"/>
  <c r="I99" i="29"/>
  <c r="L99" i="29"/>
  <c r="BL99" i="29"/>
  <c r="C99" i="29"/>
  <c r="CI99" i="29"/>
  <c r="AS99" i="29"/>
  <c r="CJ99" i="29"/>
  <c r="CK99" i="29" s="1"/>
  <c r="CH99" i="29"/>
  <c r="BE99" i="29"/>
  <c r="BM98" i="29"/>
  <c r="BB98" i="29"/>
  <c r="AY98" i="29"/>
  <c r="AQ97" i="29"/>
  <c r="AB99" i="2"/>
  <c r="AK100" i="2"/>
  <c r="AI100" i="2"/>
  <c r="Z96" i="2"/>
  <c r="X96" i="2"/>
  <c r="V100" i="2"/>
  <c r="S100" i="2"/>
  <c r="L100" i="2"/>
  <c r="K100" i="2"/>
  <c r="J100" i="2"/>
  <c r="I100" i="2"/>
  <c r="M100" i="2"/>
  <c r="N100" i="2"/>
  <c r="C100" i="2"/>
  <c r="AS100" i="2"/>
  <c r="BB100" i="2" s="1"/>
  <c r="E100" i="2"/>
  <c r="BI100" i="2"/>
  <c r="AP100" i="2"/>
  <c r="BE100" i="2"/>
  <c r="B101" i="2"/>
  <c r="AV100" i="2"/>
  <c r="BL100" i="2"/>
  <c r="AO95" i="2"/>
  <c r="BO95" i="2" s="1"/>
  <c r="P97" i="2"/>
  <c r="BM95" i="2"/>
  <c r="T96" i="2"/>
  <c r="Q96" i="2" s="1"/>
  <c r="AG97" i="2"/>
  <c r="BU99" i="23"/>
  <c r="K99" i="23"/>
  <c r="L99" i="23" s="1"/>
  <c r="BP95" i="23"/>
  <c r="BR95" i="23" s="1"/>
  <c r="R97" i="2"/>
  <c r="BG96" i="23"/>
  <c r="AI97" i="23"/>
  <c r="BH97" i="23"/>
  <c r="AY97" i="23"/>
  <c r="AW97" i="23"/>
  <c r="AD97" i="23"/>
  <c r="BD97" i="23" s="1"/>
  <c r="AG97" i="23"/>
  <c r="BE96" i="23"/>
  <c r="AM97" i="23"/>
  <c r="BY99" i="23"/>
  <c r="AH99" i="23"/>
  <c r="O99" i="23"/>
  <c r="BX99" i="23"/>
  <c r="B100" i="23"/>
  <c r="BT100" i="23" s="1"/>
  <c r="Z99" i="23"/>
  <c r="AC99" i="23"/>
  <c r="BZ99" i="23"/>
  <c r="CA99" i="23" s="1"/>
  <c r="Q99" i="23"/>
  <c r="I99" i="23"/>
  <c r="BA99" i="23"/>
  <c r="AE99" i="23"/>
  <c r="AX99" i="23"/>
  <c r="C99" i="23"/>
  <c r="S99" i="23"/>
  <c r="X99" i="23"/>
  <c r="AT99" i="23"/>
  <c r="AK99" i="23"/>
  <c r="AS97" i="23"/>
  <c r="AR97" i="23"/>
  <c r="AA98" i="23"/>
  <c r="AZ98" i="23" s="1"/>
  <c r="R98" i="23"/>
  <c r="AI98" i="23" s="1"/>
  <c r="T98" i="23"/>
  <c r="AM98" i="23" s="1"/>
  <c r="D98" i="23"/>
  <c r="Y98" i="23"/>
  <c r="AV98" i="23" s="1"/>
  <c r="AU98" i="23" s="1"/>
  <c r="N98" i="23"/>
  <c r="P98" i="23"/>
  <c r="AF98" i="23" s="1"/>
  <c r="BF96" i="23"/>
  <c r="BJ96" i="23" s="1"/>
  <c r="AP97" i="23"/>
  <c r="AO97" i="23"/>
  <c r="M98" i="23"/>
  <c r="BB98" i="23" s="1"/>
  <c r="J98" i="23"/>
  <c r="AN98" i="23"/>
  <c r="AQ98" i="23"/>
  <c r="AO94" i="23"/>
  <c r="BE94" i="23" s="1"/>
  <c r="BI94" i="23" s="1"/>
  <c r="AP94" i="23"/>
  <c r="BF94" i="23" s="1"/>
  <c r="BJ94" i="23" s="1"/>
  <c r="CE97" i="2"/>
  <c r="CF96" i="2"/>
  <c r="BS94" i="2"/>
  <c r="AQ96" i="2"/>
  <c r="AW95" i="2"/>
  <c r="AJ96" i="2"/>
  <c r="AL96" i="2"/>
  <c r="AA96" i="2"/>
  <c r="AW96" i="2" s="1"/>
  <c r="BK95" i="2"/>
  <c r="BJ95" i="2"/>
  <c r="BC95" i="2"/>
  <c r="BD95" i="2"/>
  <c r="AR96" i="2"/>
  <c r="AU95" i="2"/>
  <c r="W97" i="2"/>
  <c r="AY96" i="2"/>
  <c r="H96" i="2"/>
  <c r="BH95" i="2"/>
  <c r="BG95" i="2"/>
  <c r="BF95" i="2" s="1"/>
  <c r="H97" i="20"/>
  <c r="A98" i="20"/>
  <c r="E98" i="20" s="1"/>
  <c r="I97" i="20"/>
  <c r="C97" i="20"/>
  <c r="F96" i="2"/>
  <c r="G96" i="2"/>
  <c r="U96" i="2"/>
  <c r="CH97" i="2"/>
  <c r="CJ97" i="2"/>
  <c r="CK97" i="2" s="1"/>
  <c r="CI97" i="2"/>
  <c r="AN96" i="2"/>
  <c r="BR94" i="2"/>
  <c r="Y96" i="2"/>
  <c r="AT96" i="2" s="1"/>
  <c r="Q88" i="3"/>
  <c r="R88" i="3"/>
  <c r="P88" i="3"/>
  <c r="K89" i="3"/>
  <c r="L89" i="3"/>
  <c r="A90" i="3"/>
  <c r="M89" i="3"/>
  <c r="I89" i="3"/>
  <c r="N89" i="3"/>
  <c r="J89" i="3"/>
  <c r="BV99" i="23" l="1"/>
  <c r="R297" i="32"/>
  <c r="N299" i="32"/>
  <c r="A140" i="30"/>
  <c r="BC98" i="29"/>
  <c r="AX98" i="29"/>
  <c r="BD98" i="29"/>
  <c r="BJ98" i="29"/>
  <c r="BR98" i="29" s="1"/>
  <c r="AU98" i="29"/>
  <c r="BM99" i="29"/>
  <c r="AO99" i="29"/>
  <c r="BO99" i="29" s="1"/>
  <c r="AK100" i="29"/>
  <c r="CI100" i="29"/>
  <c r="R100" i="29"/>
  <c r="AP100" i="29"/>
  <c r="CH100" i="29"/>
  <c r="K100" i="29"/>
  <c r="T100" i="29"/>
  <c r="Q100" i="29" s="1"/>
  <c r="V100" i="29"/>
  <c r="L100" i="29"/>
  <c r="AG100" i="29" s="1"/>
  <c r="CE100" i="29"/>
  <c r="CF100" i="29" s="1"/>
  <c r="N100" i="29"/>
  <c r="M100" i="29"/>
  <c r="BL100" i="29"/>
  <c r="C100" i="29"/>
  <c r="S100" i="29"/>
  <c r="BI100" i="29"/>
  <c r="J100" i="29"/>
  <c r="I100" i="29"/>
  <c r="AV100" i="29"/>
  <c r="P100" i="29"/>
  <c r="AI100" i="29"/>
  <c r="CJ100" i="29"/>
  <c r="CK100" i="29" s="1"/>
  <c r="BE100" i="29"/>
  <c r="B101" i="29"/>
  <c r="CD101" i="29" s="1"/>
  <c r="E100" i="29"/>
  <c r="AN100" i="29"/>
  <c r="AS100" i="29"/>
  <c r="AB99" i="29"/>
  <c r="AA99" i="29"/>
  <c r="AW99" i="29" s="1"/>
  <c r="Y99" i="29"/>
  <c r="AT99" i="29" s="1"/>
  <c r="AL99" i="29"/>
  <c r="BK99" i="29" s="1"/>
  <c r="AJ99" i="29"/>
  <c r="BH99" i="29" s="1"/>
  <c r="AX99" i="29"/>
  <c r="Z98" i="29"/>
  <c r="X98" i="29"/>
  <c r="AQ98" i="29"/>
  <c r="U99" i="29"/>
  <c r="W99" i="29"/>
  <c r="BG98" i="29"/>
  <c r="BF98" i="29" s="1"/>
  <c r="BS98" i="29" s="1"/>
  <c r="AY99" i="29"/>
  <c r="BB99" i="29"/>
  <c r="AG99" i="29"/>
  <c r="G99" i="29"/>
  <c r="F99" i="29"/>
  <c r="H99" i="29"/>
  <c r="AQ99" i="29"/>
  <c r="AB100" i="2"/>
  <c r="AK101" i="2"/>
  <c r="AI101" i="2"/>
  <c r="Z97" i="2"/>
  <c r="X97" i="2"/>
  <c r="V101" i="2"/>
  <c r="S101" i="2"/>
  <c r="L101" i="2"/>
  <c r="K101" i="2"/>
  <c r="J101" i="2"/>
  <c r="I101" i="2"/>
  <c r="M101" i="2"/>
  <c r="N101" i="2"/>
  <c r="C101" i="2"/>
  <c r="BE101" i="2"/>
  <c r="AP101" i="2"/>
  <c r="B102" i="2"/>
  <c r="AV101" i="2"/>
  <c r="BL101" i="2"/>
  <c r="BI101" i="2"/>
  <c r="AS101" i="2"/>
  <c r="BB101" i="2" s="1"/>
  <c r="E101" i="2"/>
  <c r="BM96" i="2"/>
  <c r="P98" i="2"/>
  <c r="AO96" i="2"/>
  <c r="BO96" i="2" s="1"/>
  <c r="T97" i="2"/>
  <c r="Q97" i="2" s="1"/>
  <c r="AG98" i="2"/>
  <c r="BU100" i="23"/>
  <c r="K100" i="23"/>
  <c r="L100" i="23" s="1"/>
  <c r="BP94" i="23"/>
  <c r="BR94" i="23" s="1"/>
  <c r="AG98" i="23"/>
  <c r="BH98" i="23"/>
  <c r="R98" i="2"/>
  <c r="BI96" i="23"/>
  <c r="BP96" i="23" s="1"/>
  <c r="BR96" i="23" s="1"/>
  <c r="BE97" i="23"/>
  <c r="BG97" i="23"/>
  <c r="AL98" i="23"/>
  <c r="AJ98" i="23"/>
  <c r="AY98" i="23"/>
  <c r="AR98" i="23"/>
  <c r="AS98" i="23"/>
  <c r="AO98" i="23"/>
  <c r="AP98" i="23"/>
  <c r="BF97" i="23"/>
  <c r="BJ97" i="23" s="1"/>
  <c r="AA99" i="23"/>
  <c r="AZ99" i="23" s="1"/>
  <c r="D99" i="23"/>
  <c r="R99" i="23"/>
  <c r="AJ99" i="23" s="1"/>
  <c r="T99" i="23"/>
  <c r="AL99" i="23" s="1"/>
  <c r="Y99" i="23"/>
  <c r="AV99" i="23" s="1"/>
  <c r="AU99" i="23" s="1"/>
  <c r="J99" i="23"/>
  <c r="M99" i="23"/>
  <c r="AD99" i="23" s="1"/>
  <c r="BD99" i="23" s="1"/>
  <c r="AW98" i="23"/>
  <c r="P99" i="23"/>
  <c r="AF99" i="23" s="1"/>
  <c r="N99" i="23"/>
  <c r="AX100" i="23"/>
  <c r="BY100" i="23"/>
  <c r="X100" i="23"/>
  <c r="S100" i="23"/>
  <c r="O100" i="23"/>
  <c r="AT100" i="23"/>
  <c r="BA100" i="23"/>
  <c r="Z100" i="23"/>
  <c r="AE100" i="23"/>
  <c r="Q100" i="23"/>
  <c r="BX100" i="23"/>
  <c r="BZ100" i="23"/>
  <c r="CA100" i="23" s="1"/>
  <c r="AH100" i="23"/>
  <c r="AK100" i="23"/>
  <c r="C100" i="23"/>
  <c r="I100" i="23"/>
  <c r="AC100" i="23"/>
  <c r="B101" i="23"/>
  <c r="BT101" i="23" s="1"/>
  <c r="AQ99" i="23"/>
  <c r="AN99" i="23"/>
  <c r="AD98" i="23"/>
  <c r="BD98" i="23" s="1"/>
  <c r="AO93" i="23"/>
  <c r="BE93" i="23" s="1"/>
  <c r="BI93" i="23" s="1"/>
  <c r="AP93" i="23"/>
  <c r="BF93" i="23" s="1"/>
  <c r="BJ93" i="23" s="1"/>
  <c r="CE98" i="2"/>
  <c r="CF97" i="2"/>
  <c r="AQ97" i="2"/>
  <c r="AJ97" i="2"/>
  <c r="AL97" i="2"/>
  <c r="AA97" i="2"/>
  <c r="AW97" i="2" s="1"/>
  <c r="AX96" i="2"/>
  <c r="BS95" i="2"/>
  <c r="BK96" i="2"/>
  <c r="BJ96" i="2"/>
  <c r="BD96" i="2"/>
  <c r="BC96" i="2"/>
  <c r="AR97" i="2"/>
  <c r="I98" i="20"/>
  <c r="AU96" i="2"/>
  <c r="H97" i="2"/>
  <c r="AY97" i="2"/>
  <c r="W98" i="2"/>
  <c r="BH96" i="2"/>
  <c r="BG96" i="2"/>
  <c r="BF96" i="2" s="1"/>
  <c r="H98" i="20"/>
  <c r="A99" i="20"/>
  <c r="E99" i="20" s="1"/>
  <c r="C98" i="20"/>
  <c r="G97" i="2"/>
  <c r="F97" i="2"/>
  <c r="U97" i="2"/>
  <c r="CH98" i="2"/>
  <c r="CJ98" i="2"/>
  <c r="CK98" i="2" s="1"/>
  <c r="CI98" i="2"/>
  <c r="BR95" i="2"/>
  <c r="AN97" i="2"/>
  <c r="Y97" i="2"/>
  <c r="AU97" i="2" s="1"/>
  <c r="P89" i="3"/>
  <c r="R89" i="3"/>
  <c r="Q89" i="3"/>
  <c r="K90" i="3"/>
  <c r="L90" i="3"/>
  <c r="A91" i="3"/>
  <c r="M90" i="3"/>
  <c r="I90" i="3"/>
  <c r="J90" i="3"/>
  <c r="N90" i="3"/>
  <c r="BV100" i="23" l="1"/>
  <c r="R299" i="32"/>
  <c r="N301" i="32"/>
  <c r="A141" i="30"/>
  <c r="BD99" i="29"/>
  <c r="BJ99" i="29"/>
  <c r="BR99" i="29" s="1"/>
  <c r="BC99" i="29"/>
  <c r="AO100" i="29"/>
  <c r="BO100" i="29" s="1"/>
  <c r="AU99" i="29"/>
  <c r="BM100" i="29"/>
  <c r="AY100" i="29"/>
  <c r="BB100" i="29"/>
  <c r="BC100" i="29" s="1"/>
  <c r="BG99" i="29"/>
  <c r="BF99" i="29" s="1"/>
  <c r="BS99" i="29" s="1"/>
  <c r="X99" i="29"/>
  <c r="Z99" i="29"/>
  <c r="AA100" i="29"/>
  <c r="AX100" i="29" s="1"/>
  <c r="AB100" i="29"/>
  <c r="AL100" i="29"/>
  <c r="BK100" i="29" s="1"/>
  <c r="AJ100" i="29"/>
  <c r="BH100" i="29" s="1"/>
  <c r="Y100" i="29"/>
  <c r="AT100" i="29" s="1"/>
  <c r="AR99" i="29"/>
  <c r="F100" i="29"/>
  <c r="G100" i="29"/>
  <c r="H100" i="29"/>
  <c r="V101" i="29"/>
  <c r="L101" i="29"/>
  <c r="AG101" i="29" s="1"/>
  <c r="CI101" i="29"/>
  <c r="AS101" i="29"/>
  <c r="BL101" i="29"/>
  <c r="C101" i="29"/>
  <c r="CJ101" i="29"/>
  <c r="CK101" i="29" s="1"/>
  <c r="N101" i="29"/>
  <c r="S101" i="29"/>
  <c r="CE101" i="29"/>
  <c r="CF101" i="29" s="1"/>
  <c r="P101" i="29"/>
  <c r="AV101" i="29"/>
  <c r="R101" i="29"/>
  <c r="T101" i="29" s="1"/>
  <c r="Q101" i="29" s="1"/>
  <c r="AP101" i="29"/>
  <c r="I101" i="29"/>
  <c r="AK101" i="29"/>
  <c r="BI101" i="29"/>
  <c r="B102" i="29"/>
  <c r="CD102" i="29" s="1"/>
  <c r="AN101" i="29"/>
  <c r="M101" i="29"/>
  <c r="AI101" i="29"/>
  <c r="BE101" i="29"/>
  <c r="CH101" i="29"/>
  <c r="K101" i="29"/>
  <c r="E101" i="29"/>
  <c r="J101" i="29"/>
  <c r="U100" i="29"/>
  <c r="W100" i="29"/>
  <c r="AR100" i="29" s="1"/>
  <c r="AB101" i="2"/>
  <c r="AI102" i="2"/>
  <c r="AK102" i="2"/>
  <c r="X98" i="2"/>
  <c r="Z98" i="2"/>
  <c r="V102" i="2"/>
  <c r="S102" i="2"/>
  <c r="L102" i="2"/>
  <c r="K102" i="2"/>
  <c r="J102" i="2"/>
  <c r="I102" i="2"/>
  <c r="M102" i="2"/>
  <c r="N102" i="2"/>
  <c r="C102" i="2"/>
  <c r="AV102" i="2"/>
  <c r="BL102" i="2"/>
  <c r="BI102" i="2"/>
  <c r="AP102" i="2"/>
  <c r="BE102" i="2"/>
  <c r="B103" i="2"/>
  <c r="AS102" i="2"/>
  <c r="BB102" i="2" s="1"/>
  <c r="E102" i="2"/>
  <c r="BM97" i="2"/>
  <c r="P99" i="2"/>
  <c r="AO97" i="2"/>
  <c r="BO97" i="2" s="1"/>
  <c r="T98" i="2"/>
  <c r="Q98" i="2" s="1"/>
  <c r="AG99" i="2"/>
  <c r="BU101" i="23"/>
  <c r="K101" i="23"/>
  <c r="L101" i="23" s="1"/>
  <c r="BP93" i="23"/>
  <c r="BR93" i="23" s="1"/>
  <c r="BB99" i="23"/>
  <c r="BH99" i="23"/>
  <c r="R99" i="2"/>
  <c r="BI97" i="23"/>
  <c r="BP97" i="23" s="1"/>
  <c r="BR97" i="23" s="1"/>
  <c r="AW99" i="23"/>
  <c r="BF98" i="23"/>
  <c r="BJ98" i="23" s="1"/>
  <c r="AY99" i="23"/>
  <c r="BE98" i="23"/>
  <c r="BG98" i="23"/>
  <c r="AG99" i="23"/>
  <c r="AM99" i="23"/>
  <c r="AI99" i="23"/>
  <c r="AP99" i="23"/>
  <c r="AO99" i="23"/>
  <c r="AQ100" i="23"/>
  <c r="AN100" i="23"/>
  <c r="AS99" i="23"/>
  <c r="AR99" i="23"/>
  <c r="N100" i="23"/>
  <c r="P100" i="23"/>
  <c r="AG100" i="23" s="1"/>
  <c r="AE101" i="23"/>
  <c r="AX101" i="23"/>
  <c r="S101" i="23"/>
  <c r="X101" i="23"/>
  <c r="Z101" i="23"/>
  <c r="BY101" i="23"/>
  <c r="O101" i="23"/>
  <c r="C101" i="23"/>
  <c r="BZ101" i="23"/>
  <c r="CA101" i="23" s="1"/>
  <c r="Q101" i="23"/>
  <c r="B102" i="23"/>
  <c r="BT102" i="23" s="1"/>
  <c r="AT101" i="23"/>
  <c r="AH101" i="23"/>
  <c r="BX101" i="23"/>
  <c r="I101" i="23"/>
  <c r="AC101" i="23"/>
  <c r="BA101" i="23"/>
  <c r="AK101" i="23"/>
  <c r="D100" i="23"/>
  <c r="T100" i="23"/>
  <c r="AL100" i="23" s="1"/>
  <c r="Y100" i="23"/>
  <c r="AW100" i="23" s="1"/>
  <c r="R100" i="23"/>
  <c r="AI100" i="23" s="1"/>
  <c r="AA100" i="23"/>
  <c r="AY100" i="23" s="1"/>
  <c r="J100" i="23"/>
  <c r="M100" i="23"/>
  <c r="BB100" i="23" s="1"/>
  <c r="AO92" i="23"/>
  <c r="BE92" i="23" s="1"/>
  <c r="BI92" i="23" s="1"/>
  <c r="AP92" i="23"/>
  <c r="BF92" i="23" s="1"/>
  <c r="BJ92" i="23" s="1"/>
  <c r="CE99" i="2"/>
  <c r="CF98" i="2"/>
  <c r="AL98" i="2"/>
  <c r="AA98" i="2"/>
  <c r="AW98" i="2" s="1"/>
  <c r="AJ98" i="2"/>
  <c r="AX97" i="2"/>
  <c r="AQ98" i="2"/>
  <c r="BS96" i="2"/>
  <c r="BK97" i="2"/>
  <c r="BJ97" i="2"/>
  <c r="BC97" i="2"/>
  <c r="BD97" i="2"/>
  <c r="AT97" i="2"/>
  <c r="H98" i="2"/>
  <c r="AR98" i="2"/>
  <c r="W99" i="2"/>
  <c r="AY98" i="2"/>
  <c r="BH97" i="2"/>
  <c r="BG97" i="2"/>
  <c r="BF97" i="2" s="1"/>
  <c r="H99" i="20"/>
  <c r="I99" i="20"/>
  <c r="A100" i="20"/>
  <c r="E100" i="20" s="1"/>
  <c r="C99" i="20"/>
  <c r="G98" i="2"/>
  <c r="F98" i="2"/>
  <c r="U98" i="2"/>
  <c r="CH99" i="2"/>
  <c r="CJ99" i="2"/>
  <c r="CK99" i="2" s="1"/>
  <c r="CI99" i="2"/>
  <c r="BR96" i="2"/>
  <c r="AN98" i="2"/>
  <c r="Y98" i="2"/>
  <c r="AU98" i="2" s="1"/>
  <c r="R90" i="3"/>
  <c r="P90" i="3"/>
  <c r="Q90" i="3"/>
  <c r="K91" i="3"/>
  <c r="L91" i="3"/>
  <c r="A92" i="3"/>
  <c r="M91" i="3"/>
  <c r="I91" i="3"/>
  <c r="N91" i="3"/>
  <c r="J91" i="3"/>
  <c r="BV101" i="23" l="1"/>
  <c r="R301" i="32"/>
  <c r="N303" i="32"/>
  <c r="A142" i="30"/>
  <c r="BJ100" i="29"/>
  <c r="BR100" i="29" s="1"/>
  <c r="BD100" i="29"/>
  <c r="AO101" i="29"/>
  <c r="BO101" i="29" s="1"/>
  <c r="BB101" i="29"/>
  <c r="BD101" i="29" s="1"/>
  <c r="AY101" i="29"/>
  <c r="AU100" i="29"/>
  <c r="AQ100" i="29"/>
  <c r="V102" i="29"/>
  <c r="L102" i="29"/>
  <c r="AG102" i="29" s="1"/>
  <c r="AV102" i="29"/>
  <c r="R102" i="29"/>
  <c r="T102" i="29" s="1"/>
  <c r="Q102" i="29" s="1"/>
  <c r="CE102" i="29"/>
  <c r="CF102" i="29" s="1"/>
  <c r="P102" i="29"/>
  <c r="AK102" i="29"/>
  <c r="B103" i="29"/>
  <c r="CD103" i="29" s="1"/>
  <c r="AN102" i="29"/>
  <c r="N102" i="29"/>
  <c r="BI102" i="29"/>
  <c r="I102" i="29"/>
  <c r="E102" i="29"/>
  <c r="S102" i="29"/>
  <c r="CH102" i="29"/>
  <c r="K102" i="29"/>
  <c r="J102" i="29"/>
  <c r="BE102" i="29"/>
  <c r="AP102" i="29"/>
  <c r="M102" i="29"/>
  <c r="AI102" i="29"/>
  <c r="BL102" i="29"/>
  <c r="C102" i="29"/>
  <c r="CI102" i="29"/>
  <c r="AS102" i="29"/>
  <c r="CJ102" i="29"/>
  <c r="CK102" i="29" s="1"/>
  <c r="AB101" i="29"/>
  <c r="AA101" i="29"/>
  <c r="AX101" i="29" s="1"/>
  <c r="Y101" i="29"/>
  <c r="AT101" i="29" s="1"/>
  <c r="AJ101" i="29"/>
  <c r="BH101" i="29" s="1"/>
  <c r="AL101" i="29"/>
  <c r="BJ101" i="29" s="1"/>
  <c r="F101" i="29"/>
  <c r="H101" i="29"/>
  <c r="G101" i="29"/>
  <c r="AW100" i="29"/>
  <c r="X100" i="29"/>
  <c r="Z100" i="29"/>
  <c r="BM101" i="29"/>
  <c r="W101" i="29"/>
  <c r="U101" i="29"/>
  <c r="BG100" i="29"/>
  <c r="BF100" i="29" s="1"/>
  <c r="BS100" i="29" s="1"/>
  <c r="AB102" i="2"/>
  <c r="AI103" i="2"/>
  <c r="AK103" i="2"/>
  <c r="X99" i="2"/>
  <c r="Z99" i="2"/>
  <c r="V103" i="2"/>
  <c r="L103" i="2"/>
  <c r="S103" i="2"/>
  <c r="K103" i="2"/>
  <c r="J103" i="2"/>
  <c r="I103" i="2"/>
  <c r="M103" i="2"/>
  <c r="N103" i="2"/>
  <c r="C103" i="2"/>
  <c r="AV103" i="2"/>
  <c r="BL103" i="2"/>
  <c r="BI103" i="2"/>
  <c r="AP103" i="2"/>
  <c r="BE103" i="2"/>
  <c r="B104" i="2"/>
  <c r="AS103" i="2"/>
  <c r="BB103" i="2" s="1"/>
  <c r="E103" i="2"/>
  <c r="P100" i="2"/>
  <c r="AO98" i="2"/>
  <c r="BO98" i="2" s="1"/>
  <c r="BM98" i="2"/>
  <c r="T99" i="2"/>
  <c r="Q99" i="2" s="1"/>
  <c r="AG100" i="2"/>
  <c r="BU102" i="23"/>
  <c r="K102" i="23"/>
  <c r="L102" i="23" s="1"/>
  <c r="BP92" i="23"/>
  <c r="BR92" i="23" s="1"/>
  <c r="R100" i="2"/>
  <c r="BG99" i="23"/>
  <c r="BI98" i="23"/>
  <c r="BP98" i="23" s="1"/>
  <c r="BR98" i="23" s="1"/>
  <c r="BE99" i="23"/>
  <c r="AZ100" i="23"/>
  <c r="AF100" i="23"/>
  <c r="AM100" i="23"/>
  <c r="BG100" i="23"/>
  <c r="Q102" i="23"/>
  <c r="BX102" i="23"/>
  <c r="C102" i="23"/>
  <c r="BA102" i="23"/>
  <c r="B103" i="23"/>
  <c r="BT103" i="23" s="1"/>
  <c r="BY102" i="23"/>
  <c r="AE102" i="23"/>
  <c r="AX102" i="23"/>
  <c r="AC102" i="23"/>
  <c r="AK102" i="23"/>
  <c r="X102" i="23"/>
  <c r="I102" i="23"/>
  <c r="AT102" i="23"/>
  <c r="S102" i="23"/>
  <c r="AH102" i="23"/>
  <c r="O102" i="23"/>
  <c r="Z102" i="23"/>
  <c r="BZ102" i="23"/>
  <c r="CA102" i="23" s="1"/>
  <c r="T101" i="23"/>
  <c r="AL101" i="23" s="1"/>
  <c r="R101" i="23"/>
  <c r="AJ101" i="23" s="1"/>
  <c r="Y101" i="23"/>
  <c r="AW101" i="23" s="1"/>
  <c r="AA101" i="23"/>
  <c r="AZ101" i="23" s="1"/>
  <c r="D101" i="23"/>
  <c r="AJ100" i="23"/>
  <c r="BF99" i="23"/>
  <c r="BJ99" i="23" s="1"/>
  <c r="N101" i="23"/>
  <c r="P101" i="23"/>
  <c r="AG101" i="23" s="1"/>
  <c r="AO100" i="23"/>
  <c r="AP100" i="23"/>
  <c r="AD100" i="23"/>
  <c r="BD100" i="23" s="1"/>
  <c r="AN101" i="23"/>
  <c r="AQ101" i="23"/>
  <c r="M101" i="23"/>
  <c r="BB101" i="23" s="1"/>
  <c r="J101" i="23"/>
  <c r="AV100" i="23"/>
  <c r="AU100" i="23" s="1"/>
  <c r="AR100" i="23"/>
  <c r="AS100" i="23"/>
  <c r="AO91" i="23"/>
  <c r="BE91" i="23" s="1"/>
  <c r="BI91" i="23" s="1"/>
  <c r="AP91" i="23"/>
  <c r="BF91" i="23" s="1"/>
  <c r="BJ91" i="23" s="1"/>
  <c r="CE100" i="2"/>
  <c r="CF99" i="2"/>
  <c r="AX98" i="2"/>
  <c r="AL99" i="2"/>
  <c r="AA99" i="2"/>
  <c r="AX99" i="2" s="1"/>
  <c r="AJ99" i="2"/>
  <c r="AQ99" i="2"/>
  <c r="BS97" i="2"/>
  <c r="AR99" i="2"/>
  <c r="BK98" i="2"/>
  <c r="BJ98" i="2"/>
  <c r="BD98" i="2"/>
  <c r="BC98" i="2"/>
  <c r="AT98" i="2"/>
  <c r="AY99" i="2"/>
  <c r="W100" i="2"/>
  <c r="H99" i="2"/>
  <c r="BH98" i="2"/>
  <c r="BG98" i="2"/>
  <c r="BF98" i="2" s="1"/>
  <c r="I100" i="20"/>
  <c r="H100" i="20"/>
  <c r="A101" i="20"/>
  <c r="E101" i="20" s="1"/>
  <c r="C100" i="20"/>
  <c r="G99" i="2"/>
  <c r="F99" i="2"/>
  <c r="U99" i="2"/>
  <c r="CH100" i="2"/>
  <c r="CJ100" i="2"/>
  <c r="CK100" i="2" s="1"/>
  <c r="CI100" i="2"/>
  <c r="BR97" i="2"/>
  <c r="AN99" i="2"/>
  <c r="Y99" i="2"/>
  <c r="AU99" i="2" s="1"/>
  <c r="R91" i="3"/>
  <c r="P91" i="3"/>
  <c r="Q91" i="3"/>
  <c r="K92" i="3"/>
  <c r="L92" i="3"/>
  <c r="A93" i="3"/>
  <c r="I92" i="3"/>
  <c r="M92" i="3"/>
  <c r="J92" i="3"/>
  <c r="N92" i="3"/>
  <c r="BV102" i="23" l="1"/>
  <c r="R303" i="32"/>
  <c r="N305" i="32"/>
  <c r="A143" i="30"/>
  <c r="BC101" i="29"/>
  <c r="BK101" i="29"/>
  <c r="BM102" i="29"/>
  <c r="BR101" i="29"/>
  <c r="L103" i="29"/>
  <c r="AG103" i="29" s="1"/>
  <c r="B104" i="29"/>
  <c r="CD104" i="29" s="1"/>
  <c r="J103" i="29"/>
  <c r="I103" i="29"/>
  <c r="AN103" i="29"/>
  <c r="BE103" i="29"/>
  <c r="AS103" i="29"/>
  <c r="CI103" i="29"/>
  <c r="CH103" i="29"/>
  <c r="E103" i="29"/>
  <c r="V103" i="29"/>
  <c r="S103" i="29"/>
  <c r="AK103" i="29"/>
  <c r="R103" i="29"/>
  <c r="AP103" i="29"/>
  <c r="BL103" i="29"/>
  <c r="C103" i="29"/>
  <c r="T103" i="29"/>
  <c r="Q103" i="29" s="1"/>
  <c r="P103" i="29"/>
  <c r="AI103" i="29"/>
  <c r="CJ103" i="29"/>
  <c r="CK103" i="29" s="1"/>
  <c r="N103" i="29"/>
  <c r="M103" i="29"/>
  <c r="AV103" i="29"/>
  <c r="CE103" i="29"/>
  <c r="CF103" i="29" s="1"/>
  <c r="BI103" i="29"/>
  <c r="K103" i="29"/>
  <c r="U102" i="29"/>
  <c r="W102" i="29"/>
  <c r="AR102" i="29" s="1"/>
  <c r="AQ101" i="29"/>
  <c r="X101" i="29"/>
  <c r="Z101" i="29"/>
  <c r="AB102" i="29"/>
  <c r="Y102" i="29"/>
  <c r="AU102" i="29" s="1"/>
  <c r="AL102" i="29"/>
  <c r="BK102" i="29" s="1"/>
  <c r="AJ102" i="29"/>
  <c r="BG102" i="29" s="1"/>
  <c r="BF102" i="29" s="1"/>
  <c r="AA102" i="29"/>
  <c r="AX102" i="29" s="1"/>
  <c r="AW101" i="29"/>
  <c r="AR101" i="29"/>
  <c r="AU101" i="29"/>
  <c r="AY102" i="29"/>
  <c r="BB102" i="29"/>
  <c r="BC102" i="29" s="1"/>
  <c r="AO102" i="29"/>
  <c r="BO102" i="29" s="1"/>
  <c r="G102" i="29"/>
  <c r="F102" i="29"/>
  <c r="H102" i="29"/>
  <c r="BG101" i="29"/>
  <c r="BF101" i="29" s="1"/>
  <c r="AB103" i="2"/>
  <c r="AK104" i="2"/>
  <c r="AI104" i="2"/>
  <c r="Z100" i="2"/>
  <c r="X100" i="2"/>
  <c r="V104" i="2"/>
  <c r="S104" i="2"/>
  <c r="L104" i="2"/>
  <c r="K104" i="2"/>
  <c r="J104" i="2"/>
  <c r="I104" i="2"/>
  <c r="M104" i="2"/>
  <c r="N104" i="2"/>
  <c r="C104" i="2"/>
  <c r="AS104" i="2"/>
  <c r="BB104" i="2" s="1"/>
  <c r="BL104" i="2"/>
  <c r="BI104" i="2"/>
  <c r="AP104" i="2"/>
  <c r="BE104" i="2"/>
  <c r="B105" i="2"/>
  <c r="AV104" i="2"/>
  <c r="E104" i="2"/>
  <c r="P101" i="2"/>
  <c r="AO99" i="2"/>
  <c r="BO99" i="2" s="1"/>
  <c r="BM99" i="2"/>
  <c r="T100" i="2"/>
  <c r="Q100" i="2" s="1"/>
  <c r="AG101" i="2"/>
  <c r="BU103" i="23"/>
  <c r="K103" i="23"/>
  <c r="L103" i="23" s="1"/>
  <c r="BP91" i="23"/>
  <c r="BR91" i="23" s="1"/>
  <c r="R101" i="2"/>
  <c r="BI99" i="23"/>
  <c r="BP99" i="23" s="1"/>
  <c r="BR99" i="23" s="1"/>
  <c r="BH100" i="23"/>
  <c r="AI101" i="23"/>
  <c r="AM101" i="23"/>
  <c r="AR101" i="23"/>
  <c r="AS101" i="23"/>
  <c r="AQ102" i="23"/>
  <c r="AN102" i="23"/>
  <c r="AP101" i="23"/>
  <c r="AO101" i="23"/>
  <c r="BE100" i="23"/>
  <c r="BI100" i="23" s="1"/>
  <c r="R102" i="23"/>
  <c r="AI102" i="23" s="1"/>
  <c r="AA102" i="23"/>
  <c r="AY102" i="23" s="1"/>
  <c r="Y102" i="23"/>
  <c r="AW102" i="23" s="1"/>
  <c r="T102" i="23"/>
  <c r="AL102" i="23" s="1"/>
  <c r="D102" i="23"/>
  <c r="AY101" i="23"/>
  <c r="BG101" i="23" s="1"/>
  <c r="M102" i="23"/>
  <c r="AD102" i="23" s="1"/>
  <c r="BD102" i="23" s="1"/>
  <c r="J102" i="23"/>
  <c r="AV101" i="23"/>
  <c r="AU101" i="23" s="1"/>
  <c r="BH101" i="23" s="1"/>
  <c r="AF101" i="23"/>
  <c r="N102" i="23"/>
  <c r="P102" i="23"/>
  <c r="AG102" i="23" s="1"/>
  <c r="I103" i="23"/>
  <c r="S103" i="23"/>
  <c r="AC103" i="23"/>
  <c r="Q103" i="23"/>
  <c r="BZ103" i="23"/>
  <c r="CA103" i="23" s="1"/>
  <c r="B104" i="23"/>
  <c r="BT104" i="23" s="1"/>
  <c r="C103" i="23"/>
  <c r="O103" i="23"/>
  <c r="BX103" i="23"/>
  <c r="AE103" i="23"/>
  <c r="AT103" i="23"/>
  <c r="AX103" i="23"/>
  <c r="BY103" i="23"/>
  <c r="Z103" i="23"/>
  <c r="X103" i="23"/>
  <c r="AK103" i="23"/>
  <c r="AH103" i="23"/>
  <c r="BA103" i="23"/>
  <c r="AD101" i="23"/>
  <c r="BD101" i="23" s="1"/>
  <c r="BF100" i="23"/>
  <c r="AP90" i="23"/>
  <c r="BF90" i="23" s="1"/>
  <c r="BJ90" i="23" s="1"/>
  <c r="AO90" i="23"/>
  <c r="BE90" i="23" s="1"/>
  <c r="BI90" i="23" s="1"/>
  <c r="CE101" i="2"/>
  <c r="CF100" i="2"/>
  <c r="AW99" i="2"/>
  <c r="AQ100" i="2"/>
  <c r="AJ100" i="2"/>
  <c r="AL100" i="2"/>
  <c r="AA100" i="2"/>
  <c r="AX100" i="2" s="1"/>
  <c r="BS98" i="2"/>
  <c r="BK99" i="2"/>
  <c r="BJ99" i="2"/>
  <c r="BC99" i="2"/>
  <c r="BD99" i="2"/>
  <c r="AT99" i="2"/>
  <c r="AR100" i="2"/>
  <c r="AY100" i="2"/>
  <c r="H100" i="2"/>
  <c r="W101" i="2"/>
  <c r="BH99" i="2"/>
  <c r="BG99" i="2"/>
  <c r="BF99" i="2" s="1"/>
  <c r="A102" i="20"/>
  <c r="E102" i="20" s="1"/>
  <c r="I101" i="20"/>
  <c r="H101" i="20"/>
  <c r="C101" i="20"/>
  <c r="F100" i="2"/>
  <c r="G100" i="2"/>
  <c r="U100" i="2"/>
  <c r="CH101" i="2"/>
  <c r="CJ101" i="2"/>
  <c r="CK101" i="2" s="1"/>
  <c r="CI101" i="2"/>
  <c r="BR98" i="2"/>
  <c r="AN100" i="2"/>
  <c r="Y100" i="2"/>
  <c r="AT100" i="2" s="1"/>
  <c r="P92" i="3"/>
  <c r="R92" i="3"/>
  <c r="Q92" i="3"/>
  <c r="K93" i="3"/>
  <c r="L93" i="3"/>
  <c r="A94" i="3"/>
  <c r="M93" i="3"/>
  <c r="I93" i="3"/>
  <c r="N93" i="3"/>
  <c r="J93" i="3"/>
  <c r="BV103" i="23" l="1"/>
  <c r="R305" i="32"/>
  <c r="N307" i="32"/>
  <c r="A144" i="30"/>
  <c r="BS101" i="29"/>
  <c r="BD102" i="29"/>
  <c r="AT102" i="29"/>
  <c r="BH102" i="29"/>
  <c r="AW102" i="29"/>
  <c r="AQ102" i="29"/>
  <c r="BJ102" i="29"/>
  <c r="BS102" i="29"/>
  <c r="V104" i="29"/>
  <c r="M104" i="29"/>
  <c r="CE104" i="29"/>
  <c r="CF104" i="29" s="1"/>
  <c r="P104" i="29"/>
  <c r="CH104" i="29"/>
  <c r="B105" i="29"/>
  <c r="CD105" i="29" s="1"/>
  <c r="AK104" i="29"/>
  <c r="I104" i="29"/>
  <c r="BI104" i="29"/>
  <c r="R104" i="29"/>
  <c r="T104" i="29" s="1"/>
  <c r="Q104" i="29" s="1"/>
  <c r="BL104" i="29"/>
  <c r="C104" i="29"/>
  <c r="AI104" i="29"/>
  <c r="CJ104" i="29"/>
  <c r="CK104" i="29" s="1"/>
  <c r="E104" i="29"/>
  <c r="BE104" i="29"/>
  <c r="N104" i="29"/>
  <c r="AV104" i="29"/>
  <c r="AN104" i="29"/>
  <c r="S104" i="29"/>
  <c r="L104" i="29"/>
  <c r="AG104" i="29" s="1"/>
  <c r="AP104" i="29"/>
  <c r="CI104" i="29"/>
  <c r="AS104" i="29"/>
  <c r="J104" i="29"/>
  <c r="K104" i="29"/>
  <c r="X102" i="29"/>
  <c r="Z102" i="29"/>
  <c r="AJ103" i="29"/>
  <c r="BH103" i="29" s="1"/>
  <c r="AL103" i="29"/>
  <c r="BK103" i="29" s="1"/>
  <c r="AB103" i="29"/>
  <c r="Y103" i="29"/>
  <c r="AU103" i="29" s="1"/>
  <c r="AA103" i="29"/>
  <c r="AX103" i="29" s="1"/>
  <c r="AO103" i="29"/>
  <c r="BO103" i="29" s="1"/>
  <c r="H103" i="29"/>
  <c r="F103" i="29"/>
  <c r="G103" i="29"/>
  <c r="BM103" i="29"/>
  <c r="U103" i="29"/>
  <c r="W103" i="29"/>
  <c r="AQ103" i="29" s="1"/>
  <c r="AY103" i="29"/>
  <c r="BB103" i="29"/>
  <c r="BD103" i="29" s="1"/>
  <c r="AB104" i="2"/>
  <c r="AK105" i="2"/>
  <c r="AI105" i="2"/>
  <c r="Z101" i="2"/>
  <c r="X101" i="2"/>
  <c r="S105" i="2"/>
  <c r="V105" i="2"/>
  <c r="L105" i="2"/>
  <c r="K105" i="2"/>
  <c r="J105" i="2"/>
  <c r="I105" i="2"/>
  <c r="M105" i="2"/>
  <c r="N105" i="2"/>
  <c r="C105" i="2"/>
  <c r="BE105" i="2"/>
  <c r="B106" i="2"/>
  <c r="AV105" i="2"/>
  <c r="BL105" i="2"/>
  <c r="AS105" i="2"/>
  <c r="BB105" i="2" s="1"/>
  <c r="E105" i="2"/>
  <c r="BI105" i="2"/>
  <c r="AP105" i="2"/>
  <c r="AO100" i="2"/>
  <c r="BO100" i="2" s="1"/>
  <c r="BM100" i="2"/>
  <c r="P102" i="2"/>
  <c r="T101" i="2"/>
  <c r="Q101" i="2" s="1"/>
  <c r="AG102" i="2"/>
  <c r="BU104" i="23"/>
  <c r="K104" i="23"/>
  <c r="L104" i="23" s="1"/>
  <c r="BP90" i="23"/>
  <c r="BR90" i="23" s="1"/>
  <c r="BB102" i="23"/>
  <c r="BJ100" i="23"/>
  <c r="BP100" i="23" s="1"/>
  <c r="BR100" i="23" s="1"/>
  <c r="R102" i="2"/>
  <c r="AM102" i="23"/>
  <c r="AV102" i="23"/>
  <c r="AU102" i="23" s="1"/>
  <c r="AZ102" i="23"/>
  <c r="BF101" i="23"/>
  <c r="BJ101" i="23" s="1"/>
  <c r="BG102" i="23"/>
  <c r="AJ102" i="23"/>
  <c r="BE101" i="23"/>
  <c r="BI101" i="23" s="1"/>
  <c r="AA103" i="23"/>
  <c r="AZ103" i="23" s="1"/>
  <c r="T103" i="23"/>
  <c r="AM103" i="23" s="1"/>
  <c r="Y103" i="23"/>
  <c r="AW103" i="23" s="1"/>
  <c r="R103" i="23"/>
  <c r="AJ103" i="23" s="1"/>
  <c r="D103" i="23"/>
  <c r="J103" i="23"/>
  <c r="M103" i="23"/>
  <c r="BB103" i="23" s="1"/>
  <c r="AP102" i="23"/>
  <c r="AO102" i="23"/>
  <c r="AQ103" i="23"/>
  <c r="AN103" i="23"/>
  <c r="BZ104" i="23"/>
  <c r="CA104" i="23" s="1"/>
  <c r="AX104" i="23"/>
  <c r="BX104" i="23"/>
  <c r="B105" i="23"/>
  <c r="BT105" i="23" s="1"/>
  <c r="AE104" i="23"/>
  <c r="AT104" i="23"/>
  <c r="BA104" i="23"/>
  <c r="X104" i="23"/>
  <c r="O104" i="23"/>
  <c r="BY104" i="23"/>
  <c r="AH104" i="23"/>
  <c r="AK104" i="23"/>
  <c r="S104" i="23"/>
  <c r="C104" i="23"/>
  <c r="Q104" i="23"/>
  <c r="AC104" i="23"/>
  <c r="I104" i="23"/>
  <c r="Z104" i="23"/>
  <c r="AR102" i="23"/>
  <c r="AS102" i="23"/>
  <c r="N103" i="23"/>
  <c r="P103" i="23"/>
  <c r="AG103" i="23" s="1"/>
  <c r="AF102" i="23"/>
  <c r="AP89" i="23"/>
  <c r="BF89" i="23" s="1"/>
  <c r="BJ89" i="23" s="1"/>
  <c r="AO89" i="23"/>
  <c r="BE89" i="23" s="1"/>
  <c r="BI89" i="23" s="1"/>
  <c r="CE102" i="2"/>
  <c r="CF101" i="2"/>
  <c r="AW100" i="2"/>
  <c r="AJ101" i="2"/>
  <c r="AL101" i="2"/>
  <c r="AA101" i="2"/>
  <c r="AW101" i="2" s="1"/>
  <c r="AQ101" i="2"/>
  <c r="BS99" i="2"/>
  <c r="BK100" i="2"/>
  <c r="BJ100" i="2"/>
  <c r="BD100" i="2"/>
  <c r="BC100" i="2"/>
  <c r="AU100" i="2"/>
  <c r="AR101" i="2"/>
  <c r="AY101" i="2"/>
  <c r="W102" i="2"/>
  <c r="H101" i="2"/>
  <c r="BH100" i="2"/>
  <c r="BG100" i="2"/>
  <c r="BF100" i="2" s="1"/>
  <c r="H102" i="20"/>
  <c r="A103" i="20"/>
  <c r="E103" i="20" s="1"/>
  <c r="I102" i="20"/>
  <c r="C102" i="20"/>
  <c r="G101" i="2"/>
  <c r="F101" i="2"/>
  <c r="U101" i="2"/>
  <c r="CH102" i="2"/>
  <c r="CJ102" i="2"/>
  <c r="CK102" i="2" s="1"/>
  <c r="CI102" i="2"/>
  <c r="BR99" i="2"/>
  <c r="AN101" i="2"/>
  <c r="Y101" i="2"/>
  <c r="AU101" i="2" s="1"/>
  <c r="P93" i="3"/>
  <c r="R93" i="3"/>
  <c r="Q93" i="3"/>
  <c r="K94" i="3"/>
  <c r="L94" i="3"/>
  <c r="A95" i="3"/>
  <c r="M94" i="3"/>
  <c r="I94" i="3"/>
  <c r="N94" i="3"/>
  <c r="J94" i="3"/>
  <c r="BV104" i="23" l="1"/>
  <c r="R307" i="32"/>
  <c r="N309" i="32"/>
  <c r="A145" i="30"/>
  <c r="BR102" i="29"/>
  <c r="AO104" i="29"/>
  <c r="BO104" i="29" s="1"/>
  <c r="AR103" i="29"/>
  <c r="AT103" i="29"/>
  <c r="BC103" i="29"/>
  <c r="AW103" i="29"/>
  <c r="BB104" i="29"/>
  <c r="BC104" i="29" s="1"/>
  <c r="AY104" i="29"/>
  <c r="Y104" i="29"/>
  <c r="AT104" i="29" s="1"/>
  <c r="AA104" i="29"/>
  <c r="AW104" i="29" s="1"/>
  <c r="AJ104" i="29"/>
  <c r="BH104" i="29" s="1"/>
  <c r="AB104" i="29"/>
  <c r="AL104" i="29"/>
  <c r="BJ104" i="29" s="1"/>
  <c r="BM104" i="29"/>
  <c r="BG103" i="29"/>
  <c r="BF103" i="29" s="1"/>
  <c r="BS103" i="29" s="1"/>
  <c r="AK105" i="29"/>
  <c r="CI105" i="29"/>
  <c r="AS105" i="29"/>
  <c r="CH105" i="29"/>
  <c r="K105" i="29"/>
  <c r="M105" i="29"/>
  <c r="J105" i="29"/>
  <c r="AI105" i="29"/>
  <c r="CE105" i="29"/>
  <c r="CF105" i="29" s="1"/>
  <c r="P105" i="29"/>
  <c r="BL105" i="29"/>
  <c r="C105" i="29"/>
  <c r="I105" i="29"/>
  <c r="R105" i="29"/>
  <c r="T105" i="29" s="1"/>
  <c r="Q105" i="29" s="1"/>
  <c r="V105" i="29"/>
  <c r="L105" i="29"/>
  <c r="AG105" i="29" s="1"/>
  <c r="BI105" i="29"/>
  <c r="AV105" i="29"/>
  <c r="CJ105" i="29"/>
  <c r="CK105" i="29" s="1"/>
  <c r="E105" i="29"/>
  <c r="S105" i="29"/>
  <c r="BE105" i="29"/>
  <c r="B106" i="29"/>
  <c r="CD106" i="29" s="1"/>
  <c r="AN105" i="29"/>
  <c r="AP105" i="29"/>
  <c r="N105" i="29"/>
  <c r="BJ103" i="29"/>
  <c r="BR103" i="29" s="1"/>
  <c r="X103" i="29"/>
  <c r="Z103" i="29"/>
  <c r="H104" i="29"/>
  <c r="F104" i="29"/>
  <c r="G104" i="29"/>
  <c r="U104" i="29"/>
  <c r="W104" i="29"/>
  <c r="AB105" i="2"/>
  <c r="AI106" i="2"/>
  <c r="AK106" i="2"/>
  <c r="X102" i="2"/>
  <c r="Z102" i="2"/>
  <c r="V106" i="2"/>
  <c r="S106" i="2"/>
  <c r="L106" i="2"/>
  <c r="K106" i="2"/>
  <c r="J106" i="2"/>
  <c r="I106" i="2"/>
  <c r="M106" i="2"/>
  <c r="N106" i="2"/>
  <c r="C106" i="2"/>
  <c r="BI106" i="2"/>
  <c r="AP106" i="2"/>
  <c r="BE106" i="2"/>
  <c r="B107" i="2"/>
  <c r="AS106" i="2"/>
  <c r="BB106" i="2" s="1"/>
  <c r="E106" i="2"/>
  <c r="AV106" i="2"/>
  <c r="BL106" i="2"/>
  <c r="AO101" i="2"/>
  <c r="BO101" i="2" s="1"/>
  <c r="P103" i="2"/>
  <c r="BM101" i="2"/>
  <c r="T102" i="2"/>
  <c r="Q102" i="2" s="1"/>
  <c r="AG103" i="2"/>
  <c r="BU105" i="23"/>
  <c r="K105" i="23"/>
  <c r="L105" i="23" s="1"/>
  <c r="BP101" i="23"/>
  <c r="BR101" i="23" s="1"/>
  <c r="BP89" i="23"/>
  <c r="BR89" i="23" s="1"/>
  <c r="R103" i="2"/>
  <c r="BH102" i="23"/>
  <c r="AY103" i="23"/>
  <c r="BG103" i="23" s="1"/>
  <c r="AL103" i="23"/>
  <c r="AF103" i="23"/>
  <c r="AQ104" i="23"/>
  <c r="AN104" i="23"/>
  <c r="J104" i="23"/>
  <c r="M104" i="23"/>
  <c r="BB104" i="23" s="1"/>
  <c r="BE102" i="23"/>
  <c r="BI102" i="23" s="1"/>
  <c r="D104" i="23"/>
  <c r="R104" i="23"/>
  <c r="AJ104" i="23" s="1"/>
  <c r="T104" i="23"/>
  <c r="AL104" i="23" s="1"/>
  <c r="Y104" i="23"/>
  <c r="AV104" i="23" s="1"/>
  <c r="AU104" i="23" s="1"/>
  <c r="AA104" i="23"/>
  <c r="AY104" i="23" s="1"/>
  <c r="AI103" i="23"/>
  <c r="BF102" i="23"/>
  <c r="P104" i="23"/>
  <c r="AF104" i="23" s="1"/>
  <c r="N104" i="23"/>
  <c r="AP103" i="23"/>
  <c r="AO103" i="23"/>
  <c r="AD103" i="23"/>
  <c r="BD103" i="23" s="1"/>
  <c r="BY105" i="23"/>
  <c r="AH105" i="23"/>
  <c r="BA105" i="23"/>
  <c r="I105" i="23"/>
  <c r="Q105" i="23"/>
  <c r="AK105" i="23"/>
  <c r="C105" i="23"/>
  <c r="AE105" i="23"/>
  <c r="AX105" i="23"/>
  <c r="B106" i="23"/>
  <c r="BT106" i="23" s="1"/>
  <c r="AC105" i="23"/>
  <c r="O105" i="23"/>
  <c r="BZ105" i="23"/>
  <c r="CA105" i="23" s="1"/>
  <c r="AT105" i="23"/>
  <c r="BX105" i="23"/>
  <c r="X105" i="23"/>
  <c r="Z105" i="23"/>
  <c r="S105" i="23"/>
  <c r="AR103" i="23"/>
  <c r="AS103" i="23"/>
  <c r="AV103" i="23"/>
  <c r="AU103" i="23" s="1"/>
  <c r="BH103" i="23" s="1"/>
  <c r="AO88" i="23"/>
  <c r="BE88" i="23" s="1"/>
  <c r="BI88" i="23" s="1"/>
  <c r="AP88" i="23"/>
  <c r="BF88" i="23" s="1"/>
  <c r="BJ88" i="23" s="1"/>
  <c r="CE103" i="2"/>
  <c r="CF102" i="2"/>
  <c r="AX101" i="2"/>
  <c r="AL102" i="2"/>
  <c r="AA102" i="2"/>
  <c r="AW102" i="2" s="1"/>
  <c r="AJ102" i="2"/>
  <c r="AQ102" i="2"/>
  <c r="BS100" i="2"/>
  <c r="BK101" i="2"/>
  <c r="BJ101" i="2"/>
  <c r="BC101" i="2"/>
  <c r="BD101" i="2"/>
  <c r="AR102" i="2"/>
  <c r="AT101" i="2"/>
  <c r="AY102" i="2"/>
  <c r="H102" i="2"/>
  <c r="W103" i="2"/>
  <c r="H103" i="20"/>
  <c r="BG101" i="2"/>
  <c r="BF101" i="2" s="1"/>
  <c r="BH101" i="2"/>
  <c r="I103" i="20"/>
  <c r="A104" i="20"/>
  <c r="E104" i="20" s="1"/>
  <c r="C103" i="20"/>
  <c r="G102" i="2"/>
  <c r="F102" i="2"/>
  <c r="U102" i="2"/>
  <c r="CH103" i="2"/>
  <c r="CJ103" i="2"/>
  <c r="CK103" i="2" s="1"/>
  <c r="CI103" i="2"/>
  <c r="BR100" i="2"/>
  <c r="AN102" i="2"/>
  <c r="Y102" i="2"/>
  <c r="AU102" i="2" s="1"/>
  <c r="R94" i="3"/>
  <c r="AN59" i="2"/>
  <c r="AO59" i="2" s="1"/>
  <c r="AN61" i="2"/>
  <c r="AO61" i="2" s="1"/>
  <c r="AN58" i="2"/>
  <c r="AO58" i="2" s="1"/>
  <c r="AN60" i="2"/>
  <c r="AO60" i="2" s="1"/>
  <c r="Q94" i="3"/>
  <c r="P94" i="3"/>
  <c r="K95" i="3"/>
  <c r="L95" i="3"/>
  <c r="A96" i="3"/>
  <c r="M95" i="3"/>
  <c r="I95" i="3"/>
  <c r="N95" i="3"/>
  <c r="J95" i="3"/>
  <c r="BV105" i="23" l="1"/>
  <c r="R309" i="32"/>
  <c r="N311" i="32"/>
  <c r="A146" i="30"/>
  <c r="AO105" i="29"/>
  <c r="BO105" i="29" s="1"/>
  <c r="BR104" i="29"/>
  <c r="BK104" i="29"/>
  <c r="BD104" i="29"/>
  <c r="AX104" i="29"/>
  <c r="BG104" i="29"/>
  <c r="BF104" i="29" s="1"/>
  <c r="X104" i="29"/>
  <c r="Z104" i="29"/>
  <c r="U105" i="29"/>
  <c r="W105" i="29"/>
  <c r="AR105" i="29" s="1"/>
  <c r="BM105" i="29"/>
  <c r="AY105" i="29"/>
  <c r="BB105" i="29"/>
  <c r="BD105" i="29" s="1"/>
  <c r="AQ104" i="29"/>
  <c r="AR104" i="29"/>
  <c r="AU104" i="29"/>
  <c r="S106" i="29"/>
  <c r="AV106" i="29"/>
  <c r="R106" i="29"/>
  <c r="T106" i="29" s="1"/>
  <c r="Q106" i="29" s="1"/>
  <c r="CE106" i="29"/>
  <c r="CF106" i="29" s="1"/>
  <c r="E106" i="29"/>
  <c r="L106" i="29"/>
  <c r="B107" i="29"/>
  <c r="CD107" i="29" s="1"/>
  <c r="AN106" i="29"/>
  <c r="N106" i="29"/>
  <c r="BI106" i="29"/>
  <c r="P106" i="29"/>
  <c r="AP106" i="29"/>
  <c r="AK106" i="29"/>
  <c r="CH106" i="29"/>
  <c r="K106" i="29"/>
  <c r="J106" i="29"/>
  <c r="BE106" i="29"/>
  <c r="I106" i="29"/>
  <c r="M106" i="29"/>
  <c r="V106" i="29"/>
  <c r="AI106" i="29"/>
  <c r="BL106" i="29"/>
  <c r="C106" i="29"/>
  <c r="CI106" i="29"/>
  <c r="AS106" i="29"/>
  <c r="CJ106" i="29"/>
  <c r="CK106" i="29" s="1"/>
  <c r="H105" i="29"/>
  <c r="G105" i="29"/>
  <c r="F105" i="29"/>
  <c r="AB105" i="29"/>
  <c r="AA105" i="29"/>
  <c r="AW105" i="29" s="1"/>
  <c r="Y105" i="29"/>
  <c r="AT105" i="29" s="1"/>
  <c r="AJ105" i="29"/>
  <c r="BH105" i="29" s="1"/>
  <c r="AL105" i="29"/>
  <c r="BK105" i="29" s="1"/>
  <c r="AB106" i="2"/>
  <c r="AI107" i="2"/>
  <c r="AK107" i="2"/>
  <c r="V107" i="2"/>
  <c r="L107" i="2"/>
  <c r="S107" i="2"/>
  <c r="X103" i="2"/>
  <c r="Z103" i="2"/>
  <c r="K107" i="2"/>
  <c r="J107" i="2"/>
  <c r="I107" i="2"/>
  <c r="M107" i="2"/>
  <c r="N107" i="2"/>
  <c r="C107" i="2"/>
  <c r="AV107" i="2"/>
  <c r="BI107" i="2"/>
  <c r="AP107" i="2"/>
  <c r="BE107" i="2"/>
  <c r="E107" i="2"/>
  <c r="AS107" i="2"/>
  <c r="BB107" i="2" s="1"/>
  <c r="BL107" i="2"/>
  <c r="BM102" i="2"/>
  <c r="P104" i="2"/>
  <c r="AO102" i="2"/>
  <c r="BO102" i="2" s="1"/>
  <c r="T103" i="2"/>
  <c r="Q103" i="2" s="1"/>
  <c r="AG104" i="2"/>
  <c r="BU106" i="23"/>
  <c r="K106" i="23"/>
  <c r="L106" i="23" s="1"/>
  <c r="BP88" i="23"/>
  <c r="BR88" i="23" s="1"/>
  <c r="R104" i="2"/>
  <c r="BJ102" i="23"/>
  <c r="BP102" i="23" s="1"/>
  <c r="BR102" i="23" s="1"/>
  <c r="BE103" i="23"/>
  <c r="BI103" i="23" s="1"/>
  <c r="BX106" i="23"/>
  <c r="X106" i="23"/>
  <c r="O106" i="23"/>
  <c r="AT106" i="23"/>
  <c r="AE106" i="23"/>
  <c r="BA106" i="23"/>
  <c r="Z106" i="23"/>
  <c r="BZ106" i="23"/>
  <c r="CA106" i="23" s="1"/>
  <c r="AX106" i="23"/>
  <c r="AK106" i="23"/>
  <c r="I106" i="23"/>
  <c r="Q106" i="23"/>
  <c r="B107" i="23"/>
  <c r="BT107" i="23" s="1"/>
  <c r="AC106" i="23"/>
  <c r="S106" i="23"/>
  <c r="BY106" i="23"/>
  <c r="AH106" i="23"/>
  <c r="C106" i="23"/>
  <c r="AN105" i="23"/>
  <c r="AQ105" i="23"/>
  <c r="BF103" i="23"/>
  <c r="BJ103" i="23" s="1"/>
  <c r="P105" i="23"/>
  <c r="AF105" i="23" s="1"/>
  <c r="N105" i="23"/>
  <c r="AZ104" i="23"/>
  <c r="BH104" i="23" s="1"/>
  <c r="AD104" i="23"/>
  <c r="BD104" i="23" s="1"/>
  <c r="AW104" i="23"/>
  <c r="BG104" i="23" s="1"/>
  <c r="AO104" i="23"/>
  <c r="AP104" i="23"/>
  <c r="AS104" i="23"/>
  <c r="AR104" i="23"/>
  <c r="M105" i="23"/>
  <c r="BB105" i="23" s="1"/>
  <c r="J105" i="23"/>
  <c r="D105" i="23"/>
  <c r="T105" i="23"/>
  <c r="AM105" i="23" s="1"/>
  <c r="R105" i="23"/>
  <c r="AJ105" i="23" s="1"/>
  <c r="Y105" i="23"/>
  <c r="AV105" i="23" s="1"/>
  <c r="AU105" i="23" s="1"/>
  <c r="AA105" i="23"/>
  <c r="AZ105" i="23" s="1"/>
  <c r="AM104" i="23"/>
  <c r="AG104" i="23"/>
  <c r="AI104" i="23"/>
  <c r="AP87" i="23"/>
  <c r="BF87" i="23" s="1"/>
  <c r="BJ87" i="23" s="1"/>
  <c r="AO87" i="23"/>
  <c r="BE87" i="23" s="1"/>
  <c r="BI87" i="23" s="1"/>
  <c r="CE104" i="2"/>
  <c r="CF103" i="2"/>
  <c r="AQ103" i="2"/>
  <c r="AL103" i="2"/>
  <c r="AJ103" i="2"/>
  <c r="AA103" i="2"/>
  <c r="AX103" i="2" s="1"/>
  <c r="AX102" i="2"/>
  <c r="BK102" i="2"/>
  <c r="BJ102" i="2"/>
  <c r="BS101" i="2"/>
  <c r="BD102" i="2"/>
  <c r="BC102" i="2"/>
  <c r="AR103" i="2"/>
  <c r="AT102" i="2"/>
  <c r="AY103" i="2"/>
  <c r="W104" i="2"/>
  <c r="H103" i="2"/>
  <c r="BH102" i="2"/>
  <c r="BG102" i="2"/>
  <c r="BF102" i="2" s="1"/>
  <c r="I104" i="20"/>
  <c r="H104" i="20"/>
  <c r="A105" i="20"/>
  <c r="E105" i="20" s="1"/>
  <c r="C104" i="20"/>
  <c r="G103" i="2"/>
  <c r="F103" i="2"/>
  <c r="U103" i="2"/>
  <c r="CH104" i="2"/>
  <c r="CJ104" i="2"/>
  <c r="CK104" i="2" s="1"/>
  <c r="CI104" i="2"/>
  <c r="BR101" i="2"/>
  <c r="AN103" i="2"/>
  <c r="Y103" i="2"/>
  <c r="AU103" i="2" s="1"/>
  <c r="P95" i="3"/>
  <c r="R95" i="3"/>
  <c r="Q95" i="3"/>
  <c r="BO53" i="2"/>
  <c r="BO49" i="2"/>
  <c r="BO48" i="2"/>
  <c r="BO45" i="2"/>
  <c r="BO52" i="2"/>
  <c r="BO44" i="2"/>
  <c r="BO47" i="2"/>
  <c r="BO46" i="2"/>
  <c r="BO54" i="2"/>
  <c r="BO51" i="2"/>
  <c r="BO43" i="2"/>
  <c r="BO50" i="2"/>
  <c r="K96" i="3"/>
  <c r="L96" i="3"/>
  <c r="A97" i="3"/>
  <c r="M96" i="3"/>
  <c r="I96" i="3"/>
  <c r="N96" i="3"/>
  <c r="J96" i="3"/>
  <c r="BV106" i="23" l="1"/>
  <c r="R311" i="32"/>
  <c r="N313" i="32"/>
  <c r="A147" i="30"/>
  <c r="BS104" i="29"/>
  <c r="BC105" i="29"/>
  <c r="BM106" i="29"/>
  <c r="AG106" i="29"/>
  <c r="F106" i="29"/>
  <c r="H106" i="29"/>
  <c r="G106" i="29"/>
  <c r="AX105" i="29"/>
  <c r="AY106" i="29"/>
  <c r="BB106" i="29"/>
  <c r="BG105" i="29"/>
  <c r="BF105" i="29" s="1"/>
  <c r="BS105" i="29" s="1"/>
  <c r="W106" i="29"/>
  <c r="AR106" i="29" s="1"/>
  <c r="U106" i="29"/>
  <c r="AO106" i="29"/>
  <c r="BO106" i="29" s="1"/>
  <c r="AU105" i="29"/>
  <c r="X105" i="29"/>
  <c r="Z105" i="29"/>
  <c r="AJ106" i="29"/>
  <c r="BH106" i="29" s="1"/>
  <c r="AB106" i="29"/>
  <c r="AA106" i="29"/>
  <c r="AW106" i="29" s="1"/>
  <c r="Y106" i="29"/>
  <c r="AU106" i="29" s="1"/>
  <c r="AL106" i="29"/>
  <c r="BJ106" i="29" s="1"/>
  <c r="BR106" i="29" s="1"/>
  <c r="V107" i="29"/>
  <c r="S107" i="29"/>
  <c r="R107" i="29"/>
  <c r="T107" i="29" s="1"/>
  <c r="Q107" i="29" s="1"/>
  <c r="AP107" i="29"/>
  <c r="CH107" i="29"/>
  <c r="K107" i="29"/>
  <c r="CE107" i="29"/>
  <c r="CF107" i="29" s="1"/>
  <c r="AI107" i="29"/>
  <c r="J107" i="29"/>
  <c r="I107" i="29"/>
  <c r="AV107" i="29"/>
  <c r="CI107" i="29"/>
  <c r="AS107" i="29"/>
  <c r="AK107" i="29"/>
  <c r="N107" i="29"/>
  <c r="BL107" i="29"/>
  <c r="BI107" i="29"/>
  <c r="L107" i="29"/>
  <c r="CJ107" i="29"/>
  <c r="CK107" i="29" s="1"/>
  <c r="E107" i="29"/>
  <c r="AN107" i="29"/>
  <c r="P107" i="29"/>
  <c r="BE107" i="29"/>
  <c r="M107" i="29"/>
  <c r="C107" i="29"/>
  <c r="AG107" i="29"/>
  <c r="BJ105" i="29"/>
  <c r="BR105" i="29" s="1"/>
  <c r="AQ105" i="29"/>
  <c r="AB107" i="2"/>
  <c r="AC107" i="2" s="1"/>
  <c r="Z104" i="2"/>
  <c r="X104" i="2"/>
  <c r="AO103" i="2"/>
  <c r="BO103" i="2" s="1"/>
  <c r="BM103" i="2"/>
  <c r="P105" i="2"/>
  <c r="T104" i="2"/>
  <c r="Q104" i="2" s="1"/>
  <c r="AG105" i="2"/>
  <c r="BU107" i="23"/>
  <c r="BV107" i="23" s="1"/>
  <c r="K107" i="23"/>
  <c r="L107" i="23" s="1"/>
  <c r="BP87" i="23"/>
  <c r="BR87" i="23" s="1"/>
  <c r="BP103" i="23"/>
  <c r="BR103" i="23" s="1"/>
  <c r="R105" i="2"/>
  <c r="BH105" i="23"/>
  <c r="AY105" i="23"/>
  <c r="AQ106" i="23"/>
  <c r="AN106" i="23"/>
  <c r="O107" i="23"/>
  <c r="I107" i="23"/>
  <c r="BX107" i="23"/>
  <c r="AC107" i="23"/>
  <c r="BZ107" i="23"/>
  <c r="CA107" i="23" s="1"/>
  <c r="BY107" i="23"/>
  <c r="BA107" i="23"/>
  <c r="AX107" i="23"/>
  <c r="AE107" i="23"/>
  <c r="AK107" i="23"/>
  <c r="S107" i="23"/>
  <c r="Z107" i="23"/>
  <c r="X107" i="23"/>
  <c r="C107" i="23"/>
  <c r="Q107" i="23"/>
  <c r="AT107" i="23"/>
  <c r="AH107" i="23"/>
  <c r="AL105" i="23"/>
  <c r="AI105" i="23"/>
  <c r="AD105" i="23"/>
  <c r="BD105" i="23" s="1"/>
  <c r="BF104" i="23"/>
  <c r="BJ104" i="23" s="1"/>
  <c r="AR105" i="23"/>
  <c r="AS105" i="23"/>
  <c r="AW105" i="23"/>
  <c r="BE104" i="23"/>
  <c r="BI104" i="23" s="1"/>
  <c r="BP104" i="23" s="1"/>
  <c r="BR104" i="23" s="1"/>
  <c r="AG105" i="23"/>
  <c r="AP105" i="23"/>
  <c r="AO105" i="23"/>
  <c r="T106" i="23"/>
  <c r="AM106" i="23" s="1"/>
  <c r="Y106" i="23"/>
  <c r="AW106" i="23" s="1"/>
  <c r="AA106" i="23"/>
  <c r="AY106" i="23" s="1"/>
  <c r="D106" i="23"/>
  <c r="R106" i="23"/>
  <c r="AI106" i="23" s="1"/>
  <c r="J106" i="23"/>
  <c r="M106" i="23"/>
  <c r="AD106" i="23" s="1"/>
  <c r="BD106" i="23" s="1"/>
  <c r="P106" i="23"/>
  <c r="AG106" i="23" s="1"/>
  <c r="N106" i="23"/>
  <c r="AP86" i="23"/>
  <c r="BF86" i="23" s="1"/>
  <c r="BJ86" i="23" s="1"/>
  <c r="AO86" i="23"/>
  <c r="BE86" i="23" s="1"/>
  <c r="BI86" i="23" s="1"/>
  <c r="CE105" i="2"/>
  <c r="CF104" i="2"/>
  <c r="AQ104" i="2"/>
  <c r="AJ104" i="2"/>
  <c r="AL104" i="2"/>
  <c r="AA104" i="2"/>
  <c r="AX104" i="2" s="1"/>
  <c r="AW103" i="2"/>
  <c r="BK103" i="2"/>
  <c r="BJ103" i="2"/>
  <c r="BS102" i="2"/>
  <c r="BC103" i="2"/>
  <c r="BD103" i="2"/>
  <c r="I105" i="20"/>
  <c r="AR104" i="2"/>
  <c r="AT103" i="2"/>
  <c r="W105" i="2"/>
  <c r="AY104" i="2"/>
  <c r="H104" i="2"/>
  <c r="BH103" i="2"/>
  <c r="BG103" i="2"/>
  <c r="BF103" i="2" s="1"/>
  <c r="H105" i="20"/>
  <c r="A106" i="20"/>
  <c r="E106" i="20" s="1"/>
  <c r="C105" i="20"/>
  <c r="F104" i="2"/>
  <c r="G104" i="2"/>
  <c r="U104" i="2"/>
  <c r="CH105" i="2"/>
  <c r="CJ105" i="2"/>
  <c r="CK105" i="2" s="1"/>
  <c r="CI105" i="2"/>
  <c r="BR102" i="2"/>
  <c r="AN104" i="2"/>
  <c r="Y104" i="2"/>
  <c r="AT104" i="2" s="1"/>
  <c r="R96" i="3"/>
  <c r="P96" i="3"/>
  <c r="Q96" i="3"/>
  <c r="K97" i="3"/>
  <c r="L97" i="3"/>
  <c r="A98" i="3"/>
  <c r="M97" i="3"/>
  <c r="I97" i="3"/>
  <c r="N97" i="3"/>
  <c r="J97" i="3"/>
  <c r="R313" i="32" l="1"/>
  <c r="N315" i="32"/>
  <c r="A148" i="30"/>
  <c r="BD106" i="29"/>
  <c r="AX106" i="29"/>
  <c r="BC106" i="29"/>
  <c r="BM107" i="29"/>
  <c r="AO107" i="29"/>
  <c r="BO107" i="29" s="1"/>
  <c r="X106" i="29"/>
  <c r="Z106" i="29"/>
  <c r="BG106" i="29"/>
  <c r="BF106" i="29" s="1"/>
  <c r="BK106" i="29"/>
  <c r="F107" i="29"/>
  <c r="G107" i="29"/>
  <c r="H107" i="29"/>
  <c r="AT106" i="29"/>
  <c r="AA107" i="29"/>
  <c r="AX107" i="29" s="1"/>
  <c r="AB107" i="29"/>
  <c r="AL107" i="29"/>
  <c r="BJ107" i="29" s="1"/>
  <c r="AJ107" i="29"/>
  <c r="BH107" i="29" s="1"/>
  <c r="Y107" i="29"/>
  <c r="AU107" i="29" s="1"/>
  <c r="BB107" i="29"/>
  <c r="BC107" i="29" s="1"/>
  <c r="AY107" i="29"/>
  <c r="U107" i="29"/>
  <c r="W107" i="29"/>
  <c r="AR107" i="29" s="1"/>
  <c r="AQ106" i="29"/>
  <c r="Z105" i="2"/>
  <c r="X105" i="2"/>
  <c r="AC106" i="2"/>
  <c r="AD107" i="2"/>
  <c r="AE107" i="2" s="1"/>
  <c r="AF107" i="2" s="1"/>
  <c r="P106" i="2"/>
  <c r="BM104" i="2"/>
  <c r="AO104" i="2"/>
  <c r="BO104" i="2" s="1"/>
  <c r="T105" i="2"/>
  <c r="Q105" i="2" s="1"/>
  <c r="AG106" i="2"/>
  <c r="BP86" i="23"/>
  <c r="BR86" i="23" s="1"/>
  <c r="BB106" i="23"/>
  <c r="R106" i="2"/>
  <c r="AL106" i="23"/>
  <c r="BG105" i="23"/>
  <c r="AZ106" i="23"/>
  <c r="AJ106" i="23"/>
  <c r="AF106" i="23"/>
  <c r="D107" i="23"/>
  <c r="AA107" i="23"/>
  <c r="AY107" i="23" s="1"/>
  <c r="T107" i="23"/>
  <c r="AM107" i="23" s="1"/>
  <c r="Y107" i="23"/>
  <c r="AW107" i="23" s="1"/>
  <c r="R107" i="23"/>
  <c r="AJ107" i="23" s="1"/>
  <c r="AQ107" i="23"/>
  <c r="AN107" i="23"/>
  <c r="AO106" i="23"/>
  <c r="AP106" i="23"/>
  <c r="BE105" i="23"/>
  <c r="J107" i="23"/>
  <c r="M107" i="23"/>
  <c r="BB107" i="23" s="1"/>
  <c r="AR106" i="23"/>
  <c r="AS106" i="23"/>
  <c r="BG106" i="23"/>
  <c r="BF105" i="23"/>
  <c r="BJ105" i="23" s="1"/>
  <c r="AV106" i="23"/>
  <c r="AU106" i="23" s="1"/>
  <c r="N107" i="23"/>
  <c r="P107" i="23"/>
  <c r="AF107" i="23" s="1"/>
  <c r="AP85" i="23"/>
  <c r="BF85" i="23" s="1"/>
  <c r="BJ85" i="23" s="1"/>
  <c r="AO85" i="23"/>
  <c r="BE85" i="23" s="1"/>
  <c r="BI85" i="23" s="1"/>
  <c r="CE106" i="2"/>
  <c r="CF105" i="2"/>
  <c r="AW104" i="2"/>
  <c r="AQ105" i="2"/>
  <c r="AJ105" i="2"/>
  <c r="AL105" i="2"/>
  <c r="AA105" i="2"/>
  <c r="AW105" i="2" s="1"/>
  <c r="BK104" i="2"/>
  <c r="BJ104" i="2"/>
  <c r="BS103" i="2"/>
  <c r="BD104" i="2"/>
  <c r="BC104" i="2"/>
  <c r="AU104" i="2"/>
  <c r="AY105" i="2"/>
  <c r="W106" i="2"/>
  <c r="AR105" i="2"/>
  <c r="H105" i="2"/>
  <c r="BH104" i="2"/>
  <c r="BG104" i="2"/>
  <c r="BF104" i="2" s="1"/>
  <c r="H106" i="20"/>
  <c r="A107" i="20"/>
  <c r="E107" i="20" s="1"/>
  <c r="I106" i="20"/>
  <c r="C106" i="20"/>
  <c r="G105" i="2"/>
  <c r="F105" i="2"/>
  <c r="U105" i="2"/>
  <c r="CH106" i="2"/>
  <c r="CJ106" i="2"/>
  <c r="CK106" i="2" s="1"/>
  <c r="CI106" i="2"/>
  <c r="AN105" i="2"/>
  <c r="BR103" i="2"/>
  <c r="Y105" i="2"/>
  <c r="AU105" i="2" s="1"/>
  <c r="P97" i="3"/>
  <c r="Q97" i="3"/>
  <c r="R97" i="3"/>
  <c r="BO55" i="2"/>
  <c r="K98" i="3"/>
  <c r="L98" i="3"/>
  <c r="A99" i="3"/>
  <c r="M98" i="3"/>
  <c r="I98" i="3"/>
  <c r="N98" i="3"/>
  <c r="J98" i="3"/>
  <c r="R315" i="32" l="1"/>
  <c r="N317" i="32"/>
  <c r="A149" i="30"/>
  <c r="AT107" i="29"/>
  <c r="BD107" i="29"/>
  <c r="AQ107" i="29"/>
  <c r="BK107" i="29"/>
  <c r="BR107" i="29"/>
  <c r="Z107" i="29"/>
  <c r="X107" i="29"/>
  <c r="AE107" i="29"/>
  <c r="AE106" i="29" s="1"/>
  <c r="AE105" i="29" s="1"/>
  <c r="AE104" i="29" s="1"/>
  <c r="AE103" i="29" s="1"/>
  <c r="AE102" i="29" s="1"/>
  <c r="AE101" i="29" s="1"/>
  <c r="AE100" i="29" s="1"/>
  <c r="AE99" i="29" s="1"/>
  <c r="AE98" i="29" s="1"/>
  <c r="AE97" i="29" s="1"/>
  <c r="AE96" i="29" s="1"/>
  <c r="AE95" i="29" s="1"/>
  <c r="AE94" i="29" s="1"/>
  <c r="AE93" i="29" s="1"/>
  <c r="AE92" i="29" s="1"/>
  <c r="AE91" i="29" s="1"/>
  <c r="AE90" i="29" s="1"/>
  <c r="AE89" i="29" s="1"/>
  <c r="AE88" i="29" s="1"/>
  <c r="AE87" i="29" s="1"/>
  <c r="AE86" i="29" s="1"/>
  <c r="AE85" i="29" s="1"/>
  <c r="AE84" i="29" s="1"/>
  <c r="AE83" i="29" s="1"/>
  <c r="AE82" i="29" s="1"/>
  <c r="AE81" i="29" s="1"/>
  <c r="AE80" i="29" s="1"/>
  <c r="AE79" i="29" s="1"/>
  <c r="AE78" i="29" s="1"/>
  <c r="AE77" i="29" s="1"/>
  <c r="AE76" i="29" s="1"/>
  <c r="AE75" i="29" s="1"/>
  <c r="AE74" i="29" s="1"/>
  <c r="AE73" i="29" s="1"/>
  <c r="AC107" i="29"/>
  <c r="AW107" i="29"/>
  <c r="BS106" i="29"/>
  <c r="BG107" i="29"/>
  <c r="BF107" i="29" s="1"/>
  <c r="Z106" i="2"/>
  <c r="X106" i="2"/>
  <c r="AC105" i="2"/>
  <c r="AD106" i="2"/>
  <c r="AE106" i="2" s="1"/>
  <c r="AF106" i="2" s="1"/>
  <c r="AO105" i="2"/>
  <c r="BO105" i="2" s="1"/>
  <c r="P107" i="2"/>
  <c r="BM105" i="2"/>
  <c r="T106" i="2"/>
  <c r="Q106" i="2" s="1"/>
  <c r="AG107" i="2"/>
  <c r="BP85" i="23"/>
  <c r="BR85" i="23" s="1"/>
  <c r="R107" i="2"/>
  <c r="AD107" i="23"/>
  <c r="BD107" i="23" s="1"/>
  <c r="AZ107" i="23"/>
  <c r="AI107" i="23"/>
  <c r="BE106" i="23"/>
  <c r="BI106" i="23" s="1"/>
  <c r="BI105" i="23"/>
  <c r="BP105" i="23" s="1"/>
  <c r="BR105" i="23" s="1"/>
  <c r="BH106" i="23"/>
  <c r="AL107" i="23"/>
  <c r="BF106" i="23"/>
  <c r="AR107" i="23"/>
  <c r="AS107" i="23"/>
  <c r="AV107" i="23"/>
  <c r="AU107" i="23" s="1"/>
  <c r="AG107" i="23"/>
  <c r="BG107" i="23"/>
  <c r="AP107" i="23"/>
  <c r="AO107" i="23"/>
  <c r="AO84" i="23"/>
  <c r="BE84" i="23" s="1"/>
  <c r="BI84" i="23" s="1"/>
  <c r="AP84" i="23"/>
  <c r="BF84" i="23" s="1"/>
  <c r="BJ84" i="23" s="1"/>
  <c r="CE107" i="2"/>
  <c r="CF106" i="2"/>
  <c r="AL106" i="2"/>
  <c r="AA106" i="2"/>
  <c r="AX106" i="2" s="1"/>
  <c r="AJ106" i="2"/>
  <c r="AQ106" i="2"/>
  <c r="AX105" i="2"/>
  <c r="BK105" i="2"/>
  <c r="BJ105" i="2"/>
  <c r="BS104" i="2"/>
  <c r="BC105" i="2"/>
  <c r="BD105" i="2"/>
  <c r="AR106" i="2"/>
  <c r="AT105" i="2"/>
  <c r="AY106" i="2"/>
  <c r="H106" i="2"/>
  <c r="W107" i="2"/>
  <c r="H107" i="20"/>
  <c r="BH105" i="2"/>
  <c r="BG105" i="2"/>
  <c r="BF105" i="2" s="1"/>
  <c r="A108" i="20"/>
  <c r="E108" i="20" s="1"/>
  <c r="I107" i="20"/>
  <c r="C107" i="20"/>
  <c r="G106" i="2"/>
  <c r="F106" i="2"/>
  <c r="U106" i="2"/>
  <c r="CH107" i="2"/>
  <c r="CJ107" i="2"/>
  <c r="CK107" i="2" s="1"/>
  <c r="CI107" i="2"/>
  <c r="BR104" i="2"/>
  <c r="Y106" i="2"/>
  <c r="AU106" i="2" s="1"/>
  <c r="AN106" i="2"/>
  <c r="P98" i="3"/>
  <c r="R98" i="3"/>
  <c r="Q98" i="3"/>
  <c r="K99" i="3"/>
  <c r="L99" i="3"/>
  <c r="A100" i="3"/>
  <c r="M99" i="3"/>
  <c r="I99" i="3"/>
  <c r="N99" i="3"/>
  <c r="J99" i="3"/>
  <c r="R317" i="32" l="1"/>
  <c r="N319" i="32"/>
  <c r="A150" i="30"/>
  <c r="BS107" i="29"/>
  <c r="AC106" i="29"/>
  <c r="AD107" i="29"/>
  <c r="AF107" i="29" s="1"/>
  <c r="AE72" i="29"/>
  <c r="Z107" i="2"/>
  <c r="X107" i="2"/>
  <c r="AC104" i="2"/>
  <c r="AD105" i="2"/>
  <c r="AE105" i="2" s="1"/>
  <c r="AF105" i="2" s="1"/>
  <c r="AO106" i="2"/>
  <c r="BO106" i="2" s="1"/>
  <c r="BM106" i="2"/>
  <c r="T107" i="2"/>
  <c r="Q107" i="2" s="1"/>
  <c r="BP84" i="23"/>
  <c r="BR84" i="23" s="1"/>
  <c r="BH107" i="23"/>
  <c r="BJ106" i="23"/>
  <c r="BP106" i="23" s="1"/>
  <c r="BR106" i="23" s="1"/>
  <c r="BE107" i="23"/>
  <c r="BI107" i="23" s="1"/>
  <c r="BF107" i="23"/>
  <c r="AO83" i="23"/>
  <c r="BE83" i="23" s="1"/>
  <c r="BI83" i="23" s="1"/>
  <c r="AP83" i="23"/>
  <c r="BF83" i="23" s="1"/>
  <c r="BJ83" i="23" s="1"/>
  <c r="CF107" i="2"/>
  <c r="AW106" i="2"/>
  <c r="AA107" i="2"/>
  <c r="AL107" i="2"/>
  <c r="AJ107" i="2"/>
  <c r="AQ107" i="2"/>
  <c r="BK106" i="2"/>
  <c r="BJ106" i="2"/>
  <c r="BS105" i="2"/>
  <c r="BD106" i="2"/>
  <c r="BC106" i="2"/>
  <c r="AT106" i="2"/>
  <c r="AR107" i="2"/>
  <c r="AY107" i="2"/>
  <c r="H107" i="2"/>
  <c r="BH106" i="2"/>
  <c r="BG106" i="2"/>
  <c r="BF106" i="2" s="1"/>
  <c r="I108" i="20"/>
  <c r="H108" i="20"/>
  <c r="C108" i="20"/>
  <c r="G109" i="20" s="1"/>
  <c r="J109" i="20" s="1"/>
  <c r="G107" i="2"/>
  <c r="F107" i="2"/>
  <c r="U107" i="2"/>
  <c r="BR105" i="2"/>
  <c r="AN107" i="2"/>
  <c r="Y107" i="2"/>
  <c r="AU107" i="2" s="1"/>
  <c r="Q99" i="3"/>
  <c r="P99" i="3"/>
  <c r="R99" i="3"/>
  <c r="K100" i="3"/>
  <c r="L100" i="3"/>
  <c r="A101" i="3"/>
  <c r="M100" i="3"/>
  <c r="I100" i="3"/>
  <c r="N100" i="3"/>
  <c r="J100" i="3"/>
  <c r="R319" i="32" l="1"/>
  <c r="N321" i="32"/>
  <c r="A151" i="30"/>
  <c r="AZ107" i="29"/>
  <c r="BP107" i="29" s="1"/>
  <c r="BT107" i="29" s="1"/>
  <c r="BA107" i="29"/>
  <c r="BQ107" i="29" s="1"/>
  <c r="BU107" i="29" s="1"/>
  <c r="AC105" i="29"/>
  <c r="AD106" i="29"/>
  <c r="AF106" i="29" s="1"/>
  <c r="AE71" i="29"/>
  <c r="AC103" i="2"/>
  <c r="AD104" i="2"/>
  <c r="AE104" i="2" s="1"/>
  <c r="AF104" i="2" s="1"/>
  <c r="AX107" i="2"/>
  <c r="AZ107" i="2"/>
  <c r="AO107" i="2"/>
  <c r="BO107" i="2" s="1"/>
  <c r="BM107" i="2"/>
  <c r="BP83" i="23"/>
  <c r="BR83" i="23" s="1"/>
  <c r="BJ107" i="23"/>
  <c r="BP107" i="23" s="1"/>
  <c r="BR107" i="23" s="1"/>
  <c r="AO82" i="23"/>
  <c r="BE82" i="23" s="1"/>
  <c r="BI82" i="23" s="1"/>
  <c r="AP82" i="23"/>
  <c r="BF82" i="23" s="1"/>
  <c r="BJ82" i="23" s="1"/>
  <c r="AW107" i="2"/>
  <c r="BS106" i="2"/>
  <c r="BK107" i="2"/>
  <c r="BJ107" i="2"/>
  <c r="BC107" i="2"/>
  <c r="BD107" i="2"/>
  <c r="AT107" i="2"/>
  <c r="BH107" i="2"/>
  <c r="BG107" i="2"/>
  <c r="BF107" i="2" s="1"/>
  <c r="BR106" i="2"/>
  <c r="P100" i="3"/>
  <c r="R100" i="3"/>
  <c r="Q100" i="3"/>
  <c r="K101" i="3"/>
  <c r="L101" i="3"/>
  <c r="A102" i="3"/>
  <c r="M101" i="3"/>
  <c r="I101" i="3"/>
  <c r="N101" i="3"/>
  <c r="J101" i="3"/>
  <c r="R321" i="32" l="1"/>
  <c r="N323" i="32"/>
  <c r="A152" i="30"/>
  <c r="AZ106" i="29"/>
  <c r="BP106" i="29" s="1"/>
  <c r="BT106" i="29" s="1"/>
  <c r="BA106" i="29"/>
  <c r="BQ106" i="29" s="1"/>
  <c r="BU106" i="29" s="1"/>
  <c r="AC104" i="29"/>
  <c r="AD105" i="29"/>
  <c r="AF105" i="29" s="1"/>
  <c r="BW107" i="29"/>
  <c r="BV107" i="29"/>
  <c r="AE70" i="29"/>
  <c r="AC102" i="2"/>
  <c r="AD103" i="2"/>
  <c r="AE103" i="2" s="1"/>
  <c r="AF103" i="2" s="1"/>
  <c r="BA107" i="2"/>
  <c r="BQ107" i="2" s="1"/>
  <c r="BP82" i="23"/>
  <c r="BR82" i="23" s="1"/>
  <c r="AO81" i="23"/>
  <c r="BE81" i="23" s="1"/>
  <c r="BI81" i="23" s="1"/>
  <c r="AP81" i="23"/>
  <c r="BF81" i="23" s="1"/>
  <c r="BJ81" i="23" s="1"/>
  <c r="BS107" i="2"/>
  <c r="BR107" i="2"/>
  <c r="P101" i="3"/>
  <c r="R101" i="3"/>
  <c r="Q101" i="3"/>
  <c r="K102" i="3"/>
  <c r="L102" i="3"/>
  <c r="A103" i="3"/>
  <c r="M102" i="3"/>
  <c r="I102" i="3"/>
  <c r="N102" i="3"/>
  <c r="J102" i="3"/>
  <c r="R323" i="32" l="1"/>
  <c r="N325" i="32"/>
  <c r="A153" i="30"/>
  <c r="CA107" i="29"/>
  <c r="CC107" i="29" s="1"/>
  <c r="AZ105" i="29"/>
  <c r="BP105" i="29" s="1"/>
  <c r="BT105" i="29" s="1"/>
  <c r="BA105" i="29"/>
  <c r="BQ105" i="29" s="1"/>
  <c r="BU105" i="29" s="1"/>
  <c r="AC103" i="29"/>
  <c r="AD104" i="29"/>
  <c r="AF104" i="29" s="1"/>
  <c r="BV106" i="29"/>
  <c r="BW106" i="29"/>
  <c r="AE69" i="29"/>
  <c r="AC101" i="2"/>
  <c r="AD102" i="2"/>
  <c r="AE102" i="2" s="1"/>
  <c r="AF102" i="2" s="1"/>
  <c r="BP81" i="23"/>
  <c r="BR81" i="23" s="1"/>
  <c r="AP80" i="23"/>
  <c r="BF80" i="23" s="1"/>
  <c r="BJ80" i="23" s="1"/>
  <c r="AO80" i="23"/>
  <c r="BE80" i="23" s="1"/>
  <c r="BI80" i="23" s="1"/>
  <c r="BU107" i="2"/>
  <c r="P102" i="3"/>
  <c r="R102" i="3"/>
  <c r="Q102" i="3"/>
  <c r="BO60" i="2"/>
  <c r="BO57" i="2"/>
  <c r="BO56" i="2"/>
  <c r="BO61" i="2"/>
  <c r="BO59" i="2"/>
  <c r="BO58" i="2"/>
  <c r="K103" i="3"/>
  <c r="L103" i="3"/>
  <c r="A104" i="3"/>
  <c r="M103" i="3"/>
  <c r="I103" i="3"/>
  <c r="N103" i="3"/>
  <c r="J103" i="3"/>
  <c r="R325" i="32" l="1"/>
  <c r="N327" i="32"/>
  <c r="A154" i="30"/>
  <c r="CA106" i="29"/>
  <c r="CC106" i="29" s="1"/>
  <c r="BA104" i="29"/>
  <c r="BQ104" i="29" s="1"/>
  <c r="BU104" i="29" s="1"/>
  <c r="AZ104" i="29"/>
  <c r="BP104" i="29" s="1"/>
  <c r="BT104" i="29" s="1"/>
  <c r="AC102" i="29"/>
  <c r="AD103" i="29"/>
  <c r="AF103" i="29" s="1"/>
  <c r="BW105" i="29"/>
  <c r="BV105" i="29"/>
  <c r="AE68" i="29"/>
  <c r="AC100" i="2"/>
  <c r="AD101" i="2"/>
  <c r="AE101" i="2" s="1"/>
  <c r="AF101" i="2" s="1"/>
  <c r="BP80" i="23"/>
  <c r="BR80" i="23" s="1"/>
  <c r="AO79" i="23"/>
  <c r="BE79" i="23" s="1"/>
  <c r="BI79" i="23" s="1"/>
  <c r="AP79" i="23"/>
  <c r="BF79" i="23" s="1"/>
  <c r="BJ79" i="23" s="1"/>
  <c r="H30" i="1"/>
  <c r="R103" i="3"/>
  <c r="P103" i="3"/>
  <c r="Q103" i="3"/>
  <c r="K104" i="3"/>
  <c r="L104" i="3"/>
  <c r="A105" i="3"/>
  <c r="M104" i="3"/>
  <c r="I104" i="3"/>
  <c r="N104" i="3"/>
  <c r="J104" i="3"/>
  <c r="R327" i="32" l="1"/>
  <c r="N329" i="32"/>
  <c r="A155" i="30"/>
  <c r="CA105" i="29"/>
  <c r="CC105" i="29" s="1"/>
  <c r="BW104" i="29"/>
  <c r="BV104" i="29"/>
  <c r="AZ103" i="29"/>
  <c r="BP103" i="29" s="1"/>
  <c r="BT103" i="29" s="1"/>
  <c r="BA103" i="29"/>
  <c r="BQ103" i="29" s="1"/>
  <c r="BU103" i="29" s="1"/>
  <c r="AC101" i="29"/>
  <c r="AD102" i="29"/>
  <c r="AF102" i="29" s="1"/>
  <c r="AE67" i="29"/>
  <c r="AC99" i="2"/>
  <c r="AD100" i="2"/>
  <c r="AE100" i="2" s="1"/>
  <c r="AF100" i="2" s="1"/>
  <c r="BA106" i="2"/>
  <c r="BQ106" i="2" s="1"/>
  <c r="BU106" i="2" s="1"/>
  <c r="AZ106" i="2"/>
  <c r="BP79" i="23"/>
  <c r="BR79" i="23" s="1"/>
  <c r="AP78" i="23"/>
  <c r="BF78" i="23" s="1"/>
  <c r="BJ78" i="23" s="1"/>
  <c r="AO78" i="23"/>
  <c r="BE78" i="23" s="1"/>
  <c r="BI78" i="23" s="1"/>
  <c r="P104" i="3"/>
  <c r="Q104" i="3"/>
  <c r="R104" i="3"/>
  <c r="BO62" i="2"/>
  <c r="K105" i="3"/>
  <c r="L105" i="3"/>
  <c r="A106" i="3"/>
  <c r="M105" i="3"/>
  <c r="I105" i="3"/>
  <c r="N105" i="3"/>
  <c r="J105" i="3"/>
  <c r="R329" i="32" l="1"/>
  <c r="N331" i="32"/>
  <c r="A156" i="30"/>
  <c r="CA104" i="29"/>
  <c r="CC104" i="29" s="1"/>
  <c r="AZ102" i="29"/>
  <c r="BP102" i="29" s="1"/>
  <c r="BT102" i="29" s="1"/>
  <c r="BA102" i="29"/>
  <c r="BQ102" i="29" s="1"/>
  <c r="BU102" i="29" s="1"/>
  <c r="AC100" i="29"/>
  <c r="AD101" i="29"/>
  <c r="AF101" i="29" s="1"/>
  <c r="BV103" i="29"/>
  <c r="BW103" i="29"/>
  <c r="AE66" i="29"/>
  <c r="AC98" i="2"/>
  <c r="AD99" i="2"/>
  <c r="AE99" i="2" s="1"/>
  <c r="AF99" i="2" s="1"/>
  <c r="BA105" i="2"/>
  <c r="BQ105" i="2" s="1"/>
  <c r="BU105" i="2" s="1"/>
  <c r="AZ105" i="2"/>
  <c r="BP78" i="23"/>
  <c r="BR78" i="23" s="1"/>
  <c r="AO77" i="23"/>
  <c r="BE77" i="23" s="1"/>
  <c r="BI77" i="23" s="1"/>
  <c r="AP77" i="23"/>
  <c r="BF77" i="23" s="1"/>
  <c r="BJ77" i="23" s="1"/>
  <c r="P105" i="3"/>
  <c r="R105" i="3"/>
  <c r="Q105" i="3"/>
  <c r="BO64" i="2"/>
  <c r="BO63" i="2"/>
  <c r="K106" i="3"/>
  <c r="L106" i="3"/>
  <c r="A107" i="3"/>
  <c r="M106" i="3"/>
  <c r="I106" i="3"/>
  <c r="J106" i="3"/>
  <c r="N106" i="3"/>
  <c r="R331" i="32" l="1"/>
  <c r="N333" i="32"/>
  <c r="A157" i="30"/>
  <c r="CA103" i="29"/>
  <c r="CC103" i="29" s="1"/>
  <c r="AZ101" i="29"/>
  <c r="BP101" i="29" s="1"/>
  <c r="BT101" i="29" s="1"/>
  <c r="BA101" i="29"/>
  <c r="BQ101" i="29" s="1"/>
  <c r="BU101" i="29" s="1"/>
  <c r="AC99" i="29"/>
  <c r="AD100" i="29"/>
  <c r="AF100" i="29" s="1"/>
  <c r="BV102" i="29"/>
  <c r="BW102" i="29"/>
  <c r="AE65" i="29"/>
  <c r="AC97" i="2"/>
  <c r="AD98" i="2"/>
  <c r="AE98" i="2" s="1"/>
  <c r="AF98" i="2" s="1"/>
  <c r="BP77" i="23"/>
  <c r="BR77" i="23" s="1"/>
  <c r="AP76" i="23"/>
  <c r="BF76" i="23" s="1"/>
  <c r="BJ76" i="23" s="1"/>
  <c r="AO76" i="23"/>
  <c r="BE76" i="23" s="1"/>
  <c r="BI76" i="23" s="1"/>
  <c r="P106" i="3"/>
  <c r="Q106" i="3"/>
  <c r="R106" i="3"/>
  <c r="K107" i="3"/>
  <c r="L107" i="3"/>
  <c r="A108" i="3"/>
  <c r="M107" i="3"/>
  <c r="I107" i="3"/>
  <c r="N107" i="3"/>
  <c r="J107" i="3"/>
  <c r="R333" i="32" l="1"/>
  <c r="N335" i="32"/>
  <c r="A158" i="30"/>
  <c r="CA102" i="29"/>
  <c r="CC102" i="29" s="1"/>
  <c r="BA100" i="29"/>
  <c r="BQ100" i="29" s="1"/>
  <c r="BU100" i="29" s="1"/>
  <c r="AZ100" i="29"/>
  <c r="BP100" i="29" s="1"/>
  <c r="BT100" i="29" s="1"/>
  <c r="AC98" i="29"/>
  <c r="AD99" i="29"/>
  <c r="AF99" i="29" s="1"/>
  <c r="BW101" i="29"/>
  <c r="BV101" i="29"/>
  <c r="AE64" i="29"/>
  <c r="AC96" i="2"/>
  <c r="AD97" i="2"/>
  <c r="AE97" i="2" s="1"/>
  <c r="AF97" i="2" s="1"/>
  <c r="AZ104" i="2"/>
  <c r="BA104" i="2"/>
  <c r="BQ104" i="2" s="1"/>
  <c r="BU104" i="2" s="1"/>
  <c r="AZ103" i="2"/>
  <c r="BA103" i="2"/>
  <c r="BQ103" i="2" s="1"/>
  <c r="BU103" i="2" s="1"/>
  <c r="BP76" i="23"/>
  <c r="BR76" i="23" s="1"/>
  <c r="AP75" i="23"/>
  <c r="BF75" i="23" s="1"/>
  <c r="BJ75" i="23" s="1"/>
  <c r="AO75" i="23"/>
  <c r="BE75" i="23" s="1"/>
  <c r="BI75" i="23" s="1"/>
  <c r="R107" i="3"/>
  <c r="Q107" i="3"/>
  <c r="P107" i="3"/>
  <c r="BO65" i="2"/>
  <c r="K108" i="3"/>
  <c r="L108" i="3"/>
  <c r="M108" i="3"/>
  <c r="I108" i="3"/>
  <c r="N108" i="3"/>
  <c r="J108" i="3"/>
  <c r="R335" i="32" l="1"/>
  <c r="N337" i="32"/>
  <c r="A159" i="30"/>
  <c r="CA101" i="29"/>
  <c r="CC101" i="29" s="1"/>
  <c r="BW100" i="29"/>
  <c r="BV100" i="29"/>
  <c r="AZ99" i="29"/>
  <c r="BP99" i="29" s="1"/>
  <c r="BT99" i="29" s="1"/>
  <c r="BA99" i="29"/>
  <c r="BQ99" i="29" s="1"/>
  <c r="BU99" i="29" s="1"/>
  <c r="AC97" i="29"/>
  <c r="AD98" i="29"/>
  <c r="AF98" i="29" s="1"/>
  <c r="AE63" i="29"/>
  <c r="AC95" i="2"/>
  <c r="AD96" i="2"/>
  <c r="AE96" i="2" s="1"/>
  <c r="AF96" i="2" s="1"/>
  <c r="AZ102" i="2"/>
  <c r="BA102" i="2"/>
  <c r="BQ102" i="2" s="1"/>
  <c r="BU102" i="2" s="1"/>
  <c r="BP75" i="23"/>
  <c r="BR75" i="23" s="1"/>
  <c r="AO74" i="23"/>
  <c r="BE74" i="23" s="1"/>
  <c r="BI74" i="23" s="1"/>
  <c r="AP74" i="23"/>
  <c r="BF74" i="23" s="1"/>
  <c r="BJ74" i="23" s="1"/>
  <c r="P108" i="3"/>
  <c r="R108" i="3"/>
  <c r="Q108" i="3"/>
  <c r="BO67" i="2"/>
  <c r="BO66" i="2"/>
  <c r="R337" i="32" l="1"/>
  <c r="N339" i="32"/>
  <c r="A160" i="30"/>
  <c r="CA100" i="29"/>
  <c r="CC100" i="29" s="1"/>
  <c r="BA98" i="29"/>
  <c r="BQ98" i="29" s="1"/>
  <c r="BU98" i="29" s="1"/>
  <c r="AZ98" i="29"/>
  <c r="BP98" i="29" s="1"/>
  <c r="BT98" i="29" s="1"/>
  <c r="AC96" i="29"/>
  <c r="AD97" i="29"/>
  <c r="AF97" i="29" s="1"/>
  <c r="BV99" i="29"/>
  <c r="BW99" i="29"/>
  <c r="AE62" i="29"/>
  <c r="AC94" i="2"/>
  <c r="AD95" i="2"/>
  <c r="AE95" i="2" s="1"/>
  <c r="AF95" i="2" s="1"/>
  <c r="BA101" i="2"/>
  <c r="BQ101" i="2" s="1"/>
  <c r="BU101" i="2" s="1"/>
  <c r="AZ101" i="2"/>
  <c r="BP74" i="23"/>
  <c r="BR74" i="23" s="1"/>
  <c r="AO73" i="23"/>
  <c r="BE73" i="23" s="1"/>
  <c r="BI73" i="23" s="1"/>
  <c r="AP73" i="23"/>
  <c r="BF73" i="23" s="1"/>
  <c r="BJ73" i="23" s="1"/>
  <c r="R339" i="32" l="1"/>
  <c r="N341" i="32"/>
  <c r="A161" i="30"/>
  <c r="CA99" i="29"/>
  <c r="CC99" i="29" s="1"/>
  <c r="AZ97" i="29"/>
  <c r="BP97" i="29" s="1"/>
  <c r="BT97" i="29" s="1"/>
  <c r="BA97" i="29"/>
  <c r="BQ97" i="29" s="1"/>
  <c r="BU97" i="29" s="1"/>
  <c r="AC95" i="29"/>
  <c r="AD96" i="29"/>
  <c r="AF96" i="29" s="1"/>
  <c r="BW98" i="29"/>
  <c r="BV98" i="29"/>
  <c r="AE61" i="29"/>
  <c r="AC93" i="2"/>
  <c r="AD94" i="2"/>
  <c r="AE94" i="2" s="1"/>
  <c r="AF94" i="2" s="1"/>
  <c r="BA100" i="2"/>
  <c r="BQ100" i="2" s="1"/>
  <c r="BU100" i="2" s="1"/>
  <c r="AZ100" i="2"/>
  <c r="BP100" i="2" s="1"/>
  <c r="BP73" i="23"/>
  <c r="BR73" i="23" s="1"/>
  <c r="AO72" i="23"/>
  <c r="BE72" i="23" s="1"/>
  <c r="BI72" i="23" s="1"/>
  <c r="AP72" i="23"/>
  <c r="BF72" i="23" s="1"/>
  <c r="BJ72" i="23" s="1"/>
  <c r="BP104" i="2"/>
  <c r="BP107" i="2"/>
  <c r="BP103" i="2"/>
  <c r="BP106" i="2"/>
  <c r="BP102" i="2"/>
  <c r="BP105" i="2"/>
  <c r="BP101" i="2"/>
  <c r="BO68" i="2"/>
  <c r="BO70" i="2"/>
  <c r="BO71" i="2"/>
  <c r="BO69" i="2"/>
  <c r="R341" i="32" l="1"/>
  <c r="N343" i="32"/>
  <c r="A162" i="30"/>
  <c r="BA96" i="29"/>
  <c r="BQ96" i="29" s="1"/>
  <c r="BU96" i="29" s="1"/>
  <c r="AZ96" i="29"/>
  <c r="BP96" i="29" s="1"/>
  <c r="BT96" i="29" s="1"/>
  <c r="CA98" i="29"/>
  <c r="AC94" i="29"/>
  <c r="AD95" i="29"/>
  <c r="AF95" i="29" s="1"/>
  <c r="BV97" i="29"/>
  <c r="BW97" i="29"/>
  <c r="AE60" i="29"/>
  <c r="AC92" i="2"/>
  <c r="AD93" i="2"/>
  <c r="AE93" i="2" s="1"/>
  <c r="AF93" i="2" s="1"/>
  <c r="BA98" i="2"/>
  <c r="BQ98" i="2" s="1"/>
  <c r="BU98" i="2" s="1"/>
  <c r="AZ99" i="2"/>
  <c r="BP99" i="2" s="1"/>
  <c r="BT99" i="2" s="1"/>
  <c r="BA99" i="2"/>
  <c r="BQ99" i="2" s="1"/>
  <c r="BU99" i="2" s="1"/>
  <c r="BP72" i="23"/>
  <c r="BR72" i="23" s="1"/>
  <c r="AO71" i="23"/>
  <c r="BE71" i="23" s="1"/>
  <c r="BI71" i="23" s="1"/>
  <c r="AP71" i="23"/>
  <c r="BF71" i="23" s="1"/>
  <c r="BJ71" i="23" s="1"/>
  <c r="BT100" i="2"/>
  <c r="BW100" i="2" s="1"/>
  <c r="BT105" i="2"/>
  <c r="BW105" i="2" s="1"/>
  <c r="BT107" i="2"/>
  <c r="BW107" i="2" s="1"/>
  <c r="BT102" i="2"/>
  <c r="BW102" i="2" s="1"/>
  <c r="BT104" i="2"/>
  <c r="BW104" i="2" s="1"/>
  <c r="BT106" i="2"/>
  <c r="BW106" i="2" s="1"/>
  <c r="BT101" i="2"/>
  <c r="BW101" i="2" s="1"/>
  <c r="BT103" i="2"/>
  <c r="BW103" i="2" s="1"/>
  <c r="BO2" i="2"/>
  <c r="R343" i="32" l="1"/>
  <c r="N345" i="32"/>
  <c r="A163" i="30"/>
  <c r="CA97" i="29"/>
  <c r="CC97" i="29" s="1"/>
  <c r="AC93" i="29"/>
  <c r="AD94" i="29"/>
  <c r="AF94" i="29" s="1"/>
  <c r="CC98" i="29"/>
  <c r="BV96" i="29"/>
  <c r="BW96" i="29"/>
  <c r="BA95" i="29"/>
  <c r="BQ95" i="29" s="1"/>
  <c r="BU95" i="29" s="1"/>
  <c r="AZ95" i="29"/>
  <c r="BP95" i="29" s="1"/>
  <c r="BT95" i="29" s="1"/>
  <c r="AE59" i="29"/>
  <c r="AC91" i="2"/>
  <c r="AD92" i="2"/>
  <c r="AE92" i="2" s="1"/>
  <c r="AF92" i="2" s="1"/>
  <c r="AZ97" i="2"/>
  <c r="BP97" i="2" s="1"/>
  <c r="BT97" i="2" s="1"/>
  <c r="AZ98" i="2"/>
  <c r="BP98" i="2" s="1"/>
  <c r="BT98" i="2" s="1"/>
  <c r="BW98" i="2" s="1"/>
  <c r="BW99" i="2"/>
  <c r="BV99" i="2"/>
  <c r="BP71" i="23"/>
  <c r="BR71" i="23" s="1"/>
  <c r="AO70" i="23"/>
  <c r="BE70" i="23" s="1"/>
  <c r="BI70" i="23" s="1"/>
  <c r="AP70" i="23"/>
  <c r="BF70" i="23" s="1"/>
  <c r="BJ70" i="23" s="1"/>
  <c r="BV103" i="2"/>
  <c r="CA103" i="2" s="1"/>
  <c r="BV106" i="2"/>
  <c r="CA106" i="2" s="1"/>
  <c r="BV102" i="2"/>
  <c r="CA102" i="2" s="1"/>
  <c r="BV105" i="2"/>
  <c r="CA105" i="2" s="1"/>
  <c r="BV101" i="2"/>
  <c r="CA101" i="2" s="1"/>
  <c r="BV104" i="2"/>
  <c r="CA104" i="2" s="1"/>
  <c r="BV107" i="2"/>
  <c r="CA107" i="2" s="1"/>
  <c r="BV100" i="2"/>
  <c r="CA100" i="2" s="1"/>
  <c r="R345" i="32" l="1"/>
  <c r="N347" i="32"/>
  <c r="A164" i="30"/>
  <c r="CA96" i="29"/>
  <c r="CC96" i="29" s="1"/>
  <c r="BW95" i="29"/>
  <c r="BV95" i="29"/>
  <c r="BA94" i="29"/>
  <c r="BQ94" i="29" s="1"/>
  <c r="BU94" i="29" s="1"/>
  <c r="AZ94" i="29"/>
  <c r="BP94" i="29" s="1"/>
  <c r="BT94" i="29" s="1"/>
  <c r="AC92" i="29"/>
  <c r="AD93" i="29"/>
  <c r="AF93" i="29" s="1"/>
  <c r="AE58" i="29"/>
  <c r="AC90" i="2"/>
  <c r="AD91" i="2"/>
  <c r="AE91" i="2" s="1"/>
  <c r="AF91" i="2" s="1"/>
  <c r="BV98" i="2"/>
  <c r="CA98" i="2" s="1"/>
  <c r="CC98" i="2" s="1"/>
  <c r="CA99" i="2"/>
  <c r="CC99" i="2" s="1"/>
  <c r="BA96" i="2"/>
  <c r="BQ96" i="2" s="1"/>
  <c r="BU96" i="2" s="1"/>
  <c r="BA97" i="2"/>
  <c r="BQ97" i="2" s="1"/>
  <c r="BU97" i="2" s="1"/>
  <c r="BW97" i="2" s="1"/>
  <c r="BP70" i="23"/>
  <c r="BR70" i="23" s="1"/>
  <c r="AP69" i="23"/>
  <c r="BF69" i="23" s="1"/>
  <c r="BJ69" i="23" s="1"/>
  <c r="AO69" i="23"/>
  <c r="BE69" i="23" s="1"/>
  <c r="BI69" i="23" s="1"/>
  <c r="CC100" i="2"/>
  <c r="B101" i="20" s="1"/>
  <c r="G101" i="20" s="1"/>
  <c r="J101" i="20" s="1"/>
  <c r="CC103" i="2"/>
  <c r="B104" i="20" s="1"/>
  <c r="G104" i="20" s="1"/>
  <c r="J104" i="20" s="1"/>
  <c r="CC107" i="2"/>
  <c r="CC104" i="2"/>
  <c r="B105" i="20" s="1"/>
  <c r="G105" i="20" s="1"/>
  <c r="J105" i="20" s="1"/>
  <c r="CC102" i="2"/>
  <c r="CC105" i="2"/>
  <c r="CC101" i="2"/>
  <c r="CC106" i="2"/>
  <c r="R347" i="32" l="1"/>
  <c r="N349" i="32"/>
  <c r="A165" i="30"/>
  <c r="CA95" i="29"/>
  <c r="CC95" i="29" s="1"/>
  <c r="BA93" i="29"/>
  <c r="BQ93" i="29" s="1"/>
  <c r="BU93" i="29" s="1"/>
  <c r="AZ93" i="29"/>
  <c r="BP93" i="29" s="1"/>
  <c r="BT93" i="29" s="1"/>
  <c r="AC91" i="29"/>
  <c r="AD92" i="29"/>
  <c r="AF92" i="29" s="1"/>
  <c r="BV94" i="29"/>
  <c r="BW94" i="29"/>
  <c r="AE57" i="29"/>
  <c r="BV97" i="2"/>
  <c r="AC89" i="2"/>
  <c r="AD90" i="2"/>
  <c r="AE90" i="2" s="1"/>
  <c r="AF90" i="2" s="1"/>
  <c r="AZ95" i="2"/>
  <c r="BP95" i="2" s="1"/>
  <c r="BT95" i="2" s="1"/>
  <c r="AZ96" i="2"/>
  <c r="BP96" i="2" s="1"/>
  <c r="BT96" i="2" s="1"/>
  <c r="BW96" i="2" s="1"/>
  <c r="BP69" i="23"/>
  <c r="BR69" i="23" s="1"/>
  <c r="AP68" i="23"/>
  <c r="BF68" i="23" s="1"/>
  <c r="BJ68" i="23" s="1"/>
  <c r="AO68" i="23"/>
  <c r="BE68" i="23" s="1"/>
  <c r="BI68" i="23" s="1"/>
  <c r="CA97" i="2"/>
  <c r="CC97" i="2" s="1"/>
  <c r="B102" i="20"/>
  <c r="G102" i="20" s="1"/>
  <c r="J102" i="20" s="1"/>
  <c r="B108" i="20"/>
  <c r="G108" i="20" s="1"/>
  <c r="J108" i="20" s="1"/>
  <c r="B103" i="20"/>
  <c r="G103" i="20" s="1"/>
  <c r="J103" i="20" s="1"/>
  <c r="B106" i="20"/>
  <c r="G106" i="20" s="1"/>
  <c r="J106" i="20" s="1"/>
  <c r="B107" i="20"/>
  <c r="G107" i="20" s="1"/>
  <c r="J107" i="20" s="1"/>
  <c r="B100" i="20"/>
  <c r="G100" i="20" s="1"/>
  <c r="J100" i="20" s="1"/>
  <c r="R349" i="32" l="1"/>
  <c r="N351" i="32"/>
  <c r="A166" i="30"/>
  <c r="CA94" i="29"/>
  <c r="CC94" i="29" s="1"/>
  <c r="AZ92" i="29"/>
  <c r="BP92" i="29" s="1"/>
  <c r="BT92" i="29" s="1"/>
  <c r="BA92" i="29"/>
  <c r="BQ92" i="29" s="1"/>
  <c r="BU92" i="29" s="1"/>
  <c r="AC90" i="29"/>
  <c r="AD91" i="29"/>
  <c r="AF91" i="29" s="1"/>
  <c r="BW93" i="29"/>
  <c r="BV93" i="29"/>
  <c r="AE56" i="29"/>
  <c r="AC88" i="2"/>
  <c r="AD89" i="2"/>
  <c r="AE89" i="2" s="1"/>
  <c r="AF89" i="2" s="1"/>
  <c r="BA94" i="2"/>
  <c r="BQ94" i="2" s="1"/>
  <c r="BU94" i="2" s="1"/>
  <c r="BA95" i="2"/>
  <c r="BQ95" i="2" s="1"/>
  <c r="BU95" i="2" s="1"/>
  <c r="BV95" i="2" s="1"/>
  <c r="BV96" i="2"/>
  <c r="CA96" i="2" s="1"/>
  <c r="CC96" i="2" s="1"/>
  <c r="BP68" i="23"/>
  <c r="BR68" i="23" s="1"/>
  <c r="AO67" i="23"/>
  <c r="BE67" i="23" s="1"/>
  <c r="BI67" i="23" s="1"/>
  <c r="AP67" i="23"/>
  <c r="BF67" i="23" s="1"/>
  <c r="BJ67" i="23" s="1"/>
  <c r="B99" i="20"/>
  <c r="G99" i="20" s="1"/>
  <c r="J99" i="20" s="1"/>
  <c r="R351" i="32" l="1"/>
  <c r="N353" i="32"/>
  <c r="A167" i="30"/>
  <c r="CA93" i="29"/>
  <c r="CC93" i="29" s="1"/>
  <c r="BW92" i="29"/>
  <c r="BV92" i="29"/>
  <c r="AZ91" i="29"/>
  <c r="BP91" i="29" s="1"/>
  <c r="BT91" i="29" s="1"/>
  <c r="BA91" i="29"/>
  <c r="BQ91" i="29" s="1"/>
  <c r="BU91" i="29" s="1"/>
  <c r="AD90" i="29"/>
  <c r="AF90" i="29" s="1"/>
  <c r="AC89" i="29"/>
  <c r="AE55" i="29"/>
  <c r="AC87" i="2"/>
  <c r="AD88" i="2"/>
  <c r="AE88" i="2" s="1"/>
  <c r="AF88" i="2" s="1"/>
  <c r="AZ94" i="2"/>
  <c r="BP94" i="2" s="1"/>
  <c r="BT94" i="2" s="1"/>
  <c r="BW94" i="2" s="1"/>
  <c r="AZ93" i="2"/>
  <c r="BP93" i="2" s="1"/>
  <c r="BT93" i="2" s="1"/>
  <c r="BW95" i="2"/>
  <c r="CA95" i="2" s="1"/>
  <c r="CC95" i="2" s="1"/>
  <c r="BP67" i="23"/>
  <c r="BR67" i="23" s="1"/>
  <c r="AP66" i="23"/>
  <c r="BF66" i="23" s="1"/>
  <c r="BJ66" i="23" s="1"/>
  <c r="AO66" i="23"/>
  <c r="BE66" i="23" s="1"/>
  <c r="BI66" i="23" s="1"/>
  <c r="B98" i="20"/>
  <c r="G98" i="20" s="1"/>
  <c r="J98" i="20" s="1"/>
  <c r="R353" i="32" l="1"/>
  <c r="N355" i="32"/>
  <c r="A168" i="30"/>
  <c r="CA92" i="29"/>
  <c r="CC92" i="29" s="1"/>
  <c r="AC88" i="29"/>
  <c r="AD89" i="29"/>
  <c r="AF89" i="29" s="1"/>
  <c r="AZ90" i="29"/>
  <c r="BP90" i="29" s="1"/>
  <c r="BT90" i="29" s="1"/>
  <c r="BA90" i="29"/>
  <c r="BQ90" i="29" s="1"/>
  <c r="BU90" i="29" s="1"/>
  <c r="BW91" i="29"/>
  <c r="BV91" i="29"/>
  <c r="AE54" i="29"/>
  <c r="AC86" i="2"/>
  <c r="AD87" i="2"/>
  <c r="AE87" i="2" s="1"/>
  <c r="AF87" i="2" s="1"/>
  <c r="BV94" i="2"/>
  <c r="CA94" i="2" s="1"/>
  <c r="CC94" i="2" s="1"/>
  <c r="BA93" i="2"/>
  <c r="BQ93" i="2" s="1"/>
  <c r="BU93" i="2" s="1"/>
  <c r="BV93" i="2" s="1"/>
  <c r="AZ92" i="2"/>
  <c r="BP92" i="2" s="1"/>
  <c r="BT92" i="2" s="1"/>
  <c r="BP66" i="23"/>
  <c r="BR66" i="23" s="1"/>
  <c r="AP65" i="23"/>
  <c r="BF65" i="23" s="1"/>
  <c r="BJ65" i="23" s="1"/>
  <c r="AO65" i="23"/>
  <c r="BE65" i="23" s="1"/>
  <c r="BI65" i="23" s="1"/>
  <c r="B97" i="20"/>
  <c r="G97" i="20" s="1"/>
  <c r="J97" i="20" s="1"/>
  <c r="B96" i="20"/>
  <c r="G96" i="20" s="1"/>
  <c r="J96" i="20" s="1"/>
  <c r="R355" i="32" l="1"/>
  <c r="N357" i="32"/>
  <c r="A169" i="30"/>
  <c r="CA91" i="29"/>
  <c r="CC91" i="29" s="1"/>
  <c r="BW90" i="29"/>
  <c r="BV90" i="29"/>
  <c r="AZ89" i="29"/>
  <c r="BP89" i="29" s="1"/>
  <c r="BT89" i="29" s="1"/>
  <c r="BA89" i="29"/>
  <c r="BQ89" i="29" s="1"/>
  <c r="BU89" i="29" s="1"/>
  <c r="AD88" i="29"/>
  <c r="AF88" i="29" s="1"/>
  <c r="AC87" i="29"/>
  <c r="AE53" i="29"/>
  <c r="AC85" i="2"/>
  <c r="AD86" i="2"/>
  <c r="AE86" i="2" s="1"/>
  <c r="AF86" i="2" s="1"/>
  <c r="BW93" i="2"/>
  <c r="CA93" i="2" s="1"/>
  <c r="CC93" i="2" s="1"/>
  <c r="BA91" i="2"/>
  <c r="BQ91" i="2" s="1"/>
  <c r="BU91" i="2" s="1"/>
  <c r="BA92" i="2"/>
  <c r="BQ92" i="2" s="1"/>
  <c r="BU92" i="2" s="1"/>
  <c r="BW92" i="2" s="1"/>
  <c r="BP65" i="23"/>
  <c r="BR65" i="23" s="1"/>
  <c r="AO64" i="23"/>
  <c r="BE64" i="23" s="1"/>
  <c r="BI64" i="23" s="1"/>
  <c r="AP64" i="23"/>
  <c r="BF64" i="23" s="1"/>
  <c r="BJ64" i="23" s="1"/>
  <c r="B95" i="20"/>
  <c r="G95" i="20" s="1"/>
  <c r="J95" i="20" s="1"/>
  <c r="R357" i="32" l="1"/>
  <c r="N359" i="32"/>
  <c r="A170" i="30"/>
  <c r="CA90" i="29"/>
  <c r="CC90" i="29" s="1"/>
  <c r="AC86" i="29"/>
  <c r="AD87" i="29"/>
  <c r="AF87" i="29" s="1"/>
  <c r="BA88" i="29"/>
  <c r="BQ88" i="29" s="1"/>
  <c r="BU88" i="29" s="1"/>
  <c r="AZ88" i="29"/>
  <c r="BP88" i="29" s="1"/>
  <c r="BT88" i="29" s="1"/>
  <c r="BW89" i="29"/>
  <c r="BV89" i="29"/>
  <c r="AE52" i="29"/>
  <c r="AC84" i="2"/>
  <c r="AD85" i="2"/>
  <c r="AE85" i="2" s="1"/>
  <c r="AF85" i="2" s="1"/>
  <c r="BV92" i="2"/>
  <c r="CA92" i="2" s="1"/>
  <c r="CC92" i="2" s="1"/>
  <c r="BA90" i="2"/>
  <c r="BQ90" i="2" s="1"/>
  <c r="BU90" i="2" s="1"/>
  <c r="AZ91" i="2"/>
  <c r="BP91" i="2" s="1"/>
  <c r="BT91" i="2" s="1"/>
  <c r="BW91" i="2" s="1"/>
  <c r="BP64" i="23"/>
  <c r="BR64" i="23" s="1"/>
  <c r="AP63" i="23"/>
  <c r="BF63" i="23" s="1"/>
  <c r="BJ63" i="23" s="1"/>
  <c r="AO63" i="23"/>
  <c r="BE63" i="23" s="1"/>
  <c r="BI63" i="23" s="1"/>
  <c r="R359" i="32" l="1"/>
  <c r="N361" i="32"/>
  <c r="A171" i="30"/>
  <c r="CA89" i="29"/>
  <c r="CC89" i="29" s="1"/>
  <c r="BW88" i="29"/>
  <c r="BV88" i="29"/>
  <c r="BA87" i="29"/>
  <c r="BQ87" i="29" s="1"/>
  <c r="BU87" i="29" s="1"/>
  <c r="AZ87" i="29"/>
  <c r="BP87" i="29" s="1"/>
  <c r="BT87" i="29" s="1"/>
  <c r="AC85" i="29"/>
  <c r="AD86" i="29"/>
  <c r="AF86" i="29" s="1"/>
  <c r="AE51" i="29"/>
  <c r="AC83" i="2"/>
  <c r="AD84" i="2"/>
  <c r="AE84" i="2" s="1"/>
  <c r="AF84" i="2" s="1"/>
  <c r="AZ89" i="2"/>
  <c r="BP89" i="2" s="1"/>
  <c r="BT89" i="2" s="1"/>
  <c r="BV91" i="2"/>
  <c r="CA91" i="2" s="1"/>
  <c r="CC91" i="2" s="1"/>
  <c r="AZ90" i="2"/>
  <c r="BP90" i="2" s="1"/>
  <c r="BT90" i="2" s="1"/>
  <c r="BW90" i="2" s="1"/>
  <c r="BP63" i="23"/>
  <c r="BR63" i="23" s="1"/>
  <c r="AP62" i="23"/>
  <c r="BF62" i="23" s="1"/>
  <c r="BJ62" i="23" s="1"/>
  <c r="AO62" i="23"/>
  <c r="BE62" i="23" s="1"/>
  <c r="BI62" i="23" s="1"/>
  <c r="B94" i="20"/>
  <c r="G94" i="20" s="1"/>
  <c r="J94" i="20" s="1"/>
  <c r="R361" i="32" l="1"/>
  <c r="N363" i="32"/>
  <c r="A172" i="30"/>
  <c r="CA88" i="29"/>
  <c r="CC88" i="29" s="1"/>
  <c r="BA86" i="29"/>
  <c r="BQ86" i="29" s="1"/>
  <c r="BU86" i="29" s="1"/>
  <c r="AZ86" i="29"/>
  <c r="BP86" i="29" s="1"/>
  <c r="BT86" i="29" s="1"/>
  <c r="AC84" i="29"/>
  <c r="AD85" i="29"/>
  <c r="AF85" i="29" s="1"/>
  <c r="BW87" i="29"/>
  <c r="BV87" i="29"/>
  <c r="AE50" i="29"/>
  <c r="AC82" i="2"/>
  <c r="AD83" i="2"/>
  <c r="AE83" i="2" s="1"/>
  <c r="AF83" i="2" s="1"/>
  <c r="BA88" i="2"/>
  <c r="BQ88" i="2" s="1"/>
  <c r="BU88" i="2" s="1"/>
  <c r="BV90" i="2"/>
  <c r="CA90" i="2" s="1"/>
  <c r="CC90" i="2" s="1"/>
  <c r="BA89" i="2"/>
  <c r="BQ89" i="2" s="1"/>
  <c r="BU89" i="2" s="1"/>
  <c r="BW89" i="2" s="1"/>
  <c r="BP62" i="23"/>
  <c r="BR62" i="23" s="1"/>
  <c r="AO61" i="23"/>
  <c r="BE61" i="23" s="1"/>
  <c r="BI61" i="23" s="1"/>
  <c r="AP61" i="23"/>
  <c r="BF61" i="23" s="1"/>
  <c r="BJ61" i="23" s="1"/>
  <c r="B93" i="20"/>
  <c r="G93" i="20" s="1"/>
  <c r="J93" i="20" s="1"/>
  <c r="R363" i="32" l="1"/>
  <c r="N365" i="32"/>
  <c r="A173" i="30"/>
  <c r="AZ85" i="29"/>
  <c r="BP85" i="29" s="1"/>
  <c r="BT85" i="29" s="1"/>
  <c r="BA85" i="29"/>
  <c r="BQ85" i="29" s="1"/>
  <c r="BU85" i="29" s="1"/>
  <c r="AC83" i="29"/>
  <c r="AD84" i="29"/>
  <c r="AF84" i="29" s="1"/>
  <c r="BW86" i="29"/>
  <c r="BV86" i="29"/>
  <c r="CA87" i="29"/>
  <c r="AE49" i="29"/>
  <c r="AC81" i="2"/>
  <c r="AD82" i="2"/>
  <c r="AE82" i="2" s="1"/>
  <c r="AF82" i="2" s="1"/>
  <c r="AZ87" i="2"/>
  <c r="BP87" i="2" s="1"/>
  <c r="BT87" i="2" s="1"/>
  <c r="AZ88" i="2"/>
  <c r="BP88" i="2" s="1"/>
  <c r="BT88" i="2" s="1"/>
  <c r="BW88" i="2" s="1"/>
  <c r="BV89" i="2"/>
  <c r="CA89" i="2" s="1"/>
  <c r="CC89" i="2" s="1"/>
  <c r="BP61" i="23"/>
  <c r="BR61" i="23" s="1"/>
  <c r="AO60" i="23"/>
  <c r="BE60" i="23" s="1"/>
  <c r="BI60" i="23" s="1"/>
  <c r="AP60" i="23"/>
  <c r="BF60" i="23" s="1"/>
  <c r="BJ60" i="23" s="1"/>
  <c r="B92" i="20"/>
  <c r="G92" i="20" s="1"/>
  <c r="J92" i="20" s="1"/>
  <c r="B91" i="20"/>
  <c r="G91" i="20" s="1"/>
  <c r="J91" i="20" s="1"/>
  <c r="R365" i="32" l="1"/>
  <c r="N367" i="32"/>
  <c r="A174" i="30"/>
  <c r="CA86" i="29"/>
  <c r="CC86" i="29" s="1"/>
  <c r="BA84" i="29"/>
  <c r="BQ84" i="29" s="1"/>
  <c r="BU84" i="29" s="1"/>
  <c r="AZ84" i="29"/>
  <c r="BP84" i="29" s="1"/>
  <c r="BT84" i="29" s="1"/>
  <c r="CC87" i="29"/>
  <c r="AC82" i="29"/>
  <c r="AD83" i="29"/>
  <c r="AF83" i="29" s="1"/>
  <c r="BW85" i="29"/>
  <c r="BV85" i="29"/>
  <c r="AE48" i="29"/>
  <c r="AC80" i="2"/>
  <c r="AD81" i="2"/>
  <c r="AE81" i="2" s="1"/>
  <c r="AF81" i="2" s="1"/>
  <c r="BV88" i="2"/>
  <c r="CA88" i="2" s="1"/>
  <c r="CC88" i="2" s="1"/>
  <c r="BA87" i="2"/>
  <c r="BQ87" i="2" s="1"/>
  <c r="BU87" i="2" s="1"/>
  <c r="BW87" i="2" s="1"/>
  <c r="AZ86" i="2"/>
  <c r="BP86" i="2" s="1"/>
  <c r="BT86" i="2" s="1"/>
  <c r="BP60" i="23"/>
  <c r="BR60" i="23" s="1"/>
  <c r="AO59" i="23"/>
  <c r="BE59" i="23" s="1"/>
  <c r="BI59" i="23" s="1"/>
  <c r="AP59" i="23"/>
  <c r="BF59" i="23" s="1"/>
  <c r="BJ59" i="23" s="1"/>
  <c r="R367" i="32" l="1"/>
  <c r="N369" i="32"/>
  <c r="A175" i="30"/>
  <c r="AZ83" i="29"/>
  <c r="BP83" i="29" s="1"/>
  <c r="BT83" i="29" s="1"/>
  <c r="BA83" i="29"/>
  <c r="BQ83" i="29" s="1"/>
  <c r="BU83" i="29" s="1"/>
  <c r="BV84" i="29"/>
  <c r="BW84" i="29"/>
  <c r="CA85" i="29"/>
  <c r="AC81" i="29"/>
  <c r="AD82" i="29"/>
  <c r="AF82" i="29" s="1"/>
  <c r="AE47" i="29"/>
  <c r="AC79" i="2"/>
  <c r="AD80" i="2"/>
  <c r="AE80" i="2" s="1"/>
  <c r="AF80" i="2" s="1"/>
  <c r="BV87" i="2"/>
  <c r="CA87" i="2" s="1"/>
  <c r="CC87" i="2" s="1"/>
  <c r="BA86" i="2"/>
  <c r="BQ86" i="2" s="1"/>
  <c r="BU86" i="2" s="1"/>
  <c r="BV86" i="2" s="1"/>
  <c r="BA85" i="2"/>
  <c r="BQ85" i="2" s="1"/>
  <c r="BU85" i="2" s="1"/>
  <c r="BP59" i="23"/>
  <c r="BR59" i="23" s="1"/>
  <c r="AP58" i="23"/>
  <c r="BF58" i="23" s="1"/>
  <c r="BJ58" i="23" s="1"/>
  <c r="AO58" i="23"/>
  <c r="BE58" i="23" s="1"/>
  <c r="BI58" i="23" s="1"/>
  <c r="B90" i="20"/>
  <c r="G90" i="20" s="1"/>
  <c r="J90" i="20" s="1"/>
  <c r="R369" i="32" l="1"/>
  <c r="N371" i="32"/>
  <c r="A176" i="30"/>
  <c r="CA84" i="29"/>
  <c r="CC84" i="29" s="1"/>
  <c r="BA82" i="29"/>
  <c r="BQ82" i="29" s="1"/>
  <c r="BU82" i="29" s="1"/>
  <c r="AZ82" i="29"/>
  <c r="BP82" i="29" s="1"/>
  <c r="BT82" i="29" s="1"/>
  <c r="AC80" i="29"/>
  <c r="AD81" i="29"/>
  <c r="AF81" i="29" s="1"/>
  <c r="CC85" i="29"/>
  <c r="BV83" i="29"/>
  <c r="BW83" i="29"/>
  <c r="AE46" i="29"/>
  <c r="AC78" i="2"/>
  <c r="AD79" i="2"/>
  <c r="AE79" i="2" s="1"/>
  <c r="AF79" i="2" s="1"/>
  <c r="AZ85" i="2"/>
  <c r="BP85" i="2" s="1"/>
  <c r="BT85" i="2" s="1"/>
  <c r="BV85" i="2" s="1"/>
  <c r="BW86" i="2"/>
  <c r="CA86" i="2" s="1"/>
  <c r="CC86" i="2" s="1"/>
  <c r="AZ84" i="2"/>
  <c r="BP84" i="2" s="1"/>
  <c r="BT84" i="2" s="1"/>
  <c r="BP58" i="23"/>
  <c r="BR58" i="23" s="1"/>
  <c r="AP57" i="23"/>
  <c r="BF57" i="23" s="1"/>
  <c r="BJ57" i="23" s="1"/>
  <c r="AO57" i="23"/>
  <c r="BE57" i="23" s="1"/>
  <c r="BI57" i="23" s="1"/>
  <c r="B89" i="20"/>
  <c r="G89" i="20" s="1"/>
  <c r="J89" i="20" s="1"/>
  <c r="R371" i="32" l="1"/>
  <c r="N373" i="32"/>
  <c r="A177" i="30"/>
  <c r="CA83" i="29"/>
  <c r="CC83" i="29" s="1"/>
  <c r="BV82" i="29"/>
  <c r="BW82" i="29"/>
  <c r="BA81" i="29"/>
  <c r="BQ81" i="29" s="1"/>
  <c r="BU81" i="29" s="1"/>
  <c r="AZ81" i="29"/>
  <c r="BP81" i="29" s="1"/>
  <c r="BT81" i="29" s="1"/>
  <c r="AC79" i="29"/>
  <c r="AD80" i="29"/>
  <c r="AF80" i="29" s="1"/>
  <c r="AE45" i="29"/>
  <c r="AC77" i="2"/>
  <c r="AD78" i="2"/>
  <c r="AE78" i="2" s="1"/>
  <c r="AF78" i="2" s="1"/>
  <c r="AZ83" i="2"/>
  <c r="BP83" i="2" s="1"/>
  <c r="BT83" i="2" s="1"/>
  <c r="BW85" i="2"/>
  <c r="CA85" i="2" s="1"/>
  <c r="CC85" i="2" s="1"/>
  <c r="BA84" i="2"/>
  <c r="BQ84" i="2" s="1"/>
  <c r="BU84" i="2" s="1"/>
  <c r="BW84" i="2" s="1"/>
  <c r="BP57" i="23"/>
  <c r="BR57" i="23" s="1"/>
  <c r="AO56" i="23"/>
  <c r="BE56" i="23" s="1"/>
  <c r="BI56" i="23" s="1"/>
  <c r="AP56" i="23"/>
  <c r="BF56" i="23" s="1"/>
  <c r="BJ56" i="23" s="1"/>
  <c r="B88" i="20"/>
  <c r="G88" i="20" s="1"/>
  <c r="J88" i="20" s="1"/>
  <c r="R373" i="32" l="1"/>
  <c r="N375" i="32"/>
  <c r="A178" i="30"/>
  <c r="CA82" i="29"/>
  <c r="CC82" i="29" s="1"/>
  <c r="BA80" i="29"/>
  <c r="BQ80" i="29" s="1"/>
  <c r="BU80" i="29" s="1"/>
  <c r="AZ80" i="29"/>
  <c r="BP80" i="29" s="1"/>
  <c r="BT80" i="29" s="1"/>
  <c r="AC78" i="29"/>
  <c r="AD79" i="29"/>
  <c r="AF79" i="29" s="1"/>
  <c r="BV81" i="29"/>
  <c r="BW81" i="29"/>
  <c r="AE44" i="29"/>
  <c r="AC76" i="2"/>
  <c r="AD77" i="2"/>
  <c r="AE77" i="2" s="1"/>
  <c r="AF77" i="2" s="1"/>
  <c r="AZ82" i="2"/>
  <c r="BP82" i="2" s="1"/>
  <c r="BT82" i="2" s="1"/>
  <c r="BA83" i="2"/>
  <c r="BQ83" i="2" s="1"/>
  <c r="BU83" i="2" s="1"/>
  <c r="BV83" i="2" s="1"/>
  <c r="BV84" i="2"/>
  <c r="CA84" i="2" s="1"/>
  <c r="CC84" i="2" s="1"/>
  <c r="BP56" i="23"/>
  <c r="BR56" i="23" s="1"/>
  <c r="AP55" i="23"/>
  <c r="BF55" i="23" s="1"/>
  <c r="BJ55" i="23" s="1"/>
  <c r="AO55" i="23"/>
  <c r="BE55" i="23" s="1"/>
  <c r="BI55" i="23" s="1"/>
  <c r="B87" i="20"/>
  <c r="G87" i="20" s="1"/>
  <c r="J87" i="20" s="1"/>
  <c r="R375" i="32" l="1"/>
  <c r="N377" i="32"/>
  <c r="A179" i="30"/>
  <c r="CA81" i="29"/>
  <c r="CC81" i="29" s="1"/>
  <c r="BA79" i="29"/>
  <c r="BQ79" i="29" s="1"/>
  <c r="BU79" i="29" s="1"/>
  <c r="AZ79" i="29"/>
  <c r="BP79" i="29" s="1"/>
  <c r="BT79" i="29" s="1"/>
  <c r="AC77" i="29"/>
  <c r="AD78" i="29"/>
  <c r="AF78" i="29" s="1"/>
  <c r="BW80" i="29"/>
  <c r="BV80" i="29"/>
  <c r="AE43" i="29"/>
  <c r="AC75" i="2"/>
  <c r="AD76" i="2"/>
  <c r="AE76" i="2" s="1"/>
  <c r="AF76" i="2" s="1"/>
  <c r="BW83" i="2"/>
  <c r="CA83" i="2" s="1"/>
  <c r="CC83" i="2" s="1"/>
  <c r="AZ81" i="2"/>
  <c r="BP81" i="2" s="1"/>
  <c r="BT81" i="2" s="1"/>
  <c r="BA82" i="2"/>
  <c r="BQ82" i="2" s="1"/>
  <c r="BU82" i="2" s="1"/>
  <c r="BV82" i="2" s="1"/>
  <c r="BP55" i="23"/>
  <c r="BR55" i="23" s="1"/>
  <c r="AO54" i="23"/>
  <c r="BE54" i="23" s="1"/>
  <c r="BI54" i="23" s="1"/>
  <c r="AP54" i="23"/>
  <c r="BF54" i="23" s="1"/>
  <c r="BJ54" i="23" s="1"/>
  <c r="B86" i="20"/>
  <c r="G86" i="20" s="1"/>
  <c r="J86" i="20" s="1"/>
  <c r="R377" i="32" l="1"/>
  <c r="N379" i="32"/>
  <c r="A180" i="30"/>
  <c r="AZ78" i="29"/>
  <c r="BP78" i="29" s="1"/>
  <c r="BT78" i="29" s="1"/>
  <c r="BA78" i="29"/>
  <c r="BQ78" i="29" s="1"/>
  <c r="BU78" i="29" s="1"/>
  <c r="CA80" i="29"/>
  <c r="AC76" i="29"/>
  <c r="AD77" i="29"/>
  <c r="AF77" i="29" s="1"/>
  <c r="BW79" i="29"/>
  <c r="BV79" i="29"/>
  <c r="AE42" i="29"/>
  <c r="AC74" i="2"/>
  <c r="AD75" i="2"/>
  <c r="AE75" i="2" s="1"/>
  <c r="AF75" i="2" s="1"/>
  <c r="BW82" i="2"/>
  <c r="CA82" i="2" s="1"/>
  <c r="CC82" i="2" s="1"/>
  <c r="BA80" i="2"/>
  <c r="BQ80" i="2" s="1"/>
  <c r="BU80" i="2" s="1"/>
  <c r="BA81" i="2"/>
  <c r="BQ81" i="2" s="1"/>
  <c r="BU81" i="2" s="1"/>
  <c r="BV81" i="2" s="1"/>
  <c r="BP54" i="23"/>
  <c r="BR54" i="23" s="1"/>
  <c r="AO53" i="23"/>
  <c r="BE53" i="23" s="1"/>
  <c r="BI53" i="23" s="1"/>
  <c r="AP53" i="23"/>
  <c r="BF53" i="23" s="1"/>
  <c r="BJ53" i="23" s="1"/>
  <c r="B85" i="20"/>
  <c r="G85" i="20" s="1"/>
  <c r="J85" i="20" s="1"/>
  <c r="R379" i="32" l="1"/>
  <c r="N381" i="32"/>
  <c r="A181" i="30"/>
  <c r="AC75" i="29"/>
  <c r="AD76" i="29"/>
  <c r="AF76" i="29" s="1"/>
  <c r="CC80" i="29"/>
  <c r="CA79" i="29"/>
  <c r="AZ77" i="29"/>
  <c r="BP77" i="29" s="1"/>
  <c r="BT77" i="29" s="1"/>
  <c r="BA77" i="29"/>
  <c r="BQ77" i="29" s="1"/>
  <c r="BU77" i="29" s="1"/>
  <c r="BV78" i="29"/>
  <c r="BW78" i="29"/>
  <c r="AE41" i="29"/>
  <c r="AC73" i="2"/>
  <c r="AD74" i="2"/>
  <c r="AE74" i="2" s="1"/>
  <c r="AF74" i="2" s="1"/>
  <c r="BW81" i="2"/>
  <c r="CA81" i="2" s="1"/>
  <c r="CC81" i="2" s="1"/>
  <c r="BA79" i="2"/>
  <c r="BQ79" i="2" s="1"/>
  <c r="BU79" i="2" s="1"/>
  <c r="AZ80" i="2"/>
  <c r="BP80" i="2" s="1"/>
  <c r="BT80" i="2" s="1"/>
  <c r="BW80" i="2" s="1"/>
  <c r="BP53" i="23"/>
  <c r="BR53" i="23" s="1"/>
  <c r="AP52" i="23"/>
  <c r="BF52" i="23" s="1"/>
  <c r="BJ52" i="23" s="1"/>
  <c r="AO52" i="23"/>
  <c r="BE52" i="23" s="1"/>
  <c r="BI52" i="23" s="1"/>
  <c r="B84" i="20"/>
  <c r="G84" i="20" s="1"/>
  <c r="J84" i="20" s="1"/>
  <c r="R381" i="32" l="1"/>
  <c r="N383" i="32"/>
  <c r="A182" i="30"/>
  <c r="CA78" i="29"/>
  <c r="CC78" i="29" s="1"/>
  <c r="BW77" i="29"/>
  <c r="BV77" i="29"/>
  <c r="AZ76" i="29"/>
  <c r="BP76" i="29" s="1"/>
  <c r="BT76" i="29" s="1"/>
  <c r="BA76" i="29"/>
  <c r="BQ76" i="29" s="1"/>
  <c r="BU76" i="29" s="1"/>
  <c r="CC79" i="29"/>
  <c r="AC74" i="29"/>
  <c r="AD75" i="29"/>
  <c r="AF75" i="29" s="1"/>
  <c r="AE40" i="29"/>
  <c r="AC72" i="2"/>
  <c r="AD73" i="2"/>
  <c r="AE73" i="2" s="1"/>
  <c r="AF73" i="2" s="1"/>
  <c r="BV80" i="2"/>
  <c r="CA80" i="2" s="1"/>
  <c r="CC80" i="2" s="1"/>
  <c r="AZ79" i="2"/>
  <c r="BP79" i="2" s="1"/>
  <c r="BT79" i="2" s="1"/>
  <c r="BW79" i="2" s="1"/>
  <c r="AZ78" i="2"/>
  <c r="BP78" i="2" s="1"/>
  <c r="BT78" i="2" s="1"/>
  <c r="BP52" i="23"/>
  <c r="BR52" i="23" s="1"/>
  <c r="AP51" i="23"/>
  <c r="BF51" i="23" s="1"/>
  <c r="BJ51" i="23" s="1"/>
  <c r="AO51" i="23"/>
  <c r="BE51" i="23" s="1"/>
  <c r="BI51" i="23" s="1"/>
  <c r="B83" i="20"/>
  <c r="R383" i="32" l="1"/>
  <c r="N385" i="32"/>
  <c r="A183" i="30"/>
  <c r="CA77" i="29"/>
  <c r="CC77" i="29" s="1"/>
  <c r="BW76" i="29"/>
  <c r="BV76" i="29"/>
  <c r="BA75" i="29"/>
  <c r="BQ75" i="29" s="1"/>
  <c r="BU75" i="29" s="1"/>
  <c r="AZ75" i="29"/>
  <c r="BP75" i="29" s="1"/>
  <c r="BT75" i="29" s="1"/>
  <c r="AD74" i="29"/>
  <c r="AF74" i="29" s="1"/>
  <c r="AC73" i="29"/>
  <c r="AE39" i="29"/>
  <c r="AC71" i="2"/>
  <c r="AD72" i="2"/>
  <c r="AE72" i="2" s="1"/>
  <c r="AF72" i="2" s="1"/>
  <c r="BV79" i="2"/>
  <c r="CA79" i="2" s="1"/>
  <c r="CC79" i="2" s="1"/>
  <c r="BA78" i="2"/>
  <c r="BQ78" i="2" s="1"/>
  <c r="BU78" i="2" s="1"/>
  <c r="BV78" i="2" s="1"/>
  <c r="BA77" i="2"/>
  <c r="BQ77" i="2" s="1"/>
  <c r="BU77" i="2" s="1"/>
  <c r="BP51" i="23"/>
  <c r="BR51" i="23" s="1"/>
  <c r="AO50" i="23"/>
  <c r="BE50" i="23" s="1"/>
  <c r="BI50" i="23" s="1"/>
  <c r="AP50" i="23"/>
  <c r="BF50" i="23" s="1"/>
  <c r="BJ50" i="23" s="1"/>
  <c r="B82" i="20"/>
  <c r="R385" i="32" l="1"/>
  <c r="N387" i="32"/>
  <c r="A184" i="30"/>
  <c r="CA76" i="29"/>
  <c r="CC76" i="29" s="1"/>
  <c r="BW75" i="29"/>
  <c r="BV75" i="29"/>
  <c r="AC72" i="29"/>
  <c r="AD73" i="29"/>
  <c r="AF73" i="29" s="1"/>
  <c r="AZ74" i="29"/>
  <c r="BP74" i="29" s="1"/>
  <c r="BT74" i="29" s="1"/>
  <c r="BA74" i="29"/>
  <c r="BQ74" i="29" s="1"/>
  <c r="BU74" i="29" s="1"/>
  <c r="AE38" i="29"/>
  <c r="AC70" i="2"/>
  <c r="AD71" i="2"/>
  <c r="AE71" i="2" s="1"/>
  <c r="AF71" i="2" s="1"/>
  <c r="BW78" i="2"/>
  <c r="CA78" i="2" s="1"/>
  <c r="CC78" i="2" s="1"/>
  <c r="AZ77" i="2"/>
  <c r="BP77" i="2" s="1"/>
  <c r="BT77" i="2" s="1"/>
  <c r="BW77" i="2" s="1"/>
  <c r="AZ76" i="2"/>
  <c r="BP76" i="2" s="1"/>
  <c r="BT76" i="2" s="1"/>
  <c r="BP50" i="23"/>
  <c r="BR50" i="23" s="1"/>
  <c r="AP49" i="23"/>
  <c r="BF49" i="23" s="1"/>
  <c r="BJ49" i="23" s="1"/>
  <c r="AO49" i="23"/>
  <c r="BE49" i="23" s="1"/>
  <c r="BI49" i="23" s="1"/>
  <c r="B81" i="20"/>
  <c r="B80" i="20"/>
  <c r="R387" i="32" l="1"/>
  <c r="N389" i="32"/>
  <c r="A185" i="30"/>
  <c r="CA75" i="29"/>
  <c r="CC75" i="29" s="1"/>
  <c r="AZ73" i="29"/>
  <c r="BP73" i="29" s="1"/>
  <c r="BT73" i="29" s="1"/>
  <c r="BA73" i="29"/>
  <c r="BQ73" i="29" s="1"/>
  <c r="BU73" i="29" s="1"/>
  <c r="AC71" i="29"/>
  <c r="AD72" i="29"/>
  <c r="AF72" i="29" s="1"/>
  <c r="BW74" i="29"/>
  <c r="BV74" i="29"/>
  <c r="AE37" i="29"/>
  <c r="AC69" i="2"/>
  <c r="AD70" i="2"/>
  <c r="AE70" i="2" s="1"/>
  <c r="AF70" i="2" s="1"/>
  <c r="BV77" i="2"/>
  <c r="CA77" i="2" s="1"/>
  <c r="CC77" i="2" s="1"/>
  <c r="BA75" i="2"/>
  <c r="BQ75" i="2" s="1"/>
  <c r="BU75" i="2" s="1"/>
  <c r="BA76" i="2"/>
  <c r="BQ76" i="2" s="1"/>
  <c r="BU76" i="2" s="1"/>
  <c r="BV76" i="2" s="1"/>
  <c r="BP49" i="23"/>
  <c r="BR49" i="23" s="1"/>
  <c r="AO48" i="23"/>
  <c r="BE48" i="23" s="1"/>
  <c r="BI48" i="23" s="1"/>
  <c r="AP48" i="23"/>
  <c r="BF48" i="23" s="1"/>
  <c r="BJ48" i="23" s="1"/>
  <c r="R389" i="32" l="1"/>
  <c r="N391" i="32"/>
  <c r="A186" i="30"/>
  <c r="CA74" i="29"/>
  <c r="CC74" i="29" s="1"/>
  <c r="AZ72" i="29"/>
  <c r="BP72" i="29" s="1"/>
  <c r="BT72" i="29" s="1"/>
  <c r="BA72" i="29"/>
  <c r="BQ72" i="29" s="1"/>
  <c r="BU72" i="29" s="1"/>
  <c r="AC70" i="29"/>
  <c r="AD71" i="29"/>
  <c r="AF71" i="29" s="1"/>
  <c r="BV73" i="29"/>
  <c r="BW73" i="29"/>
  <c r="AE36" i="29"/>
  <c r="AC68" i="2"/>
  <c r="AD69" i="2"/>
  <c r="AE69" i="2" s="1"/>
  <c r="AF69" i="2" s="1"/>
  <c r="BA74" i="2"/>
  <c r="BQ74" i="2" s="1"/>
  <c r="BU74" i="2" s="1"/>
  <c r="AZ75" i="2"/>
  <c r="BP75" i="2" s="1"/>
  <c r="BT75" i="2" s="1"/>
  <c r="BW75" i="2" s="1"/>
  <c r="BW76" i="2"/>
  <c r="CA76" i="2" s="1"/>
  <c r="CC76" i="2" s="1"/>
  <c r="BP48" i="23"/>
  <c r="BR48" i="23" s="1"/>
  <c r="AP47" i="23"/>
  <c r="BF47" i="23" s="1"/>
  <c r="BJ47" i="23" s="1"/>
  <c r="AO47" i="23"/>
  <c r="BE47" i="23" s="1"/>
  <c r="BI47" i="23" s="1"/>
  <c r="B79" i="20"/>
  <c r="R391" i="32" l="1"/>
  <c r="N393" i="32"/>
  <c r="A187" i="30"/>
  <c r="CA73" i="29"/>
  <c r="CC73" i="29" s="1"/>
  <c r="AZ71" i="29"/>
  <c r="BP71" i="29" s="1"/>
  <c r="BT71" i="29" s="1"/>
  <c r="BA71" i="29"/>
  <c r="BQ71" i="29" s="1"/>
  <c r="BU71" i="29" s="1"/>
  <c r="AC69" i="29"/>
  <c r="AD70" i="29"/>
  <c r="AF70" i="29" s="1"/>
  <c r="BV72" i="29"/>
  <c r="BW72" i="29"/>
  <c r="AE35" i="29"/>
  <c r="AC67" i="2"/>
  <c r="AD68" i="2"/>
  <c r="AE68" i="2" s="1"/>
  <c r="AF68" i="2" s="1"/>
  <c r="BV75" i="2"/>
  <c r="CA75" i="2" s="1"/>
  <c r="CC75" i="2" s="1"/>
  <c r="BA73" i="2"/>
  <c r="BQ73" i="2" s="1"/>
  <c r="BU73" i="2" s="1"/>
  <c r="AZ74" i="2"/>
  <c r="BP74" i="2" s="1"/>
  <c r="BT74" i="2" s="1"/>
  <c r="BW74" i="2" s="1"/>
  <c r="BP47" i="23"/>
  <c r="BR47" i="23" s="1"/>
  <c r="AP46" i="23"/>
  <c r="BF46" i="23" s="1"/>
  <c r="BJ46" i="23" s="1"/>
  <c r="AO46" i="23"/>
  <c r="BE46" i="23" s="1"/>
  <c r="BI46" i="23" s="1"/>
  <c r="B78" i="20"/>
  <c r="R393" i="32" l="1"/>
  <c r="N395" i="32"/>
  <c r="A188" i="30"/>
  <c r="CA72" i="29"/>
  <c r="CC72" i="29" s="1"/>
  <c r="BW71" i="29"/>
  <c r="BV71" i="29"/>
  <c r="BA70" i="29"/>
  <c r="BQ70" i="29" s="1"/>
  <c r="BU70" i="29" s="1"/>
  <c r="AZ70" i="29"/>
  <c r="BP70" i="29" s="1"/>
  <c r="BT70" i="29" s="1"/>
  <c r="AC68" i="29"/>
  <c r="AD69" i="29"/>
  <c r="AF69" i="29" s="1"/>
  <c r="AE34" i="29"/>
  <c r="AC66" i="2"/>
  <c r="AD67" i="2"/>
  <c r="AE67" i="2" s="1"/>
  <c r="AF67" i="2" s="1"/>
  <c r="BV74" i="2"/>
  <c r="CA74" i="2" s="1"/>
  <c r="CC74" i="2" s="1"/>
  <c r="AZ73" i="2"/>
  <c r="BP73" i="2" s="1"/>
  <c r="BT73" i="2" s="1"/>
  <c r="BV73" i="2" s="1"/>
  <c r="BA72" i="2"/>
  <c r="BQ72" i="2" s="1"/>
  <c r="BU72" i="2" s="1"/>
  <c r="BP46" i="23"/>
  <c r="BR46" i="23" s="1"/>
  <c r="AP45" i="23"/>
  <c r="BF45" i="23" s="1"/>
  <c r="BJ45" i="23" s="1"/>
  <c r="AO45" i="23"/>
  <c r="BE45" i="23" s="1"/>
  <c r="BI45" i="23" s="1"/>
  <c r="B77" i="20"/>
  <c r="R395" i="32" l="1"/>
  <c r="N397" i="32"/>
  <c r="A189" i="30"/>
  <c r="CA71" i="29"/>
  <c r="CC71" i="29" s="1"/>
  <c r="BA69" i="29"/>
  <c r="BQ69" i="29" s="1"/>
  <c r="BU69" i="29" s="1"/>
  <c r="AZ69" i="29"/>
  <c r="BP69" i="29" s="1"/>
  <c r="BT69" i="29" s="1"/>
  <c r="AC67" i="29"/>
  <c r="AD68" i="29"/>
  <c r="AF68" i="29" s="1"/>
  <c r="BW70" i="29"/>
  <c r="BV70" i="29"/>
  <c r="AE33" i="29"/>
  <c r="AC65" i="2"/>
  <c r="AD66" i="2"/>
  <c r="AE66" i="2" s="1"/>
  <c r="AF66" i="2" s="1"/>
  <c r="BW73" i="2"/>
  <c r="CA73" i="2" s="1"/>
  <c r="CC73" i="2" s="1"/>
  <c r="AZ71" i="2"/>
  <c r="BP71" i="2" s="1"/>
  <c r="BT71" i="2" s="1"/>
  <c r="AZ72" i="2"/>
  <c r="BP72" i="2" s="1"/>
  <c r="BT72" i="2" s="1"/>
  <c r="BV72" i="2" s="1"/>
  <c r="BP45" i="23"/>
  <c r="BR45" i="23" s="1"/>
  <c r="AO44" i="23"/>
  <c r="BE44" i="23" s="1"/>
  <c r="BI44" i="23" s="1"/>
  <c r="AP44" i="23"/>
  <c r="BF44" i="23" s="1"/>
  <c r="BJ44" i="23" s="1"/>
  <c r="B76" i="20"/>
  <c r="R397" i="32" l="1"/>
  <c r="N399" i="32"/>
  <c r="A190" i="30"/>
  <c r="CA70" i="29"/>
  <c r="CC70" i="29" s="1"/>
  <c r="BA68" i="29"/>
  <c r="BQ68" i="29" s="1"/>
  <c r="BU68" i="29" s="1"/>
  <c r="AZ68" i="29"/>
  <c r="BP68" i="29" s="1"/>
  <c r="BT68" i="29" s="1"/>
  <c r="AC66" i="29"/>
  <c r="AD67" i="29"/>
  <c r="AF67" i="29" s="1"/>
  <c r="BV69" i="29"/>
  <c r="BW69" i="29"/>
  <c r="AE32" i="29"/>
  <c r="AC64" i="2"/>
  <c r="AD65" i="2"/>
  <c r="AE65" i="2" s="1"/>
  <c r="AF65" i="2" s="1"/>
  <c r="BA70" i="2"/>
  <c r="BQ70" i="2" s="1"/>
  <c r="BU70" i="2" s="1"/>
  <c r="BA71" i="2"/>
  <c r="BQ71" i="2" s="1"/>
  <c r="BU71" i="2" s="1"/>
  <c r="BW71" i="2" s="1"/>
  <c r="BW72" i="2"/>
  <c r="CA72" i="2" s="1"/>
  <c r="CC72" i="2" s="1"/>
  <c r="BP44" i="23"/>
  <c r="BR44" i="23" s="1"/>
  <c r="AO43" i="23"/>
  <c r="BE43" i="23" s="1"/>
  <c r="BI43" i="23" s="1"/>
  <c r="AP43" i="23"/>
  <c r="BF43" i="23" s="1"/>
  <c r="BJ43" i="23" s="1"/>
  <c r="B75" i="20"/>
  <c r="B74" i="20"/>
  <c r="R399" i="32" l="1"/>
  <c r="N401" i="32"/>
  <c r="A191" i="30"/>
  <c r="CA69" i="29"/>
  <c r="CC69" i="29" s="1"/>
  <c r="AZ67" i="29"/>
  <c r="BP67" i="29" s="1"/>
  <c r="BT67" i="29" s="1"/>
  <c r="BA67" i="29"/>
  <c r="BQ67" i="29" s="1"/>
  <c r="BU67" i="29" s="1"/>
  <c r="AC65" i="29"/>
  <c r="AD66" i="29"/>
  <c r="AF66" i="29" s="1"/>
  <c r="BV68" i="29"/>
  <c r="BW68" i="29"/>
  <c r="AE31" i="29"/>
  <c r="AC63" i="2"/>
  <c r="AD64" i="2"/>
  <c r="AE64" i="2" s="1"/>
  <c r="AF64" i="2" s="1"/>
  <c r="BV71" i="2"/>
  <c r="CA71" i="2" s="1"/>
  <c r="CC71" i="2" s="1"/>
  <c r="AZ70" i="2"/>
  <c r="BP70" i="2" s="1"/>
  <c r="BT70" i="2" s="1"/>
  <c r="BW70" i="2" s="1"/>
  <c r="AZ69" i="2"/>
  <c r="BP69" i="2" s="1"/>
  <c r="BP43" i="23"/>
  <c r="BR43" i="23" s="1"/>
  <c r="AO42" i="23"/>
  <c r="BE42" i="23" s="1"/>
  <c r="BI42" i="23" s="1"/>
  <c r="AP42" i="23"/>
  <c r="BF42" i="23" s="1"/>
  <c r="BJ42" i="23" s="1"/>
  <c r="R401" i="32" l="1"/>
  <c r="N403" i="32"/>
  <c r="A192" i="30"/>
  <c r="CA68" i="29"/>
  <c r="CC68" i="29" s="1"/>
  <c r="BA66" i="29"/>
  <c r="BQ66" i="29" s="1"/>
  <c r="BU66" i="29" s="1"/>
  <c r="AZ66" i="29"/>
  <c r="BP66" i="29" s="1"/>
  <c r="BT66" i="29" s="1"/>
  <c r="AC64" i="29"/>
  <c r="AD65" i="29"/>
  <c r="AF65" i="29" s="1"/>
  <c r="BW67" i="29"/>
  <c r="BV67" i="29"/>
  <c r="AE30" i="29"/>
  <c r="AC62" i="2"/>
  <c r="AD63" i="2"/>
  <c r="AE63" i="2" s="1"/>
  <c r="AF63" i="2" s="1"/>
  <c r="D70" i="19"/>
  <c r="C70" i="19" s="1"/>
  <c r="BA68" i="2"/>
  <c r="BQ68" i="2" s="1"/>
  <c r="BU68" i="2" s="1"/>
  <c r="BA69" i="2"/>
  <c r="BQ69" i="2" s="1"/>
  <c r="BU69" i="2" s="1"/>
  <c r="BP42" i="23"/>
  <c r="BR42" i="23" s="1"/>
  <c r="AO41" i="23"/>
  <c r="BE41" i="23" s="1"/>
  <c r="BI41" i="23" s="1"/>
  <c r="AP41" i="23"/>
  <c r="BF41" i="23" s="1"/>
  <c r="BJ41" i="23" s="1"/>
  <c r="D69" i="19"/>
  <c r="C69" i="19" s="1"/>
  <c r="BT69" i="2"/>
  <c r="BV70" i="2"/>
  <c r="CA70" i="2" s="1"/>
  <c r="B73" i="20"/>
  <c r="R403" i="32" l="1"/>
  <c r="N405" i="32"/>
  <c r="A193" i="30"/>
  <c r="CA67" i="29"/>
  <c r="CC67" i="29" s="1"/>
  <c r="BW66" i="29"/>
  <c r="BV66" i="29"/>
  <c r="AZ65" i="29"/>
  <c r="BP65" i="29" s="1"/>
  <c r="BT65" i="29" s="1"/>
  <c r="BA65" i="29"/>
  <c r="BQ65" i="29" s="1"/>
  <c r="BU65" i="29" s="1"/>
  <c r="AD64" i="29"/>
  <c r="AF64" i="29" s="1"/>
  <c r="AC63" i="29"/>
  <c r="AE29" i="29"/>
  <c r="AC61" i="2"/>
  <c r="AD62" i="2"/>
  <c r="AE62" i="2" s="1"/>
  <c r="AF62" i="2" s="1"/>
  <c r="BW69" i="2"/>
  <c r="AZ67" i="2"/>
  <c r="BP67" i="2" s="1"/>
  <c r="AZ68" i="2"/>
  <c r="BP68" i="2" s="1"/>
  <c r="BT68" i="2" s="1"/>
  <c r="BW68" i="2" s="1"/>
  <c r="BP41" i="23"/>
  <c r="BR41" i="23" s="1"/>
  <c r="AO40" i="23"/>
  <c r="BE40" i="23" s="1"/>
  <c r="BI40" i="23" s="1"/>
  <c r="AP40" i="23"/>
  <c r="BF40" i="23" s="1"/>
  <c r="BJ40" i="23" s="1"/>
  <c r="CC70" i="2"/>
  <c r="BV69" i="2"/>
  <c r="B72" i="20"/>
  <c r="R405" i="32" l="1"/>
  <c r="N407" i="32"/>
  <c r="A194" i="30"/>
  <c r="CA66" i="29"/>
  <c r="CC66" i="29" s="1"/>
  <c r="AD63" i="29"/>
  <c r="AF63" i="29" s="1"/>
  <c r="AC62" i="29"/>
  <c r="BA64" i="29"/>
  <c r="BQ64" i="29" s="1"/>
  <c r="BU64" i="29" s="1"/>
  <c r="AZ64" i="29"/>
  <c r="BP64" i="29" s="1"/>
  <c r="BT64" i="29" s="1"/>
  <c r="BV65" i="29"/>
  <c r="BW65" i="29"/>
  <c r="AE28" i="29"/>
  <c r="AC60" i="2"/>
  <c r="AD61" i="2"/>
  <c r="AE61" i="2" s="1"/>
  <c r="AF61" i="2" s="1"/>
  <c r="D68" i="19"/>
  <c r="C68" i="19" s="1"/>
  <c r="AZ66" i="2"/>
  <c r="BP66" i="2" s="1"/>
  <c r="CA69" i="2"/>
  <c r="CC69" i="2" s="1"/>
  <c r="BA67" i="2"/>
  <c r="BQ67" i="2" s="1"/>
  <c r="BU67" i="2" s="1"/>
  <c r="BP40" i="23"/>
  <c r="BR40" i="23" s="1"/>
  <c r="AO39" i="23"/>
  <c r="BE39" i="23" s="1"/>
  <c r="BI39" i="23" s="1"/>
  <c r="AP39" i="23"/>
  <c r="BF39" i="23" s="1"/>
  <c r="BJ39" i="23" s="1"/>
  <c r="BV68" i="2"/>
  <c r="CA68" i="2" s="1"/>
  <c r="D67" i="19"/>
  <c r="C67" i="19" s="1"/>
  <c r="BT67" i="2"/>
  <c r="B71" i="20"/>
  <c r="R407" i="32" l="1"/>
  <c r="N409" i="32"/>
  <c r="A195" i="30"/>
  <c r="CA65" i="29"/>
  <c r="BV64" i="29"/>
  <c r="BW64" i="29"/>
  <c r="AC61" i="29"/>
  <c r="AD62" i="29"/>
  <c r="AF62" i="29" s="1"/>
  <c r="AZ63" i="29"/>
  <c r="BP63" i="29" s="1"/>
  <c r="BT63" i="29" s="1"/>
  <c r="BA63" i="29"/>
  <c r="BQ63" i="29" s="1"/>
  <c r="BU63" i="29" s="1"/>
  <c r="AE27" i="29"/>
  <c r="AC59" i="2"/>
  <c r="AD60" i="2"/>
  <c r="AE60" i="2" s="1"/>
  <c r="AF60" i="2" s="1"/>
  <c r="BA65" i="2"/>
  <c r="BQ65" i="2" s="1"/>
  <c r="BU65" i="2" s="1"/>
  <c r="BA66" i="2"/>
  <c r="BQ66" i="2" s="1"/>
  <c r="BU66" i="2" s="1"/>
  <c r="BV67" i="2"/>
  <c r="BP39" i="23"/>
  <c r="BR39" i="23" s="1"/>
  <c r="AP38" i="23"/>
  <c r="BF38" i="23" s="1"/>
  <c r="BJ38" i="23" s="1"/>
  <c r="AO38" i="23"/>
  <c r="BE38" i="23" s="1"/>
  <c r="BI38" i="23" s="1"/>
  <c r="CC68" i="2"/>
  <c r="BW67" i="2"/>
  <c r="D66" i="19"/>
  <c r="C66" i="19" s="1"/>
  <c r="BT66" i="2"/>
  <c r="B70" i="20"/>
  <c r="R409" i="32" l="1"/>
  <c r="N411" i="32"/>
  <c r="A196" i="30"/>
  <c r="CA64" i="29"/>
  <c r="CC64" i="29" s="1"/>
  <c r="CC65" i="29"/>
  <c r="BV63" i="29"/>
  <c r="BW63" i="29"/>
  <c r="BA62" i="29"/>
  <c r="BQ62" i="29" s="1"/>
  <c r="BU62" i="29" s="1"/>
  <c r="AZ62" i="29"/>
  <c r="BP62" i="29" s="1"/>
  <c r="BT62" i="29" s="1"/>
  <c r="AC60" i="29"/>
  <c r="AD61" i="29"/>
  <c r="AF61" i="29" s="1"/>
  <c r="AE26" i="29"/>
  <c r="AC58" i="2"/>
  <c r="AD59" i="2"/>
  <c r="AE59" i="2" s="1"/>
  <c r="AF59" i="2" s="1"/>
  <c r="BA64" i="2"/>
  <c r="BQ64" i="2" s="1"/>
  <c r="BU64" i="2" s="1"/>
  <c r="AZ65" i="2"/>
  <c r="BP65" i="2" s="1"/>
  <c r="D65" i="19" s="1"/>
  <c r="C65" i="19" s="1"/>
  <c r="BW66" i="2"/>
  <c r="CA67" i="2"/>
  <c r="CC67" i="2" s="1"/>
  <c r="BP38" i="23"/>
  <c r="BR38" i="23" s="1"/>
  <c r="AP37" i="23"/>
  <c r="BF37" i="23" s="1"/>
  <c r="BJ37" i="23" s="1"/>
  <c r="AO37" i="23"/>
  <c r="BE37" i="23" s="1"/>
  <c r="BI37" i="23" s="1"/>
  <c r="BV66" i="2"/>
  <c r="B69" i="20"/>
  <c r="R411" i="32" l="1"/>
  <c r="N413" i="32"/>
  <c r="A197" i="30"/>
  <c r="CA63" i="29"/>
  <c r="CC63" i="29" s="1"/>
  <c r="BA61" i="29"/>
  <c r="BQ61" i="29" s="1"/>
  <c r="BU61" i="29" s="1"/>
  <c r="AZ61" i="29"/>
  <c r="BP61" i="29" s="1"/>
  <c r="BT61" i="29" s="1"/>
  <c r="BW62" i="29"/>
  <c r="BV62" i="29"/>
  <c r="AC59" i="29"/>
  <c r="AD60" i="29"/>
  <c r="AF60" i="29" s="1"/>
  <c r="AE25" i="29"/>
  <c r="AC57" i="2"/>
  <c r="AD58" i="2"/>
  <c r="AE58" i="2" s="1"/>
  <c r="AF58" i="2" s="1"/>
  <c r="BT65" i="2"/>
  <c r="BW65" i="2" s="1"/>
  <c r="AZ63" i="2"/>
  <c r="BP63" i="2" s="1"/>
  <c r="AZ64" i="2"/>
  <c r="BP64" i="2" s="1"/>
  <c r="D64" i="19" s="1"/>
  <c r="C64" i="19" s="1"/>
  <c r="CA66" i="2"/>
  <c r="CC66" i="2" s="1"/>
  <c r="BP37" i="23"/>
  <c r="BR37" i="23" s="1"/>
  <c r="AP36" i="23"/>
  <c r="BF36" i="23" s="1"/>
  <c r="BJ36" i="23" s="1"/>
  <c r="AO36" i="23"/>
  <c r="BE36" i="23" s="1"/>
  <c r="BI36" i="23" s="1"/>
  <c r="B68" i="20"/>
  <c r="R413" i="32" l="1"/>
  <c r="N415" i="32"/>
  <c r="A198" i="30"/>
  <c r="CA62" i="29"/>
  <c r="CC62" i="29" s="1"/>
  <c r="AZ60" i="29"/>
  <c r="BP60" i="29" s="1"/>
  <c r="BT60" i="29" s="1"/>
  <c r="BA60" i="29"/>
  <c r="BQ60" i="29" s="1"/>
  <c r="BU60" i="29" s="1"/>
  <c r="BW61" i="29"/>
  <c r="BV61" i="29"/>
  <c r="AD59" i="29"/>
  <c r="AF59" i="29" s="1"/>
  <c r="AC58" i="29"/>
  <c r="AE24" i="29"/>
  <c r="AC56" i="2"/>
  <c r="AD57" i="2"/>
  <c r="AE57" i="2" s="1"/>
  <c r="AF57" i="2" s="1"/>
  <c r="BV65" i="2"/>
  <c r="CA65" i="2" s="1"/>
  <c r="CC65" i="2" s="1"/>
  <c r="BT64" i="2"/>
  <c r="BW64" i="2" s="1"/>
  <c r="AZ62" i="2"/>
  <c r="BP62" i="2" s="1"/>
  <c r="BA63" i="2"/>
  <c r="BQ63" i="2" s="1"/>
  <c r="BU63" i="2" s="1"/>
  <c r="BP36" i="23"/>
  <c r="BR36" i="23" s="1"/>
  <c r="AO35" i="23"/>
  <c r="BE35" i="23" s="1"/>
  <c r="BI35" i="23" s="1"/>
  <c r="AP35" i="23"/>
  <c r="BF35" i="23" s="1"/>
  <c r="BJ35" i="23" s="1"/>
  <c r="D63" i="19"/>
  <c r="C63" i="19" s="1"/>
  <c r="BT63" i="2"/>
  <c r="B67" i="20"/>
  <c r="R415" i="32" l="1"/>
  <c r="N417" i="32"/>
  <c r="A199" i="30"/>
  <c r="CA61" i="29"/>
  <c r="CC61" i="29" s="1"/>
  <c r="AC57" i="29"/>
  <c r="AD58" i="29"/>
  <c r="AF58" i="29" s="1"/>
  <c r="BA59" i="29"/>
  <c r="BQ59" i="29" s="1"/>
  <c r="BU59" i="29" s="1"/>
  <c r="AZ59" i="29"/>
  <c r="BP59" i="29" s="1"/>
  <c r="BT59" i="29" s="1"/>
  <c r="BV60" i="29"/>
  <c r="BW60" i="29"/>
  <c r="AE23" i="29"/>
  <c r="AC55" i="2"/>
  <c r="AD56" i="2"/>
  <c r="AE56" i="2" s="1"/>
  <c r="AF56" i="2" s="1"/>
  <c r="AZ61" i="2"/>
  <c r="BP61" i="2" s="1"/>
  <c r="BV64" i="2"/>
  <c r="CA64" i="2" s="1"/>
  <c r="CC64" i="2" s="1"/>
  <c r="BA62" i="2"/>
  <c r="BQ62" i="2" s="1"/>
  <c r="BU62" i="2" s="1"/>
  <c r="BW63" i="2"/>
  <c r="BP35" i="23"/>
  <c r="BR35" i="23" s="1"/>
  <c r="AP34" i="23"/>
  <c r="BF34" i="23" s="1"/>
  <c r="BJ34" i="23" s="1"/>
  <c r="AO34" i="23"/>
  <c r="BE34" i="23" s="1"/>
  <c r="BI34" i="23" s="1"/>
  <c r="BV63" i="2"/>
  <c r="D62" i="19"/>
  <c r="C62" i="19" s="1"/>
  <c r="BT62" i="2"/>
  <c r="B66" i="20"/>
  <c r="R417" i="32" l="1"/>
  <c r="N419" i="32"/>
  <c r="A200" i="30"/>
  <c r="CA60" i="29"/>
  <c r="CC60" i="29" s="1"/>
  <c r="BV59" i="29"/>
  <c r="BW59" i="29"/>
  <c r="BA58" i="29"/>
  <c r="BQ58" i="29" s="1"/>
  <c r="BU58" i="29" s="1"/>
  <c r="AZ58" i="29"/>
  <c r="BP58" i="29" s="1"/>
  <c r="BT58" i="29" s="1"/>
  <c r="AC56" i="29"/>
  <c r="AD57" i="29"/>
  <c r="AF57" i="29" s="1"/>
  <c r="AE22" i="29"/>
  <c r="AC54" i="2"/>
  <c r="AD55" i="2"/>
  <c r="AE55" i="2" s="1"/>
  <c r="AF55" i="2" s="1"/>
  <c r="AZ60" i="2"/>
  <c r="BP60" i="2" s="1"/>
  <c r="BA61" i="2"/>
  <c r="BQ61" i="2" s="1"/>
  <c r="BU61" i="2" s="1"/>
  <c r="BW62" i="2"/>
  <c r="CA63" i="2"/>
  <c r="CC63" i="2" s="1"/>
  <c r="BP34" i="23"/>
  <c r="BR34" i="23" s="1"/>
  <c r="AO33" i="23"/>
  <c r="BE33" i="23" s="1"/>
  <c r="BI33" i="23" s="1"/>
  <c r="AP33" i="23"/>
  <c r="BF33" i="23" s="1"/>
  <c r="BJ33" i="23" s="1"/>
  <c r="BV62" i="2"/>
  <c r="D61" i="19"/>
  <c r="C61" i="19" s="1"/>
  <c r="BT61" i="2"/>
  <c r="B65" i="20"/>
  <c r="R419" i="32" l="1"/>
  <c r="N421" i="32"/>
  <c r="A201" i="30"/>
  <c r="CA59" i="29"/>
  <c r="CC59" i="29" s="1"/>
  <c r="BA57" i="29"/>
  <c r="BQ57" i="29" s="1"/>
  <c r="BU57" i="29" s="1"/>
  <c r="AZ57" i="29"/>
  <c r="BP57" i="29" s="1"/>
  <c r="BT57" i="29" s="1"/>
  <c r="AC55" i="29"/>
  <c r="AD56" i="29"/>
  <c r="AF56" i="29" s="1"/>
  <c r="BV58" i="29"/>
  <c r="BW58" i="29"/>
  <c r="AE21" i="29"/>
  <c r="AC53" i="2"/>
  <c r="AD54" i="2"/>
  <c r="AE54" i="2" s="1"/>
  <c r="AF54" i="2" s="1"/>
  <c r="BA59" i="2"/>
  <c r="BQ59" i="2" s="1"/>
  <c r="BU59" i="2" s="1"/>
  <c r="BA60" i="2"/>
  <c r="BQ60" i="2" s="1"/>
  <c r="BU60" i="2" s="1"/>
  <c r="BW61" i="2"/>
  <c r="CA62" i="2"/>
  <c r="CC62" i="2" s="1"/>
  <c r="B63" i="20" s="1"/>
  <c r="BP33" i="23"/>
  <c r="BR33" i="23" s="1"/>
  <c r="AP32" i="23"/>
  <c r="BF32" i="23" s="1"/>
  <c r="BJ32" i="23" s="1"/>
  <c r="AO32" i="23"/>
  <c r="BE32" i="23" s="1"/>
  <c r="BI32" i="23" s="1"/>
  <c r="B64" i="20"/>
  <c r="BV61" i="2"/>
  <c r="D60" i="19"/>
  <c r="C60" i="19" s="1"/>
  <c r="BT60" i="2"/>
  <c r="R421" i="32" l="1"/>
  <c r="N423" i="32"/>
  <c r="A202" i="30"/>
  <c r="CA58" i="29"/>
  <c r="CC58" i="29" s="1"/>
  <c r="AZ56" i="29"/>
  <c r="BP56" i="29" s="1"/>
  <c r="BT56" i="29" s="1"/>
  <c r="BA56" i="29"/>
  <c r="BQ56" i="29" s="1"/>
  <c r="BU56" i="29" s="1"/>
  <c r="AC54" i="29"/>
  <c r="AD55" i="29"/>
  <c r="AF55" i="29" s="1"/>
  <c r="BV57" i="29"/>
  <c r="BW57" i="29"/>
  <c r="AE20" i="29"/>
  <c r="AC52" i="2"/>
  <c r="AD53" i="2"/>
  <c r="AE53" i="2" s="1"/>
  <c r="AF53" i="2" s="1"/>
  <c r="CA61" i="2"/>
  <c r="CC61" i="2" s="1"/>
  <c r="AZ59" i="2"/>
  <c r="BP59" i="2" s="1"/>
  <c r="D59" i="19" s="1"/>
  <c r="C59" i="19" s="1"/>
  <c r="AZ58" i="2"/>
  <c r="BP58" i="2" s="1"/>
  <c r="BW60" i="2"/>
  <c r="BP32" i="23"/>
  <c r="BR32" i="23" s="1"/>
  <c r="AO31" i="23"/>
  <c r="BE31" i="23" s="1"/>
  <c r="BI31" i="23" s="1"/>
  <c r="AP31" i="23"/>
  <c r="BF31" i="23" s="1"/>
  <c r="BJ31" i="23" s="1"/>
  <c r="BV60" i="2"/>
  <c r="R423" i="32" l="1"/>
  <c r="N425" i="32"/>
  <c r="A203" i="30"/>
  <c r="CA57" i="29"/>
  <c r="CC57" i="29" s="1"/>
  <c r="AZ55" i="29"/>
  <c r="BP55" i="29" s="1"/>
  <c r="BT55" i="29" s="1"/>
  <c r="BA55" i="29"/>
  <c r="BQ55" i="29" s="1"/>
  <c r="BU55" i="29" s="1"/>
  <c r="AC53" i="29"/>
  <c r="AD54" i="29"/>
  <c r="AF54" i="29" s="1"/>
  <c r="BW56" i="29"/>
  <c r="BV56" i="29"/>
  <c r="AE19" i="29"/>
  <c r="AC51" i="2"/>
  <c r="AD52" i="2"/>
  <c r="AE52" i="2" s="1"/>
  <c r="AF52" i="2" s="1"/>
  <c r="AZ57" i="2"/>
  <c r="BP57" i="2" s="1"/>
  <c r="BA58" i="2"/>
  <c r="BQ58" i="2" s="1"/>
  <c r="BU58" i="2" s="1"/>
  <c r="BT59" i="2"/>
  <c r="BW59" i="2" s="1"/>
  <c r="CA60" i="2"/>
  <c r="CC60" i="2" s="1"/>
  <c r="BP31" i="23"/>
  <c r="BR31" i="23" s="1"/>
  <c r="AO30" i="23"/>
  <c r="BE30" i="23" s="1"/>
  <c r="BI30" i="23" s="1"/>
  <c r="AP30" i="23"/>
  <c r="BF30" i="23" s="1"/>
  <c r="BJ30" i="23" s="1"/>
  <c r="D58" i="19"/>
  <c r="C58" i="19" s="1"/>
  <c r="BT58" i="2"/>
  <c r="B62" i="20"/>
  <c r="R425" i="32" l="1"/>
  <c r="N427" i="32"/>
  <c r="A204" i="30"/>
  <c r="CA56" i="29"/>
  <c r="CC56" i="29" s="1"/>
  <c r="BW55" i="29"/>
  <c r="BV55" i="29"/>
  <c r="AZ54" i="29"/>
  <c r="BP54" i="29" s="1"/>
  <c r="BT54" i="29" s="1"/>
  <c r="BA54" i="29"/>
  <c r="BQ54" i="29" s="1"/>
  <c r="BU54" i="29" s="1"/>
  <c r="AD53" i="29"/>
  <c r="AF53" i="29" s="1"/>
  <c r="AC52" i="29"/>
  <c r="AE18" i="29"/>
  <c r="AC50" i="2"/>
  <c r="AD51" i="2"/>
  <c r="AE51" i="2" s="1"/>
  <c r="AF51" i="2" s="1"/>
  <c r="BA56" i="2"/>
  <c r="BQ56" i="2" s="1"/>
  <c r="BU56" i="2" s="1"/>
  <c r="BA57" i="2"/>
  <c r="BQ57" i="2" s="1"/>
  <c r="BU57" i="2" s="1"/>
  <c r="BV59" i="2"/>
  <c r="CA59" i="2" s="1"/>
  <c r="CC59" i="2" s="1"/>
  <c r="BW58" i="2"/>
  <c r="BP30" i="23"/>
  <c r="BR30" i="23" s="1"/>
  <c r="AP29" i="23"/>
  <c r="BF29" i="23" s="1"/>
  <c r="BJ29" i="23" s="1"/>
  <c r="AO29" i="23"/>
  <c r="BE29" i="23" s="1"/>
  <c r="BI29" i="23" s="1"/>
  <c r="BV58" i="2"/>
  <c r="D57" i="19"/>
  <c r="C57" i="19" s="1"/>
  <c r="BT57" i="2"/>
  <c r="B61" i="20"/>
  <c r="R427" i="32" l="1"/>
  <c r="N429" i="32"/>
  <c r="A205" i="30"/>
  <c r="CA55" i="29"/>
  <c r="CC55" i="29" s="1"/>
  <c r="AC51" i="29"/>
  <c r="AD52" i="29"/>
  <c r="AF52" i="29" s="1"/>
  <c r="AZ53" i="29"/>
  <c r="BP53" i="29" s="1"/>
  <c r="BT53" i="29" s="1"/>
  <c r="BA53" i="29"/>
  <c r="BQ53" i="29" s="1"/>
  <c r="BU53" i="29" s="1"/>
  <c r="BW54" i="29"/>
  <c r="BV54" i="29"/>
  <c r="AE17" i="29"/>
  <c r="AC49" i="2"/>
  <c r="AD50" i="2"/>
  <c r="AE50" i="2" s="1"/>
  <c r="AF50" i="2" s="1"/>
  <c r="AZ56" i="2"/>
  <c r="BP56" i="2" s="1"/>
  <c r="BT56" i="2" s="1"/>
  <c r="BW56" i="2" s="1"/>
  <c r="BA55" i="2"/>
  <c r="BQ55" i="2" s="1"/>
  <c r="BU55" i="2" s="1"/>
  <c r="BW57" i="2"/>
  <c r="CA58" i="2"/>
  <c r="CC58" i="2" s="1"/>
  <c r="BP29" i="23"/>
  <c r="BR29" i="23" s="1"/>
  <c r="AO28" i="23"/>
  <c r="BE28" i="23" s="1"/>
  <c r="BI28" i="23" s="1"/>
  <c r="AP28" i="23"/>
  <c r="BF28" i="23" s="1"/>
  <c r="BJ28" i="23" s="1"/>
  <c r="BV57" i="2"/>
  <c r="B60" i="20"/>
  <c r="R429" i="32" l="1"/>
  <c r="N431" i="32"/>
  <c r="A206" i="30"/>
  <c r="CA54" i="29"/>
  <c r="CC54" i="29" s="1"/>
  <c r="BW53" i="29"/>
  <c r="BV53" i="29"/>
  <c r="AZ52" i="29"/>
  <c r="BP52" i="29" s="1"/>
  <c r="BT52" i="29" s="1"/>
  <c r="BA52" i="29"/>
  <c r="BQ52" i="29" s="1"/>
  <c r="BU52" i="29" s="1"/>
  <c r="AC50" i="29"/>
  <c r="AD51" i="29"/>
  <c r="AF51" i="29" s="1"/>
  <c r="AE16" i="29"/>
  <c r="D56" i="19"/>
  <c r="C56" i="19" s="1"/>
  <c r="AC48" i="2"/>
  <c r="AD49" i="2"/>
  <c r="AE49" i="2" s="1"/>
  <c r="AF49" i="2" s="1"/>
  <c r="AZ55" i="2"/>
  <c r="BP55" i="2" s="1"/>
  <c r="BT55" i="2" s="1"/>
  <c r="BW55" i="2" s="1"/>
  <c r="CA57" i="2"/>
  <c r="CC57" i="2" s="1"/>
  <c r="AZ54" i="2"/>
  <c r="BP54" i="2" s="1"/>
  <c r="BA54" i="2"/>
  <c r="BQ54" i="2" s="1"/>
  <c r="BU54" i="2" s="1"/>
  <c r="BP28" i="23"/>
  <c r="BR28" i="23" s="1"/>
  <c r="AO27" i="23"/>
  <c r="BE27" i="23" s="1"/>
  <c r="BI27" i="23" s="1"/>
  <c r="AP27" i="23"/>
  <c r="BF27" i="23" s="1"/>
  <c r="BJ27" i="23" s="1"/>
  <c r="BV56" i="2"/>
  <c r="CA56" i="2" s="1"/>
  <c r="B59" i="20"/>
  <c r="R431" i="32" l="1"/>
  <c r="N433" i="32"/>
  <c r="A207" i="30"/>
  <c r="CA53" i="29"/>
  <c r="CC53" i="29" s="1"/>
  <c r="BA51" i="29"/>
  <c r="BQ51" i="29" s="1"/>
  <c r="BU51" i="29" s="1"/>
  <c r="AZ51" i="29"/>
  <c r="BP51" i="29" s="1"/>
  <c r="BT51" i="29" s="1"/>
  <c r="AD50" i="29"/>
  <c r="AF50" i="29" s="1"/>
  <c r="AC49" i="29"/>
  <c r="BW52" i="29"/>
  <c r="BV52" i="29"/>
  <c r="D55" i="19"/>
  <c r="C55" i="19" s="1"/>
  <c r="AE15" i="29"/>
  <c r="AC47" i="2"/>
  <c r="AD48" i="2"/>
  <c r="AE48" i="2" s="1"/>
  <c r="AF48" i="2" s="1"/>
  <c r="BA53" i="2"/>
  <c r="BQ53" i="2" s="1"/>
  <c r="BU53" i="2" s="1"/>
  <c r="AZ53" i="2"/>
  <c r="BP53" i="2" s="1"/>
  <c r="BP27" i="23"/>
  <c r="BR27" i="23" s="1"/>
  <c r="AO26" i="23"/>
  <c r="BE26" i="23" s="1"/>
  <c r="BI26" i="23" s="1"/>
  <c r="AP26" i="23"/>
  <c r="BF26" i="23" s="1"/>
  <c r="BJ26" i="23" s="1"/>
  <c r="CC56" i="2"/>
  <c r="BV55" i="2"/>
  <c r="CA55" i="2" s="1"/>
  <c r="D54" i="19"/>
  <c r="C54" i="19" s="1"/>
  <c r="BT54" i="2"/>
  <c r="BW54" i="2" s="1"/>
  <c r="B58" i="20"/>
  <c r="R433" i="32" l="1"/>
  <c r="N435" i="32"/>
  <c r="A208" i="30"/>
  <c r="CA52" i="29"/>
  <c r="CC52" i="29" s="1"/>
  <c r="AC48" i="29"/>
  <c r="AD49" i="29"/>
  <c r="AF49" i="29" s="1"/>
  <c r="AZ50" i="29"/>
  <c r="BP50" i="29" s="1"/>
  <c r="BT50" i="29" s="1"/>
  <c r="BA50" i="29"/>
  <c r="BQ50" i="29" s="1"/>
  <c r="BU50" i="29" s="1"/>
  <c r="BW51" i="29"/>
  <c r="BV51" i="29"/>
  <c r="AE14" i="29"/>
  <c r="AC46" i="2"/>
  <c r="AD47" i="2"/>
  <c r="AE47" i="2" s="1"/>
  <c r="AF47" i="2" s="1"/>
  <c r="AZ52" i="2"/>
  <c r="BP52" i="2" s="1"/>
  <c r="BA52" i="2"/>
  <c r="BQ52" i="2" s="1"/>
  <c r="BU52" i="2" s="1"/>
  <c r="BP26" i="23"/>
  <c r="BR26" i="23" s="1"/>
  <c r="AP25" i="23"/>
  <c r="BF25" i="23" s="1"/>
  <c r="BJ25" i="23" s="1"/>
  <c r="AO25" i="23"/>
  <c r="BE25" i="23" s="1"/>
  <c r="BI25" i="23" s="1"/>
  <c r="CC55" i="2"/>
  <c r="BV54" i="2"/>
  <c r="CA54" i="2" s="1"/>
  <c r="D53" i="19"/>
  <c r="C53" i="19" s="1"/>
  <c r="BT53" i="2"/>
  <c r="BW53" i="2" s="1"/>
  <c r="B57" i="20"/>
  <c r="R435" i="32" l="1"/>
  <c r="N437" i="32"/>
  <c r="A209" i="30"/>
  <c r="CA51" i="29"/>
  <c r="BA49" i="29"/>
  <c r="BQ49" i="29" s="1"/>
  <c r="BU49" i="29" s="1"/>
  <c r="AZ49" i="29"/>
  <c r="BP49" i="29" s="1"/>
  <c r="BT49" i="29" s="1"/>
  <c r="BW50" i="29"/>
  <c r="BV50" i="29"/>
  <c r="AC47" i="29"/>
  <c r="AD48" i="29"/>
  <c r="AF48" i="29" s="1"/>
  <c r="AE13" i="29"/>
  <c r="AC45" i="2"/>
  <c r="AD46" i="2"/>
  <c r="AE46" i="2" s="1"/>
  <c r="AF46" i="2" s="1"/>
  <c r="AZ51" i="2"/>
  <c r="BP51" i="2" s="1"/>
  <c r="BA51" i="2"/>
  <c r="BQ51" i="2" s="1"/>
  <c r="BU51" i="2" s="1"/>
  <c r="BP25" i="23"/>
  <c r="BR25" i="23" s="1"/>
  <c r="AO24" i="23"/>
  <c r="BE24" i="23" s="1"/>
  <c r="BI24" i="23" s="1"/>
  <c r="AP24" i="23"/>
  <c r="BF24" i="23" s="1"/>
  <c r="BJ24" i="23" s="1"/>
  <c r="CC54" i="2"/>
  <c r="BV53" i="2"/>
  <c r="CA53" i="2" s="1"/>
  <c r="D52" i="19"/>
  <c r="C52" i="19" s="1"/>
  <c r="BT52" i="2"/>
  <c r="BW52" i="2" s="1"/>
  <c r="B56" i="20"/>
  <c r="R437" i="32" l="1"/>
  <c r="N439" i="32"/>
  <c r="A210" i="30"/>
  <c r="CA50" i="29"/>
  <c r="CC50" i="29" s="1"/>
  <c r="CC51" i="29"/>
  <c r="BA48" i="29"/>
  <c r="BQ48" i="29" s="1"/>
  <c r="BU48" i="29" s="1"/>
  <c r="AZ48" i="29"/>
  <c r="BP48" i="29" s="1"/>
  <c r="BT48" i="29" s="1"/>
  <c r="BV49" i="29"/>
  <c r="BW49" i="29"/>
  <c r="AC46" i="29"/>
  <c r="AD47" i="29"/>
  <c r="AF47" i="29" s="1"/>
  <c r="AE12" i="29"/>
  <c r="AC44" i="2"/>
  <c r="AD45" i="2"/>
  <c r="AE45" i="2" s="1"/>
  <c r="AF45" i="2" s="1"/>
  <c r="AZ50" i="2"/>
  <c r="BP50" i="2" s="1"/>
  <c r="BA50" i="2"/>
  <c r="BQ50" i="2" s="1"/>
  <c r="BU50" i="2" s="1"/>
  <c r="BP24" i="23"/>
  <c r="BR24" i="23" s="1"/>
  <c r="AO23" i="23"/>
  <c r="BE23" i="23" s="1"/>
  <c r="BI23" i="23" s="1"/>
  <c r="AP23" i="23"/>
  <c r="BF23" i="23" s="1"/>
  <c r="BJ23" i="23" s="1"/>
  <c r="BV52" i="2"/>
  <c r="CA52" i="2" s="1"/>
  <c r="CC52" i="2" s="1"/>
  <c r="CC53" i="2"/>
  <c r="D51" i="19"/>
  <c r="C51" i="19" s="1"/>
  <c r="BT51" i="2"/>
  <c r="BW51" i="2" s="1"/>
  <c r="B55" i="20"/>
  <c r="R439" i="32" l="1"/>
  <c r="N441" i="32"/>
  <c r="A211" i="30"/>
  <c r="CA49" i="29"/>
  <c r="CC49" i="29" s="1"/>
  <c r="BA47" i="29"/>
  <c r="BQ47" i="29" s="1"/>
  <c r="BU47" i="29" s="1"/>
  <c r="AZ47" i="29"/>
  <c r="BP47" i="29" s="1"/>
  <c r="BT47" i="29" s="1"/>
  <c r="BV48" i="29"/>
  <c r="BW48" i="29"/>
  <c r="AD46" i="29"/>
  <c r="AF46" i="29" s="1"/>
  <c r="AC45" i="29"/>
  <c r="AE11" i="29"/>
  <c r="AC43" i="2"/>
  <c r="AD44" i="2"/>
  <c r="AE44" i="2" s="1"/>
  <c r="AF44" i="2" s="1"/>
  <c r="BA49" i="2"/>
  <c r="BQ49" i="2" s="1"/>
  <c r="BU49" i="2" s="1"/>
  <c r="AZ49" i="2"/>
  <c r="BP49" i="2" s="1"/>
  <c r="BP23" i="23"/>
  <c r="BR23" i="23" s="1"/>
  <c r="AP22" i="23"/>
  <c r="BF22" i="23" s="1"/>
  <c r="BJ22" i="23" s="1"/>
  <c r="AO22" i="23"/>
  <c r="BE22" i="23" s="1"/>
  <c r="BI22" i="23" s="1"/>
  <c r="BV51" i="2"/>
  <c r="CA51" i="2" s="1"/>
  <c r="D50" i="19"/>
  <c r="C50" i="19" s="1"/>
  <c r="BT50" i="2"/>
  <c r="BW50" i="2" s="1"/>
  <c r="B54" i="20"/>
  <c r="R441" i="32" l="1"/>
  <c r="N443" i="32"/>
  <c r="A212" i="30"/>
  <c r="CA48" i="29"/>
  <c r="CC48" i="29" s="1"/>
  <c r="AC44" i="29"/>
  <c r="AD45" i="29"/>
  <c r="AF45" i="29" s="1"/>
  <c r="BV47" i="29"/>
  <c r="BW47" i="29"/>
  <c r="AZ46" i="29"/>
  <c r="BP46" i="29" s="1"/>
  <c r="BT46" i="29" s="1"/>
  <c r="BA46" i="29"/>
  <c r="BQ46" i="29" s="1"/>
  <c r="BU46" i="29" s="1"/>
  <c r="AE10" i="29"/>
  <c r="AC42" i="2"/>
  <c r="AD43" i="2"/>
  <c r="AE43" i="2" s="1"/>
  <c r="AF43" i="2" s="1"/>
  <c r="BA48" i="2"/>
  <c r="BQ48" i="2" s="1"/>
  <c r="BU48" i="2" s="1"/>
  <c r="AZ48" i="2"/>
  <c r="BP48" i="2" s="1"/>
  <c r="BP22" i="23"/>
  <c r="BR22" i="23" s="1"/>
  <c r="AO21" i="23"/>
  <c r="BE21" i="23" s="1"/>
  <c r="BI21" i="23" s="1"/>
  <c r="AP21" i="23"/>
  <c r="BF21" i="23" s="1"/>
  <c r="BJ21" i="23" s="1"/>
  <c r="CC51" i="2"/>
  <c r="BV50" i="2"/>
  <c r="CA50" i="2" s="1"/>
  <c r="D49" i="19"/>
  <c r="C49" i="19" s="1"/>
  <c r="BT49" i="2"/>
  <c r="BW49" i="2" s="1"/>
  <c r="B53" i="20"/>
  <c r="R443" i="32" l="1"/>
  <c r="N445" i="32"/>
  <c r="A213" i="30"/>
  <c r="CA47" i="29"/>
  <c r="CC47" i="29" s="1"/>
  <c r="AZ45" i="29"/>
  <c r="BP45" i="29" s="1"/>
  <c r="BT45" i="29" s="1"/>
  <c r="BA45" i="29"/>
  <c r="BQ45" i="29" s="1"/>
  <c r="BU45" i="29" s="1"/>
  <c r="BW46" i="29"/>
  <c r="BV46" i="29"/>
  <c r="AD44" i="29"/>
  <c r="AF44" i="29" s="1"/>
  <c r="AC43" i="29"/>
  <c r="AE9" i="29"/>
  <c r="AC41" i="2"/>
  <c r="AD42" i="2"/>
  <c r="AE42" i="2" s="1"/>
  <c r="AF42" i="2" s="1"/>
  <c r="AZ47" i="2"/>
  <c r="BP47" i="2" s="1"/>
  <c r="BA47" i="2"/>
  <c r="BQ47" i="2" s="1"/>
  <c r="BU47" i="2" s="1"/>
  <c r="BP21" i="23"/>
  <c r="BR21" i="23" s="1"/>
  <c r="AO20" i="23"/>
  <c r="BE20" i="23" s="1"/>
  <c r="BI20" i="23" s="1"/>
  <c r="AP20" i="23"/>
  <c r="BF20" i="23" s="1"/>
  <c r="BJ20" i="23" s="1"/>
  <c r="BV49" i="2"/>
  <c r="CA49" i="2" s="1"/>
  <c r="CC49" i="2" s="1"/>
  <c r="CC50" i="2"/>
  <c r="D48" i="19"/>
  <c r="C48" i="19" s="1"/>
  <c r="BT48" i="2"/>
  <c r="BW48" i="2" s="1"/>
  <c r="B52" i="20"/>
  <c r="R445" i="32" l="1"/>
  <c r="N447" i="32"/>
  <c r="A214" i="30"/>
  <c r="CA46" i="29"/>
  <c r="CC46" i="29" s="1"/>
  <c r="AD43" i="29"/>
  <c r="AF43" i="29" s="1"/>
  <c r="AC42" i="29"/>
  <c r="AZ44" i="29"/>
  <c r="BP44" i="29" s="1"/>
  <c r="BT44" i="29" s="1"/>
  <c r="BA44" i="29"/>
  <c r="BQ44" i="29" s="1"/>
  <c r="BU44" i="29" s="1"/>
  <c r="BW45" i="29"/>
  <c r="BV45" i="29"/>
  <c r="AE8" i="29"/>
  <c r="AC40" i="2"/>
  <c r="AD41" i="2"/>
  <c r="AE41" i="2" s="1"/>
  <c r="AF41" i="2" s="1"/>
  <c r="BA46" i="2"/>
  <c r="BQ46" i="2" s="1"/>
  <c r="BU46" i="2" s="1"/>
  <c r="AZ46" i="2"/>
  <c r="BP20" i="23"/>
  <c r="BR20" i="23" s="1"/>
  <c r="AO19" i="23"/>
  <c r="BE19" i="23" s="1"/>
  <c r="BI19" i="23" s="1"/>
  <c r="AP19" i="23"/>
  <c r="BF19" i="23" s="1"/>
  <c r="BJ19" i="23" s="1"/>
  <c r="BV48" i="2"/>
  <c r="CA48" i="2" s="1"/>
  <c r="D47" i="19"/>
  <c r="C47" i="19" s="1"/>
  <c r="BT47" i="2"/>
  <c r="BW47" i="2" s="1"/>
  <c r="B51" i="20"/>
  <c r="BP46" i="2"/>
  <c r="R447" i="32" l="1"/>
  <c r="N449" i="32"/>
  <c r="A215" i="30"/>
  <c r="CA45" i="29"/>
  <c r="CC45" i="29" s="1"/>
  <c r="BW44" i="29"/>
  <c r="BV44" i="29"/>
  <c r="AD42" i="29"/>
  <c r="AF42" i="29" s="1"/>
  <c r="AC41" i="29"/>
  <c r="BA43" i="29"/>
  <c r="BQ43" i="29" s="1"/>
  <c r="BU43" i="29" s="1"/>
  <c r="AZ43" i="29"/>
  <c r="BP43" i="29" s="1"/>
  <c r="BT43" i="29" s="1"/>
  <c r="AE7" i="29"/>
  <c r="AC39" i="2"/>
  <c r="AD40" i="2"/>
  <c r="AE40" i="2" s="1"/>
  <c r="AF40" i="2" s="1"/>
  <c r="BA45" i="2"/>
  <c r="BQ45" i="2" s="1"/>
  <c r="BU45" i="2" s="1"/>
  <c r="AZ45" i="2"/>
  <c r="BP45" i="2" s="1"/>
  <c r="BP19" i="23"/>
  <c r="BR19" i="23" s="1"/>
  <c r="AO18" i="23"/>
  <c r="BE18" i="23" s="1"/>
  <c r="BI18" i="23" s="1"/>
  <c r="AP18" i="23"/>
  <c r="BF18" i="23" s="1"/>
  <c r="BJ18" i="23" s="1"/>
  <c r="CC48" i="2"/>
  <c r="BV47" i="2"/>
  <c r="CA47" i="2" s="1"/>
  <c r="D46" i="19"/>
  <c r="C46" i="19" s="1"/>
  <c r="BT46" i="2"/>
  <c r="BW46" i="2" s="1"/>
  <c r="B50" i="20"/>
  <c r="R449" i="32" l="1"/>
  <c r="N451" i="32"/>
  <c r="A216" i="30"/>
  <c r="CA44" i="29"/>
  <c r="CC44" i="29" s="1"/>
  <c r="BW43" i="29"/>
  <c r="BV43" i="29"/>
  <c r="AC40" i="29"/>
  <c r="AD41" i="29"/>
  <c r="AF41" i="29" s="1"/>
  <c r="AZ42" i="29"/>
  <c r="BP42" i="29" s="1"/>
  <c r="BT42" i="29" s="1"/>
  <c r="BA42" i="29"/>
  <c r="BQ42" i="29" s="1"/>
  <c r="BU42" i="29" s="1"/>
  <c r="AE6" i="29"/>
  <c r="AC38" i="2"/>
  <c r="AD39" i="2"/>
  <c r="AE39" i="2" s="1"/>
  <c r="AF39" i="2" s="1"/>
  <c r="AZ44" i="2"/>
  <c r="BP44" i="2" s="1"/>
  <c r="BA44" i="2"/>
  <c r="BQ44" i="2" s="1"/>
  <c r="BU44" i="2" s="1"/>
  <c r="BP18" i="23"/>
  <c r="BR18" i="23" s="1"/>
  <c r="AO17" i="23"/>
  <c r="BE17" i="23" s="1"/>
  <c r="BI17" i="23" s="1"/>
  <c r="AP17" i="23"/>
  <c r="BF17" i="23" s="1"/>
  <c r="BJ17" i="23" s="1"/>
  <c r="CC47" i="2"/>
  <c r="BV46" i="2"/>
  <c r="CA46" i="2" s="1"/>
  <c r="D45" i="19"/>
  <c r="C45" i="19" s="1"/>
  <c r="BT45" i="2"/>
  <c r="BW45" i="2" s="1"/>
  <c r="B49" i="20"/>
  <c r="R451" i="32" l="1"/>
  <c r="N453" i="32"/>
  <c r="A217" i="30"/>
  <c r="CA43" i="29"/>
  <c r="CC43" i="29" s="1"/>
  <c r="AZ41" i="29"/>
  <c r="BP41" i="29" s="1"/>
  <c r="BT41" i="29" s="1"/>
  <c r="BA41" i="29"/>
  <c r="BQ41" i="29" s="1"/>
  <c r="BU41" i="29" s="1"/>
  <c r="AC39" i="29"/>
  <c r="AD40" i="29"/>
  <c r="AF40" i="29" s="1"/>
  <c r="BW42" i="29"/>
  <c r="BV42" i="29"/>
  <c r="AE5" i="29"/>
  <c r="AC37" i="2"/>
  <c r="AD38" i="2"/>
  <c r="AE38" i="2" s="1"/>
  <c r="AF38" i="2" s="1"/>
  <c r="AZ43" i="2"/>
  <c r="BP43" i="2" s="1"/>
  <c r="BA43" i="2"/>
  <c r="BQ43" i="2" s="1"/>
  <c r="BU43" i="2" s="1"/>
  <c r="BP17" i="23"/>
  <c r="BR17" i="23" s="1"/>
  <c r="AP16" i="23"/>
  <c r="BF16" i="23" s="1"/>
  <c r="BJ16" i="23" s="1"/>
  <c r="AO16" i="23"/>
  <c r="BE16" i="23" s="1"/>
  <c r="BI16" i="23" s="1"/>
  <c r="CC46" i="2"/>
  <c r="BV45" i="2"/>
  <c r="CA45" i="2" s="1"/>
  <c r="D44" i="19"/>
  <c r="C44" i="19" s="1"/>
  <c r="BT44" i="2"/>
  <c r="BW44" i="2" s="1"/>
  <c r="B48" i="20"/>
  <c r="R453" i="32" l="1"/>
  <c r="N455" i="32"/>
  <c r="A218" i="30"/>
  <c r="CA42" i="29"/>
  <c r="CC42" i="29" s="1"/>
  <c r="BA40" i="29"/>
  <c r="BQ40" i="29" s="1"/>
  <c r="BU40" i="29" s="1"/>
  <c r="AZ40" i="29"/>
  <c r="BP40" i="29" s="1"/>
  <c r="BT40" i="29" s="1"/>
  <c r="AC38" i="29"/>
  <c r="AD39" i="29"/>
  <c r="AF39" i="29" s="1"/>
  <c r="BW41" i="29"/>
  <c r="BV41" i="29"/>
  <c r="AE4" i="29"/>
  <c r="AC36" i="2"/>
  <c r="AD37" i="2"/>
  <c r="AE37" i="2" s="1"/>
  <c r="AF37" i="2" s="1"/>
  <c r="BA42" i="2"/>
  <c r="BQ42" i="2" s="1"/>
  <c r="BU42" i="2" s="1"/>
  <c r="AZ42" i="2"/>
  <c r="BP42" i="2" s="1"/>
  <c r="BP16" i="23"/>
  <c r="BR16" i="23" s="1"/>
  <c r="AP15" i="23"/>
  <c r="BF15" i="23" s="1"/>
  <c r="BJ15" i="23" s="1"/>
  <c r="AO15" i="23"/>
  <c r="BE15" i="23" s="1"/>
  <c r="BI15" i="23" s="1"/>
  <c r="CC45" i="2"/>
  <c r="BV44" i="2"/>
  <c r="CA44" i="2" s="1"/>
  <c r="D43" i="19"/>
  <c r="C43" i="19" s="1"/>
  <c r="BT43" i="2"/>
  <c r="BW43" i="2" s="1"/>
  <c r="B47" i="20"/>
  <c r="R455" i="32" l="1"/>
  <c r="N457" i="32"/>
  <c r="A219" i="30"/>
  <c r="AZ39" i="29"/>
  <c r="BP39" i="29" s="1"/>
  <c r="BT39" i="29" s="1"/>
  <c r="BA39" i="29"/>
  <c r="BQ39" i="29" s="1"/>
  <c r="BU39" i="29" s="1"/>
  <c r="CA41" i="29"/>
  <c r="AC37" i="29"/>
  <c r="AD38" i="29"/>
  <c r="AF38" i="29" s="1"/>
  <c r="BV40" i="29"/>
  <c r="BW40" i="29"/>
  <c r="AE3" i="29"/>
  <c r="AF3" i="29" s="1"/>
  <c r="AC35" i="2"/>
  <c r="AD36" i="2"/>
  <c r="AE36" i="2" s="1"/>
  <c r="AF36" i="2" s="1"/>
  <c r="AZ41" i="2"/>
  <c r="BP41" i="2" s="1"/>
  <c r="BA41" i="2"/>
  <c r="BQ41" i="2" s="1"/>
  <c r="BU41" i="2" s="1"/>
  <c r="BP15" i="23"/>
  <c r="BR15" i="23" s="1"/>
  <c r="AP14" i="23"/>
  <c r="BF14" i="23" s="1"/>
  <c r="BJ14" i="23" s="1"/>
  <c r="AO14" i="23"/>
  <c r="BE14" i="23" s="1"/>
  <c r="BI14" i="23" s="1"/>
  <c r="CC44" i="2"/>
  <c r="BV43" i="2"/>
  <c r="CA43" i="2" s="1"/>
  <c r="D42" i="19"/>
  <c r="C42" i="19" s="1"/>
  <c r="BT42" i="2"/>
  <c r="BW42" i="2" s="1"/>
  <c r="B46" i="20"/>
  <c r="R457" i="32" l="1"/>
  <c r="N459" i="32"/>
  <c r="A220" i="30"/>
  <c r="CA40" i="29"/>
  <c r="CC40" i="29" s="1"/>
  <c r="AC36" i="29"/>
  <c r="AD37" i="29"/>
  <c r="AF37" i="29" s="1"/>
  <c r="CC41" i="29"/>
  <c r="AZ38" i="29"/>
  <c r="BP38" i="29" s="1"/>
  <c r="BT38" i="29" s="1"/>
  <c r="BA38" i="29"/>
  <c r="BQ38" i="29" s="1"/>
  <c r="BU38" i="29" s="1"/>
  <c r="BV39" i="29"/>
  <c r="BW39" i="29"/>
  <c r="AE2" i="29"/>
  <c r="AF2" i="29" s="1"/>
  <c r="AC34" i="2"/>
  <c r="AD35" i="2"/>
  <c r="AE35" i="2" s="1"/>
  <c r="AF35" i="2" s="1"/>
  <c r="BA40" i="2"/>
  <c r="BQ40" i="2" s="1"/>
  <c r="BU40" i="2" s="1"/>
  <c r="AZ40" i="2"/>
  <c r="BP40" i="2" s="1"/>
  <c r="BP14" i="23"/>
  <c r="BR14" i="23" s="1"/>
  <c r="AP13" i="23"/>
  <c r="BF13" i="23" s="1"/>
  <c r="BJ13" i="23" s="1"/>
  <c r="AO13" i="23"/>
  <c r="BE13" i="23" s="1"/>
  <c r="BI13" i="23" s="1"/>
  <c r="CC43" i="2"/>
  <c r="BV42" i="2"/>
  <c r="CA42" i="2" s="1"/>
  <c r="D41" i="19"/>
  <c r="C41" i="19" s="1"/>
  <c r="BT41" i="2"/>
  <c r="BW41" i="2" s="1"/>
  <c r="B45" i="20"/>
  <c r="R459" i="32" l="1"/>
  <c r="N461" i="32"/>
  <c r="A221" i="30"/>
  <c r="CA39" i="29"/>
  <c r="CC39" i="29" s="1"/>
  <c r="BW38" i="29"/>
  <c r="BV38" i="29"/>
  <c r="AZ37" i="29"/>
  <c r="BP37" i="29" s="1"/>
  <c r="BT37" i="29" s="1"/>
  <c r="BA37" i="29"/>
  <c r="BQ37" i="29" s="1"/>
  <c r="BU37" i="29" s="1"/>
  <c r="AC35" i="29"/>
  <c r="AD36" i="29"/>
  <c r="AF36" i="29" s="1"/>
  <c r="BA2" i="29"/>
  <c r="BQ2" i="29" s="1"/>
  <c r="BU2" i="29" s="1"/>
  <c r="AZ2" i="29"/>
  <c r="BA3" i="29"/>
  <c r="BQ3" i="29" s="1"/>
  <c r="BU3" i="29" s="1"/>
  <c r="AZ3" i="29"/>
  <c r="BP3" i="29" s="1"/>
  <c r="BT3" i="29" s="1"/>
  <c r="AC33" i="2"/>
  <c r="AD34" i="2"/>
  <c r="AE34" i="2" s="1"/>
  <c r="AF34" i="2" s="1"/>
  <c r="AZ39" i="2"/>
  <c r="BP39" i="2" s="1"/>
  <c r="BA39" i="2"/>
  <c r="BQ39" i="2" s="1"/>
  <c r="BU39" i="2" s="1"/>
  <c r="BP13" i="23"/>
  <c r="BR13" i="23" s="1"/>
  <c r="AP12" i="23"/>
  <c r="BF12" i="23" s="1"/>
  <c r="BJ12" i="23" s="1"/>
  <c r="AO12" i="23"/>
  <c r="BE12" i="23" s="1"/>
  <c r="BI12" i="23" s="1"/>
  <c r="CC42" i="2"/>
  <c r="BV41" i="2"/>
  <c r="CA41" i="2" s="1"/>
  <c r="D40" i="19"/>
  <c r="C40" i="19" s="1"/>
  <c r="BT40" i="2"/>
  <c r="BW40" i="2" s="1"/>
  <c r="B44" i="20"/>
  <c r="R461" i="32" l="1"/>
  <c r="N463" i="32"/>
  <c r="A222" i="30"/>
  <c r="AZ36" i="29"/>
  <c r="BP36" i="29" s="1"/>
  <c r="BT36" i="29" s="1"/>
  <c r="BA36" i="29"/>
  <c r="BQ36" i="29" s="1"/>
  <c r="BU36" i="29" s="1"/>
  <c r="AD35" i="29"/>
  <c r="AF35" i="29" s="1"/>
  <c r="AC34" i="29"/>
  <c r="BW37" i="29"/>
  <c r="BV37" i="29"/>
  <c r="CA38" i="29"/>
  <c r="BV3" i="29"/>
  <c r="BW3" i="29"/>
  <c r="BP2" i="29"/>
  <c r="BT2" i="29" s="1"/>
  <c r="N2" i="29"/>
  <c r="AC32" i="2"/>
  <c r="AD33" i="2"/>
  <c r="AE33" i="2" s="1"/>
  <c r="AF33" i="2" s="1"/>
  <c r="BA38" i="2"/>
  <c r="BQ38" i="2" s="1"/>
  <c r="BU38" i="2" s="1"/>
  <c r="AZ38" i="2"/>
  <c r="BP38" i="2" s="1"/>
  <c r="BP12" i="23"/>
  <c r="BR12" i="23" s="1"/>
  <c r="AP11" i="23"/>
  <c r="BF11" i="23" s="1"/>
  <c r="BJ11" i="23" s="1"/>
  <c r="AO11" i="23"/>
  <c r="BE11" i="23" s="1"/>
  <c r="BI11" i="23" s="1"/>
  <c r="CC41" i="2"/>
  <c r="B43" i="20"/>
  <c r="BV40" i="2"/>
  <c r="CA40" i="2" s="1"/>
  <c r="D39" i="19"/>
  <c r="C39" i="19" s="1"/>
  <c r="BT39" i="2"/>
  <c r="BW39" i="2" s="1"/>
  <c r="R463" i="32" l="1"/>
  <c r="N465" i="32"/>
  <c r="A223" i="30"/>
  <c r="CA37" i="29"/>
  <c r="CC37" i="29" s="1"/>
  <c r="AC33" i="29"/>
  <c r="AD34" i="29"/>
  <c r="AF34" i="29" s="1"/>
  <c r="CC38" i="29"/>
  <c r="BA35" i="29"/>
  <c r="BQ35" i="29" s="1"/>
  <c r="BU35" i="29" s="1"/>
  <c r="AZ35" i="29"/>
  <c r="BP35" i="29" s="1"/>
  <c r="BT35" i="29" s="1"/>
  <c r="BV36" i="29"/>
  <c r="BW36" i="29"/>
  <c r="BY2" i="29"/>
  <c r="BV2" i="29"/>
  <c r="BW2" i="29"/>
  <c r="M2" i="29" s="1"/>
  <c r="AC31" i="2"/>
  <c r="AD32" i="2"/>
  <c r="AE32" i="2" s="1"/>
  <c r="AF32" i="2" s="1"/>
  <c r="BA37" i="2"/>
  <c r="BQ37" i="2" s="1"/>
  <c r="BU37" i="2" s="1"/>
  <c r="AZ37" i="2"/>
  <c r="BP37" i="2" s="1"/>
  <c r="BP11" i="23"/>
  <c r="BR11" i="23" s="1"/>
  <c r="AO10" i="23"/>
  <c r="BE10" i="23" s="1"/>
  <c r="BI10" i="23" s="1"/>
  <c r="AP10" i="23"/>
  <c r="BF10" i="23" s="1"/>
  <c r="BJ10" i="23" s="1"/>
  <c r="CC40" i="2"/>
  <c r="BV39" i="2"/>
  <c r="CA39" i="2" s="1"/>
  <c r="D38" i="19"/>
  <c r="C38" i="19" s="1"/>
  <c r="BT38" i="2"/>
  <c r="BW38" i="2" s="1"/>
  <c r="B42" i="20"/>
  <c r="R465" i="32" l="1"/>
  <c r="N467" i="32"/>
  <c r="A224" i="30"/>
  <c r="CA36" i="29"/>
  <c r="CC36" i="29" s="1"/>
  <c r="BW35" i="29"/>
  <c r="BV35" i="29"/>
  <c r="AZ34" i="29"/>
  <c r="BP34" i="29" s="1"/>
  <c r="BT34" i="29" s="1"/>
  <c r="BA34" i="29"/>
  <c r="BQ34" i="29" s="1"/>
  <c r="BU34" i="29" s="1"/>
  <c r="AC32" i="29"/>
  <c r="AD33" i="29"/>
  <c r="AF33" i="29" s="1"/>
  <c r="BZ6" i="29"/>
  <c r="BZ2" i="29"/>
  <c r="CA2" i="29" s="1"/>
  <c r="BZ3" i="29"/>
  <c r="CA3" i="29" s="1"/>
  <c r="BZ4" i="29"/>
  <c r="BZ5" i="29"/>
  <c r="AC30" i="2"/>
  <c r="AD31" i="2"/>
  <c r="AE31" i="2" s="1"/>
  <c r="AF31" i="2" s="1"/>
  <c r="AZ36" i="2"/>
  <c r="BP36" i="2" s="1"/>
  <c r="BA36" i="2"/>
  <c r="BQ36" i="2" s="1"/>
  <c r="BU36" i="2" s="1"/>
  <c r="BP10" i="23"/>
  <c r="BR10" i="23" s="1"/>
  <c r="AP9" i="23"/>
  <c r="BF9" i="23" s="1"/>
  <c r="BJ9" i="23" s="1"/>
  <c r="AO9" i="23"/>
  <c r="BE9" i="23" s="1"/>
  <c r="BI9" i="23" s="1"/>
  <c r="CC39" i="2"/>
  <c r="BV38" i="2"/>
  <c r="CA38" i="2" s="1"/>
  <c r="D37" i="19"/>
  <c r="C37" i="19" s="1"/>
  <c r="BT37" i="2"/>
  <c r="BW37" i="2" s="1"/>
  <c r="B41" i="20"/>
  <c r="R467" i="32" l="1"/>
  <c r="N469" i="32"/>
  <c r="A225" i="30"/>
  <c r="CA35" i="29"/>
  <c r="CC35" i="29" s="1"/>
  <c r="AZ33" i="29"/>
  <c r="BP33" i="29" s="1"/>
  <c r="BT33" i="29" s="1"/>
  <c r="BA33" i="29"/>
  <c r="BQ33" i="29" s="1"/>
  <c r="BU33" i="29" s="1"/>
  <c r="AC31" i="29"/>
  <c r="AD32" i="29"/>
  <c r="AF32" i="29" s="1"/>
  <c r="BV34" i="29"/>
  <c r="BW34" i="29"/>
  <c r="CC2" i="29"/>
  <c r="CC3" i="29"/>
  <c r="AC29" i="2"/>
  <c r="AD30" i="2"/>
  <c r="AE30" i="2" s="1"/>
  <c r="AF30" i="2" s="1"/>
  <c r="AZ35" i="2"/>
  <c r="BP35" i="2" s="1"/>
  <c r="BA35" i="2"/>
  <c r="BQ35" i="2" s="1"/>
  <c r="BU35" i="2" s="1"/>
  <c r="BP9" i="23"/>
  <c r="BR9" i="23" s="1"/>
  <c r="AP8" i="23"/>
  <c r="BF8" i="23" s="1"/>
  <c r="BJ8" i="23" s="1"/>
  <c r="AO8" i="23"/>
  <c r="BE8" i="23" s="1"/>
  <c r="BI8" i="23" s="1"/>
  <c r="CC38" i="2"/>
  <c r="BV37" i="2"/>
  <c r="CA37" i="2" s="1"/>
  <c r="D36" i="19"/>
  <c r="C36" i="19" s="1"/>
  <c r="BT36" i="2"/>
  <c r="BW36" i="2" s="1"/>
  <c r="B40" i="20"/>
  <c r="R469" i="32" l="1"/>
  <c r="N471" i="32"/>
  <c r="A226" i="30"/>
  <c r="CA34" i="29"/>
  <c r="CC34" i="29" s="1"/>
  <c r="AC30" i="29"/>
  <c r="AD31" i="29"/>
  <c r="AF31" i="29" s="1"/>
  <c r="BW33" i="29"/>
  <c r="BV33" i="29"/>
  <c r="BA32" i="29"/>
  <c r="BQ32" i="29" s="1"/>
  <c r="BU32" i="29" s="1"/>
  <c r="AZ32" i="29"/>
  <c r="BP32" i="29" s="1"/>
  <c r="BT32" i="29" s="1"/>
  <c r="CJ2" i="29"/>
  <c r="CK2" i="29" s="1"/>
  <c r="CD2" i="29"/>
  <c r="CD3" i="29" s="1"/>
  <c r="CH2" i="29"/>
  <c r="CI2" i="29" s="1"/>
  <c r="CE2" i="29"/>
  <c r="CF2" i="29" s="1"/>
  <c r="CJ3" i="29"/>
  <c r="AC28" i="2"/>
  <c r="AD29" i="2"/>
  <c r="AE29" i="2" s="1"/>
  <c r="AF29" i="2" s="1"/>
  <c r="AZ34" i="2"/>
  <c r="BP34" i="2" s="1"/>
  <c r="BA34" i="2"/>
  <c r="BQ34" i="2" s="1"/>
  <c r="BU34" i="2" s="1"/>
  <c r="BP8" i="23"/>
  <c r="BR8" i="23" s="1"/>
  <c r="AO7" i="23"/>
  <c r="BE7" i="23" s="1"/>
  <c r="BI7" i="23" s="1"/>
  <c r="AP7" i="23"/>
  <c r="BF7" i="23" s="1"/>
  <c r="BJ7" i="23" s="1"/>
  <c r="CC37" i="2"/>
  <c r="BV36" i="2"/>
  <c r="CA36" i="2" s="1"/>
  <c r="D35" i="19"/>
  <c r="C35" i="19" s="1"/>
  <c r="BT35" i="2"/>
  <c r="BW35" i="2" s="1"/>
  <c r="B39" i="20"/>
  <c r="R471" i="32" l="1"/>
  <c r="N473" i="32"/>
  <c r="A227" i="30"/>
  <c r="BV32" i="29"/>
  <c r="BW32" i="29"/>
  <c r="AZ31" i="29"/>
  <c r="BP31" i="29" s="1"/>
  <c r="BT31" i="29" s="1"/>
  <c r="BA31" i="29"/>
  <c r="BQ31" i="29" s="1"/>
  <c r="BU31" i="29" s="1"/>
  <c r="CA33" i="29"/>
  <c r="AC29" i="29"/>
  <c r="AD30" i="29"/>
  <c r="AF30" i="29" s="1"/>
  <c r="CH3" i="29"/>
  <c r="CI3" i="29" s="1"/>
  <c r="CE3" i="29"/>
  <c r="CK3" i="29"/>
  <c r="AC27" i="2"/>
  <c r="AD28" i="2"/>
  <c r="AE28" i="2" s="1"/>
  <c r="AF28" i="2" s="1"/>
  <c r="BA33" i="2"/>
  <c r="BQ33" i="2" s="1"/>
  <c r="BU33" i="2" s="1"/>
  <c r="AZ33" i="2"/>
  <c r="BP33" i="2" s="1"/>
  <c r="BP7" i="23"/>
  <c r="BR7" i="23" s="1"/>
  <c r="AP6" i="23"/>
  <c r="BF6" i="23" s="1"/>
  <c r="BJ6" i="23" s="1"/>
  <c r="AO6" i="23"/>
  <c r="BE6" i="23" s="1"/>
  <c r="BI6" i="23" s="1"/>
  <c r="CC36" i="2"/>
  <c r="BV35" i="2"/>
  <c r="CA35" i="2" s="1"/>
  <c r="D34" i="19"/>
  <c r="C34" i="19" s="1"/>
  <c r="BT34" i="2"/>
  <c r="BW34" i="2" s="1"/>
  <c r="B38" i="20"/>
  <c r="R473" i="32" l="1"/>
  <c r="N475" i="32"/>
  <c r="A228" i="30"/>
  <c r="CA32" i="29"/>
  <c r="CC32" i="29" s="1"/>
  <c r="AZ30" i="29"/>
  <c r="BP30" i="29" s="1"/>
  <c r="BT30" i="29" s="1"/>
  <c r="BA30" i="29"/>
  <c r="BQ30" i="29" s="1"/>
  <c r="BU30" i="29" s="1"/>
  <c r="BV31" i="29"/>
  <c r="BW31" i="29"/>
  <c r="AC28" i="29"/>
  <c r="AD29" i="29"/>
  <c r="AF29" i="29" s="1"/>
  <c r="CC33" i="29"/>
  <c r="CF3" i="29"/>
  <c r="AC26" i="2"/>
  <c r="AD27" i="2"/>
  <c r="AE27" i="2" s="1"/>
  <c r="AF27" i="2" s="1"/>
  <c r="AZ31" i="2"/>
  <c r="BP6" i="23"/>
  <c r="BR6" i="23" s="1"/>
  <c r="AO5" i="23"/>
  <c r="BE5" i="23" s="1"/>
  <c r="BI5" i="23" s="1"/>
  <c r="AP5" i="23"/>
  <c r="BF5" i="23" s="1"/>
  <c r="BJ5" i="23" s="1"/>
  <c r="CC35" i="2"/>
  <c r="BV34" i="2"/>
  <c r="CA34" i="2" s="1"/>
  <c r="D33" i="19"/>
  <c r="C33" i="19" s="1"/>
  <c r="BT33" i="2"/>
  <c r="BW33" i="2" s="1"/>
  <c r="B37" i="20"/>
  <c r="R475" i="32" l="1"/>
  <c r="N477" i="32"/>
  <c r="A229" i="30"/>
  <c r="CA31" i="29"/>
  <c r="CC31" i="29" s="1"/>
  <c r="AZ29" i="29"/>
  <c r="BP29" i="29" s="1"/>
  <c r="BT29" i="29" s="1"/>
  <c r="BA29" i="29"/>
  <c r="BQ29" i="29" s="1"/>
  <c r="BU29" i="29" s="1"/>
  <c r="AC27" i="29"/>
  <c r="AD28" i="29"/>
  <c r="AF28" i="29" s="1"/>
  <c r="BW30" i="29"/>
  <c r="BV30" i="29"/>
  <c r="AC25" i="2"/>
  <c r="AD26" i="2"/>
  <c r="AE26" i="2" s="1"/>
  <c r="AF26" i="2" s="1"/>
  <c r="BA31" i="2"/>
  <c r="BQ31" i="2" s="1"/>
  <c r="BU31" i="2" s="1"/>
  <c r="BA32" i="2"/>
  <c r="BQ32" i="2" s="1"/>
  <c r="BU32" i="2" s="1"/>
  <c r="AZ32" i="2"/>
  <c r="BP32" i="2" s="1"/>
  <c r="D32" i="19" s="1"/>
  <c r="C32" i="19" s="1"/>
  <c r="BP5" i="23"/>
  <c r="BR5" i="23" s="1"/>
  <c r="AO4" i="23"/>
  <c r="BE4" i="23" s="1"/>
  <c r="BI4" i="23" s="1"/>
  <c r="AP4" i="23"/>
  <c r="BF4" i="23" s="1"/>
  <c r="BJ4" i="23" s="1"/>
  <c r="CC34" i="2"/>
  <c r="B36" i="20"/>
  <c r="BV33" i="2"/>
  <c r="CA33" i="2" s="1"/>
  <c r="BP31" i="2"/>
  <c r="R477" i="32" l="1"/>
  <c r="N479" i="32"/>
  <c r="A230" i="30"/>
  <c r="CA30" i="29"/>
  <c r="CC30" i="29" s="1"/>
  <c r="BW29" i="29"/>
  <c r="BV29" i="29"/>
  <c r="AZ28" i="29"/>
  <c r="BP28" i="29" s="1"/>
  <c r="BT28" i="29" s="1"/>
  <c r="BA28" i="29"/>
  <c r="BQ28" i="29" s="1"/>
  <c r="BU28" i="29" s="1"/>
  <c r="AC26" i="29"/>
  <c r="AD27" i="29"/>
  <c r="AF27" i="29" s="1"/>
  <c r="AC24" i="2"/>
  <c r="AD25" i="2"/>
  <c r="AE25" i="2" s="1"/>
  <c r="AF25" i="2" s="1"/>
  <c r="BT32" i="2"/>
  <c r="BW32" i="2" s="1"/>
  <c r="BA30" i="2"/>
  <c r="BQ30" i="2" s="1"/>
  <c r="BU30" i="2" s="1"/>
  <c r="AZ30" i="2"/>
  <c r="BP30" i="2" s="1"/>
  <c r="BP4" i="23"/>
  <c r="BR4" i="23" s="1"/>
  <c r="AO3" i="23"/>
  <c r="BE3" i="23" s="1"/>
  <c r="BI3" i="23" s="1"/>
  <c r="AP3" i="23"/>
  <c r="BF3" i="23" s="1"/>
  <c r="BJ3" i="23" s="1"/>
  <c r="CC33" i="2"/>
  <c r="D31" i="19"/>
  <c r="C31" i="19" s="1"/>
  <c r="BT31" i="2"/>
  <c r="BW31" i="2" s="1"/>
  <c r="B35" i="20"/>
  <c r="R479" i="32" l="1"/>
  <c r="N481" i="32"/>
  <c r="A231" i="30"/>
  <c r="CA29" i="29"/>
  <c r="CC29" i="29" s="1"/>
  <c r="AZ27" i="29"/>
  <c r="BP27" i="29" s="1"/>
  <c r="BT27" i="29" s="1"/>
  <c r="BA27" i="29"/>
  <c r="BQ27" i="29" s="1"/>
  <c r="BU27" i="29" s="1"/>
  <c r="AC25" i="29"/>
  <c r="AD26" i="29"/>
  <c r="AF26" i="29" s="1"/>
  <c r="BV28" i="29"/>
  <c r="BW28" i="29"/>
  <c r="AC23" i="2"/>
  <c r="AD24" i="2"/>
  <c r="AE24" i="2" s="1"/>
  <c r="AF24" i="2" s="1"/>
  <c r="BV32" i="2"/>
  <c r="CA32" i="2" s="1"/>
  <c r="CC32" i="2" s="1"/>
  <c r="BA29" i="2"/>
  <c r="BQ29" i="2" s="1"/>
  <c r="BU29" i="2" s="1"/>
  <c r="AZ29" i="2"/>
  <c r="BP29" i="2" s="1"/>
  <c r="BP3" i="23"/>
  <c r="BR3" i="23" s="1"/>
  <c r="AP2" i="23"/>
  <c r="BF2" i="23" s="1"/>
  <c r="BJ2" i="23" s="1"/>
  <c r="AO2" i="23"/>
  <c r="BE2" i="23" s="1"/>
  <c r="BI2" i="23" s="1"/>
  <c r="BV31" i="2"/>
  <c r="CA31" i="2" s="1"/>
  <c r="D30" i="19"/>
  <c r="C30" i="19" s="1"/>
  <c r="BT30" i="2"/>
  <c r="BW30" i="2" s="1"/>
  <c r="B34" i="20"/>
  <c r="R481" i="32" l="1"/>
  <c r="N483" i="32"/>
  <c r="A232" i="30"/>
  <c r="CA28" i="29"/>
  <c r="CC28" i="29" s="1"/>
  <c r="BA26" i="29"/>
  <c r="BQ26" i="29" s="1"/>
  <c r="BU26" i="29" s="1"/>
  <c r="AZ26" i="29"/>
  <c r="BP26" i="29" s="1"/>
  <c r="BT26" i="29" s="1"/>
  <c r="AC24" i="29"/>
  <c r="AD25" i="29"/>
  <c r="AF25" i="29" s="1"/>
  <c r="BW27" i="29"/>
  <c r="BV27" i="29"/>
  <c r="AC22" i="2"/>
  <c r="AD23" i="2"/>
  <c r="AE23" i="2" s="1"/>
  <c r="AF23" i="2" s="1"/>
  <c r="BA28" i="2"/>
  <c r="BQ28" i="2" s="1"/>
  <c r="BU28" i="2" s="1"/>
  <c r="AZ28" i="2"/>
  <c r="BP2" i="23"/>
  <c r="BK2" i="23"/>
  <c r="BS2" i="23" s="1"/>
  <c r="CC31" i="2"/>
  <c r="BV30" i="2"/>
  <c r="CA30" i="2" s="1"/>
  <c r="D29" i="19"/>
  <c r="C29" i="19" s="1"/>
  <c r="BT29" i="2"/>
  <c r="BW29" i="2" s="1"/>
  <c r="B33" i="20"/>
  <c r="BP28" i="2"/>
  <c r="B32" i="20" l="1"/>
  <c r="R483" i="32"/>
  <c r="N485" i="32"/>
  <c r="A233" i="30"/>
  <c r="CA27" i="29"/>
  <c r="CC27" i="29" s="1"/>
  <c r="BV26" i="29"/>
  <c r="BW26" i="29"/>
  <c r="AZ25" i="29"/>
  <c r="BP25" i="29" s="1"/>
  <c r="BT25" i="29" s="1"/>
  <c r="BA25" i="29"/>
  <c r="BQ25" i="29" s="1"/>
  <c r="BU25" i="29" s="1"/>
  <c r="AC23" i="29"/>
  <c r="AD24" i="29"/>
  <c r="AF24" i="29" s="1"/>
  <c r="AC21" i="2"/>
  <c r="AD22" i="2"/>
  <c r="AE22" i="2" s="1"/>
  <c r="AF22" i="2" s="1"/>
  <c r="AZ27" i="2"/>
  <c r="BP27" i="2" s="1"/>
  <c r="BA27" i="2"/>
  <c r="BQ27" i="2" s="1"/>
  <c r="BU27" i="2" s="1"/>
  <c r="BR2" i="23"/>
  <c r="CC30" i="2"/>
  <c r="BV29" i="2"/>
  <c r="CA29" i="2" s="1"/>
  <c r="D28" i="19"/>
  <c r="C28" i="19" s="1"/>
  <c r="BT28" i="2"/>
  <c r="BW28" i="2" s="1"/>
  <c r="R485" i="32" l="1"/>
  <c r="N487" i="32"/>
  <c r="A234" i="30"/>
  <c r="CA26" i="29"/>
  <c r="CC26" i="29" s="1"/>
  <c r="BA24" i="29"/>
  <c r="BQ24" i="29" s="1"/>
  <c r="BU24" i="29" s="1"/>
  <c r="AZ24" i="29"/>
  <c r="BP24" i="29" s="1"/>
  <c r="BT24" i="29" s="1"/>
  <c r="AD23" i="29"/>
  <c r="AF23" i="29" s="1"/>
  <c r="AC22" i="29"/>
  <c r="BW25" i="29"/>
  <c r="BV25" i="29"/>
  <c r="AC20" i="2"/>
  <c r="AD21" i="2"/>
  <c r="AE21" i="2" s="1"/>
  <c r="AF21" i="2" s="1"/>
  <c r="BA26" i="2"/>
  <c r="BQ26" i="2" s="1"/>
  <c r="BU26" i="2" s="1"/>
  <c r="AZ26" i="2"/>
  <c r="BP26" i="2" s="1"/>
  <c r="BX2" i="23"/>
  <c r="BY2" i="23" s="1"/>
  <c r="BZ2" i="23"/>
  <c r="CA2" i="23" s="1"/>
  <c r="BU2" i="23"/>
  <c r="BT3" i="23" s="1"/>
  <c r="B31" i="20"/>
  <c r="CC29" i="2"/>
  <c r="D27" i="19"/>
  <c r="C27" i="19" s="1"/>
  <c r="BT27" i="2"/>
  <c r="BW27" i="2" s="1"/>
  <c r="BV28" i="2"/>
  <c r="CA28" i="2" s="1"/>
  <c r="R487" i="32" l="1"/>
  <c r="N489" i="32"/>
  <c r="A235" i="30"/>
  <c r="CA25" i="29"/>
  <c r="CC25" i="29" s="1"/>
  <c r="AC21" i="29"/>
  <c r="AD22" i="29"/>
  <c r="AF22" i="29" s="1"/>
  <c r="AZ23" i="29"/>
  <c r="BP23" i="29" s="1"/>
  <c r="BT23" i="29" s="1"/>
  <c r="BA23" i="29"/>
  <c r="BQ23" i="29" s="1"/>
  <c r="BU23" i="29" s="1"/>
  <c r="BW24" i="29"/>
  <c r="BV24" i="29"/>
  <c r="AC19" i="2"/>
  <c r="AD20" i="2"/>
  <c r="AE20" i="2" s="1"/>
  <c r="AF20" i="2" s="1"/>
  <c r="BA25" i="2"/>
  <c r="BQ25" i="2" s="1"/>
  <c r="BU25" i="2" s="1"/>
  <c r="AZ25" i="2"/>
  <c r="BP25" i="2" s="1"/>
  <c r="BV2" i="23"/>
  <c r="BU3" i="23"/>
  <c r="BT4" i="23" s="1"/>
  <c r="BZ3" i="23"/>
  <c r="CA3" i="23" s="1"/>
  <c r="BX3" i="23"/>
  <c r="CC28" i="2"/>
  <c r="BV27" i="2"/>
  <c r="CA27" i="2" s="1"/>
  <c r="D26" i="19"/>
  <c r="C26" i="19" s="1"/>
  <c r="BT26" i="2"/>
  <c r="BW26" i="2" s="1"/>
  <c r="B30" i="20"/>
  <c r="BU4" i="23" l="1"/>
  <c r="BT5" i="23" s="1"/>
  <c r="R489" i="32"/>
  <c r="N491" i="32"/>
  <c r="A236" i="30"/>
  <c r="CA24" i="29"/>
  <c r="CC24" i="29" s="1"/>
  <c r="AZ22" i="29"/>
  <c r="BP22" i="29" s="1"/>
  <c r="BT22" i="29" s="1"/>
  <c r="BA22" i="29"/>
  <c r="BQ22" i="29" s="1"/>
  <c r="BU22" i="29" s="1"/>
  <c r="BV23" i="29"/>
  <c r="BW23" i="29"/>
  <c r="AC20" i="29"/>
  <c r="AD21" i="29"/>
  <c r="AF21" i="29" s="1"/>
  <c r="AC18" i="2"/>
  <c r="AD19" i="2"/>
  <c r="AE19" i="2" s="1"/>
  <c r="AF19" i="2" s="1"/>
  <c r="AZ24" i="2"/>
  <c r="BP24" i="2" s="1"/>
  <c r="BA24" i="2"/>
  <c r="BQ24" i="2" s="1"/>
  <c r="BU24" i="2" s="1"/>
  <c r="BZ4" i="23"/>
  <c r="CA4" i="23" s="1"/>
  <c r="BY3" i="23"/>
  <c r="BX4" i="23"/>
  <c r="BV3" i="23"/>
  <c r="CC27" i="2"/>
  <c r="BV26" i="2"/>
  <c r="CA26" i="2" s="1"/>
  <c r="D25" i="19"/>
  <c r="C25" i="19" s="1"/>
  <c r="BT25" i="2"/>
  <c r="BW25" i="2" s="1"/>
  <c r="B29" i="20"/>
  <c r="BU5" i="23" l="1"/>
  <c r="BT6" i="23" s="1"/>
  <c r="R491" i="32"/>
  <c r="N493" i="32"/>
  <c r="A237" i="30"/>
  <c r="CA23" i="29"/>
  <c r="CC23" i="29" s="1"/>
  <c r="AZ21" i="29"/>
  <c r="BP21" i="29" s="1"/>
  <c r="BT21" i="29" s="1"/>
  <c r="BA21" i="29"/>
  <c r="BQ21" i="29" s="1"/>
  <c r="BU21" i="29" s="1"/>
  <c r="AC19" i="29"/>
  <c r="AD20" i="29"/>
  <c r="AF20" i="29" s="1"/>
  <c r="BW22" i="29"/>
  <c r="BV22" i="29"/>
  <c r="AC17" i="2"/>
  <c r="AD18" i="2"/>
  <c r="AE18" i="2" s="1"/>
  <c r="AF18" i="2" s="1"/>
  <c r="AZ23" i="2"/>
  <c r="BP23" i="2" s="1"/>
  <c r="BA23" i="2"/>
  <c r="BQ23" i="2" s="1"/>
  <c r="BU23" i="2" s="1"/>
  <c r="BZ5" i="23"/>
  <c r="CA5" i="23" s="1"/>
  <c r="BY4" i="23"/>
  <c r="BX5" i="23"/>
  <c r="BV4" i="23"/>
  <c r="CC26" i="2"/>
  <c r="D24" i="19"/>
  <c r="C24" i="19" s="1"/>
  <c r="BT24" i="2"/>
  <c r="BW24" i="2" s="1"/>
  <c r="BV25" i="2"/>
  <c r="CA25" i="2" s="1"/>
  <c r="B28" i="20"/>
  <c r="BU6" i="23" l="1"/>
  <c r="BT7" i="23" s="1"/>
  <c r="R493" i="32"/>
  <c r="N495" i="32"/>
  <c r="A238" i="30"/>
  <c r="CA22" i="29"/>
  <c r="CC22" i="29" s="1"/>
  <c r="BA20" i="29"/>
  <c r="BQ20" i="29" s="1"/>
  <c r="BU20" i="29" s="1"/>
  <c r="AZ20" i="29"/>
  <c r="BP20" i="29" s="1"/>
  <c r="BT20" i="29" s="1"/>
  <c r="AD19" i="29"/>
  <c r="AF19" i="29" s="1"/>
  <c r="AC18" i="29"/>
  <c r="BV21" i="29"/>
  <c r="BW21" i="29"/>
  <c r="AC16" i="2"/>
  <c r="AD17" i="2"/>
  <c r="AE17" i="2" s="1"/>
  <c r="AF17" i="2" s="1"/>
  <c r="BA22" i="2"/>
  <c r="BQ22" i="2" s="1"/>
  <c r="BU22" i="2" s="1"/>
  <c r="AZ22" i="2"/>
  <c r="BP22" i="2" s="1"/>
  <c r="BZ6" i="23"/>
  <c r="CA6" i="23" s="1"/>
  <c r="BV5" i="23"/>
  <c r="BY5" i="23"/>
  <c r="BX6" i="23"/>
  <c r="CC25" i="2"/>
  <c r="BV24" i="2"/>
  <c r="CA24" i="2" s="1"/>
  <c r="D23" i="19"/>
  <c r="C23" i="19" s="1"/>
  <c r="BT23" i="2"/>
  <c r="BW23" i="2" s="1"/>
  <c r="B27" i="20"/>
  <c r="BU7" i="23" l="1"/>
  <c r="BT8" i="23" s="1"/>
  <c r="R495" i="32"/>
  <c r="N497" i="32"/>
  <c r="A239" i="30"/>
  <c r="CA21" i="29"/>
  <c r="AC17" i="29"/>
  <c r="AD18" i="29"/>
  <c r="AF18" i="29" s="1"/>
  <c r="BA19" i="29"/>
  <c r="BQ19" i="29" s="1"/>
  <c r="BU19" i="29" s="1"/>
  <c r="AZ19" i="29"/>
  <c r="BP19" i="29" s="1"/>
  <c r="BT19" i="29" s="1"/>
  <c r="BV20" i="29"/>
  <c r="BW20" i="29"/>
  <c r="AC15" i="2"/>
  <c r="AD16" i="2"/>
  <c r="AE16" i="2" s="1"/>
  <c r="AF16" i="2" s="1"/>
  <c r="BA21" i="2"/>
  <c r="BQ21" i="2" s="1"/>
  <c r="BU21" i="2" s="1"/>
  <c r="AZ21" i="2"/>
  <c r="BP21" i="2" s="1"/>
  <c r="BZ7" i="23"/>
  <c r="CA7" i="23" s="1"/>
  <c r="BY6" i="23"/>
  <c r="BY7" i="23" s="1"/>
  <c r="BY8" i="23" s="1"/>
  <c r="BY9" i="23" s="1"/>
  <c r="BY10" i="23" s="1"/>
  <c r="BY11" i="23" s="1"/>
  <c r="BY12" i="23" s="1"/>
  <c r="BY13" i="23" s="1"/>
  <c r="BY14" i="23" s="1"/>
  <c r="BY15" i="23" s="1"/>
  <c r="BY16" i="23" s="1"/>
  <c r="BY17" i="23" s="1"/>
  <c r="BY18" i="23" s="1"/>
  <c r="BY19" i="23" s="1"/>
  <c r="BY20" i="23" s="1"/>
  <c r="BY21" i="23" s="1"/>
  <c r="BY22" i="23" s="1"/>
  <c r="BY23" i="23" s="1"/>
  <c r="BY24" i="23" s="1"/>
  <c r="BY25" i="23" s="1"/>
  <c r="BY26" i="23" s="1"/>
  <c r="BY27" i="23" s="1"/>
  <c r="BY28" i="23" s="1"/>
  <c r="BY29" i="23" s="1"/>
  <c r="BY30" i="23" s="1"/>
  <c r="BY31" i="23" s="1"/>
  <c r="BY32" i="23" s="1"/>
  <c r="BY33" i="23" s="1"/>
  <c r="BY34" i="23" s="1"/>
  <c r="BY35" i="23" s="1"/>
  <c r="BY36" i="23" s="1"/>
  <c r="BY37" i="23" s="1"/>
  <c r="BY38" i="23" s="1"/>
  <c r="BY39" i="23" s="1"/>
  <c r="BY40" i="23" s="1"/>
  <c r="BY41" i="23" s="1"/>
  <c r="BX7" i="23"/>
  <c r="BX8" i="23" s="1"/>
  <c r="BX9" i="23" s="1"/>
  <c r="BX10" i="23" s="1"/>
  <c r="BX11" i="23" s="1"/>
  <c r="BX12" i="23" s="1"/>
  <c r="BX13" i="23" s="1"/>
  <c r="BX14" i="23" s="1"/>
  <c r="BX15" i="23" s="1"/>
  <c r="BX16" i="23" s="1"/>
  <c r="BX17" i="23" s="1"/>
  <c r="BX18" i="23" s="1"/>
  <c r="BX19" i="23" s="1"/>
  <c r="BX20" i="23" s="1"/>
  <c r="BX21" i="23" s="1"/>
  <c r="BX22" i="23" s="1"/>
  <c r="BX23" i="23" s="1"/>
  <c r="BX24" i="23" s="1"/>
  <c r="BX25" i="23" s="1"/>
  <c r="BX26" i="23" s="1"/>
  <c r="BX27" i="23" s="1"/>
  <c r="BX28" i="23" s="1"/>
  <c r="BX29" i="23" s="1"/>
  <c r="BX30" i="23" s="1"/>
  <c r="BX31" i="23" s="1"/>
  <c r="BX32" i="23" s="1"/>
  <c r="BX33" i="23" s="1"/>
  <c r="BX34" i="23" s="1"/>
  <c r="BX35" i="23" s="1"/>
  <c r="BX36" i="23" s="1"/>
  <c r="BX37" i="23" s="1"/>
  <c r="BX38" i="23" s="1"/>
  <c r="BX39" i="23" s="1"/>
  <c r="BX40" i="23" s="1"/>
  <c r="BX41" i="23" s="1"/>
  <c r="BV6" i="23"/>
  <c r="CC24" i="2"/>
  <c r="BV23" i="2"/>
  <c r="CA23" i="2" s="1"/>
  <c r="D22" i="19"/>
  <c r="C22" i="19" s="1"/>
  <c r="BT22" i="2"/>
  <c r="BW22" i="2" s="1"/>
  <c r="B26" i="20"/>
  <c r="BU8" i="23" l="1"/>
  <c r="BT9" i="23" s="1"/>
  <c r="R497" i="32"/>
  <c r="N499" i="32"/>
  <c r="A240" i="30"/>
  <c r="CA20" i="29"/>
  <c r="CC20" i="29" s="1"/>
  <c r="BA18" i="29"/>
  <c r="BQ18" i="29" s="1"/>
  <c r="BU18" i="29" s="1"/>
  <c r="AZ18" i="29"/>
  <c r="BP18" i="29" s="1"/>
  <c r="BT18" i="29" s="1"/>
  <c r="AD17" i="29"/>
  <c r="AF17" i="29" s="1"/>
  <c r="AC16" i="29"/>
  <c r="BV19" i="29"/>
  <c r="BW19" i="29"/>
  <c r="CC21" i="29"/>
  <c r="AC14" i="2"/>
  <c r="AD15" i="2"/>
  <c r="AE15" i="2" s="1"/>
  <c r="AF15" i="2" s="1"/>
  <c r="BA20" i="2"/>
  <c r="BQ20" i="2" s="1"/>
  <c r="BU20" i="2" s="1"/>
  <c r="AZ20" i="2"/>
  <c r="BP20" i="2" s="1"/>
  <c r="BZ8" i="23"/>
  <c r="CA8" i="23" s="1"/>
  <c r="BV7" i="23"/>
  <c r="CC23" i="2"/>
  <c r="BV22" i="2"/>
  <c r="CA22" i="2" s="1"/>
  <c r="D21" i="19"/>
  <c r="C21" i="19" s="1"/>
  <c r="BT21" i="2"/>
  <c r="BW21" i="2" s="1"/>
  <c r="B25" i="20"/>
  <c r="BU9" i="23" l="1"/>
  <c r="BT10" i="23" s="1"/>
  <c r="B24" i="20"/>
  <c r="R499" i="32"/>
  <c r="N501" i="32"/>
  <c r="A241" i="30"/>
  <c r="CA19" i="29"/>
  <c r="CC19" i="29" s="1"/>
  <c r="BV18" i="29"/>
  <c r="BW18" i="29"/>
  <c r="AC15" i="29"/>
  <c r="AD16" i="29"/>
  <c r="AF16" i="29" s="1"/>
  <c r="AZ17" i="29"/>
  <c r="BP17" i="29" s="1"/>
  <c r="BT17" i="29" s="1"/>
  <c r="BA17" i="29"/>
  <c r="BQ17" i="29" s="1"/>
  <c r="BU17" i="29" s="1"/>
  <c r="AC13" i="2"/>
  <c r="AD14" i="2"/>
  <c r="AE14" i="2" s="1"/>
  <c r="AF14" i="2" s="1"/>
  <c r="AZ19" i="2"/>
  <c r="BP19" i="2" s="1"/>
  <c r="BA19" i="2"/>
  <c r="BQ19" i="2" s="1"/>
  <c r="BU19" i="2" s="1"/>
  <c r="BZ9" i="23"/>
  <c r="CA9" i="23" s="1"/>
  <c r="BV8" i="23"/>
  <c r="CC22" i="2"/>
  <c r="BV21" i="2"/>
  <c r="CA21" i="2" s="1"/>
  <c r="D20" i="19"/>
  <c r="C20" i="19" s="1"/>
  <c r="BT20" i="2"/>
  <c r="BW20" i="2" s="1"/>
  <c r="BU10" i="23" l="1"/>
  <c r="BT11" i="23" s="1"/>
  <c r="R501" i="32"/>
  <c r="N503" i="32"/>
  <c r="A242" i="30"/>
  <c r="CA18" i="29"/>
  <c r="CC18" i="29" s="1"/>
  <c r="BV17" i="29"/>
  <c r="BW17" i="29"/>
  <c r="BA16" i="29"/>
  <c r="BQ16" i="29" s="1"/>
  <c r="BU16" i="29" s="1"/>
  <c r="AZ16" i="29"/>
  <c r="BP16" i="29" s="1"/>
  <c r="BT16" i="29" s="1"/>
  <c r="AD15" i="29"/>
  <c r="AF15" i="29" s="1"/>
  <c r="AC14" i="29"/>
  <c r="AC12" i="2"/>
  <c r="AD13" i="2"/>
  <c r="AE13" i="2" s="1"/>
  <c r="AF13" i="2" s="1"/>
  <c r="BA18" i="2"/>
  <c r="BQ18" i="2" s="1"/>
  <c r="BU18" i="2" s="1"/>
  <c r="AZ18" i="2"/>
  <c r="BP18" i="2" s="1"/>
  <c r="BZ10" i="23"/>
  <c r="CA10" i="23" s="1"/>
  <c r="BV9" i="23"/>
  <c r="CC21" i="2"/>
  <c r="B23" i="20"/>
  <c r="BV20" i="2"/>
  <c r="CA20" i="2" s="1"/>
  <c r="D19" i="19"/>
  <c r="C19" i="19" s="1"/>
  <c r="BT19" i="2"/>
  <c r="BW19" i="2" s="1"/>
  <c r="BU11" i="23" l="1"/>
  <c r="BT12" i="23" s="1"/>
  <c r="R503" i="32"/>
  <c r="N505" i="32"/>
  <c r="A243" i="30"/>
  <c r="CA17" i="29"/>
  <c r="CC17" i="29" s="1"/>
  <c r="AD14" i="29"/>
  <c r="AF14" i="29" s="1"/>
  <c r="AC13" i="29"/>
  <c r="BA15" i="29"/>
  <c r="BQ15" i="29" s="1"/>
  <c r="BU15" i="29" s="1"/>
  <c r="AZ15" i="29"/>
  <c r="BP15" i="29" s="1"/>
  <c r="BT15" i="29" s="1"/>
  <c r="BV16" i="29"/>
  <c r="BW16" i="29"/>
  <c r="AC11" i="2"/>
  <c r="AC10" i="2" s="1"/>
  <c r="AC9" i="2" s="1"/>
  <c r="AC8" i="2" s="1"/>
  <c r="AC7" i="2" s="1"/>
  <c r="AC6" i="2" s="1"/>
  <c r="AC5" i="2" s="1"/>
  <c r="AC4" i="2" s="1"/>
  <c r="AC3" i="2" s="1"/>
  <c r="AC2" i="2" s="1"/>
  <c r="AD2" i="2" s="1"/>
  <c r="AD12" i="2"/>
  <c r="AE12" i="2" s="1"/>
  <c r="AF12" i="2" s="1"/>
  <c r="BA17" i="2"/>
  <c r="BQ17" i="2" s="1"/>
  <c r="BU17" i="2" s="1"/>
  <c r="AZ17" i="2"/>
  <c r="BP17" i="2" s="1"/>
  <c r="BZ11" i="23"/>
  <c r="CA11" i="23" s="1"/>
  <c r="BV10" i="23"/>
  <c r="CC20" i="2"/>
  <c r="BV19" i="2"/>
  <c r="CA19" i="2" s="1"/>
  <c r="D18" i="19"/>
  <c r="C18" i="19" s="1"/>
  <c r="BT18" i="2"/>
  <c r="BW18" i="2" s="1"/>
  <c r="B22" i="20"/>
  <c r="BU12" i="23" l="1"/>
  <c r="BT13" i="23" s="1"/>
  <c r="R505" i="32"/>
  <c r="N507" i="32"/>
  <c r="A244" i="30"/>
  <c r="CA16" i="29"/>
  <c r="CC16" i="29" s="1"/>
  <c r="BV15" i="29"/>
  <c r="BW15" i="29"/>
  <c r="AC12" i="29"/>
  <c r="AD13" i="29"/>
  <c r="AF13" i="29" s="1"/>
  <c r="BA14" i="29"/>
  <c r="BQ14" i="29" s="1"/>
  <c r="BU14" i="29" s="1"/>
  <c r="AZ14" i="29"/>
  <c r="BP14" i="29" s="1"/>
  <c r="BT14" i="29" s="1"/>
  <c r="AD11" i="2"/>
  <c r="AD10" i="2" s="1"/>
  <c r="AD9" i="2" s="1"/>
  <c r="AD8" i="2" s="1"/>
  <c r="AD7" i="2" s="1"/>
  <c r="AD6" i="2" s="1"/>
  <c r="AD5" i="2" s="1"/>
  <c r="AD4" i="2" s="1"/>
  <c r="AD3" i="2" s="1"/>
  <c r="AZ16" i="2"/>
  <c r="BP16" i="2" s="1"/>
  <c r="BA16" i="2"/>
  <c r="BQ16" i="2" s="1"/>
  <c r="BU16" i="2" s="1"/>
  <c r="BZ12" i="23"/>
  <c r="CA12" i="23" s="1"/>
  <c r="BV11" i="23"/>
  <c r="CC19" i="2"/>
  <c r="BV18" i="2"/>
  <c r="CA18" i="2" s="1"/>
  <c r="D17" i="19"/>
  <c r="C17" i="19" s="1"/>
  <c r="BT17" i="2"/>
  <c r="BW17" i="2" s="1"/>
  <c r="B21" i="20"/>
  <c r="BU13" i="23" l="1"/>
  <c r="BT14" i="23" s="1"/>
  <c r="R507" i="32"/>
  <c r="N509" i="32"/>
  <c r="A245" i="30"/>
  <c r="CA15" i="29"/>
  <c r="CC15" i="29" s="1"/>
  <c r="BW14" i="29"/>
  <c r="BV14" i="29"/>
  <c r="AZ13" i="29"/>
  <c r="BP13" i="29" s="1"/>
  <c r="BT13" i="29" s="1"/>
  <c r="BA13" i="29"/>
  <c r="BQ13" i="29" s="1"/>
  <c r="BU13" i="29" s="1"/>
  <c r="AC11" i="29"/>
  <c r="AD12" i="29"/>
  <c r="AF12" i="29" s="1"/>
  <c r="AE11" i="2"/>
  <c r="AZ15" i="2"/>
  <c r="BP15" i="2" s="1"/>
  <c r="BA15" i="2"/>
  <c r="BQ15" i="2" s="1"/>
  <c r="BU15" i="2" s="1"/>
  <c r="BZ13" i="23"/>
  <c r="CA13" i="23" s="1"/>
  <c r="BV12" i="23"/>
  <c r="B20" i="20"/>
  <c r="CC18" i="2"/>
  <c r="BV17" i="2"/>
  <c r="CA17" i="2" s="1"/>
  <c r="D16" i="19"/>
  <c r="C16" i="19" s="1"/>
  <c r="BT16" i="2"/>
  <c r="BW16" i="2" s="1"/>
  <c r="BU14" i="23" l="1"/>
  <c r="BT15" i="23" s="1"/>
  <c r="R509" i="32"/>
  <c r="N511" i="32"/>
  <c r="A246" i="30"/>
  <c r="CA14" i="29"/>
  <c r="CC14" i="29" s="1"/>
  <c r="BA12" i="29"/>
  <c r="BQ12" i="29" s="1"/>
  <c r="BU12" i="29" s="1"/>
  <c r="AZ12" i="29"/>
  <c r="BP12" i="29" s="1"/>
  <c r="BT12" i="29" s="1"/>
  <c r="AC10" i="29"/>
  <c r="AD11" i="29"/>
  <c r="AF11" i="29" s="1"/>
  <c r="BW13" i="29"/>
  <c r="BV13" i="29"/>
  <c r="AE10" i="2"/>
  <c r="AF11" i="2"/>
  <c r="BA14" i="2"/>
  <c r="BQ14" i="2" s="1"/>
  <c r="BU14" i="2" s="1"/>
  <c r="AZ14" i="2"/>
  <c r="BP14" i="2" s="1"/>
  <c r="BZ14" i="23"/>
  <c r="CA14" i="23" s="1"/>
  <c r="BV13" i="23"/>
  <c r="CC17" i="2"/>
  <c r="BV16" i="2"/>
  <c r="CA16" i="2" s="1"/>
  <c r="D15" i="19"/>
  <c r="C15" i="19" s="1"/>
  <c r="BT15" i="2"/>
  <c r="BW15" i="2" s="1"/>
  <c r="B19" i="20"/>
  <c r="BU15" i="23" l="1"/>
  <c r="R511" i="32"/>
  <c r="N513" i="32"/>
  <c r="A247" i="30"/>
  <c r="CA13" i="29"/>
  <c r="CC13" i="29" s="1"/>
  <c r="AZ11" i="29"/>
  <c r="BP11" i="29" s="1"/>
  <c r="BT11" i="29" s="1"/>
  <c r="BA11" i="29"/>
  <c r="BQ11" i="29" s="1"/>
  <c r="BU11" i="29" s="1"/>
  <c r="AC9" i="29"/>
  <c r="AD10" i="29"/>
  <c r="AF10" i="29" s="1"/>
  <c r="BW12" i="29"/>
  <c r="BV12" i="29"/>
  <c r="AE9" i="2"/>
  <c r="AF10" i="2"/>
  <c r="BA13" i="2"/>
  <c r="BQ13" i="2" s="1"/>
  <c r="BU13" i="2" s="1"/>
  <c r="AZ13" i="2"/>
  <c r="BP13" i="2" s="1"/>
  <c r="BZ15" i="23"/>
  <c r="CA15" i="23" s="1"/>
  <c r="BV14" i="23"/>
  <c r="CC16" i="2"/>
  <c r="BV15" i="2"/>
  <c r="CA15" i="2" s="1"/>
  <c r="D14" i="19"/>
  <c r="C14" i="19" s="1"/>
  <c r="BT14" i="2"/>
  <c r="BW14" i="2" s="1"/>
  <c r="B18" i="20"/>
  <c r="BT16" i="23" l="1"/>
  <c r="BU16" i="23"/>
  <c r="R513" i="32"/>
  <c r="N515" i="32"/>
  <c r="A248" i="30"/>
  <c r="CA12" i="29"/>
  <c r="CC12" i="29" s="1"/>
  <c r="AZ10" i="29"/>
  <c r="BP10" i="29" s="1"/>
  <c r="BT10" i="29" s="1"/>
  <c r="BA10" i="29"/>
  <c r="BQ10" i="29" s="1"/>
  <c r="BU10" i="29" s="1"/>
  <c r="AC8" i="29"/>
  <c r="AD9" i="29"/>
  <c r="AF9" i="29" s="1"/>
  <c r="BV11" i="29"/>
  <c r="BW11" i="29"/>
  <c r="AE8" i="2"/>
  <c r="AF9" i="2"/>
  <c r="BA12" i="2"/>
  <c r="BQ12" i="2" s="1"/>
  <c r="BU12" i="2" s="1"/>
  <c r="AZ12" i="2"/>
  <c r="BP12" i="2" s="1"/>
  <c r="BZ16" i="23"/>
  <c r="BZ17" i="23" s="1"/>
  <c r="BV15" i="23"/>
  <c r="CC15" i="2"/>
  <c r="BV14" i="2"/>
  <c r="CA14" i="2" s="1"/>
  <c r="D13" i="19"/>
  <c r="C13" i="19" s="1"/>
  <c r="BT13" i="2"/>
  <c r="BW13" i="2" s="1"/>
  <c r="B17" i="20"/>
  <c r="BU17" i="23" l="1"/>
  <c r="R515" i="32"/>
  <c r="N517" i="32"/>
  <c r="A249" i="30"/>
  <c r="CA11" i="29"/>
  <c r="CC11" i="29" s="1"/>
  <c r="BA9" i="29"/>
  <c r="BQ9" i="29" s="1"/>
  <c r="BU9" i="29" s="1"/>
  <c r="AZ9" i="29"/>
  <c r="BP9" i="29" s="1"/>
  <c r="BT9" i="29" s="1"/>
  <c r="AC7" i="29"/>
  <c r="AD8" i="29"/>
  <c r="AF8" i="29" s="1"/>
  <c r="BW10" i="29"/>
  <c r="BV10" i="29"/>
  <c r="B16" i="20"/>
  <c r="AE7" i="2"/>
  <c r="AF8" i="2"/>
  <c r="AZ11" i="2"/>
  <c r="BP11" i="2" s="1"/>
  <c r="BA11" i="2"/>
  <c r="BQ11" i="2" s="1"/>
  <c r="BU11" i="2" s="1"/>
  <c r="CA16" i="23"/>
  <c r="BV16" i="23"/>
  <c r="CA17" i="23"/>
  <c r="BZ18" i="23"/>
  <c r="CC14" i="2"/>
  <c r="BV13" i="2"/>
  <c r="CA13" i="2" s="1"/>
  <c r="D12" i="19"/>
  <c r="C12" i="19" s="1"/>
  <c r="BT12" i="2"/>
  <c r="BW12" i="2" s="1"/>
  <c r="BU18" i="23" l="1"/>
  <c r="R517" i="32"/>
  <c r="N519" i="32"/>
  <c r="A250" i="30"/>
  <c r="CA10" i="29"/>
  <c r="BV9" i="29"/>
  <c r="BW9" i="29"/>
  <c r="AZ8" i="29"/>
  <c r="BP8" i="29" s="1"/>
  <c r="BT8" i="29" s="1"/>
  <c r="BA8" i="29"/>
  <c r="BQ8" i="29" s="1"/>
  <c r="BU8" i="29" s="1"/>
  <c r="AD7" i="29"/>
  <c r="AF7" i="29" s="1"/>
  <c r="AC6" i="29"/>
  <c r="AE6" i="2"/>
  <c r="AF7" i="2"/>
  <c r="BA10" i="2"/>
  <c r="BQ10" i="2" s="1"/>
  <c r="BU10" i="2" s="1"/>
  <c r="AZ10" i="2"/>
  <c r="BP10" i="2" s="1"/>
  <c r="CA18" i="23"/>
  <c r="BZ19" i="23"/>
  <c r="BV17" i="23"/>
  <c r="B15" i="20"/>
  <c r="CC13" i="2"/>
  <c r="BV12" i="2"/>
  <c r="CA12" i="2" s="1"/>
  <c r="D11" i="19"/>
  <c r="C11" i="19" s="1"/>
  <c r="BT11" i="2"/>
  <c r="BW11" i="2" s="1"/>
  <c r="BU19" i="23" l="1"/>
  <c r="R519" i="32"/>
  <c r="N521" i="32"/>
  <c r="A251" i="30"/>
  <c r="CA9" i="29"/>
  <c r="CC9" i="29" s="1"/>
  <c r="CC10" i="29"/>
  <c r="AC5" i="29"/>
  <c r="AD6" i="29"/>
  <c r="AF6" i="29" s="1"/>
  <c r="AZ7" i="29"/>
  <c r="BP7" i="29" s="1"/>
  <c r="BT7" i="29" s="1"/>
  <c r="BA7" i="29"/>
  <c r="BQ7" i="29" s="1"/>
  <c r="BU7" i="29" s="1"/>
  <c r="BW8" i="29"/>
  <c r="BV8" i="29"/>
  <c r="AE5" i="2"/>
  <c r="AF6" i="2"/>
  <c r="BA9" i="2"/>
  <c r="BQ9" i="2" s="1"/>
  <c r="BU9" i="2" s="1"/>
  <c r="AZ9" i="2"/>
  <c r="BP9" i="2" s="1"/>
  <c r="BV18" i="23"/>
  <c r="CA19" i="23"/>
  <c r="BZ20" i="23"/>
  <c r="CC12" i="2"/>
  <c r="BV11" i="2"/>
  <c r="CA11" i="2" s="1"/>
  <c r="D10" i="19"/>
  <c r="C10" i="19" s="1"/>
  <c r="BT10" i="2"/>
  <c r="BW10" i="2" s="1"/>
  <c r="B14" i="20"/>
  <c r="BU20" i="23" l="1"/>
  <c r="R521" i="32"/>
  <c r="N523" i="32"/>
  <c r="A252" i="30"/>
  <c r="CA8" i="29"/>
  <c r="CC8" i="29" s="1"/>
  <c r="BV7" i="29"/>
  <c r="BW7" i="29"/>
  <c r="BA6" i="29"/>
  <c r="BQ6" i="29" s="1"/>
  <c r="BU6" i="29" s="1"/>
  <c r="AZ6" i="29"/>
  <c r="BP6" i="29" s="1"/>
  <c r="BT6" i="29" s="1"/>
  <c r="AC4" i="29"/>
  <c r="AD5" i="29"/>
  <c r="AF5" i="29" s="1"/>
  <c r="AE4" i="2"/>
  <c r="AF5" i="2"/>
  <c r="AZ8" i="2"/>
  <c r="BP8" i="2" s="1"/>
  <c r="BA8" i="2"/>
  <c r="BQ8" i="2" s="1"/>
  <c r="BU8" i="2" s="1"/>
  <c r="CA20" i="23"/>
  <c r="BZ21" i="23"/>
  <c r="BV19" i="23"/>
  <c r="CC11" i="2"/>
  <c r="BV10" i="2"/>
  <c r="CA10" i="2" s="1"/>
  <c r="D9" i="19"/>
  <c r="C9" i="19" s="1"/>
  <c r="BT9" i="2"/>
  <c r="BW9" i="2" s="1"/>
  <c r="B13" i="20"/>
  <c r="BU21" i="23" l="1"/>
  <c r="R523" i="32"/>
  <c r="N525" i="32"/>
  <c r="A253" i="30"/>
  <c r="CA7" i="29"/>
  <c r="CC7" i="29" s="1"/>
  <c r="BA5" i="29"/>
  <c r="BQ5" i="29" s="1"/>
  <c r="BU5" i="29" s="1"/>
  <c r="AZ5" i="29"/>
  <c r="BP5" i="29" s="1"/>
  <c r="BT5" i="29" s="1"/>
  <c r="AC3" i="29"/>
  <c r="AD4" i="29"/>
  <c r="AF4" i="29" s="1"/>
  <c r="BV6" i="29"/>
  <c r="BW6" i="29"/>
  <c r="AE3" i="2"/>
  <c r="AF4" i="2"/>
  <c r="AZ7" i="2"/>
  <c r="BP7" i="2" s="1"/>
  <c r="BA7" i="2"/>
  <c r="BQ7" i="2" s="1"/>
  <c r="BU7" i="2" s="1"/>
  <c r="BV20" i="23"/>
  <c r="CA21" i="23"/>
  <c r="BZ22" i="23"/>
  <c r="CC10" i="2"/>
  <c r="BV9" i="2"/>
  <c r="CA9" i="2" s="1"/>
  <c r="D8" i="19"/>
  <c r="C8" i="19" s="1"/>
  <c r="BT8" i="2"/>
  <c r="BW8" i="2" s="1"/>
  <c r="B12" i="20"/>
  <c r="BU22" i="23" l="1"/>
  <c r="R525" i="32"/>
  <c r="N527" i="32"/>
  <c r="A254" i="30"/>
  <c r="CA6" i="29"/>
  <c r="CC6" i="29" s="1"/>
  <c r="AZ4" i="29"/>
  <c r="BP4" i="29" s="1"/>
  <c r="BT4" i="29" s="1"/>
  <c r="BA4" i="29"/>
  <c r="BQ4" i="29" s="1"/>
  <c r="BU4" i="29" s="1"/>
  <c r="BV5" i="29"/>
  <c r="BW5" i="29"/>
  <c r="AC2" i="29"/>
  <c r="AD2" i="29" s="1"/>
  <c r="AD3" i="29"/>
  <c r="AE2" i="2"/>
  <c r="AF2" i="2" s="1"/>
  <c r="AF3" i="2"/>
  <c r="AZ6" i="2"/>
  <c r="BP6" i="2" s="1"/>
  <c r="BA6" i="2"/>
  <c r="BQ6" i="2" s="1"/>
  <c r="BU6" i="2" s="1"/>
  <c r="CA22" i="23"/>
  <c r="BZ23" i="23"/>
  <c r="BV21" i="23"/>
  <c r="CC9" i="2"/>
  <c r="D7" i="19"/>
  <c r="C7" i="19" s="1"/>
  <c r="BT7" i="2"/>
  <c r="BW7" i="2" s="1"/>
  <c r="BV8" i="2"/>
  <c r="CA8" i="2" s="1"/>
  <c r="B11" i="20"/>
  <c r="BU23" i="23" l="1"/>
  <c r="R527" i="32"/>
  <c r="N529" i="32"/>
  <c r="A255" i="30"/>
  <c r="CA5" i="29"/>
  <c r="CC5" i="29" s="1"/>
  <c r="BW4" i="29"/>
  <c r="BV4" i="29"/>
  <c r="AZ5" i="2"/>
  <c r="BP5" i="2" s="1"/>
  <c r="BA5" i="2"/>
  <c r="BQ5" i="2" s="1"/>
  <c r="BU5" i="2" s="1"/>
  <c r="BA2" i="2"/>
  <c r="AZ2" i="2"/>
  <c r="BV22" i="23"/>
  <c r="CA23" i="23"/>
  <c r="BZ24" i="23"/>
  <c r="CC8" i="2"/>
  <c r="BV7" i="2"/>
  <c r="CA7" i="2" s="1"/>
  <c r="D6" i="19"/>
  <c r="C6" i="19" s="1"/>
  <c r="BT6" i="2"/>
  <c r="BW6" i="2" s="1"/>
  <c r="B10" i="20"/>
  <c r="BU24" i="23" l="1"/>
  <c r="R529" i="32"/>
  <c r="N531" i="32"/>
  <c r="A256" i="30"/>
  <c r="CA4" i="29"/>
  <c r="CC4" i="29" s="1"/>
  <c r="CD4" i="29" s="1"/>
  <c r="CD5" i="29" s="1"/>
  <c r="CD6" i="29" s="1"/>
  <c r="CD7" i="29" s="1"/>
  <c r="CD8" i="29" s="1"/>
  <c r="CD9" i="29" s="1"/>
  <c r="CD10" i="29" s="1"/>
  <c r="CD11" i="29" s="1"/>
  <c r="CD12" i="29" s="1"/>
  <c r="CD13" i="29" s="1"/>
  <c r="CD14" i="29" s="1"/>
  <c r="CD15" i="29" s="1"/>
  <c r="CD16" i="29" s="1"/>
  <c r="AZ4" i="2"/>
  <c r="BP4" i="2" s="1"/>
  <c r="N2" i="2"/>
  <c r="CA24" i="23"/>
  <c r="BZ25" i="23"/>
  <c r="BV23" i="23"/>
  <c r="CC7" i="2"/>
  <c r="BV6" i="2"/>
  <c r="D5" i="19"/>
  <c r="C5" i="19" s="1"/>
  <c r="BT5" i="2"/>
  <c r="BW5" i="2" s="1"/>
  <c r="B9" i="20"/>
  <c r="BU25" i="23" l="1"/>
  <c r="R531" i="32"/>
  <c r="N533" i="32"/>
  <c r="A257" i="30"/>
  <c r="CJ4" i="29"/>
  <c r="CH4" i="29"/>
  <c r="CE4" i="29"/>
  <c r="BA4" i="2"/>
  <c r="BQ4" i="2" s="1"/>
  <c r="BU4" i="2" s="1"/>
  <c r="AZ3" i="2"/>
  <c r="BP3" i="2" s="1"/>
  <c r="BV24" i="23"/>
  <c r="CA25" i="23"/>
  <c r="BZ26" i="23"/>
  <c r="BV5" i="2"/>
  <c r="D4" i="19"/>
  <c r="C4" i="19" s="1"/>
  <c r="BT4" i="2"/>
  <c r="B8" i="20"/>
  <c r="BU26" i="23" l="1"/>
  <c r="R533" i="32"/>
  <c r="N535" i="32"/>
  <c r="A258" i="30"/>
  <c r="CF4" i="29"/>
  <c r="CE5" i="29"/>
  <c r="CI4" i="29"/>
  <c r="CH5" i="29"/>
  <c r="CK4" i="29"/>
  <c r="CJ5" i="29"/>
  <c r="BW4" i="2"/>
  <c r="BA3" i="2"/>
  <c r="BQ3" i="2" s="1"/>
  <c r="BU3" i="2" s="1"/>
  <c r="CA26" i="23"/>
  <c r="BZ27" i="23"/>
  <c r="BV25" i="23"/>
  <c r="D3" i="19"/>
  <c r="C3" i="19" s="1"/>
  <c r="BT3" i="2"/>
  <c r="BV4" i="2"/>
  <c r="BP2" i="2"/>
  <c r="BT2" i="2" s="1"/>
  <c r="BQ2" i="2"/>
  <c r="BU2" i="2" s="1"/>
  <c r="BU27" i="23" l="1"/>
  <c r="R535" i="32"/>
  <c r="N537" i="32"/>
  <c r="A259" i="30"/>
  <c r="CK5" i="29"/>
  <c r="CJ6" i="29"/>
  <c r="CF5" i="29"/>
  <c r="CE6" i="29"/>
  <c r="CI5" i="29"/>
  <c r="CH6" i="29"/>
  <c r="BV3" i="2"/>
  <c r="BV26" i="23"/>
  <c r="CA27" i="23"/>
  <c r="BZ28" i="23"/>
  <c r="BW2" i="2"/>
  <c r="M2" i="2" s="1"/>
  <c r="BW3" i="2"/>
  <c r="D2" i="19"/>
  <c r="C2" i="19" s="1"/>
  <c r="BV2" i="2"/>
  <c r="BU28" i="23" l="1"/>
  <c r="R537" i="32"/>
  <c r="N539" i="32"/>
  <c r="A260" i="30"/>
  <c r="CE7" i="29"/>
  <c r="CI6" i="29"/>
  <c r="CI7" i="29" s="1"/>
  <c r="CI8" i="29" s="1"/>
  <c r="CI9" i="29" s="1"/>
  <c r="CI10" i="29" s="1"/>
  <c r="CI11" i="29" s="1"/>
  <c r="CI12" i="29" s="1"/>
  <c r="CI13" i="29" s="1"/>
  <c r="CI14" i="29" s="1"/>
  <c r="CI15" i="29" s="1"/>
  <c r="CI16" i="29" s="1"/>
  <c r="CH7" i="29"/>
  <c r="CH8" i="29" s="1"/>
  <c r="CH9" i="29" s="1"/>
  <c r="CH10" i="29" s="1"/>
  <c r="CH11" i="29" s="1"/>
  <c r="CH12" i="29" s="1"/>
  <c r="CH13" i="29" s="1"/>
  <c r="CH14" i="29" s="1"/>
  <c r="CH15" i="29" s="1"/>
  <c r="CH16" i="29" s="1"/>
  <c r="CK6" i="29"/>
  <c r="CJ7" i="29"/>
  <c r="CF6" i="29"/>
  <c r="CA28" i="23"/>
  <c r="BZ29" i="23"/>
  <c r="BV27" i="23"/>
  <c r="BY2" i="2"/>
  <c r="BU29" i="23" l="1"/>
  <c r="R539" i="32"/>
  <c r="N541" i="32"/>
  <c r="A261" i="30"/>
  <c r="BZ3" i="2"/>
  <c r="CA3" i="2" s="1"/>
  <c r="BZ4" i="2"/>
  <c r="CA4" i="2" s="1"/>
  <c r="CC4" i="2" s="1"/>
  <c r="BZ5" i="2"/>
  <c r="CA5" i="2" s="1"/>
  <c r="BZ6" i="2"/>
  <c r="CA6" i="2" s="1"/>
  <c r="CE8" i="29"/>
  <c r="CE9" i="29" s="1"/>
  <c r="CE10" i="29" s="1"/>
  <c r="CF7" i="29"/>
  <c r="CK7" i="29"/>
  <c r="CJ8" i="29"/>
  <c r="BV28" i="23"/>
  <c r="CA29" i="23"/>
  <c r="BZ30" i="23"/>
  <c r="BZ2" i="2"/>
  <c r="CA2" i="2" s="1"/>
  <c r="CC2" i="2" s="1"/>
  <c r="CD2" i="2" s="1"/>
  <c r="BU30" i="23" l="1"/>
  <c r="R541" i="32"/>
  <c r="N543" i="32"/>
  <c r="A262" i="30"/>
  <c r="CF8" i="29"/>
  <c r="CK8" i="29"/>
  <c r="CJ9" i="29"/>
  <c r="CA30" i="23"/>
  <c r="BZ31" i="23"/>
  <c r="BV29" i="23"/>
  <c r="CC5" i="2"/>
  <c r="CC3" i="2"/>
  <c r="B5" i="20"/>
  <c r="CC6" i="2"/>
  <c r="BU31" i="23" l="1"/>
  <c r="D92" i="30"/>
  <c r="D93" i="30" s="1"/>
  <c r="D94" i="30" s="1"/>
  <c r="D95" i="30" s="1"/>
  <c r="D96" i="30" s="1"/>
  <c r="D97" i="30" s="1"/>
  <c r="D98" i="30" s="1"/>
  <c r="D99" i="30" s="1"/>
  <c r="D100" i="30" s="1"/>
  <c r="D101" i="30" s="1"/>
  <c r="D102" i="30" s="1"/>
  <c r="D103" i="30" s="1"/>
  <c r="D104" i="30" s="1"/>
  <c r="D105" i="30" s="1"/>
  <c r="D106" i="30" s="1"/>
  <c r="D107" i="30" s="1"/>
  <c r="R543" i="32"/>
  <c r="N545" i="32"/>
  <c r="A263" i="30"/>
  <c r="CF9" i="29"/>
  <c r="G33" i="27"/>
  <c r="G35" i="27" s="1"/>
  <c r="CK9" i="29"/>
  <c r="CJ10" i="29"/>
  <c r="BV30" i="23"/>
  <c r="CA31" i="23"/>
  <c r="BZ32" i="23"/>
  <c r="B7" i="20"/>
  <c r="B4" i="20"/>
  <c r="B6" i="20"/>
  <c r="CE2" i="2"/>
  <c r="CD3" i="2" s="1"/>
  <c r="CH2" i="2"/>
  <c r="CI2" i="2" s="1"/>
  <c r="L10" i="14" s="1"/>
  <c r="B3" i="20"/>
  <c r="E3" i="20" s="1"/>
  <c r="G3" i="20" s="1"/>
  <c r="J3" i="20" s="1"/>
  <c r="CJ2" i="2"/>
  <c r="CK2" i="2" s="1"/>
  <c r="M10" i="14" s="1"/>
  <c r="BU32" i="23" l="1"/>
  <c r="R545" i="32"/>
  <c r="N547" i="32"/>
  <c r="A264" i="30"/>
  <c r="CF10" i="29"/>
  <c r="CE11" i="29"/>
  <c r="CK10" i="29"/>
  <c r="CJ11" i="29"/>
  <c r="BV31" i="23"/>
  <c r="CA32" i="23"/>
  <c r="BZ33" i="23"/>
  <c r="CF2" i="2"/>
  <c r="K10" i="14" s="1"/>
  <c r="CE3" i="2"/>
  <c r="CD4" i="2" s="1"/>
  <c r="C3" i="20"/>
  <c r="E4" i="20" s="1"/>
  <c r="G4" i="20" s="1"/>
  <c r="J4" i="20" s="1"/>
  <c r="CJ3" i="2"/>
  <c r="CJ4" i="2" s="1"/>
  <c r="CH3" i="2"/>
  <c r="CI3" i="2" s="1"/>
  <c r="L11" i="14" s="1"/>
  <c r="BU33" i="23" l="1"/>
  <c r="R547" i="32"/>
  <c r="N549" i="32"/>
  <c r="A265" i="30"/>
  <c r="CE12" i="29"/>
  <c r="CF11" i="29"/>
  <c r="CK11" i="29"/>
  <c r="CJ12" i="29"/>
  <c r="CA33" i="23"/>
  <c r="BZ34" i="23"/>
  <c r="BV32" i="23"/>
  <c r="CE4" i="2"/>
  <c r="CD5" i="2" s="1"/>
  <c r="CF3" i="2"/>
  <c r="K11" i="14" s="1"/>
  <c r="CH4" i="2"/>
  <c r="CI4" i="2" s="1"/>
  <c r="L12" i="14" s="1"/>
  <c r="CK3" i="2"/>
  <c r="M11" i="14" s="1"/>
  <c r="C4" i="20"/>
  <c r="E5" i="20" s="1"/>
  <c r="G5" i="20" s="1"/>
  <c r="J5" i="20" s="1"/>
  <c r="CJ5" i="2"/>
  <c r="CK4" i="2"/>
  <c r="M12" i="14" s="1"/>
  <c r="BU34" i="23" l="1"/>
  <c r="R549" i="32"/>
  <c r="N551" i="32"/>
  <c r="A266" i="30"/>
  <c r="CF12" i="29"/>
  <c r="CE13" i="29"/>
  <c r="CK12" i="29"/>
  <c r="CJ13" i="29"/>
  <c r="CE5" i="2"/>
  <c r="CD6" i="2" s="1"/>
  <c r="BV33" i="23"/>
  <c r="CA34" i="23"/>
  <c r="BZ35" i="23"/>
  <c r="CF4" i="2"/>
  <c r="K12" i="14" s="1"/>
  <c r="CH5" i="2"/>
  <c r="CH6" i="2" s="1"/>
  <c r="C5" i="20"/>
  <c r="E6" i="20" s="1"/>
  <c r="G6" i="20" s="1"/>
  <c r="J6" i="20" s="1"/>
  <c r="CJ6" i="2"/>
  <c r="CK5" i="2"/>
  <c r="M13" i="14" s="1"/>
  <c r="BU35" i="23" l="1"/>
  <c r="R551" i="32"/>
  <c r="N553" i="32"/>
  <c r="A267" i="30"/>
  <c r="CE14" i="29"/>
  <c r="CE15" i="29" s="1"/>
  <c r="CF13" i="29"/>
  <c r="CK13" i="29"/>
  <c r="CJ14" i="29"/>
  <c r="CE6" i="2"/>
  <c r="CD7" i="2" s="1"/>
  <c r="CA35" i="23"/>
  <c r="BZ36" i="23"/>
  <c r="BV34" i="23"/>
  <c r="C6" i="20"/>
  <c r="E7" i="20" s="1"/>
  <c r="G7" i="20" s="1"/>
  <c r="J7" i="20" s="1"/>
  <c r="CI5" i="2"/>
  <c r="L13" i="14" s="1"/>
  <c r="CF5" i="2"/>
  <c r="K13" i="14" s="1"/>
  <c r="CJ7" i="2"/>
  <c r="CJ8" i="2" s="1"/>
  <c r="CK6" i="2"/>
  <c r="CH7" i="2"/>
  <c r="CH8" i="2" s="1"/>
  <c r="CH9" i="2" s="1"/>
  <c r="CH10" i="2" s="1"/>
  <c r="CH11" i="2" s="1"/>
  <c r="CH12" i="2" s="1"/>
  <c r="CH13" i="2" s="1"/>
  <c r="CH14" i="2" s="1"/>
  <c r="CH15" i="2" s="1"/>
  <c r="CH16" i="2" s="1"/>
  <c r="CH17" i="2" s="1"/>
  <c r="CH18" i="2" s="1"/>
  <c r="CH19" i="2" s="1"/>
  <c r="CH20" i="2" s="1"/>
  <c r="CH21" i="2" s="1"/>
  <c r="CH22" i="2" s="1"/>
  <c r="CH23" i="2" s="1"/>
  <c r="CH24" i="2" s="1"/>
  <c r="CH25" i="2" s="1"/>
  <c r="CH26" i="2" s="1"/>
  <c r="CH27" i="2" s="1"/>
  <c r="CH28" i="2" s="1"/>
  <c r="CH29" i="2" s="1"/>
  <c r="CH30" i="2" s="1"/>
  <c r="CH31" i="2" s="1"/>
  <c r="CH32" i="2" s="1"/>
  <c r="CH33" i="2" s="1"/>
  <c r="CH34" i="2" s="1"/>
  <c r="CH35" i="2" s="1"/>
  <c r="CH36" i="2" s="1"/>
  <c r="CH37" i="2" s="1"/>
  <c r="CH38" i="2" s="1"/>
  <c r="CH39" i="2" s="1"/>
  <c r="CH40" i="2" s="1"/>
  <c r="CH41" i="2" s="1"/>
  <c r="CH42" i="2" s="1"/>
  <c r="CH43" i="2" s="1"/>
  <c r="CH44" i="2" s="1"/>
  <c r="CH45" i="2" s="1"/>
  <c r="CH46" i="2" s="1"/>
  <c r="CH47" i="2" s="1"/>
  <c r="CH48" i="2" s="1"/>
  <c r="CH49" i="2" s="1"/>
  <c r="CH50" i="2" s="1"/>
  <c r="CH51" i="2" s="1"/>
  <c r="CH52" i="2" s="1"/>
  <c r="CH53" i="2" s="1"/>
  <c r="CH54" i="2" s="1"/>
  <c r="CH55" i="2" s="1"/>
  <c r="CH56" i="2" s="1"/>
  <c r="CH57" i="2" s="1"/>
  <c r="CH58" i="2" s="1"/>
  <c r="CH59" i="2" s="1"/>
  <c r="CH60" i="2" s="1"/>
  <c r="CH61" i="2" s="1"/>
  <c r="CH62" i="2" s="1"/>
  <c r="CH63" i="2" s="1"/>
  <c r="CH64" i="2" s="1"/>
  <c r="CH65" i="2" s="1"/>
  <c r="CH66" i="2" s="1"/>
  <c r="CH67" i="2" s="1"/>
  <c r="CH68" i="2" s="1"/>
  <c r="CH69" i="2" s="1"/>
  <c r="CH70" i="2" s="1"/>
  <c r="CH71" i="2" s="1"/>
  <c r="CH72" i="2" s="1"/>
  <c r="CH73" i="2" s="1"/>
  <c r="CH74" i="2" s="1"/>
  <c r="CH75" i="2" s="1"/>
  <c r="CH76" i="2" s="1"/>
  <c r="CH77" i="2" s="1"/>
  <c r="CH78" i="2" s="1"/>
  <c r="CH79" i="2" s="1"/>
  <c r="CH80" i="2" s="1"/>
  <c r="CH81" i="2" s="1"/>
  <c r="CI6" i="2"/>
  <c r="BU36" i="23" l="1"/>
  <c r="CF14" i="29"/>
  <c r="R553" i="32"/>
  <c r="N555" i="32"/>
  <c r="A268" i="30"/>
  <c r="CK14" i="29"/>
  <c r="CJ15" i="29"/>
  <c r="CF15" i="29"/>
  <c r="CE16" i="29"/>
  <c r="CF16" i="29" s="1"/>
  <c r="CE7" i="2"/>
  <c r="CD8" i="2" s="1"/>
  <c r="BV35" i="23"/>
  <c r="CA36" i="23"/>
  <c r="BZ37" i="23"/>
  <c r="CF6" i="2"/>
  <c r="K14" i="14" s="1"/>
  <c r="C7" i="20"/>
  <c r="E8" i="20" s="1"/>
  <c r="G8" i="20" s="1"/>
  <c r="J8" i="20" s="1"/>
  <c r="CK7" i="2"/>
  <c r="M15" i="14" s="1"/>
  <c r="M14" i="14"/>
  <c r="CJ9" i="2"/>
  <c r="CK8" i="2"/>
  <c r="M16" i="14" s="1"/>
  <c r="CI7" i="2"/>
  <c r="L14" i="14"/>
  <c r="BU37" i="23" l="1"/>
  <c r="R555" i="32"/>
  <c r="N557" i="32"/>
  <c r="A269" i="30"/>
  <c r="CK15" i="29"/>
  <c r="CJ16" i="29"/>
  <c r="CK16" i="29" s="1"/>
  <c r="CE8" i="2"/>
  <c r="CA37" i="23"/>
  <c r="BZ38" i="23"/>
  <c r="BV36" i="23"/>
  <c r="CF7" i="2"/>
  <c r="K15" i="14" s="1"/>
  <c r="C8" i="20"/>
  <c r="E9" i="20" s="1"/>
  <c r="G9" i="20" s="1"/>
  <c r="J9" i="20" s="1"/>
  <c r="CJ10" i="2"/>
  <c r="CK9" i="2"/>
  <c r="M17" i="14" s="1"/>
  <c r="CI8" i="2"/>
  <c r="L15" i="14"/>
  <c r="BU38" i="23" l="1"/>
  <c r="CE9" i="2"/>
  <c r="CD10" i="2" s="1"/>
  <c r="CD9" i="2"/>
  <c r="R557" i="32"/>
  <c r="N559" i="32"/>
  <c r="A270" i="30"/>
  <c r="C9" i="20"/>
  <c r="E10" i="20" s="1"/>
  <c r="G10" i="20" s="1"/>
  <c r="J10" i="20" s="1"/>
  <c r="CF8" i="2"/>
  <c r="K16" i="14" s="1"/>
  <c r="BV37" i="23"/>
  <c r="CA38" i="23"/>
  <c r="BZ39" i="23"/>
  <c r="CJ11" i="2"/>
  <c r="CK10" i="2"/>
  <c r="M18" i="14" s="1"/>
  <c r="CI9" i="2"/>
  <c r="L16" i="14"/>
  <c r="BU39" i="23" l="1"/>
  <c r="D3289" i="30"/>
  <c r="R559" i="32"/>
  <c r="N561" i="32"/>
  <c r="A271" i="30"/>
  <c r="CF9" i="2"/>
  <c r="K17" i="14" s="1"/>
  <c r="C10" i="20"/>
  <c r="E11" i="20" s="1"/>
  <c r="G11" i="20" s="1"/>
  <c r="J11" i="20" s="1"/>
  <c r="CE10" i="2"/>
  <c r="CA39" i="23"/>
  <c r="BZ40" i="23"/>
  <c r="BV38" i="23"/>
  <c r="CJ12" i="2"/>
  <c r="CK11" i="2"/>
  <c r="M19" i="14" s="1"/>
  <c r="CI10" i="2"/>
  <c r="L17" i="14"/>
  <c r="BU40" i="23" l="1"/>
  <c r="CF10" i="2"/>
  <c r="K18" i="14" s="1"/>
  <c r="CD11" i="2"/>
  <c r="R561" i="32"/>
  <c r="N563" i="32"/>
  <c r="A272" i="30"/>
  <c r="C11" i="20"/>
  <c r="E12" i="20" s="1"/>
  <c r="G12" i="20" s="1"/>
  <c r="J12" i="20" s="1"/>
  <c r="CE11" i="2"/>
  <c r="BV39" i="23"/>
  <c r="CA40" i="23"/>
  <c r="BZ41" i="23"/>
  <c r="CA41" i="23" s="1"/>
  <c r="CJ13" i="2"/>
  <c r="CK12" i="2"/>
  <c r="M20" i="14" s="1"/>
  <c r="CI11" i="2"/>
  <c r="L18" i="14"/>
  <c r="BU41" i="23" l="1"/>
  <c r="C12" i="20"/>
  <c r="E13" i="20" s="1"/>
  <c r="G13" i="20" s="1"/>
  <c r="J13" i="20" s="1"/>
  <c r="CD12" i="2"/>
  <c r="R563" i="32"/>
  <c r="N565" i="32"/>
  <c r="A273" i="30"/>
  <c r="CF11" i="2"/>
  <c r="K19" i="14" s="1"/>
  <c r="CE12" i="2"/>
  <c r="BV40" i="23"/>
  <c r="BV41" i="23"/>
  <c r="C31" i="1" s="1"/>
  <c r="L19" i="14"/>
  <c r="CI12" i="2"/>
  <c r="CJ14" i="2"/>
  <c r="CK13" i="2"/>
  <c r="M21" i="14" s="1"/>
  <c r="CF12" i="2" l="1"/>
  <c r="K20" i="14" s="1"/>
  <c r="CD13" i="2"/>
  <c r="R565" i="32"/>
  <c r="N567" i="32"/>
  <c r="A274" i="30"/>
  <c r="C13" i="20"/>
  <c r="E14" i="20" s="1"/>
  <c r="G14" i="20" s="1"/>
  <c r="J14" i="20" s="1"/>
  <c r="CE13" i="2"/>
  <c r="CI13" i="2"/>
  <c r="L20" i="14"/>
  <c r="CJ15" i="2"/>
  <c r="CK14" i="2"/>
  <c r="M22" i="14" s="1"/>
  <c r="D4385" i="30" l="1"/>
  <c r="D4386" i="30" s="1"/>
  <c r="D4387" i="30" s="1"/>
  <c r="D4388" i="30" s="1"/>
  <c r="D4389" i="30" s="1"/>
  <c r="D4390" i="30" s="1"/>
  <c r="D4391" i="30" s="1"/>
  <c r="D4392" i="30" s="1"/>
  <c r="D4393" i="30" s="1"/>
  <c r="D4394" i="30" s="1"/>
  <c r="D4395" i="30" s="1"/>
  <c r="D4396" i="30" s="1"/>
  <c r="D4397" i="30" s="1"/>
  <c r="D4398" i="30" s="1"/>
  <c r="D4399" i="30" s="1"/>
  <c r="D4400" i="30" s="1"/>
  <c r="D4401" i="30" s="1"/>
  <c r="D4402" i="30" s="1"/>
  <c r="D4403" i="30" s="1"/>
  <c r="D4404" i="30" s="1"/>
  <c r="D4405" i="30" s="1"/>
  <c r="D4406" i="30" s="1"/>
  <c r="D4407" i="30" s="1"/>
  <c r="D4408" i="30" s="1"/>
  <c r="D4409" i="30" s="1"/>
  <c r="D4410" i="30" s="1"/>
  <c r="D4411" i="30" s="1"/>
  <c r="D4412" i="30" s="1"/>
  <c r="D4413" i="30" s="1"/>
  <c r="D4414" i="30" s="1"/>
  <c r="D4415" i="30" s="1"/>
  <c r="D4416" i="30" s="1"/>
  <c r="D4417" i="30" s="1"/>
  <c r="D4418" i="30" s="1"/>
  <c r="D4419" i="30" s="1"/>
  <c r="D4420" i="30" s="1"/>
  <c r="D4421" i="30" s="1"/>
  <c r="D4422" i="30" s="1"/>
  <c r="D4423" i="30" s="1"/>
  <c r="D4424" i="30" s="1"/>
  <c r="D4425" i="30" s="1"/>
  <c r="D4426" i="30" s="1"/>
  <c r="D4427" i="30" s="1"/>
  <c r="D4428" i="30" s="1"/>
  <c r="D4429" i="30" s="1"/>
  <c r="D4430" i="30" s="1"/>
  <c r="D4431" i="30" s="1"/>
  <c r="D4432" i="30" s="1"/>
  <c r="D4433" i="30" s="1"/>
  <c r="D4434" i="30" s="1"/>
  <c r="D4435" i="30" s="1"/>
  <c r="D4436" i="30" s="1"/>
  <c r="D4437" i="30" s="1"/>
  <c r="D4438" i="30" s="1"/>
  <c r="D4439" i="30" s="1"/>
  <c r="D4440" i="30" s="1"/>
  <c r="D4441" i="30" s="1"/>
  <c r="D4442" i="30" s="1"/>
  <c r="D4443" i="30" s="1"/>
  <c r="D4444" i="30" s="1"/>
  <c r="D4445" i="30" s="1"/>
  <c r="D4446" i="30" s="1"/>
  <c r="D4447" i="30" s="1"/>
  <c r="D4448" i="30" s="1"/>
  <c r="D4449" i="30" s="1"/>
  <c r="D4450" i="30" s="1"/>
  <c r="D4451" i="30" s="1"/>
  <c r="D4452" i="30" s="1"/>
  <c r="D4453" i="30" s="1"/>
  <c r="D4454" i="30" s="1"/>
  <c r="D4455" i="30" s="1"/>
  <c r="D4456" i="30" s="1"/>
  <c r="D4457" i="30" s="1"/>
  <c r="D4458" i="30" s="1"/>
  <c r="D4459" i="30" s="1"/>
  <c r="D4460" i="30" s="1"/>
  <c r="D4461" i="30" s="1"/>
  <c r="D4462" i="30" s="1"/>
  <c r="D4463" i="30" s="1"/>
  <c r="D4464" i="30" s="1"/>
  <c r="D4465" i="30" s="1"/>
  <c r="D4466" i="30" s="1"/>
  <c r="D4467" i="30" s="1"/>
  <c r="D4468" i="30" s="1"/>
  <c r="D4469" i="30" s="1"/>
  <c r="D4470" i="30" s="1"/>
  <c r="D4471" i="30" s="1"/>
  <c r="D4472" i="30" s="1"/>
  <c r="D4473" i="30" s="1"/>
  <c r="D4474" i="30" s="1"/>
  <c r="CF13" i="2"/>
  <c r="K21" i="14" s="1"/>
  <c r="CD14" i="2"/>
  <c r="R567" i="32"/>
  <c r="N569" i="32"/>
  <c r="A275" i="30"/>
  <c r="CE14" i="2"/>
  <c r="CD15" i="2" s="1"/>
  <c r="C14" i="20"/>
  <c r="E15" i="20" s="1"/>
  <c r="G15" i="20" s="1"/>
  <c r="J15" i="20" s="1"/>
  <c r="L21" i="14"/>
  <c r="CI14" i="2"/>
  <c r="CJ16" i="2"/>
  <c r="CK15" i="2"/>
  <c r="M23" i="14" s="1"/>
  <c r="Q10" i="30" l="1"/>
  <c r="D4475" i="30"/>
  <c r="D4476" i="30" s="1"/>
  <c r="D4477" i="30" s="1"/>
  <c r="D4478" i="30" s="1"/>
  <c r="D4479" i="30" s="1"/>
  <c r="D4480" i="30" s="1"/>
  <c r="D4481" i="30" s="1"/>
  <c r="D4482" i="30" s="1"/>
  <c r="D4483" i="30" s="1"/>
  <c r="D4484" i="30" s="1"/>
  <c r="D4485" i="30" s="1"/>
  <c r="D4486" i="30" s="1"/>
  <c r="D4487" i="30" s="1"/>
  <c r="D4488" i="30" s="1"/>
  <c r="D4489" i="30" s="1"/>
  <c r="D4490" i="30" s="1"/>
  <c r="D4491" i="30" s="1"/>
  <c r="D4492" i="30" s="1"/>
  <c r="D4493" i="30" s="1"/>
  <c r="D4494" i="30" s="1"/>
  <c r="D4495" i="30" s="1"/>
  <c r="D4496" i="30" s="1"/>
  <c r="D4497" i="30" s="1"/>
  <c r="D4498" i="30" s="1"/>
  <c r="D4499" i="30" s="1"/>
  <c r="D4500" i="30" s="1"/>
  <c r="D4501" i="30" s="1"/>
  <c r="D4502" i="30" s="1"/>
  <c r="D4503" i="30" s="1"/>
  <c r="D4504" i="30" s="1"/>
  <c r="D4505" i="30" s="1"/>
  <c r="D4506" i="30" s="1"/>
  <c r="D4507" i="30" s="1"/>
  <c r="D4508" i="30" s="1"/>
  <c r="D4509" i="30" s="1"/>
  <c r="D4510" i="30" s="1"/>
  <c r="D4511" i="30" s="1"/>
  <c r="D4512" i="30" s="1"/>
  <c r="D4513" i="30" s="1"/>
  <c r="D4514" i="30" s="1"/>
  <c r="D4515" i="30" s="1"/>
  <c r="D4516" i="30" s="1"/>
  <c r="D4517" i="30" s="1"/>
  <c r="D4518" i="30" s="1"/>
  <c r="D4519" i="30" s="1"/>
  <c r="D4520" i="30" s="1"/>
  <c r="D4521" i="30" s="1"/>
  <c r="D4522" i="30" s="1"/>
  <c r="D4523" i="30" s="1"/>
  <c r="D4524" i="30" s="1"/>
  <c r="D4525" i="30" s="1"/>
  <c r="D4526" i="30" s="1"/>
  <c r="D4527" i="30" s="1"/>
  <c r="D4528" i="30" s="1"/>
  <c r="D4529" i="30" s="1"/>
  <c r="D4530" i="30" s="1"/>
  <c r="D4531" i="30" s="1"/>
  <c r="D4532" i="30" s="1"/>
  <c r="D4533" i="30" s="1"/>
  <c r="D4534" i="30" s="1"/>
  <c r="D4535" i="30" s="1"/>
  <c r="D4536" i="30" s="1"/>
  <c r="D4537" i="30" s="1"/>
  <c r="D4538" i="30" s="1"/>
  <c r="D4539" i="30" s="1"/>
  <c r="D4540" i="30" s="1"/>
  <c r="D4541" i="30" s="1"/>
  <c r="D4542" i="30" s="1"/>
  <c r="D4543" i="30" s="1"/>
  <c r="D4544" i="30" s="1"/>
  <c r="D4545" i="30" s="1"/>
  <c r="D4546" i="30" s="1"/>
  <c r="D4547" i="30" s="1"/>
  <c r="D4548" i="30" s="1"/>
  <c r="D4549" i="30" s="1"/>
  <c r="D4550" i="30" s="1"/>
  <c r="D4551" i="30" s="1"/>
  <c r="D4552" i="30" s="1"/>
  <c r="D4553" i="30" s="1"/>
  <c r="D4554" i="30" s="1"/>
  <c r="D4555" i="30" s="1"/>
  <c r="D4556" i="30" s="1"/>
  <c r="D4557" i="30" s="1"/>
  <c r="D4558" i="30" s="1"/>
  <c r="D4559" i="30" s="1"/>
  <c r="D4560" i="30" s="1"/>
  <c r="D4561" i="30" s="1"/>
  <c r="D4562" i="30" s="1"/>
  <c r="D4563" i="30" s="1"/>
  <c r="D4564" i="30" s="1"/>
  <c r="D4565" i="30" s="1"/>
  <c r="D4566" i="30" s="1"/>
  <c r="D4567" i="30" s="1"/>
  <c r="D4568" i="30" s="1"/>
  <c r="D4569" i="30" s="1"/>
  <c r="D4570" i="30" s="1"/>
  <c r="D4571" i="30" s="1"/>
  <c r="D4572" i="30" s="1"/>
  <c r="D4573" i="30" s="1"/>
  <c r="D4574" i="30" s="1"/>
  <c r="D4575" i="30" s="1"/>
  <c r="D4576" i="30" s="1"/>
  <c r="D4577" i="30" s="1"/>
  <c r="D4578" i="30" s="1"/>
  <c r="D4579" i="30" s="1"/>
  <c r="D4580" i="30" s="1"/>
  <c r="D4581" i="30" s="1"/>
  <c r="D4582" i="30" s="1"/>
  <c r="D4583" i="30" s="1"/>
  <c r="D4584" i="30" s="1"/>
  <c r="D4585" i="30" s="1"/>
  <c r="D4586" i="30" s="1"/>
  <c r="D4587" i="30" s="1"/>
  <c r="D4588" i="30" s="1"/>
  <c r="D4589" i="30" s="1"/>
  <c r="D4590" i="30" s="1"/>
  <c r="D4591" i="30" s="1"/>
  <c r="D4592" i="30" s="1"/>
  <c r="D4593" i="30" s="1"/>
  <c r="D4594" i="30" s="1"/>
  <c r="D4595" i="30" s="1"/>
  <c r="D4596" i="30" s="1"/>
  <c r="D4597" i="30" s="1"/>
  <c r="D4598" i="30" s="1"/>
  <c r="D4599" i="30" s="1"/>
  <c r="D4600" i="30" s="1"/>
  <c r="D4601" i="30" s="1"/>
  <c r="D4602" i="30" s="1"/>
  <c r="D4603" i="30" s="1"/>
  <c r="D4604" i="30" s="1"/>
  <c r="D4605" i="30" s="1"/>
  <c r="D4606" i="30" s="1"/>
  <c r="D4607" i="30" s="1"/>
  <c r="D4608" i="30" s="1"/>
  <c r="D4609" i="30" s="1"/>
  <c r="D4610" i="30" s="1"/>
  <c r="D4611" i="30" s="1"/>
  <c r="D4612" i="30" s="1"/>
  <c r="D4613" i="30" s="1"/>
  <c r="D4614" i="30" s="1"/>
  <c r="D4615" i="30" s="1"/>
  <c r="D4616" i="30" s="1"/>
  <c r="D4617" i="30" s="1"/>
  <c r="D4618" i="30" s="1"/>
  <c r="D4619" i="30" s="1"/>
  <c r="D4620" i="30" s="1"/>
  <c r="D4621" i="30" s="1"/>
  <c r="D4622" i="30" s="1"/>
  <c r="D4623" i="30" s="1"/>
  <c r="D4624" i="30" s="1"/>
  <c r="D4625" i="30" s="1"/>
  <c r="D4626" i="30" s="1"/>
  <c r="D4627" i="30" s="1"/>
  <c r="D4628" i="30" s="1"/>
  <c r="D4629" i="30" s="1"/>
  <c r="D4630" i="30" s="1"/>
  <c r="D4631" i="30" s="1"/>
  <c r="D4632" i="30" s="1"/>
  <c r="D4633" i="30" s="1"/>
  <c r="D4634" i="30" s="1"/>
  <c r="D4635" i="30" s="1"/>
  <c r="D4636" i="30" s="1"/>
  <c r="D4637" i="30" s="1"/>
  <c r="D4638" i="30" s="1"/>
  <c r="D4639" i="30" s="1"/>
  <c r="D4640" i="30" s="1"/>
  <c r="D4641" i="30" s="1"/>
  <c r="D4642" i="30" s="1"/>
  <c r="D4643" i="30" s="1"/>
  <c r="D4644" i="30" s="1"/>
  <c r="D4645" i="30" s="1"/>
  <c r="D4646" i="30" s="1"/>
  <c r="D4647" i="30" s="1"/>
  <c r="D4648" i="30" s="1"/>
  <c r="D4649" i="30" s="1"/>
  <c r="D4650" i="30" s="1"/>
  <c r="D4651" i="30" s="1"/>
  <c r="D4652" i="30" s="1"/>
  <c r="D4653" i="30" s="1"/>
  <c r="D4654" i="30" s="1"/>
  <c r="D4655" i="30" s="1"/>
  <c r="D4656" i="30" s="1"/>
  <c r="D4657" i="30" s="1"/>
  <c r="D4658" i="30" s="1"/>
  <c r="D4659" i="30" s="1"/>
  <c r="D4660" i="30" s="1"/>
  <c r="D4661" i="30" s="1"/>
  <c r="D4662" i="30" s="1"/>
  <c r="D4663" i="30" s="1"/>
  <c r="D4664" i="30" s="1"/>
  <c r="D4665" i="30" s="1"/>
  <c r="D4666" i="30" s="1"/>
  <c r="D4667" i="30" s="1"/>
  <c r="D4668" i="30" s="1"/>
  <c r="D4669" i="30" s="1"/>
  <c r="D4670" i="30" s="1"/>
  <c r="D4671" i="30" s="1"/>
  <c r="D4672" i="30" s="1"/>
  <c r="D4673" i="30" s="1"/>
  <c r="D4674" i="30" s="1"/>
  <c r="D4675" i="30" s="1"/>
  <c r="D4676" i="30" s="1"/>
  <c r="D4677" i="30" s="1"/>
  <c r="D4678" i="30" s="1"/>
  <c r="D4679" i="30" s="1"/>
  <c r="D4680" i="30" s="1"/>
  <c r="D4681" i="30" s="1"/>
  <c r="D4682" i="30" s="1"/>
  <c r="D4683" i="30" s="1"/>
  <c r="D4684" i="30" s="1"/>
  <c r="D4685" i="30" s="1"/>
  <c r="D4686" i="30" s="1"/>
  <c r="D4687" i="30" s="1"/>
  <c r="D4688" i="30" s="1"/>
  <c r="D4689" i="30" s="1"/>
  <c r="D4690" i="30" s="1"/>
  <c r="D4691" i="30" s="1"/>
  <c r="D4692" i="30" s="1"/>
  <c r="D4693" i="30" s="1"/>
  <c r="D4694" i="30" s="1"/>
  <c r="D4695" i="30" s="1"/>
  <c r="D4696" i="30" s="1"/>
  <c r="D4697" i="30" s="1"/>
  <c r="D4698" i="30" s="1"/>
  <c r="D4699" i="30" s="1"/>
  <c r="D4700" i="30" s="1"/>
  <c r="D4701" i="30" s="1"/>
  <c r="D4702" i="30" s="1"/>
  <c r="D4703" i="30" s="1"/>
  <c r="D4704" i="30" s="1"/>
  <c r="D4705" i="30" s="1"/>
  <c r="D4706" i="30" s="1"/>
  <c r="D4707" i="30" s="1"/>
  <c r="D4708" i="30" s="1"/>
  <c r="D4709" i="30" s="1"/>
  <c r="D4710" i="30" s="1"/>
  <c r="D4711" i="30" s="1"/>
  <c r="D4712" i="30" s="1"/>
  <c r="D4713" i="30" s="1"/>
  <c r="D4714" i="30" s="1"/>
  <c r="D4715" i="30" s="1"/>
  <c r="D4716" i="30" s="1"/>
  <c r="D4717" i="30" s="1"/>
  <c r="D4718" i="30" s="1"/>
  <c r="D4719" i="30" s="1"/>
  <c r="D4720" i="30" s="1"/>
  <c r="D4721" i="30" s="1"/>
  <c r="D4722" i="30" s="1"/>
  <c r="D4723" i="30" s="1"/>
  <c r="D4724" i="30" s="1"/>
  <c r="D4725" i="30" s="1"/>
  <c r="D4726" i="30" s="1"/>
  <c r="D4727" i="30" s="1"/>
  <c r="D4728" i="30" s="1"/>
  <c r="D4729" i="30" s="1"/>
  <c r="D4730" i="30" s="1"/>
  <c r="D4731" i="30" s="1"/>
  <c r="D4732" i="30" s="1"/>
  <c r="D4733" i="30" s="1"/>
  <c r="D4734" i="30" s="1"/>
  <c r="D4735" i="30" s="1"/>
  <c r="D4736" i="30" s="1"/>
  <c r="D4737" i="30" s="1"/>
  <c r="D4738" i="30" s="1"/>
  <c r="D4739" i="30" s="1"/>
  <c r="D4740" i="30" s="1"/>
  <c r="D4741" i="30" s="1"/>
  <c r="D4742" i="30" s="1"/>
  <c r="D4743" i="30" s="1"/>
  <c r="D4744" i="30" s="1"/>
  <c r="D4745" i="30" s="1"/>
  <c r="D4746" i="30" s="1"/>
  <c r="D4747" i="30" s="1"/>
  <c r="D4748" i="30" s="1"/>
  <c r="D4749" i="30" s="1"/>
  <c r="Q7" i="30"/>
  <c r="R569" i="32"/>
  <c r="N571" i="32"/>
  <c r="A276" i="30"/>
  <c r="CE15" i="2"/>
  <c r="CD16" i="2" s="1"/>
  <c r="CF14" i="2"/>
  <c r="K22" i="14" s="1"/>
  <c r="C15" i="20"/>
  <c r="E16" i="20" s="1"/>
  <c r="G16" i="20" s="1"/>
  <c r="J16" i="20" s="1"/>
  <c r="CI15" i="2"/>
  <c r="L22" i="14"/>
  <c r="CJ17" i="2"/>
  <c r="CK16" i="2"/>
  <c r="M24" i="14" s="1"/>
  <c r="CJ45" i="2"/>
  <c r="D4841" i="30" l="1"/>
  <c r="D4842" i="30" s="1"/>
  <c r="D4843" i="30" s="1"/>
  <c r="D4844" i="30" s="1"/>
  <c r="D4845" i="30" s="1"/>
  <c r="D4846" i="30" s="1"/>
  <c r="D4847" i="30" s="1"/>
  <c r="D4848" i="30" s="1"/>
  <c r="D4849" i="30" s="1"/>
  <c r="D4850" i="30" s="1"/>
  <c r="D4851" i="30" s="1"/>
  <c r="D4852" i="30" s="1"/>
  <c r="D4853" i="30" s="1"/>
  <c r="D4854" i="30" s="1"/>
  <c r="D4855" i="30" s="1"/>
  <c r="D4856" i="30" s="1"/>
  <c r="D4857" i="30" s="1"/>
  <c r="D4858" i="30" s="1"/>
  <c r="D4859" i="30" s="1"/>
  <c r="D4860" i="30" s="1"/>
  <c r="D4861" i="30" s="1"/>
  <c r="D4862" i="30" s="1"/>
  <c r="D4863" i="30" s="1"/>
  <c r="D4864" i="30" s="1"/>
  <c r="D4865" i="30" s="1"/>
  <c r="D4866" i="30" s="1"/>
  <c r="D4867" i="30" s="1"/>
  <c r="D4868" i="30" s="1"/>
  <c r="D4869" i="30" s="1"/>
  <c r="D4870" i="30" s="1"/>
  <c r="D4871" i="30" s="1"/>
  <c r="D4872" i="30" s="1"/>
  <c r="D4873" i="30" s="1"/>
  <c r="D4874" i="30" s="1"/>
  <c r="D4875" i="30" s="1"/>
  <c r="D4876" i="30" s="1"/>
  <c r="D4877" i="30" s="1"/>
  <c r="D4878" i="30" s="1"/>
  <c r="D4879" i="30" s="1"/>
  <c r="D4880" i="30" s="1"/>
  <c r="D4881" i="30" s="1"/>
  <c r="D4882" i="30" s="1"/>
  <c r="D4883" i="30" s="1"/>
  <c r="D4884" i="30" s="1"/>
  <c r="D4885" i="30" s="1"/>
  <c r="D4886" i="30" s="1"/>
  <c r="D4887" i="30" s="1"/>
  <c r="D4888" i="30" s="1"/>
  <c r="D4889" i="30" s="1"/>
  <c r="D4890" i="30" s="1"/>
  <c r="D4891" i="30" s="1"/>
  <c r="D4892" i="30" s="1"/>
  <c r="D4893" i="30" s="1"/>
  <c r="D4894" i="30" s="1"/>
  <c r="D4895" i="30" s="1"/>
  <c r="D4896" i="30" s="1"/>
  <c r="D4897" i="30" s="1"/>
  <c r="D4898" i="30" s="1"/>
  <c r="D4899" i="30" s="1"/>
  <c r="D4900" i="30" s="1"/>
  <c r="D4901" i="30" s="1"/>
  <c r="D4902" i="30" s="1"/>
  <c r="D4903" i="30" s="1"/>
  <c r="D4904" i="30" s="1"/>
  <c r="D4905" i="30" s="1"/>
  <c r="D4906" i="30" s="1"/>
  <c r="D4907" i="30" s="1"/>
  <c r="D4908" i="30" s="1"/>
  <c r="D4909" i="30" s="1"/>
  <c r="D4910" i="30" s="1"/>
  <c r="D4911" i="30" s="1"/>
  <c r="D4912" i="30" s="1"/>
  <c r="D4913" i="30" s="1"/>
  <c r="D4914" i="30" s="1"/>
  <c r="D4915" i="30" s="1"/>
  <c r="D4916" i="30" s="1"/>
  <c r="D4917" i="30" s="1"/>
  <c r="D4918" i="30" s="1"/>
  <c r="D4919" i="30" s="1"/>
  <c r="D4920" i="30" s="1"/>
  <c r="D4921" i="30" s="1"/>
  <c r="D4922" i="30" s="1"/>
  <c r="D4923" i="30" s="1"/>
  <c r="D4924" i="30" s="1"/>
  <c r="D4925" i="30" s="1"/>
  <c r="D4926" i="30" s="1"/>
  <c r="D4927" i="30" s="1"/>
  <c r="D4928" i="30" s="1"/>
  <c r="D4929" i="30" s="1"/>
  <c r="D4930" i="30" s="1"/>
  <c r="D4931" i="30" s="1"/>
  <c r="D4932" i="30" s="1"/>
  <c r="D4933" i="30" s="1"/>
  <c r="D4934" i="30" s="1"/>
  <c r="D4935" i="30" s="1"/>
  <c r="D4936" i="30" s="1"/>
  <c r="D4937" i="30" s="1"/>
  <c r="D4938" i="30" s="1"/>
  <c r="D4939" i="30" s="1"/>
  <c r="D4940" i="30" s="1"/>
  <c r="D4941" i="30" s="1"/>
  <c r="D4942" i="30" s="1"/>
  <c r="D4943" i="30" s="1"/>
  <c r="D4944" i="30" s="1"/>
  <c r="D4945" i="30" s="1"/>
  <c r="D4946" i="30" s="1"/>
  <c r="D4947" i="30" s="1"/>
  <c r="D4948" i="30" s="1"/>
  <c r="D4949" i="30" s="1"/>
  <c r="D4950" i="30" s="1"/>
  <c r="D4951" i="30" s="1"/>
  <c r="D4952" i="30" s="1"/>
  <c r="D4953" i="30" s="1"/>
  <c r="D4954" i="30" s="1"/>
  <c r="D4955" i="30" s="1"/>
  <c r="D4956" i="30" s="1"/>
  <c r="D4957" i="30" s="1"/>
  <c r="D4958" i="30" s="1"/>
  <c r="D4959" i="30" s="1"/>
  <c r="D4960" i="30" s="1"/>
  <c r="D4961" i="30" s="1"/>
  <c r="D4962" i="30" s="1"/>
  <c r="D4963" i="30" s="1"/>
  <c r="D4964" i="30" s="1"/>
  <c r="D4965" i="30" s="1"/>
  <c r="D4966" i="30" s="1"/>
  <c r="D4967" i="30" s="1"/>
  <c r="D4968" i="30" s="1"/>
  <c r="D4969" i="30" s="1"/>
  <c r="D4970" i="30" s="1"/>
  <c r="D4971" i="30" s="1"/>
  <c r="D4972" i="30" s="1"/>
  <c r="D4973" i="30" s="1"/>
  <c r="D4974" i="30" s="1"/>
  <c r="D4975" i="30" s="1"/>
  <c r="D4976" i="30" s="1"/>
  <c r="D4977" i="30" s="1"/>
  <c r="D4978" i="30" s="1"/>
  <c r="D4979" i="30" s="1"/>
  <c r="D4980" i="30" s="1"/>
  <c r="D4981" i="30" s="1"/>
  <c r="D4982" i="30" s="1"/>
  <c r="D4983" i="30" s="1"/>
  <c r="D4984" i="30" s="1"/>
  <c r="D4985" i="30" s="1"/>
  <c r="D4986" i="30" s="1"/>
  <c r="D4987" i="30" s="1"/>
  <c r="D4988" i="30" s="1"/>
  <c r="D4989" i="30" s="1"/>
  <c r="D4990" i="30" s="1"/>
  <c r="D4991" i="30" s="1"/>
  <c r="D4992" i="30" s="1"/>
  <c r="D4993" i="30" s="1"/>
  <c r="D4994" i="30" s="1"/>
  <c r="D4995" i="30" s="1"/>
  <c r="D4996" i="30" s="1"/>
  <c r="D4997" i="30" s="1"/>
  <c r="D4998" i="30" s="1"/>
  <c r="D4999" i="30" s="1"/>
  <c r="D5000" i="30" s="1"/>
  <c r="D5001" i="30" s="1"/>
  <c r="D5002" i="30" s="1"/>
  <c r="D5003" i="30" s="1"/>
  <c r="D5004" i="30" s="1"/>
  <c r="D5005" i="30" s="1"/>
  <c r="D5006" i="30" s="1"/>
  <c r="D5007" i="30" s="1"/>
  <c r="D5008" i="30" s="1"/>
  <c r="D5009" i="30" s="1"/>
  <c r="D5010" i="30" s="1"/>
  <c r="D5011" i="30" s="1"/>
  <c r="D5012" i="30" s="1"/>
  <c r="D5013" i="30" s="1"/>
  <c r="D5014" i="30" s="1"/>
  <c r="D5015" i="30" s="1"/>
  <c r="D5016" i="30" s="1"/>
  <c r="D5017" i="30" s="1"/>
  <c r="D5018" i="30" s="1"/>
  <c r="D5019" i="30" s="1"/>
  <c r="D5020" i="30" s="1"/>
  <c r="D5021" i="30" s="1"/>
  <c r="D5022" i="30" s="1"/>
  <c r="D5023" i="30" s="1"/>
  <c r="D5024" i="30" s="1"/>
  <c r="D5025" i="30" s="1"/>
  <c r="D5026" i="30" s="1"/>
  <c r="D5027" i="30" s="1"/>
  <c r="D5028" i="30" s="1"/>
  <c r="D5029" i="30" s="1"/>
  <c r="D5030" i="30" s="1"/>
  <c r="D5031" i="30" s="1"/>
  <c r="D5032" i="30" s="1"/>
  <c r="D5033" i="30" s="1"/>
  <c r="D5034" i="30" s="1"/>
  <c r="D5035" i="30" s="1"/>
  <c r="D5036" i="30" s="1"/>
  <c r="D5037" i="30" s="1"/>
  <c r="D5038" i="30" s="1"/>
  <c r="D5039" i="30" s="1"/>
  <c r="D5040" i="30" s="1"/>
  <c r="D5041" i="30" s="1"/>
  <c r="D5042" i="30" s="1"/>
  <c r="D5043" i="30" s="1"/>
  <c r="D5044" i="30" s="1"/>
  <c r="D5045" i="30" s="1"/>
  <c r="D5046" i="30" s="1"/>
  <c r="D5047" i="30" s="1"/>
  <c r="D5048" i="30" s="1"/>
  <c r="D5049" i="30" s="1"/>
  <c r="D5050" i="30" s="1"/>
  <c r="D5051" i="30" s="1"/>
  <c r="D5052" i="30" s="1"/>
  <c r="D5053" i="30" s="1"/>
  <c r="D5054" i="30" s="1"/>
  <c r="D5055" i="30" s="1"/>
  <c r="D5056" i="30" s="1"/>
  <c r="D5057" i="30" s="1"/>
  <c r="D5058" i="30" s="1"/>
  <c r="D5059" i="30" s="1"/>
  <c r="D5060" i="30" s="1"/>
  <c r="D5061" i="30" s="1"/>
  <c r="D5062" i="30" s="1"/>
  <c r="D5063" i="30" s="1"/>
  <c r="D5064" i="30" s="1"/>
  <c r="D5065" i="30" s="1"/>
  <c r="D5066" i="30" s="1"/>
  <c r="D5067" i="30" s="1"/>
  <c r="D5068" i="30" s="1"/>
  <c r="D5069" i="30" s="1"/>
  <c r="D5070" i="30" s="1"/>
  <c r="D5071" i="30" s="1"/>
  <c r="D5072" i="30" s="1"/>
  <c r="D5073" i="30" s="1"/>
  <c r="D5074" i="30" s="1"/>
  <c r="D5075" i="30" s="1"/>
  <c r="D5076" i="30" s="1"/>
  <c r="D5077" i="30" s="1"/>
  <c r="D5078" i="30" s="1"/>
  <c r="D5079" i="30" s="1"/>
  <c r="D5080" i="30" s="1"/>
  <c r="D5081" i="30" s="1"/>
  <c r="D5082" i="30" s="1"/>
  <c r="D5083" i="30" s="1"/>
  <c r="D5084" i="30" s="1"/>
  <c r="D5085" i="30" s="1"/>
  <c r="D5086" i="30" s="1"/>
  <c r="D5087" i="30" s="1"/>
  <c r="D5088" i="30" s="1"/>
  <c r="D5089" i="30" s="1"/>
  <c r="D5090" i="30" s="1"/>
  <c r="D5091" i="30" s="1"/>
  <c r="D5092" i="30" s="1"/>
  <c r="D5093" i="30" s="1"/>
  <c r="D5094" i="30" s="1"/>
  <c r="D5095" i="30" s="1"/>
  <c r="D5096" i="30" s="1"/>
  <c r="D5097" i="30" s="1"/>
  <c r="D5098" i="30" s="1"/>
  <c r="D5099" i="30" s="1"/>
  <c r="D5100" i="30" s="1"/>
  <c r="D5101" i="30" s="1"/>
  <c r="D5102" i="30" s="1"/>
  <c r="D5103" i="30" s="1"/>
  <c r="D5104" i="30" s="1"/>
  <c r="D5105" i="30" s="1"/>
  <c r="D5106" i="30" s="1"/>
  <c r="D5107" i="30" s="1"/>
  <c r="D5108" i="30" s="1"/>
  <c r="D5109" i="30" s="1"/>
  <c r="D5110" i="30" s="1"/>
  <c r="D5111" i="30" s="1"/>
  <c r="D5112" i="30" s="1"/>
  <c r="D5113" i="30" s="1"/>
  <c r="D5114" i="30" s="1"/>
  <c r="D5115" i="30" s="1"/>
  <c r="D5116" i="30"/>
  <c r="D5206" i="30"/>
  <c r="R571" i="32"/>
  <c r="N573" i="32"/>
  <c r="A277" i="30"/>
  <c r="CE16" i="2"/>
  <c r="CF15" i="2"/>
  <c r="K23" i="14" s="1"/>
  <c r="C16" i="20"/>
  <c r="E17" i="20" s="1"/>
  <c r="G17" i="20" s="1"/>
  <c r="J17" i="20" s="1"/>
  <c r="CI16" i="2"/>
  <c r="L23" i="14"/>
  <c r="CJ18" i="2"/>
  <c r="CK17" i="2"/>
  <c r="M25" i="14" s="1"/>
  <c r="CK45" i="2"/>
  <c r="M53" i="14" s="1"/>
  <c r="CJ46" i="2"/>
  <c r="D4750" i="30" l="1"/>
  <c r="D4751" i="30" s="1"/>
  <c r="D4752" i="30" s="1"/>
  <c r="D4753" i="30" s="1"/>
  <c r="D4754" i="30" s="1"/>
  <c r="D4755" i="30" s="1"/>
  <c r="D4756" i="30" s="1"/>
  <c r="D4757" i="30" s="1"/>
  <c r="D4758" i="30" s="1"/>
  <c r="D4759" i="30" s="1"/>
  <c r="D4760" i="30" s="1"/>
  <c r="D4761" i="30" s="1"/>
  <c r="D4762" i="30" s="1"/>
  <c r="D4763" i="30" s="1"/>
  <c r="D4764" i="30" s="1"/>
  <c r="D4765" i="30" s="1"/>
  <c r="D4766" i="30" s="1"/>
  <c r="D4767" i="30" s="1"/>
  <c r="D4768" i="30" s="1"/>
  <c r="D4769" i="30" s="1"/>
  <c r="D4770" i="30" s="1"/>
  <c r="D4771" i="30" s="1"/>
  <c r="D4772" i="30" s="1"/>
  <c r="D4773" i="30" s="1"/>
  <c r="D4774" i="30" s="1"/>
  <c r="D4775" i="30" s="1"/>
  <c r="D4776" i="30" s="1"/>
  <c r="D4777" i="30" s="1"/>
  <c r="D4778" i="30" s="1"/>
  <c r="D4779" i="30" s="1"/>
  <c r="D4780" i="30" s="1"/>
  <c r="D4781" i="30" s="1"/>
  <c r="D4782" i="30" s="1"/>
  <c r="D4783" i="30" s="1"/>
  <c r="D4784" i="30" s="1"/>
  <c r="D4785" i="30" s="1"/>
  <c r="D4786" i="30" s="1"/>
  <c r="D4787" i="30" s="1"/>
  <c r="D4788" i="30" s="1"/>
  <c r="D4789" i="30" s="1"/>
  <c r="D4790" i="30" s="1"/>
  <c r="D4791" i="30" s="1"/>
  <c r="D4792" i="30" s="1"/>
  <c r="D4793" i="30" s="1"/>
  <c r="D4794" i="30" s="1"/>
  <c r="D4795" i="30" s="1"/>
  <c r="D4796" i="30" s="1"/>
  <c r="D4797" i="30" s="1"/>
  <c r="D4798" i="30" s="1"/>
  <c r="D4799" i="30" s="1"/>
  <c r="D4800" i="30" s="1"/>
  <c r="D4801" i="30" s="1"/>
  <c r="D4802" i="30" s="1"/>
  <c r="D4803" i="30" s="1"/>
  <c r="D4804" i="30" s="1"/>
  <c r="D4805" i="30" s="1"/>
  <c r="D4806" i="30" s="1"/>
  <c r="D4807" i="30" s="1"/>
  <c r="D4808" i="30" s="1"/>
  <c r="D4809" i="30" s="1"/>
  <c r="D4810" i="30" s="1"/>
  <c r="D4811" i="30" s="1"/>
  <c r="D4812" i="30" s="1"/>
  <c r="D4813" i="30" s="1"/>
  <c r="D4814" i="30" s="1"/>
  <c r="D4815" i="30" s="1"/>
  <c r="D4816" i="30" s="1"/>
  <c r="D4817" i="30" s="1"/>
  <c r="D4818" i="30" s="1"/>
  <c r="D4819" i="30" s="1"/>
  <c r="D4820" i="30" s="1"/>
  <c r="D4821" i="30" s="1"/>
  <c r="D4822" i="30" s="1"/>
  <c r="D4823" i="30" s="1"/>
  <c r="D4824" i="30" s="1"/>
  <c r="D4825" i="30" s="1"/>
  <c r="D4826" i="30" s="1"/>
  <c r="D4827" i="30" s="1"/>
  <c r="D4828" i="30" s="1"/>
  <c r="D4829" i="30" s="1"/>
  <c r="D4830" i="30" s="1"/>
  <c r="D4831" i="30" s="1"/>
  <c r="D4832" i="30" s="1"/>
  <c r="D4833" i="30" s="1"/>
  <c r="D4834" i="30" s="1"/>
  <c r="D4835" i="30" s="1"/>
  <c r="D4836" i="30" s="1"/>
  <c r="D4837" i="30" s="1"/>
  <c r="D4838" i="30" s="1"/>
  <c r="D4839" i="30" s="1"/>
  <c r="D4840" i="30" s="1"/>
  <c r="D5207" i="30"/>
  <c r="D5117" i="30"/>
  <c r="D5481" i="30"/>
  <c r="D5482" i="30" s="1"/>
  <c r="D5483" i="30" s="1"/>
  <c r="D5484" i="30" s="1"/>
  <c r="D5485" i="30" s="1"/>
  <c r="D5486" i="30" s="1"/>
  <c r="D5487" i="30" s="1"/>
  <c r="D5488" i="30" s="1"/>
  <c r="D5489" i="30" s="1"/>
  <c r="D5490" i="30" s="1"/>
  <c r="D5491" i="30" s="1"/>
  <c r="D5492" i="30" s="1"/>
  <c r="D5493" i="30" s="1"/>
  <c r="D5494" i="30" s="1"/>
  <c r="D5495" i="30" s="1"/>
  <c r="D5496" i="30" s="1"/>
  <c r="D5497" i="30" s="1"/>
  <c r="D5498" i="30" s="1"/>
  <c r="D5499" i="30" s="1"/>
  <c r="D5500" i="30" s="1"/>
  <c r="D5501" i="30" s="1"/>
  <c r="D5502" i="30" s="1"/>
  <c r="D5503" i="30" s="1"/>
  <c r="D5504" i="30" s="1"/>
  <c r="D5505" i="30" s="1"/>
  <c r="D5506" i="30" s="1"/>
  <c r="D5507" i="30" s="1"/>
  <c r="D5508" i="30" s="1"/>
  <c r="D5509" i="30" s="1"/>
  <c r="D5510" i="30" s="1"/>
  <c r="D5511" i="30" s="1"/>
  <c r="D5512" i="30" s="1"/>
  <c r="D5513" i="30" s="1"/>
  <c r="D5514" i="30" s="1"/>
  <c r="D5515" i="30" s="1"/>
  <c r="D5516" i="30" s="1"/>
  <c r="D5517" i="30" s="1"/>
  <c r="D5518" i="30" s="1"/>
  <c r="D5519" i="30" s="1"/>
  <c r="D5520" i="30" s="1"/>
  <c r="D5521" i="30" s="1"/>
  <c r="D5522" i="30" s="1"/>
  <c r="D5523" i="30" s="1"/>
  <c r="D5524" i="30" s="1"/>
  <c r="D5525" i="30" s="1"/>
  <c r="D5526" i="30" s="1"/>
  <c r="D5527" i="30" s="1"/>
  <c r="D5528" i="30" s="1"/>
  <c r="D5529" i="30" s="1"/>
  <c r="D5530" i="30" s="1"/>
  <c r="D5531" i="30" s="1"/>
  <c r="D5532" i="30" s="1"/>
  <c r="D5533" i="30" s="1"/>
  <c r="D5534" i="30" s="1"/>
  <c r="D5535" i="30" s="1"/>
  <c r="D5536" i="30" s="1"/>
  <c r="D5537" i="30" s="1"/>
  <c r="D5538" i="30" s="1"/>
  <c r="D5539" i="30" s="1"/>
  <c r="D5540" i="30" s="1"/>
  <c r="D5541" i="30" s="1"/>
  <c r="D5542" i="30" s="1"/>
  <c r="D5543" i="30" s="1"/>
  <c r="D5544" i="30" s="1"/>
  <c r="D5545" i="30" s="1"/>
  <c r="D5546" i="30" s="1"/>
  <c r="D5547" i="30" s="1"/>
  <c r="D5548" i="30" s="1"/>
  <c r="D5549" i="30" s="1"/>
  <c r="D5550" i="30" s="1"/>
  <c r="D5551" i="30" s="1"/>
  <c r="D5552" i="30" s="1"/>
  <c r="D5553" i="30" s="1"/>
  <c r="D5554" i="30" s="1"/>
  <c r="D5555" i="30" s="1"/>
  <c r="D5556" i="30" s="1"/>
  <c r="D5557" i="30" s="1"/>
  <c r="D5558" i="30" s="1"/>
  <c r="D5559" i="30" s="1"/>
  <c r="D5560" i="30" s="1"/>
  <c r="D5561" i="30" s="1"/>
  <c r="D5562" i="30" s="1"/>
  <c r="D5563" i="30" s="1"/>
  <c r="D5564" i="30" s="1"/>
  <c r="D5565" i="30" s="1"/>
  <c r="D5566" i="30" s="1"/>
  <c r="D5567" i="30" s="1"/>
  <c r="D5568" i="30" s="1"/>
  <c r="D5569" i="30" s="1"/>
  <c r="D5570" i="30" s="1"/>
  <c r="R573" i="32"/>
  <c r="N575" i="32"/>
  <c r="A278" i="30"/>
  <c r="CE17" i="2"/>
  <c r="C17" i="20"/>
  <c r="E18" i="20" s="1"/>
  <c r="G18" i="20" s="1"/>
  <c r="J18" i="20" s="1"/>
  <c r="CF16" i="2"/>
  <c r="K24" i="14" s="1"/>
  <c r="CI17" i="2"/>
  <c r="L24" i="14"/>
  <c r="CJ19" i="2"/>
  <c r="CK18" i="2"/>
  <c r="M26" i="14" s="1"/>
  <c r="CK46" i="2"/>
  <c r="M54" i="14" s="1"/>
  <c r="CJ47" i="2"/>
  <c r="D5118" i="30" l="1"/>
  <c r="D5208" i="30"/>
  <c r="R575" i="32"/>
  <c r="N577" i="32"/>
  <c r="A279" i="30"/>
  <c r="CE18" i="2"/>
  <c r="C18" i="20"/>
  <c r="E19" i="20" s="1"/>
  <c r="G19" i="20" s="1"/>
  <c r="J19" i="20" s="1"/>
  <c r="CF17" i="2"/>
  <c r="K25" i="14" s="1"/>
  <c r="CI18" i="2"/>
  <c r="L25" i="14"/>
  <c r="CJ20" i="2"/>
  <c r="CK19" i="2"/>
  <c r="M27" i="14" s="1"/>
  <c r="CK47" i="2"/>
  <c r="M55" i="14" s="1"/>
  <c r="CJ48" i="2"/>
  <c r="D5209" i="30" l="1"/>
  <c r="D5119" i="30"/>
  <c r="R577" i="32"/>
  <c r="N579" i="32"/>
  <c r="A280" i="30"/>
  <c r="CE19" i="2"/>
  <c r="C19" i="20"/>
  <c r="E20" i="20" s="1"/>
  <c r="G20" i="20" s="1"/>
  <c r="J20" i="20" s="1"/>
  <c r="CF18" i="2"/>
  <c r="K26" i="14" s="1"/>
  <c r="CI19" i="2"/>
  <c r="L26" i="14"/>
  <c r="CJ21" i="2"/>
  <c r="CK20" i="2"/>
  <c r="M28" i="14" s="1"/>
  <c r="CK48" i="2"/>
  <c r="M56" i="14" s="1"/>
  <c r="CJ49" i="2"/>
  <c r="D5120" i="30" l="1"/>
  <c r="D5210" i="30"/>
  <c r="R579" i="32"/>
  <c r="N581" i="32"/>
  <c r="A281" i="30"/>
  <c r="CE20" i="2"/>
  <c r="CF19" i="2"/>
  <c r="K27" i="14" s="1"/>
  <c r="C20" i="20"/>
  <c r="E21" i="20" s="1"/>
  <c r="G21" i="20" s="1"/>
  <c r="J21" i="20" s="1"/>
  <c r="CI20" i="2"/>
  <c r="L27" i="14"/>
  <c r="CJ22" i="2"/>
  <c r="CK21" i="2"/>
  <c r="M29" i="14" s="1"/>
  <c r="CK49" i="2"/>
  <c r="M57" i="14" s="1"/>
  <c r="CJ50" i="2"/>
  <c r="D5121" i="30" l="1"/>
  <c r="D5211" i="30"/>
  <c r="R581" i="32"/>
  <c r="N583" i="32"/>
  <c r="A282" i="30"/>
  <c r="CE21" i="2"/>
  <c r="C21" i="20"/>
  <c r="E22" i="20" s="1"/>
  <c r="G22" i="20" s="1"/>
  <c r="J22" i="20" s="1"/>
  <c r="CF20" i="2"/>
  <c r="K28" i="14" s="1"/>
  <c r="E23" i="20"/>
  <c r="G23" i="20" s="1"/>
  <c r="J23" i="20" s="1"/>
  <c r="CI21" i="2"/>
  <c r="L28" i="14"/>
  <c r="CJ23" i="2"/>
  <c r="CK22" i="2"/>
  <c r="M30" i="14" s="1"/>
  <c r="CK50" i="2"/>
  <c r="M58" i="14" s="1"/>
  <c r="CJ51" i="2"/>
  <c r="D5122" i="30" l="1"/>
  <c r="D5212" i="30"/>
  <c r="R583" i="32"/>
  <c r="N585" i="32"/>
  <c r="A283" i="30"/>
  <c r="CE22" i="2"/>
  <c r="C22" i="20"/>
  <c r="CF21" i="2"/>
  <c r="K29" i="14" s="1"/>
  <c r="L29" i="14"/>
  <c r="CI22" i="2"/>
  <c r="CJ24" i="2"/>
  <c r="CK23" i="2"/>
  <c r="M31" i="14" s="1"/>
  <c r="CK51" i="2"/>
  <c r="M59" i="14" s="1"/>
  <c r="CJ52" i="2"/>
  <c r="D5123" i="30" l="1"/>
  <c r="D5213" i="30"/>
  <c r="R585" i="32"/>
  <c r="N587" i="32"/>
  <c r="A284" i="30"/>
  <c r="CE23" i="2"/>
  <c r="CF22" i="2"/>
  <c r="K30" i="14" s="1"/>
  <c r="C23" i="20"/>
  <c r="E24" i="20" s="1"/>
  <c r="G24" i="20" s="1"/>
  <c r="J24" i="20" s="1"/>
  <c r="CI23" i="2"/>
  <c r="L30" i="14"/>
  <c r="CJ25" i="2"/>
  <c r="CK24" i="2"/>
  <c r="M32" i="14" s="1"/>
  <c r="CK52" i="2"/>
  <c r="M60" i="14" s="1"/>
  <c r="CJ53" i="2"/>
  <c r="D5124" i="30" l="1"/>
  <c r="D5214" i="30"/>
  <c r="R587" i="32"/>
  <c r="N589" i="32"/>
  <c r="A285" i="30"/>
  <c r="CE24" i="2"/>
  <c r="C24" i="20"/>
  <c r="E25" i="20" s="1"/>
  <c r="G25" i="20" s="1"/>
  <c r="J25" i="20" s="1"/>
  <c r="CF23" i="2"/>
  <c r="K31" i="14" s="1"/>
  <c r="CI24" i="2"/>
  <c r="L31" i="14"/>
  <c r="CJ26" i="2"/>
  <c r="CK25" i="2"/>
  <c r="M33" i="14" s="1"/>
  <c r="CK53" i="2"/>
  <c r="M61" i="14" s="1"/>
  <c r="CJ54" i="2"/>
  <c r="D5215" i="30" l="1"/>
  <c r="D5125" i="30"/>
  <c r="R589" i="32"/>
  <c r="N591" i="32"/>
  <c r="A286" i="30"/>
  <c r="CE25" i="2"/>
  <c r="CF24" i="2"/>
  <c r="K32" i="14" s="1"/>
  <c r="C25" i="20"/>
  <c r="E26" i="20" s="1"/>
  <c r="G26" i="20" s="1"/>
  <c r="J26" i="20" s="1"/>
  <c r="L32" i="14"/>
  <c r="CI25" i="2"/>
  <c r="CJ27" i="2"/>
  <c r="CK26" i="2"/>
  <c r="M34" i="14" s="1"/>
  <c r="CK54" i="2"/>
  <c r="M62" i="14" s="1"/>
  <c r="CJ55" i="2"/>
  <c r="D5216" i="30" l="1"/>
  <c r="D5126" i="30"/>
  <c r="R591" i="32"/>
  <c r="N593" i="32"/>
  <c r="A287" i="30"/>
  <c r="CE26" i="2"/>
  <c r="C26" i="20"/>
  <c r="E27" i="20" s="1"/>
  <c r="G27" i="20" s="1"/>
  <c r="J27" i="20" s="1"/>
  <c r="CF25" i="2"/>
  <c r="K33" i="14" s="1"/>
  <c r="L33" i="14"/>
  <c r="CI26" i="2"/>
  <c r="CJ28" i="2"/>
  <c r="CK27" i="2"/>
  <c r="M35" i="14" s="1"/>
  <c r="CK55" i="2"/>
  <c r="M63" i="14" s="1"/>
  <c r="CJ56" i="2"/>
  <c r="D5217" i="30" l="1"/>
  <c r="D5127" i="30"/>
  <c r="R593" i="32"/>
  <c r="N595" i="32"/>
  <c r="A288" i="30"/>
  <c r="CE27" i="2"/>
  <c r="CF26" i="2"/>
  <c r="K34" i="14" s="1"/>
  <c r="C27" i="20"/>
  <c r="E28" i="20" s="1"/>
  <c r="G28" i="20" s="1"/>
  <c r="J28" i="20" s="1"/>
  <c r="L34" i="14"/>
  <c r="CI27" i="2"/>
  <c r="CJ29" i="2"/>
  <c r="CK28" i="2"/>
  <c r="M36" i="14" s="1"/>
  <c r="CK56" i="2"/>
  <c r="M64" i="14" s="1"/>
  <c r="CJ57" i="2"/>
  <c r="D5218" i="30" l="1"/>
  <c r="D5128" i="30"/>
  <c r="R595" i="32"/>
  <c r="N597" i="32"/>
  <c r="A289" i="30"/>
  <c r="CE28" i="2"/>
  <c r="C28" i="20"/>
  <c r="E29" i="20" s="1"/>
  <c r="G29" i="20" s="1"/>
  <c r="J29" i="20" s="1"/>
  <c r="CF27" i="2"/>
  <c r="K35" i="14" s="1"/>
  <c r="L35" i="14"/>
  <c r="CI28" i="2"/>
  <c r="CJ30" i="2"/>
  <c r="CK29" i="2"/>
  <c r="M37" i="14" s="1"/>
  <c r="CK57" i="2"/>
  <c r="M65" i="14" s="1"/>
  <c r="CJ58" i="2"/>
  <c r="D5219" i="30" l="1"/>
  <c r="D5129" i="30"/>
  <c r="R597" i="32"/>
  <c r="N599" i="32"/>
  <c r="A290" i="30"/>
  <c r="CE29" i="2"/>
  <c r="CF28" i="2"/>
  <c r="K36" i="14" s="1"/>
  <c r="C29" i="20"/>
  <c r="E30" i="20" s="1"/>
  <c r="G30" i="20" s="1"/>
  <c r="J30" i="20" s="1"/>
  <c r="CI29" i="2"/>
  <c r="L36" i="14"/>
  <c r="E34" i="20"/>
  <c r="G34" i="20" s="1"/>
  <c r="J34" i="20" s="1"/>
  <c r="CJ31" i="2"/>
  <c r="CJ32" i="2" s="1"/>
  <c r="CK30" i="2"/>
  <c r="M38" i="14" s="1"/>
  <c r="CK58" i="2"/>
  <c r="M66" i="14" s="1"/>
  <c r="CJ59" i="2"/>
  <c r="D5130" i="30" l="1"/>
  <c r="D5220" i="30"/>
  <c r="R599" i="32"/>
  <c r="N601" i="32"/>
  <c r="A291" i="30"/>
  <c r="CE30" i="2"/>
  <c r="CF29" i="2"/>
  <c r="K37" i="14" s="1"/>
  <c r="C30" i="20"/>
  <c r="E31" i="20" s="1"/>
  <c r="G31" i="20" s="1"/>
  <c r="J31" i="20" s="1"/>
  <c r="CK32" i="2"/>
  <c r="M40" i="14" s="1"/>
  <c r="CJ33" i="2"/>
  <c r="L37" i="14"/>
  <c r="CI30" i="2"/>
  <c r="CK31" i="2"/>
  <c r="M39" i="14" s="1"/>
  <c r="CK59" i="2"/>
  <c r="M67" i="14" s="1"/>
  <c r="CJ60" i="2"/>
  <c r="D5131" i="30" l="1"/>
  <c r="D5221" i="30"/>
  <c r="R601" i="32"/>
  <c r="N603" i="32"/>
  <c r="A292" i="30"/>
  <c r="CE31" i="2"/>
  <c r="C31" i="20"/>
  <c r="E32" i="20" s="1"/>
  <c r="G32" i="20" s="1"/>
  <c r="J32" i="20" s="1"/>
  <c r="CF30" i="2"/>
  <c r="K38" i="14" s="1"/>
  <c r="L38" i="14"/>
  <c r="CI31" i="2"/>
  <c r="CJ34" i="2"/>
  <c r="CK33" i="2"/>
  <c r="M41" i="14" s="1"/>
  <c r="CK60" i="2"/>
  <c r="M68" i="14" s="1"/>
  <c r="CJ61" i="2"/>
  <c r="D5222" i="30" l="1"/>
  <c r="D5132" i="30"/>
  <c r="R603" i="32"/>
  <c r="N605" i="32"/>
  <c r="A293" i="30"/>
  <c r="CE32" i="2"/>
  <c r="CF31" i="2"/>
  <c r="K39" i="14" s="1"/>
  <c r="C32" i="20"/>
  <c r="E33" i="20" s="1"/>
  <c r="G33" i="20" s="1"/>
  <c r="J33" i="20" s="1"/>
  <c r="CJ35" i="2"/>
  <c r="CK34" i="2"/>
  <c r="M42" i="14" s="1"/>
  <c r="L39" i="14"/>
  <c r="CI32" i="2"/>
  <c r="CK61" i="2"/>
  <c r="M69" i="14" s="1"/>
  <c r="CJ62" i="2"/>
  <c r="D5223" i="30" l="1"/>
  <c r="D5133" i="30"/>
  <c r="R605" i="32"/>
  <c r="N607" i="32"/>
  <c r="A294" i="30"/>
  <c r="CE33" i="2"/>
  <c r="CF32" i="2"/>
  <c r="K40" i="14" s="1"/>
  <c r="C33" i="20"/>
  <c r="CK35" i="2"/>
  <c r="M43" i="14" s="1"/>
  <c r="CJ36" i="2"/>
  <c r="CI33" i="2"/>
  <c r="L40" i="14"/>
  <c r="CK62" i="2"/>
  <c r="M70" i="14" s="1"/>
  <c r="CJ63" i="2"/>
  <c r="D5134" i="30" l="1"/>
  <c r="D5224" i="30"/>
  <c r="R607" i="32"/>
  <c r="N609" i="32"/>
  <c r="A295" i="30"/>
  <c r="CE34" i="2"/>
  <c r="CF33" i="2"/>
  <c r="K41" i="14" s="1"/>
  <c r="C34" i="20"/>
  <c r="E35" i="20" s="1"/>
  <c r="G35" i="20" s="1"/>
  <c r="J35" i="20" s="1"/>
  <c r="CK36" i="2"/>
  <c r="M44" i="14" s="1"/>
  <c r="CJ37" i="2"/>
  <c r="L41" i="14"/>
  <c r="CI34" i="2"/>
  <c r="CK63" i="2"/>
  <c r="M71" i="14" s="1"/>
  <c r="CJ64" i="2"/>
  <c r="D5225" i="30" l="1"/>
  <c r="D5135" i="30"/>
  <c r="R609" i="32"/>
  <c r="N611" i="32"/>
  <c r="A296" i="30"/>
  <c r="CE35" i="2"/>
  <c r="CF34" i="2"/>
  <c r="K42" i="14" s="1"/>
  <c r="C35" i="20"/>
  <c r="E36" i="20" s="1"/>
  <c r="G36" i="20" s="1"/>
  <c r="J36" i="20" s="1"/>
  <c r="CJ38" i="2"/>
  <c r="CK37" i="2"/>
  <c r="M45" i="14" s="1"/>
  <c r="L42" i="14"/>
  <c r="CI35" i="2"/>
  <c r="CK64" i="2"/>
  <c r="M72" i="14" s="1"/>
  <c r="CJ65" i="2"/>
  <c r="D5226" i="30" l="1"/>
  <c r="D5136" i="30"/>
  <c r="R611" i="32"/>
  <c r="N613" i="32"/>
  <c r="A297" i="30"/>
  <c r="CE36" i="2"/>
  <c r="CF35" i="2"/>
  <c r="K43" i="14" s="1"/>
  <c r="C36" i="20"/>
  <c r="E37" i="20" s="1"/>
  <c r="G37" i="20" s="1"/>
  <c r="J37" i="20" s="1"/>
  <c r="CK38" i="2"/>
  <c r="M46" i="14" s="1"/>
  <c r="CJ39" i="2"/>
  <c r="L43" i="14"/>
  <c r="CI36" i="2"/>
  <c r="CK65" i="2"/>
  <c r="M73" i="14" s="1"/>
  <c r="CJ66" i="2"/>
  <c r="D5137" i="30" l="1"/>
  <c r="D5227" i="30"/>
  <c r="R613" i="32"/>
  <c r="N615" i="32"/>
  <c r="A298" i="30"/>
  <c r="CE37" i="2"/>
  <c r="CF36" i="2"/>
  <c r="K44" i="14" s="1"/>
  <c r="C37" i="20"/>
  <c r="E38" i="20" s="1"/>
  <c r="G38" i="20" s="1"/>
  <c r="J38" i="20" s="1"/>
  <c r="CJ40" i="2"/>
  <c r="CK39" i="2"/>
  <c r="M47" i="14" s="1"/>
  <c r="L44" i="14"/>
  <c r="CI37" i="2"/>
  <c r="CK66" i="2"/>
  <c r="M74" i="14" s="1"/>
  <c r="CJ67" i="2"/>
  <c r="D5228" i="30" l="1"/>
  <c r="D5138" i="30"/>
  <c r="R615" i="32"/>
  <c r="N617" i="32"/>
  <c r="A299" i="30"/>
  <c r="CE38" i="2"/>
  <c r="CF37" i="2"/>
  <c r="K45" i="14" s="1"/>
  <c r="C38" i="20"/>
  <c r="E39" i="20" s="1"/>
  <c r="G39" i="20" s="1"/>
  <c r="J39" i="20" s="1"/>
  <c r="CK40" i="2"/>
  <c r="M48" i="14" s="1"/>
  <c r="CJ41" i="2"/>
  <c r="L45" i="14"/>
  <c r="CI38" i="2"/>
  <c r="CK67" i="2"/>
  <c r="M75" i="14" s="1"/>
  <c r="CJ68" i="2"/>
  <c r="D5139" i="30" l="1"/>
  <c r="D5229" i="30"/>
  <c r="R617" i="32"/>
  <c r="N619" i="32"/>
  <c r="A300" i="30"/>
  <c r="CE39" i="2"/>
  <c r="CF38" i="2"/>
  <c r="K46" i="14" s="1"/>
  <c r="C39" i="20"/>
  <c r="E40" i="20" s="1"/>
  <c r="G40" i="20" s="1"/>
  <c r="J40" i="20" s="1"/>
  <c r="E43" i="20"/>
  <c r="G43" i="20" s="1"/>
  <c r="J43" i="20" s="1"/>
  <c r="CK41" i="2"/>
  <c r="M49" i="14" s="1"/>
  <c r="CJ42" i="2"/>
  <c r="L46" i="14"/>
  <c r="CI39" i="2"/>
  <c r="CK68" i="2"/>
  <c r="M76" i="14" s="1"/>
  <c r="CJ69" i="2"/>
  <c r="D5230" i="30" l="1"/>
  <c r="D5140" i="30"/>
  <c r="R619" i="32"/>
  <c r="N621" i="32"/>
  <c r="A301" i="30"/>
  <c r="CE40" i="2"/>
  <c r="CF39" i="2"/>
  <c r="K47" i="14" s="1"/>
  <c r="C40" i="20"/>
  <c r="E41" i="20" s="1"/>
  <c r="G41" i="20" s="1"/>
  <c r="J41" i="20" s="1"/>
  <c r="E44" i="20"/>
  <c r="G44" i="20" s="1"/>
  <c r="J44" i="20" s="1"/>
  <c r="CK42" i="2"/>
  <c r="M50" i="14" s="1"/>
  <c r="CJ43" i="2"/>
  <c r="L47" i="14"/>
  <c r="CI40" i="2"/>
  <c r="CK69" i="2"/>
  <c r="M77" i="14" s="1"/>
  <c r="CJ70" i="2"/>
  <c r="D5141" i="30" l="1"/>
  <c r="D5231" i="30"/>
  <c r="R621" i="32"/>
  <c r="N623" i="32"/>
  <c r="A302" i="30"/>
  <c r="CE41" i="2"/>
  <c r="CF40" i="2"/>
  <c r="K48" i="14" s="1"/>
  <c r="C41" i="20"/>
  <c r="E42" i="20" s="1"/>
  <c r="G42" i="20" s="1"/>
  <c r="J42" i="20" s="1"/>
  <c r="E45" i="20"/>
  <c r="G45" i="20" s="1"/>
  <c r="J45" i="20" s="1"/>
  <c r="CJ44" i="2"/>
  <c r="CK44" i="2" s="1"/>
  <c r="M52" i="14" s="1"/>
  <c r="CK43" i="2"/>
  <c r="M51" i="14" s="1"/>
  <c r="L48" i="14"/>
  <c r="CI41" i="2"/>
  <c r="CK70" i="2"/>
  <c r="M78" i="14" s="1"/>
  <c r="CJ71" i="2"/>
  <c r="D5232" i="30" l="1"/>
  <c r="D5142" i="30"/>
  <c r="R623" i="32"/>
  <c r="N625" i="32"/>
  <c r="A303" i="30"/>
  <c r="CE42" i="2"/>
  <c r="C42" i="20"/>
  <c r="CF41" i="2"/>
  <c r="K49" i="14" s="1"/>
  <c r="L49" i="14"/>
  <c r="CI42" i="2"/>
  <c r="C46" i="20"/>
  <c r="G47" i="20" s="1"/>
  <c r="J47" i="20" s="1"/>
  <c r="CF45" i="2"/>
  <c r="K53" i="14" s="1"/>
  <c r="CK71" i="2"/>
  <c r="M79" i="14" s="1"/>
  <c r="CJ72" i="2"/>
  <c r="CI45" i="2"/>
  <c r="D5143" i="30" l="1"/>
  <c r="D5233" i="30"/>
  <c r="R625" i="32"/>
  <c r="N627" i="32"/>
  <c r="A304" i="30"/>
  <c r="CE43" i="2"/>
  <c r="C43" i="20"/>
  <c r="CF42" i="2"/>
  <c r="K50" i="14" s="1"/>
  <c r="L50" i="14"/>
  <c r="CI43" i="2"/>
  <c r="C47" i="20"/>
  <c r="G48" i="20" s="1"/>
  <c r="J48" i="20" s="1"/>
  <c r="CF46" i="2"/>
  <c r="CK72" i="2"/>
  <c r="CJ73" i="2"/>
  <c r="L53" i="14"/>
  <c r="CI46" i="2"/>
  <c r="D5234" i="30" l="1"/>
  <c r="D5144" i="30"/>
  <c r="R627" i="32"/>
  <c r="N629" i="32"/>
  <c r="A305" i="30"/>
  <c r="CE44" i="2"/>
  <c r="C44" i="20"/>
  <c r="CF43" i="2"/>
  <c r="K51" i="14" s="1"/>
  <c r="CI44" i="2"/>
  <c r="L52" i="14" s="1"/>
  <c r="L51" i="14"/>
  <c r="C48" i="20"/>
  <c r="G49" i="20" s="1"/>
  <c r="J49" i="20" s="1"/>
  <c r="CF47" i="2"/>
  <c r="K54" i="14"/>
  <c r="CK73" i="2"/>
  <c r="CJ74" i="2"/>
  <c r="L54" i="14"/>
  <c r="CI47" i="2"/>
  <c r="D5145" i="30" l="1"/>
  <c r="D5235" i="30"/>
  <c r="R629" i="32"/>
  <c r="N631" i="32"/>
  <c r="A306" i="30"/>
  <c r="C45" i="20"/>
  <c r="G46" i="20" s="1"/>
  <c r="J46" i="20" s="1"/>
  <c r="CF44" i="2"/>
  <c r="K52" i="14" s="1"/>
  <c r="C49" i="20"/>
  <c r="G50" i="20" s="1"/>
  <c r="J50" i="20" s="1"/>
  <c r="CF48" i="2"/>
  <c r="K55" i="14"/>
  <c r="CK74" i="2"/>
  <c r="CJ75" i="2"/>
  <c r="L55" i="14"/>
  <c r="CI48" i="2"/>
  <c r="D5236" i="30" l="1"/>
  <c r="D5146" i="30"/>
  <c r="R631" i="32"/>
  <c r="N633" i="32"/>
  <c r="A307" i="30"/>
  <c r="K56" i="14"/>
  <c r="C50" i="20"/>
  <c r="G51" i="20" s="1"/>
  <c r="J51" i="20" s="1"/>
  <c r="CF49" i="2"/>
  <c r="K57" i="14" s="1"/>
  <c r="CK75" i="2"/>
  <c r="CJ76" i="2"/>
  <c r="L56" i="14"/>
  <c r="CI49" i="2"/>
  <c r="D5147" i="30" l="1"/>
  <c r="D5237" i="30"/>
  <c r="R633" i="32"/>
  <c r="N635" i="32"/>
  <c r="A308" i="30"/>
  <c r="C51" i="20"/>
  <c r="G52" i="20" s="1"/>
  <c r="J52" i="20" s="1"/>
  <c r="CF50" i="2"/>
  <c r="CK76" i="2"/>
  <c r="CJ77" i="2"/>
  <c r="L57" i="14"/>
  <c r="CI50" i="2"/>
  <c r="D5238" i="30" l="1"/>
  <c r="D5148" i="30"/>
  <c r="R635" i="32"/>
  <c r="N637" i="32"/>
  <c r="A309" i="30"/>
  <c r="C52" i="20"/>
  <c r="G53" i="20" s="1"/>
  <c r="J53" i="20" s="1"/>
  <c r="CF51" i="2"/>
  <c r="K58" i="14"/>
  <c r="CK77" i="2"/>
  <c r="CJ78" i="2"/>
  <c r="L58" i="14"/>
  <c r="CI51" i="2"/>
  <c r="D5149" i="30" l="1"/>
  <c r="D5239" i="30"/>
  <c r="R637" i="32"/>
  <c r="N639" i="32"/>
  <c r="A310" i="30"/>
  <c r="C53" i="20"/>
  <c r="G54" i="20" s="1"/>
  <c r="J54" i="20" s="1"/>
  <c r="CF52" i="2"/>
  <c r="K59" i="14"/>
  <c r="CK78" i="2"/>
  <c r="CJ79" i="2"/>
  <c r="L59" i="14"/>
  <c r="CI52" i="2"/>
  <c r="D5240" i="30" l="1"/>
  <c r="D5150" i="30"/>
  <c r="R639" i="32"/>
  <c r="N641" i="32"/>
  <c r="A311" i="30"/>
  <c r="C54" i="20"/>
  <c r="G55" i="20" s="1"/>
  <c r="J55" i="20" s="1"/>
  <c r="CF53" i="2"/>
  <c r="K60" i="14"/>
  <c r="CK79" i="2"/>
  <c r="CJ80" i="2"/>
  <c r="L60" i="14"/>
  <c r="CI53" i="2"/>
  <c r="D5151" i="30" l="1"/>
  <c r="D5241" i="30"/>
  <c r="R641" i="32"/>
  <c r="N643" i="32"/>
  <c r="A312" i="30"/>
  <c r="C55" i="20"/>
  <c r="G56" i="20" s="1"/>
  <c r="J56" i="20" s="1"/>
  <c r="CF54" i="2"/>
  <c r="K61" i="14"/>
  <c r="CK80" i="2"/>
  <c r="CJ81" i="2"/>
  <c r="CK81" i="2" s="1"/>
  <c r="L61" i="14"/>
  <c r="CI54" i="2"/>
  <c r="D5242" i="30" l="1"/>
  <c r="D5152" i="30"/>
  <c r="R643" i="32"/>
  <c r="N645" i="32"/>
  <c r="A313" i="30"/>
  <c r="C56" i="20"/>
  <c r="G57" i="20" s="1"/>
  <c r="J57" i="20" s="1"/>
  <c r="CF55" i="2"/>
  <c r="K63" i="14" s="1"/>
  <c r="K62" i="14"/>
  <c r="L62" i="14"/>
  <c r="CI55" i="2"/>
  <c r="D5153" i="30" l="1"/>
  <c r="D5243" i="30"/>
  <c r="R645" i="32"/>
  <c r="N647" i="32"/>
  <c r="A314" i="30"/>
  <c r="C57" i="20"/>
  <c r="G58" i="20" s="1"/>
  <c r="J58" i="20" s="1"/>
  <c r="CF56" i="2"/>
  <c r="L63" i="14"/>
  <c r="CI56" i="2"/>
  <c r="D5154" i="30" l="1"/>
  <c r="D5244" i="30"/>
  <c r="R647" i="32"/>
  <c r="N649" i="32"/>
  <c r="A315" i="30"/>
  <c r="C58" i="20"/>
  <c r="G59" i="20" s="1"/>
  <c r="J59" i="20" s="1"/>
  <c r="CF57" i="2"/>
  <c r="K65" i="14" s="1"/>
  <c r="K64" i="14"/>
  <c r="L64" i="14"/>
  <c r="CI57" i="2"/>
  <c r="D5155" i="30" l="1"/>
  <c r="D5245" i="30"/>
  <c r="R649" i="32"/>
  <c r="N651" i="32"/>
  <c r="A316" i="30"/>
  <c r="C59" i="20"/>
  <c r="G60" i="20" s="1"/>
  <c r="J60" i="20" s="1"/>
  <c r="CF58" i="2"/>
  <c r="L65" i="14"/>
  <c r="CI58" i="2"/>
  <c r="D5246" i="30" l="1"/>
  <c r="D5156" i="30"/>
  <c r="R651" i="32"/>
  <c r="N653" i="32"/>
  <c r="A317" i="30"/>
  <c r="K66" i="14"/>
  <c r="C60" i="20"/>
  <c r="G61" i="20" s="1"/>
  <c r="J61" i="20" s="1"/>
  <c r="CF59" i="2"/>
  <c r="K67" i="14" s="1"/>
  <c r="L66" i="14"/>
  <c r="CI59" i="2"/>
  <c r="D5157" i="30" l="1"/>
  <c r="D5247" i="30"/>
  <c r="R653" i="32"/>
  <c r="N655" i="32"/>
  <c r="A318" i="30"/>
  <c r="C61" i="20"/>
  <c r="G62" i="20" s="1"/>
  <c r="J62" i="20" s="1"/>
  <c r="CF60" i="2"/>
  <c r="L67" i="14"/>
  <c r="CI60" i="2"/>
  <c r="D5158" i="30" l="1"/>
  <c r="D5248" i="30"/>
  <c r="R655" i="32"/>
  <c r="N657" i="32"/>
  <c r="A319" i="30"/>
  <c r="K68" i="14"/>
  <c r="C62" i="20"/>
  <c r="G63" i="20" s="1"/>
  <c r="J63" i="20" s="1"/>
  <c r="CF61" i="2"/>
  <c r="K69" i="14" s="1"/>
  <c r="L68" i="14"/>
  <c r="CI61" i="2"/>
  <c r="D5249" i="30" l="1"/>
  <c r="D5159" i="30"/>
  <c r="R657" i="32"/>
  <c r="N659" i="32"/>
  <c r="A320" i="30"/>
  <c r="C63" i="20"/>
  <c r="G64" i="20" s="1"/>
  <c r="J64" i="20" s="1"/>
  <c r="CF62" i="2"/>
  <c r="K70" i="14" s="1"/>
  <c r="L69" i="14"/>
  <c r="CI62" i="2"/>
  <c r="D5160" i="30" l="1"/>
  <c r="D5250" i="30"/>
  <c r="R659" i="32"/>
  <c r="N661" i="32"/>
  <c r="A321" i="30"/>
  <c r="C64" i="20"/>
  <c r="G65" i="20" s="1"/>
  <c r="J65" i="20" s="1"/>
  <c r="CF63" i="2"/>
  <c r="K71" i="14" s="1"/>
  <c r="L70" i="14"/>
  <c r="CI63" i="2"/>
  <c r="D5161" i="30" l="1"/>
  <c r="D5251" i="30"/>
  <c r="R661" i="32"/>
  <c r="N663" i="32"/>
  <c r="A322" i="30"/>
  <c r="C65" i="20"/>
  <c r="G66" i="20" s="1"/>
  <c r="J66" i="20" s="1"/>
  <c r="CF64" i="2"/>
  <c r="K72" i="14" s="1"/>
  <c r="L71" i="14"/>
  <c r="CI64" i="2"/>
  <c r="D5252" i="30" l="1"/>
  <c r="D5162" i="30"/>
  <c r="R663" i="32"/>
  <c r="N665" i="32"/>
  <c r="A323" i="30"/>
  <c r="C66" i="20"/>
  <c r="G67" i="20" s="1"/>
  <c r="J67" i="20" s="1"/>
  <c r="CF65" i="2"/>
  <c r="K73" i="14" s="1"/>
  <c r="L72" i="14"/>
  <c r="CI65" i="2"/>
  <c r="D5163" i="30" l="1"/>
  <c r="D5253" i="30"/>
  <c r="R665" i="32"/>
  <c r="N667" i="32"/>
  <c r="A324" i="30"/>
  <c r="C67" i="20"/>
  <c r="G68" i="20" s="1"/>
  <c r="J68" i="20" s="1"/>
  <c r="CF66" i="2"/>
  <c r="K74" i="14" s="1"/>
  <c r="L73" i="14"/>
  <c r="CI66" i="2"/>
  <c r="D5164" i="30" l="1"/>
  <c r="D5254" i="30"/>
  <c r="R667" i="32"/>
  <c r="N669" i="32"/>
  <c r="A325" i="30"/>
  <c r="C68" i="20"/>
  <c r="G69" i="20" s="1"/>
  <c r="J69" i="20" s="1"/>
  <c r="CF67" i="2"/>
  <c r="K75" i="14" s="1"/>
  <c r="L74" i="14"/>
  <c r="CI67" i="2"/>
  <c r="D5165" i="30" l="1"/>
  <c r="D5255" i="30"/>
  <c r="R669" i="32"/>
  <c r="N671" i="32"/>
  <c r="A326" i="30"/>
  <c r="C69" i="20"/>
  <c r="G70" i="20" s="1"/>
  <c r="J70" i="20" s="1"/>
  <c r="CF68" i="2"/>
  <c r="K76" i="14" s="1"/>
  <c r="L75" i="14"/>
  <c r="CI68" i="2"/>
  <c r="D5256" i="30" l="1"/>
  <c r="D5166" i="30"/>
  <c r="R671" i="32"/>
  <c r="N673" i="32"/>
  <c r="A327" i="30"/>
  <c r="C70" i="20"/>
  <c r="G71" i="20" s="1"/>
  <c r="J71" i="20" s="1"/>
  <c r="CF69" i="2"/>
  <c r="K77" i="14" s="1"/>
  <c r="L76" i="14"/>
  <c r="CI69" i="2"/>
  <c r="D5257" i="30" l="1"/>
  <c r="D5167" i="30"/>
  <c r="R673" i="32"/>
  <c r="N675" i="32"/>
  <c r="A328" i="30"/>
  <c r="C71" i="20"/>
  <c r="G72" i="20" s="1"/>
  <c r="J72" i="20" s="1"/>
  <c r="CF70" i="2"/>
  <c r="L77" i="14"/>
  <c r="CI70" i="2"/>
  <c r="D5168" i="30" l="1"/>
  <c r="D5258" i="30"/>
  <c r="R675" i="32"/>
  <c r="N677" i="32"/>
  <c r="A329" i="30"/>
  <c r="C72" i="20"/>
  <c r="G73" i="20" s="1"/>
  <c r="J73" i="20" s="1"/>
  <c r="CF71" i="2"/>
  <c r="K79" i="14" s="1"/>
  <c r="K78" i="14"/>
  <c r="C30" i="1"/>
  <c r="L78" i="14"/>
  <c r="CI71" i="2"/>
  <c r="D5259" i="30" l="1"/>
  <c r="D5169" i="30"/>
  <c r="R677" i="32"/>
  <c r="N679" i="32"/>
  <c r="A330" i="30"/>
  <c r="C73" i="20"/>
  <c r="G74" i="20" s="1"/>
  <c r="J74" i="20" s="1"/>
  <c r="CF72" i="2"/>
  <c r="L79" i="14"/>
  <c r="CI72" i="2"/>
  <c r="D5260" i="30" l="1"/>
  <c r="D5170" i="30"/>
  <c r="R679" i="32"/>
  <c r="N681" i="32"/>
  <c r="A331" i="30"/>
  <c r="C74" i="20"/>
  <c r="G75" i="20" s="1"/>
  <c r="J75" i="20" s="1"/>
  <c r="CF73" i="2"/>
  <c r="CI73" i="2"/>
  <c r="D5171" i="30" l="1"/>
  <c r="D5261" i="30"/>
  <c r="R681" i="32"/>
  <c r="N683" i="32"/>
  <c r="A332" i="30"/>
  <c r="C75" i="20"/>
  <c r="G76" i="20" s="1"/>
  <c r="J76" i="20" s="1"/>
  <c r="CF74" i="2"/>
  <c r="CI74" i="2"/>
  <c r="D5262" i="30" l="1"/>
  <c r="D5172" i="30"/>
  <c r="R683" i="32"/>
  <c r="N685" i="32"/>
  <c r="A333" i="30"/>
  <c r="C76" i="20"/>
  <c r="G77" i="20" s="1"/>
  <c r="J77" i="20" s="1"/>
  <c r="CF75" i="2"/>
  <c r="CI75" i="2"/>
  <c r="D5173" i="30" l="1"/>
  <c r="D5263" i="30"/>
  <c r="R685" i="32"/>
  <c r="N687" i="32"/>
  <c r="A334" i="30"/>
  <c r="C77" i="20"/>
  <c r="G78" i="20" s="1"/>
  <c r="J78" i="20" s="1"/>
  <c r="CF76" i="2"/>
  <c r="CI76" i="2"/>
  <c r="D5264" i="30" l="1"/>
  <c r="D5174" i="30"/>
  <c r="R687" i="32"/>
  <c r="N689" i="32"/>
  <c r="A335" i="30"/>
  <c r="C78" i="20"/>
  <c r="G79" i="20" s="1"/>
  <c r="J79" i="20" s="1"/>
  <c r="CF77" i="2"/>
  <c r="CI77" i="2"/>
  <c r="D5265" i="30" l="1"/>
  <c r="D5175" i="30"/>
  <c r="R689" i="32"/>
  <c r="N691" i="32"/>
  <c r="A336" i="30"/>
  <c r="C79" i="20"/>
  <c r="G80" i="20" s="1"/>
  <c r="J80" i="20" s="1"/>
  <c r="CF78" i="2"/>
  <c r="CI78" i="2"/>
  <c r="D5176" i="30" l="1"/>
  <c r="D5266" i="30"/>
  <c r="R691" i="32"/>
  <c r="N693" i="32"/>
  <c r="A337" i="30"/>
  <c r="C80" i="20"/>
  <c r="G81" i="20" s="1"/>
  <c r="J81" i="20" s="1"/>
  <c r="CF79" i="2"/>
  <c r="CI79" i="2"/>
  <c r="D5267" i="30" l="1"/>
  <c r="D5177" i="30"/>
  <c r="R693" i="32"/>
  <c r="N695" i="32"/>
  <c r="A338" i="30"/>
  <c r="C81" i="20"/>
  <c r="G82" i="20" s="1"/>
  <c r="J82" i="20" s="1"/>
  <c r="CF80" i="2"/>
  <c r="CI80" i="2"/>
  <c r="D5178" i="30" l="1"/>
  <c r="D5268" i="30"/>
  <c r="R695" i="32"/>
  <c r="N697" i="32"/>
  <c r="A339" i="30"/>
  <c r="CF81" i="2"/>
  <c r="C82" i="20"/>
  <c r="G83" i="20" s="1"/>
  <c r="J83" i="20" s="1"/>
  <c r="CI81" i="2"/>
  <c r="D5269" i="30" l="1"/>
  <c r="D5179" i="30"/>
  <c r="R697" i="32"/>
  <c r="N699" i="32"/>
  <c r="A340" i="30"/>
  <c r="D5180" i="30" l="1"/>
  <c r="D5270" i="30"/>
  <c r="R699" i="32"/>
  <c r="N701" i="32"/>
  <c r="A341" i="30"/>
  <c r="D5181" i="30" l="1"/>
  <c r="D5271" i="30"/>
  <c r="R701" i="32"/>
  <c r="N703" i="32"/>
  <c r="A342" i="30"/>
  <c r="D5272" i="30" l="1"/>
  <c r="D5182" i="30"/>
  <c r="R703" i="32"/>
  <c r="N705" i="32"/>
  <c r="A343" i="30"/>
  <c r="D5183" i="30" l="1"/>
  <c r="D5273" i="30"/>
  <c r="R705" i="32"/>
  <c r="N707" i="32"/>
  <c r="A344" i="30"/>
  <c r="D5184" i="30" l="1"/>
  <c r="D5274" i="30"/>
  <c r="R707" i="32"/>
  <c r="N709" i="32"/>
  <c r="A345" i="30"/>
  <c r="D5185" i="30" l="1"/>
  <c r="D5275" i="30"/>
  <c r="R709" i="32"/>
  <c r="N711" i="32"/>
  <c r="A346" i="30"/>
  <c r="D5186" i="30" l="1"/>
  <c r="D5276" i="30"/>
  <c r="R711" i="32"/>
  <c r="N713" i="32"/>
  <c r="A347" i="30"/>
  <c r="D5187" i="30" l="1"/>
  <c r="D5277" i="30"/>
  <c r="R713" i="32"/>
  <c r="N715" i="32"/>
  <c r="A348" i="30"/>
  <c r="D5188" i="30" l="1"/>
  <c r="D5278" i="30"/>
  <c r="R715" i="32"/>
  <c r="N717" i="32"/>
  <c r="A349" i="30"/>
  <c r="D5189" i="30" l="1"/>
  <c r="D5279" i="30"/>
  <c r="R717" i="32"/>
  <c r="N719" i="32"/>
  <c r="A350" i="30"/>
  <c r="D5190" i="30" l="1"/>
  <c r="D5280" i="30"/>
  <c r="R719" i="32"/>
  <c r="N721" i="32"/>
  <c r="A351" i="30"/>
  <c r="D5281" i="30" l="1"/>
  <c r="D5191" i="30"/>
  <c r="R721" i="32"/>
  <c r="N723" i="32"/>
  <c r="A352" i="30"/>
  <c r="D5282" i="30" l="1"/>
  <c r="D5192" i="30"/>
  <c r="R723" i="32"/>
  <c r="N725" i="32"/>
  <c r="A353" i="30"/>
  <c r="D5283" i="30" l="1"/>
  <c r="D5193" i="30"/>
  <c r="R725" i="32"/>
  <c r="N727" i="32"/>
  <c r="A354" i="30"/>
  <c r="D5284" i="30" l="1"/>
  <c r="D5194" i="30"/>
  <c r="R727" i="32"/>
  <c r="N729" i="32"/>
  <c r="A355" i="30"/>
  <c r="D5285" i="30" l="1"/>
  <c r="D5195" i="30"/>
  <c r="R729" i="32"/>
  <c r="N731" i="32"/>
  <c r="A356" i="30"/>
  <c r="D5196" i="30" l="1"/>
  <c r="D5286" i="30"/>
  <c r="R731" i="32"/>
  <c r="N733" i="32"/>
  <c r="A357" i="30"/>
  <c r="D5197" i="30" l="1"/>
  <c r="D5287" i="30"/>
  <c r="R733" i="32"/>
  <c r="N735" i="32"/>
  <c r="A358" i="30"/>
  <c r="D5198" i="30" l="1"/>
  <c r="D5288" i="30"/>
  <c r="R735" i="32"/>
  <c r="N737" i="32"/>
  <c r="A359" i="30"/>
  <c r="D5199" i="30" l="1"/>
  <c r="D5289" i="30"/>
  <c r="R737" i="32"/>
  <c r="N739" i="32"/>
  <c r="A360" i="30"/>
  <c r="D5290" i="30" l="1"/>
  <c r="D5200" i="30"/>
  <c r="R739" i="32"/>
  <c r="N741" i="32"/>
  <c r="A361" i="30"/>
  <c r="D5201" i="30" l="1"/>
  <c r="D5291" i="30"/>
  <c r="R741" i="32"/>
  <c r="N743" i="32"/>
  <c r="A362" i="30"/>
  <c r="D5202" i="30" l="1"/>
  <c r="D5292" i="30"/>
  <c r="R743" i="32"/>
  <c r="N745" i="32"/>
  <c r="A363" i="30"/>
  <c r="D5203" i="30" l="1"/>
  <c r="D5293" i="30"/>
  <c r="R745" i="32"/>
  <c r="N747" i="32"/>
  <c r="A364" i="30"/>
  <c r="D5204" i="30" l="1"/>
  <c r="D5294" i="30"/>
  <c r="R747" i="32"/>
  <c r="N749" i="32"/>
  <c r="A365" i="30"/>
  <c r="D5295" i="30" l="1"/>
  <c r="D5205" i="30"/>
  <c r="R749" i="32"/>
  <c r="N751" i="32"/>
  <c r="A366" i="30"/>
  <c r="D5296" i="30" l="1"/>
  <c r="R751" i="32"/>
  <c r="N753" i="32"/>
  <c r="A367" i="30"/>
  <c r="D5297" i="30" l="1"/>
  <c r="R753" i="32"/>
  <c r="N755" i="32"/>
  <c r="A368" i="30"/>
  <c r="D5298" i="30" l="1"/>
  <c r="R755" i="32"/>
  <c r="N757" i="32"/>
  <c r="A369" i="30"/>
  <c r="D5299" i="30" l="1"/>
  <c r="N759" i="32"/>
  <c r="R757" i="32"/>
  <c r="A370" i="30"/>
  <c r="D5300" i="30" l="1"/>
  <c r="R759" i="32"/>
  <c r="A371" i="30"/>
  <c r="D5301" i="30" l="1"/>
  <c r="A372" i="30"/>
  <c r="D5302" i="30" l="1"/>
  <c r="A373" i="30"/>
  <c r="D5303" i="30" l="1"/>
  <c r="A374" i="30"/>
  <c r="D5304" i="30" l="1"/>
  <c r="A375" i="30"/>
  <c r="D5305" i="30" l="1"/>
  <c r="A376" i="30"/>
  <c r="D5306" i="30" l="1"/>
  <c r="A377" i="30"/>
  <c r="D5307" i="30" l="1"/>
  <c r="A378" i="30"/>
  <c r="D5308" i="30" l="1"/>
  <c r="A379" i="30"/>
  <c r="D5309" i="30" l="1"/>
  <c r="A380" i="30"/>
  <c r="D5310" i="30" l="1"/>
  <c r="A381" i="30"/>
  <c r="D5311" i="30" l="1"/>
  <c r="A382" i="30"/>
  <c r="D5312" i="30" l="1"/>
  <c r="A383" i="30"/>
  <c r="D5313" i="30" l="1"/>
  <c r="A384" i="30"/>
  <c r="D5314" i="30" l="1"/>
  <c r="A385" i="30"/>
  <c r="D5315" i="30" l="1"/>
  <c r="A386" i="30"/>
  <c r="D5316" i="30" l="1"/>
  <c r="A387" i="30"/>
  <c r="D5317" i="30" l="1"/>
  <c r="A388" i="30"/>
  <c r="D5318" i="30" l="1"/>
  <c r="A389" i="30"/>
  <c r="D5319" i="30" l="1"/>
  <c r="A390" i="30"/>
  <c r="D5320" i="30" l="1"/>
  <c r="A391" i="30"/>
  <c r="D5321" i="30" l="1"/>
  <c r="A392" i="30"/>
  <c r="D5322" i="30" l="1"/>
  <c r="A393" i="30"/>
  <c r="D5323" i="30" l="1"/>
  <c r="A394" i="30"/>
  <c r="D5324" i="30" l="1"/>
  <c r="A395" i="30"/>
  <c r="D5325" i="30" l="1"/>
  <c r="A396" i="30"/>
  <c r="D5326" i="30" l="1"/>
  <c r="A397" i="30"/>
  <c r="D5327" i="30" l="1"/>
  <c r="A398" i="30"/>
  <c r="D5328" i="30" l="1"/>
  <c r="A399" i="30"/>
  <c r="D5329" i="30" l="1"/>
  <c r="A400" i="30"/>
  <c r="D5330" i="30" l="1"/>
  <c r="A401" i="30"/>
  <c r="D5331" i="30" l="1"/>
  <c r="A402" i="30"/>
  <c r="D5332" i="30" l="1"/>
  <c r="A403" i="30"/>
  <c r="D5333" i="30" l="1"/>
  <c r="A404" i="30"/>
  <c r="D5334" i="30" l="1"/>
  <c r="A405" i="30"/>
  <c r="D5335" i="30" l="1"/>
  <c r="A406" i="30"/>
  <c r="D5336" i="30" l="1"/>
  <c r="A407" i="30"/>
  <c r="D5337" i="30" l="1"/>
  <c r="A408" i="30"/>
  <c r="D5338" i="30" l="1"/>
  <c r="A409" i="30"/>
  <c r="D5339" i="30" l="1"/>
  <c r="A410" i="30"/>
  <c r="D5340" i="30" l="1"/>
  <c r="A411" i="30"/>
  <c r="D5341" i="30" l="1"/>
  <c r="A412" i="30"/>
  <c r="D5342" i="30" l="1"/>
  <c r="A413" i="30"/>
  <c r="D5343" i="30" l="1"/>
  <c r="A414" i="30"/>
  <c r="D5344" i="30" l="1"/>
  <c r="A415" i="30"/>
  <c r="D5345" i="30" l="1"/>
  <c r="A416" i="30"/>
  <c r="D5346" i="30" l="1"/>
  <c r="A417" i="30"/>
  <c r="D5347" i="30" l="1"/>
  <c r="A418" i="30"/>
  <c r="D5348" i="30" l="1"/>
  <c r="A419" i="30"/>
  <c r="D5349" i="30" l="1"/>
  <c r="A420" i="30"/>
  <c r="D5350" i="30" l="1"/>
  <c r="A421" i="30"/>
  <c r="D5351" i="30" l="1"/>
  <c r="A422" i="30"/>
  <c r="D5352" i="30" l="1"/>
  <c r="A423" i="30"/>
  <c r="D5353" i="30" l="1"/>
  <c r="A424" i="30"/>
  <c r="D5354" i="30" l="1"/>
  <c r="A425" i="30"/>
  <c r="D5355" i="30" l="1"/>
  <c r="A426" i="30"/>
  <c r="D5356" i="30" l="1"/>
  <c r="A427" i="30"/>
  <c r="D5357" i="30" l="1"/>
  <c r="A428" i="30"/>
  <c r="D5358" i="30" l="1"/>
  <c r="A429" i="30"/>
  <c r="D5359" i="30" l="1"/>
  <c r="A430" i="30"/>
  <c r="D5360" i="30" l="1"/>
  <c r="A431" i="30"/>
  <c r="D5361" i="30" l="1"/>
  <c r="A432" i="30"/>
  <c r="D5362" i="30" l="1"/>
  <c r="A433" i="30"/>
  <c r="D5363" i="30" l="1"/>
  <c r="A434" i="30"/>
  <c r="D5364" i="30" l="1"/>
  <c r="A435" i="30"/>
  <c r="D5365" i="30" l="1"/>
  <c r="A436" i="30"/>
  <c r="D5366" i="30" l="1"/>
  <c r="A437" i="30"/>
  <c r="D5367" i="30" l="1"/>
  <c r="A438" i="30"/>
  <c r="D5368" i="30" l="1"/>
  <c r="A439" i="30"/>
  <c r="D5369" i="30" l="1"/>
  <c r="A440" i="30"/>
  <c r="D5370" i="30" l="1"/>
  <c r="A441" i="30"/>
  <c r="D5371" i="30" l="1"/>
  <c r="A442" i="30"/>
  <c r="D5372" i="30" l="1"/>
  <c r="A443" i="30"/>
  <c r="D5373" i="30" l="1"/>
  <c r="A444" i="30"/>
  <c r="D5374" i="30" l="1"/>
  <c r="A445" i="30"/>
  <c r="D5375" i="30" l="1"/>
  <c r="A446" i="30"/>
  <c r="D5376" i="30" l="1"/>
  <c r="A447" i="30"/>
  <c r="D5377" i="30" l="1"/>
  <c r="A448" i="30"/>
  <c r="D5378" i="30" l="1"/>
  <c r="A449" i="30"/>
  <c r="D5379" i="30" l="1"/>
  <c r="A450" i="30"/>
  <c r="D5380" i="30" l="1"/>
  <c r="A451" i="30"/>
  <c r="D5381" i="30" l="1"/>
  <c r="A452" i="30"/>
  <c r="D5382" i="30" l="1"/>
  <c r="A453" i="30"/>
  <c r="D5383" i="30" l="1"/>
  <c r="A454" i="30"/>
  <c r="D5384" i="30" l="1"/>
  <c r="A455" i="30"/>
  <c r="D5385" i="30" l="1"/>
  <c r="A456" i="30"/>
  <c r="D5386" i="30" l="1"/>
  <c r="A457" i="30"/>
  <c r="D5387" i="30" l="1"/>
  <c r="A458" i="30"/>
  <c r="D5388" i="30" l="1"/>
  <c r="A459" i="30"/>
  <c r="D5389" i="30" l="1"/>
  <c r="A460" i="30"/>
  <c r="D5390" i="30" l="1"/>
  <c r="A461" i="30"/>
  <c r="D5391" i="30" l="1"/>
  <c r="A462" i="30"/>
  <c r="D5392" i="30" l="1"/>
  <c r="A463" i="30"/>
  <c r="D5393" i="30" l="1"/>
  <c r="A464" i="30"/>
  <c r="D5394" i="30" l="1"/>
  <c r="A465" i="30"/>
  <c r="D5395" i="30" l="1"/>
  <c r="A466" i="30"/>
  <c r="D5396" i="30" l="1"/>
  <c r="A467" i="30"/>
  <c r="D5397" i="30" l="1"/>
  <c r="A468" i="30"/>
  <c r="D5398" i="30" l="1"/>
  <c r="A469" i="30"/>
  <c r="D5399" i="30" l="1"/>
  <c r="A470" i="30"/>
  <c r="D5400" i="30" l="1"/>
  <c r="A471" i="30"/>
  <c r="D5401" i="30" l="1"/>
  <c r="A472" i="30"/>
  <c r="D5402" i="30" l="1"/>
  <c r="A473" i="30"/>
  <c r="D5403" i="30" l="1"/>
  <c r="A474" i="30"/>
  <c r="D5404" i="30" l="1"/>
  <c r="A475" i="30"/>
  <c r="D5405" i="30" l="1"/>
  <c r="A476" i="30"/>
  <c r="D5406" i="30" l="1"/>
  <c r="A477" i="30"/>
  <c r="D5407" i="30" l="1"/>
  <c r="A478" i="30"/>
  <c r="D5408" i="30" l="1"/>
  <c r="A479" i="30"/>
  <c r="D5409" i="30" l="1"/>
  <c r="A480" i="30"/>
  <c r="D5410" i="30" l="1"/>
  <c r="A481" i="30"/>
  <c r="D5411" i="30" l="1"/>
  <c r="A482" i="30"/>
  <c r="D5412" i="30" l="1"/>
  <c r="A483" i="30"/>
  <c r="D5413" i="30" l="1"/>
  <c r="A484" i="30"/>
  <c r="D5414" i="30" l="1"/>
  <c r="A485" i="30"/>
  <c r="D5415" i="30" l="1"/>
  <c r="A486" i="30"/>
  <c r="D5416" i="30" l="1"/>
  <c r="A487" i="30"/>
  <c r="D5417" i="30" l="1"/>
  <c r="A488" i="30"/>
  <c r="D5418" i="30" l="1"/>
  <c r="A489" i="30"/>
  <c r="D5419" i="30" l="1"/>
  <c r="A490" i="30"/>
  <c r="D5420" i="30" l="1"/>
  <c r="A491" i="30"/>
  <c r="D5421" i="30" l="1"/>
  <c r="A492" i="30"/>
  <c r="D5422" i="30" l="1"/>
  <c r="A493" i="30"/>
  <c r="D5423" i="30" l="1"/>
  <c r="A494" i="30"/>
  <c r="D5424" i="30" l="1"/>
  <c r="A495" i="30"/>
  <c r="D5425" i="30" l="1"/>
  <c r="A496" i="30"/>
  <c r="D5426" i="30" l="1"/>
  <c r="A497" i="30"/>
  <c r="D5427" i="30" l="1"/>
  <c r="A498" i="30"/>
  <c r="D5428" i="30" l="1"/>
  <c r="A499" i="30"/>
  <c r="D5429" i="30" l="1"/>
  <c r="A500" i="30"/>
  <c r="D5430" i="30" l="1"/>
  <c r="A501" i="30"/>
  <c r="D5431" i="30" l="1"/>
  <c r="A502" i="30"/>
  <c r="D5432" i="30" l="1"/>
  <c r="A503" i="30"/>
  <c r="D5433" i="30" l="1"/>
  <c r="A504" i="30"/>
  <c r="D5434" i="30" l="1"/>
  <c r="A505" i="30"/>
  <c r="D5435" i="30" l="1"/>
  <c r="A506" i="30"/>
  <c r="D5436" i="30" l="1"/>
  <c r="A507" i="30"/>
  <c r="D5437" i="30" l="1"/>
  <c r="A508" i="30"/>
  <c r="D5438" i="30" l="1"/>
  <c r="A509" i="30"/>
  <c r="D5439" i="30" l="1"/>
  <c r="A510" i="30"/>
  <c r="D5440" i="30" l="1"/>
  <c r="A511" i="30"/>
  <c r="D5441" i="30" l="1"/>
  <c r="A512" i="30"/>
  <c r="D5442" i="30" l="1"/>
  <c r="A513" i="30"/>
  <c r="D5443" i="30" l="1"/>
  <c r="D108" i="30"/>
  <c r="D109" i="30" s="1"/>
  <c r="D110" i="30" s="1"/>
  <c r="D111" i="30" s="1"/>
  <c r="D112" i="30" s="1"/>
  <c r="D113" i="30" s="1"/>
  <c r="D114" i="30" s="1"/>
  <c r="D115" i="30" s="1"/>
  <c r="D116" i="30" s="1"/>
  <c r="D117" i="30" s="1"/>
  <c r="D118" i="30" s="1"/>
  <c r="D119" i="30" s="1"/>
  <c r="D120" i="30" s="1"/>
  <c r="D121" i="30" s="1"/>
  <c r="D122" i="30" s="1"/>
  <c r="D123" i="30" s="1"/>
  <c r="D124" i="30" s="1"/>
  <c r="D125" i="30" s="1"/>
  <c r="D126" i="30" s="1"/>
  <c r="D127" i="30" s="1"/>
  <c r="D128" i="30" s="1"/>
  <c r="D129" i="30" s="1"/>
  <c r="D130" i="30" s="1"/>
  <c r="D131" i="30" s="1"/>
  <c r="D132" i="30" s="1"/>
  <c r="D133" i="30" s="1"/>
  <c r="D134" i="30" s="1"/>
  <c r="D135" i="30" s="1"/>
  <c r="D136" i="30" s="1"/>
  <c r="D137" i="30" s="1"/>
  <c r="D138" i="30" s="1"/>
  <c r="D139" i="30" s="1"/>
  <c r="D140" i="30" s="1"/>
  <c r="D141" i="30" s="1"/>
  <c r="D142" i="30" s="1"/>
  <c r="D143" i="30" s="1"/>
  <c r="D144" i="30" s="1"/>
  <c r="D145" i="30" s="1"/>
  <c r="D146" i="30" s="1"/>
  <c r="D147" i="30" s="1"/>
  <c r="D148" i="30" s="1"/>
  <c r="D149" i="30" s="1"/>
  <c r="D150" i="30" s="1"/>
  <c r="D151" i="30" s="1"/>
  <c r="D152" i="30" s="1"/>
  <c r="D153" i="30" s="1"/>
  <c r="D154" i="30" s="1"/>
  <c r="D155" i="30" s="1"/>
  <c r="D156" i="30" s="1"/>
  <c r="D157" i="30" s="1"/>
  <c r="D158" i="30" s="1"/>
  <c r="D159" i="30" s="1"/>
  <c r="D160" i="30" s="1"/>
  <c r="D161" i="30" s="1"/>
  <c r="D162" i="30" s="1"/>
  <c r="D163" i="30" s="1"/>
  <c r="D164" i="30" s="1"/>
  <c r="D165" i="30" s="1"/>
  <c r="D166" i="30" s="1"/>
  <c r="D167" i="30" s="1"/>
  <c r="D168" i="30" s="1"/>
  <c r="D169" i="30" s="1"/>
  <c r="D170" i="30" s="1"/>
  <c r="D171" i="30" s="1"/>
  <c r="D172" i="30" s="1"/>
  <c r="D173" i="30" s="1"/>
  <c r="D174" i="30" s="1"/>
  <c r="D175" i="30" s="1"/>
  <c r="D176" i="30" s="1"/>
  <c r="D177" i="30" s="1"/>
  <c r="D178" i="30" s="1"/>
  <c r="D179" i="30" s="1"/>
  <c r="D180" i="30" s="1"/>
  <c r="D181" i="30" s="1"/>
  <c r="D182" i="30" s="1"/>
  <c r="D183" i="30" s="1"/>
  <c r="D184" i="30" s="1"/>
  <c r="D185" i="30" s="1"/>
  <c r="D186" i="30" s="1"/>
  <c r="D187" i="30" s="1"/>
  <c r="D188" i="30" s="1"/>
  <c r="D189" i="30" s="1"/>
  <c r="D190" i="30" s="1"/>
  <c r="D191" i="30" s="1"/>
  <c r="D192" i="30" s="1"/>
  <c r="D193" i="30" s="1"/>
  <c r="D194" i="30" s="1"/>
  <c r="D195" i="30" s="1"/>
  <c r="D196" i="30" s="1"/>
  <c r="D197" i="30" s="1"/>
  <c r="D198" i="30" s="1"/>
  <c r="D199" i="30" s="1"/>
  <c r="D200" i="30" s="1"/>
  <c r="D201" i="30" s="1"/>
  <c r="D202" i="30" s="1"/>
  <c r="D203" i="30" s="1"/>
  <c r="D204" i="30" s="1"/>
  <c r="D205" i="30" s="1"/>
  <c r="D206" i="30" s="1"/>
  <c r="D207" i="30" s="1"/>
  <c r="D208" i="30" s="1"/>
  <c r="D209" i="30" s="1"/>
  <c r="D210" i="30" s="1"/>
  <c r="D211" i="30" s="1"/>
  <c r="D212" i="30" s="1"/>
  <c r="D213" i="30" s="1"/>
  <c r="D214" i="30" s="1"/>
  <c r="D215" i="30" s="1"/>
  <c r="D216" i="30" s="1"/>
  <c r="D217" i="30" s="1"/>
  <c r="D218" i="30" s="1"/>
  <c r="D219" i="30" s="1"/>
  <c r="D220" i="30" s="1"/>
  <c r="D221" i="30" s="1"/>
  <c r="D222" i="30" s="1"/>
  <c r="D223" i="30" s="1"/>
  <c r="D224" i="30" s="1"/>
  <c r="D225" i="30" s="1"/>
  <c r="D226" i="30" s="1"/>
  <c r="D227" i="30" s="1"/>
  <c r="D228" i="30" s="1"/>
  <c r="D229" i="30" s="1"/>
  <c r="D230" i="30" s="1"/>
  <c r="D231" i="30" s="1"/>
  <c r="D232" i="30" s="1"/>
  <c r="D233" i="30" s="1"/>
  <c r="D234" i="30" s="1"/>
  <c r="D235" i="30" s="1"/>
  <c r="D236" i="30" s="1"/>
  <c r="D237" i="30" s="1"/>
  <c r="D238" i="30" s="1"/>
  <c r="D239" i="30" s="1"/>
  <c r="D240" i="30" s="1"/>
  <c r="D241" i="30" s="1"/>
  <c r="D242" i="30" s="1"/>
  <c r="D243" i="30" s="1"/>
  <c r="D244" i="30" s="1"/>
  <c r="D245" i="30" s="1"/>
  <c r="D246" i="30" s="1"/>
  <c r="D247" i="30" s="1"/>
  <c r="D248" i="30" s="1"/>
  <c r="D249" i="30" s="1"/>
  <c r="D250" i="30" s="1"/>
  <c r="D251" i="30" s="1"/>
  <c r="D252" i="30" s="1"/>
  <c r="D253" i="30" s="1"/>
  <c r="D254" i="30" s="1"/>
  <c r="D255" i="30" s="1"/>
  <c r="D256" i="30" s="1"/>
  <c r="D257" i="30" s="1"/>
  <c r="D258" i="30" s="1"/>
  <c r="D259" i="30" s="1"/>
  <c r="D260" i="30" s="1"/>
  <c r="D261" i="30" s="1"/>
  <c r="D262" i="30" s="1"/>
  <c r="D263" i="30" s="1"/>
  <c r="D264" i="30" s="1"/>
  <c r="D265" i="30" s="1"/>
  <c r="D266" i="30" s="1"/>
  <c r="D267" i="30" s="1"/>
  <c r="D268" i="30" s="1"/>
  <c r="D269" i="30" s="1"/>
  <c r="D270" i="30" s="1"/>
  <c r="D271" i="30" s="1"/>
  <c r="D272" i="30" s="1"/>
  <c r="D273" i="30" s="1"/>
  <c r="D274" i="30" s="1"/>
  <c r="D275" i="30" s="1"/>
  <c r="D276" i="30" s="1"/>
  <c r="D277" i="30" s="1"/>
  <c r="D278" i="30" s="1"/>
  <c r="D279" i="30" s="1"/>
  <c r="D280" i="30" s="1"/>
  <c r="D281" i="30" s="1"/>
  <c r="D282" i="30" s="1"/>
  <c r="D283" i="30" s="1"/>
  <c r="D284" i="30" s="1"/>
  <c r="D285" i="30" s="1"/>
  <c r="D286" i="30" s="1"/>
  <c r="D287" i="30" s="1"/>
  <c r="D288" i="30" s="1"/>
  <c r="D289" i="30" s="1"/>
  <c r="D290" i="30" s="1"/>
  <c r="D291" i="30" s="1"/>
  <c r="D292" i="30" s="1"/>
  <c r="D293" i="30" s="1"/>
  <c r="D294" i="30" s="1"/>
  <c r="D295" i="30" s="1"/>
  <c r="D296" i="30" s="1"/>
  <c r="D297" i="30" s="1"/>
  <c r="D298" i="30" s="1"/>
  <c r="D299" i="30" s="1"/>
  <c r="D300" i="30" s="1"/>
  <c r="D301" i="30" s="1"/>
  <c r="D302" i="30" s="1"/>
  <c r="D303" i="30" s="1"/>
  <c r="D304" i="30" s="1"/>
  <c r="D305" i="30" s="1"/>
  <c r="D306" i="30" s="1"/>
  <c r="D307" i="30" s="1"/>
  <c r="D308" i="30" s="1"/>
  <c r="D309" i="30" s="1"/>
  <c r="D310" i="30" s="1"/>
  <c r="D311" i="30" s="1"/>
  <c r="D312" i="30" s="1"/>
  <c r="D313" i="30" s="1"/>
  <c r="D314" i="30" s="1"/>
  <c r="D315" i="30" s="1"/>
  <c r="D316" i="30" s="1"/>
  <c r="D317" i="30" s="1"/>
  <c r="D318" i="30" s="1"/>
  <c r="D319" i="30" s="1"/>
  <c r="D320" i="30" s="1"/>
  <c r="D321" i="30" s="1"/>
  <c r="D322" i="30" s="1"/>
  <c r="D323" i="30" s="1"/>
  <c r="D324" i="30" s="1"/>
  <c r="D325" i="30" s="1"/>
  <c r="D326" i="30" s="1"/>
  <c r="D327" i="30" s="1"/>
  <c r="D328" i="30" s="1"/>
  <c r="D329" i="30" s="1"/>
  <c r="D330" i="30" s="1"/>
  <c r="D331" i="30" s="1"/>
  <c r="D332" i="30" s="1"/>
  <c r="D333" i="30" s="1"/>
  <c r="D334" i="30" s="1"/>
  <c r="D335" i="30" s="1"/>
  <c r="D336" i="30" s="1"/>
  <c r="D337" i="30" s="1"/>
  <c r="D338" i="30" s="1"/>
  <c r="D339" i="30" s="1"/>
  <c r="D340" i="30" s="1"/>
  <c r="D341" i="30" s="1"/>
  <c r="D342" i="30" s="1"/>
  <c r="D343" i="30" s="1"/>
  <c r="D344" i="30" s="1"/>
  <c r="D345" i="30" s="1"/>
  <c r="D346" i="30" s="1"/>
  <c r="D347" i="30" s="1"/>
  <c r="D348" i="30" s="1"/>
  <c r="D349" i="30" s="1"/>
  <c r="D350" i="30" s="1"/>
  <c r="D351" i="30" s="1"/>
  <c r="D352" i="30" s="1"/>
  <c r="D353" i="30" s="1"/>
  <c r="D354" i="30" s="1"/>
  <c r="D355" i="30" s="1"/>
  <c r="D356" i="30" s="1"/>
  <c r="D357" i="30" s="1"/>
  <c r="D358" i="30" s="1"/>
  <c r="D359" i="30" s="1"/>
  <c r="D360" i="30" s="1"/>
  <c r="D361" i="30" s="1"/>
  <c r="D362" i="30" s="1"/>
  <c r="D363" i="30" s="1"/>
  <c r="D364" i="30" s="1"/>
  <c r="D365" i="30" s="1"/>
  <c r="D366" i="30" s="1"/>
  <c r="D367" i="30"/>
  <c r="D368" i="30" s="1"/>
  <c r="D369" i="30" s="1"/>
  <c r="D370" i="30" s="1"/>
  <c r="D371" i="30" s="1"/>
  <c r="D372" i="30" s="1"/>
  <c r="D373" i="30" s="1"/>
  <c r="D374" i="30" s="1"/>
  <c r="D375" i="30" s="1"/>
  <c r="D376" i="30" s="1"/>
  <c r="D377" i="30" s="1"/>
  <c r="D378" i="30" s="1"/>
  <c r="D379" i="30" s="1"/>
  <c r="D380" i="30" s="1"/>
  <c r="D381" i="30" s="1"/>
  <c r="D382" i="30" s="1"/>
  <c r="D383" i="30" s="1"/>
  <c r="D384" i="30" s="1"/>
  <c r="D385" i="30" s="1"/>
  <c r="D386" i="30" s="1"/>
  <c r="D387" i="30" s="1"/>
  <c r="D388" i="30" s="1"/>
  <c r="D389" i="30" s="1"/>
  <c r="D390" i="30" s="1"/>
  <c r="D391" i="30" s="1"/>
  <c r="D392" i="30" s="1"/>
  <c r="D393" i="30" s="1"/>
  <c r="D394" i="30" s="1"/>
  <c r="D395" i="30" s="1"/>
  <c r="D396" i="30" s="1"/>
  <c r="D397" i="30" s="1"/>
  <c r="D398" i="30" s="1"/>
  <c r="D399" i="30" s="1"/>
  <c r="D400" i="30" s="1"/>
  <c r="D401" i="30" s="1"/>
  <c r="D402" i="30" s="1"/>
  <c r="D403" i="30" s="1"/>
  <c r="D404" i="30" s="1"/>
  <c r="D405" i="30" s="1"/>
  <c r="D406" i="30" s="1"/>
  <c r="D407" i="30" s="1"/>
  <c r="D408" i="30" s="1"/>
  <c r="D409" i="30" s="1"/>
  <c r="D410" i="30" s="1"/>
  <c r="D411" i="30" s="1"/>
  <c r="D412" i="30" s="1"/>
  <c r="D413" i="30" s="1"/>
  <c r="D414" i="30" s="1"/>
  <c r="D415" i="30" s="1"/>
  <c r="D416" i="30" s="1"/>
  <c r="D417" i="30" s="1"/>
  <c r="D418" i="30" s="1"/>
  <c r="D419" i="30" s="1"/>
  <c r="D420" i="30" s="1"/>
  <c r="D421" i="30" s="1"/>
  <c r="D422" i="30" s="1"/>
  <c r="D423" i="30" s="1"/>
  <c r="D424" i="30" s="1"/>
  <c r="D425" i="30" s="1"/>
  <c r="D426" i="30" s="1"/>
  <c r="D427" i="30" s="1"/>
  <c r="D428" i="30" s="1"/>
  <c r="D429" i="30" s="1"/>
  <c r="D430" i="30" s="1"/>
  <c r="D431" i="30" s="1"/>
  <c r="D432" i="30" s="1"/>
  <c r="D433" i="30" s="1"/>
  <c r="D434" i="30" s="1"/>
  <c r="D435" i="30" s="1"/>
  <c r="D436" i="30" s="1"/>
  <c r="D437" i="30" s="1"/>
  <c r="D438" i="30" s="1"/>
  <c r="D439" i="30" s="1"/>
  <c r="D440" i="30" s="1"/>
  <c r="D441" i="30" s="1"/>
  <c r="D442" i="30" s="1"/>
  <c r="D443" i="30" s="1"/>
  <c r="D444" i="30" s="1"/>
  <c r="D445" i="30" s="1"/>
  <c r="D446" i="30" s="1"/>
  <c r="D447" i="30" s="1"/>
  <c r="D448" i="30" s="1"/>
  <c r="D449" i="30" s="1"/>
  <c r="D450" i="30" s="1"/>
  <c r="D451" i="30" s="1"/>
  <c r="D452" i="30" s="1"/>
  <c r="D453" i="30" s="1"/>
  <c r="D454" i="30" s="1"/>
  <c r="D455" i="30" s="1"/>
  <c r="D456" i="30" s="1"/>
  <c r="D457" i="30" s="1"/>
  <c r="D458" i="30" s="1"/>
  <c r="D459" i="30" s="1"/>
  <c r="D460" i="30" s="1"/>
  <c r="D461" i="30" s="1"/>
  <c r="D462" i="30" s="1"/>
  <c r="D463" i="30" s="1"/>
  <c r="D464" i="30" s="1"/>
  <c r="D465" i="30" s="1"/>
  <c r="D466" i="30" s="1"/>
  <c r="D467" i="30" s="1"/>
  <c r="D468" i="30" s="1"/>
  <c r="D469" i="30" s="1"/>
  <c r="D470" i="30" s="1"/>
  <c r="D471" i="30" s="1"/>
  <c r="D472" i="30" s="1"/>
  <c r="D473" i="30" s="1"/>
  <c r="D474" i="30" s="1"/>
  <c r="A514" i="30"/>
  <c r="D5444" i="30" l="1"/>
  <c r="D475" i="30"/>
  <c r="A515" i="30"/>
  <c r="D5445" i="30" l="1"/>
  <c r="D476" i="30"/>
  <c r="A516" i="30"/>
  <c r="D5446" i="30" l="1"/>
  <c r="D477" i="30"/>
  <c r="A517" i="30"/>
  <c r="D5447" i="30" l="1"/>
  <c r="D478" i="30"/>
  <c r="A518" i="30"/>
  <c r="D5448" i="30" l="1"/>
  <c r="D479" i="30"/>
  <c r="A519" i="30"/>
  <c r="D5449" i="30" l="1"/>
  <c r="D480" i="30"/>
  <c r="A520" i="30"/>
  <c r="D5450" i="30" l="1"/>
  <c r="D481" i="30"/>
  <c r="A521" i="30"/>
  <c r="D5451" i="30" l="1"/>
  <c r="D482" i="30"/>
  <c r="A522" i="30"/>
  <c r="D5452" i="30" l="1"/>
  <c r="D483" i="30"/>
  <c r="A523" i="30"/>
  <c r="D5453" i="30" l="1"/>
  <c r="D484" i="30"/>
  <c r="A524" i="30"/>
  <c r="D5454" i="30" l="1"/>
  <c r="D485" i="30"/>
  <c r="A525" i="30"/>
  <c r="D5455" i="30" l="1"/>
  <c r="D486" i="30"/>
  <c r="A526" i="30"/>
  <c r="D5456" i="30" l="1"/>
  <c r="D487" i="30"/>
  <c r="A527" i="30"/>
  <c r="D5457" i="30" l="1"/>
  <c r="D488" i="30"/>
  <c r="A528" i="30"/>
  <c r="D5458" i="30" l="1"/>
  <c r="D489" i="30"/>
  <c r="A529" i="30"/>
  <c r="D5459" i="30" l="1"/>
  <c r="D490" i="30"/>
  <c r="A530" i="30"/>
  <c r="D5460" i="30" l="1"/>
  <c r="D491" i="30"/>
  <c r="A531" i="30"/>
  <c r="D5461" i="30" l="1"/>
  <c r="D492" i="30"/>
  <c r="A532" i="30"/>
  <c r="D5462" i="30" l="1"/>
  <c r="D493" i="30"/>
  <c r="A533" i="30"/>
  <c r="D5463" i="30" l="1"/>
  <c r="D494" i="30"/>
  <c r="A534" i="30"/>
  <c r="D5464" i="30" l="1"/>
  <c r="D495" i="30"/>
  <c r="A535" i="30"/>
  <c r="D5465" i="30" l="1"/>
  <c r="D496" i="30"/>
  <c r="A536" i="30"/>
  <c r="D5466" i="30" l="1"/>
  <c r="D497" i="30"/>
  <c r="A537" i="30"/>
  <c r="D5467" i="30" l="1"/>
  <c r="D498" i="30"/>
  <c r="A538" i="30"/>
  <c r="D5468" i="30" l="1"/>
  <c r="D499" i="30"/>
  <c r="A539" i="30"/>
  <c r="D5469" i="30" l="1"/>
  <c r="D500" i="30"/>
  <c r="A540" i="30"/>
  <c r="D5470" i="30" l="1"/>
  <c r="D501" i="30"/>
  <c r="A541" i="30"/>
  <c r="D5471" i="30" l="1"/>
  <c r="D502" i="30"/>
  <c r="A542" i="30"/>
  <c r="D5472" i="30" l="1"/>
  <c r="D503" i="30"/>
  <c r="A543" i="30"/>
  <c r="D5473" i="30" l="1"/>
  <c r="D504" i="30"/>
  <c r="A544" i="30"/>
  <c r="D5474" i="30" l="1"/>
  <c r="D505" i="30"/>
  <c r="A545" i="30"/>
  <c r="D5475" i="30" l="1"/>
  <c r="D506" i="30"/>
  <c r="A546" i="30"/>
  <c r="D5476" i="30" l="1"/>
  <c r="D507" i="30"/>
  <c r="A547" i="30"/>
  <c r="D5477" i="30" l="1"/>
  <c r="D508" i="30"/>
  <c r="A548" i="30"/>
  <c r="D5478" i="30" l="1"/>
  <c r="D509" i="30"/>
  <c r="A549" i="30"/>
  <c r="D5479" i="30" l="1"/>
  <c r="D510" i="30"/>
  <c r="A550" i="30"/>
  <c r="D5480" i="30" l="1"/>
  <c r="D511" i="30"/>
  <c r="A551" i="30"/>
  <c r="D512" i="30" l="1"/>
  <c r="A552" i="30"/>
  <c r="D513" i="30" l="1"/>
  <c r="A553" i="30"/>
  <c r="D514" i="30" l="1"/>
  <c r="A554" i="30"/>
  <c r="D515" i="30" l="1"/>
  <c r="A555" i="30"/>
  <c r="D516" i="30" l="1"/>
  <c r="A556" i="30"/>
  <c r="D517" i="30" l="1"/>
  <c r="A557" i="30"/>
  <c r="D518" i="30" l="1"/>
  <c r="A558" i="30"/>
  <c r="D519" i="30" l="1"/>
  <c r="A559" i="30"/>
  <c r="D520" i="30" l="1"/>
  <c r="A560" i="30"/>
  <c r="D521" i="30" l="1"/>
  <c r="A561" i="30"/>
  <c r="D522" i="30" l="1"/>
  <c r="A562" i="30"/>
  <c r="D523" i="30" l="1"/>
  <c r="A563" i="30"/>
  <c r="D524" i="30" l="1"/>
  <c r="A564" i="30"/>
  <c r="D525" i="30" l="1"/>
  <c r="A565" i="30"/>
  <c r="D526" i="30" l="1"/>
  <c r="A566" i="30"/>
  <c r="D527" i="30" l="1"/>
  <c r="A567" i="30"/>
  <c r="D528" i="30" l="1"/>
  <c r="A568" i="30"/>
  <c r="D529" i="30" l="1"/>
  <c r="A569" i="30"/>
  <c r="D530" i="30" l="1"/>
  <c r="A570" i="30"/>
  <c r="D531" i="30" l="1"/>
  <c r="A571" i="30"/>
  <c r="D532" i="30" l="1"/>
  <c r="A572" i="30"/>
  <c r="D533" i="30" l="1"/>
  <c r="A573" i="30"/>
  <c r="D534" i="30" l="1"/>
  <c r="A574" i="30"/>
  <c r="D535" i="30" l="1"/>
  <c r="A575" i="30"/>
  <c r="D536" i="30" l="1"/>
  <c r="A576" i="30"/>
  <c r="D537" i="30" l="1"/>
  <c r="A577" i="30"/>
  <c r="D538" i="30" l="1"/>
  <c r="A578" i="30"/>
  <c r="D539" i="30" l="1"/>
  <c r="A579" i="30"/>
  <c r="D540" i="30" l="1"/>
  <c r="A580" i="30"/>
  <c r="D541" i="30" l="1"/>
  <c r="A581" i="30"/>
  <c r="D542" i="30" l="1"/>
  <c r="A582" i="30"/>
  <c r="D543" i="30" l="1"/>
  <c r="A583" i="30"/>
  <c r="D544" i="30" l="1"/>
  <c r="A584" i="30"/>
  <c r="D545" i="30" l="1"/>
  <c r="A585" i="30"/>
  <c r="D546" i="30" l="1"/>
  <c r="A586" i="30"/>
  <c r="D547" i="30" l="1"/>
  <c r="A587" i="30"/>
  <c r="D548" i="30" l="1"/>
  <c r="A588" i="30"/>
  <c r="D549" i="30" l="1"/>
  <c r="A589" i="30"/>
  <c r="D550" i="30" l="1"/>
  <c r="A590" i="30"/>
  <c r="D551" i="30" l="1"/>
  <c r="A591" i="30"/>
  <c r="D552" i="30" l="1"/>
  <c r="A592" i="30"/>
  <c r="D553" i="30" l="1"/>
  <c r="A593" i="30"/>
  <c r="D554" i="30" l="1"/>
  <c r="A594" i="30"/>
  <c r="D555" i="30" l="1"/>
  <c r="A595" i="30"/>
  <c r="D556" i="30" l="1"/>
  <c r="A596" i="30"/>
  <c r="D557" i="30" l="1"/>
  <c r="A597" i="30"/>
  <c r="D558" i="30" l="1"/>
  <c r="A598" i="30"/>
  <c r="D559" i="30" l="1"/>
  <c r="A599" i="30"/>
  <c r="D560" i="30" l="1"/>
  <c r="A600" i="30"/>
  <c r="D561" i="30" l="1"/>
  <c r="A601" i="30"/>
  <c r="D562" i="30" l="1"/>
  <c r="A602" i="30"/>
  <c r="D563" i="30" l="1"/>
  <c r="A603" i="30"/>
  <c r="D564" i="30" l="1"/>
  <c r="A604" i="30"/>
  <c r="D565" i="30" l="1"/>
  <c r="A605" i="30"/>
  <c r="D566" i="30" l="1"/>
  <c r="A606" i="30"/>
  <c r="D567" i="30" l="1"/>
  <c r="A607" i="30"/>
  <c r="D568" i="30" l="1"/>
  <c r="A608" i="30"/>
  <c r="D569" i="30" l="1"/>
  <c r="A609" i="30"/>
  <c r="D570" i="30" l="1"/>
  <c r="A610" i="30"/>
  <c r="D571" i="30" l="1"/>
  <c r="A611" i="30"/>
  <c r="D572" i="30" l="1"/>
  <c r="A612" i="30"/>
  <c r="D573" i="30" l="1"/>
  <c r="A613" i="30"/>
  <c r="D574" i="30" l="1"/>
  <c r="A614" i="30"/>
  <c r="D575" i="30" l="1"/>
  <c r="A615" i="30"/>
  <c r="D576" i="30" l="1"/>
  <c r="A616" i="30"/>
  <c r="D577" i="30" l="1"/>
  <c r="A617" i="30"/>
  <c r="D578" i="30" l="1"/>
  <c r="A618" i="30"/>
  <c r="D579" i="30" l="1"/>
  <c r="A619" i="30"/>
  <c r="D580" i="30" l="1"/>
  <c r="A620" i="30"/>
  <c r="D581" i="30" l="1"/>
  <c r="A621" i="30"/>
  <c r="D582" i="30" l="1"/>
  <c r="A622" i="30"/>
  <c r="D583" i="30" l="1"/>
  <c r="A623" i="30"/>
  <c r="D584" i="30" l="1"/>
  <c r="A624" i="30"/>
  <c r="D585" i="30" l="1"/>
  <c r="A625" i="30"/>
  <c r="D586" i="30" l="1"/>
  <c r="A626" i="30"/>
  <c r="D587" i="30" l="1"/>
  <c r="A627" i="30"/>
  <c r="D588" i="30" l="1"/>
  <c r="A628" i="30"/>
  <c r="D589" i="30" l="1"/>
  <c r="A629" i="30"/>
  <c r="D590" i="30" l="1"/>
  <c r="A630" i="30"/>
  <c r="D591" i="30" l="1"/>
  <c r="A631" i="30"/>
  <c r="D592" i="30" l="1"/>
  <c r="A632" i="30"/>
  <c r="D593" i="30" l="1"/>
  <c r="A633" i="30"/>
  <c r="D594" i="30" l="1"/>
  <c r="A634" i="30"/>
  <c r="D595" i="30" l="1"/>
  <c r="A635" i="30"/>
  <c r="D596" i="30" l="1"/>
  <c r="A636" i="30"/>
  <c r="D597" i="30" l="1"/>
  <c r="A637" i="30"/>
  <c r="D598" i="30" l="1"/>
  <c r="A638" i="30"/>
  <c r="D599" i="30" l="1"/>
  <c r="A639" i="30"/>
  <c r="D600" i="30" l="1"/>
  <c r="A640" i="30"/>
  <c r="D601" i="30" l="1"/>
  <c r="A641" i="30"/>
  <c r="D602" i="30" l="1"/>
  <c r="A642" i="30"/>
  <c r="D603" i="30" l="1"/>
  <c r="A643" i="30"/>
  <c r="D604" i="30" l="1"/>
  <c r="A644" i="30"/>
  <c r="D605" i="30" l="1"/>
  <c r="A645" i="30"/>
  <c r="D606" i="30" l="1"/>
  <c r="A646" i="30"/>
  <c r="D607" i="30" l="1"/>
  <c r="A647" i="30"/>
  <c r="D608" i="30" l="1"/>
  <c r="A648" i="30"/>
  <c r="D609" i="30" l="1"/>
  <c r="A649" i="30"/>
  <c r="D610" i="30" l="1"/>
  <c r="A650" i="30"/>
  <c r="D611" i="30" l="1"/>
  <c r="A651" i="30"/>
  <c r="D612" i="30" l="1"/>
  <c r="A652" i="30"/>
  <c r="D613" i="30" l="1"/>
  <c r="A653" i="30"/>
  <c r="D614" i="30" l="1"/>
  <c r="A654" i="30"/>
  <c r="D615" i="30" l="1"/>
  <c r="A655" i="30"/>
  <c r="D616" i="30" l="1"/>
  <c r="A656" i="30"/>
  <c r="D617" i="30" l="1"/>
  <c r="A657" i="30"/>
  <c r="D618" i="30" l="1"/>
  <c r="A658" i="30"/>
  <c r="D619" i="30" l="1"/>
  <c r="A659" i="30"/>
  <c r="D620" i="30" l="1"/>
  <c r="A660" i="30"/>
  <c r="D621" i="30" l="1"/>
  <c r="A661" i="30"/>
  <c r="D622" i="30" l="1"/>
  <c r="A662" i="30"/>
  <c r="D623" i="30" l="1"/>
  <c r="A663" i="30"/>
  <c r="D624" i="30" l="1"/>
  <c r="A664" i="30"/>
  <c r="D625" i="30" l="1"/>
  <c r="A665" i="30"/>
  <c r="D626" i="30" l="1"/>
  <c r="A666" i="30"/>
  <c r="D627" i="30" l="1"/>
  <c r="A667" i="30"/>
  <c r="D628" i="30" l="1"/>
  <c r="A668" i="30"/>
  <c r="D629" i="30" l="1"/>
  <c r="A669" i="30"/>
  <c r="D630" i="30" l="1"/>
  <c r="A670" i="30"/>
  <c r="D631" i="30" l="1"/>
  <c r="A671" i="30"/>
  <c r="D632" i="30" l="1"/>
  <c r="A672" i="30"/>
  <c r="D633" i="30" l="1"/>
  <c r="A673" i="30"/>
  <c r="D634" i="30" l="1"/>
  <c r="A674" i="30"/>
  <c r="D635" i="30" l="1"/>
  <c r="A675" i="30"/>
  <c r="D636" i="30" l="1"/>
  <c r="A676" i="30"/>
  <c r="D637" i="30" l="1"/>
  <c r="A677" i="30"/>
  <c r="D638" i="30" l="1"/>
  <c r="A678" i="30"/>
  <c r="D639" i="30" l="1"/>
  <c r="A679" i="30"/>
  <c r="D640" i="30" l="1"/>
  <c r="A680" i="30"/>
  <c r="D641" i="30" l="1"/>
  <c r="A681" i="30"/>
  <c r="D642" i="30" l="1"/>
  <c r="A682" i="30"/>
  <c r="D643" i="30" l="1"/>
  <c r="A683" i="30"/>
  <c r="D644" i="30" l="1"/>
  <c r="A684" i="30"/>
  <c r="D645" i="30" l="1"/>
  <c r="A685" i="30"/>
  <c r="D646" i="30" l="1"/>
  <c r="A686" i="30"/>
  <c r="D647" i="30" l="1"/>
  <c r="A687" i="30"/>
  <c r="D648" i="30" l="1"/>
  <c r="A688" i="30"/>
  <c r="D649" i="30" l="1"/>
  <c r="A689" i="30"/>
  <c r="D650" i="30" l="1"/>
  <c r="A690" i="30"/>
  <c r="D651" i="30" l="1"/>
  <c r="A691" i="30"/>
  <c r="D652" i="30" l="1"/>
  <c r="A692" i="30"/>
  <c r="D653" i="30" l="1"/>
  <c r="A693" i="30"/>
  <c r="D654" i="30" l="1"/>
  <c r="A694" i="30"/>
  <c r="D655" i="30" l="1"/>
  <c r="A695" i="30"/>
  <c r="D656" i="30" l="1"/>
  <c r="A696" i="30"/>
  <c r="D657" i="30" l="1"/>
  <c r="A697" i="30"/>
  <c r="D658" i="30" l="1"/>
  <c r="A698" i="30"/>
  <c r="D659" i="30" l="1"/>
  <c r="A699" i="30"/>
  <c r="D660" i="30" l="1"/>
  <c r="A700" i="30"/>
  <c r="D661" i="30" l="1"/>
  <c r="A701" i="30"/>
  <c r="D662" i="30" l="1"/>
  <c r="A702" i="30"/>
  <c r="D663" i="30" l="1"/>
  <c r="A703" i="30"/>
  <c r="D664" i="30" l="1"/>
  <c r="A704" i="30"/>
  <c r="D665" i="30" l="1"/>
  <c r="A705" i="30"/>
  <c r="D666" i="30" l="1"/>
  <c r="A706" i="30"/>
  <c r="D667" i="30" l="1"/>
  <c r="A707" i="30"/>
  <c r="D668" i="30" l="1"/>
  <c r="A708" i="30"/>
  <c r="D669" i="30" l="1"/>
  <c r="A709" i="30"/>
  <c r="D670" i="30" l="1"/>
  <c r="A710" i="30"/>
  <c r="D671" i="30" l="1"/>
  <c r="A711" i="30"/>
  <c r="D672" i="30" l="1"/>
  <c r="A712" i="30"/>
  <c r="D673" i="30" l="1"/>
  <c r="A713" i="30"/>
  <c r="D674" i="30" l="1"/>
  <c r="A714" i="30"/>
  <c r="D675" i="30" l="1"/>
  <c r="A715" i="30"/>
  <c r="D676" i="30" l="1"/>
  <c r="A716" i="30"/>
  <c r="D677" i="30" l="1"/>
  <c r="A717" i="30"/>
  <c r="D678" i="30" l="1"/>
  <c r="A718" i="30"/>
  <c r="D679" i="30" l="1"/>
  <c r="A719" i="30"/>
  <c r="D680" i="30" l="1"/>
  <c r="A720" i="30"/>
  <c r="D681" i="30" l="1"/>
  <c r="A721" i="30"/>
  <c r="D682" i="30" l="1"/>
  <c r="A722" i="30"/>
  <c r="D683" i="30" l="1"/>
  <c r="A723" i="30"/>
  <c r="D684" i="30" l="1"/>
  <c r="A724" i="30"/>
  <c r="D685" i="30" l="1"/>
  <c r="A725" i="30"/>
  <c r="D686" i="30" l="1"/>
  <c r="A726" i="30"/>
  <c r="D687" i="30" l="1"/>
  <c r="A727" i="30"/>
  <c r="D688" i="30" l="1"/>
  <c r="A728" i="30"/>
  <c r="D689" i="30" l="1"/>
  <c r="A729" i="30"/>
  <c r="D690" i="30" l="1"/>
  <c r="A730" i="30"/>
  <c r="D691" i="30" l="1"/>
  <c r="A731" i="30"/>
  <c r="D692" i="30" l="1"/>
  <c r="A732" i="30"/>
  <c r="D693" i="30" l="1"/>
  <c r="A733" i="30"/>
  <c r="D694" i="30" l="1"/>
  <c r="A734" i="30"/>
  <c r="D733" i="30"/>
  <c r="D695" i="30" l="1"/>
  <c r="A735" i="30"/>
  <c r="D734" i="30"/>
  <c r="D696" i="30" l="1"/>
  <c r="A736" i="30"/>
  <c r="D735" i="30"/>
  <c r="D697" i="30" l="1"/>
  <c r="A737" i="30"/>
  <c r="D736" i="30"/>
  <c r="D698" i="30" l="1"/>
  <c r="A738" i="30"/>
  <c r="D737" i="30"/>
  <c r="D699" i="30" l="1"/>
  <c r="A739" i="30"/>
  <c r="D738" i="30"/>
  <c r="D700" i="30" l="1"/>
  <c r="A740" i="30"/>
  <c r="D739" i="30"/>
  <c r="D701" i="30" l="1"/>
  <c r="A741" i="30"/>
  <c r="D740" i="30"/>
  <c r="D702" i="30" l="1"/>
  <c r="A742" i="30"/>
  <c r="D741" i="30"/>
  <c r="D703" i="30" l="1"/>
  <c r="A743" i="30"/>
  <c r="D742" i="30"/>
  <c r="D704" i="30" l="1"/>
  <c r="D743" i="30"/>
  <c r="A744" i="30"/>
  <c r="D705" i="30" l="1"/>
  <c r="A745" i="30"/>
  <c r="D744" i="30"/>
  <c r="D706" i="30" l="1"/>
  <c r="A746" i="30"/>
  <c r="D745" i="30"/>
  <c r="D707" i="30" l="1"/>
  <c r="A747" i="30"/>
  <c r="D746" i="30"/>
  <c r="D708" i="30" l="1"/>
  <c r="A748" i="30"/>
  <c r="D747" i="30"/>
  <c r="D709" i="30" l="1"/>
  <c r="A749" i="30"/>
  <c r="D748" i="30"/>
  <c r="D710" i="30" l="1"/>
  <c r="A750" i="30"/>
  <c r="D749" i="30"/>
  <c r="D711" i="30" l="1"/>
  <c r="A751" i="30"/>
  <c r="D750" i="30"/>
  <c r="D712" i="30" l="1"/>
  <c r="A752" i="30"/>
  <c r="D751" i="30"/>
  <c r="D713" i="30" l="1"/>
  <c r="A753" i="30"/>
  <c r="D752" i="30"/>
  <c r="D714" i="30" l="1"/>
  <c r="A754" i="30"/>
  <c r="D753" i="30"/>
  <c r="D715" i="30" l="1"/>
  <c r="A755" i="30"/>
  <c r="D754" i="30"/>
  <c r="D716" i="30" l="1"/>
  <c r="A756" i="30"/>
  <c r="D755" i="30"/>
  <c r="D717" i="30" l="1"/>
  <c r="A757" i="30"/>
  <c r="D756" i="30"/>
  <c r="D718" i="30" l="1"/>
  <c r="A758" i="30"/>
  <c r="D757" i="30"/>
  <c r="D719" i="30" l="1"/>
  <c r="A759" i="30"/>
  <c r="D758" i="30"/>
  <c r="D720" i="30" l="1"/>
  <c r="D759" i="30"/>
  <c r="A760" i="30"/>
  <c r="D721" i="30" l="1"/>
  <c r="A761" i="30"/>
  <c r="D760" i="30"/>
  <c r="D722" i="30" l="1"/>
  <c r="A762" i="30"/>
  <c r="D761" i="30"/>
  <c r="D723" i="30" l="1"/>
  <c r="A763" i="30"/>
  <c r="D762" i="30"/>
  <c r="D724" i="30" l="1"/>
  <c r="A764" i="30"/>
  <c r="D763" i="30"/>
  <c r="D725" i="30" l="1"/>
  <c r="A765" i="30"/>
  <c r="D764" i="30"/>
  <c r="D726" i="30" l="1"/>
  <c r="A766" i="30"/>
  <c r="D765" i="30"/>
  <c r="D727" i="30" l="1"/>
  <c r="A767" i="30"/>
  <c r="D766" i="30"/>
  <c r="D728" i="30" l="1"/>
  <c r="A768" i="30"/>
  <c r="D767" i="30"/>
  <c r="D729" i="30" l="1"/>
  <c r="A769" i="30"/>
  <c r="D768" i="30"/>
  <c r="D730" i="30" l="1"/>
  <c r="A770" i="30"/>
  <c r="D769" i="30"/>
  <c r="D731" i="30" l="1"/>
  <c r="A771" i="30"/>
  <c r="D770" i="30"/>
  <c r="D732" i="30" l="1"/>
  <c r="A772" i="30"/>
  <c r="D771" i="30"/>
  <c r="A773" i="30" l="1"/>
  <c r="D772" i="30"/>
  <c r="A774" i="30" l="1"/>
  <c r="D773" i="30"/>
  <c r="A775" i="30" l="1"/>
  <c r="D774" i="30"/>
  <c r="D775" i="30" l="1"/>
  <c r="A776" i="30"/>
  <c r="A777" i="30" l="1"/>
  <c r="D776" i="30"/>
  <c r="A778" i="30" l="1"/>
  <c r="D777" i="30"/>
  <c r="A779" i="30" l="1"/>
  <c r="D778" i="30"/>
  <c r="A780" i="30" l="1"/>
  <c r="D779" i="30"/>
  <c r="A781" i="30" l="1"/>
  <c r="D780" i="30"/>
  <c r="A782" i="30" l="1"/>
  <c r="D781" i="30"/>
  <c r="A783" i="30" l="1"/>
  <c r="D782" i="30"/>
  <c r="A784" i="30" l="1"/>
  <c r="D783" i="30"/>
  <c r="A785" i="30" l="1"/>
  <c r="D784" i="30"/>
  <c r="A786" i="30" l="1"/>
  <c r="D785" i="30"/>
  <c r="A787" i="30" l="1"/>
  <c r="D786" i="30"/>
  <c r="A788" i="30" l="1"/>
  <c r="D787" i="30"/>
  <c r="A789" i="30" l="1"/>
  <c r="D788" i="30"/>
  <c r="A790" i="30" l="1"/>
  <c r="D789" i="30"/>
  <c r="A791" i="30" l="1"/>
  <c r="D790" i="30"/>
  <c r="D791" i="30" l="1"/>
  <c r="A792" i="30"/>
  <c r="A793" i="30" l="1"/>
  <c r="D792" i="30"/>
  <c r="A794" i="30" l="1"/>
  <c r="D793" i="30"/>
  <c r="A795" i="30" l="1"/>
  <c r="D794" i="30"/>
  <c r="A796" i="30" l="1"/>
  <c r="D795" i="30"/>
  <c r="A797" i="30" l="1"/>
  <c r="D796" i="30"/>
  <c r="A798" i="30" l="1"/>
  <c r="D797" i="30"/>
  <c r="A799" i="30" l="1"/>
  <c r="D798" i="30"/>
  <c r="A800" i="30" l="1"/>
  <c r="D799" i="30"/>
  <c r="A801" i="30" l="1"/>
  <c r="D800" i="30"/>
  <c r="A802" i="30" l="1"/>
  <c r="D801" i="30"/>
  <c r="A803" i="30" l="1"/>
  <c r="D802" i="30"/>
  <c r="A804" i="30" l="1"/>
  <c r="D803" i="30"/>
  <c r="A805" i="30" l="1"/>
  <c r="D804" i="30"/>
  <c r="A806" i="30" l="1"/>
  <c r="D805" i="30"/>
  <c r="A807" i="30" l="1"/>
  <c r="D806" i="30"/>
  <c r="D807" i="30" l="1"/>
  <c r="A808" i="30"/>
  <c r="A809" i="30" l="1"/>
  <c r="D808" i="30"/>
  <c r="A810" i="30" l="1"/>
  <c r="D809" i="30"/>
  <c r="A811" i="30" l="1"/>
  <c r="D810" i="30"/>
  <c r="A812" i="30" l="1"/>
  <c r="D811" i="30"/>
  <c r="A813" i="30" l="1"/>
  <c r="D812" i="30"/>
  <c r="A814" i="30" l="1"/>
  <c r="D813" i="30"/>
  <c r="A815" i="30" l="1"/>
  <c r="D814" i="30"/>
  <c r="A816" i="30" l="1"/>
  <c r="D815" i="30"/>
  <c r="A817" i="30" l="1"/>
  <c r="D816" i="30"/>
  <c r="A818" i="30" l="1"/>
  <c r="D817" i="30"/>
  <c r="A819" i="30" l="1"/>
  <c r="D818" i="30"/>
  <c r="A820" i="30" l="1"/>
  <c r="D819" i="30"/>
  <c r="A821" i="30" l="1"/>
  <c r="D820" i="30"/>
  <c r="A822" i="30" l="1"/>
  <c r="D821" i="30"/>
  <c r="A823" i="30" l="1"/>
  <c r="D822" i="30"/>
  <c r="D823" i="30" l="1"/>
  <c r="A824" i="30"/>
  <c r="A825" i="30" l="1"/>
  <c r="D824" i="30"/>
  <c r="A826" i="30" l="1"/>
  <c r="D825" i="30"/>
  <c r="A827" i="30" l="1"/>
  <c r="D826" i="30"/>
  <c r="A828" i="30" l="1"/>
  <c r="D827" i="30"/>
  <c r="A829" i="30" l="1"/>
  <c r="D828" i="30"/>
  <c r="A830" i="30" l="1"/>
  <c r="D829" i="30"/>
  <c r="A831" i="30" l="1"/>
  <c r="D830" i="30"/>
  <c r="A832" i="30" l="1"/>
  <c r="D831" i="30"/>
  <c r="A833" i="30" l="1"/>
  <c r="D832" i="30"/>
  <c r="A834" i="30" l="1"/>
  <c r="D833" i="30"/>
  <c r="A835" i="30" l="1"/>
  <c r="D834" i="30"/>
  <c r="A836" i="30" l="1"/>
  <c r="D835" i="30"/>
  <c r="A837" i="30" l="1"/>
  <c r="D836" i="30"/>
  <c r="A838" i="30" l="1"/>
  <c r="D837" i="30"/>
  <c r="A839" i="30" l="1"/>
  <c r="D838" i="30"/>
  <c r="D839" i="30" l="1"/>
  <c r="A840" i="30"/>
  <c r="A841" i="30" l="1"/>
  <c r="D840" i="30"/>
  <c r="A842" i="30" l="1"/>
  <c r="D841" i="30"/>
  <c r="A843" i="30" l="1"/>
  <c r="D842" i="30"/>
  <c r="A844" i="30" l="1"/>
  <c r="D843" i="30"/>
  <c r="A845" i="30" l="1"/>
  <c r="D844" i="30"/>
  <c r="A846" i="30" l="1"/>
  <c r="D845" i="30"/>
  <c r="A847" i="30" l="1"/>
  <c r="D846" i="30"/>
  <c r="A848" i="30" l="1"/>
  <c r="D847" i="30"/>
  <c r="A849" i="30" l="1"/>
  <c r="D848" i="30"/>
  <c r="A850" i="30" l="1"/>
  <c r="D849" i="30"/>
  <c r="A851" i="30" l="1"/>
  <c r="D850" i="30"/>
  <c r="A852" i="30" l="1"/>
  <c r="D851" i="30"/>
  <c r="A853" i="30" l="1"/>
  <c r="D852" i="30"/>
  <c r="A854" i="30" l="1"/>
  <c r="D853" i="30"/>
  <c r="A855" i="30" l="1"/>
  <c r="D854" i="30"/>
  <c r="D855" i="30" l="1"/>
  <c r="A856" i="30"/>
  <c r="A857" i="30" l="1"/>
  <c r="D856" i="30"/>
  <c r="A858" i="30" l="1"/>
  <c r="D857" i="30"/>
  <c r="A859" i="30" l="1"/>
  <c r="D858" i="30"/>
  <c r="A860" i="30" l="1"/>
  <c r="D859" i="30"/>
  <c r="A861" i="30" l="1"/>
  <c r="D860" i="30"/>
  <c r="A862" i="30" l="1"/>
  <c r="D861" i="30"/>
  <c r="A863" i="30" l="1"/>
  <c r="D862" i="30"/>
  <c r="A864" i="30" l="1"/>
  <c r="D863" i="30"/>
  <c r="A865" i="30" l="1"/>
  <c r="D864" i="30"/>
  <c r="A866" i="30" l="1"/>
  <c r="D865" i="30"/>
  <c r="A867" i="30" l="1"/>
  <c r="D866" i="30"/>
  <c r="A868" i="30" l="1"/>
  <c r="D867" i="30"/>
  <c r="A869" i="30" l="1"/>
  <c r="D868" i="30"/>
  <c r="A870" i="30" l="1"/>
  <c r="D869" i="30"/>
  <c r="A871" i="30" l="1"/>
  <c r="D870" i="30"/>
  <c r="D871" i="30" l="1"/>
  <c r="A872" i="30"/>
  <c r="A873" i="30" l="1"/>
  <c r="D872" i="30"/>
  <c r="A874" i="30" l="1"/>
  <c r="D873" i="30"/>
  <c r="A875" i="30" l="1"/>
  <c r="D874" i="30"/>
  <c r="A876" i="30" l="1"/>
  <c r="D875" i="30"/>
  <c r="D876" i="30" l="1"/>
  <c r="A877" i="30"/>
  <c r="D877" i="30" l="1"/>
  <c r="A878" i="30"/>
  <c r="A879" i="30" l="1"/>
  <c r="D878" i="30"/>
  <c r="A880" i="30" l="1"/>
  <c r="D879" i="30"/>
  <c r="D880" i="30" l="1"/>
  <c r="A881" i="30"/>
  <c r="D881" i="30" l="1"/>
  <c r="A882" i="30"/>
  <c r="A883" i="30" l="1"/>
  <c r="D882" i="30"/>
  <c r="A884" i="30" l="1"/>
  <c r="D883" i="30"/>
  <c r="D884" i="30" l="1"/>
  <c r="A885" i="30"/>
  <c r="D885" i="30" l="1"/>
  <c r="A886" i="30"/>
  <c r="A887" i="30" l="1"/>
  <c r="D886" i="30"/>
  <c r="A888" i="30" l="1"/>
  <c r="D887" i="30"/>
  <c r="D888" i="30" l="1"/>
  <c r="A889" i="30"/>
  <c r="D889" i="30" l="1"/>
  <c r="A890" i="30"/>
  <c r="A891" i="30" l="1"/>
  <c r="D890" i="30"/>
  <c r="A892" i="30" l="1"/>
  <c r="D891" i="30"/>
  <c r="D892" i="30" l="1"/>
  <c r="A893" i="30"/>
  <c r="D893" i="30" l="1"/>
  <c r="A894" i="30"/>
  <c r="A895" i="30" l="1"/>
  <c r="D894" i="30"/>
  <c r="A896" i="30" l="1"/>
  <c r="D895" i="30"/>
  <c r="D896" i="30" l="1"/>
  <c r="A897" i="30"/>
  <c r="D897" i="30" l="1"/>
  <c r="A898" i="30"/>
  <c r="A899" i="30" l="1"/>
  <c r="D898" i="30"/>
  <c r="A900" i="30" l="1"/>
  <c r="D899" i="30"/>
  <c r="D900" i="30" l="1"/>
  <c r="A901" i="30"/>
  <c r="D901" i="30" l="1"/>
  <c r="A902" i="30"/>
  <c r="A903" i="30" l="1"/>
  <c r="D902" i="30"/>
  <c r="A904" i="30" l="1"/>
  <c r="D903" i="30"/>
  <c r="D904" i="30" l="1"/>
  <c r="A905" i="30"/>
  <c r="D905" i="30" l="1"/>
  <c r="A906" i="30"/>
  <c r="A907" i="30" l="1"/>
  <c r="D906" i="30"/>
  <c r="A908" i="30" l="1"/>
  <c r="D907" i="30"/>
  <c r="D908" i="30" l="1"/>
  <c r="A909" i="30"/>
  <c r="D909" i="30" l="1"/>
  <c r="A910" i="30"/>
  <c r="A911" i="30" l="1"/>
  <c r="D910" i="30"/>
  <c r="A912" i="30" l="1"/>
  <c r="D911" i="30"/>
  <c r="D912" i="30" l="1"/>
  <c r="A913" i="30"/>
  <c r="D913" i="30" l="1"/>
  <c r="A914" i="30"/>
  <c r="A915" i="30" l="1"/>
  <c r="D914" i="30"/>
  <c r="A916" i="30" l="1"/>
  <c r="D915" i="30"/>
  <c r="D916" i="30" l="1"/>
  <c r="A917" i="30"/>
  <c r="D917" i="30" l="1"/>
  <c r="A918" i="30"/>
  <c r="A919" i="30" l="1"/>
  <c r="D918" i="30"/>
  <c r="A920" i="30" l="1"/>
  <c r="D919" i="30"/>
  <c r="D920" i="30" l="1"/>
  <c r="A921" i="30"/>
  <c r="D921" i="30" l="1"/>
  <c r="A922" i="30"/>
  <c r="A923" i="30" l="1"/>
  <c r="D922" i="30"/>
  <c r="A924" i="30" l="1"/>
  <c r="D923" i="30"/>
  <c r="D924" i="30" l="1"/>
  <c r="A925" i="30"/>
  <c r="D925" i="30" l="1"/>
  <c r="A926" i="30"/>
  <c r="A927" i="30" l="1"/>
  <c r="D926" i="30"/>
  <c r="A928" i="30" l="1"/>
  <c r="D927" i="30"/>
  <c r="D928" i="30" l="1"/>
  <c r="A929" i="30"/>
  <c r="D929" i="30" l="1"/>
  <c r="A930" i="30"/>
  <c r="A931" i="30" l="1"/>
  <c r="D930" i="30"/>
  <c r="A932" i="30" l="1"/>
  <c r="D931" i="30"/>
  <c r="D932" i="30" l="1"/>
  <c r="A933" i="30"/>
  <c r="D933" i="30" l="1"/>
  <c r="A934" i="30"/>
  <c r="A935" i="30" l="1"/>
  <c r="D934" i="30"/>
  <c r="A936" i="30" l="1"/>
  <c r="D935" i="30"/>
  <c r="D936" i="30" l="1"/>
  <c r="A937" i="30"/>
  <c r="D937" i="30" l="1"/>
  <c r="A938" i="30"/>
  <c r="A939" i="30" l="1"/>
  <c r="D938" i="30"/>
  <c r="A940" i="30" l="1"/>
  <c r="D939" i="30"/>
  <c r="D940" i="30" l="1"/>
  <c r="A941" i="30"/>
  <c r="D941" i="30" l="1"/>
  <c r="A942" i="30"/>
  <c r="A943" i="30" l="1"/>
  <c r="D942" i="30"/>
  <c r="A944" i="30" l="1"/>
  <c r="D943" i="30"/>
  <c r="D944" i="30" l="1"/>
  <c r="A945" i="30"/>
  <c r="D945" i="30" l="1"/>
  <c r="A946" i="30"/>
  <c r="A947" i="30" l="1"/>
  <c r="D946" i="30"/>
  <c r="A948" i="30" l="1"/>
  <c r="D947" i="30"/>
  <c r="D948" i="30" l="1"/>
  <c r="A949" i="30"/>
  <c r="D949" i="30" l="1"/>
  <c r="A950" i="30"/>
  <c r="A951" i="30" l="1"/>
  <c r="D950" i="30"/>
  <c r="A952" i="30" l="1"/>
  <c r="D951" i="30"/>
  <c r="D952" i="30" l="1"/>
  <c r="A953" i="30"/>
  <c r="D953" i="30" l="1"/>
  <c r="A954" i="30"/>
  <c r="A955" i="30" l="1"/>
  <c r="D954" i="30"/>
  <c r="A956" i="30" l="1"/>
  <c r="D955" i="30"/>
  <c r="D956" i="30" l="1"/>
  <c r="A957" i="30"/>
  <c r="D957" i="30" l="1"/>
  <c r="A958" i="30"/>
  <c r="A959" i="30" l="1"/>
  <c r="D958" i="30"/>
  <c r="A960" i="30" l="1"/>
  <c r="D959" i="30"/>
  <c r="D960" i="30" l="1"/>
  <c r="A961" i="30"/>
  <c r="D961" i="30" l="1"/>
  <c r="A962" i="30"/>
  <c r="A963" i="30" l="1"/>
  <c r="D962" i="30"/>
  <c r="A964" i="30" l="1"/>
  <c r="D963" i="30"/>
  <c r="D964" i="30" l="1"/>
  <c r="A965" i="30"/>
  <c r="D965" i="30" l="1"/>
  <c r="A966" i="30"/>
  <c r="A967" i="30" l="1"/>
  <c r="D966" i="30"/>
  <c r="A968" i="30" l="1"/>
  <c r="D967" i="30"/>
  <c r="D968" i="30" l="1"/>
  <c r="A969" i="30"/>
  <c r="D969" i="30" l="1"/>
  <c r="A970" i="30"/>
  <c r="A971" i="30" l="1"/>
  <c r="D970" i="30"/>
  <c r="A972" i="30" l="1"/>
  <c r="D971" i="30"/>
  <c r="D972" i="30" l="1"/>
  <c r="A973" i="30"/>
  <c r="D973" i="30" l="1"/>
  <c r="A974" i="30"/>
  <c r="A975" i="30" l="1"/>
  <c r="D974" i="30"/>
  <c r="A976" i="30" l="1"/>
  <c r="D975" i="30"/>
  <c r="D976" i="30" l="1"/>
  <c r="A977" i="30"/>
  <c r="D977" i="30" l="1"/>
  <c r="A978" i="30"/>
  <c r="A979" i="30" l="1"/>
  <c r="D978" i="30"/>
  <c r="A980" i="30" l="1"/>
  <c r="D979" i="30"/>
  <c r="D980" i="30" l="1"/>
  <c r="A981" i="30"/>
  <c r="D981" i="30" l="1"/>
  <c r="A982" i="30"/>
  <c r="A983" i="30" l="1"/>
  <c r="D982" i="30"/>
  <c r="A984" i="30" l="1"/>
  <c r="D983" i="30"/>
  <c r="D984" i="30" l="1"/>
  <c r="A985" i="30"/>
  <c r="D985" i="30" l="1"/>
  <c r="A986" i="30"/>
  <c r="A987" i="30" l="1"/>
  <c r="D986" i="30"/>
  <c r="A988" i="30" l="1"/>
  <c r="D987" i="30"/>
  <c r="D988" i="30" l="1"/>
  <c r="A989" i="30"/>
  <c r="D989" i="30" l="1"/>
  <c r="A990" i="30"/>
  <c r="A991" i="30" l="1"/>
  <c r="D990" i="30"/>
  <c r="A992" i="30" l="1"/>
  <c r="D991" i="30"/>
  <c r="D992" i="30" l="1"/>
  <c r="A993" i="30"/>
  <c r="D993" i="30" l="1"/>
  <c r="A994" i="30"/>
  <c r="A995" i="30" l="1"/>
  <c r="D994" i="30"/>
  <c r="A996" i="30" l="1"/>
  <c r="D995" i="30"/>
  <c r="D996" i="30" l="1"/>
  <c r="A997" i="30"/>
  <c r="D997" i="30" l="1"/>
  <c r="A998" i="30"/>
  <c r="A999" i="30" l="1"/>
  <c r="D998" i="30"/>
  <c r="A1000" i="30" l="1"/>
  <c r="D999" i="30"/>
  <c r="D1000" i="30" l="1"/>
  <c r="A1001" i="30"/>
  <c r="D1001" i="30" l="1"/>
  <c r="A1002" i="30"/>
  <c r="A1003" i="30" l="1"/>
  <c r="D1002" i="30"/>
  <c r="A1004" i="30" l="1"/>
  <c r="D1003" i="30"/>
  <c r="D1004" i="30" l="1"/>
  <c r="A1005" i="30"/>
  <c r="D1005" i="30" l="1"/>
  <c r="A1006" i="30"/>
  <c r="A1007" i="30" l="1"/>
  <c r="D1006" i="30"/>
  <c r="A1008" i="30" l="1"/>
  <c r="D1007" i="30"/>
  <c r="D1008" i="30" l="1"/>
  <c r="A1009" i="30"/>
  <c r="D1009" i="30" l="1"/>
  <c r="A1010" i="30"/>
  <c r="A1011" i="30" l="1"/>
  <c r="D1010" i="30"/>
  <c r="A1012" i="30" l="1"/>
  <c r="D1011" i="30"/>
  <c r="D1012" i="30" l="1"/>
  <c r="A1013" i="30"/>
  <c r="D1013" i="30" l="1"/>
  <c r="A1014" i="30"/>
  <c r="A1015" i="30" l="1"/>
  <c r="D1014" i="30"/>
  <c r="A1016" i="30" l="1"/>
  <c r="D1015" i="30"/>
  <c r="D1016" i="30" l="1"/>
  <c r="A1017" i="30"/>
  <c r="D1017" i="30" l="1"/>
  <c r="A1018" i="30"/>
  <c r="A1019" i="30" l="1"/>
  <c r="D1018" i="30"/>
  <c r="A1020" i="30" l="1"/>
  <c r="D1019" i="30"/>
  <c r="D1020" i="30" l="1"/>
  <c r="A1021" i="30"/>
  <c r="D1021" i="30" l="1"/>
  <c r="A1022" i="30"/>
  <c r="A1023" i="30" l="1"/>
  <c r="D1022" i="30"/>
  <c r="A1024" i="30" l="1"/>
  <c r="D1023" i="30"/>
  <c r="D1024" i="30" l="1"/>
  <c r="A1025" i="30"/>
  <c r="D1025" i="30" l="1"/>
  <c r="A1026" i="30"/>
  <c r="A1027" i="30" l="1"/>
  <c r="D1026" i="30"/>
  <c r="A1028" i="30" l="1"/>
  <c r="D1027" i="30"/>
  <c r="D1028" i="30" l="1"/>
  <c r="A1029" i="30"/>
  <c r="D1029" i="30" l="1"/>
  <c r="A1030" i="30"/>
  <c r="A1031" i="30" l="1"/>
  <c r="D1030" i="30"/>
  <c r="A1032" i="30" l="1"/>
  <c r="D1031" i="30"/>
  <c r="D1032" i="30" l="1"/>
  <c r="A1033" i="30"/>
  <c r="D1033" i="30" l="1"/>
  <c r="A1034" i="30"/>
  <c r="A1035" i="30" l="1"/>
  <c r="D1034" i="30"/>
  <c r="A1036" i="30" l="1"/>
  <c r="D1035" i="30"/>
  <c r="D1036" i="30" l="1"/>
  <c r="A1037" i="30"/>
  <c r="D1037" i="30" l="1"/>
  <c r="A1038" i="30"/>
  <c r="A1039" i="30" l="1"/>
  <c r="D1038" i="30"/>
  <c r="A1040" i="30" l="1"/>
  <c r="D1039" i="30"/>
  <c r="D1040" i="30" l="1"/>
  <c r="A1041" i="30"/>
  <c r="D1041" i="30" l="1"/>
  <c r="A1042" i="30"/>
  <c r="A1043" i="30" l="1"/>
  <c r="D1042" i="30"/>
  <c r="A1044" i="30" l="1"/>
  <c r="D1043" i="30"/>
  <c r="D1044" i="30" l="1"/>
  <c r="A1045" i="30"/>
  <c r="D1045" i="30" l="1"/>
  <c r="A1046" i="30"/>
  <c r="A1047" i="30" l="1"/>
  <c r="D1046" i="30"/>
  <c r="A1048" i="30" l="1"/>
  <c r="D1047" i="30"/>
  <c r="D1048" i="30" l="1"/>
  <c r="A1049" i="30"/>
  <c r="D1049" i="30" l="1"/>
  <c r="A1050" i="30"/>
  <c r="A1051" i="30" l="1"/>
  <c r="D1050" i="30"/>
  <c r="A1052" i="30" l="1"/>
  <c r="D1051" i="30"/>
  <c r="D1052" i="30" l="1"/>
  <c r="A1053" i="30"/>
  <c r="D1053" i="30" l="1"/>
  <c r="A1054" i="30"/>
  <c r="A1055" i="30" l="1"/>
  <c r="D1054" i="30"/>
  <c r="A1056" i="30" l="1"/>
  <c r="D1055" i="30"/>
  <c r="D1056" i="30" l="1"/>
  <c r="A1057" i="30"/>
  <c r="D1057" i="30" l="1"/>
  <c r="A1058" i="30"/>
  <c r="A1059" i="30" l="1"/>
  <c r="D1058" i="30"/>
  <c r="A1060" i="30" l="1"/>
  <c r="D1059" i="30"/>
  <c r="D1060" i="30" l="1"/>
  <c r="A1061" i="30"/>
  <c r="D1061" i="30" l="1"/>
  <c r="A1062" i="30"/>
  <c r="A1063" i="30" l="1"/>
  <c r="D1062" i="30"/>
  <c r="A1064" i="30" l="1"/>
  <c r="D1063" i="30"/>
  <c r="D1064" i="30" l="1"/>
  <c r="A1065" i="30"/>
  <c r="D1065" i="30" l="1"/>
  <c r="A1066" i="30"/>
  <c r="A1067" i="30" l="1"/>
  <c r="D1066" i="30"/>
  <c r="A1068" i="30" l="1"/>
  <c r="D1067" i="30"/>
  <c r="D1068" i="30" l="1"/>
  <c r="A1069" i="30"/>
  <c r="D1069" i="30" l="1"/>
  <c r="A1070" i="30"/>
  <c r="A1071" i="30" l="1"/>
  <c r="D1070" i="30"/>
  <c r="A1072" i="30" l="1"/>
  <c r="D1071" i="30"/>
  <c r="D1072" i="30" l="1"/>
  <c r="A1073" i="30"/>
  <c r="D1073" i="30" l="1"/>
  <c r="A1074" i="30"/>
  <c r="A1075" i="30" l="1"/>
  <c r="D1074" i="30"/>
  <c r="A1076" i="30" l="1"/>
  <c r="D1075" i="30"/>
  <c r="D1076" i="30" l="1"/>
  <c r="A1077" i="30"/>
  <c r="D1077" i="30" l="1"/>
  <c r="A1078" i="30"/>
  <c r="A1079" i="30" l="1"/>
  <c r="D1078" i="30"/>
  <c r="A1080" i="30" l="1"/>
  <c r="D1079" i="30"/>
  <c r="D1080" i="30" l="1"/>
  <c r="A1081" i="30"/>
  <c r="D1081" i="30" l="1"/>
  <c r="A1082" i="30"/>
  <c r="A1083" i="30" l="1"/>
  <c r="D1082" i="30"/>
  <c r="A1084" i="30" l="1"/>
  <c r="D1083" i="30"/>
  <c r="D1084" i="30" l="1"/>
  <c r="A1085" i="30"/>
  <c r="D1085" i="30" l="1"/>
  <c r="A1086" i="30"/>
  <c r="A1087" i="30" l="1"/>
  <c r="D1086" i="30"/>
  <c r="A1088" i="30" l="1"/>
  <c r="D1087" i="30"/>
  <c r="D1088" i="30" l="1"/>
  <c r="A1089" i="30"/>
  <c r="D1089" i="30" l="1"/>
  <c r="A1090" i="30"/>
  <c r="A1091" i="30" l="1"/>
  <c r="D1090" i="30"/>
  <c r="A1092" i="30" l="1"/>
  <c r="D1091" i="30"/>
  <c r="A1093" i="30" l="1"/>
  <c r="D1092" i="30"/>
  <c r="A1094" i="30" l="1"/>
  <c r="D1093" i="30"/>
  <c r="D1094" i="30" l="1"/>
  <c r="A1095" i="30"/>
  <c r="D1095" i="30" l="1"/>
  <c r="A1096" i="30"/>
  <c r="A1097" i="30" l="1"/>
  <c r="D1096" i="30"/>
  <c r="A1098" i="30" l="1"/>
  <c r="D1097" i="30"/>
  <c r="D1098" i="30" l="1"/>
  <c r="A1099" i="30"/>
  <c r="D1099" i="30" l="1"/>
  <c r="A1100" i="30"/>
  <c r="A1101" i="30" l="1"/>
  <c r="D1100" i="30"/>
  <c r="A1102" i="30" l="1"/>
  <c r="D1101" i="30"/>
  <c r="D1102" i="30" l="1"/>
  <c r="A1103" i="30"/>
  <c r="D1103" i="30" l="1"/>
  <c r="A1104" i="30"/>
  <c r="A1105" i="30" l="1"/>
  <c r="D1104" i="30"/>
  <c r="A1106" i="30" l="1"/>
  <c r="D1105" i="30"/>
  <c r="D1106" i="30" l="1"/>
  <c r="A1107" i="30"/>
  <c r="D1107" i="30" l="1"/>
  <c r="A1108" i="30"/>
  <c r="A1109" i="30" l="1"/>
  <c r="D1108" i="30"/>
  <c r="A1110" i="30" l="1"/>
  <c r="D1109" i="30"/>
  <c r="D1110" i="30" l="1"/>
  <c r="A1111" i="30"/>
  <c r="D1111" i="30" l="1"/>
  <c r="A1112" i="30"/>
  <c r="A1113" i="30" l="1"/>
  <c r="D1112" i="30"/>
  <c r="A1114" i="30" l="1"/>
  <c r="D1113" i="30"/>
  <c r="D1114" i="30" l="1"/>
  <c r="A1115" i="30"/>
  <c r="D1115" i="30" l="1"/>
  <c r="A1116" i="30"/>
  <c r="A1117" i="30" l="1"/>
  <c r="D1116" i="30"/>
  <c r="A1118" i="30" l="1"/>
  <c r="D1117" i="30"/>
  <c r="D1118" i="30" l="1"/>
  <c r="A1119" i="30"/>
  <c r="D1119" i="30" l="1"/>
  <c r="A1120" i="30"/>
  <c r="A1121" i="30" l="1"/>
  <c r="D1120" i="30"/>
  <c r="A1122" i="30" l="1"/>
  <c r="D1121" i="30"/>
  <c r="D1122" i="30" l="1"/>
  <c r="A1123" i="30"/>
  <c r="D1123" i="30" l="1"/>
  <c r="A1124" i="30"/>
  <c r="A1125" i="30" l="1"/>
  <c r="D1124" i="30"/>
  <c r="A1126" i="30" l="1"/>
  <c r="D1125" i="30"/>
  <c r="D1126" i="30" l="1"/>
  <c r="A1127" i="30"/>
  <c r="D1127" i="30" l="1"/>
  <c r="A1128" i="30"/>
  <c r="A1129" i="30" l="1"/>
  <c r="D1128" i="30"/>
  <c r="A1130" i="30" l="1"/>
  <c r="D1129" i="30"/>
  <c r="D1130" i="30" l="1"/>
  <c r="A1131" i="30"/>
  <c r="D1131" i="30" l="1"/>
  <c r="A1132" i="30"/>
  <c r="A1133" i="30" l="1"/>
  <c r="D1132" i="30"/>
  <c r="A1134" i="30" l="1"/>
  <c r="D1133" i="30"/>
  <c r="D1134" i="30" l="1"/>
  <c r="A1135" i="30"/>
  <c r="D1135" i="30" l="1"/>
  <c r="A1136" i="30"/>
  <c r="A1137" i="30" l="1"/>
  <c r="D1136" i="30"/>
  <c r="A1138" i="30" l="1"/>
  <c r="D1137" i="30"/>
  <c r="D1138" i="30" l="1"/>
  <c r="A1139" i="30"/>
  <c r="D1139" i="30" l="1"/>
  <c r="A1140" i="30"/>
  <c r="A1141" i="30" l="1"/>
  <c r="D1140" i="30"/>
  <c r="A1142" i="30" l="1"/>
  <c r="D1141" i="30"/>
  <c r="D1142" i="30" l="1"/>
  <c r="A1143" i="30"/>
  <c r="D1143" i="30" l="1"/>
  <c r="A1144" i="30"/>
  <c r="A1145" i="30" l="1"/>
  <c r="D1144" i="30"/>
  <c r="A1146" i="30" l="1"/>
  <c r="D1145" i="30"/>
  <c r="D1146" i="30" l="1"/>
  <c r="A1147" i="30"/>
  <c r="D1147" i="30" l="1"/>
  <c r="A1148" i="30"/>
  <c r="A1149" i="30" l="1"/>
  <c r="D1148" i="30"/>
  <c r="A1150" i="30" l="1"/>
  <c r="D1149" i="30"/>
  <c r="D1150" i="30" l="1"/>
  <c r="A1151" i="30"/>
  <c r="D1151" i="30" l="1"/>
  <c r="A1152" i="30"/>
  <c r="A1153" i="30" l="1"/>
  <c r="D1152" i="30"/>
  <c r="A1154" i="30" l="1"/>
  <c r="D1153" i="30"/>
  <c r="D1154" i="30" l="1"/>
  <c r="A1155" i="30"/>
  <c r="D1155" i="30" l="1"/>
  <c r="A1156" i="30"/>
  <c r="A1157" i="30" l="1"/>
  <c r="D1156" i="30"/>
  <c r="A1158" i="30" l="1"/>
  <c r="D1157" i="30"/>
  <c r="D1158" i="30" l="1"/>
  <c r="A1159" i="30"/>
  <c r="D1159" i="30" l="1"/>
  <c r="A1160" i="30"/>
  <c r="A1161" i="30" l="1"/>
  <c r="D1160" i="30"/>
  <c r="A1162" i="30" l="1"/>
  <c r="D1161" i="30"/>
  <c r="D1162" i="30" l="1"/>
  <c r="A1163" i="30"/>
  <c r="D1163" i="30" l="1"/>
  <c r="A1164" i="30"/>
  <c r="A1165" i="30" l="1"/>
  <c r="D1164" i="30"/>
  <c r="A1166" i="30" l="1"/>
  <c r="D1165" i="30"/>
  <c r="D1166" i="30" l="1"/>
  <c r="A1167" i="30"/>
  <c r="D1167" i="30" l="1"/>
  <c r="A1168" i="30"/>
  <c r="A1169" i="30" l="1"/>
  <c r="D1168" i="30"/>
  <c r="A1170" i="30" l="1"/>
  <c r="D1169" i="30"/>
  <c r="D1170" i="30" l="1"/>
  <c r="A1171" i="30"/>
  <c r="D1171" i="30" l="1"/>
  <c r="A1172" i="30"/>
  <c r="A1173" i="30" l="1"/>
  <c r="D1172" i="30"/>
  <c r="A1174" i="30" l="1"/>
  <c r="D1173" i="30"/>
  <c r="D1174" i="30" l="1"/>
  <c r="A1175" i="30"/>
  <c r="D1175" i="30" l="1"/>
  <c r="A1176" i="30"/>
  <c r="A1177" i="30" l="1"/>
  <c r="D1176" i="30"/>
  <c r="A1178" i="30" l="1"/>
  <c r="D1177" i="30"/>
  <c r="D1178" i="30" l="1"/>
  <c r="A1179" i="30"/>
  <c r="D1179" i="30" l="1"/>
  <c r="A1180" i="30"/>
  <c r="A1181" i="30" l="1"/>
  <c r="D1180" i="30"/>
  <c r="A1182" i="30" l="1"/>
  <c r="D1181" i="30"/>
  <c r="D1182" i="30" l="1"/>
  <c r="A1183" i="30"/>
  <c r="D1183" i="30" l="1"/>
  <c r="A1184" i="30"/>
  <c r="A1185" i="30" l="1"/>
  <c r="D1184" i="30"/>
  <c r="A1186" i="30" l="1"/>
  <c r="D1185" i="30"/>
  <c r="D1186" i="30" l="1"/>
  <c r="A1187" i="30"/>
  <c r="D1187" i="30" l="1"/>
  <c r="A1188" i="30"/>
  <c r="A1189" i="30" l="1"/>
  <c r="D1188" i="30"/>
  <c r="A1190" i="30" l="1"/>
  <c r="D1189" i="30"/>
  <c r="D1190" i="30" l="1"/>
  <c r="A1191" i="30"/>
  <c r="D1191" i="30" l="1"/>
  <c r="A1192" i="30"/>
  <c r="A1193" i="30" l="1"/>
  <c r="D1192" i="30"/>
  <c r="A1194" i="30" l="1"/>
  <c r="D1193" i="30"/>
  <c r="D1194" i="30" l="1"/>
  <c r="A1195" i="30"/>
  <c r="D1195" i="30" l="1"/>
  <c r="A1196" i="30"/>
  <c r="A1197" i="30" l="1"/>
  <c r="D1196" i="30"/>
  <c r="A1198" i="30" l="1"/>
  <c r="D1197" i="30"/>
  <c r="D1198" i="30" l="1"/>
  <c r="A1199" i="30"/>
  <c r="D1199" i="30" l="1"/>
  <c r="A1200" i="30"/>
  <c r="A1201" i="30" l="1"/>
  <c r="D1200" i="30"/>
  <c r="A1202" i="30" l="1"/>
  <c r="D1201" i="30"/>
  <c r="D1202" i="30" l="1"/>
  <c r="A1203" i="30"/>
  <c r="D1203" i="30" l="1"/>
  <c r="A1204" i="30"/>
  <c r="A1205" i="30" l="1"/>
  <c r="D1204" i="30"/>
  <c r="A1206" i="30" l="1"/>
  <c r="D1205" i="30"/>
  <c r="D1206" i="30" l="1"/>
  <c r="A1207" i="30"/>
  <c r="D1207" i="30" l="1"/>
  <c r="A1208" i="30"/>
  <c r="A1209" i="30" l="1"/>
  <c r="D1208" i="30"/>
  <c r="A1210" i="30" l="1"/>
  <c r="D1209" i="30"/>
  <c r="D1210" i="30" l="1"/>
  <c r="A1211" i="30"/>
  <c r="D1211" i="30" l="1"/>
  <c r="A1212" i="30"/>
  <c r="A1213" i="30" l="1"/>
  <c r="D1212" i="30"/>
  <c r="A1214" i="30" l="1"/>
  <c r="D1213" i="30"/>
  <c r="D1214" i="30" l="1"/>
  <c r="A1215" i="30"/>
  <c r="D1215" i="30" l="1"/>
  <c r="A1216" i="30"/>
  <c r="A1217" i="30" l="1"/>
  <c r="D1216" i="30"/>
  <c r="A1218" i="30" l="1"/>
  <c r="D1217" i="30"/>
  <c r="D1218" i="30" l="1"/>
  <c r="A1219" i="30"/>
  <c r="D1219" i="30" l="1"/>
  <c r="A1220" i="30"/>
  <c r="A1221" i="30" l="1"/>
  <c r="D1220" i="30"/>
  <c r="A1222" i="30" l="1"/>
  <c r="D1221" i="30"/>
  <c r="D1222" i="30" l="1"/>
  <c r="A1223" i="30"/>
  <c r="D1223" i="30" l="1"/>
  <c r="A1224" i="30"/>
  <c r="A1225" i="30" l="1"/>
  <c r="D1224" i="30"/>
  <c r="A1226" i="30" l="1"/>
  <c r="D1225" i="30"/>
  <c r="D1226" i="30" l="1"/>
  <c r="A1227" i="30"/>
  <c r="D1227" i="30" l="1"/>
  <c r="A1228" i="30"/>
  <c r="A1229" i="30" l="1"/>
  <c r="D1228" i="30"/>
  <c r="A1230" i="30" l="1"/>
  <c r="D1229" i="30"/>
  <c r="D1230" i="30" l="1"/>
  <c r="A1231" i="30"/>
  <c r="D1231" i="30" l="1"/>
  <c r="A1232" i="30"/>
  <c r="A1233" i="30" l="1"/>
  <c r="D1232" i="30"/>
  <c r="A1234" i="30" l="1"/>
  <c r="D1233" i="30"/>
  <c r="D1234" i="30" l="1"/>
  <c r="A1235" i="30"/>
  <c r="D1235" i="30" l="1"/>
  <c r="A1236" i="30"/>
  <c r="A1237" i="30" l="1"/>
  <c r="D1236" i="30"/>
  <c r="A1238" i="30" l="1"/>
  <c r="D1237" i="30"/>
  <c r="D1238" i="30" l="1"/>
  <c r="A1239" i="30"/>
  <c r="D1239" i="30" l="1"/>
  <c r="A1240" i="30"/>
  <c r="A1241" i="30" l="1"/>
  <c r="D1240" i="30"/>
  <c r="A1242" i="30" l="1"/>
  <c r="D1241" i="30"/>
  <c r="D1242" i="30" l="1"/>
  <c r="A1243" i="30"/>
  <c r="D1243" i="30" l="1"/>
  <c r="A1244" i="30"/>
  <c r="A1245" i="30" l="1"/>
  <c r="D1244" i="30"/>
  <c r="A1246" i="30" l="1"/>
  <c r="D1245" i="30"/>
  <c r="D1246" i="30" l="1"/>
  <c r="A1247" i="30"/>
  <c r="D1247" i="30" l="1"/>
  <c r="A1248" i="30"/>
  <c r="A1249" i="30" l="1"/>
  <c r="D1248" i="30"/>
  <c r="A1250" i="30" l="1"/>
  <c r="D1249" i="30"/>
  <c r="D1250" i="30" l="1"/>
  <c r="A1251" i="30"/>
  <c r="D1251" i="30" l="1"/>
  <c r="A1252" i="30"/>
  <c r="A1253" i="30" l="1"/>
  <c r="D1252" i="30"/>
  <c r="A1254" i="30" l="1"/>
  <c r="D1253" i="30"/>
  <c r="D1254" i="30" l="1"/>
  <c r="A1255" i="30"/>
  <c r="D1255" i="30" l="1"/>
  <c r="A1256" i="30"/>
  <c r="A1257" i="30" l="1"/>
  <c r="D1256" i="30"/>
  <c r="A1258" i="30" l="1"/>
  <c r="D1257" i="30"/>
  <c r="D1258" i="30" l="1"/>
  <c r="A1259" i="30"/>
  <c r="D1259" i="30" l="1"/>
  <c r="A1260" i="30"/>
  <c r="A1261" i="30" l="1"/>
  <c r="D1260" i="30"/>
  <c r="A1262" i="30" l="1"/>
  <c r="D1261" i="30"/>
  <c r="D1262" i="30" l="1"/>
  <c r="A1263" i="30"/>
  <c r="D1263" i="30" l="1"/>
  <c r="A1264" i="30"/>
  <c r="A1265" i="30" l="1"/>
  <c r="D1264" i="30"/>
  <c r="A1266" i="30" l="1"/>
  <c r="D1265" i="30"/>
  <c r="D1266" i="30" l="1"/>
  <c r="A1267" i="30"/>
  <c r="D1267" i="30" l="1"/>
  <c r="A1268" i="30"/>
  <c r="A1269" i="30" l="1"/>
  <c r="D1268" i="30"/>
  <c r="A1270" i="30" l="1"/>
  <c r="D1269" i="30"/>
  <c r="D1270" i="30" l="1"/>
  <c r="A1271" i="30"/>
  <c r="D1271" i="30" l="1"/>
  <c r="A1272" i="30"/>
  <c r="A1273" i="30" l="1"/>
  <c r="D1272" i="30"/>
  <c r="A1274" i="30" l="1"/>
  <c r="D1273" i="30"/>
  <c r="D1274" i="30" l="1"/>
  <c r="A1275" i="30"/>
  <c r="D1275" i="30" l="1"/>
  <c r="A1276" i="30"/>
  <c r="A1277" i="30" l="1"/>
  <c r="D1276" i="30"/>
  <c r="A1278" i="30" l="1"/>
  <c r="D1277" i="30"/>
  <c r="D1278" i="30" l="1"/>
  <c r="A1279" i="30"/>
  <c r="D1279" i="30" l="1"/>
  <c r="A1280" i="30"/>
  <c r="A1281" i="30" l="1"/>
  <c r="D1280" i="30"/>
  <c r="A1282" i="30" l="1"/>
  <c r="D1281" i="30"/>
  <c r="D1282" i="30" l="1"/>
  <c r="A1283" i="30"/>
  <c r="D1283" i="30" l="1"/>
  <c r="A1284" i="30"/>
  <c r="A1285" i="30" l="1"/>
  <c r="D1284" i="30"/>
  <c r="A1286" i="30" l="1"/>
  <c r="D1285" i="30"/>
  <c r="D1286" i="30" l="1"/>
  <c r="A1287" i="30"/>
  <c r="D1287" i="30" l="1"/>
  <c r="A1288" i="30"/>
  <c r="A1289" i="30" l="1"/>
  <c r="D1288" i="30"/>
  <c r="A1290" i="30" l="1"/>
  <c r="D1289" i="30"/>
  <c r="D1290" i="30" l="1"/>
  <c r="A1291" i="30"/>
  <c r="D1291" i="30" l="1"/>
  <c r="A1292" i="30"/>
  <c r="A1293" i="30" l="1"/>
  <c r="D1292" i="30"/>
  <c r="A1294" i="30" l="1"/>
  <c r="D1293" i="30"/>
  <c r="D1294" i="30" l="1"/>
  <c r="A1295" i="30"/>
  <c r="D1295" i="30" l="1"/>
  <c r="A1296" i="30"/>
  <c r="A1297" i="30" l="1"/>
  <c r="D1296" i="30"/>
  <c r="A1298" i="30" l="1"/>
  <c r="D1297" i="30"/>
  <c r="D1298" i="30" l="1"/>
  <c r="A1299" i="30"/>
  <c r="D1299" i="30" l="1"/>
  <c r="A1300" i="30"/>
  <c r="A1301" i="30" l="1"/>
  <c r="D1300" i="30"/>
  <c r="A1302" i="30" l="1"/>
  <c r="D1301" i="30"/>
  <c r="D1302" i="30" l="1"/>
  <c r="A1303" i="30"/>
  <c r="D1303" i="30" l="1"/>
  <c r="A1304" i="30"/>
  <c r="A1305" i="30" l="1"/>
  <c r="D1304" i="30"/>
  <c r="A1306" i="30" l="1"/>
  <c r="D1305" i="30"/>
  <c r="D1306" i="30" l="1"/>
  <c r="A1307" i="30"/>
  <c r="D1307" i="30" l="1"/>
  <c r="A1308" i="30"/>
  <c r="A1309" i="30" l="1"/>
  <c r="D1308" i="30"/>
  <c r="A1310" i="30" l="1"/>
  <c r="D1309" i="30"/>
  <c r="D1310" i="30" l="1"/>
  <c r="A1311" i="30"/>
  <c r="D1311" i="30" l="1"/>
  <c r="A1312" i="30"/>
  <c r="A1313" i="30" l="1"/>
  <c r="D1312" i="30"/>
  <c r="A1314" i="30" l="1"/>
  <c r="D1313" i="30"/>
  <c r="D1314" i="30" l="1"/>
  <c r="A1315" i="30"/>
  <c r="D1315" i="30" l="1"/>
  <c r="A1316" i="30"/>
  <c r="A1317" i="30" l="1"/>
  <c r="D1316" i="30"/>
  <c r="A1318" i="30" l="1"/>
  <c r="D1317" i="30"/>
  <c r="D1318" i="30" l="1"/>
  <c r="A1319" i="30"/>
  <c r="D1319" i="30" l="1"/>
  <c r="A1320" i="30"/>
  <c r="A1321" i="30" l="1"/>
  <c r="D1320" i="30"/>
  <c r="A1322" i="30" l="1"/>
  <c r="D1321" i="30"/>
  <c r="D1322" i="30" l="1"/>
  <c r="A1323" i="30"/>
  <c r="D1323" i="30" l="1"/>
  <c r="A1324" i="30"/>
  <c r="A1325" i="30" l="1"/>
  <c r="D1324" i="30"/>
  <c r="A1326" i="30" l="1"/>
  <c r="D1325" i="30"/>
  <c r="D1326" i="30" l="1"/>
  <c r="A1327" i="30"/>
  <c r="D1327" i="30" l="1"/>
  <c r="A1328" i="30"/>
  <c r="A1329" i="30" l="1"/>
  <c r="D1328" i="30"/>
  <c r="A1330" i="30" l="1"/>
  <c r="D1329" i="30"/>
  <c r="D1330" i="30" l="1"/>
  <c r="A1331" i="30"/>
  <c r="D1331" i="30" l="1"/>
  <c r="A1332" i="30"/>
  <c r="A1333" i="30" l="1"/>
  <c r="D1332" i="30"/>
  <c r="A1334" i="30" l="1"/>
  <c r="D1333" i="30"/>
  <c r="D1334" i="30" l="1"/>
  <c r="A1335" i="30"/>
  <c r="D1335" i="30" l="1"/>
  <c r="A1336" i="30"/>
  <c r="A1337" i="30" l="1"/>
  <c r="D1336" i="30"/>
  <c r="A1338" i="30" l="1"/>
  <c r="D1337" i="30"/>
  <c r="D1338" i="30" l="1"/>
  <c r="A1339" i="30"/>
  <c r="D1339" i="30" l="1"/>
  <c r="A1340" i="30"/>
  <c r="A1341" i="30" l="1"/>
  <c r="D1340" i="30"/>
  <c r="A1342" i="30" l="1"/>
  <c r="D1341" i="30"/>
  <c r="D1342" i="30" l="1"/>
  <c r="A1343" i="30"/>
  <c r="D1343" i="30" l="1"/>
  <c r="A1344" i="30"/>
  <c r="A1345" i="30" l="1"/>
  <c r="D1344" i="30"/>
  <c r="A1346" i="30" l="1"/>
  <c r="D1345" i="30"/>
  <c r="D1346" i="30" l="1"/>
  <c r="A1347" i="30"/>
  <c r="D1347" i="30" l="1"/>
  <c r="A1348" i="30"/>
  <c r="A1349" i="30" l="1"/>
  <c r="D1348" i="30"/>
  <c r="A1350" i="30" l="1"/>
  <c r="D1349" i="30"/>
  <c r="D1350" i="30" l="1"/>
  <c r="A1351" i="30"/>
  <c r="D1351" i="30" l="1"/>
  <c r="A1352" i="30"/>
  <c r="A1353" i="30" l="1"/>
  <c r="D1352" i="30"/>
  <c r="A1354" i="30" l="1"/>
  <c r="D1353" i="30"/>
  <c r="D1354" i="30" l="1"/>
  <c r="A1355" i="30"/>
  <c r="D1355" i="30" l="1"/>
  <c r="A1356" i="30"/>
  <c r="A1357" i="30" l="1"/>
  <c r="D1356" i="30"/>
  <c r="A1358" i="30" l="1"/>
  <c r="D1357" i="30"/>
  <c r="D1358" i="30" l="1"/>
  <c r="A1359" i="30"/>
  <c r="D1359" i="30" l="1"/>
  <c r="A1360" i="30"/>
  <c r="A1361" i="30" l="1"/>
  <c r="D1360" i="30"/>
  <c r="A1362" i="30" l="1"/>
  <c r="D1361" i="30"/>
  <c r="D1362" i="30" l="1"/>
  <c r="A1363" i="30"/>
  <c r="D1363" i="30" l="1"/>
  <c r="A1364" i="30"/>
  <c r="A1365" i="30" l="1"/>
  <c r="D1364" i="30"/>
  <c r="A1366" i="30" l="1"/>
  <c r="D1365" i="30"/>
  <c r="D1366" i="30" l="1"/>
  <c r="A1367" i="30"/>
  <c r="D1367" i="30" l="1"/>
  <c r="A1368" i="30"/>
  <c r="A1369" i="30" l="1"/>
  <c r="D1368" i="30"/>
  <c r="A1370" i="30" l="1"/>
  <c r="D1369" i="30"/>
  <c r="D1370" i="30" l="1"/>
  <c r="A1371" i="30"/>
  <c r="D1371" i="30" l="1"/>
  <c r="A1372" i="30"/>
  <c r="A1373" i="30" l="1"/>
  <c r="D1372" i="30"/>
  <c r="A1374" i="30" l="1"/>
  <c r="D1373" i="30"/>
  <c r="D1374" i="30" l="1"/>
  <c r="A1375" i="30"/>
  <c r="D1375" i="30" l="1"/>
  <c r="A1376" i="30"/>
  <c r="A1377" i="30" l="1"/>
  <c r="D1376" i="30"/>
  <c r="A1378" i="30" l="1"/>
  <c r="D1377" i="30"/>
  <c r="D1378" i="30" l="1"/>
  <c r="A1379" i="30"/>
  <c r="D1379" i="30" l="1"/>
  <c r="A1380" i="30"/>
  <c r="A1381" i="30" l="1"/>
  <c r="D1380" i="30"/>
  <c r="A1382" i="30" l="1"/>
  <c r="D1381" i="30"/>
  <c r="D1382" i="30" l="1"/>
  <c r="A1383" i="30"/>
  <c r="D1383" i="30" l="1"/>
  <c r="A1384" i="30"/>
  <c r="A1385" i="30" l="1"/>
  <c r="D1384" i="30"/>
  <c r="A1386" i="30" l="1"/>
  <c r="D1385" i="30"/>
  <c r="D1386" i="30" l="1"/>
  <c r="A1387" i="30"/>
  <c r="D1387" i="30" l="1"/>
  <c r="A1388" i="30"/>
  <c r="A1389" i="30" l="1"/>
  <c r="D1388" i="30"/>
  <c r="A1390" i="30" l="1"/>
  <c r="D1389" i="30"/>
  <c r="D1390" i="30" l="1"/>
  <c r="A1391" i="30"/>
  <c r="D1391" i="30" l="1"/>
  <c r="A1392" i="30"/>
  <c r="A1393" i="30" l="1"/>
  <c r="D1392" i="30"/>
  <c r="A1394" i="30" l="1"/>
  <c r="D1393" i="30"/>
  <c r="D1394" i="30" l="1"/>
  <c r="A1395" i="30"/>
  <c r="D1395" i="30" l="1"/>
  <c r="A1396" i="30"/>
  <c r="A1397" i="30" l="1"/>
  <c r="D1396" i="30"/>
  <c r="A1398" i="30" l="1"/>
  <c r="D1397" i="30"/>
  <c r="D1398" i="30" l="1"/>
  <c r="A1399" i="30"/>
  <c r="D1399" i="30" l="1"/>
  <c r="A1400" i="30"/>
  <c r="A1401" i="30" l="1"/>
  <c r="D1400" i="30"/>
  <c r="A1402" i="30" l="1"/>
  <c r="D1401" i="30"/>
  <c r="D1402" i="30" l="1"/>
  <c r="A1403" i="30"/>
  <c r="D1403" i="30" l="1"/>
  <c r="A1404" i="30"/>
  <c r="A1405" i="30" l="1"/>
  <c r="D1404" i="30"/>
  <c r="A1406" i="30" l="1"/>
  <c r="D1405" i="30"/>
  <c r="D1406" i="30" l="1"/>
  <c r="A1407" i="30"/>
  <c r="D1407" i="30" l="1"/>
  <c r="A1408" i="30"/>
  <c r="A1409" i="30" l="1"/>
  <c r="D1408" i="30"/>
  <c r="A1410" i="30" l="1"/>
  <c r="D1409" i="30"/>
  <c r="D1410" i="30" l="1"/>
  <c r="A1411" i="30"/>
  <c r="D1411" i="30" l="1"/>
  <c r="A1412" i="30"/>
  <c r="A1413" i="30" l="1"/>
  <c r="D1412" i="30"/>
  <c r="A1414" i="30" l="1"/>
  <c r="D1413" i="30"/>
  <c r="D1414" i="30" l="1"/>
  <c r="A1415" i="30"/>
  <c r="D1415" i="30" l="1"/>
  <c r="A1416" i="30"/>
  <c r="A1417" i="30" l="1"/>
  <c r="D1416" i="30"/>
  <c r="A1418" i="30" l="1"/>
  <c r="D1417" i="30"/>
  <c r="D1418" i="30" l="1"/>
  <c r="A1419" i="30"/>
  <c r="D1419" i="30" l="1"/>
  <c r="A1420" i="30"/>
  <c r="A1421" i="30" l="1"/>
  <c r="D1420" i="30"/>
  <c r="A1422" i="30" l="1"/>
  <c r="D1421" i="30"/>
  <c r="D1422" i="30" l="1"/>
  <c r="A1423" i="30"/>
  <c r="D1423" i="30" l="1"/>
  <c r="A1424" i="30"/>
  <c r="A1425" i="30" l="1"/>
  <c r="D1424" i="30"/>
  <c r="A1426" i="30" l="1"/>
  <c r="D1425" i="30"/>
  <c r="D1426" i="30" l="1"/>
  <c r="A1427" i="30"/>
  <c r="D1427" i="30" l="1"/>
  <c r="A1428" i="30"/>
  <c r="A1429" i="30" l="1"/>
  <c r="D1428" i="30"/>
  <c r="A1430" i="30" l="1"/>
  <c r="D1429" i="30"/>
  <c r="D1430" i="30" l="1"/>
  <c r="A1431" i="30"/>
  <c r="D1431" i="30" l="1"/>
  <c r="A1432" i="30"/>
  <c r="A1433" i="30" l="1"/>
  <c r="D1432" i="30"/>
  <c r="A1434" i="30" l="1"/>
  <c r="D1433" i="30"/>
  <c r="D1434" i="30" l="1"/>
  <c r="A1435" i="30"/>
  <c r="D1435" i="30" l="1"/>
  <c r="A1436" i="30"/>
  <c r="A1437" i="30" l="1"/>
  <c r="D1436" i="30"/>
  <c r="A1438" i="30" l="1"/>
  <c r="D1437" i="30"/>
  <c r="D1438" i="30" l="1"/>
  <c r="A1439" i="30"/>
  <c r="D1439" i="30" l="1"/>
  <c r="A1440" i="30"/>
  <c r="A1441" i="30" l="1"/>
  <c r="D1440" i="30"/>
  <c r="A1442" i="30" l="1"/>
  <c r="D1441" i="30"/>
  <c r="D1442" i="30" l="1"/>
  <c r="A1443" i="30"/>
  <c r="D1443" i="30" l="1"/>
  <c r="A1444" i="30"/>
  <c r="A1445" i="30" l="1"/>
  <c r="D1444" i="30"/>
  <c r="A1446" i="30" l="1"/>
  <c r="D1445" i="30"/>
  <c r="D1446" i="30" l="1"/>
  <c r="A1447" i="30"/>
  <c r="D1447" i="30" l="1"/>
  <c r="A1448" i="30"/>
  <c r="A1449" i="30" l="1"/>
  <c r="D1448" i="30"/>
  <c r="A1450" i="30" l="1"/>
  <c r="D1449" i="30"/>
  <c r="D1450" i="30" l="1"/>
  <c r="A1451" i="30"/>
  <c r="D1451" i="30" l="1"/>
  <c r="A1452" i="30"/>
  <c r="A1453" i="30" l="1"/>
  <c r="D1452" i="30"/>
  <c r="A1454" i="30" l="1"/>
  <c r="D1453" i="30"/>
  <c r="D1454" i="30" l="1"/>
  <c r="A1455" i="30"/>
  <c r="D1455" i="30" l="1"/>
  <c r="A1456" i="30"/>
  <c r="A1457" i="30" l="1"/>
  <c r="D1456" i="30"/>
  <c r="A1458" i="30" l="1"/>
  <c r="D1457" i="30"/>
  <c r="D1458" i="30" l="1"/>
  <c r="A1459" i="30"/>
  <c r="D1459" i="30" l="1"/>
  <c r="A1460" i="30"/>
  <c r="A1461" i="30" l="1"/>
  <c r="D1460" i="30"/>
  <c r="A1462" i="30" l="1"/>
  <c r="D1461" i="30"/>
  <c r="D1462" i="30" l="1"/>
  <c r="A1463" i="30"/>
  <c r="D1463" i="30" l="1"/>
  <c r="A1464" i="30"/>
  <c r="A1465" i="30" l="1"/>
  <c r="D1464" i="30"/>
  <c r="A1466" i="30" l="1"/>
  <c r="D1465" i="30"/>
  <c r="D1466" i="30" l="1"/>
  <c r="A1467" i="30"/>
  <c r="D1467" i="30" l="1"/>
  <c r="A1468" i="30"/>
  <c r="A1469" i="30" l="1"/>
  <c r="D1468" i="30"/>
  <c r="A1470" i="30" l="1"/>
  <c r="D1469" i="30"/>
  <c r="D1470" i="30" l="1"/>
  <c r="A1471" i="30"/>
  <c r="D1471" i="30" l="1"/>
  <c r="A1472" i="30"/>
  <c r="A1473" i="30" l="1"/>
  <c r="D1472" i="30"/>
  <c r="A1474" i="30" l="1"/>
  <c r="D1473" i="30"/>
  <c r="D1474" i="30" l="1"/>
  <c r="A1475" i="30"/>
  <c r="D1475" i="30" l="1"/>
  <c r="A1476" i="30"/>
  <c r="A1477" i="30" l="1"/>
  <c r="D1476" i="30"/>
  <c r="A1478" i="30" l="1"/>
  <c r="D1477" i="30"/>
  <c r="D1478" i="30" l="1"/>
  <c r="A1479" i="30"/>
  <c r="D1479" i="30" l="1"/>
  <c r="A1480" i="30"/>
  <c r="A1481" i="30" l="1"/>
  <c r="D1480" i="30"/>
  <c r="A1482" i="30" l="1"/>
  <c r="D1481" i="30"/>
  <c r="D1482" i="30" l="1"/>
  <c r="A1483" i="30"/>
  <c r="D1483" i="30" l="1"/>
  <c r="A1484" i="30"/>
  <c r="A1485" i="30" l="1"/>
  <c r="D1484" i="30"/>
  <c r="A1486" i="30" l="1"/>
  <c r="D1485" i="30"/>
  <c r="D1486" i="30" l="1"/>
  <c r="A1487" i="30"/>
  <c r="D1487" i="30" l="1"/>
  <c r="A1488" i="30"/>
  <c r="A1489" i="30" l="1"/>
  <c r="D1488" i="30"/>
  <c r="A1490" i="30" l="1"/>
  <c r="D1489" i="30"/>
  <c r="D1490" i="30" l="1"/>
  <c r="A1491" i="30"/>
  <c r="D1491" i="30" l="1"/>
  <c r="A1492" i="30"/>
  <c r="A1493" i="30" l="1"/>
  <c r="D1492" i="30"/>
  <c r="A1494" i="30" l="1"/>
  <c r="D1493" i="30"/>
  <c r="D1494" i="30" l="1"/>
  <c r="A1495" i="30"/>
  <c r="D1495" i="30" l="1"/>
  <c r="A1496" i="30"/>
  <c r="A1497" i="30" l="1"/>
  <c r="D1496" i="30"/>
  <c r="A1498" i="30" l="1"/>
  <c r="D1497" i="30"/>
  <c r="D1498" i="30" l="1"/>
  <c r="A1499" i="30"/>
  <c r="D1499" i="30" l="1"/>
  <c r="A1500" i="30"/>
  <c r="A1501" i="30" l="1"/>
  <c r="D1500" i="30"/>
  <c r="A1502" i="30" l="1"/>
  <c r="D1501" i="30"/>
  <c r="D1502" i="30" l="1"/>
  <c r="A1503" i="30"/>
  <c r="D1503" i="30" l="1"/>
  <c r="A1504" i="30"/>
  <c r="A1505" i="30" l="1"/>
  <c r="D1504" i="30"/>
  <c r="A1506" i="30" l="1"/>
  <c r="D1505" i="30"/>
  <c r="D1506" i="30" l="1"/>
  <c r="A1507" i="30"/>
  <c r="D1507" i="30" l="1"/>
  <c r="A1508" i="30"/>
  <c r="A1509" i="30" l="1"/>
  <c r="D1508" i="30"/>
  <c r="A1510" i="30" l="1"/>
  <c r="D1509" i="30"/>
  <c r="D1510" i="30" l="1"/>
  <c r="A1511" i="30"/>
  <c r="D1511" i="30" l="1"/>
  <c r="A1512" i="30"/>
  <c r="A1513" i="30" l="1"/>
  <c r="D1512" i="30"/>
  <c r="A1514" i="30" l="1"/>
  <c r="D1513" i="30"/>
  <c r="D1514" i="30" l="1"/>
  <c r="A1515" i="30"/>
  <c r="D1515" i="30" l="1"/>
  <c r="A1516" i="30"/>
  <c r="A1517" i="30" l="1"/>
  <c r="D1516" i="30"/>
  <c r="A1518" i="30" l="1"/>
  <c r="D1517" i="30"/>
  <c r="D1518" i="30" l="1"/>
  <c r="A1519" i="30"/>
  <c r="D1519" i="30" l="1"/>
  <c r="A1520" i="30"/>
  <c r="A1521" i="30" l="1"/>
  <c r="D1520" i="30"/>
  <c r="A1522" i="30" l="1"/>
  <c r="D1521" i="30"/>
  <c r="D1522" i="30" l="1"/>
  <c r="A1523" i="30"/>
  <c r="D1523" i="30" l="1"/>
  <c r="A1524" i="30"/>
  <c r="A1525" i="30" l="1"/>
  <c r="D1524" i="30"/>
  <c r="A1526" i="30" l="1"/>
  <c r="D1525" i="30"/>
  <c r="D1526" i="30" l="1"/>
  <c r="A1527" i="30"/>
  <c r="D1527" i="30" l="1"/>
  <c r="A1528" i="30"/>
  <c r="A1529" i="30" l="1"/>
  <c r="D1528" i="30"/>
  <c r="A1530" i="30" l="1"/>
  <c r="D1529" i="30"/>
  <c r="D1530" i="30" l="1"/>
  <c r="A1531" i="30"/>
  <c r="D1531" i="30" l="1"/>
  <c r="A1532" i="30"/>
  <c r="A1533" i="30" l="1"/>
  <c r="D1532" i="30"/>
  <c r="A1534" i="30" l="1"/>
  <c r="D1533" i="30"/>
  <c r="D1534" i="30" l="1"/>
  <c r="A1535" i="30"/>
  <c r="D1535" i="30" l="1"/>
  <c r="A1536" i="30"/>
  <c r="A1537" i="30" l="1"/>
  <c r="D1536" i="30"/>
  <c r="A1538" i="30" l="1"/>
  <c r="D1537" i="30"/>
  <c r="D1538" i="30" l="1"/>
  <c r="A1539" i="30"/>
  <c r="D1539" i="30" l="1"/>
  <c r="A1540" i="30"/>
  <c r="A1541" i="30" l="1"/>
  <c r="D1540" i="30"/>
  <c r="A1542" i="30" l="1"/>
  <c r="D1541" i="30"/>
  <c r="D1542" i="30" l="1"/>
  <c r="A1543" i="30"/>
  <c r="D1543" i="30" l="1"/>
  <c r="A1544" i="30"/>
  <c r="A1545" i="30" l="1"/>
  <c r="D1544" i="30"/>
  <c r="A1546" i="30" l="1"/>
  <c r="D1545" i="30"/>
  <c r="D1546" i="30" l="1"/>
  <c r="A1547" i="30"/>
  <c r="D1547" i="30" l="1"/>
  <c r="A1548" i="30"/>
  <c r="A1549" i="30" l="1"/>
  <c r="D1548" i="30"/>
  <c r="A1550" i="30" l="1"/>
  <c r="D1549" i="30"/>
  <c r="D1550" i="30" l="1"/>
  <c r="A1551" i="30"/>
  <c r="D1551" i="30" l="1"/>
  <c r="A1552" i="30"/>
  <c r="A1553" i="30" l="1"/>
  <c r="D1552" i="30"/>
  <c r="A1554" i="30" l="1"/>
  <c r="D1553" i="30"/>
  <c r="D1554" i="30" l="1"/>
  <c r="A1555" i="30"/>
  <c r="D1555" i="30" l="1"/>
  <c r="A1556" i="30"/>
  <c r="A1557" i="30" l="1"/>
  <c r="D1556" i="30"/>
  <c r="A1558" i="30" l="1"/>
  <c r="D1557" i="30"/>
  <c r="D1558" i="30" l="1"/>
  <c r="A1559" i="30"/>
  <c r="D1559" i="30" l="1"/>
  <c r="A1560" i="30"/>
  <c r="A1561" i="30" l="1"/>
  <c r="D1560" i="30"/>
  <c r="A1562" i="30" l="1"/>
  <c r="D1561" i="30"/>
  <c r="D1562" i="30" l="1"/>
  <c r="A1563" i="30"/>
  <c r="D1563" i="30" l="1"/>
  <c r="A1564" i="30"/>
  <c r="A1565" i="30" l="1"/>
  <c r="D1564" i="30"/>
  <c r="A1566" i="30" l="1"/>
  <c r="D1565" i="30"/>
  <c r="D1566" i="30" l="1"/>
  <c r="A1567" i="30"/>
  <c r="D1567" i="30" l="1"/>
  <c r="A1568" i="30"/>
  <c r="A1569" i="30" l="1"/>
  <c r="D1568" i="30"/>
  <c r="A1570" i="30" l="1"/>
  <c r="D1569" i="30"/>
  <c r="D1570" i="30" l="1"/>
  <c r="A1571" i="30"/>
  <c r="D1571" i="30" l="1"/>
  <c r="A1572" i="30"/>
  <c r="A1573" i="30" l="1"/>
  <c r="D1572" i="30"/>
  <c r="A1574" i="30" l="1"/>
  <c r="D1573" i="30"/>
  <c r="D1574" i="30" l="1"/>
  <c r="A1575" i="30"/>
  <c r="D1575" i="30" l="1"/>
  <c r="A1576" i="30"/>
  <c r="A1577" i="30" l="1"/>
  <c r="D1576" i="30"/>
  <c r="A1578" i="30" l="1"/>
  <c r="D1577" i="30"/>
  <c r="D1578" i="30" l="1"/>
  <c r="A1579" i="30"/>
  <c r="D1579" i="30" l="1"/>
  <c r="A1580" i="30"/>
  <c r="A1581" i="30" l="1"/>
  <c r="D1580" i="30"/>
  <c r="A1582" i="30" l="1"/>
  <c r="D1581" i="30"/>
  <c r="D1582" i="30" l="1"/>
  <c r="A1583" i="30"/>
  <c r="D1583" i="30" l="1"/>
  <c r="A1584" i="30"/>
  <c r="A1585" i="30" l="1"/>
  <c r="D1584" i="30"/>
  <c r="A1586" i="30" l="1"/>
  <c r="D1585" i="30"/>
  <c r="D1586" i="30" l="1"/>
  <c r="A1587" i="30"/>
  <c r="D1587" i="30" l="1"/>
  <c r="A1588" i="30"/>
  <c r="A1589" i="30" l="1"/>
  <c r="D1588" i="30"/>
  <c r="A1590" i="30" l="1"/>
  <c r="D1589" i="30"/>
  <c r="D1590" i="30" l="1"/>
  <c r="A1591" i="30"/>
  <c r="D1591" i="30" l="1"/>
  <c r="A1592" i="30"/>
  <c r="A1593" i="30" l="1"/>
  <c r="D1592" i="30"/>
  <c r="A1594" i="30" l="1"/>
  <c r="D1593" i="30"/>
  <c r="D1594" i="30" l="1"/>
  <c r="A1595" i="30"/>
  <c r="D1595" i="30" l="1"/>
  <c r="A1596" i="30"/>
  <c r="A1597" i="30" l="1"/>
  <c r="D1596" i="30"/>
  <c r="A1598" i="30" l="1"/>
  <c r="D1597" i="30"/>
  <c r="D1598" i="30" l="1"/>
  <c r="A1599" i="30"/>
  <c r="D1599" i="30" l="1"/>
  <c r="A1600" i="30"/>
  <c r="A1601" i="30" l="1"/>
  <c r="D1600" i="30"/>
  <c r="A1602" i="30" l="1"/>
  <c r="D1601" i="30"/>
  <c r="D1602" i="30" l="1"/>
  <c r="A1603" i="30"/>
  <c r="D1603" i="30" l="1"/>
  <c r="A1604" i="30"/>
  <c r="A1605" i="30" l="1"/>
  <c r="D1604" i="30"/>
  <c r="A1606" i="30" l="1"/>
  <c r="D1605" i="30"/>
  <c r="D1606" i="30" l="1"/>
  <c r="A1607" i="30"/>
  <c r="D1607" i="30" l="1"/>
  <c r="A1608" i="30"/>
  <c r="A1609" i="30" l="1"/>
  <c r="D1608" i="30"/>
  <c r="A1610" i="30" l="1"/>
  <c r="D1609" i="30"/>
  <c r="D1610" i="30" l="1"/>
  <c r="A1611" i="30"/>
  <c r="D1611" i="30" l="1"/>
  <c r="A1612" i="30"/>
  <c r="A1613" i="30" l="1"/>
  <c r="D1612" i="30"/>
  <c r="A1614" i="30" l="1"/>
  <c r="D1613" i="30"/>
  <c r="D1614" i="30" l="1"/>
  <c r="A1615" i="30"/>
  <c r="D1615" i="30" l="1"/>
  <c r="A1616" i="30"/>
  <c r="A1617" i="30" l="1"/>
  <c r="D1616" i="30"/>
  <c r="A1618" i="30" l="1"/>
  <c r="D1617" i="30"/>
  <c r="D1618" i="30" l="1"/>
  <c r="A1619" i="30"/>
  <c r="D1619" i="30" l="1"/>
  <c r="A1620" i="30"/>
  <c r="A1621" i="30" l="1"/>
  <c r="D1620" i="30"/>
  <c r="A1622" i="30" l="1"/>
  <c r="D1621" i="30"/>
  <c r="D1622" i="30" l="1"/>
  <c r="A1623" i="30"/>
  <c r="D1623" i="30" l="1"/>
  <c r="A1624" i="30"/>
  <c r="A1625" i="30" l="1"/>
  <c r="D1624" i="30"/>
  <c r="A1626" i="30" l="1"/>
  <c r="D1625" i="30"/>
  <c r="D1626" i="30" l="1"/>
  <c r="A1627" i="30"/>
  <c r="D1627" i="30" l="1"/>
  <c r="A1628" i="30"/>
  <c r="A1629" i="30" l="1"/>
  <c r="D1628" i="30"/>
  <c r="A1630" i="30" l="1"/>
  <c r="D1629" i="30"/>
  <c r="D1630" i="30" l="1"/>
  <c r="A1631" i="30"/>
  <c r="D1631" i="30" l="1"/>
  <c r="A1632" i="30"/>
  <c r="A1633" i="30" l="1"/>
  <c r="D1632" i="30"/>
  <c r="A1634" i="30" l="1"/>
  <c r="D1633" i="30"/>
  <c r="D1634" i="30" l="1"/>
  <c r="A1635" i="30"/>
  <c r="D1635" i="30" l="1"/>
  <c r="A1636" i="30"/>
  <c r="A1637" i="30" l="1"/>
  <c r="D1636" i="30"/>
  <c r="A1638" i="30" l="1"/>
  <c r="D1637" i="30"/>
  <c r="D1638" i="30" l="1"/>
  <c r="A1639" i="30"/>
  <c r="D1639" i="30" l="1"/>
  <c r="A1640" i="30"/>
  <c r="A1641" i="30" l="1"/>
  <c r="D1640" i="30"/>
  <c r="A1642" i="30" l="1"/>
  <c r="D1641" i="30"/>
  <c r="D1642" i="30" l="1"/>
  <c r="A1643" i="30"/>
  <c r="D1643" i="30" l="1"/>
  <c r="A1644" i="30"/>
  <c r="A1645" i="30" l="1"/>
  <c r="D1644" i="30"/>
  <c r="A1646" i="30" l="1"/>
  <c r="D1645" i="30"/>
  <c r="D1646" i="30" l="1"/>
  <c r="A1647" i="30"/>
  <c r="D1647" i="30" l="1"/>
  <c r="A1648" i="30"/>
  <c r="A1649" i="30" l="1"/>
  <c r="D1648" i="30"/>
  <c r="A1650" i="30" l="1"/>
  <c r="D1649" i="30"/>
  <c r="D1650" i="30" l="1"/>
  <c r="A1651" i="30"/>
  <c r="D1651" i="30" l="1"/>
  <c r="A1652" i="30"/>
  <c r="A1653" i="30" l="1"/>
  <c r="D1652" i="30"/>
  <c r="A1654" i="30" l="1"/>
  <c r="D1653" i="30"/>
  <c r="D1654" i="30" l="1"/>
  <c r="A1655" i="30"/>
  <c r="D1655" i="30" l="1"/>
  <c r="A1656" i="30"/>
  <c r="A1657" i="30" l="1"/>
  <c r="D1656" i="30"/>
  <c r="A1658" i="30" l="1"/>
  <c r="D1657" i="30"/>
  <c r="D1658" i="30" l="1"/>
  <c r="A1659" i="30"/>
  <c r="D1659" i="30" l="1"/>
  <c r="A1660" i="30"/>
  <c r="A1661" i="30" l="1"/>
  <c r="D1660" i="30"/>
  <c r="A1662" i="30" l="1"/>
  <c r="D1661" i="30"/>
  <c r="D1662" i="30" l="1"/>
  <c r="A1663" i="30"/>
  <c r="D1663" i="30" l="1"/>
  <c r="A1664" i="30"/>
  <c r="A1665" i="30" l="1"/>
  <c r="D1664" i="30"/>
  <c r="A1666" i="30" l="1"/>
  <c r="D1665" i="30"/>
  <c r="D1666" i="30" l="1"/>
  <c r="A1667" i="30"/>
  <c r="D1667" i="30" l="1"/>
  <c r="A1668" i="30"/>
  <c r="A1669" i="30" l="1"/>
  <c r="D1668" i="30"/>
  <c r="A1670" i="30" l="1"/>
  <c r="D1669" i="30"/>
  <c r="D1670" i="30" l="1"/>
  <c r="A1671" i="30"/>
  <c r="D1671" i="30" l="1"/>
  <c r="A1672" i="30"/>
  <c r="A1673" i="30" l="1"/>
  <c r="D1672" i="30"/>
  <c r="A1674" i="30" l="1"/>
  <c r="D1673" i="30"/>
  <c r="D1674" i="30" l="1"/>
  <c r="A1675" i="30"/>
  <c r="D1675" i="30" l="1"/>
  <c r="A1676" i="30"/>
  <c r="A1677" i="30" l="1"/>
  <c r="D1676" i="30"/>
  <c r="A1678" i="30" l="1"/>
  <c r="D1677" i="30"/>
  <c r="D1678" i="30" l="1"/>
  <c r="A1679" i="30"/>
  <c r="D1679" i="30" l="1"/>
  <c r="A1680" i="30"/>
  <c r="A1681" i="30" l="1"/>
  <c r="D1680" i="30"/>
  <c r="A1682" i="30" l="1"/>
  <c r="D1681" i="30"/>
  <c r="D1682" i="30" l="1"/>
  <c r="A1683" i="30"/>
  <c r="D1683" i="30" l="1"/>
  <c r="A1684" i="30"/>
  <c r="A1685" i="30" l="1"/>
  <c r="D1684" i="30"/>
  <c r="A1686" i="30" l="1"/>
  <c r="D1685" i="30"/>
  <c r="D1686" i="30" l="1"/>
  <c r="A1687" i="30"/>
  <c r="D1687" i="30" l="1"/>
  <c r="A1688" i="30"/>
  <c r="A1689" i="30" l="1"/>
  <c r="D1688" i="30"/>
  <c r="A1690" i="30" l="1"/>
  <c r="D1689" i="30"/>
  <c r="D1690" i="30" l="1"/>
  <c r="A1691" i="30"/>
  <c r="D1691" i="30" l="1"/>
  <c r="A1692" i="30"/>
  <c r="A1693" i="30" l="1"/>
  <c r="D1692" i="30"/>
  <c r="A1694" i="30" l="1"/>
  <c r="D1693" i="30"/>
  <c r="D1694" i="30" l="1"/>
  <c r="A1695" i="30"/>
  <c r="D1695" i="30" l="1"/>
  <c r="A1696" i="30"/>
  <c r="A1697" i="30" l="1"/>
  <c r="D1696" i="30"/>
  <c r="A1698" i="30" l="1"/>
  <c r="D1697" i="30"/>
  <c r="D1698" i="30" l="1"/>
  <c r="A1699" i="30"/>
  <c r="D1699" i="30" l="1"/>
  <c r="A1700" i="30"/>
  <c r="A1701" i="30" l="1"/>
  <c r="D1700" i="30"/>
  <c r="A1702" i="30" l="1"/>
  <c r="D1701" i="30"/>
  <c r="D1702" i="30" l="1"/>
  <c r="A1703" i="30"/>
  <c r="D1703" i="30" l="1"/>
  <c r="A1704" i="30"/>
  <c r="A1705" i="30" l="1"/>
  <c r="D1704" i="30"/>
  <c r="A1706" i="30" l="1"/>
  <c r="D1705" i="30"/>
  <c r="D1706" i="30" l="1"/>
  <c r="A1707" i="30"/>
  <c r="D1707" i="30" l="1"/>
  <c r="A1708" i="30"/>
  <c r="A1709" i="30" l="1"/>
  <c r="D1708" i="30"/>
  <c r="A1710" i="30" l="1"/>
  <c r="D1709" i="30"/>
  <c r="D1710" i="30" l="1"/>
  <c r="A1711" i="30"/>
  <c r="D1711" i="30" l="1"/>
  <c r="A1712" i="30"/>
  <c r="A1713" i="30" l="1"/>
  <c r="D1712" i="30"/>
  <c r="A1714" i="30" l="1"/>
  <c r="D1713" i="30"/>
  <c r="D1714" i="30" l="1"/>
  <c r="A1715" i="30"/>
  <c r="D1715" i="30" l="1"/>
  <c r="A1716" i="30"/>
  <c r="A1717" i="30" l="1"/>
  <c r="D1716" i="30"/>
  <c r="A1718" i="30" l="1"/>
  <c r="D1717" i="30"/>
  <c r="D1718" i="30" l="1"/>
  <c r="A1719" i="30"/>
  <c r="D1719" i="30" l="1"/>
  <c r="A1720" i="30"/>
  <c r="A1721" i="30" l="1"/>
  <c r="D1720" i="30"/>
  <c r="A1722" i="30" l="1"/>
  <c r="D1721" i="30"/>
  <c r="D1722" i="30" l="1"/>
  <c r="A1723" i="30"/>
  <c r="D1723" i="30" l="1"/>
  <c r="A1724" i="30"/>
  <c r="A1725" i="30" l="1"/>
  <c r="D1724" i="30"/>
  <c r="A1726" i="30" l="1"/>
  <c r="D1725" i="30"/>
  <c r="D1726" i="30" l="1"/>
  <c r="A1727" i="30"/>
  <c r="D1727" i="30" l="1"/>
  <c r="A1728" i="30"/>
  <c r="A1729" i="30" l="1"/>
  <c r="D1728" i="30"/>
  <c r="A1730" i="30" l="1"/>
  <c r="D1729" i="30"/>
  <c r="D1730" i="30" l="1"/>
  <c r="A1731" i="30"/>
  <c r="D1731" i="30" l="1"/>
  <c r="A1732" i="30"/>
  <c r="A1733" i="30" l="1"/>
  <c r="D1732" i="30"/>
  <c r="A1734" i="30" l="1"/>
  <c r="D1733" i="30"/>
  <c r="D1734" i="30" l="1"/>
  <c r="A1735" i="30"/>
  <c r="D1735" i="30" l="1"/>
  <c r="A1736" i="30"/>
  <c r="A1737" i="30" l="1"/>
  <c r="D1736" i="30"/>
  <c r="A1738" i="30" l="1"/>
  <c r="D1737" i="30"/>
  <c r="D1738" i="30" l="1"/>
  <c r="A1739" i="30"/>
  <c r="D1739" i="30" l="1"/>
  <c r="A1740" i="30"/>
  <c r="A1741" i="30" l="1"/>
  <c r="D1740" i="30"/>
  <c r="A1742" i="30" l="1"/>
  <c r="D1741" i="30"/>
  <c r="D1742" i="30" l="1"/>
  <c r="A1743" i="30"/>
  <c r="D1743" i="30" l="1"/>
  <c r="A1744" i="30"/>
  <c r="A1745" i="30" l="1"/>
  <c r="D1744" i="30"/>
  <c r="A1746" i="30" l="1"/>
  <c r="D1745" i="30"/>
  <c r="D1746" i="30" l="1"/>
  <c r="A1747" i="30"/>
  <c r="D1747" i="30" l="1"/>
  <c r="A1748" i="30"/>
  <c r="A1749" i="30" l="1"/>
  <c r="D1748" i="30"/>
  <c r="A1750" i="30" l="1"/>
  <c r="D1749" i="30"/>
  <c r="D1750" i="30" l="1"/>
  <c r="A1751" i="30"/>
  <c r="D1751" i="30" l="1"/>
  <c r="A1752" i="30"/>
  <c r="A1753" i="30" l="1"/>
  <c r="D1752" i="30"/>
  <c r="A1754" i="30" l="1"/>
  <c r="D1753" i="30"/>
  <c r="D1754" i="30" l="1"/>
  <c r="A1755" i="30"/>
  <c r="D1755" i="30" l="1"/>
  <c r="A1756" i="30"/>
  <c r="A1757" i="30" l="1"/>
  <c r="D1756" i="30"/>
  <c r="A1758" i="30" l="1"/>
  <c r="D1757" i="30"/>
  <c r="D1758" i="30" l="1"/>
  <c r="A1759" i="30"/>
  <c r="D1759" i="30" l="1"/>
  <c r="A1760" i="30"/>
  <c r="A1761" i="30" l="1"/>
  <c r="D1760" i="30"/>
  <c r="A1762" i="30" l="1"/>
  <c r="D1761" i="30"/>
  <c r="D1762" i="30" l="1"/>
  <c r="A1763" i="30"/>
  <c r="D1763" i="30" l="1"/>
  <c r="A1764" i="30"/>
  <c r="A1765" i="30" l="1"/>
  <c r="D1764" i="30"/>
  <c r="A1766" i="30" l="1"/>
  <c r="D1765" i="30"/>
  <c r="D1766" i="30" l="1"/>
  <c r="A1767" i="30"/>
  <c r="D1767" i="30" l="1"/>
  <c r="A1768" i="30"/>
  <c r="A1769" i="30" l="1"/>
  <c r="D1768" i="30"/>
  <c r="A1770" i="30" l="1"/>
  <c r="D1769" i="30"/>
  <c r="D1770" i="30" l="1"/>
  <c r="A1771" i="30"/>
  <c r="D1771" i="30" l="1"/>
  <c r="A1772" i="30"/>
  <c r="A1773" i="30" l="1"/>
  <c r="D1772" i="30"/>
  <c r="A1774" i="30" l="1"/>
  <c r="D1773" i="30"/>
  <c r="D1774" i="30" l="1"/>
  <c r="A1775" i="30"/>
  <c r="D1775" i="30" l="1"/>
  <c r="A1776" i="30"/>
  <c r="A1777" i="30" l="1"/>
  <c r="D1776" i="30"/>
  <c r="A1778" i="30" l="1"/>
  <c r="D1777" i="30"/>
  <c r="D1778" i="30" l="1"/>
  <c r="A1779" i="30"/>
  <c r="D1779" i="30" l="1"/>
  <c r="A1780" i="30"/>
  <c r="A1781" i="30" l="1"/>
  <c r="D1780" i="30"/>
  <c r="A1782" i="30" l="1"/>
  <c r="D1781" i="30"/>
  <c r="D1782" i="30" l="1"/>
  <c r="A1783" i="30"/>
  <c r="D1783" i="30" l="1"/>
  <c r="A1784" i="30"/>
  <c r="A1785" i="30" l="1"/>
  <c r="D1784" i="30"/>
  <c r="A1786" i="30" l="1"/>
  <c r="D1785" i="30"/>
  <c r="D1786" i="30" l="1"/>
  <c r="A1787" i="30"/>
  <c r="D1787" i="30" l="1"/>
  <c r="A1788" i="30"/>
  <c r="A1789" i="30" l="1"/>
  <c r="D1788" i="30"/>
  <c r="A1790" i="30" l="1"/>
  <c r="D1789" i="30"/>
  <c r="D1790" i="30" l="1"/>
  <c r="A1791" i="30"/>
  <c r="D1791" i="30" l="1"/>
  <c r="A1792" i="30"/>
  <c r="A1793" i="30" l="1"/>
  <c r="D1792" i="30"/>
  <c r="A1794" i="30" l="1"/>
  <c r="D1793" i="30"/>
  <c r="D1794" i="30" l="1"/>
  <c r="A1795" i="30"/>
  <c r="D1795" i="30" l="1"/>
  <c r="A1796" i="30"/>
  <c r="A1797" i="30" l="1"/>
  <c r="D1796" i="30"/>
  <c r="A1798" i="30" l="1"/>
  <c r="D1797" i="30"/>
  <c r="D1798" i="30" l="1"/>
  <c r="A1799" i="30"/>
  <c r="D1799" i="30" l="1"/>
  <c r="A1800" i="30"/>
  <c r="A1801" i="30" l="1"/>
  <c r="D1800" i="30"/>
  <c r="A1802" i="30" l="1"/>
  <c r="D1801" i="30"/>
  <c r="D1802" i="30" l="1"/>
  <c r="A1803" i="30"/>
  <c r="D1803" i="30" l="1"/>
  <c r="A1804" i="30"/>
  <c r="A1805" i="30" l="1"/>
  <c r="D1804" i="30"/>
  <c r="A1806" i="30" l="1"/>
  <c r="D1805" i="30"/>
  <c r="D1806" i="30" l="1"/>
  <c r="A1807" i="30"/>
  <c r="D1807" i="30" l="1"/>
  <c r="A1808" i="30"/>
  <c r="A1809" i="30" l="1"/>
  <c r="D1808" i="30"/>
  <c r="A1810" i="30" l="1"/>
  <c r="D1809" i="30"/>
  <c r="D1810" i="30" l="1"/>
  <c r="A1811" i="30"/>
  <c r="D1811" i="30" l="1"/>
  <c r="A1812" i="30"/>
  <c r="A1813" i="30" l="1"/>
  <c r="D1812" i="30"/>
  <c r="A1814" i="30" l="1"/>
  <c r="D1813" i="30"/>
  <c r="D1814" i="30" l="1"/>
  <c r="A1815" i="30"/>
  <c r="D1815" i="30" l="1"/>
  <c r="A1816" i="30"/>
  <c r="A1817" i="30" l="1"/>
  <c r="D1816" i="30"/>
  <c r="A1818" i="30" l="1"/>
  <c r="D1817" i="30"/>
  <c r="D1818" i="30" l="1"/>
  <c r="A1819" i="30"/>
  <c r="D1819" i="30" l="1"/>
  <c r="A1820" i="30"/>
  <c r="A1821" i="30" l="1"/>
  <c r="D1820" i="30"/>
  <c r="A1822" i="30" l="1"/>
  <c r="D1821" i="30"/>
  <c r="D1822" i="30" l="1"/>
  <c r="A1823" i="30"/>
  <c r="D1823" i="30" l="1"/>
  <c r="A1824" i="30"/>
  <c r="A1825" i="30" l="1"/>
  <c r="D1824" i="30"/>
  <c r="A1826" i="30" l="1"/>
  <c r="D1825" i="30"/>
  <c r="D1826" i="30" l="1"/>
  <c r="A1827" i="30"/>
  <c r="D1827" i="30" l="1"/>
  <c r="A1828" i="30"/>
  <c r="A1829" i="30" l="1"/>
  <c r="D1828" i="30"/>
  <c r="A1830" i="30" l="1"/>
  <c r="D1829" i="30"/>
  <c r="D1830" i="30" l="1"/>
  <c r="A1831" i="30"/>
  <c r="D1831" i="30" l="1"/>
  <c r="A1832" i="30"/>
  <c r="A1833" i="30" l="1"/>
  <c r="D1832" i="30"/>
  <c r="A1834" i="30" l="1"/>
  <c r="D1833" i="30"/>
  <c r="D1834" i="30" l="1"/>
  <c r="A1835" i="30"/>
  <c r="D1835" i="30" l="1"/>
  <c r="A1836" i="30"/>
  <c r="A1837" i="30" l="1"/>
  <c r="D1836" i="30"/>
  <c r="A1838" i="30" l="1"/>
  <c r="D1837" i="30"/>
  <c r="D1838" i="30" l="1"/>
  <c r="A1839" i="30"/>
  <c r="D1839" i="30" l="1"/>
  <c r="A1840" i="30"/>
  <c r="A1841" i="30" l="1"/>
  <c r="D1840" i="30"/>
  <c r="A1842" i="30" l="1"/>
  <c r="D1841" i="30"/>
  <c r="D1842" i="30" l="1"/>
  <c r="A1843" i="30"/>
  <c r="D1843" i="30" l="1"/>
  <c r="A1844" i="30"/>
  <c r="A1845" i="30" l="1"/>
  <c r="D1844" i="30"/>
  <c r="A1846" i="30" l="1"/>
  <c r="D1845" i="30"/>
  <c r="D1846" i="30" l="1"/>
  <c r="A1847" i="30"/>
  <c r="D1847" i="30" l="1"/>
  <c r="A1848" i="30"/>
  <c r="A1849" i="30" l="1"/>
  <c r="D1848" i="30"/>
  <c r="A1850" i="30" l="1"/>
  <c r="D1849" i="30"/>
  <c r="D1850" i="30" l="1"/>
  <c r="A1851" i="30"/>
  <c r="D1851" i="30" l="1"/>
  <c r="A1852" i="30"/>
  <c r="A1853" i="30" l="1"/>
  <c r="D1852" i="30"/>
  <c r="A1854" i="30" l="1"/>
  <c r="D1853" i="30"/>
  <c r="D1854" i="30" l="1"/>
  <c r="A1855" i="30"/>
  <c r="D1855" i="30" l="1"/>
  <c r="A1856" i="30"/>
  <c r="A1857" i="30" l="1"/>
  <c r="D1856" i="30"/>
  <c r="A1858" i="30" l="1"/>
  <c r="D1857" i="30"/>
  <c r="D1858" i="30" l="1"/>
  <c r="A1859" i="30"/>
  <c r="D1859" i="30" l="1"/>
  <c r="A1860" i="30"/>
  <c r="A1861" i="30" l="1"/>
  <c r="D1860" i="30"/>
  <c r="A1862" i="30" l="1"/>
  <c r="D1861" i="30"/>
  <c r="D1862" i="30" l="1"/>
  <c r="A1863" i="30"/>
  <c r="D1863" i="30" l="1"/>
  <c r="A1864" i="30"/>
  <c r="A1865" i="30" l="1"/>
  <c r="D1864" i="30"/>
  <c r="A1866" i="30" l="1"/>
  <c r="D1865" i="30"/>
  <c r="D1866" i="30" l="1"/>
  <c r="A1867" i="30"/>
  <c r="D1867" i="30" l="1"/>
  <c r="A1868" i="30"/>
  <c r="A1869" i="30" l="1"/>
  <c r="D1868" i="30"/>
  <c r="A1870" i="30" l="1"/>
  <c r="D1869" i="30"/>
  <c r="D1870" i="30" l="1"/>
  <c r="A1871" i="30"/>
  <c r="D1871" i="30" l="1"/>
  <c r="A1872" i="30"/>
  <c r="A1873" i="30" l="1"/>
  <c r="D1872" i="30"/>
  <c r="A1874" i="30" l="1"/>
  <c r="D1873" i="30"/>
  <c r="D1874" i="30" l="1"/>
  <c r="A1875" i="30"/>
  <c r="D1875" i="30" l="1"/>
  <c r="A1876" i="30"/>
  <c r="A1877" i="30" l="1"/>
  <c r="D1876" i="30"/>
  <c r="A1878" i="30" l="1"/>
  <c r="D1877" i="30"/>
  <c r="D1878" i="30" l="1"/>
  <c r="A1879" i="30"/>
  <c r="D1879" i="30" l="1"/>
  <c r="A1880" i="30"/>
  <c r="A1881" i="30" l="1"/>
  <c r="D1880" i="30"/>
  <c r="A1882" i="30" l="1"/>
  <c r="D1881" i="30"/>
  <c r="D1882" i="30" l="1"/>
  <c r="A1883" i="30"/>
  <c r="D1883" i="30" l="1"/>
  <c r="A1884" i="30"/>
  <c r="A1885" i="30" l="1"/>
  <c r="D1884" i="30"/>
  <c r="A1886" i="30" l="1"/>
  <c r="D1885" i="30"/>
  <c r="D1886" i="30" l="1"/>
  <c r="A1887" i="30"/>
  <c r="A1888" i="30" l="1"/>
  <c r="D1887" i="30"/>
  <c r="A1889" i="30" l="1"/>
  <c r="D1888" i="30"/>
  <c r="D1889" i="30" l="1"/>
  <c r="A1890" i="30"/>
  <c r="D1890" i="30" l="1"/>
  <c r="A1891" i="30"/>
  <c r="A1892" i="30" l="1"/>
  <c r="D1891" i="30"/>
  <c r="A1893" i="30" l="1"/>
  <c r="D1892" i="30"/>
  <c r="D1893" i="30" l="1"/>
  <c r="A1894" i="30"/>
  <c r="D1894" i="30" l="1"/>
  <c r="A1895" i="30"/>
  <c r="A1896" i="30" l="1"/>
  <c r="D1895" i="30"/>
  <c r="A1897" i="30" l="1"/>
  <c r="D1896" i="30"/>
  <c r="D1897" i="30" l="1"/>
  <c r="A1898" i="30"/>
  <c r="D1898" i="30" l="1"/>
  <c r="A1899" i="30"/>
  <c r="A1900" i="30" l="1"/>
  <c r="D1899" i="30"/>
  <c r="A1901" i="30" l="1"/>
  <c r="D1900" i="30"/>
  <c r="D1901" i="30" l="1"/>
  <c r="A1902" i="30"/>
  <c r="D1902" i="30" l="1"/>
  <c r="A1903" i="30"/>
  <c r="A1904" i="30" l="1"/>
  <c r="D1903" i="30"/>
  <c r="A1905" i="30" l="1"/>
  <c r="D1904" i="30"/>
  <c r="D1905" i="30" l="1"/>
  <c r="A1906" i="30"/>
  <c r="D1906" i="30" l="1"/>
  <c r="A1907" i="30"/>
  <c r="A1908" i="30" l="1"/>
  <c r="D1907" i="30"/>
  <c r="A1909" i="30" l="1"/>
  <c r="D1908" i="30"/>
  <c r="D1909" i="30" l="1"/>
  <c r="A1910" i="30"/>
  <c r="D1910" i="30" l="1"/>
  <c r="A1911" i="30"/>
  <c r="A1912" i="30" l="1"/>
  <c r="D1911" i="30"/>
  <c r="A1913" i="30" l="1"/>
  <c r="D1912" i="30"/>
  <c r="D1913" i="30" l="1"/>
  <c r="A1914" i="30"/>
  <c r="D1914" i="30" l="1"/>
  <c r="A1915" i="30"/>
  <c r="A1916" i="30" l="1"/>
  <c r="D1915" i="30"/>
  <c r="A1917" i="30" l="1"/>
  <c r="D1916" i="30"/>
  <c r="D1917" i="30" l="1"/>
  <c r="A1918" i="30"/>
  <c r="D1918" i="30" l="1"/>
  <c r="A1919" i="30"/>
  <c r="A1920" i="30" l="1"/>
  <c r="D1919" i="30"/>
  <c r="A1921" i="30" l="1"/>
  <c r="D1920" i="30"/>
  <c r="D1921" i="30" l="1"/>
  <c r="A1922" i="30"/>
  <c r="D1922" i="30" l="1"/>
  <c r="A1923" i="30"/>
  <c r="A1924" i="30" l="1"/>
  <c r="D1923" i="30"/>
  <c r="A1925" i="30" l="1"/>
  <c r="D1924" i="30"/>
  <c r="D1925" i="30" l="1"/>
  <c r="A1926" i="30"/>
  <c r="D1926" i="30" l="1"/>
  <c r="A1927" i="30"/>
  <c r="A1928" i="30" l="1"/>
  <c r="D1927" i="30"/>
  <c r="A1929" i="30" l="1"/>
  <c r="D1928" i="30"/>
  <c r="D1929" i="30" l="1"/>
  <c r="A1930" i="30"/>
  <c r="D1930" i="30" l="1"/>
  <c r="A1931" i="30"/>
  <c r="A1932" i="30" l="1"/>
  <c r="D1931" i="30"/>
  <c r="A1933" i="30" l="1"/>
  <c r="D1932" i="30"/>
  <c r="D1933" i="30" l="1"/>
  <c r="A1934" i="30"/>
  <c r="D1934" i="30" l="1"/>
  <c r="A1935" i="30"/>
  <c r="A1936" i="30" l="1"/>
  <c r="D1935" i="30"/>
  <c r="A1937" i="30" l="1"/>
  <c r="D1936" i="30"/>
  <c r="D1937" i="30" l="1"/>
  <c r="A1938" i="30"/>
  <c r="D1938" i="30" l="1"/>
  <c r="A1939" i="30"/>
  <c r="A1940" i="30" l="1"/>
  <c r="D1939" i="30"/>
  <c r="A1941" i="30" l="1"/>
  <c r="D1940" i="30"/>
  <c r="D1941" i="30" l="1"/>
  <c r="A1942" i="30"/>
  <c r="D1942" i="30" l="1"/>
  <c r="A1943" i="30"/>
  <c r="A1944" i="30" l="1"/>
  <c r="D1943" i="30"/>
  <c r="A1945" i="30" l="1"/>
  <c r="D1944" i="30"/>
  <c r="D1945" i="30" l="1"/>
  <c r="A1946" i="30"/>
  <c r="D1946" i="30" l="1"/>
  <c r="A1947" i="30"/>
  <c r="A1948" i="30" l="1"/>
  <c r="D1947" i="30"/>
  <c r="A1949" i="30" l="1"/>
  <c r="D1948" i="30"/>
  <c r="D1949" i="30" l="1"/>
  <c r="A1950" i="30"/>
  <c r="D1950" i="30" l="1"/>
  <c r="A1951" i="30"/>
  <c r="A1952" i="30" l="1"/>
  <c r="D1951" i="30"/>
  <c r="A1953" i="30" l="1"/>
  <c r="D1952" i="30"/>
  <c r="D1953" i="30" l="1"/>
  <c r="A1954" i="30"/>
  <c r="D1954" i="30" l="1"/>
  <c r="A1955" i="30"/>
  <c r="A1956" i="30" l="1"/>
  <c r="D1955" i="30"/>
  <c r="A1957" i="30" l="1"/>
  <c r="D1956" i="30"/>
  <c r="D1957" i="30" l="1"/>
  <c r="A1958" i="30"/>
  <c r="D1958" i="30" l="1"/>
  <c r="A1959" i="30"/>
  <c r="A1960" i="30" l="1"/>
  <c r="D1959" i="30"/>
  <c r="A1961" i="30" l="1"/>
  <c r="D1960" i="30"/>
  <c r="D1961" i="30" l="1"/>
  <c r="A1962" i="30"/>
  <c r="D1962" i="30" l="1"/>
  <c r="A1963" i="30"/>
  <c r="A1964" i="30" l="1"/>
  <c r="D1963" i="30"/>
  <c r="A1965" i="30" l="1"/>
  <c r="D1964" i="30"/>
  <c r="D1965" i="30" l="1"/>
  <c r="A1966" i="30"/>
  <c r="D1966" i="30" l="1"/>
  <c r="A1967" i="30"/>
  <c r="A1968" i="30" l="1"/>
  <c r="D1967" i="30"/>
  <c r="A1969" i="30" l="1"/>
  <c r="D1968" i="30"/>
  <c r="D1969" i="30" l="1"/>
  <c r="A1970" i="30"/>
  <c r="D1970" i="30" l="1"/>
  <c r="A1971" i="30"/>
  <c r="A1972" i="30" l="1"/>
  <c r="D1971" i="30"/>
  <c r="A1973" i="30" l="1"/>
  <c r="D1972" i="30"/>
  <c r="D1973" i="30" l="1"/>
  <c r="A1974" i="30"/>
  <c r="D1974" i="30" l="1"/>
  <c r="A1975" i="30"/>
  <c r="A1976" i="30" l="1"/>
  <c r="D1975" i="30"/>
  <c r="A1977" i="30" l="1"/>
  <c r="D1976" i="30"/>
  <c r="D1977" i="30" l="1"/>
  <c r="A1978" i="30"/>
  <c r="D1978" i="30" l="1"/>
  <c r="A1979" i="30"/>
  <c r="A1980" i="30" l="1"/>
  <c r="D1979" i="30"/>
  <c r="A1981" i="30" l="1"/>
  <c r="D1980" i="30"/>
  <c r="D1981" i="30" l="1"/>
  <c r="A1982" i="30"/>
  <c r="D1982" i="30" l="1"/>
  <c r="A1983" i="30"/>
  <c r="A1984" i="30" l="1"/>
  <c r="D1983" i="30"/>
  <c r="A1985" i="30" l="1"/>
  <c r="D1984" i="30"/>
  <c r="D1985" i="30" l="1"/>
  <c r="A1986" i="30"/>
  <c r="D1986" i="30" l="1"/>
  <c r="A1987" i="30"/>
  <c r="A1988" i="30" l="1"/>
  <c r="D1987" i="30"/>
  <c r="A1989" i="30" l="1"/>
  <c r="D1988" i="30"/>
  <c r="D1989" i="30" l="1"/>
  <c r="A1990" i="30"/>
  <c r="D1990" i="30" l="1"/>
  <c r="A1991" i="30"/>
  <c r="A1992" i="30" l="1"/>
  <c r="D1991" i="30"/>
  <c r="A1993" i="30" l="1"/>
  <c r="D1992" i="30"/>
  <c r="D1993" i="30" l="1"/>
  <c r="A1994" i="30"/>
  <c r="D1994" i="30" l="1"/>
  <c r="A1995" i="30"/>
  <c r="A1996" i="30" l="1"/>
  <c r="D1995" i="30"/>
  <c r="A1997" i="30" l="1"/>
  <c r="D1996" i="30"/>
  <c r="D1997" i="30" l="1"/>
  <c r="A1998" i="30"/>
  <c r="D1998" i="30" l="1"/>
  <c r="A1999" i="30"/>
  <c r="A2000" i="30" l="1"/>
  <c r="D1999" i="30"/>
  <c r="A2001" i="30" l="1"/>
  <c r="D2000" i="30"/>
  <c r="D2001" i="30" l="1"/>
  <c r="A2002" i="30"/>
  <c r="D2002" i="30" l="1"/>
  <c r="A2003" i="30"/>
  <c r="A2004" i="30" l="1"/>
  <c r="D2003" i="30"/>
  <c r="A2005" i="30" l="1"/>
  <c r="D2004" i="30"/>
  <c r="D2005" i="30" l="1"/>
  <c r="A2006" i="30"/>
  <c r="D2006" i="30" l="1"/>
  <c r="A2007" i="30"/>
  <c r="A2008" i="30" l="1"/>
  <c r="D2007" i="30"/>
  <c r="A2009" i="30" l="1"/>
  <c r="D2008" i="30"/>
  <c r="D2009" i="30" l="1"/>
  <c r="A2010" i="30"/>
  <c r="D2010" i="30" l="1"/>
  <c r="A2011" i="30"/>
  <c r="A2012" i="30" l="1"/>
  <c r="D2011" i="30"/>
  <c r="A2013" i="30" l="1"/>
  <c r="D2012" i="30"/>
  <c r="D2013" i="30" l="1"/>
  <c r="A2014" i="30"/>
  <c r="D2014" i="30" l="1"/>
  <c r="A2015" i="30"/>
  <c r="A2016" i="30" l="1"/>
  <c r="D2015" i="30"/>
  <c r="A2017" i="30" l="1"/>
  <c r="D2016" i="30"/>
  <c r="D2017" i="30" l="1"/>
  <c r="A2018" i="30"/>
  <c r="D2018" i="30" l="1"/>
  <c r="A2019" i="30"/>
  <c r="A2020" i="30" l="1"/>
  <c r="D2019" i="30"/>
  <c r="A2021" i="30" l="1"/>
  <c r="D2020" i="30"/>
  <c r="D2021" i="30" l="1"/>
  <c r="A2022" i="30"/>
  <c r="D2022" i="30" l="1"/>
  <c r="A2023" i="30"/>
  <c r="A2024" i="30" l="1"/>
  <c r="D2023" i="30"/>
  <c r="A2025" i="30" l="1"/>
  <c r="D2024" i="30"/>
  <c r="D2025" i="30" l="1"/>
  <c r="A2026" i="30"/>
  <c r="D2026" i="30" l="1"/>
  <c r="A2027" i="30"/>
  <c r="A2028" i="30" l="1"/>
  <c r="D2027" i="30"/>
  <c r="A2029" i="30" l="1"/>
  <c r="D2028" i="30"/>
  <c r="D2029" i="30" l="1"/>
  <c r="A2030" i="30"/>
  <c r="D2030" i="30" l="1"/>
  <c r="A2031" i="30"/>
  <c r="A2032" i="30" l="1"/>
  <c r="D2031" i="30"/>
  <c r="A2033" i="30" l="1"/>
  <c r="D2032" i="30"/>
  <c r="D2033" i="30" l="1"/>
  <c r="A2034" i="30"/>
  <c r="D2034" i="30" l="1"/>
  <c r="A2035" i="30"/>
  <c r="A2036" i="30" l="1"/>
  <c r="D2035" i="30"/>
  <c r="A2037" i="30" l="1"/>
  <c r="D2036" i="30"/>
  <c r="D2037" i="30" l="1"/>
  <c r="A2038" i="30"/>
  <c r="D2038" i="30" l="1"/>
  <c r="A2039" i="30"/>
  <c r="A2040" i="30" l="1"/>
  <c r="D2039" i="30"/>
  <c r="A2041" i="30" l="1"/>
  <c r="D2040" i="30"/>
  <c r="D2041" i="30" l="1"/>
  <c r="A2042" i="30"/>
  <c r="D2042" i="30" l="1"/>
  <c r="A2043" i="30"/>
  <c r="A2044" i="30" l="1"/>
  <c r="D2043" i="30"/>
  <c r="A2045" i="30" l="1"/>
  <c r="D2044" i="30"/>
  <c r="D2045" i="30" l="1"/>
  <c r="A2046" i="30"/>
  <c r="D2046" i="30" l="1"/>
  <c r="A2047" i="30"/>
  <c r="A2048" i="30" l="1"/>
  <c r="D2047" i="30"/>
  <c r="A2049" i="30" l="1"/>
  <c r="D2048" i="30"/>
  <c r="D2049" i="30" l="1"/>
  <c r="A2050" i="30"/>
  <c r="D2050" i="30" l="1"/>
  <c r="A2051" i="30"/>
  <c r="A2052" i="30" l="1"/>
  <c r="D2051" i="30"/>
  <c r="A2053" i="30" l="1"/>
  <c r="D2052" i="30"/>
  <c r="D2053" i="30" l="1"/>
  <c r="A2054" i="30"/>
  <c r="D2054" i="30" l="1"/>
  <c r="A2055" i="30"/>
  <c r="A2056" i="30" l="1"/>
  <c r="D2055" i="30"/>
  <c r="A2057" i="30" l="1"/>
  <c r="D2056" i="30"/>
  <c r="D2057" i="30" l="1"/>
  <c r="A2058" i="30"/>
  <c r="D2058" i="30" l="1"/>
  <c r="A2059" i="30"/>
  <c r="A2060" i="30" l="1"/>
  <c r="D2059" i="30"/>
  <c r="A2061" i="30" l="1"/>
  <c r="D2060" i="30"/>
  <c r="D2061" i="30" l="1"/>
  <c r="A2062" i="30"/>
  <c r="D2062" i="30" l="1"/>
  <c r="A2063" i="30"/>
  <c r="A2064" i="30" l="1"/>
  <c r="D2063" i="30"/>
  <c r="A2065" i="30" l="1"/>
  <c r="D2064" i="30"/>
  <c r="D2065" i="30" l="1"/>
  <c r="A2066" i="30"/>
  <c r="D2066" i="30" l="1"/>
  <c r="A2067" i="30"/>
  <c r="A2068" i="30" l="1"/>
  <c r="D2067" i="30"/>
  <c r="A2069" i="30" l="1"/>
  <c r="D2068" i="30"/>
  <c r="D2069" i="30" l="1"/>
  <c r="A2070" i="30"/>
  <c r="D2070" i="30" l="1"/>
  <c r="A2071" i="30"/>
  <c r="A2072" i="30" l="1"/>
  <c r="D2071" i="30"/>
  <c r="A2073" i="30" l="1"/>
  <c r="D2072" i="30"/>
  <c r="D2073" i="30" l="1"/>
  <c r="A2074" i="30"/>
  <c r="D2074" i="30" l="1"/>
  <c r="A2075" i="30"/>
  <c r="A2076" i="30" l="1"/>
  <c r="D2075" i="30"/>
  <c r="A2077" i="30" l="1"/>
  <c r="D2076" i="30"/>
  <c r="D2077" i="30" l="1"/>
  <c r="A2078" i="30"/>
  <c r="D2078" i="30" l="1"/>
  <c r="A2079" i="30"/>
  <c r="A2080" i="30" l="1"/>
  <c r="D2079" i="30"/>
  <c r="A2081" i="30" l="1"/>
  <c r="D2080" i="30"/>
  <c r="D2081" i="30" l="1"/>
  <c r="A2082" i="30"/>
  <c r="D2082" i="30" l="1"/>
  <c r="A2083" i="30"/>
  <c r="A2084" i="30" l="1"/>
  <c r="D2083" i="30"/>
  <c r="A2085" i="30" l="1"/>
  <c r="D2084" i="30"/>
  <c r="D2085" i="30" l="1"/>
  <c r="A2086" i="30"/>
  <c r="D2086" i="30" l="1"/>
  <c r="A2087" i="30"/>
  <c r="A2088" i="30" l="1"/>
  <c r="D2087" i="30"/>
  <c r="A2089" i="30" l="1"/>
  <c r="D2088" i="30"/>
  <c r="D2089" i="30" l="1"/>
  <c r="A2090" i="30"/>
  <c r="D2090" i="30" l="1"/>
  <c r="A2091" i="30"/>
  <c r="A2092" i="30" l="1"/>
  <c r="D2091" i="30"/>
  <c r="A2093" i="30" l="1"/>
  <c r="D2092" i="30"/>
  <c r="D2093" i="30" l="1"/>
  <c r="A2094" i="30"/>
  <c r="D2094" i="30" l="1"/>
  <c r="A2095" i="30"/>
  <c r="A2096" i="30" l="1"/>
  <c r="D2095" i="30"/>
  <c r="A2097" i="30" l="1"/>
  <c r="D2096" i="30"/>
  <c r="D2097" i="30" l="1"/>
  <c r="A2098" i="30"/>
  <c r="D2098" i="30" l="1"/>
  <c r="A2099" i="30"/>
  <c r="A2100" i="30" l="1"/>
  <c r="D2099" i="30"/>
  <c r="A2101" i="30" l="1"/>
  <c r="D2100" i="30"/>
  <c r="D2101" i="30" l="1"/>
  <c r="A2102" i="30"/>
  <c r="D2102" i="30" l="1"/>
  <c r="A2103" i="30"/>
  <c r="A2104" i="30" l="1"/>
  <c r="D2103" i="30"/>
  <c r="A2105" i="30" l="1"/>
  <c r="D2104" i="30"/>
  <c r="D2105" i="30" l="1"/>
  <c r="A2106" i="30"/>
  <c r="D2106" i="30" l="1"/>
  <c r="A2107" i="30"/>
  <c r="A2108" i="30" l="1"/>
  <c r="D2107" i="30"/>
  <c r="A2109" i="30" l="1"/>
  <c r="D2108" i="30"/>
  <c r="D2109" i="30" l="1"/>
  <c r="A2110" i="30"/>
  <c r="D2110" i="30" l="1"/>
  <c r="A2111" i="30"/>
  <c r="A2112" i="30" l="1"/>
  <c r="D2111" i="30"/>
  <c r="A2113" i="30" l="1"/>
  <c r="D2112" i="30"/>
  <c r="D2113" i="30" l="1"/>
  <c r="A2114" i="30"/>
  <c r="D2114" i="30" l="1"/>
  <c r="A2115" i="30"/>
  <c r="A2116" i="30" l="1"/>
  <c r="D2115" i="30"/>
  <c r="A2117" i="30" l="1"/>
  <c r="D2116" i="30"/>
  <c r="D2117" i="30" l="1"/>
  <c r="A2118" i="30"/>
  <c r="D2118" i="30" l="1"/>
  <c r="A2119" i="30"/>
  <c r="A2120" i="30" l="1"/>
  <c r="D2119" i="30"/>
  <c r="A2121" i="30" l="1"/>
  <c r="D2120" i="30"/>
  <c r="D2121" i="30" l="1"/>
  <c r="A2122" i="30"/>
  <c r="D2122" i="30" l="1"/>
  <c r="A2123" i="30"/>
  <c r="A2124" i="30" l="1"/>
  <c r="D2123" i="30"/>
  <c r="A2125" i="30" l="1"/>
  <c r="D2124" i="30"/>
  <c r="D2125" i="30" l="1"/>
  <c r="A2126" i="30"/>
  <c r="D2126" i="30" l="1"/>
  <c r="A2127" i="30"/>
  <c r="A2128" i="30" l="1"/>
  <c r="D2127" i="30"/>
  <c r="A2129" i="30" l="1"/>
  <c r="D2128" i="30"/>
  <c r="D2129" i="30" l="1"/>
  <c r="A2130" i="30"/>
  <c r="D2130" i="30" l="1"/>
  <c r="A2131" i="30"/>
  <c r="A2132" i="30" l="1"/>
  <c r="D2131" i="30"/>
  <c r="A2133" i="30" l="1"/>
  <c r="D2132" i="30"/>
  <c r="D2133" i="30" l="1"/>
  <c r="A2134" i="30"/>
  <c r="D2134" i="30" l="1"/>
  <c r="A2135" i="30"/>
  <c r="A2136" i="30" l="1"/>
  <c r="D2135" i="30"/>
  <c r="A2137" i="30" l="1"/>
  <c r="D2136" i="30"/>
  <c r="D2137" i="30" l="1"/>
  <c r="A2138" i="30"/>
  <c r="D2138" i="30" l="1"/>
  <c r="A2139" i="30"/>
  <c r="A2140" i="30" l="1"/>
  <c r="D2139" i="30"/>
  <c r="A2141" i="30" l="1"/>
  <c r="D2140" i="30"/>
  <c r="D2141" i="30" l="1"/>
  <c r="A2142" i="30"/>
  <c r="D2142" i="30" l="1"/>
  <c r="A2143" i="30"/>
  <c r="A2144" i="30" l="1"/>
  <c r="D2143" i="30"/>
  <c r="A2145" i="30" l="1"/>
  <c r="D2144" i="30"/>
  <c r="D2145" i="30" l="1"/>
  <c r="A2146" i="30"/>
  <c r="D2146" i="30" l="1"/>
  <c r="A2147" i="30"/>
  <c r="A2148" i="30" l="1"/>
  <c r="D2147" i="30"/>
  <c r="A2149" i="30" l="1"/>
  <c r="D2148" i="30"/>
  <c r="D2149" i="30" l="1"/>
  <c r="A2150" i="30"/>
  <c r="D2150" i="30" l="1"/>
  <c r="A2151" i="30"/>
  <c r="A2152" i="30" l="1"/>
  <c r="D2151" i="30"/>
  <c r="A2153" i="30" l="1"/>
  <c r="D2152" i="30"/>
  <c r="D2153" i="30" l="1"/>
  <c r="A2154" i="30"/>
  <c r="D2154" i="30" l="1"/>
  <c r="A2155" i="30"/>
  <c r="A2156" i="30" l="1"/>
  <c r="D2155" i="30"/>
  <c r="A2157" i="30" l="1"/>
  <c r="D2156" i="30"/>
  <c r="D2157" i="30" l="1"/>
  <c r="A2158" i="30"/>
  <c r="D2158" i="30" l="1"/>
  <c r="A2159" i="30"/>
  <c r="A2160" i="30" l="1"/>
  <c r="D2159" i="30"/>
  <c r="A2161" i="30" l="1"/>
  <c r="D2160" i="30"/>
  <c r="D2161" i="30" l="1"/>
  <c r="A2162" i="30"/>
  <c r="D2162" i="30" l="1"/>
  <c r="A2163" i="30"/>
  <c r="A2164" i="30" l="1"/>
  <c r="D2163" i="30"/>
  <c r="D2164" i="30" l="1"/>
  <c r="A2165" i="30"/>
  <c r="D2165" i="30" l="1"/>
  <c r="A2166" i="30"/>
  <c r="A2167" i="30" l="1"/>
  <c r="D2166" i="30"/>
  <c r="A2168" i="30" l="1"/>
  <c r="D2167" i="30"/>
  <c r="D2168" i="30" l="1"/>
  <c r="A2169" i="30"/>
  <c r="D2169" i="30" l="1"/>
  <c r="A2170" i="30"/>
  <c r="A2171" i="30" l="1"/>
  <c r="D2170" i="30"/>
  <c r="A2172" i="30" l="1"/>
  <c r="D2171" i="30"/>
  <c r="D2172" i="30" l="1"/>
  <c r="A2173" i="30"/>
  <c r="D2173" i="30" l="1"/>
  <c r="A2174" i="30"/>
  <c r="A2175" i="30" l="1"/>
  <c r="D2174" i="30"/>
  <c r="A2176" i="30" l="1"/>
  <c r="D2175" i="30"/>
  <c r="D2176" i="30" l="1"/>
  <c r="A2177" i="30"/>
  <c r="D2177" i="30" l="1"/>
  <c r="A2178" i="30"/>
  <c r="A2179" i="30" l="1"/>
  <c r="D2178" i="30"/>
  <c r="A2180" i="30" l="1"/>
  <c r="D2179" i="30"/>
  <c r="D2180" i="30" l="1"/>
  <c r="A2181" i="30"/>
  <c r="D2181" i="30" l="1"/>
  <c r="A2182" i="30"/>
  <c r="A2183" i="30" l="1"/>
  <c r="D2182" i="30"/>
  <c r="A2184" i="30" l="1"/>
  <c r="D2183" i="30"/>
  <c r="D2184" i="30" l="1"/>
  <c r="A2185" i="30"/>
  <c r="D2185" i="30" l="1"/>
  <c r="A2186" i="30"/>
  <c r="A2187" i="30" l="1"/>
  <c r="D2186" i="30"/>
  <c r="A2188" i="30" l="1"/>
  <c r="D2187" i="30"/>
  <c r="D2188" i="30" l="1"/>
  <c r="A2189" i="30"/>
  <c r="D2189" i="30" l="1"/>
  <c r="A2190" i="30"/>
  <c r="A2191" i="30" l="1"/>
  <c r="D2190" i="30"/>
  <c r="A2192" i="30" l="1"/>
  <c r="D2191" i="30"/>
  <c r="D2192" i="30" l="1"/>
  <c r="A2193" i="30"/>
  <c r="D2193" i="30" l="1"/>
  <c r="A2194" i="30"/>
  <c r="A2195" i="30" l="1"/>
  <c r="D2194" i="30"/>
  <c r="I2194" i="30" s="1"/>
  <c r="A2196" i="30" l="1"/>
  <c r="D2195" i="30"/>
  <c r="A2197" i="30" l="1"/>
  <c r="D2196" i="30"/>
  <c r="D2197" i="30" l="1"/>
  <c r="A2198" i="30"/>
  <c r="D2198" i="30" l="1"/>
  <c r="A2199" i="30"/>
  <c r="A2200" i="30" l="1"/>
  <c r="D2199" i="30"/>
  <c r="A2201" i="30" l="1"/>
  <c r="D2200" i="30"/>
  <c r="D2201" i="30" l="1"/>
  <c r="A2202" i="30"/>
  <c r="D2202" i="30" l="1"/>
  <c r="A2203" i="30"/>
  <c r="A2204" i="30" l="1"/>
  <c r="D2203" i="30"/>
  <c r="A2205" i="30" l="1"/>
  <c r="D2204" i="30"/>
  <c r="D2205" i="30" l="1"/>
  <c r="A2206" i="30"/>
  <c r="D2206" i="30" l="1"/>
  <c r="A2207" i="30"/>
  <c r="A2208" i="30" l="1"/>
  <c r="D2207" i="30"/>
  <c r="A2209" i="30" l="1"/>
  <c r="D2208" i="30"/>
  <c r="D2209" i="30" l="1"/>
  <c r="A2210" i="30"/>
  <c r="D2210" i="30" l="1"/>
  <c r="A2211" i="30"/>
  <c r="A2212" i="30" l="1"/>
  <c r="D2211" i="30"/>
  <c r="A2213" i="30" l="1"/>
  <c r="D2212" i="30"/>
  <c r="D2213" i="30" l="1"/>
  <c r="A2214" i="30"/>
  <c r="D2214" i="30" l="1"/>
  <c r="A2215" i="30"/>
  <c r="A2216" i="30" l="1"/>
  <c r="D2215" i="30"/>
  <c r="A2217" i="30" l="1"/>
  <c r="D2216" i="30"/>
  <c r="D2217" i="30" l="1"/>
  <c r="A2218" i="30"/>
  <c r="D2218" i="30" l="1"/>
  <c r="A2219" i="30"/>
  <c r="A2220" i="30" l="1"/>
  <c r="D2219" i="30"/>
  <c r="A2221" i="30" l="1"/>
  <c r="D2220" i="30"/>
  <c r="D2221" i="30" l="1"/>
  <c r="A2222" i="30"/>
  <c r="D2222" i="30" l="1"/>
  <c r="A2223" i="30"/>
  <c r="A2224" i="30" l="1"/>
  <c r="D2223" i="30"/>
  <c r="A2225" i="30" l="1"/>
  <c r="D2224" i="30"/>
  <c r="D2225" i="30" l="1"/>
  <c r="A2226" i="30"/>
  <c r="D2226" i="30" l="1"/>
  <c r="A2227" i="30"/>
  <c r="A2228" i="30" l="1"/>
  <c r="D2227" i="30"/>
  <c r="A2229" i="30" l="1"/>
  <c r="D2228" i="30"/>
  <c r="D2229" i="30" l="1"/>
  <c r="A2230" i="30"/>
  <c r="D2230" i="30" l="1"/>
  <c r="A2231" i="30"/>
  <c r="A2232" i="30" l="1"/>
  <c r="D2231" i="30"/>
  <c r="A2233" i="30" l="1"/>
  <c r="D2232" i="30"/>
  <c r="D2233" i="30" l="1"/>
  <c r="A2234" i="30"/>
  <c r="D2234" i="30" l="1"/>
  <c r="A2235" i="30"/>
  <c r="A2236" i="30" l="1"/>
  <c r="D2235" i="30"/>
  <c r="A2237" i="30" l="1"/>
  <c r="D2236" i="30"/>
  <c r="D2237" i="30" l="1"/>
  <c r="A2238" i="30"/>
  <c r="D2238" i="30" l="1"/>
  <c r="A2239" i="30"/>
  <c r="A2240" i="30" l="1"/>
  <c r="D2239" i="30"/>
  <c r="A2241" i="30" l="1"/>
  <c r="D2240" i="30"/>
  <c r="D2241" i="30" l="1"/>
  <c r="A2242" i="30"/>
  <c r="D2242" i="30" l="1"/>
  <c r="A2243" i="30"/>
  <c r="A2244" i="30" l="1"/>
  <c r="D2243" i="30"/>
  <c r="A2245" i="30" l="1"/>
  <c r="D2244" i="30"/>
  <c r="D2245" i="30" l="1"/>
  <c r="A2246" i="30"/>
  <c r="D2246" i="30" l="1"/>
  <c r="A2247" i="30"/>
  <c r="A2248" i="30" l="1"/>
  <c r="D2247" i="30"/>
  <c r="A2249" i="30" l="1"/>
  <c r="D2248" i="30"/>
  <c r="D2249" i="30" l="1"/>
  <c r="A2250" i="30"/>
  <c r="D2250" i="30" l="1"/>
  <c r="A2251" i="30"/>
  <c r="A2252" i="30" l="1"/>
  <c r="D2251" i="30"/>
  <c r="A2253" i="30" l="1"/>
  <c r="D2252" i="30"/>
  <c r="D2253" i="30" l="1"/>
  <c r="A2254" i="30"/>
  <c r="D2254" i="30" l="1"/>
  <c r="A2255" i="30"/>
  <c r="A2256" i="30" l="1"/>
  <c r="D2255" i="30"/>
  <c r="A2257" i="30" l="1"/>
  <c r="D2256" i="30"/>
  <c r="D2257" i="30" l="1"/>
  <c r="A2258" i="30"/>
  <c r="D2258" i="30" l="1"/>
  <c r="A2259" i="30"/>
  <c r="A2260" i="30" l="1"/>
  <c r="D2259" i="30"/>
  <c r="A2261" i="30" l="1"/>
  <c r="D2260" i="30"/>
  <c r="D2261" i="30" l="1"/>
  <c r="A2262" i="30"/>
  <c r="D2262" i="30" l="1"/>
  <c r="A2263" i="30"/>
  <c r="A2264" i="30" l="1"/>
  <c r="D2263" i="30"/>
  <c r="A2265" i="30" l="1"/>
  <c r="D2264" i="30"/>
  <c r="D2265" i="30" l="1"/>
  <c r="A2266" i="30"/>
  <c r="D2266" i="30" l="1"/>
  <c r="A2267" i="30"/>
  <c r="A2268" i="30" l="1"/>
  <c r="D2267" i="30"/>
  <c r="A2269" i="30" l="1"/>
  <c r="D2268" i="30"/>
  <c r="D2269" i="30" l="1"/>
  <c r="A2270" i="30"/>
  <c r="D2270" i="30" l="1"/>
  <c r="A2271" i="30"/>
  <c r="A2272" i="30" l="1"/>
  <c r="D2271" i="30"/>
  <c r="A2273" i="30" l="1"/>
  <c r="D2272" i="30"/>
  <c r="D2273" i="30" l="1"/>
  <c r="A2274" i="30"/>
  <c r="D2274" i="30" l="1"/>
  <c r="A2275" i="30"/>
  <c r="A2276" i="30" l="1"/>
  <c r="D2275" i="30"/>
  <c r="A2277" i="30" l="1"/>
  <c r="D2276" i="30"/>
  <c r="D2277" i="30" l="1"/>
  <c r="A2278" i="30"/>
  <c r="D2278" i="30" l="1"/>
  <c r="A2279" i="30"/>
  <c r="A2280" i="30" l="1"/>
  <c r="D2279" i="30"/>
  <c r="A2281" i="30" l="1"/>
  <c r="D2280" i="30"/>
  <c r="D2281" i="30" l="1"/>
  <c r="A2282" i="30"/>
  <c r="D2282" i="30" l="1"/>
  <c r="A2283" i="30"/>
  <c r="A2284" i="30" l="1"/>
  <c r="D2283" i="30"/>
  <c r="A2285" i="30" l="1"/>
  <c r="D2284" i="30"/>
  <c r="D2285" i="30" l="1"/>
  <c r="A2286" i="30"/>
  <c r="D2286" i="30" l="1"/>
  <c r="A2287" i="30"/>
  <c r="A2288" i="30" l="1"/>
  <c r="D2287" i="30"/>
  <c r="A2289" i="30" l="1"/>
  <c r="D2288" i="30"/>
  <c r="D2289" i="30" l="1"/>
  <c r="A2290" i="30"/>
  <c r="D2290" i="30" l="1"/>
  <c r="A2291" i="30"/>
  <c r="A2292" i="30" l="1"/>
  <c r="D2291" i="30"/>
  <c r="A2293" i="30" l="1"/>
  <c r="D2292" i="30"/>
  <c r="D2293" i="30" l="1"/>
  <c r="A2294" i="30"/>
  <c r="D2294" i="30" l="1"/>
  <c r="A2295" i="30"/>
  <c r="A2296" i="30" l="1"/>
  <c r="D2295" i="30"/>
  <c r="A2297" i="30" l="1"/>
  <c r="D2296" i="30"/>
  <c r="D2297" i="30" l="1"/>
  <c r="A2298" i="30"/>
  <c r="D2298" i="30" l="1"/>
  <c r="A2299" i="30"/>
  <c r="A2300" i="30" l="1"/>
  <c r="D2299" i="30"/>
  <c r="A2301" i="30" l="1"/>
  <c r="D2300" i="30"/>
  <c r="D2301" i="30" l="1"/>
  <c r="A2302" i="30"/>
  <c r="D2302" i="30" l="1"/>
  <c r="A2303" i="30"/>
  <c r="A2304" i="30" l="1"/>
  <c r="D2303" i="30"/>
  <c r="A2305" i="30" l="1"/>
  <c r="D2304" i="30"/>
  <c r="D2305" i="30" l="1"/>
  <c r="A2306" i="30"/>
  <c r="D2306" i="30" l="1"/>
  <c r="A2307" i="30"/>
  <c r="A2308" i="30" l="1"/>
  <c r="D2307" i="30"/>
  <c r="A2309" i="30" l="1"/>
  <c r="D2308" i="30"/>
  <c r="D2309" i="30" l="1"/>
  <c r="A2310" i="30"/>
  <c r="D2310" i="30" l="1"/>
  <c r="A2311" i="30"/>
  <c r="A2312" i="30" l="1"/>
  <c r="D2311" i="30"/>
  <c r="A2313" i="30" l="1"/>
  <c r="D2312" i="30"/>
  <c r="D2313" i="30" l="1"/>
  <c r="A2314" i="30"/>
  <c r="D2314" i="30" l="1"/>
  <c r="A2315" i="30"/>
  <c r="A2316" i="30" l="1"/>
  <c r="D2315" i="30"/>
  <c r="A2317" i="30" l="1"/>
  <c r="D2316" i="30"/>
  <c r="D2317" i="30" l="1"/>
  <c r="A2318" i="30"/>
  <c r="D2318" i="30" l="1"/>
  <c r="A2319" i="30"/>
  <c r="A2320" i="30" l="1"/>
  <c r="D2319" i="30"/>
  <c r="A2321" i="30" l="1"/>
  <c r="D2320" i="30"/>
  <c r="D2321" i="30" l="1"/>
  <c r="A2322" i="30"/>
  <c r="D2322" i="30" l="1"/>
  <c r="A2323" i="30"/>
  <c r="A2324" i="30" l="1"/>
  <c r="D2323" i="30"/>
  <c r="A2325" i="30" l="1"/>
  <c r="D2324" i="30"/>
  <c r="D2325" i="30" l="1"/>
  <c r="A2326" i="30"/>
  <c r="D2326" i="30" l="1"/>
  <c r="A2327" i="30"/>
  <c r="A2328" i="30" l="1"/>
  <c r="D2327" i="30"/>
  <c r="A2329" i="30" l="1"/>
  <c r="D2328" i="30"/>
  <c r="D2329" i="30" l="1"/>
  <c r="A2330" i="30"/>
  <c r="D2330" i="30" l="1"/>
  <c r="A2331" i="30"/>
  <c r="A2332" i="30" l="1"/>
  <c r="D2331" i="30"/>
  <c r="A2333" i="30" l="1"/>
  <c r="D2332" i="30"/>
  <c r="D2333" i="30" l="1"/>
  <c r="A2334" i="30"/>
  <c r="D2334" i="30" l="1"/>
  <c r="A2335" i="30"/>
  <c r="A2336" i="30" l="1"/>
  <c r="D2335" i="30"/>
  <c r="A2337" i="30" l="1"/>
  <c r="D2336" i="30"/>
  <c r="D2337" i="30" l="1"/>
  <c r="A2338" i="30"/>
  <c r="D2338" i="30" l="1"/>
  <c r="A2339" i="30"/>
  <c r="A2340" i="30" l="1"/>
  <c r="D2339" i="30"/>
  <c r="A2341" i="30" l="1"/>
  <c r="D2340" i="30"/>
  <c r="D2341" i="30" l="1"/>
  <c r="A2342" i="30"/>
  <c r="D2342" i="30" l="1"/>
  <c r="A2343" i="30"/>
  <c r="A2344" i="30" l="1"/>
  <c r="D2343" i="30"/>
  <c r="A2345" i="30" l="1"/>
  <c r="D2344" i="30"/>
  <c r="D2345" i="30" l="1"/>
  <c r="A2346" i="30"/>
  <c r="D2346" i="30" l="1"/>
  <c r="A2347" i="30"/>
  <c r="A2348" i="30" l="1"/>
  <c r="D2347" i="30"/>
  <c r="A2349" i="30" l="1"/>
  <c r="D2348" i="30"/>
  <c r="D2349" i="30" l="1"/>
  <c r="A2350" i="30"/>
  <c r="D2350" i="30" l="1"/>
  <c r="A2351" i="30"/>
  <c r="A2352" i="30" l="1"/>
  <c r="D2351" i="30"/>
  <c r="A2353" i="30" l="1"/>
  <c r="D2352" i="30"/>
  <c r="D2353" i="30" l="1"/>
  <c r="A2354" i="30"/>
  <c r="D2354" i="30" l="1"/>
  <c r="A2355" i="30"/>
  <c r="A2356" i="30" l="1"/>
  <c r="D2355" i="30"/>
  <c r="A2357" i="30" l="1"/>
  <c r="D2356" i="30"/>
  <c r="D2357" i="30" l="1"/>
  <c r="A2358" i="30"/>
  <c r="D2358" i="30" l="1"/>
  <c r="A2359" i="30"/>
  <c r="A2360" i="30" l="1"/>
  <c r="D2359" i="30"/>
  <c r="A2361" i="30" l="1"/>
  <c r="D2360" i="30"/>
  <c r="D2361" i="30" l="1"/>
  <c r="A2362" i="30"/>
  <c r="D2362" i="30" l="1"/>
  <c r="A2363" i="30"/>
  <c r="A2364" i="30" l="1"/>
  <c r="D2363" i="30"/>
  <c r="A2365" i="30" l="1"/>
  <c r="D2364" i="30"/>
  <c r="D2365" i="30" l="1"/>
  <c r="A2366" i="30"/>
  <c r="D2366" i="30" l="1"/>
  <c r="A2367" i="30"/>
  <c r="A2368" i="30" l="1"/>
  <c r="D2367" i="30"/>
  <c r="A2369" i="30" l="1"/>
  <c r="D2368" i="30"/>
  <c r="D2369" i="30" l="1"/>
  <c r="A2370" i="30"/>
  <c r="D2370" i="30" l="1"/>
  <c r="A2371" i="30"/>
  <c r="A2372" i="30" l="1"/>
  <c r="D2371" i="30"/>
  <c r="A2373" i="30" l="1"/>
  <c r="D2372" i="30"/>
  <c r="D2373" i="30" l="1"/>
  <c r="A2374" i="30"/>
  <c r="D2374" i="30" l="1"/>
  <c r="A2375" i="30"/>
  <c r="A2376" i="30" l="1"/>
  <c r="D2375" i="30"/>
  <c r="A2377" i="30" l="1"/>
  <c r="D2376" i="30"/>
  <c r="D2377" i="30" l="1"/>
  <c r="A2378" i="30"/>
  <c r="D2378" i="30" l="1"/>
  <c r="A2379" i="30"/>
  <c r="A2380" i="30" l="1"/>
  <c r="D2379" i="30"/>
  <c r="A2381" i="30" l="1"/>
  <c r="D2380" i="30"/>
  <c r="D2381" i="30" l="1"/>
  <c r="A2382" i="30"/>
  <c r="D2382" i="30" l="1"/>
  <c r="A2383" i="30"/>
  <c r="A2384" i="30" l="1"/>
  <c r="D2383" i="30"/>
  <c r="A2385" i="30" l="1"/>
  <c r="D2384" i="30"/>
  <c r="D2385" i="30" l="1"/>
  <c r="A2386" i="30"/>
  <c r="D2386" i="30" l="1"/>
  <c r="A2387" i="30"/>
  <c r="A2388" i="30" l="1"/>
  <c r="D2387" i="30"/>
  <c r="A2389" i="30" l="1"/>
  <c r="D2388" i="30"/>
  <c r="D2389" i="30" l="1"/>
  <c r="A2390" i="30"/>
  <c r="D2390" i="30" l="1"/>
  <c r="A2391" i="30"/>
  <c r="A2392" i="30" l="1"/>
  <c r="D2391" i="30"/>
  <c r="A2393" i="30" l="1"/>
  <c r="D2392" i="30"/>
  <c r="D2393" i="30" l="1"/>
  <c r="A2394" i="30"/>
  <c r="D2394" i="30" l="1"/>
  <c r="A2395" i="30"/>
  <c r="A2396" i="30" l="1"/>
  <c r="D2395" i="30"/>
  <c r="A2397" i="30" l="1"/>
  <c r="D2396" i="30"/>
  <c r="D2397" i="30" l="1"/>
  <c r="A2398" i="30"/>
  <c r="D2398" i="30" l="1"/>
  <c r="A2399" i="30"/>
  <c r="A2400" i="30" l="1"/>
  <c r="D2399" i="30"/>
  <c r="A2401" i="30" l="1"/>
  <c r="D2400" i="30"/>
  <c r="D2401" i="30" l="1"/>
  <c r="A2402" i="30"/>
  <c r="D2402" i="30" l="1"/>
  <c r="A2403" i="30"/>
  <c r="A2404" i="30" l="1"/>
  <c r="D2403" i="30"/>
  <c r="A2405" i="30" l="1"/>
  <c r="D2404" i="30"/>
  <c r="D2405" i="30" l="1"/>
  <c r="A2406" i="30"/>
  <c r="D2406" i="30" l="1"/>
  <c r="A2407" i="30"/>
  <c r="A2408" i="30" l="1"/>
  <c r="D2407" i="30"/>
  <c r="A2409" i="30" l="1"/>
  <c r="D2408" i="30"/>
  <c r="D2409" i="30" l="1"/>
  <c r="A2410" i="30"/>
  <c r="D2410" i="30" l="1"/>
  <c r="A2411" i="30"/>
  <c r="A2412" i="30" l="1"/>
  <c r="D2411" i="30"/>
  <c r="A2413" i="30" l="1"/>
  <c r="D2412" i="30"/>
  <c r="D2413" i="30" l="1"/>
  <c r="A2414" i="30"/>
  <c r="D2414" i="30" l="1"/>
  <c r="A2415" i="30"/>
  <c r="A2416" i="30" l="1"/>
  <c r="D2415" i="30"/>
  <c r="A2417" i="30" l="1"/>
  <c r="D2416" i="30"/>
  <c r="D2417" i="30" l="1"/>
  <c r="A2418" i="30"/>
  <c r="D2418" i="30" l="1"/>
  <c r="A2419" i="30"/>
  <c r="A2420" i="30" l="1"/>
  <c r="D2419" i="30"/>
  <c r="A2421" i="30" l="1"/>
  <c r="D2420" i="30"/>
  <c r="D2421" i="30" l="1"/>
  <c r="A2422" i="30"/>
  <c r="D2422" i="30" l="1"/>
  <c r="A2423" i="30"/>
  <c r="A2424" i="30" l="1"/>
  <c r="D2423" i="30"/>
  <c r="D2424" i="30" l="1"/>
  <c r="A2425" i="30"/>
  <c r="D2425" i="30" l="1"/>
  <c r="A2426" i="30"/>
  <c r="A2427" i="30" l="1"/>
  <c r="D2426" i="30"/>
  <c r="A2428" i="30" l="1"/>
  <c r="D2427" i="30"/>
  <c r="D2428" i="30" l="1"/>
  <c r="A2429" i="30"/>
  <c r="D2429" i="30" l="1"/>
  <c r="A2430" i="30"/>
  <c r="A2431" i="30" l="1"/>
  <c r="D2430" i="30"/>
  <c r="A2432" i="30" l="1"/>
  <c r="D2431" i="30"/>
  <c r="D2432" i="30" l="1"/>
  <c r="A2433" i="30"/>
  <c r="D2433" i="30" l="1"/>
  <c r="A2434" i="30"/>
  <c r="A2435" i="30" l="1"/>
  <c r="D2434" i="30"/>
  <c r="A2436" i="30" l="1"/>
  <c r="D2435" i="30"/>
  <c r="D2436" i="30" l="1"/>
  <c r="A2437" i="30"/>
  <c r="D2437" i="30" l="1"/>
  <c r="A2438" i="30"/>
  <c r="A2439" i="30" l="1"/>
  <c r="D2438" i="30"/>
  <c r="A2440" i="30" l="1"/>
  <c r="D2439" i="30"/>
  <c r="D2440" i="30" l="1"/>
  <c r="A2441" i="30"/>
  <c r="D2441" i="30" l="1"/>
  <c r="A2442" i="30"/>
  <c r="A2443" i="30" l="1"/>
  <c r="D2442" i="30"/>
  <c r="A2444" i="30" l="1"/>
  <c r="D2443" i="30"/>
  <c r="D2444" i="30" l="1"/>
  <c r="A2445" i="30"/>
  <c r="D2445" i="30" l="1"/>
  <c r="A2446" i="30"/>
  <c r="A2447" i="30" l="1"/>
  <c r="D2446" i="30"/>
  <c r="A2448" i="30" l="1"/>
  <c r="D2447" i="30"/>
  <c r="D2448" i="30" l="1"/>
  <c r="A2449" i="30"/>
  <c r="D2449" i="30" l="1"/>
  <c r="A2450" i="30"/>
  <c r="A2451" i="30" l="1"/>
  <c r="D2450" i="30"/>
  <c r="A2452" i="30" l="1"/>
  <c r="D2451" i="30"/>
  <c r="D2452" i="30" l="1"/>
  <c r="A2453" i="30"/>
  <c r="D2453" i="30" l="1"/>
  <c r="A2454" i="30"/>
  <c r="A2455" i="30" l="1"/>
  <c r="D2454" i="30"/>
  <c r="A2456" i="30" l="1"/>
  <c r="D2455" i="30"/>
  <c r="D2456" i="30" l="1"/>
  <c r="A2457" i="30"/>
  <c r="D2457" i="30" l="1"/>
  <c r="A2458" i="30"/>
  <c r="A2459" i="30" l="1"/>
  <c r="D2458" i="30"/>
  <c r="A2460" i="30" l="1"/>
  <c r="D2459" i="30"/>
  <c r="D2460" i="30" l="1"/>
  <c r="A2461" i="30"/>
  <c r="D2461" i="30" l="1"/>
  <c r="A2462" i="30"/>
  <c r="A2463" i="30" l="1"/>
  <c r="D2462" i="30"/>
  <c r="A2464" i="30" l="1"/>
  <c r="D2463" i="30"/>
  <c r="D2464" i="30" l="1"/>
  <c r="A2465" i="30"/>
  <c r="D2465" i="30" l="1"/>
  <c r="A2466" i="30"/>
  <c r="A2467" i="30" l="1"/>
  <c r="D2466" i="30"/>
  <c r="A2468" i="30" l="1"/>
  <c r="D2467" i="30"/>
  <c r="D2468" i="30" l="1"/>
  <c r="A2469" i="30"/>
  <c r="D2469" i="30" l="1"/>
  <c r="A2470" i="30"/>
  <c r="A2471" i="30" l="1"/>
  <c r="D2470" i="30"/>
  <c r="A2472" i="30" l="1"/>
  <c r="D2471" i="30"/>
  <c r="D2472" i="30" l="1"/>
  <c r="A2473" i="30"/>
  <c r="D2473" i="30" l="1"/>
  <c r="A2474" i="30"/>
  <c r="A2475" i="30" l="1"/>
  <c r="D2474" i="30"/>
  <c r="A2476" i="30" l="1"/>
  <c r="D2475" i="30"/>
  <c r="D2476" i="30" l="1"/>
  <c r="A2477" i="30"/>
  <c r="D2477" i="30" l="1"/>
  <c r="A2478" i="30"/>
  <c r="A2479" i="30" l="1"/>
  <c r="D2478" i="30"/>
  <c r="A2480" i="30" l="1"/>
  <c r="D2479" i="30"/>
  <c r="D2480" i="30" l="1"/>
  <c r="A2481" i="30"/>
  <c r="D2481" i="30" l="1"/>
  <c r="A2482" i="30"/>
  <c r="A2483" i="30" l="1"/>
  <c r="D2482" i="30"/>
  <c r="A2484" i="30" l="1"/>
  <c r="D2483" i="30"/>
  <c r="D2484" i="30" l="1"/>
  <c r="A2485" i="30"/>
  <c r="D2485" i="30" l="1"/>
  <c r="A2486" i="30"/>
  <c r="A2487" i="30" l="1"/>
  <c r="D2486" i="30"/>
  <c r="A2488" i="30" l="1"/>
  <c r="D2487" i="30"/>
  <c r="D2488" i="30" l="1"/>
  <c r="A2489" i="30"/>
  <c r="D2489" i="30" l="1"/>
  <c r="A2490" i="30"/>
  <c r="A2491" i="30" l="1"/>
  <c r="D2490" i="30"/>
  <c r="A2492" i="30" l="1"/>
  <c r="D2491" i="30"/>
  <c r="D2492" i="30" l="1"/>
  <c r="A2493" i="30"/>
  <c r="D2493" i="30" l="1"/>
  <c r="A2494" i="30"/>
  <c r="A2495" i="30" l="1"/>
  <c r="D2494" i="30"/>
  <c r="A2496" i="30" l="1"/>
  <c r="D2495" i="30"/>
  <c r="D2496" i="30" l="1"/>
  <c r="A2497" i="30"/>
  <c r="D2497" i="30" l="1"/>
  <c r="A2498" i="30"/>
  <c r="A2499" i="30" l="1"/>
  <c r="D2498" i="30"/>
  <c r="A2500" i="30" l="1"/>
  <c r="D2499" i="30"/>
  <c r="D2500" i="30" l="1"/>
  <c r="A2501" i="30"/>
  <c r="D2501" i="30" l="1"/>
  <c r="A2502" i="30"/>
  <c r="A2503" i="30" l="1"/>
  <c r="D2502" i="30"/>
  <c r="A2504" i="30" l="1"/>
  <c r="D2503" i="30"/>
  <c r="D2504" i="30" l="1"/>
  <c r="A2505" i="30"/>
  <c r="A2506" i="30" l="1"/>
  <c r="D2505" i="30"/>
  <c r="A2507" i="30" l="1"/>
  <c r="D2506" i="30"/>
  <c r="A2508" i="30" l="1"/>
  <c r="D2507" i="30"/>
  <c r="D2508" i="30" l="1"/>
  <c r="A2509" i="30"/>
  <c r="D2509" i="30" l="1"/>
  <c r="A2510" i="30"/>
  <c r="A2511" i="30" l="1"/>
  <c r="D2510" i="30"/>
  <c r="A2512" i="30" l="1"/>
  <c r="D2511" i="30"/>
  <c r="D2512" i="30" l="1"/>
  <c r="A2513" i="30"/>
  <c r="D2513" i="30" l="1"/>
  <c r="A2514" i="30"/>
  <c r="A2515" i="30" l="1"/>
  <c r="D2514" i="30"/>
  <c r="A2516" i="30" l="1"/>
  <c r="D2515" i="30"/>
  <c r="D2516" i="30" l="1"/>
  <c r="A2517" i="30"/>
  <c r="D2517" i="30" l="1"/>
  <c r="A2518" i="30"/>
  <c r="A2519" i="30" l="1"/>
  <c r="D2518" i="30"/>
  <c r="A2520" i="30" l="1"/>
  <c r="D2519" i="30"/>
  <c r="D2520" i="30" l="1"/>
  <c r="A2521" i="30"/>
  <c r="D2521" i="30" l="1"/>
  <c r="A2522" i="30"/>
  <c r="A2523" i="30" l="1"/>
  <c r="D2522" i="30"/>
  <c r="A2524" i="30" l="1"/>
  <c r="D2523" i="30"/>
  <c r="D2524" i="30" l="1"/>
  <c r="A2525" i="30"/>
  <c r="D2525" i="30" l="1"/>
  <c r="A2526" i="30"/>
  <c r="A2527" i="30" l="1"/>
  <c r="D2526" i="30"/>
  <c r="A2528" i="30" l="1"/>
  <c r="D2527" i="30"/>
  <c r="D2528" i="30" l="1"/>
  <c r="A2529" i="30"/>
  <c r="D2529" i="30" l="1"/>
  <c r="A2530" i="30"/>
  <c r="A2531" i="30" l="1"/>
  <c r="D2530" i="30"/>
  <c r="A2532" i="30" l="1"/>
  <c r="D2531" i="30"/>
  <c r="D2532" i="30" l="1"/>
  <c r="A2533" i="30"/>
  <c r="D2533" i="30" l="1"/>
  <c r="A2534" i="30"/>
  <c r="A2535" i="30" l="1"/>
  <c r="D2534" i="30"/>
  <c r="A2536" i="30" l="1"/>
  <c r="D2535" i="30"/>
  <c r="D2536" i="30" l="1"/>
  <c r="A2537" i="30"/>
  <c r="D2537" i="30" l="1"/>
  <c r="A2538" i="30"/>
  <c r="A2539" i="30" l="1"/>
  <c r="D2538" i="30"/>
  <c r="A2540" i="30" l="1"/>
  <c r="D2539" i="30"/>
  <c r="D2540" i="30" l="1"/>
  <c r="A2541" i="30"/>
  <c r="D2541" i="30" l="1"/>
  <c r="A2542" i="30"/>
  <c r="A2543" i="30" l="1"/>
  <c r="D2542" i="30"/>
  <c r="A2544" i="30" l="1"/>
  <c r="D2543" i="30"/>
  <c r="D2544" i="30" l="1"/>
  <c r="A2545" i="30"/>
  <c r="D2545" i="30" l="1"/>
  <c r="A2546" i="30"/>
  <c r="A2547" i="30" l="1"/>
  <c r="D2546" i="30"/>
  <c r="A2548" i="30" l="1"/>
  <c r="D2547" i="30"/>
  <c r="D2548" i="30" l="1"/>
  <c r="A2549" i="30"/>
  <c r="D2549" i="30" l="1"/>
  <c r="A2550" i="30"/>
  <c r="A2551" i="30" l="1"/>
  <c r="D2550" i="30"/>
  <c r="A2552" i="30" l="1"/>
  <c r="D2551" i="30"/>
  <c r="D2552" i="30" l="1"/>
  <c r="A2553" i="30"/>
  <c r="D2553" i="30" l="1"/>
  <c r="A2554" i="30"/>
  <c r="A2555" i="30" l="1"/>
  <c r="D2554" i="30"/>
  <c r="A2556" i="30" l="1"/>
  <c r="D2555" i="30"/>
  <c r="D2556" i="30" l="1"/>
  <c r="A2557" i="30"/>
  <c r="D2557" i="30" l="1"/>
  <c r="A2558" i="30"/>
  <c r="A2559" i="30" l="1"/>
  <c r="D2558" i="30"/>
  <c r="A2560" i="30" l="1"/>
  <c r="D2559" i="30"/>
  <c r="D2560" i="30" l="1"/>
  <c r="A2561" i="30"/>
  <c r="D2561" i="30" l="1"/>
  <c r="A2562" i="30"/>
  <c r="A2563" i="30" l="1"/>
  <c r="D2562" i="30"/>
  <c r="A2564" i="30" l="1"/>
  <c r="D2563" i="30"/>
  <c r="D2564" i="30" l="1"/>
  <c r="A2565" i="30"/>
  <c r="D2565" i="30" l="1"/>
  <c r="A2566" i="30"/>
  <c r="A2567" i="30" l="1"/>
  <c r="D2566" i="30"/>
  <c r="A2568" i="30" l="1"/>
  <c r="D2567" i="30"/>
  <c r="D2568" i="30" l="1"/>
  <c r="A2569" i="30"/>
  <c r="D2569" i="30" l="1"/>
  <c r="A2570" i="30"/>
  <c r="A2571" i="30" l="1"/>
  <c r="D2570" i="30"/>
  <c r="A2572" i="30" l="1"/>
  <c r="D2571" i="30"/>
  <c r="D2572" i="30" l="1"/>
  <c r="A2573" i="30"/>
  <c r="D2573" i="30" l="1"/>
  <c r="A2574" i="30"/>
  <c r="A2575" i="30" l="1"/>
  <c r="D2574" i="30"/>
  <c r="A2576" i="30" l="1"/>
  <c r="D2575" i="30"/>
  <c r="D2576" i="30" l="1"/>
  <c r="A2577" i="30"/>
  <c r="D2577" i="30" l="1"/>
  <c r="A2578" i="30"/>
  <c r="A2579" i="30" l="1"/>
  <c r="D2578" i="30"/>
  <c r="A2580" i="30" l="1"/>
  <c r="D2579" i="30"/>
  <c r="D2580" i="30" l="1"/>
  <c r="A2581" i="30"/>
  <c r="D2581" i="30" l="1"/>
  <c r="A2582" i="30"/>
  <c r="A2583" i="30" l="1"/>
  <c r="D2582" i="30"/>
  <c r="A2584" i="30" l="1"/>
  <c r="D2583" i="30"/>
  <c r="D2584" i="30" l="1"/>
  <c r="A2585" i="30"/>
  <c r="D2585" i="30" l="1"/>
  <c r="A2586" i="30"/>
  <c r="A2587" i="30" l="1"/>
  <c r="D2586" i="30"/>
  <c r="A2588" i="30" l="1"/>
  <c r="D2587" i="30"/>
  <c r="D2588" i="30" l="1"/>
  <c r="A2589" i="30"/>
  <c r="D2589" i="30" l="1"/>
  <c r="A2590" i="30"/>
  <c r="A2591" i="30" l="1"/>
  <c r="D2590" i="30"/>
  <c r="A2592" i="30" l="1"/>
  <c r="D2591" i="30"/>
  <c r="D2592" i="30" l="1"/>
  <c r="A2593" i="30"/>
  <c r="D2593" i="30" l="1"/>
  <c r="A2594" i="30"/>
  <c r="A2595" i="30" l="1"/>
  <c r="D2594" i="30"/>
  <c r="A2596" i="30" l="1"/>
  <c r="D2595" i="30"/>
  <c r="D2596" i="30" l="1"/>
  <c r="A2597" i="30"/>
  <c r="D2597" i="30" l="1"/>
  <c r="A2598" i="30"/>
  <c r="A2599" i="30" l="1"/>
  <c r="D2598" i="30"/>
  <c r="A2600" i="30" l="1"/>
  <c r="D2599" i="30"/>
  <c r="D2600" i="30" l="1"/>
  <c r="A2601" i="30"/>
  <c r="D2601" i="30" l="1"/>
  <c r="A2602" i="30"/>
  <c r="A2603" i="30" l="1"/>
  <c r="D2602" i="30"/>
  <c r="A2604" i="30" l="1"/>
  <c r="D2603" i="30"/>
  <c r="D2604" i="30" l="1"/>
  <c r="A2605" i="30"/>
  <c r="D2605" i="30" l="1"/>
  <c r="A2606" i="30"/>
  <c r="A2607" i="30" l="1"/>
  <c r="D2606" i="30"/>
  <c r="A2608" i="30" l="1"/>
  <c r="D2607" i="30"/>
  <c r="D2608" i="30" l="1"/>
  <c r="A2609" i="30"/>
  <c r="D2609" i="30" l="1"/>
  <c r="A2610" i="30"/>
  <c r="A2611" i="30" l="1"/>
  <c r="D2610" i="30"/>
  <c r="A2612" i="30" l="1"/>
  <c r="D2611" i="30"/>
  <c r="D2612" i="30" l="1"/>
  <c r="A2613" i="30"/>
  <c r="D2613" i="30" l="1"/>
  <c r="A2614" i="30"/>
  <c r="A2615" i="30" l="1"/>
  <c r="D2614" i="30"/>
  <c r="A2616" i="30" l="1"/>
  <c r="D2615" i="30"/>
  <c r="D2616" i="30" l="1"/>
  <c r="A2617" i="30"/>
  <c r="D2617" i="30" l="1"/>
  <c r="A2618" i="30"/>
  <c r="A2619" i="30" l="1"/>
  <c r="D2618" i="30"/>
  <c r="A2620" i="30" l="1"/>
  <c r="D2619" i="30"/>
  <c r="D2620" i="30" l="1"/>
  <c r="A2621" i="30"/>
  <c r="D2621" i="30" l="1"/>
  <c r="A2622" i="30"/>
  <c r="A2623" i="30" l="1"/>
  <c r="D2622" i="30"/>
  <c r="A2624" i="30" l="1"/>
  <c r="D2623" i="30"/>
  <c r="D2624" i="30" l="1"/>
  <c r="A2625" i="30"/>
  <c r="D2625" i="30" l="1"/>
  <c r="A2626" i="30"/>
  <c r="A2627" i="30" l="1"/>
  <c r="D2626" i="30"/>
  <c r="A2628" i="30" l="1"/>
  <c r="D2627" i="30"/>
  <c r="D2628" i="30" l="1"/>
  <c r="A2629" i="30"/>
  <c r="D2629" i="30" l="1"/>
  <c r="A2630" i="30"/>
  <c r="A2631" i="30" l="1"/>
  <c r="D2630" i="30"/>
  <c r="A2632" i="30" l="1"/>
  <c r="D2631" i="30"/>
  <c r="D2632" i="30" l="1"/>
  <c r="A2633" i="30"/>
  <c r="D2633" i="30" l="1"/>
  <c r="A2634" i="30"/>
  <c r="A2635" i="30" l="1"/>
  <c r="D2634" i="30"/>
  <c r="A2636" i="30" l="1"/>
  <c r="D2635" i="30"/>
  <c r="D2636" i="30" l="1"/>
  <c r="A2637" i="30"/>
  <c r="D2637" i="30" l="1"/>
  <c r="A2638" i="30"/>
  <c r="A2639" i="30" l="1"/>
  <c r="D2638" i="30"/>
  <c r="A2640" i="30" l="1"/>
  <c r="D2639" i="30"/>
  <c r="D2640" i="30" l="1"/>
  <c r="A2641" i="30"/>
  <c r="D2641" i="30" l="1"/>
  <c r="A2642" i="30"/>
  <c r="A2643" i="30" l="1"/>
  <c r="D2642" i="30"/>
  <c r="A2644" i="30" l="1"/>
  <c r="D2643" i="30"/>
  <c r="D2644" i="30" l="1"/>
  <c r="A2645" i="30"/>
  <c r="D2645" i="30" l="1"/>
  <c r="A2646" i="30"/>
  <c r="A2647" i="30" l="1"/>
  <c r="D2646" i="30"/>
  <c r="A2648" i="30" l="1"/>
  <c r="D2647" i="30"/>
  <c r="D2648" i="30" l="1"/>
  <c r="A2649" i="30"/>
  <c r="D2649" i="30" l="1"/>
  <c r="A2650" i="30"/>
  <c r="A2651" i="30" l="1"/>
  <c r="D2650" i="30"/>
  <c r="A2652" i="30" l="1"/>
  <c r="D2651" i="30"/>
  <c r="D2652" i="30" l="1"/>
  <c r="A2653" i="30"/>
  <c r="D2653" i="30" l="1"/>
  <c r="A2654" i="30"/>
  <c r="A2655" i="30" l="1"/>
  <c r="D2654" i="30"/>
  <c r="A2656" i="30" l="1"/>
  <c r="D2655" i="30"/>
  <c r="D2656" i="30" l="1"/>
  <c r="A2657" i="30"/>
  <c r="D2657" i="30" l="1"/>
  <c r="A2658" i="30"/>
  <c r="A2659" i="30" l="1"/>
  <c r="D2658" i="30"/>
  <c r="A2660" i="30" l="1"/>
  <c r="D2659" i="30"/>
  <c r="D2660" i="30" l="1"/>
  <c r="A2661" i="30"/>
  <c r="D2661" i="30" l="1"/>
  <c r="A2662" i="30"/>
  <c r="A2663" i="30" l="1"/>
  <c r="D2662" i="30"/>
  <c r="A2664" i="30" l="1"/>
  <c r="D2663" i="30"/>
  <c r="D2664" i="30" l="1"/>
  <c r="A2665" i="30"/>
  <c r="D2665" i="30" l="1"/>
  <c r="A2666" i="30"/>
  <c r="A2667" i="30" l="1"/>
  <c r="D2666" i="30"/>
  <c r="A2668" i="30" l="1"/>
  <c r="D2667" i="30"/>
  <c r="D2668" i="30" l="1"/>
  <c r="A2669" i="30"/>
  <c r="D2669" i="30" l="1"/>
  <c r="A2670" i="30"/>
  <c r="A2671" i="30" l="1"/>
  <c r="D2670" i="30"/>
  <c r="A2672" i="30" l="1"/>
  <c r="D2671" i="30"/>
  <c r="D2672" i="30" l="1"/>
  <c r="A2673" i="30"/>
  <c r="D2673" i="30" l="1"/>
  <c r="A2674" i="30"/>
  <c r="A2675" i="30" l="1"/>
  <c r="D2674" i="30"/>
  <c r="A2676" i="30" l="1"/>
  <c r="D2675" i="30"/>
  <c r="D2676" i="30" l="1"/>
  <c r="A2677" i="30"/>
  <c r="D2677" i="30" l="1"/>
  <c r="A2678" i="30"/>
  <c r="A2679" i="30" l="1"/>
  <c r="D2678" i="30"/>
  <c r="A2680" i="30" l="1"/>
  <c r="D2679" i="30"/>
  <c r="D2680" i="30" l="1"/>
  <c r="A2681" i="30"/>
  <c r="D2681" i="30" l="1"/>
  <c r="A2682" i="30"/>
  <c r="A2683" i="30" l="1"/>
  <c r="D2682" i="30"/>
  <c r="A2684" i="30" l="1"/>
  <c r="D2683" i="30"/>
  <c r="D2684" i="30" l="1"/>
  <c r="A2685" i="30"/>
  <c r="D2685" i="30" l="1"/>
  <c r="A2686" i="30"/>
  <c r="A2687" i="30" l="1"/>
  <c r="D2686" i="30"/>
  <c r="A2688" i="30" l="1"/>
  <c r="D2687" i="30"/>
  <c r="D2688" i="30" l="1"/>
  <c r="A2689" i="30"/>
  <c r="D2689" i="30" l="1"/>
  <c r="A2690" i="30"/>
  <c r="A2691" i="30" l="1"/>
  <c r="D2690" i="30"/>
  <c r="A2692" i="30" l="1"/>
  <c r="D2691" i="30"/>
  <c r="D2692" i="30" l="1"/>
  <c r="A2693" i="30"/>
  <c r="D2693" i="30" l="1"/>
  <c r="A2694" i="30"/>
  <c r="A2695" i="30" l="1"/>
  <c r="D2694" i="30"/>
  <c r="A2696" i="30" l="1"/>
  <c r="D2695" i="30"/>
  <c r="D2696" i="30" l="1"/>
  <c r="A2697" i="30"/>
  <c r="D2697" i="30" l="1"/>
  <c r="A2698" i="30"/>
  <c r="A2699" i="30" l="1"/>
  <c r="D2698" i="30"/>
  <c r="A2700" i="30" l="1"/>
  <c r="D2699" i="30"/>
  <c r="D2700" i="30" l="1"/>
  <c r="A2701" i="30"/>
  <c r="D2701" i="30" l="1"/>
  <c r="A2702" i="30"/>
  <c r="A2703" i="30" l="1"/>
  <c r="D2702" i="30"/>
  <c r="A2704" i="30" l="1"/>
  <c r="D2703" i="30"/>
  <c r="D2704" i="30" l="1"/>
  <c r="A2705" i="30"/>
  <c r="D2705" i="30" l="1"/>
  <c r="A2706" i="30"/>
  <c r="A2707" i="30" l="1"/>
  <c r="D2706" i="30"/>
  <c r="A2708" i="30" l="1"/>
  <c r="D2707" i="30"/>
  <c r="D2708" i="30" l="1"/>
  <c r="A2709" i="30"/>
  <c r="D2709" i="30" l="1"/>
  <c r="A2710" i="30"/>
  <c r="A2711" i="30" l="1"/>
  <c r="D2710" i="30"/>
  <c r="A2712" i="30" l="1"/>
  <c r="D2711" i="30"/>
  <c r="D2712" i="30" l="1"/>
  <c r="A2713" i="30"/>
  <c r="D2713" i="30" l="1"/>
  <c r="A2714" i="30"/>
  <c r="A2715" i="30" l="1"/>
  <c r="D2714" i="30"/>
  <c r="A2716" i="30" l="1"/>
  <c r="D2715" i="30"/>
  <c r="D2716" i="30" l="1"/>
  <c r="A2717" i="30"/>
  <c r="D2717" i="30" l="1"/>
  <c r="A2718" i="30"/>
  <c r="A2719" i="30" l="1"/>
  <c r="D2718" i="30"/>
  <c r="A2720" i="30" l="1"/>
  <c r="D2719" i="30"/>
  <c r="D2720" i="30" l="1"/>
  <c r="A2721" i="30"/>
  <c r="D2721" i="30" l="1"/>
  <c r="A2722" i="30"/>
  <c r="A2723" i="30" l="1"/>
  <c r="D2722" i="30"/>
  <c r="A2724" i="30" l="1"/>
  <c r="D2723" i="30"/>
  <c r="D2724" i="30" l="1"/>
  <c r="A2725" i="30"/>
  <c r="D2725" i="30" l="1"/>
  <c r="A2726" i="30"/>
  <c r="A2727" i="30" l="1"/>
  <c r="D2726" i="30"/>
  <c r="A2728" i="30" l="1"/>
  <c r="D2727" i="30"/>
  <c r="D2728" i="30" l="1"/>
  <c r="A2729" i="30"/>
  <c r="D2729" i="30" l="1"/>
  <c r="A2730" i="30"/>
  <c r="A2731" i="30" l="1"/>
  <c r="D2730" i="30"/>
  <c r="A2732" i="30" l="1"/>
  <c r="D2731" i="30"/>
  <c r="D2732" i="30" l="1"/>
  <c r="A2733" i="30"/>
  <c r="D2733" i="30" l="1"/>
  <c r="A2734" i="30"/>
  <c r="A2735" i="30" l="1"/>
  <c r="D2734" i="30"/>
  <c r="A2736" i="30" l="1"/>
  <c r="D2735" i="30"/>
  <c r="D2736" i="30" l="1"/>
  <c r="A2737" i="30"/>
  <c r="D2737" i="30" l="1"/>
  <c r="A2738" i="30"/>
  <c r="A2739" i="30" l="1"/>
  <c r="D2738" i="30"/>
  <c r="A2740" i="30" l="1"/>
  <c r="D2739" i="30"/>
  <c r="D2740" i="30" l="1"/>
  <c r="A2741" i="30"/>
  <c r="D2741" i="30" l="1"/>
  <c r="A2742" i="30"/>
  <c r="A2743" i="30" l="1"/>
  <c r="D2742" i="30"/>
  <c r="A2744" i="30" l="1"/>
  <c r="D2743" i="30"/>
  <c r="D2744" i="30" l="1"/>
  <c r="A2745" i="30"/>
  <c r="D2745" i="30" l="1"/>
  <c r="A2746" i="30"/>
  <c r="A2747" i="30" l="1"/>
  <c r="D2746" i="30"/>
  <c r="A2748" i="30" l="1"/>
  <c r="D2747" i="30"/>
  <c r="D2748" i="30" l="1"/>
  <c r="A2749" i="30"/>
  <c r="D2749" i="30" l="1"/>
  <c r="A2750" i="30"/>
  <c r="A2751" i="30" l="1"/>
  <c r="D2750" i="30"/>
  <c r="A2752" i="30" l="1"/>
  <c r="D2751" i="30"/>
  <c r="D2752" i="30" l="1"/>
  <c r="A2753" i="30"/>
  <c r="D2753" i="30" l="1"/>
  <c r="A2754" i="30"/>
  <c r="A2755" i="30" l="1"/>
  <c r="D2754" i="30"/>
  <c r="A2756" i="30" l="1"/>
  <c r="D2755" i="30"/>
  <c r="D2756" i="30" l="1"/>
  <c r="A2757" i="30"/>
  <c r="D2757" i="30" l="1"/>
  <c r="A2758" i="30"/>
  <c r="A2759" i="30" l="1"/>
  <c r="D2758" i="30"/>
  <c r="A2760" i="30" l="1"/>
  <c r="D2759" i="30"/>
  <c r="D2760" i="30" l="1"/>
  <c r="A2761" i="30"/>
  <c r="D2761" i="30" l="1"/>
  <c r="A2762" i="30"/>
  <c r="A2763" i="30" l="1"/>
  <c r="D2762" i="30"/>
  <c r="A2764" i="30" l="1"/>
  <c r="D2763" i="30"/>
  <c r="D2764" i="30" l="1"/>
  <c r="A2765" i="30"/>
  <c r="D2765" i="30" l="1"/>
  <c r="A2766" i="30"/>
  <c r="A2767" i="30" l="1"/>
  <c r="D2766" i="30"/>
  <c r="A2768" i="30" l="1"/>
  <c r="D2767" i="30"/>
  <c r="D2768" i="30" l="1"/>
  <c r="A2769" i="30"/>
  <c r="D2769" i="30" l="1"/>
  <c r="A2770" i="30"/>
  <c r="A2771" i="30" l="1"/>
  <c r="D2770" i="30"/>
  <c r="A2772" i="30" l="1"/>
  <c r="D2771" i="30"/>
  <c r="D2772" i="30" l="1"/>
  <c r="A2773" i="30"/>
  <c r="D2773" i="30" l="1"/>
  <c r="A2774" i="30"/>
  <c r="A2775" i="30" l="1"/>
  <c r="D2774" i="30"/>
  <c r="A2776" i="30" l="1"/>
  <c r="D2775" i="30"/>
  <c r="D2776" i="30" l="1"/>
  <c r="A2777" i="30"/>
  <c r="D2777" i="30" l="1"/>
  <c r="A2778" i="30"/>
  <c r="A2779" i="30" l="1"/>
  <c r="D2778" i="30"/>
  <c r="A2780" i="30" l="1"/>
  <c r="D2779" i="30"/>
  <c r="D2780" i="30" l="1"/>
  <c r="A2781" i="30"/>
  <c r="D2781" i="30" l="1"/>
  <c r="A2782" i="30"/>
  <c r="A2783" i="30" l="1"/>
  <c r="D2782" i="30"/>
  <c r="A2784" i="30" l="1"/>
  <c r="D2783" i="30"/>
  <c r="D2784" i="30" l="1"/>
  <c r="A2785" i="30"/>
  <c r="D2785" i="30" l="1"/>
  <c r="A2786" i="30"/>
  <c r="A2787" i="30" l="1"/>
  <c r="D2786" i="30"/>
  <c r="A2788" i="30" l="1"/>
  <c r="D2787" i="30"/>
  <c r="D2788" i="30" l="1"/>
  <c r="A2789" i="30"/>
  <c r="D2789" i="30" l="1"/>
  <c r="A2790" i="30"/>
  <c r="A2791" i="30" l="1"/>
  <c r="D2790" i="30"/>
  <c r="A2792" i="30" l="1"/>
  <c r="D2791" i="30"/>
  <c r="D2792" i="30" l="1"/>
  <c r="A2793" i="30"/>
  <c r="D2793" i="30" l="1"/>
  <c r="A2794" i="30"/>
  <c r="A2795" i="30" l="1"/>
  <c r="D2794" i="30"/>
  <c r="A2796" i="30" l="1"/>
  <c r="D2795" i="30"/>
  <c r="D2796" i="30" l="1"/>
  <c r="A2797" i="30"/>
  <c r="D2797" i="30" l="1"/>
  <c r="A2798" i="30"/>
  <c r="A2799" i="30" l="1"/>
  <c r="D2798" i="30"/>
  <c r="A2800" i="30" l="1"/>
  <c r="D2799" i="30"/>
  <c r="D2800" i="30" l="1"/>
  <c r="A2801" i="30"/>
  <c r="D2801" i="30" l="1"/>
  <c r="A2802" i="30"/>
  <c r="A2803" i="30" l="1"/>
  <c r="D2802" i="30"/>
  <c r="A2804" i="30" l="1"/>
  <c r="D2803" i="30"/>
  <c r="D2804" i="30" l="1"/>
  <c r="A2805" i="30"/>
  <c r="D2805" i="30" l="1"/>
  <c r="A2806" i="30"/>
  <c r="A2807" i="30" l="1"/>
  <c r="D2806" i="30"/>
  <c r="A2808" i="30" l="1"/>
  <c r="D2807" i="30"/>
  <c r="D2808" i="30" l="1"/>
  <c r="A2809" i="30"/>
  <c r="D2809" i="30" l="1"/>
  <c r="A2810" i="30"/>
  <c r="A2811" i="30" l="1"/>
  <c r="D2810" i="30"/>
  <c r="A2812" i="30" l="1"/>
  <c r="D2811" i="30"/>
  <c r="D2812" i="30" l="1"/>
  <c r="A2813" i="30"/>
  <c r="D2813" i="30" l="1"/>
  <c r="A2814" i="30"/>
  <c r="A2815" i="30" l="1"/>
  <c r="D2814" i="30"/>
  <c r="A2816" i="30" l="1"/>
  <c r="D2815" i="30"/>
  <c r="D2816" i="30" l="1"/>
  <c r="A2817" i="30"/>
  <c r="D2817" i="30" l="1"/>
  <c r="A2818" i="30"/>
  <c r="A2819" i="30" l="1"/>
  <c r="D2818" i="30"/>
  <c r="A2820" i="30" l="1"/>
  <c r="D2819" i="30"/>
  <c r="D2820" i="30" l="1"/>
  <c r="A2821" i="30"/>
  <c r="D2821" i="30" l="1"/>
  <c r="A2822" i="30"/>
  <c r="A2823" i="30" l="1"/>
  <c r="D2822" i="30"/>
  <c r="A2824" i="30" l="1"/>
  <c r="D2823" i="30"/>
  <c r="D2824" i="30" l="1"/>
  <c r="A2825" i="30"/>
  <c r="D2825" i="30" l="1"/>
  <c r="A2826" i="30"/>
  <c r="A2827" i="30" l="1"/>
  <c r="D2826" i="30"/>
  <c r="A2828" i="30" l="1"/>
  <c r="D2827" i="30"/>
  <c r="D2828" i="30" l="1"/>
  <c r="A2829" i="30"/>
  <c r="D2829" i="30" l="1"/>
  <c r="A2830" i="30"/>
  <c r="A2831" i="30" l="1"/>
  <c r="D2830" i="30"/>
  <c r="A2832" i="30" l="1"/>
  <c r="D2831" i="30"/>
  <c r="D2832" i="30" l="1"/>
  <c r="A2833" i="30"/>
  <c r="D2833" i="30" l="1"/>
  <c r="A2834" i="30"/>
  <c r="A2835" i="30" l="1"/>
  <c r="D2834" i="30"/>
  <c r="A2836" i="30" l="1"/>
  <c r="D2835" i="30"/>
  <c r="D2836" i="30" l="1"/>
  <c r="A2837" i="30"/>
  <c r="D2837" i="30" l="1"/>
  <c r="A2838" i="30"/>
  <c r="A2839" i="30" l="1"/>
  <c r="D2838" i="30"/>
  <c r="A2840" i="30" l="1"/>
  <c r="D2839" i="30"/>
  <c r="D2840" i="30" l="1"/>
  <c r="A2841" i="30"/>
  <c r="D2841" i="30" l="1"/>
  <c r="A2842" i="30"/>
  <c r="A2843" i="30" l="1"/>
  <c r="D2842" i="30"/>
  <c r="A2844" i="30" l="1"/>
  <c r="D2843" i="30"/>
  <c r="D2844" i="30" l="1"/>
  <c r="A2845" i="30"/>
  <c r="D2845" i="30" l="1"/>
  <c r="A2846" i="30"/>
  <c r="A2847" i="30" l="1"/>
  <c r="D2846" i="30"/>
  <c r="A2848" i="30" l="1"/>
  <c r="D2847" i="30"/>
  <c r="A2849" i="30" l="1"/>
  <c r="D2848" i="30"/>
  <c r="D2849" i="30" l="1"/>
  <c r="A2850" i="30"/>
  <c r="D2850" i="30" l="1"/>
  <c r="A2851" i="30"/>
  <c r="A2852" i="30" l="1"/>
  <c r="D2851" i="30"/>
  <c r="A2853" i="30" l="1"/>
  <c r="D2852" i="30"/>
  <c r="D2853" i="30" l="1"/>
  <c r="A2854" i="30"/>
  <c r="D2854" i="30" l="1"/>
  <c r="A2855" i="30"/>
  <c r="A2856" i="30" l="1"/>
  <c r="D2855" i="30"/>
  <c r="A2857" i="30" l="1"/>
  <c r="D2856" i="30"/>
  <c r="D2857" i="30" l="1"/>
  <c r="A2858" i="30"/>
  <c r="D2858" i="30" l="1"/>
  <c r="A2859" i="30"/>
  <c r="A2860" i="30" l="1"/>
  <c r="D2859" i="30"/>
  <c r="A2861" i="30" l="1"/>
  <c r="D2860" i="30"/>
  <c r="D2861" i="30" l="1"/>
  <c r="A2862" i="30"/>
  <c r="D2862" i="30" l="1"/>
  <c r="A2863" i="30"/>
  <c r="A2864" i="30" l="1"/>
  <c r="D2863" i="30"/>
  <c r="A2865" i="30" l="1"/>
  <c r="D2864" i="30"/>
  <c r="D2865" i="30" l="1"/>
  <c r="A2866" i="30"/>
  <c r="D2866" i="30" l="1"/>
  <c r="A2867" i="30"/>
  <c r="A2868" i="30" l="1"/>
  <c r="D2867" i="30"/>
  <c r="A2869" i="30" l="1"/>
  <c r="D2868" i="30"/>
  <c r="D2869" i="30" l="1"/>
  <c r="A2870" i="30"/>
  <c r="D2870" i="30" l="1"/>
  <c r="A2871" i="30"/>
  <c r="A2872" i="30" l="1"/>
  <c r="D2871" i="30"/>
  <c r="A2873" i="30" l="1"/>
  <c r="D2872" i="30"/>
  <c r="D2873" i="30" l="1"/>
  <c r="A2874" i="30"/>
  <c r="D2874" i="30" l="1"/>
  <c r="A2875" i="30"/>
  <c r="A2876" i="30" l="1"/>
  <c r="D2875" i="30"/>
  <c r="A2877" i="30" l="1"/>
  <c r="D2876" i="30"/>
  <c r="D2877" i="30" l="1"/>
  <c r="A2878" i="30"/>
  <c r="D2878" i="30" l="1"/>
  <c r="A2879" i="30"/>
  <c r="A2880" i="30" l="1"/>
  <c r="D2879" i="30"/>
  <c r="A2881" i="30" l="1"/>
  <c r="D2880" i="30"/>
  <c r="D2881" i="30" l="1"/>
  <c r="A2882" i="30"/>
  <c r="D2882" i="30" l="1"/>
  <c r="A2883" i="30"/>
  <c r="A2884" i="30" l="1"/>
  <c r="D2883" i="30"/>
  <c r="A2885" i="30" l="1"/>
  <c r="D2884" i="30"/>
  <c r="D2885" i="30" l="1"/>
  <c r="A2886" i="30"/>
  <c r="D2886" i="30" l="1"/>
  <c r="A2887" i="30"/>
  <c r="A2888" i="30" l="1"/>
  <c r="D2887" i="30"/>
  <c r="A2889" i="30" l="1"/>
  <c r="D2888" i="30"/>
  <c r="D2889" i="30" l="1"/>
  <c r="A2890" i="30"/>
  <c r="D2890" i="30" l="1"/>
  <c r="A2891" i="30"/>
  <c r="A2892" i="30" l="1"/>
  <c r="D2891" i="30"/>
  <c r="A2893" i="30" l="1"/>
  <c r="D2892" i="30"/>
  <c r="D2893" i="30" l="1"/>
  <c r="A2894" i="30"/>
  <c r="D2894" i="30" l="1"/>
  <c r="A2895" i="30"/>
  <c r="A2896" i="30" l="1"/>
  <c r="D2895" i="30"/>
  <c r="A2897" i="30" l="1"/>
  <c r="D2896" i="30"/>
  <c r="D2897" i="30" l="1"/>
  <c r="A2898" i="30"/>
  <c r="D2898" i="30" l="1"/>
  <c r="A2899" i="30"/>
  <c r="A2900" i="30" l="1"/>
  <c r="D2899" i="30"/>
  <c r="A2901" i="30" l="1"/>
  <c r="D2900" i="30"/>
  <c r="D2901" i="30" l="1"/>
  <c r="A2902" i="30"/>
  <c r="D2902" i="30" l="1"/>
  <c r="A2903" i="30"/>
  <c r="A2904" i="30" l="1"/>
  <c r="D2903" i="30"/>
  <c r="A2905" i="30" l="1"/>
  <c r="D2904" i="30"/>
  <c r="D2905" i="30" l="1"/>
  <c r="A2906" i="30"/>
  <c r="D2906" i="30" l="1"/>
  <c r="A2907" i="30"/>
  <c r="A2908" i="30" l="1"/>
  <c r="D2907" i="30"/>
  <c r="A2909" i="30" l="1"/>
  <c r="D2908" i="30"/>
  <c r="D2909" i="30" l="1"/>
  <c r="A2910" i="30"/>
  <c r="D2910" i="30" l="1"/>
  <c r="A2911" i="30"/>
  <c r="A2912" i="30" l="1"/>
  <c r="D2911" i="30"/>
  <c r="A2913" i="30" l="1"/>
  <c r="D2912" i="30"/>
  <c r="D2913" i="30" l="1"/>
  <c r="A2914" i="30"/>
  <c r="D2914" i="30" l="1"/>
  <c r="A2915" i="30"/>
  <c r="A2916" i="30" l="1"/>
  <c r="D2915" i="30"/>
  <c r="A2917" i="30" l="1"/>
  <c r="D2916" i="30"/>
  <c r="D2917" i="30" l="1"/>
  <c r="A2918" i="30"/>
  <c r="D2918" i="30" l="1"/>
  <c r="A2919" i="30"/>
  <c r="A2920" i="30" l="1"/>
  <c r="D2919" i="30"/>
  <c r="A2921" i="30" l="1"/>
  <c r="D2920" i="30"/>
  <c r="D2921" i="30" l="1"/>
  <c r="A2922" i="30"/>
  <c r="D2922" i="30" l="1"/>
  <c r="A2923" i="30"/>
  <c r="A2924" i="30" l="1"/>
  <c r="D2923" i="30"/>
  <c r="A2925" i="30" l="1"/>
  <c r="D2924" i="30"/>
  <c r="D2925" i="30" l="1"/>
  <c r="A2926" i="30"/>
  <c r="D2926" i="30" l="1"/>
  <c r="A2927" i="30"/>
  <c r="A2928" i="30" l="1"/>
  <c r="D2927" i="30"/>
  <c r="A2929" i="30" l="1"/>
  <c r="D2928" i="30"/>
  <c r="D2929" i="30" l="1"/>
  <c r="A2930" i="30"/>
  <c r="D2930" i="30" l="1"/>
  <c r="A2931" i="30"/>
  <c r="A2932" i="30" l="1"/>
  <c r="D2931" i="30"/>
  <c r="A2933" i="30" l="1"/>
  <c r="D2932" i="30"/>
  <c r="D2933" i="30" l="1"/>
  <c r="A2934" i="30"/>
  <c r="D2934" i="30" l="1"/>
  <c r="A2935" i="30"/>
  <c r="A2936" i="30" l="1"/>
  <c r="D2935" i="30"/>
  <c r="A2937" i="30" l="1"/>
  <c r="D2936" i="30"/>
  <c r="D2937" i="30" l="1"/>
  <c r="A2938" i="30"/>
  <c r="D2938" i="30" l="1"/>
  <c r="A2939" i="30"/>
  <c r="A2940" i="30" l="1"/>
  <c r="D2939" i="30"/>
  <c r="A2941" i="30" l="1"/>
  <c r="D2940" i="30"/>
  <c r="D2941" i="30" l="1"/>
  <c r="A2942" i="30"/>
  <c r="D2942" i="30" l="1"/>
  <c r="A2943" i="30"/>
  <c r="A2944" i="30" l="1"/>
  <c r="D2943" i="30"/>
  <c r="A2945" i="30" l="1"/>
  <c r="D2944" i="30"/>
  <c r="D2945" i="30" l="1"/>
  <c r="A2946" i="30"/>
  <c r="D2946" i="30" l="1"/>
  <c r="A2947" i="30"/>
  <c r="A2948" i="30" l="1"/>
  <c r="D2947" i="30"/>
  <c r="A2949" i="30" l="1"/>
  <c r="D2948" i="30"/>
  <c r="D2949" i="30" l="1"/>
  <c r="A2950" i="30"/>
  <c r="D2950" i="30" l="1"/>
  <c r="A2951" i="30"/>
  <c r="A2952" i="30" l="1"/>
  <c r="D2951" i="30"/>
  <c r="A2953" i="30" l="1"/>
  <c r="D2952" i="30"/>
  <c r="D2953" i="30" l="1"/>
  <c r="A2954" i="30"/>
  <c r="D2954" i="30" l="1"/>
  <c r="A2955" i="30"/>
  <c r="A2956" i="30" l="1"/>
  <c r="D2955" i="30"/>
  <c r="A2957" i="30" l="1"/>
  <c r="D2956" i="30"/>
  <c r="D2957" i="30" l="1"/>
  <c r="A2958" i="30"/>
  <c r="D2958" i="30" l="1"/>
  <c r="A2959" i="30"/>
  <c r="A2960" i="30" l="1"/>
  <c r="D2959" i="30"/>
  <c r="A2961" i="30" l="1"/>
  <c r="D2960" i="30"/>
  <c r="D2961" i="30" l="1"/>
  <c r="A2962" i="30"/>
  <c r="D2962" i="30" l="1"/>
  <c r="A2963" i="30"/>
  <c r="A2964" i="30" l="1"/>
  <c r="D2963" i="30"/>
  <c r="A2965" i="30" l="1"/>
  <c r="D2964" i="30"/>
  <c r="D2965" i="30" l="1"/>
  <c r="A2966" i="30"/>
  <c r="D2966" i="30" l="1"/>
  <c r="A2967" i="30"/>
  <c r="A2968" i="30" l="1"/>
  <c r="D2967" i="30"/>
  <c r="A2969" i="30" l="1"/>
  <c r="D2968" i="30"/>
  <c r="D2969" i="30" l="1"/>
  <c r="A2970" i="30"/>
  <c r="D2970" i="30" l="1"/>
  <c r="A2971" i="30"/>
  <c r="A2972" i="30" l="1"/>
  <c r="D2971" i="30"/>
  <c r="A2973" i="30" l="1"/>
  <c r="D2972" i="30"/>
  <c r="D2973" i="30" l="1"/>
  <c r="A2974" i="30"/>
  <c r="D2974" i="30" l="1"/>
  <c r="A2975" i="30"/>
  <c r="A2976" i="30" l="1"/>
  <c r="D2975" i="30"/>
  <c r="A2977" i="30" l="1"/>
  <c r="D2976" i="30"/>
  <c r="D2977" i="30" l="1"/>
  <c r="A2978" i="30"/>
  <c r="D2978" i="30" l="1"/>
  <c r="A2979" i="30"/>
  <c r="A2980" i="30" l="1"/>
  <c r="D2979" i="30"/>
  <c r="A2981" i="30" l="1"/>
  <c r="D2980" i="30"/>
  <c r="D2981" i="30" l="1"/>
  <c r="A2982" i="30"/>
  <c r="D2982" i="30" l="1"/>
  <c r="A2983" i="30"/>
  <c r="A2984" i="30" l="1"/>
  <c r="D2983" i="30"/>
  <c r="A2985" i="30" l="1"/>
  <c r="D2984" i="30"/>
  <c r="D2985" i="30" l="1"/>
  <c r="A2986" i="30"/>
  <c r="D2986" i="30" l="1"/>
  <c r="A2987" i="30"/>
  <c r="A2988" i="30" l="1"/>
  <c r="D2987" i="30"/>
  <c r="A2989" i="30" l="1"/>
  <c r="D2988" i="30"/>
  <c r="D2989" i="30" l="1"/>
  <c r="A2990" i="30"/>
  <c r="D2990" i="30" l="1"/>
  <c r="A2991" i="30"/>
  <c r="A2992" i="30" l="1"/>
  <c r="D2991" i="30"/>
  <c r="A2993" i="30" l="1"/>
  <c r="D2992" i="30"/>
  <c r="D2993" i="30" l="1"/>
  <c r="A2994" i="30"/>
  <c r="D2994" i="30" l="1"/>
  <c r="A2995" i="30"/>
  <c r="A2996" i="30" l="1"/>
  <c r="D2995" i="30"/>
  <c r="A2997" i="30" l="1"/>
  <c r="D2996" i="30"/>
  <c r="D2997" i="30" l="1"/>
  <c r="A2998" i="30"/>
  <c r="D2998" i="30" l="1"/>
  <c r="A2999" i="30"/>
  <c r="A3000" i="30" l="1"/>
  <c r="D2999" i="30"/>
  <c r="A3001" i="30" l="1"/>
  <c r="D3000" i="30"/>
  <c r="D3001" i="30" l="1"/>
  <c r="A3002" i="30"/>
  <c r="D3002" i="30" l="1"/>
  <c r="A3003" i="30"/>
  <c r="A3004" i="30" l="1"/>
  <c r="D3003" i="30"/>
  <c r="A3005" i="30" l="1"/>
  <c r="D3004" i="30"/>
  <c r="D3005" i="30" l="1"/>
  <c r="A3006" i="30"/>
  <c r="D3006" i="30" l="1"/>
  <c r="A3007" i="30"/>
  <c r="A3008" i="30" l="1"/>
  <c r="D3007" i="30"/>
  <c r="A3009" i="30" l="1"/>
  <c r="D3008" i="30"/>
  <c r="D3009" i="30" l="1"/>
  <c r="A3010" i="30"/>
  <c r="D3010" i="30" l="1"/>
  <c r="A3011" i="30"/>
  <c r="A3012" i="30" l="1"/>
  <c r="D3011" i="30"/>
  <c r="A3013" i="30" l="1"/>
  <c r="D3012" i="30"/>
  <c r="D3013" i="30" l="1"/>
  <c r="A3014" i="30"/>
  <c r="D3014" i="30" l="1"/>
  <c r="A3015" i="30"/>
  <c r="A3016" i="30" l="1"/>
  <c r="D3015" i="30"/>
  <c r="A3017" i="30" l="1"/>
  <c r="D3016" i="30"/>
  <c r="D3017" i="30" l="1"/>
  <c r="A3018" i="30"/>
  <c r="D3018" i="30" l="1"/>
  <c r="A3019" i="30"/>
  <c r="A3020" i="30" l="1"/>
  <c r="D3019" i="30"/>
  <c r="A3021" i="30" l="1"/>
  <c r="D3020" i="30"/>
  <c r="D3021" i="30" l="1"/>
  <c r="A3022" i="30"/>
  <c r="D3022" i="30" l="1"/>
  <c r="A3023" i="30"/>
  <c r="A3024" i="30" l="1"/>
  <c r="D3023" i="30"/>
  <c r="A3025" i="30" l="1"/>
  <c r="D3024" i="30"/>
  <c r="D3025" i="30" l="1"/>
  <c r="A3026" i="30"/>
  <c r="D3026" i="30" l="1"/>
  <c r="A3027" i="30"/>
  <c r="A3028" i="30" l="1"/>
  <c r="D3027" i="30"/>
  <c r="A3029" i="30" l="1"/>
  <c r="D3028" i="30"/>
  <c r="D3029" i="30" l="1"/>
  <c r="A3030" i="30"/>
  <c r="D3030" i="30" l="1"/>
  <c r="A3031" i="30"/>
  <c r="A3032" i="30" l="1"/>
  <c r="D3031" i="30"/>
  <c r="A3033" i="30" l="1"/>
  <c r="D3032" i="30"/>
  <c r="D3033" i="30" l="1"/>
  <c r="A3034" i="30"/>
  <c r="D3034" i="30" l="1"/>
  <c r="A3035" i="30"/>
  <c r="A3036" i="30" l="1"/>
  <c r="D3035" i="30"/>
  <c r="A3037" i="30" l="1"/>
  <c r="D3036" i="30"/>
  <c r="D3037" i="30" l="1"/>
  <c r="A3038" i="30"/>
  <c r="D3038" i="30" l="1"/>
  <c r="A3039" i="30"/>
  <c r="A3040" i="30" l="1"/>
  <c r="D3039" i="30"/>
  <c r="A3041" i="30" l="1"/>
  <c r="D3040" i="30"/>
  <c r="D3041" i="30" l="1"/>
  <c r="A3042" i="30"/>
  <c r="D3042" i="30" l="1"/>
  <c r="A3043" i="30"/>
  <c r="A3044" i="30" l="1"/>
  <c r="D3043" i="30"/>
  <c r="A3045" i="30" l="1"/>
  <c r="D3044" i="30"/>
  <c r="D3045" i="30" l="1"/>
  <c r="A3046" i="30"/>
  <c r="D3046" i="30" l="1"/>
  <c r="A3047" i="30"/>
  <c r="A3048" i="30" l="1"/>
  <c r="D3047" i="30"/>
  <c r="A3049" i="30" l="1"/>
  <c r="D3048" i="30"/>
  <c r="D3049" i="30" l="1"/>
  <c r="A3050" i="30"/>
  <c r="D3050" i="30" l="1"/>
  <c r="A3051" i="30"/>
  <c r="A3052" i="30" l="1"/>
  <c r="D3051" i="30"/>
  <c r="A3053" i="30" l="1"/>
  <c r="D3052" i="30"/>
  <c r="D3053" i="30" l="1"/>
  <c r="A3054" i="30"/>
  <c r="D3054" i="30" l="1"/>
  <c r="A3055" i="30"/>
  <c r="A3056" i="30" l="1"/>
  <c r="D3055" i="30"/>
  <c r="A3057" i="30" l="1"/>
  <c r="D3056" i="30"/>
  <c r="D3057" i="30" l="1"/>
  <c r="A3058" i="30"/>
  <c r="D3058" i="30" l="1"/>
  <c r="A3059" i="30"/>
  <c r="A3060" i="30" l="1"/>
  <c r="D3059" i="30"/>
  <c r="A3061" i="30" l="1"/>
  <c r="D3060" i="30"/>
  <c r="D3061" i="30" l="1"/>
  <c r="A3062" i="30"/>
  <c r="D3062" i="30" l="1"/>
  <c r="A3063" i="30"/>
  <c r="A3064" i="30" l="1"/>
  <c r="D3063" i="30"/>
  <c r="A3065" i="30" l="1"/>
  <c r="D3064" i="30"/>
  <c r="D3065" i="30" l="1"/>
  <c r="A3066" i="30"/>
  <c r="D3066" i="30" l="1"/>
  <c r="A3067" i="30"/>
  <c r="A3068" i="30" l="1"/>
  <c r="D3067" i="30"/>
  <c r="A3069" i="30" l="1"/>
  <c r="D3068" i="30"/>
  <c r="D3069" i="30" l="1"/>
  <c r="A3070" i="30"/>
  <c r="D3070" i="30" l="1"/>
  <c r="A3071" i="30"/>
  <c r="A3072" i="30" l="1"/>
  <c r="D3071" i="30"/>
  <c r="A3073" i="30" l="1"/>
  <c r="D3072" i="30"/>
  <c r="D3073" i="30" l="1"/>
  <c r="A3074" i="30"/>
  <c r="D3074" i="30" l="1"/>
  <c r="A3075" i="30"/>
  <c r="A3076" i="30" l="1"/>
  <c r="D3075" i="30"/>
  <c r="A3077" i="30" l="1"/>
  <c r="D3076" i="30"/>
  <c r="D3077" i="30" l="1"/>
  <c r="A3078" i="30"/>
  <c r="D3078" i="30" l="1"/>
  <c r="A3079" i="30"/>
  <c r="A3080" i="30" l="1"/>
  <c r="D3079" i="30"/>
  <c r="A3081" i="30" l="1"/>
  <c r="D3080" i="30"/>
  <c r="D3081" i="30" l="1"/>
  <c r="A3082" i="30"/>
  <c r="D3082" i="30" l="1"/>
  <c r="A3083" i="30"/>
  <c r="A3084" i="30" l="1"/>
  <c r="D3083" i="30"/>
  <c r="A3085" i="30" l="1"/>
  <c r="D3084" i="30"/>
  <c r="D3085" i="30" l="1"/>
  <c r="A3086" i="30"/>
  <c r="D3086" i="30" l="1"/>
  <c r="A3087" i="30"/>
  <c r="A3088" i="30" l="1"/>
  <c r="D3087" i="30"/>
  <c r="A3089" i="30" l="1"/>
  <c r="D3088" i="30"/>
  <c r="D3089" i="30" l="1"/>
  <c r="A3090" i="30"/>
  <c r="D3090" i="30" l="1"/>
  <c r="A3091" i="30"/>
  <c r="A3092" i="30" l="1"/>
  <c r="D3091" i="30"/>
  <c r="A3093" i="30" l="1"/>
  <c r="D3092" i="30"/>
  <c r="D3093" i="30" l="1"/>
  <c r="A3094" i="30"/>
  <c r="D3094" i="30" l="1"/>
  <c r="A3095" i="30"/>
  <c r="A3096" i="30" l="1"/>
  <c r="D3095" i="30"/>
  <c r="A3097" i="30" l="1"/>
  <c r="D3096" i="30"/>
  <c r="D3097" i="30" l="1"/>
  <c r="A3098" i="30"/>
  <c r="D3098" i="30" l="1"/>
  <c r="A3099" i="30"/>
  <c r="A3100" i="30" l="1"/>
  <c r="D3099" i="30"/>
  <c r="A3101" i="30" l="1"/>
  <c r="D3100" i="30"/>
  <c r="D3101" i="30" l="1"/>
  <c r="A3102" i="30"/>
  <c r="D3102" i="30" l="1"/>
  <c r="A3103" i="30"/>
  <c r="A3104" i="30" l="1"/>
  <c r="D3103" i="30"/>
  <c r="A3105" i="30" l="1"/>
  <c r="D3104" i="30"/>
  <c r="D3105" i="30" l="1"/>
  <c r="A3106" i="30"/>
  <c r="D3106" i="30" l="1"/>
  <c r="A3107" i="30"/>
  <c r="A3108" i="30" l="1"/>
  <c r="D3107" i="30"/>
  <c r="A3109" i="30" l="1"/>
  <c r="D3108" i="30"/>
  <c r="D3109" i="30" l="1"/>
  <c r="A3110" i="30"/>
  <c r="D3110" i="30" l="1"/>
  <c r="A3111" i="30"/>
  <c r="A3112" i="30" l="1"/>
  <c r="D3111" i="30"/>
  <c r="A3113" i="30" l="1"/>
  <c r="D3112" i="30"/>
  <c r="D3113" i="30" l="1"/>
  <c r="A3114" i="30"/>
  <c r="D3114" i="30" l="1"/>
  <c r="A3115" i="30"/>
  <c r="A3116" i="30" l="1"/>
  <c r="D3115" i="30"/>
  <c r="A3117" i="30" l="1"/>
  <c r="D3116" i="30"/>
  <c r="D3117" i="30" l="1"/>
  <c r="A3118" i="30"/>
  <c r="D3118" i="30" l="1"/>
  <c r="A3119" i="30"/>
  <c r="A3120" i="30" l="1"/>
  <c r="D3119" i="30"/>
  <c r="A3121" i="30" l="1"/>
  <c r="D3120" i="30"/>
  <c r="D3121" i="30" l="1"/>
  <c r="A3122" i="30"/>
  <c r="D3122" i="30" l="1"/>
  <c r="A3123" i="30"/>
  <c r="A3124" i="30" l="1"/>
  <c r="D3123" i="30"/>
  <c r="A3125" i="30" l="1"/>
  <c r="D3124" i="30"/>
  <c r="D3125" i="30" l="1"/>
  <c r="A3126" i="30"/>
  <c r="D3126" i="30" l="1"/>
  <c r="A3127" i="30"/>
  <c r="A3128" i="30" l="1"/>
  <c r="D3127" i="30"/>
  <c r="A3129" i="30" l="1"/>
  <c r="D3128" i="30"/>
  <c r="D3129" i="30" l="1"/>
  <c r="A3130" i="30"/>
  <c r="D3130" i="30" l="1"/>
  <c r="A3131" i="30"/>
  <c r="A3132" i="30" l="1"/>
  <c r="D3131" i="30"/>
  <c r="A3133" i="30" l="1"/>
  <c r="D3132" i="30"/>
  <c r="D3133" i="30" l="1"/>
  <c r="A3134" i="30"/>
  <c r="D3134" i="30" l="1"/>
  <c r="A3135" i="30"/>
  <c r="A3136" i="30" l="1"/>
  <c r="D3135" i="30"/>
  <c r="A3137" i="30" l="1"/>
  <c r="D3136" i="30"/>
  <c r="D3137" i="30" l="1"/>
  <c r="A3138" i="30"/>
  <c r="D3138" i="30" l="1"/>
  <c r="A3139" i="30"/>
  <c r="A3140" i="30" l="1"/>
  <c r="D3139" i="30"/>
  <c r="A3141" i="30" l="1"/>
  <c r="D3140" i="30"/>
  <c r="D3141" i="30" l="1"/>
  <c r="A3142" i="30"/>
  <c r="D3142" i="30" l="1"/>
  <c r="A3143" i="30"/>
  <c r="A3144" i="30" l="1"/>
  <c r="D3143" i="30"/>
  <c r="A3145" i="30" l="1"/>
  <c r="D3144" i="30"/>
  <c r="D3145" i="30" l="1"/>
  <c r="A3146" i="30"/>
  <c r="D3146" i="30" l="1"/>
  <c r="A3147" i="30"/>
  <c r="A3148" i="30" l="1"/>
  <c r="D3147" i="30"/>
  <c r="A3149" i="30" l="1"/>
  <c r="D3148" i="30"/>
  <c r="D3149" i="30" l="1"/>
  <c r="A3150" i="30"/>
  <c r="D3150" i="30" l="1"/>
  <c r="A3151" i="30"/>
  <c r="A3152" i="30" l="1"/>
  <c r="D3151" i="30"/>
  <c r="A3153" i="30" l="1"/>
  <c r="D3152" i="30"/>
  <c r="D3153" i="30" l="1"/>
  <c r="A3154" i="30"/>
  <c r="D3154" i="30" l="1"/>
  <c r="A3155" i="30"/>
  <c r="A3156" i="30" l="1"/>
  <c r="D3155" i="30"/>
  <c r="A3157" i="30" l="1"/>
  <c r="D3156" i="30"/>
  <c r="D3157" i="30" l="1"/>
  <c r="A3158" i="30"/>
  <c r="D3158" i="30" l="1"/>
  <c r="A3159" i="30"/>
  <c r="A3160" i="30" l="1"/>
  <c r="D3159" i="30"/>
  <c r="A3161" i="30" l="1"/>
  <c r="D3160" i="30"/>
  <c r="D3161" i="30" l="1"/>
  <c r="A3162" i="30"/>
  <c r="D3162" i="30" l="1"/>
  <c r="A3163" i="30"/>
  <c r="A3164" i="30" l="1"/>
  <c r="D3163" i="30"/>
  <c r="A3165" i="30" l="1"/>
  <c r="D3164" i="30"/>
  <c r="D3165" i="30" l="1"/>
  <c r="A3166" i="30"/>
  <c r="D3166" i="30" l="1"/>
  <c r="A3167" i="30"/>
  <c r="A3168" i="30" l="1"/>
  <c r="D3167" i="30"/>
  <c r="A3169" i="30" l="1"/>
  <c r="D3168" i="30"/>
  <c r="D3169" i="30" l="1"/>
  <c r="A3170" i="30"/>
  <c r="D3170" i="30" l="1"/>
  <c r="A3171" i="30"/>
  <c r="A3172" i="30" l="1"/>
  <c r="D3171" i="30"/>
  <c r="A3173" i="30" l="1"/>
  <c r="D3172" i="30"/>
  <c r="D3173" i="30" l="1"/>
  <c r="A3174" i="30"/>
  <c r="D3174" i="30" l="1"/>
  <c r="A3175" i="30"/>
  <c r="A3176" i="30" l="1"/>
  <c r="D3175" i="30"/>
  <c r="A3177" i="30" l="1"/>
  <c r="D3176" i="30"/>
  <c r="D3177" i="30" l="1"/>
  <c r="A3178" i="30"/>
  <c r="D3178" i="30" l="1"/>
  <c r="A3179" i="30"/>
  <c r="A3180" i="30" l="1"/>
  <c r="D3179" i="30"/>
  <c r="A3181" i="30" l="1"/>
  <c r="D3180" i="30"/>
  <c r="D3181" i="30" l="1"/>
  <c r="A3182" i="30"/>
  <c r="D3182" i="30" l="1"/>
  <c r="A3183" i="30"/>
  <c r="A3184" i="30" l="1"/>
  <c r="D3183" i="30"/>
  <c r="A3185" i="30" l="1"/>
  <c r="D3184" i="30"/>
  <c r="D3185" i="30" l="1"/>
  <c r="A3186" i="30"/>
  <c r="D3186" i="30" l="1"/>
  <c r="A3187" i="30"/>
  <c r="A3188" i="30" l="1"/>
  <c r="D3187" i="30"/>
  <c r="A3189" i="30" l="1"/>
  <c r="D3188" i="30"/>
  <c r="D3189" i="30" l="1"/>
  <c r="A3190" i="30"/>
  <c r="D3190" i="30" l="1"/>
  <c r="A3191" i="30"/>
  <c r="A3192" i="30" l="1"/>
  <c r="D3191" i="30"/>
  <c r="A3193" i="30" l="1"/>
  <c r="D3192" i="30"/>
  <c r="D3193" i="30" l="1"/>
  <c r="A3194" i="30"/>
  <c r="D3194" i="30" l="1"/>
  <c r="A3195" i="30"/>
  <c r="A3196" i="30" l="1"/>
  <c r="D3195" i="30"/>
  <c r="A3197" i="30" l="1"/>
  <c r="D3196" i="30"/>
  <c r="D3197" i="30" l="1"/>
  <c r="A3198" i="30"/>
  <c r="A3199" i="30" l="1"/>
  <c r="D3198" i="30"/>
  <c r="A3200" i="30" l="1"/>
  <c r="D3199" i="30"/>
  <c r="A3201" i="30" l="1"/>
  <c r="D3200" i="30"/>
  <c r="D3201" i="30" l="1"/>
  <c r="A3202" i="30"/>
  <c r="A3203" i="30" l="1"/>
  <c r="D3202" i="30"/>
  <c r="A3204" i="30" l="1"/>
  <c r="D3203" i="30"/>
  <c r="D3204" i="30" l="1"/>
  <c r="A3205" i="30"/>
  <c r="D3205" i="30" l="1"/>
  <c r="A3206" i="30"/>
  <c r="D3206" i="30" l="1"/>
  <c r="A3207" i="30"/>
  <c r="A3208" i="30" l="1"/>
  <c r="D3207" i="30"/>
  <c r="D3208" i="30" l="1"/>
  <c r="A3209" i="30"/>
  <c r="D3209" i="30" l="1"/>
  <c r="A3210" i="30"/>
  <c r="A3211" i="30" l="1"/>
  <c r="D3210" i="30"/>
  <c r="A3212" i="30" l="1"/>
  <c r="D3211" i="30"/>
  <c r="A3213" i="30" l="1"/>
  <c r="D3212" i="30"/>
  <c r="D3213" i="30" l="1"/>
  <c r="A3214" i="30"/>
  <c r="A3215" i="30" l="1"/>
  <c r="D3214" i="30"/>
  <c r="A3216" i="30" l="1"/>
  <c r="D3215" i="30"/>
  <c r="A3217" i="30" l="1"/>
  <c r="D3216" i="30"/>
  <c r="D3217" i="30" l="1"/>
  <c r="A3218" i="30"/>
  <c r="A3219" i="30" l="1"/>
  <c r="D3218" i="30"/>
  <c r="A3220" i="30" l="1"/>
  <c r="D3219" i="30"/>
  <c r="D3220" i="30" l="1"/>
  <c r="A3221" i="30"/>
  <c r="D3221" i="30" l="1"/>
  <c r="A3222" i="30"/>
  <c r="D3222" i="30" l="1"/>
  <c r="A3223" i="30"/>
  <c r="A3224" i="30" l="1"/>
  <c r="D3223" i="30"/>
  <c r="D3224" i="30" l="1"/>
  <c r="A3225" i="30"/>
  <c r="D3225" i="30" l="1"/>
  <c r="A3226" i="30"/>
  <c r="A3227" i="30" l="1"/>
  <c r="D3226" i="30"/>
  <c r="A3228" i="30" l="1"/>
  <c r="D3227" i="30"/>
  <c r="A3229" i="30" l="1"/>
  <c r="D3228" i="30"/>
  <c r="D3229" i="30" l="1"/>
  <c r="A3230" i="30"/>
  <c r="A3231" i="30" l="1"/>
  <c r="D3230" i="30"/>
  <c r="A3232" i="30" l="1"/>
  <c r="D3231" i="30"/>
  <c r="A3233" i="30" l="1"/>
  <c r="D3232" i="30"/>
  <c r="D3233" i="30" l="1"/>
  <c r="A3234" i="30"/>
  <c r="A3235" i="30" l="1"/>
  <c r="D3234" i="30"/>
  <c r="A3236" i="30" l="1"/>
  <c r="D3235" i="30"/>
  <c r="D3236" i="30" l="1"/>
  <c r="A3237" i="30"/>
  <c r="D3237" i="30" l="1"/>
  <c r="A3238" i="30"/>
  <c r="D3238" i="30" l="1"/>
  <c r="A3239" i="30"/>
  <c r="A3240" i="30" l="1"/>
  <c r="D3239" i="30"/>
  <c r="D3240" i="30" l="1"/>
  <c r="A3241" i="30"/>
  <c r="D3241" i="30" l="1"/>
  <c r="A3242" i="30"/>
  <c r="A3243" i="30" l="1"/>
  <c r="D3242" i="30"/>
  <c r="A3244" i="30" l="1"/>
  <c r="D3243" i="30"/>
  <c r="A3245" i="30" l="1"/>
  <c r="D3244" i="30"/>
  <c r="D3245" i="30" l="1"/>
  <c r="A3246" i="30"/>
  <c r="A3247" i="30" l="1"/>
  <c r="D3246" i="30"/>
  <c r="A3248" i="30" l="1"/>
  <c r="D3247" i="30"/>
  <c r="A3249" i="30" l="1"/>
  <c r="D3248" i="30"/>
  <c r="D3249" i="30" l="1"/>
  <c r="A3250" i="30"/>
  <c r="A3251" i="30" l="1"/>
  <c r="D3250" i="30"/>
  <c r="A3252" i="30" l="1"/>
  <c r="D3251" i="30"/>
  <c r="D3252" i="30" l="1"/>
  <c r="A3253" i="30"/>
  <c r="D3253" i="30" l="1"/>
  <c r="A3254" i="30"/>
  <c r="D3254" i="30" l="1"/>
  <c r="A3255" i="30"/>
  <c r="A3256" i="30" l="1"/>
  <c r="D3255" i="30"/>
  <c r="D3256" i="30" l="1"/>
  <c r="A3257" i="30"/>
  <c r="D3257" i="30" l="1"/>
  <c r="A3258" i="30"/>
  <c r="A3259" i="30" l="1"/>
  <c r="D3258" i="30"/>
  <c r="A3260" i="30" l="1"/>
  <c r="D3259" i="30"/>
  <c r="A3261" i="30" l="1"/>
  <c r="D3260" i="30"/>
  <c r="A3262" i="30" l="1"/>
  <c r="D3261" i="30"/>
  <c r="D3262" i="30" l="1"/>
  <c r="A3263" i="30"/>
  <c r="D3263" i="30" l="1"/>
  <c r="A3264" i="30"/>
  <c r="A3265" i="30" l="1"/>
  <c r="D3264" i="30"/>
  <c r="A3266" i="30" l="1"/>
  <c r="D3265" i="30"/>
  <c r="D3266" i="30" l="1"/>
  <c r="A3267" i="30"/>
  <c r="D3267" i="30" l="1"/>
  <c r="A3268" i="30"/>
  <c r="A3269" i="30" l="1"/>
  <c r="D3268" i="30"/>
  <c r="A3270" i="30" l="1"/>
  <c r="D3269" i="30"/>
  <c r="D3270" i="30" l="1"/>
  <c r="A3271" i="30"/>
  <c r="D3271" i="30" l="1"/>
  <c r="A3272" i="30"/>
  <c r="D3272" i="30" l="1"/>
  <c r="A3273" i="30"/>
  <c r="D3273" i="30" l="1"/>
  <c r="A3274" i="30"/>
  <c r="A3275" i="30" l="1"/>
  <c r="D3274" i="30"/>
  <c r="A3276" i="30" l="1"/>
  <c r="D3275" i="30"/>
  <c r="D3276" i="30" l="1"/>
  <c r="A3277" i="30"/>
  <c r="D3277" i="30" l="1"/>
  <c r="A3278" i="30"/>
  <c r="A3279" i="30" l="1"/>
  <c r="D3278" i="30"/>
  <c r="A3280" i="30" l="1"/>
  <c r="D3279" i="30"/>
  <c r="D3280" i="30" l="1"/>
  <c r="A3281" i="30"/>
  <c r="D3281" i="30" l="1"/>
  <c r="A3282" i="30"/>
  <c r="A3283" i="30" l="1"/>
  <c r="D3282" i="30"/>
  <c r="A3284" i="30" l="1"/>
  <c r="D3283" i="30"/>
  <c r="D3284" i="30" l="1"/>
  <c r="A3285" i="30"/>
  <c r="D3285" i="30" l="1"/>
  <c r="A3286" i="30"/>
  <c r="A3287" i="30" l="1"/>
  <c r="D3286" i="30"/>
  <c r="A3288" i="30" l="1"/>
  <c r="D3287" i="30"/>
  <c r="D3288" i="30" l="1"/>
  <c r="A3289" i="30"/>
  <c r="A3290" i="30" l="1"/>
  <c r="A3291" i="30" l="1"/>
  <c r="D3290" i="30"/>
  <c r="D3291" i="30" l="1"/>
  <c r="A3292" i="30"/>
  <c r="D3292" i="30" l="1"/>
  <c r="A3293" i="30"/>
  <c r="A3294" i="30" l="1"/>
  <c r="D3293" i="30"/>
  <c r="A3295" i="30" l="1"/>
  <c r="D3294" i="30"/>
  <c r="D3295" i="30" l="1"/>
  <c r="A3296" i="30"/>
  <c r="D3296" i="30" l="1"/>
  <c r="A3297" i="30"/>
  <c r="A3298" i="30" l="1"/>
  <c r="D3297" i="30"/>
  <c r="A3299" i="30" l="1"/>
  <c r="D3298" i="30"/>
  <c r="D3299" i="30" l="1"/>
  <c r="A3300" i="30"/>
  <c r="D3300" i="30" l="1"/>
  <c r="A3301" i="30"/>
  <c r="A3302" i="30" l="1"/>
  <c r="D3301" i="30"/>
  <c r="A3303" i="30" l="1"/>
  <c r="D3302" i="30"/>
  <c r="D3303" i="30" l="1"/>
  <c r="A3304" i="30"/>
  <c r="D3304" i="30" l="1"/>
  <c r="A3305" i="30"/>
  <c r="A3306" i="30" l="1"/>
  <c r="D3305" i="30"/>
  <c r="A3307" i="30" l="1"/>
  <c r="D3306" i="30"/>
  <c r="D3307" i="30" l="1"/>
  <c r="A3308" i="30"/>
  <c r="D3308" i="30" l="1"/>
  <c r="A3309" i="30"/>
  <c r="A3310" i="30" l="1"/>
  <c r="D3309" i="30"/>
  <c r="A3311" i="30" l="1"/>
  <c r="D3310" i="30"/>
  <c r="D3311" i="30" l="1"/>
  <c r="A3312" i="30"/>
  <c r="D3312" i="30" l="1"/>
  <c r="A3313" i="30"/>
  <c r="A3314" i="30" l="1"/>
  <c r="D3313" i="30"/>
  <c r="A3315" i="30" l="1"/>
  <c r="D3314" i="30"/>
  <c r="D3315" i="30" l="1"/>
  <c r="A3316" i="30"/>
  <c r="D3316" i="30" l="1"/>
  <c r="A3317" i="30"/>
  <c r="A3318" i="30" l="1"/>
  <c r="D3317" i="30"/>
  <c r="A3319" i="30" l="1"/>
  <c r="D3318" i="30"/>
  <c r="D3319" i="30" l="1"/>
  <c r="A3320" i="30"/>
  <c r="D3320" i="30" l="1"/>
  <c r="A3321" i="30"/>
  <c r="A3322" i="30" l="1"/>
  <c r="D3321" i="30"/>
  <c r="A3323" i="30" l="1"/>
  <c r="D3322" i="30"/>
  <c r="D3323" i="30" l="1"/>
  <c r="A3324" i="30"/>
  <c r="D3324" i="30" l="1"/>
  <c r="A3325" i="30"/>
  <c r="A3326" i="30" l="1"/>
  <c r="D3325" i="30"/>
  <c r="A3327" i="30" l="1"/>
  <c r="D3326" i="30"/>
  <c r="D3327" i="30" l="1"/>
  <c r="A3328" i="30"/>
  <c r="D3328" i="30" l="1"/>
  <c r="A3329" i="30"/>
  <c r="A3330" i="30" l="1"/>
  <c r="D3329" i="30"/>
  <c r="A3331" i="30" l="1"/>
  <c r="D3330" i="30"/>
  <c r="D3331" i="30" l="1"/>
  <c r="A3332" i="30"/>
  <c r="D3332" i="30" l="1"/>
  <c r="A3333" i="30"/>
  <c r="A3334" i="30" l="1"/>
  <c r="D3333" i="30"/>
  <c r="A3335" i="30" l="1"/>
  <c r="D3334" i="30"/>
  <c r="D3335" i="30" l="1"/>
  <c r="A3336" i="30"/>
  <c r="D3336" i="30" l="1"/>
  <c r="A3337" i="30"/>
  <c r="A3338" i="30" l="1"/>
  <c r="D3337" i="30"/>
  <c r="A3339" i="30" l="1"/>
  <c r="D3338" i="30"/>
  <c r="D3339" i="30" l="1"/>
  <c r="A3340" i="30"/>
  <c r="D3340" i="30" l="1"/>
  <c r="A3341" i="30"/>
  <c r="A3342" i="30" l="1"/>
  <c r="D3341" i="30"/>
  <c r="A3343" i="30" l="1"/>
  <c r="D3342" i="30"/>
  <c r="D3343" i="30" l="1"/>
  <c r="A3344" i="30"/>
  <c r="D3344" i="30" l="1"/>
  <c r="A3345" i="30"/>
  <c r="A3346" i="30" l="1"/>
  <c r="D3345" i="30"/>
  <c r="A3347" i="30" l="1"/>
  <c r="D3346" i="30"/>
  <c r="D3347" i="30" l="1"/>
  <c r="A3348" i="30"/>
  <c r="D3348" i="30" l="1"/>
  <c r="A3349" i="30"/>
  <c r="A3350" i="30" l="1"/>
  <c r="D3349" i="30"/>
  <c r="A3351" i="30" l="1"/>
  <c r="D3350" i="30"/>
  <c r="D3351" i="30" l="1"/>
  <c r="A3352" i="30"/>
  <c r="D3352" i="30" l="1"/>
  <c r="A3353" i="30"/>
  <c r="A3354" i="30" l="1"/>
  <c r="D3353" i="30"/>
  <c r="A3355" i="30" l="1"/>
  <c r="D3354" i="30"/>
  <c r="D3355" i="30" l="1"/>
  <c r="A3356" i="30"/>
  <c r="D3356" i="30" l="1"/>
  <c r="A3357" i="30"/>
  <c r="A3358" i="30" l="1"/>
  <c r="D3357" i="30"/>
  <c r="A3359" i="30" l="1"/>
  <c r="D3358" i="30"/>
  <c r="D3359" i="30" l="1"/>
  <c r="A3360" i="30"/>
  <c r="D3360" i="30" l="1"/>
  <c r="A3361" i="30"/>
  <c r="A3362" i="30" l="1"/>
  <c r="D3361" i="30"/>
  <c r="A3363" i="30" l="1"/>
  <c r="D3362" i="30"/>
  <c r="D3363" i="30" l="1"/>
  <c r="A3364" i="30"/>
  <c r="D3364" i="30" l="1"/>
  <c r="A3365" i="30"/>
  <c r="A3366" i="30" l="1"/>
  <c r="D3365" i="30"/>
  <c r="A3367" i="30" l="1"/>
  <c r="D3366" i="30"/>
  <c r="D3367" i="30" l="1"/>
  <c r="A3368" i="30"/>
  <c r="D3368" i="30" l="1"/>
  <c r="A3369" i="30"/>
  <c r="A3370" i="30" l="1"/>
  <c r="D3369" i="30"/>
  <c r="A3371" i="30" l="1"/>
  <c r="D3370" i="30"/>
  <c r="D3371" i="30" l="1"/>
  <c r="A3372" i="30"/>
  <c r="D3372" i="30" l="1"/>
  <c r="A3373" i="30"/>
  <c r="A3374" i="30" l="1"/>
  <c r="D3373" i="30"/>
  <c r="A3375" i="30" l="1"/>
  <c r="D3374" i="30"/>
  <c r="D3375" i="30" l="1"/>
  <c r="A3376" i="30"/>
  <c r="D3376" i="30" l="1"/>
  <c r="A3377" i="30"/>
  <c r="A3378" i="30" l="1"/>
  <c r="D3377" i="30"/>
  <c r="A3379" i="30" l="1"/>
  <c r="D3378" i="30"/>
  <c r="D3379" i="30" l="1"/>
  <c r="A3380" i="30"/>
  <c r="D3380" i="30" l="1"/>
  <c r="A3381" i="30"/>
  <c r="A3382" i="30" l="1"/>
  <c r="D3381" i="30"/>
  <c r="A3383" i="30" l="1"/>
  <c r="D3382" i="30"/>
  <c r="D3383" i="30" l="1"/>
  <c r="A3384" i="30"/>
  <c r="D3384" i="30" l="1"/>
  <c r="A3385" i="30"/>
  <c r="A3386" i="30" l="1"/>
  <c r="D3385" i="30"/>
  <c r="A3387" i="30" l="1"/>
  <c r="D3386" i="30"/>
  <c r="D3387" i="30" l="1"/>
  <c r="A3388" i="30"/>
  <c r="D3388" i="30" l="1"/>
  <c r="A3389" i="30"/>
  <c r="A3390" i="30" l="1"/>
  <c r="D3389" i="30"/>
  <c r="A3391" i="30" l="1"/>
  <c r="D3390" i="30"/>
  <c r="D3391" i="30" l="1"/>
  <c r="A3392" i="30"/>
  <c r="D3392" i="30" l="1"/>
  <c r="A3393" i="30"/>
  <c r="A3394" i="30" l="1"/>
  <c r="D3393" i="30"/>
  <c r="A3395" i="30" l="1"/>
  <c r="D3394" i="30"/>
  <c r="D3395" i="30" l="1"/>
  <c r="D3396" i="30" s="1"/>
  <c r="D3397" i="30" s="1"/>
  <c r="A3396" i="30"/>
  <c r="A3397" i="30" l="1"/>
  <c r="A3398" i="30" l="1"/>
  <c r="D3398" i="30" l="1"/>
  <c r="A3399" i="30"/>
  <c r="D3399" i="30" l="1"/>
  <c r="A3400" i="30"/>
  <c r="A3401" i="30" l="1"/>
  <c r="D3400" i="30"/>
  <c r="A3402" i="30" l="1"/>
  <c r="D3401" i="30"/>
  <c r="D3402" i="30" l="1"/>
  <c r="A3403" i="30"/>
  <c r="D3403" i="30" l="1"/>
  <c r="A3404" i="30"/>
  <c r="A3405" i="30" l="1"/>
  <c r="D3404" i="30"/>
  <c r="A3406" i="30" l="1"/>
  <c r="D3405" i="30"/>
  <c r="D3406" i="30" l="1"/>
  <c r="A3407" i="30"/>
  <c r="D3407" i="30" l="1"/>
  <c r="A3408" i="30"/>
  <c r="A3409" i="30" l="1"/>
  <c r="D3408" i="30"/>
  <c r="A3410" i="30" l="1"/>
  <c r="D3409" i="30"/>
  <c r="D3410" i="30" l="1"/>
  <c r="A3411" i="30"/>
  <c r="D3411" i="30" l="1"/>
  <c r="A3412" i="30"/>
  <c r="A3413" i="30" l="1"/>
  <c r="D3412" i="30"/>
  <c r="A3414" i="30" l="1"/>
  <c r="D3413" i="30"/>
  <c r="D3414" i="30" l="1"/>
  <c r="A3415" i="30"/>
  <c r="D3415" i="30" l="1"/>
  <c r="A3416" i="30"/>
  <c r="A3417" i="30" l="1"/>
  <c r="D3416" i="30"/>
  <c r="A3418" i="30" l="1"/>
  <c r="D3417" i="30"/>
  <c r="D3418" i="30" l="1"/>
  <c r="A3419" i="30"/>
  <c r="D3419" i="30" l="1"/>
  <c r="A3420" i="30"/>
  <c r="A3421" i="30" l="1"/>
  <c r="D3420" i="30"/>
  <c r="A3422" i="30" l="1"/>
  <c r="D3421" i="30"/>
  <c r="D3422" i="30" l="1"/>
  <c r="A3423" i="30"/>
  <c r="D3423" i="30" l="1"/>
  <c r="A3424" i="30"/>
  <c r="A3425" i="30" l="1"/>
  <c r="D3424" i="30"/>
  <c r="A3426" i="30" l="1"/>
  <c r="D3425" i="30"/>
  <c r="D3426" i="30" l="1"/>
  <c r="A3427" i="30"/>
  <c r="D3427" i="30" l="1"/>
  <c r="A3428" i="30"/>
  <c r="A3429" i="30" l="1"/>
  <c r="D3428" i="30"/>
  <c r="A3430" i="30" l="1"/>
  <c r="D3429" i="30"/>
  <c r="D3430" i="30" l="1"/>
  <c r="A3431" i="30"/>
  <c r="D3431" i="30" l="1"/>
  <c r="A3432" i="30"/>
  <c r="A3433" i="30" l="1"/>
  <c r="D3432" i="30"/>
  <c r="A3434" i="30" l="1"/>
  <c r="D3433" i="30"/>
  <c r="A3435" i="30" l="1"/>
  <c r="D3434" i="30"/>
  <c r="D3435" i="30" l="1"/>
  <c r="A3436" i="30"/>
  <c r="D3436" i="30" l="1"/>
  <c r="A3437" i="30"/>
  <c r="A3438" i="30" l="1"/>
  <c r="D3437" i="30"/>
  <c r="A3439" i="30" l="1"/>
  <c r="D3438" i="30"/>
  <c r="D3439" i="30" l="1"/>
  <c r="A3440" i="30"/>
  <c r="D3440" i="30" l="1"/>
  <c r="A3441" i="30"/>
  <c r="A3442" i="30" l="1"/>
  <c r="D3441" i="30"/>
  <c r="A3443" i="30" l="1"/>
  <c r="D3442" i="30"/>
  <c r="D3443" i="30" l="1"/>
  <c r="A3444" i="30"/>
  <c r="D3444" i="30" l="1"/>
  <c r="A3445" i="30"/>
  <c r="A3446" i="30" l="1"/>
  <c r="D3445" i="30"/>
  <c r="A3447" i="30" l="1"/>
  <c r="D3446" i="30"/>
  <c r="D3447" i="30" l="1"/>
  <c r="A3448" i="30"/>
  <c r="D3448" i="30" l="1"/>
  <c r="A3449" i="30"/>
  <c r="A3450" i="30" l="1"/>
  <c r="D3449" i="30"/>
  <c r="A3451" i="30" l="1"/>
  <c r="D3450" i="30"/>
  <c r="D3451" i="30" l="1"/>
  <c r="A3452" i="30"/>
  <c r="D3452" i="30" l="1"/>
  <c r="A3453" i="30"/>
  <c r="A3454" i="30" l="1"/>
  <c r="D3453" i="30"/>
  <c r="A3455" i="30" l="1"/>
  <c r="D3454" i="30"/>
  <c r="D3455" i="30" l="1"/>
  <c r="A3456" i="30"/>
  <c r="D3456" i="30" l="1"/>
  <c r="A3457" i="30"/>
  <c r="A3458" i="30" l="1"/>
  <c r="D3457" i="30"/>
  <c r="A3459" i="30" l="1"/>
  <c r="D3458" i="30"/>
  <c r="D3459" i="30" l="1"/>
  <c r="A3460" i="30"/>
  <c r="D3460" i="30" l="1"/>
  <c r="A3461" i="30"/>
  <c r="A3462" i="30" l="1"/>
  <c r="D3461" i="30"/>
  <c r="A3463" i="30" l="1"/>
  <c r="D3462" i="30"/>
  <c r="D3463" i="30" l="1"/>
  <c r="A3464" i="30"/>
  <c r="D3464" i="30" l="1"/>
  <c r="A3465" i="30"/>
  <c r="A3466" i="30" l="1"/>
  <c r="D3465" i="30"/>
  <c r="A3467" i="30" l="1"/>
  <c r="D3466" i="30"/>
  <c r="D3467" i="30" l="1"/>
  <c r="A3468" i="30"/>
  <c r="D3468" i="30" l="1"/>
  <c r="A3469" i="30"/>
  <c r="A3470" i="30" l="1"/>
  <c r="D3469" i="30"/>
  <c r="A3471" i="30" l="1"/>
  <c r="D3470" i="30"/>
  <c r="D3471" i="30" l="1"/>
  <c r="A3472" i="30"/>
  <c r="D3472" i="30" l="1"/>
  <c r="A3473" i="30"/>
  <c r="A3474" i="30" l="1"/>
  <c r="D3473" i="30"/>
  <c r="A3475" i="30" l="1"/>
  <c r="D3474" i="30"/>
  <c r="D3475" i="30" l="1"/>
  <c r="A3476" i="30"/>
  <c r="D3476" i="30" l="1"/>
  <c r="A3477" i="30"/>
  <c r="A3478" i="30" l="1"/>
  <c r="D3477" i="30"/>
  <c r="A3479" i="30" l="1"/>
  <c r="D3478" i="30"/>
  <c r="D3479" i="30" l="1"/>
  <c r="A3480" i="30"/>
  <c r="D3480" i="30" l="1"/>
  <c r="A3481" i="30"/>
  <c r="A3482" i="30" l="1"/>
  <c r="D3481" i="30"/>
  <c r="A3483" i="30" l="1"/>
  <c r="D3482" i="30"/>
  <c r="D3483" i="30" l="1"/>
  <c r="A3484" i="30"/>
  <c r="D3484" i="30" l="1"/>
  <c r="A3485" i="30"/>
  <c r="A3486" i="30" l="1"/>
  <c r="D3485" i="30"/>
  <c r="A3487" i="30" l="1"/>
  <c r="D3486" i="30"/>
  <c r="D3487" i="30" l="1"/>
  <c r="A3488" i="30"/>
  <c r="D3488" i="30" l="1"/>
  <c r="A3489" i="30"/>
  <c r="A3490" i="30" l="1"/>
  <c r="D3489" i="30"/>
  <c r="A3491" i="30" l="1"/>
  <c r="D3490" i="30"/>
  <c r="D3491" i="30" l="1"/>
  <c r="A3492" i="30"/>
  <c r="D3492" i="30" l="1"/>
  <c r="A3493" i="30"/>
  <c r="A3494" i="30" l="1"/>
  <c r="D3493" i="30"/>
  <c r="A3495" i="30" l="1"/>
  <c r="D3494" i="30"/>
  <c r="D3495" i="30" l="1"/>
  <c r="A3496" i="30"/>
  <c r="D3496" i="30" l="1"/>
  <c r="A3497" i="30"/>
  <c r="A3498" i="30" l="1"/>
  <c r="D3497" i="30"/>
  <c r="A3499" i="30" l="1"/>
  <c r="D3498" i="30"/>
  <c r="D3499" i="30" l="1"/>
  <c r="A3500" i="30"/>
  <c r="D3500" i="30" l="1"/>
  <c r="A3501" i="30"/>
  <c r="A3502" i="30" l="1"/>
  <c r="D3501" i="30"/>
  <c r="A3503" i="30" l="1"/>
  <c r="D3502" i="30"/>
  <c r="D3503" i="30" l="1"/>
  <c r="A3504" i="30"/>
  <c r="D3504" i="30" l="1"/>
  <c r="A3505" i="30"/>
  <c r="A3506" i="30" l="1"/>
  <c r="D3505" i="30"/>
  <c r="A3507" i="30" l="1"/>
  <c r="D3506" i="30"/>
  <c r="D3507" i="30" l="1"/>
  <c r="A3508" i="30"/>
  <c r="D3508" i="30" l="1"/>
  <c r="A3509" i="30"/>
  <c r="A3510" i="30" l="1"/>
  <c r="D3509" i="30"/>
  <c r="A3511" i="30" l="1"/>
  <c r="D3510" i="30"/>
  <c r="D3511" i="30" l="1"/>
  <c r="A3512" i="30"/>
  <c r="D3512" i="30" l="1"/>
  <c r="A3513" i="30"/>
  <c r="A3514" i="30" l="1"/>
  <c r="D3513" i="30"/>
  <c r="A3515" i="30" l="1"/>
  <c r="D3514" i="30"/>
  <c r="D3515" i="30" l="1"/>
  <c r="A3516" i="30"/>
  <c r="D3516" i="30" l="1"/>
  <c r="A3517" i="30"/>
  <c r="A3518" i="30" l="1"/>
  <c r="D3517" i="30"/>
  <c r="A3519" i="30" l="1"/>
  <c r="D3518" i="30"/>
  <c r="D3519" i="30" l="1"/>
  <c r="A3520" i="30"/>
  <c r="D3520" i="30" l="1"/>
  <c r="A3521" i="30"/>
  <c r="A3522" i="30" l="1"/>
  <c r="D3521" i="30"/>
  <c r="A3523" i="30" l="1"/>
  <c r="D3522" i="30"/>
  <c r="D3523" i="30" l="1"/>
  <c r="A3524" i="30"/>
  <c r="D3524" i="30" l="1"/>
  <c r="A3525" i="30"/>
  <c r="A3526" i="30" l="1"/>
  <c r="D3525" i="30"/>
  <c r="A3527" i="30" l="1"/>
  <c r="D3526" i="30"/>
  <c r="D3527" i="30" l="1"/>
  <c r="A3528" i="30"/>
  <c r="D3528" i="30" l="1"/>
  <c r="A3529" i="30"/>
  <c r="A3530" i="30" l="1"/>
  <c r="D3529" i="30"/>
  <c r="A3531" i="30" l="1"/>
  <c r="D3530" i="30"/>
  <c r="D3531" i="30" l="1"/>
  <c r="A3532" i="30"/>
  <c r="D3532" i="30" l="1"/>
  <c r="A3533" i="30"/>
  <c r="A3534" i="30" l="1"/>
  <c r="D3533" i="30"/>
  <c r="A3535" i="30" l="1"/>
  <c r="D3534" i="30"/>
  <c r="D3535" i="30" l="1"/>
  <c r="A3536" i="30"/>
  <c r="D3536" i="30" l="1"/>
  <c r="A3537" i="30"/>
  <c r="A3538" i="30" l="1"/>
  <c r="D3537" i="30"/>
  <c r="A3539" i="30" l="1"/>
  <c r="D3538" i="30"/>
  <c r="D3539" i="30" l="1"/>
  <c r="A3540" i="30"/>
  <c r="D3540" i="30" l="1"/>
  <c r="A3541" i="30"/>
  <c r="A3542" i="30" l="1"/>
  <c r="D3541" i="30"/>
  <c r="A3543" i="30" l="1"/>
  <c r="D3542" i="30"/>
  <c r="D3543" i="30" l="1"/>
  <c r="A3544" i="30"/>
  <c r="D3544" i="30" l="1"/>
  <c r="A3545" i="30"/>
  <c r="A3546" i="30" l="1"/>
  <c r="D3545" i="30"/>
  <c r="A3547" i="30" l="1"/>
  <c r="D3546" i="30"/>
  <c r="D3547" i="30" l="1"/>
  <c r="A3548" i="30"/>
  <c r="D3548" i="30" l="1"/>
  <c r="A3549" i="30"/>
  <c r="A3550" i="30" l="1"/>
  <c r="D3549" i="30"/>
  <c r="A3551" i="30" l="1"/>
  <c r="D3550" i="30"/>
  <c r="D3551" i="30" l="1"/>
  <c r="A3552" i="30"/>
  <c r="D3552" i="30" l="1"/>
  <c r="A3553" i="30"/>
  <c r="A3554" i="30" l="1"/>
  <c r="D3553" i="30"/>
  <c r="A3555" i="30" l="1"/>
  <c r="D3554" i="30"/>
  <c r="D3555" i="30" l="1"/>
  <c r="A3556" i="30"/>
  <c r="D3556" i="30" l="1"/>
  <c r="A3557" i="30"/>
  <c r="A3558" i="30" l="1"/>
  <c r="D3557" i="30"/>
  <c r="A3559" i="30" l="1"/>
  <c r="D3558" i="30"/>
  <c r="D3559" i="30" l="1"/>
  <c r="A3560" i="30"/>
  <c r="D3560" i="30" l="1"/>
  <c r="A3561" i="30"/>
  <c r="A3562" i="30" l="1"/>
  <c r="D3561" i="30"/>
  <c r="A3563" i="30" l="1"/>
  <c r="D3562" i="30"/>
  <c r="D3563" i="30" l="1"/>
  <c r="A3564" i="30"/>
  <c r="D3564" i="30" l="1"/>
  <c r="A3565" i="30"/>
  <c r="A3566" i="30" l="1"/>
  <c r="D3565" i="30"/>
  <c r="A3567" i="30" l="1"/>
  <c r="D3566" i="30"/>
  <c r="D3567" i="30" l="1"/>
  <c r="A3568" i="30"/>
  <c r="D3568" i="30" l="1"/>
  <c r="A3569" i="30"/>
  <c r="A3570" i="30" l="1"/>
  <c r="D3569" i="30"/>
  <c r="A3571" i="30" l="1"/>
  <c r="D3570" i="30"/>
  <c r="D3571" i="30" l="1"/>
  <c r="A3572" i="30"/>
  <c r="D3572" i="30" l="1"/>
  <c r="A3573" i="30"/>
  <c r="A3574" i="30" l="1"/>
  <c r="D3573" i="30"/>
  <c r="A3575" i="30" l="1"/>
  <c r="D3574" i="30"/>
  <c r="D3575" i="30" l="1"/>
  <c r="A3576" i="30"/>
  <c r="D3576" i="30" l="1"/>
  <c r="A3577" i="30"/>
  <c r="A3578" i="30" l="1"/>
  <c r="D3577" i="30"/>
  <c r="A3579" i="30" l="1"/>
  <c r="D3578" i="30"/>
  <c r="D3579" i="30" l="1"/>
  <c r="A3580" i="30"/>
  <c r="D3580" i="30" l="1"/>
  <c r="A3581" i="30"/>
  <c r="A3582" i="30" l="1"/>
  <c r="D3581" i="30"/>
  <c r="A3583" i="30" l="1"/>
  <c r="D3582" i="30"/>
  <c r="D3583" i="30" l="1"/>
  <c r="A3584" i="30"/>
  <c r="D3584" i="30" l="1"/>
  <c r="A3585" i="30"/>
  <c r="A3586" i="30" l="1"/>
  <c r="D3585" i="30"/>
  <c r="A3587" i="30" l="1"/>
  <c r="D3586" i="30"/>
  <c r="D3587" i="30" l="1"/>
  <c r="A3588" i="30"/>
  <c r="D3588" i="30" l="1"/>
  <c r="A3589" i="30"/>
  <c r="A3590" i="30" l="1"/>
  <c r="D3589" i="30"/>
  <c r="A3591" i="30" l="1"/>
  <c r="D3590" i="30"/>
  <c r="D3591" i="30" l="1"/>
  <c r="A3592" i="30"/>
  <c r="D3592" i="30" l="1"/>
  <c r="A3593" i="30"/>
  <c r="A3594" i="30" l="1"/>
  <c r="D3593" i="30"/>
  <c r="A3595" i="30" l="1"/>
  <c r="D3594" i="30"/>
  <c r="D3595" i="30" l="1"/>
  <c r="A3596" i="30"/>
  <c r="D3596" i="30" l="1"/>
  <c r="A3597" i="30"/>
  <c r="D3597" i="30" l="1"/>
  <c r="A3598" i="30"/>
  <c r="A3599" i="30" l="1"/>
  <c r="D3598" i="30"/>
  <c r="A3600" i="30" l="1"/>
  <c r="D3599" i="30"/>
  <c r="D3600" i="30" l="1"/>
  <c r="A3601" i="30"/>
  <c r="A3602" i="30" l="1"/>
  <c r="D3601" i="30"/>
  <c r="A3603" i="30" l="1"/>
  <c r="D3602" i="30"/>
  <c r="D3603" i="30" l="1"/>
  <c r="A3604" i="30"/>
  <c r="D3604" i="30" l="1"/>
  <c r="A3605" i="30"/>
  <c r="D3605" i="30" l="1"/>
  <c r="A3606" i="30"/>
  <c r="A3607" i="30" l="1"/>
  <c r="D3606" i="30"/>
  <c r="A3608" i="30" l="1"/>
  <c r="D3607" i="30"/>
  <c r="D3608" i="30" l="1"/>
  <c r="A3609" i="30"/>
  <c r="A3610" i="30" l="1"/>
  <c r="D3609" i="30"/>
  <c r="A3611" i="30" l="1"/>
  <c r="D3610" i="30"/>
  <c r="D3611" i="30" l="1"/>
  <c r="A3612" i="30"/>
  <c r="D3612" i="30" l="1"/>
  <c r="A3613" i="30"/>
  <c r="D3613" i="30" l="1"/>
  <c r="A3614" i="30"/>
  <c r="A3615" i="30" l="1"/>
  <c r="D3614" i="30"/>
  <c r="A3616" i="30" l="1"/>
  <c r="D3615" i="30"/>
  <c r="D3616" i="30" l="1"/>
  <c r="A3617" i="30"/>
  <c r="A3618" i="30" l="1"/>
  <c r="D3617" i="30"/>
  <c r="A3619" i="30" l="1"/>
  <c r="D3618" i="30"/>
  <c r="A3620" i="30" l="1"/>
  <c r="D3619" i="30"/>
  <c r="D3620" i="30" l="1"/>
  <c r="A3621" i="30"/>
  <c r="D3621" i="30" l="1"/>
  <c r="A3622" i="30"/>
  <c r="A3623" i="30" l="1"/>
  <c r="D3622" i="30"/>
  <c r="A3624" i="30" l="1"/>
  <c r="D3623" i="30"/>
  <c r="D3624" i="30" l="1"/>
  <c r="A3625" i="30"/>
  <c r="D3625" i="30" l="1"/>
  <c r="A3626" i="30"/>
  <c r="A3627" i="30" l="1"/>
  <c r="D3626" i="30"/>
  <c r="A3628" i="30" l="1"/>
  <c r="D3627" i="30"/>
  <c r="D3628" i="30" l="1"/>
  <c r="A3629" i="30"/>
  <c r="D3629" i="30" l="1"/>
  <c r="A3630" i="30"/>
  <c r="A3631" i="30" l="1"/>
  <c r="D3630" i="30"/>
  <c r="A3632" i="30" l="1"/>
  <c r="D3631" i="30"/>
  <c r="D3632" i="30" l="1"/>
  <c r="A3633" i="30"/>
  <c r="D3633" i="30" l="1"/>
  <c r="A3634" i="30"/>
  <c r="A3635" i="30" l="1"/>
  <c r="D3634" i="30"/>
  <c r="A3636" i="30" l="1"/>
  <c r="D3635" i="30"/>
  <c r="D3636" i="30" l="1"/>
  <c r="A3637" i="30"/>
  <c r="D3637" i="30" l="1"/>
  <c r="A3638" i="30"/>
  <c r="A3639" i="30" l="1"/>
  <c r="D3638" i="30"/>
  <c r="A3640" i="30" l="1"/>
  <c r="D3639" i="30"/>
  <c r="D3640" i="30" l="1"/>
  <c r="A3641" i="30"/>
  <c r="D3641" i="30" l="1"/>
  <c r="A3642" i="30"/>
  <c r="A3643" i="30" l="1"/>
  <c r="D3642" i="30"/>
  <c r="A3644" i="30" l="1"/>
  <c r="D3643" i="30"/>
  <c r="D3644" i="30" l="1"/>
  <c r="A3645" i="30"/>
  <c r="D3645" i="30" l="1"/>
  <c r="A3646" i="30"/>
  <c r="A3647" i="30" l="1"/>
  <c r="D3646" i="30"/>
  <c r="A3648" i="30" l="1"/>
  <c r="D3647" i="30"/>
  <c r="D3648" i="30" l="1"/>
  <c r="A3649" i="30"/>
  <c r="D3649" i="30" l="1"/>
  <c r="A3650" i="30"/>
  <c r="A3651" i="30" l="1"/>
  <c r="D3650" i="30"/>
  <c r="A3652" i="30" l="1"/>
  <c r="D3651" i="30"/>
  <c r="D3652" i="30" l="1"/>
  <c r="A3653" i="30"/>
  <c r="D3653" i="30" l="1"/>
  <c r="A3654" i="30"/>
  <c r="A3655" i="30" l="1"/>
  <c r="D3654" i="30"/>
  <c r="V759" i="32" l="1"/>
  <c r="A3656" i="30"/>
  <c r="D3655" i="30"/>
  <c r="D3656" i="30" l="1"/>
  <c r="A3657" i="30"/>
  <c r="D3657" i="30" l="1"/>
  <c r="A3658" i="30"/>
  <c r="A3659" i="30" l="1"/>
  <c r="D3658" i="30"/>
  <c r="A3660" i="30" l="1"/>
  <c r="D3659" i="30"/>
  <c r="D3660" i="30" l="1"/>
  <c r="A3661" i="30"/>
  <c r="D3661" i="30" l="1"/>
  <c r="A3662" i="30"/>
  <c r="A3663" i="30" l="1"/>
  <c r="D3662" i="30"/>
  <c r="A3664" i="30" l="1"/>
  <c r="D3663" i="30"/>
  <c r="D3664" i="30" l="1"/>
  <c r="A3665" i="30"/>
  <c r="D3665" i="30" l="1"/>
  <c r="A3666" i="30"/>
  <c r="A3667" i="30" l="1"/>
  <c r="D3666" i="30"/>
  <c r="A3668" i="30" l="1"/>
  <c r="D3667" i="30"/>
  <c r="D3668" i="30" l="1"/>
  <c r="A3669" i="30"/>
  <c r="D3669" i="30" l="1"/>
  <c r="A3670" i="30"/>
  <c r="A3671" i="30" l="1"/>
  <c r="D3670" i="30"/>
  <c r="A3672" i="30" l="1"/>
  <c r="D3671" i="30"/>
  <c r="D3672" i="30" l="1"/>
  <c r="A3673" i="30"/>
  <c r="D3673" i="30" l="1"/>
  <c r="A3674" i="30"/>
  <c r="A3675" i="30" l="1"/>
  <c r="D3674" i="30"/>
  <c r="A3676" i="30" l="1"/>
  <c r="D3675" i="30"/>
  <c r="D3676" i="30" l="1"/>
  <c r="A3677" i="30"/>
  <c r="D3677" i="30" l="1"/>
  <c r="A3678" i="30"/>
  <c r="A3679" i="30" l="1"/>
  <c r="D3678" i="30"/>
  <c r="A3680" i="30" l="1"/>
  <c r="D3679" i="30"/>
  <c r="D3680" i="30" l="1"/>
  <c r="A3681" i="30"/>
  <c r="D3681" i="30" l="1"/>
  <c r="A3682" i="30"/>
  <c r="A3683" i="30" l="1"/>
  <c r="D3682" i="30"/>
  <c r="A3684" i="30" l="1"/>
  <c r="D3683" i="30"/>
  <c r="D3684" i="30" l="1"/>
  <c r="A3685" i="30"/>
  <c r="D3685" i="30" l="1"/>
  <c r="A3686" i="30"/>
  <c r="A3687" i="30" l="1"/>
  <c r="D3686" i="30"/>
  <c r="A3688" i="30" l="1"/>
  <c r="D3687" i="30"/>
  <c r="D3688" i="30" l="1"/>
  <c r="A3689" i="30"/>
  <c r="D3689" i="30" l="1"/>
  <c r="A3690" i="30"/>
  <c r="A3691" i="30" l="1"/>
  <c r="D3690" i="30"/>
  <c r="A3692" i="30" l="1"/>
  <c r="D3691" i="30"/>
  <c r="D3692" i="30" l="1"/>
  <c r="A3693" i="30"/>
  <c r="D3693" i="30" l="1"/>
  <c r="A3694" i="30"/>
  <c r="A3695" i="30" l="1"/>
  <c r="D3694" i="30"/>
  <c r="A3696" i="30" l="1"/>
  <c r="D3695" i="30"/>
  <c r="D3696" i="30" l="1"/>
  <c r="A3697" i="30"/>
  <c r="D3697" i="30" l="1"/>
  <c r="A3698" i="30"/>
  <c r="A3699" i="30" l="1"/>
  <c r="D3698" i="30"/>
  <c r="A3700" i="30" l="1"/>
  <c r="D3699" i="30"/>
  <c r="D3700" i="30" l="1"/>
  <c r="A3701" i="30"/>
  <c r="D3701" i="30" l="1"/>
  <c r="A3702" i="30"/>
  <c r="A3703" i="30" l="1"/>
  <c r="D3702" i="30"/>
  <c r="A3704" i="30" l="1"/>
  <c r="D3703" i="30"/>
  <c r="D3704" i="30" l="1"/>
  <c r="A3705" i="30"/>
  <c r="D3705" i="30" l="1"/>
  <c r="A3706" i="30"/>
  <c r="A3707" i="30" l="1"/>
  <c r="D3706" i="30"/>
  <c r="A3708" i="30" l="1"/>
  <c r="D3707" i="30"/>
  <c r="D3708" i="30" l="1"/>
  <c r="A3709" i="30"/>
  <c r="D3709" i="30" l="1"/>
  <c r="A3710" i="30"/>
  <c r="A3711" i="30" l="1"/>
  <c r="D3710" i="30"/>
  <c r="A3712" i="30" l="1"/>
  <c r="D3711" i="30"/>
  <c r="D3712" i="30" l="1"/>
  <c r="A3713" i="30"/>
  <c r="D3713" i="30" l="1"/>
  <c r="A3714" i="30"/>
  <c r="A3715" i="30" l="1"/>
  <c r="D3714" i="30"/>
  <c r="A3716" i="30" l="1"/>
  <c r="D3715" i="30"/>
  <c r="D3716" i="30" l="1"/>
  <c r="A3717" i="30"/>
  <c r="D3717" i="30" l="1"/>
  <c r="A3718" i="30"/>
  <c r="A3719" i="30" l="1"/>
  <c r="D3718" i="30"/>
  <c r="A3720" i="30" l="1"/>
  <c r="D3719" i="30"/>
  <c r="D3720" i="30" l="1"/>
  <c r="A3721" i="30"/>
  <c r="D3721" i="30" l="1"/>
  <c r="A3722" i="30"/>
  <c r="A3723" i="30" l="1"/>
  <c r="D3722" i="30"/>
  <c r="A3724" i="30" l="1"/>
  <c r="D3723" i="30"/>
  <c r="D3724" i="30" l="1"/>
  <c r="A3725" i="30"/>
  <c r="D3725" i="30" l="1"/>
  <c r="A3726" i="30"/>
  <c r="A3727" i="30" l="1"/>
  <c r="D3726" i="30"/>
  <c r="A3728" i="30" l="1"/>
  <c r="D3727" i="30"/>
  <c r="D3728" i="30" l="1"/>
  <c r="A3729" i="30"/>
  <c r="D3729" i="30" l="1"/>
  <c r="A3730" i="30"/>
  <c r="A3731" i="30" l="1"/>
  <c r="D3730" i="30"/>
  <c r="A3732" i="30" l="1"/>
  <c r="D3731" i="30"/>
  <c r="D3732" i="30" l="1"/>
  <c r="A3733" i="30"/>
  <c r="D3733" i="30" l="1"/>
  <c r="A3734" i="30"/>
  <c r="A3735" i="30" l="1"/>
  <c r="D3734" i="30"/>
  <c r="A3736" i="30" l="1"/>
  <c r="D3735" i="30"/>
  <c r="D3736" i="30" l="1"/>
  <c r="A3737" i="30"/>
  <c r="D3737" i="30" l="1"/>
  <c r="A3738" i="30"/>
  <c r="A3739" i="30" l="1"/>
  <c r="D3738" i="30"/>
  <c r="A3740" i="30" l="1"/>
  <c r="D3739" i="30"/>
  <c r="D3740" i="30" l="1"/>
  <c r="A3741" i="30"/>
  <c r="D3741" i="30" l="1"/>
  <c r="A3742" i="30"/>
  <c r="A3743" i="30" l="1"/>
  <c r="D3742" i="30"/>
  <c r="A3744" i="30" l="1"/>
  <c r="D3743" i="30"/>
  <c r="D3744" i="30" l="1"/>
  <c r="A3745" i="30"/>
  <c r="D3745" i="30" l="1"/>
  <c r="A3746" i="30"/>
  <c r="A3747" i="30" l="1"/>
  <c r="D3746" i="30"/>
  <c r="A3748" i="30" l="1"/>
  <c r="D3747" i="30"/>
  <c r="D3748" i="30" l="1"/>
  <c r="A3749" i="30"/>
  <c r="D3749" i="30" l="1"/>
  <c r="A3750" i="30"/>
  <c r="A3751" i="30" l="1"/>
  <c r="D3750" i="30"/>
  <c r="A3752" i="30" l="1"/>
  <c r="D3751" i="30"/>
  <c r="D3752" i="30" l="1"/>
  <c r="A3753" i="30"/>
  <c r="D3753" i="30" l="1"/>
  <c r="A3754" i="30"/>
  <c r="A3755" i="30" l="1"/>
  <c r="D3754" i="30"/>
  <c r="A3756" i="30" l="1"/>
  <c r="D3755" i="30"/>
  <c r="D3756" i="30" l="1"/>
  <c r="A3757" i="30"/>
  <c r="D3757" i="30" l="1"/>
  <c r="A3758" i="30"/>
  <c r="A3759" i="30" l="1"/>
  <c r="D3758" i="30"/>
  <c r="A3760" i="30" l="1"/>
  <c r="D3759" i="30"/>
  <c r="D3760" i="30" l="1"/>
  <c r="A3761" i="30"/>
  <c r="A3762" i="30" l="1"/>
  <c r="D3761" i="30"/>
  <c r="A3763" i="30" l="1"/>
  <c r="D3762" i="30"/>
  <c r="A3764" i="30" l="1"/>
  <c r="D3763" i="30"/>
  <c r="D3764" i="30" l="1"/>
  <c r="A3765" i="30"/>
  <c r="D3765" i="30" l="1"/>
  <c r="A3766" i="30"/>
  <c r="A3767" i="30" l="1"/>
  <c r="D3766" i="30"/>
  <c r="A3768" i="30" l="1"/>
  <c r="D3767" i="30"/>
  <c r="D3768" i="30" l="1"/>
  <c r="A3769" i="30"/>
  <c r="A3770" i="30" l="1"/>
  <c r="D3769" i="30"/>
  <c r="A3771" i="30" l="1"/>
  <c r="D3770" i="30"/>
  <c r="A3772" i="30" l="1"/>
  <c r="D3771" i="30"/>
  <c r="D3772" i="30" l="1"/>
  <c r="A3773" i="30"/>
  <c r="D3773" i="30" l="1"/>
  <c r="A3774" i="30"/>
  <c r="A3775" i="30" l="1"/>
  <c r="D3774" i="30"/>
  <c r="A3776" i="30" l="1"/>
  <c r="D3775" i="30"/>
  <c r="D3776" i="30" l="1"/>
  <c r="A3777" i="30"/>
  <c r="A3778" i="30" l="1"/>
  <c r="D3777" i="30"/>
  <c r="A3779" i="30" l="1"/>
  <c r="D3778" i="30"/>
  <c r="A3780" i="30" l="1"/>
  <c r="D3779" i="30"/>
  <c r="D3780" i="30" l="1"/>
  <c r="A3781" i="30"/>
  <c r="D3781" i="30" l="1"/>
  <c r="A3782" i="30"/>
  <c r="A3783" i="30" l="1"/>
  <c r="D3782" i="30"/>
  <c r="A3784" i="30" l="1"/>
  <c r="D3783" i="30"/>
  <c r="D3784" i="30" l="1"/>
  <c r="A3785" i="30"/>
  <c r="A3786" i="30" l="1"/>
  <c r="D3785" i="30"/>
  <c r="A3787" i="30" l="1"/>
  <c r="D3786" i="30"/>
  <c r="A3788" i="30" l="1"/>
  <c r="D3787" i="30"/>
  <c r="D3788" i="30" l="1"/>
  <c r="A3789" i="30"/>
  <c r="D3789" i="30" l="1"/>
  <c r="A3790" i="30"/>
  <c r="A3791" i="30" l="1"/>
  <c r="D3790" i="30"/>
  <c r="A3792" i="30" l="1"/>
  <c r="D3791" i="30"/>
  <c r="D3792" i="30" l="1"/>
  <c r="A3793" i="30"/>
  <c r="D3793" i="30" l="1"/>
  <c r="A3794" i="30"/>
  <c r="A3795" i="30" l="1"/>
  <c r="D3794" i="30"/>
  <c r="A3796" i="30" l="1"/>
  <c r="D3795" i="30"/>
  <c r="D3796" i="30" l="1"/>
  <c r="A3797" i="30"/>
  <c r="D3797" i="30" l="1"/>
  <c r="A3798" i="30"/>
  <c r="A3799" i="30" l="1"/>
  <c r="D3798" i="30"/>
  <c r="A3800" i="30" l="1"/>
  <c r="D3799" i="30"/>
  <c r="D3800" i="30" l="1"/>
  <c r="A3801" i="30"/>
  <c r="D3801" i="30" l="1"/>
  <c r="A3802" i="30"/>
  <c r="A3803" i="30" l="1"/>
  <c r="D3802" i="30"/>
  <c r="A3804" i="30" l="1"/>
  <c r="D3803" i="30"/>
  <c r="D3804" i="30" l="1"/>
  <c r="A3805" i="30"/>
  <c r="D3805" i="30" l="1"/>
  <c r="A3806" i="30"/>
  <c r="A3807" i="30" l="1"/>
  <c r="D3806" i="30"/>
  <c r="A3808" i="30" l="1"/>
  <c r="D3807" i="30"/>
  <c r="D3808" i="30" l="1"/>
  <c r="A3809" i="30"/>
  <c r="D3809" i="30" l="1"/>
  <c r="A3810" i="30"/>
  <c r="A3811" i="30" l="1"/>
  <c r="D3810" i="30"/>
  <c r="A3812" i="30" l="1"/>
  <c r="D3811" i="30"/>
  <c r="D3812" i="30" l="1"/>
  <c r="A3813" i="30"/>
  <c r="D3813" i="30" l="1"/>
  <c r="A3814" i="30"/>
  <c r="A3815" i="30" l="1"/>
  <c r="D3814" i="30"/>
  <c r="A3816" i="30" l="1"/>
  <c r="D3815" i="30"/>
  <c r="D3816" i="30" l="1"/>
  <c r="A3817" i="30"/>
  <c r="D3817" i="30" l="1"/>
  <c r="A3818" i="30"/>
  <c r="A3819" i="30" l="1"/>
  <c r="D3818" i="30"/>
  <c r="A3820" i="30" l="1"/>
  <c r="D3819" i="30"/>
  <c r="D3820" i="30" l="1"/>
  <c r="A3821" i="30"/>
  <c r="D3821" i="30" l="1"/>
  <c r="A3822" i="30"/>
  <c r="A3823" i="30" l="1"/>
  <c r="D3822" i="30"/>
  <c r="A3824" i="30" l="1"/>
  <c r="D3823" i="30"/>
  <c r="D3824" i="30" l="1"/>
  <c r="A3825" i="30"/>
  <c r="D3825" i="30" l="1"/>
  <c r="A3826" i="30"/>
  <c r="A3827" i="30" l="1"/>
  <c r="D3826" i="30"/>
  <c r="A3828" i="30" l="1"/>
  <c r="D3827" i="30"/>
  <c r="D3828" i="30" l="1"/>
  <c r="A3829" i="30"/>
  <c r="D3829" i="30" l="1"/>
  <c r="A3830" i="30"/>
  <c r="A3831" i="30" l="1"/>
  <c r="D3830" i="30"/>
  <c r="A3832" i="30" l="1"/>
  <c r="D3831" i="30"/>
  <c r="D3832" i="30" l="1"/>
  <c r="A3833" i="30"/>
  <c r="D3833" i="30" l="1"/>
  <c r="A3834" i="30"/>
  <c r="A3835" i="30" l="1"/>
  <c r="D3834" i="30"/>
  <c r="A3836" i="30" l="1"/>
  <c r="D3835" i="30"/>
  <c r="D3836" i="30" l="1"/>
  <c r="A3837" i="30"/>
  <c r="D3837" i="30" l="1"/>
  <c r="A3838" i="30"/>
  <c r="A3839" i="30" l="1"/>
  <c r="D3838" i="30"/>
  <c r="A3840" i="30" l="1"/>
  <c r="D3839" i="30"/>
  <c r="D3840" i="30" l="1"/>
  <c r="A3841" i="30"/>
  <c r="D3841" i="30" l="1"/>
  <c r="A3842" i="30"/>
  <c r="A3843" i="30" l="1"/>
  <c r="D3842" i="30"/>
  <c r="A3844" i="30" l="1"/>
  <c r="D3843" i="30"/>
  <c r="D3844" i="30" l="1"/>
  <c r="A3845" i="30"/>
  <c r="D3845" i="30" l="1"/>
  <c r="A3846" i="30"/>
  <c r="A3847" i="30" l="1"/>
  <c r="D3846" i="30"/>
  <c r="A3848" i="30" l="1"/>
  <c r="D3847" i="30"/>
  <c r="D3848" i="30" l="1"/>
  <c r="A3849" i="30"/>
  <c r="D3849" i="30" l="1"/>
  <c r="A3850" i="30"/>
  <c r="A3851" i="30" l="1"/>
  <c r="D3850" i="30"/>
  <c r="A3852" i="30" l="1"/>
  <c r="D3851" i="30"/>
  <c r="D3852" i="30" l="1"/>
  <c r="A3853" i="30"/>
  <c r="D3853" i="30" l="1"/>
  <c r="A3854" i="30"/>
  <c r="A3855" i="30" l="1"/>
  <c r="D3854" i="30"/>
  <c r="A3856" i="30" l="1"/>
  <c r="D3855" i="30"/>
  <c r="D3856" i="30" l="1"/>
  <c r="A3857" i="30"/>
  <c r="D3857" i="30" l="1"/>
  <c r="A3858" i="30"/>
  <c r="A3859" i="30" l="1"/>
  <c r="D3858" i="30"/>
  <c r="A3860" i="30" l="1"/>
  <c r="D3859" i="30"/>
  <c r="D3860" i="30" l="1"/>
  <c r="A3861" i="30"/>
  <c r="D3861" i="30" l="1"/>
  <c r="A3862" i="30"/>
  <c r="A3863" i="30" l="1"/>
  <c r="D3862" i="30"/>
  <c r="A3864" i="30" l="1"/>
  <c r="D3863" i="30"/>
  <c r="D3864" i="30" l="1"/>
  <c r="A3865" i="30"/>
  <c r="D3865" i="30" l="1"/>
  <c r="A3866" i="30"/>
  <c r="A3867" i="30" l="1"/>
  <c r="D3866" i="30"/>
  <c r="A3868" i="30" l="1"/>
  <c r="D3867" i="30"/>
  <c r="D3868" i="30" l="1"/>
  <c r="A3869" i="30"/>
  <c r="D3869" i="30" l="1"/>
  <c r="A3870" i="30"/>
  <c r="A3871" i="30" l="1"/>
  <c r="D3870" i="30"/>
  <c r="A3872" i="30" l="1"/>
  <c r="D3871" i="30"/>
  <c r="D3872" i="30" l="1"/>
  <c r="A3873" i="30"/>
  <c r="D3873" i="30" l="1"/>
  <c r="A3874" i="30"/>
  <c r="A3875" i="30" l="1"/>
  <c r="D3874" i="30"/>
  <c r="A3876" i="30" l="1"/>
  <c r="D3875" i="30"/>
  <c r="D3876" i="30" l="1"/>
  <c r="A3877" i="30"/>
  <c r="D3877" i="30" l="1"/>
  <c r="A3878" i="30"/>
  <c r="A3879" i="30" l="1"/>
  <c r="D3878" i="30"/>
  <c r="A3880" i="30" l="1"/>
  <c r="D3879" i="30"/>
  <c r="D3880" i="30" l="1"/>
  <c r="A3881" i="30"/>
  <c r="D3881" i="30" l="1"/>
  <c r="A3882" i="30"/>
  <c r="A3883" i="30" l="1"/>
  <c r="D3882" i="30"/>
  <c r="A3884" i="30" l="1"/>
  <c r="D3883" i="30"/>
  <c r="D3884" i="30" l="1"/>
  <c r="A3885" i="30"/>
  <c r="D3885" i="30" l="1"/>
  <c r="A3886" i="30"/>
  <c r="A3887" i="30" l="1"/>
  <c r="D3886" i="30"/>
  <c r="A3888" i="30" l="1"/>
  <c r="D3887" i="30"/>
  <c r="D3888" i="30" l="1"/>
  <c r="A3889" i="30"/>
  <c r="D3889" i="30" l="1"/>
  <c r="A3890" i="30"/>
  <c r="A3891" i="30" l="1"/>
  <c r="D3890" i="30"/>
  <c r="A3892" i="30" l="1"/>
  <c r="D3891" i="30"/>
  <c r="D3892" i="30" l="1"/>
  <c r="A3893" i="30"/>
  <c r="D3893" i="30" l="1"/>
  <c r="A3894" i="30"/>
  <c r="A3895" i="30" l="1"/>
  <c r="D3894" i="30"/>
  <c r="A3896" i="30" l="1"/>
  <c r="D3895" i="30"/>
  <c r="D3896" i="30" l="1"/>
  <c r="A3897" i="30"/>
  <c r="D3897" i="30" l="1"/>
  <c r="A3898" i="30"/>
  <c r="A3899" i="30" l="1"/>
  <c r="D3898" i="30"/>
  <c r="A3900" i="30" l="1"/>
  <c r="D3899" i="30"/>
  <c r="D3900" i="30" l="1"/>
  <c r="A3901" i="30"/>
  <c r="D3901" i="30" l="1"/>
  <c r="A3902" i="30"/>
  <c r="A3903" i="30" l="1"/>
  <c r="D3902" i="30"/>
  <c r="A3904" i="30" l="1"/>
  <c r="D3903" i="30"/>
  <c r="D3904" i="30" l="1"/>
  <c r="A3905" i="30"/>
  <c r="D3905" i="30" l="1"/>
  <c r="A3906" i="30"/>
  <c r="A3907" i="30" l="1"/>
  <c r="D3906" i="30"/>
  <c r="A3908" i="30" l="1"/>
  <c r="D3907" i="30"/>
  <c r="D3908" i="30" l="1"/>
  <c r="A3909" i="30"/>
  <c r="D3909" i="30" l="1"/>
  <c r="A3910" i="30"/>
  <c r="D3910" i="30" l="1"/>
  <c r="A3911" i="30"/>
  <c r="A3912" i="30" l="1"/>
  <c r="D3911" i="30"/>
  <c r="D3912" i="30" l="1"/>
  <c r="A3913" i="30"/>
  <c r="D3913" i="30" l="1"/>
  <c r="A3914" i="30"/>
  <c r="A3915" i="30" l="1"/>
  <c r="D3914" i="30"/>
  <c r="A3916" i="30" l="1"/>
  <c r="D3915" i="30"/>
  <c r="A3917" i="30" l="1"/>
  <c r="D3916" i="30"/>
  <c r="D3917" i="30" l="1"/>
  <c r="A3918" i="30"/>
  <c r="A3919" i="30" l="1"/>
  <c r="D3918" i="30"/>
  <c r="A3920" i="30" l="1"/>
  <c r="D3919" i="30"/>
  <c r="A3921" i="30" l="1"/>
  <c r="D3920" i="30"/>
  <c r="D3921" i="30" l="1"/>
  <c r="A3922" i="30"/>
  <c r="A3923" i="30" l="1"/>
  <c r="D3922" i="30"/>
  <c r="A3924" i="30" l="1"/>
  <c r="D3923" i="30"/>
  <c r="D3924" i="30" l="1"/>
  <c r="A3925" i="30"/>
  <c r="D3925" i="30" l="1"/>
  <c r="A3926" i="30"/>
  <c r="D3926" i="30" l="1"/>
  <c r="A3927" i="30"/>
  <c r="A3928" i="30" l="1"/>
  <c r="D3927" i="30"/>
  <c r="D3928" i="30" l="1"/>
  <c r="A3929" i="30"/>
  <c r="D3929" i="30" l="1"/>
  <c r="A3930" i="30"/>
  <c r="A3931" i="30" l="1"/>
  <c r="D3930" i="30"/>
  <c r="A3932" i="30" l="1"/>
  <c r="D3931" i="30"/>
  <c r="A3933" i="30" l="1"/>
  <c r="D3932" i="30"/>
  <c r="D3933" i="30" l="1"/>
  <c r="A3934" i="30"/>
  <c r="A3935" i="30" l="1"/>
  <c r="D3934" i="30"/>
  <c r="A3936" i="30" l="1"/>
  <c r="D3935" i="30"/>
  <c r="A3937" i="30" l="1"/>
  <c r="D3936" i="30"/>
  <c r="D3937" i="30" l="1"/>
  <c r="A3938" i="30"/>
  <c r="A3939" i="30" l="1"/>
  <c r="D3938" i="30"/>
  <c r="A3940" i="30" l="1"/>
  <c r="D3939" i="30"/>
  <c r="D3940" i="30" l="1"/>
  <c r="A3941" i="30"/>
  <c r="D3941" i="30" l="1"/>
  <c r="A3942" i="30"/>
  <c r="D3942" i="30" l="1"/>
  <c r="A3943" i="30"/>
  <c r="A3944" i="30" l="1"/>
  <c r="D3943" i="30"/>
  <c r="D3944" i="30" l="1"/>
  <c r="A3945" i="30"/>
  <c r="D3945" i="30" l="1"/>
  <c r="A3946" i="30"/>
  <c r="A3947" i="30" l="1"/>
  <c r="D3946" i="30"/>
  <c r="A3948" i="30" l="1"/>
  <c r="D3947" i="30"/>
  <c r="A3949" i="30" l="1"/>
  <c r="D3948" i="30"/>
  <c r="D3949" i="30" l="1"/>
  <c r="A3950" i="30"/>
  <c r="D3950" i="30" l="1"/>
  <c r="A3951" i="30"/>
  <c r="A3952" i="30" l="1"/>
  <c r="D3951" i="30"/>
  <c r="A3953" i="30" l="1"/>
  <c r="D3952" i="30"/>
  <c r="D3953" i="30" l="1"/>
  <c r="A3954" i="30"/>
  <c r="D3954" i="30" l="1"/>
  <c r="A3955" i="30"/>
  <c r="A3956" i="30" l="1"/>
  <c r="D3955" i="30"/>
  <c r="A3957" i="30" l="1"/>
  <c r="D3956" i="30"/>
  <c r="D3957" i="30" l="1"/>
  <c r="A3958" i="30"/>
  <c r="D3958" i="30" l="1"/>
  <c r="A3959" i="30"/>
  <c r="A3960" i="30" l="1"/>
  <c r="D3959" i="30"/>
  <c r="A3961" i="30" l="1"/>
  <c r="D3960" i="30"/>
  <c r="D3961" i="30" l="1"/>
  <c r="A3962" i="30"/>
  <c r="D3962" i="30" l="1"/>
  <c r="A3963" i="30"/>
  <c r="A3964" i="30" l="1"/>
  <c r="D3963" i="30"/>
  <c r="A3965" i="30" l="1"/>
  <c r="D3964" i="30"/>
  <c r="D3965" i="30" l="1"/>
  <c r="A3966" i="30"/>
  <c r="D3966" i="30" l="1"/>
  <c r="A3967" i="30"/>
  <c r="A3968" i="30" l="1"/>
  <c r="D3967" i="30"/>
  <c r="A3969" i="30" l="1"/>
  <c r="D3968" i="30"/>
  <c r="D3969" i="30" l="1"/>
  <c r="A3970" i="30"/>
  <c r="D3970" i="30" l="1"/>
  <c r="A3971" i="30"/>
  <c r="A3972" i="30" l="1"/>
  <c r="D3971" i="30"/>
  <c r="A3973" i="30" l="1"/>
  <c r="D3972" i="30"/>
  <c r="D3973" i="30" l="1"/>
  <c r="A3974" i="30"/>
  <c r="D3974" i="30" l="1"/>
  <c r="A3975" i="30"/>
  <c r="A3976" i="30" l="1"/>
  <c r="D3975" i="30"/>
  <c r="A3977" i="30" l="1"/>
  <c r="D3976" i="30"/>
  <c r="D3977" i="30" l="1"/>
  <c r="A3978" i="30"/>
  <c r="D3978" i="30" l="1"/>
  <c r="A3979" i="30"/>
  <c r="A3980" i="30" l="1"/>
  <c r="D3979" i="30"/>
  <c r="A3981" i="30" l="1"/>
  <c r="D3980" i="30"/>
  <c r="D3981" i="30" l="1"/>
  <c r="A3982" i="30"/>
  <c r="D3982" i="30" l="1"/>
  <c r="A3983" i="30"/>
  <c r="A3984" i="30" l="1"/>
  <c r="D3983" i="30"/>
  <c r="A3985" i="30" l="1"/>
  <c r="D3984" i="30"/>
  <c r="A3986" i="30" l="1"/>
  <c r="D3985" i="30"/>
  <c r="D3986" i="30" l="1"/>
  <c r="A3987" i="30"/>
  <c r="D3987" i="30" l="1"/>
  <c r="A3988" i="30"/>
  <c r="A3989" i="30" l="1"/>
  <c r="D3988" i="30"/>
  <c r="A3990" i="30" l="1"/>
  <c r="D3989" i="30"/>
  <c r="D3990" i="30" l="1"/>
  <c r="A3991" i="30"/>
  <c r="D3991" i="30" l="1"/>
  <c r="A3992" i="30"/>
  <c r="A3993" i="30" l="1"/>
  <c r="D3992" i="30"/>
  <c r="A3994" i="30" l="1"/>
  <c r="D3993" i="30"/>
  <c r="D3994" i="30" l="1"/>
  <c r="A3995" i="30"/>
  <c r="D3995" i="30" l="1"/>
  <c r="A3996" i="30"/>
  <c r="A3997" i="30" l="1"/>
  <c r="D3996" i="30"/>
  <c r="A3998" i="30" l="1"/>
  <c r="D3997" i="30"/>
  <c r="D3998" i="30" l="1"/>
  <c r="A3999" i="30"/>
  <c r="D3999" i="30" l="1"/>
  <c r="A4000" i="30"/>
  <c r="A4001" i="30" l="1"/>
  <c r="D4000" i="30"/>
  <c r="A4002" i="30" l="1"/>
  <c r="D4001" i="30"/>
  <c r="D4002" i="30" l="1"/>
  <c r="A4003" i="30"/>
  <c r="D4003" i="30" l="1"/>
  <c r="A4004" i="30"/>
  <c r="A4005" i="30" l="1"/>
  <c r="D4004" i="30"/>
  <c r="A4006" i="30" l="1"/>
  <c r="D4005" i="30"/>
  <c r="D4006" i="30" l="1"/>
  <c r="A4007" i="30"/>
  <c r="D4007" i="30" l="1"/>
  <c r="A4008" i="30"/>
  <c r="A4009" i="30" l="1"/>
  <c r="D4008" i="30"/>
  <c r="A4010" i="30" l="1"/>
  <c r="D4009" i="30"/>
  <c r="D4010" i="30" l="1"/>
  <c r="A4011" i="30"/>
  <c r="D4011" i="30" l="1"/>
  <c r="A4012" i="30"/>
  <c r="A4013" i="30" l="1"/>
  <c r="D4012" i="30"/>
  <c r="A4014" i="30" l="1"/>
  <c r="D4013" i="30"/>
  <c r="D4014" i="30" l="1"/>
  <c r="A4015" i="30"/>
  <c r="D4015" i="30" l="1"/>
  <c r="A4016" i="30"/>
  <c r="A4017" i="30" l="1"/>
  <c r="D4016" i="30"/>
  <c r="A4018" i="30" l="1"/>
  <c r="D4017" i="30"/>
  <c r="D4018" i="30" l="1"/>
  <c r="A4019" i="30"/>
  <c r="D4019" i="30" l="1"/>
  <c r="A4020" i="30"/>
  <c r="A4021" i="30" l="1"/>
  <c r="D4020" i="30"/>
  <c r="A4022" i="30" l="1"/>
  <c r="D4021" i="30"/>
  <c r="D4022" i="30" l="1"/>
  <c r="A4023" i="30"/>
  <c r="D4023" i="30" l="1"/>
  <c r="A4024" i="30"/>
  <c r="A4025" i="30" l="1"/>
  <c r="D4024" i="30"/>
  <c r="A4026" i="30" l="1"/>
  <c r="D4025" i="30"/>
  <c r="D4026" i="30" l="1"/>
  <c r="A4027" i="30"/>
  <c r="D4027" i="30" l="1"/>
  <c r="A4028" i="30"/>
  <c r="A4029" i="30" l="1"/>
  <c r="D4028" i="30"/>
  <c r="A4030" i="30" l="1"/>
  <c r="D4029" i="30"/>
  <c r="D4030" i="30" l="1"/>
  <c r="A4031" i="30"/>
  <c r="D4031" i="30" l="1"/>
  <c r="A4032" i="30"/>
  <c r="A4033" i="30" l="1"/>
  <c r="D4032" i="30"/>
  <c r="A4034" i="30" l="1"/>
  <c r="D4033" i="30"/>
  <c r="D4034" i="30" l="1"/>
  <c r="A4035" i="30"/>
  <c r="D4035" i="30" l="1"/>
  <c r="A4036" i="30"/>
  <c r="A4037" i="30" l="1"/>
  <c r="D4036" i="30"/>
  <c r="A4038" i="30" l="1"/>
  <c r="D4037" i="30"/>
  <c r="D4038" i="30" l="1"/>
  <c r="A4039" i="30"/>
  <c r="D4039" i="30" l="1"/>
  <c r="A4040" i="30"/>
  <c r="A4041" i="30" l="1"/>
  <c r="D4040" i="30"/>
  <c r="A4042" i="30" l="1"/>
  <c r="D4041" i="30"/>
  <c r="D4042" i="30" l="1"/>
  <c r="A4043" i="30"/>
  <c r="D4043" i="30" l="1"/>
  <c r="A4044" i="30"/>
  <c r="D4044" i="30" l="1"/>
  <c r="A4045" i="30"/>
  <c r="A4046" i="30" l="1"/>
  <c r="D4045" i="30"/>
  <c r="A4047" i="30" l="1"/>
  <c r="D4046" i="30"/>
  <c r="D4047" i="30" l="1"/>
  <c r="A4048" i="30"/>
  <c r="A4049" i="30" l="1"/>
  <c r="D4048" i="30"/>
  <c r="A4050" i="30" l="1"/>
  <c r="D4049" i="30"/>
  <c r="D4050" i="30" l="1"/>
  <c r="A4051" i="30"/>
  <c r="D4051" i="30" l="1"/>
  <c r="A4052" i="30"/>
  <c r="D4052" i="30" l="1"/>
  <c r="A4053" i="30"/>
  <c r="A4054" i="30" l="1"/>
  <c r="D4053" i="30"/>
  <c r="A4055" i="30" l="1"/>
  <c r="D4054" i="30"/>
  <c r="D4055" i="30" l="1"/>
  <c r="A4056" i="30"/>
  <c r="A4057" i="30" l="1"/>
  <c r="D4056" i="30"/>
  <c r="A4058" i="30" l="1"/>
  <c r="D4057" i="30"/>
  <c r="D4058" i="30" l="1"/>
  <c r="A4059" i="30"/>
  <c r="D4059" i="30" l="1"/>
  <c r="A4060" i="30"/>
  <c r="D4060" i="30" l="1"/>
  <c r="A4061" i="30"/>
  <c r="A4062" i="30" l="1"/>
  <c r="D4061" i="30"/>
  <c r="A4063" i="30" l="1"/>
  <c r="D4062" i="30"/>
  <c r="D4063" i="30" l="1"/>
  <c r="A4064" i="30"/>
  <c r="A4065" i="30" l="1"/>
  <c r="D4064" i="30"/>
  <c r="A4066" i="30" l="1"/>
  <c r="D4065" i="30"/>
  <c r="D4066" i="30" l="1"/>
  <c r="A4067" i="30"/>
  <c r="D4067" i="30" l="1"/>
  <c r="A4068" i="30"/>
  <c r="D4068" i="30" l="1"/>
  <c r="A4069" i="30"/>
  <c r="A4070" i="30" l="1"/>
  <c r="D4069" i="30"/>
  <c r="A4071" i="30" l="1"/>
  <c r="D4070" i="30"/>
  <c r="D4071" i="30" l="1"/>
  <c r="A4072" i="30"/>
  <c r="A4073" i="30" l="1"/>
  <c r="D4072" i="30"/>
  <c r="A4074" i="30" l="1"/>
  <c r="D4073" i="30"/>
  <c r="D4074" i="30" l="1"/>
  <c r="A4075" i="30"/>
  <c r="D4075" i="30" l="1"/>
  <c r="A4076" i="30"/>
  <c r="D4076" i="30" l="1"/>
  <c r="A4077" i="30"/>
  <c r="A4078" i="30" l="1"/>
  <c r="D4077" i="30"/>
  <c r="A4079" i="30" l="1"/>
  <c r="D4078" i="30"/>
  <c r="D4079" i="30" l="1"/>
  <c r="A4080" i="30"/>
  <c r="A4081" i="30" l="1"/>
  <c r="D4080" i="30"/>
  <c r="A4082" i="30" l="1"/>
  <c r="D4081" i="30"/>
  <c r="D4082" i="30" l="1"/>
  <c r="A4083" i="30"/>
  <c r="D4083" i="30" l="1"/>
  <c r="A4084" i="30"/>
  <c r="D4084" i="30" l="1"/>
  <c r="A4085" i="30"/>
  <c r="A4086" i="30" l="1"/>
  <c r="D4085" i="30"/>
  <c r="A4087" i="30" l="1"/>
  <c r="D4086" i="30"/>
  <c r="D4087" i="30" l="1"/>
  <c r="A4088" i="30"/>
  <c r="A4089" i="30" l="1"/>
  <c r="D4088" i="30"/>
  <c r="A4090" i="30" l="1"/>
  <c r="D4089" i="30"/>
  <c r="D4090" i="30" l="1"/>
  <c r="A4091" i="30"/>
  <c r="D4091" i="30" l="1"/>
  <c r="A4092" i="30"/>
  <c r="D4092" i="30" l="1"/>
  <c r="A4093" i="30"/>
  <c r="A4094" i="30" l="1"/>
  <c r="D4093" i="30"/>
  <c r="A4095" i="30" l="1"/>
  <c r="D4094" i="30"/>
  <c r="D4095" i="30" l="1"/>
  <c r="A4096" i="30"/>
  <c r="A4097" i="30" l="1"/>
  <c r="D4096" i="30" l="1"/>
  <c r="V29" i="32"/>
  <c r="V65" i="32"/>
  <c r="V63" i="32"/>
  <c r="V179" i="32"/>
  <c r="V51" i="32"/>
  <c r="V173" i="32"/>
  <c r="V57" i="32"/>
  <c r="V55" i="32"/>
  <c r="V171" i="32"/>
  <c r="V43" i="32"/>
  <c r="V113" i="32"/>
  <c r="V111" i="32"/>
  <c r="V99" i="32"/>
  <c r="V123" i="32"/>
  <c r="V69" i="32"/>
  <c r="V117" i="32"/>
  <c r="V61" i="32"/>
  <c r="V165" i="32"/>
  <c r="V105" i="32"/>
  <c r="V135" i="32"/>
  <c r="V49" i="32"/>
  <c r="V133" i="32"/>
  <c r="V125" i="32"/>
  <c r="V93" i="32"/>
  <c r="V145" i="32"/>
  <c r="V143" i="32"/>
  <c r="V131" i="32"/>
  <c r="V169" i="32"/>
  <c r="V167" i="32"/>
  <c r="V77" i="32"/>
  <c r="V161" i="32"/>
  <c r="V33" i="32"/>
  <c r="V159" i="32"/>
  <c r="V31" i="32"/>
  <c r="V147" i="32"/>
  <c r="V45" i="32"/>
  <c r="V153" i="32"/>
  <c r="V151" i="32"/>
  <c r="V139" i="32"/>
  <c r="V157" i="32"/>
  <c r="V149" i="32"/>
  <c r="V81" i="32"/>
  <c r="V79" i="32"/>
  <c r="V67" i="32"/>
  <c r="V47" i="32"/>
  <c r="V35" i="32"/>
  <c r="V97" i="32"/>
  <c r="V95" i="32"/>
  <c r="V101" i="32"/>
  <c r="V85" i="32"/>
  <c r="V89" i="32"/>
  <c r="V87" i="32"/>
  <c r="V75" i="32"/>
  <c r="V53" i="32"/>
  <c r="V37" i="32"/>
  <c r="V109" i="32"/>
  <c r="V73" i="32"/>
  <c r="V71" i="32"/>
  <c r="V155" i="32"/>
  <c r="V129" i="32"/>
  <c r="V127" i="32"/>
  <c r="V115" i="32"/>
  <c r="V137" i="32"/>
  <c r="V103" i="32"/>
  <c r="V91" i="32"/>
  <c r="V121" i="32"/>
  <c r="V119" i="32"/>
  <c r="V107" i="32"/>
  <c r="V141" i="32"/>
  <c r="V177" i="32"/>
  <c r="V175" i="32"/>
  <c r="V163" i="32"/>
  <c r="V59" i="32"/>
  <c r="V83" i="32"/>
  <c r="V41" i="32"/>
  <c r="V181" i="32"/>
  <c r="V39" i="32"/>
  <c r="A4098" i="30"/>
  <c r="D4097" i="30"/>
  <c r="V183" i="32" s="1"/>
  <c r="D4098" i="30" l="1"/>
  <c r="V185" i="32" s="1"/>
  <c r="A4099" i="30"/>
  <c r="D4099" i="30" l="1"/>
  <c r="V187" i="32" s="1"/>
  <c r="A4100" i="30"/>
  <c r="D4100" i="30" l="1"/>
  <c r="V189" i="32" s="1"/>
  <c r="A4101" i="30"/>
  <c r="A4102" i="30" l="1"/>
  <c r="D4101" i="30"/>
  <c r="V191" i="32" s="1"/>
  <c r="A4103" i="30" l="1"/>
  <c r="D4102" i="30"/>
  <c r="V193" i="32" s="1"/>
  <c r="D4103" i="30" l="1"/>
  <c r="V195" i="32" s="1"/>
  <c r="A4104" i="30"/>
  <c r="A4105" i="30" l="1"/>
  <c r="D4104" i="30"/>
  <c r="V197" i="32" s="1"/>
  <c r="A4106" i="30" l="1"/>
  <c r="D4105" i="30"/>
  <c r="V199" i="32" s="1"/>
  <c r="D4106" i="30" l="1"/>
  <c r="V201" i="32" s="1"/>
  <c r="A4107" i="30"/>
  <c r="D4107" i="30" l="1"/>
  <c r="V203" i="32" s="1"/>
  <c r="A4108" i="30"/>
  <c r="D4108" i="30" l="1"/>
  <c r="V205" i="32" s="1"/>
  <c r="A4109" i="30"/>
  <c r="A4110" i="30" l="1"/>
  <c r="D4109" i="30"/>
  <c r="V207" i="32" s="1"/>
  <c r="A4111" i="30" l="1"/>
  <c r="D4110" i="30"/>
  <c r="V209" i="32" s="1"/>
  <c r="D4111" i="30" l="1"/>
  <c r="V211" i="32" s="1"/>
  <c r="A4112" i="30"/>
  <c r="A4113" i="30" l="1"/>
  <c r="D4112" i="30"/>
  <c r="V213" i="32" s="1"/>
  <c r="A4114" i="30" l="1"/>
  <c r="D4113" i="30"/>
  <c r="V215" i="32" s="1"/>
  <c r="D4114" i="30" l="1"/>
  <c r="V217" i="32" s="1"/>
  <c r="A4115" i="30"/>
  <c r="D4115" i="30" l="1"/>
  <c r="V219" i="32" s="1"/>
  <c r="A4116" i="30"/>
  <c r="D4116" i="30" l="1"/>
  <c r="V221" i="32" s="1"/>
  <c r="A4117" i="30"/>
  <c r="A4118" i="30" l="1"/>
  <c r="D4117" i="30"/>
  <c r="V223" i="32" s="1"/>
  <c r="A4119" i="30" l="1"/>
  <c r="D4118" i="30"/>
  <c r="V225" i="32" s="1"/>
  <c r="D4119" i="30" l="1"/>
  <c r="V227" i="32" s="1"/>
  <c r="A4120" i="30"/>
  <c r="A4121" i="30" l="1"/>
  <c r="D4120" i="30"/>
  <c r="V229" i="32" s="1"/>
  <c r="A4122" i="30" l="1"/>
  <c r="D4121" i="30"/>
  <c r="V231" i="32" s="1"/>
  <c r="D4122" i="30" l="1"/>
  <c r="V233" i="32" s="1"/>
  <c r="A4123" i="30"/>
  <c r="D4123" i="30" l="1"/>
  <c r="V235" i="32" s="1"/>
  <c r="A4124" i="30"/>
  <c r="A4125" i="30" l="1"/>
  <c r="D4124" i="30"/>
  <c r="V237" i="32" s="1"/>
  <c r="A4126" i="30" l="1"/>
  <c r="D4125" i="30"/>
  <c r="V239" i="32" s="1"/>
  <c r="D4126" i="30" l="1"/>
  <c r="V241" i="32" s="1"/>
  <c r="A4127" i="30"/>
  <c r="D4127" i="30" l="1"/>
  <c r="V243" i="32" s="1"/>
  <c r="A4128" i="30"/>
  <c r="A4129" i="30" l="1"/>
  <c r="D4128" i="30"/>
  <c r="V245" i="32" s="1"/>
  <c r="A4130" i="30" l="1"/>
  <c r="D4129" i="30"/>
  <c r="V247" i="32" s="1"/>
  <c r="D4130" i="30" l="1"/>
  <c r="V249" i="32" s="1"/>
  <c r="A4131" i="30"/>
  <c r="D4131" i="30" l="1"/>
  <c r="V251" i="32" s="1"/>
  <c r="A4132" i="30"/>
  <c r="A4133" i="30" l="1"/>
  <c r="D4132" i="30"/>
  <c r="V253" i="32" s="1"/>
  <c r="A4134" i="30" l="1"/>
  <c r="D4133" i="30"/>
  <c r="V255" i="32" s="1"/>
  <c r="D4134" i="30" l="1"/>
  <c r="V257" i="32" s="1"/>
  <c r="A4135" i="30"/>
  <c r="D4135" i="30" l="1"/>
  <c r="V259" i="32" s="1"/>
  <c r="A4136" i="30"/>
  <c r="A4137" i="30" l="1"/>
  <c r="D4136" i="30"/>
  <c r="V261" i="32" s="1"/>
  <c r="A4138" i="30" l="1"/>
  <c r="D4137" i="30"/>
  <c r="V263" i="32" s="1"/>
  <c r="D4138" i="30" l="1"/>
  <c r="V265" i="32" s="1"/>
  <c r="A4139" i="30"/>
  <c r="D4139" i="30" l="1"/>
  <c r="V267" i="32" s="1"/>
  <c r="A4140" i="30"/>
  <c r="A4141" i="30" l="1"/>
  <c r="D4140" i="30"/>
  <c r="V269" i="32" s="1"/>
  <c r="A4142" i="30" l="1"/>
  <c r="D4141" i="30"/>
  <c r="V271" i="32" s="1"/>
  <c r="D4142" i="30" l="1"/>
  <c r="V273" i="32" s="1"/>
  <c r="A4143" i="30"/>
  <c r="D4143" i="30" l="1"/>
  <c r="V275" i="32" s="1"/>
  <c r="A4144" i="30"/>
  <c r="A4145" i="30" l="1"/>
  <c r="D4144" i="30"/>
  <c r="V277" i="32" s="1"/>
  <c r="A4146" i="30" l="1"/>
  <c r="D4145" i="30"/>
  <c r="V279" i="32" s="1"/>
  <c r="D4146" i="30" l="1"/>
  <c r="V281" i="32" s="1"/>
  <c r="A4147" i="30"/>
  <c r="D4147" i="30" l="1"/>
  <c r="V283" i="32" s="1"/>
  <c r="A4148" i="30"/>
  <c r="A4149" i="30" l="1"/>
  <c r="D4148" i="30"/>
  <c r="V285" i="32" s="1"/>
  <c r="A4150" i="30" l="1"/>
  <c r="D4149" i="30"/>
  <c r="V287" i="32" s="1"/>
  <c r="D4150" i="30" l="1"/>
  <c r="V289" i="32" s="1"/>
  <c r="A4151" i="30"/>
  <c r="D4151" i="30" l="1"/>
  <c r="V291" i="32" s="1"/>
  <c r="A4152" i="30"/>
  <c r="A4153" i="30" l="1"/>
  <c r="D4152" i="30"/>
  <c r="V293" i="32" s="1"/>
  <c r="A4154" i="30" l="1"/>
  <c r="D4153" i="30"/>
  <c r="V295" i="32" s="1"/>
  <c r="D4154" i="30" l="1"/>
  <c r="V297" i="32" s="1"/>
  <c r="A4155" i="30"/>
  <c r="D4155" i="30" l="1"/>
  <c r="V299" i="32" s="1"/>
  <c r="A4156" i="30"/>
  <c r="A4157" i="30" l="1"/>
  <c r="D4156" i="30"/>
  <c r="V301" i="32" s="1"/>
  <c r="A4158" i="30" l="1"/>
  <c r="D4157" i="30"/>
  <c r="V303" i="32" s="1"/>
  <c r="A4159" i="30" l="1"/>
  <c r="D4158" i="30"/>
  <c r="V305" i="32" s="1"/>
  <c r="D4159" i="30" l="1"/>
  <c r="V307" i="32" s="1"/>
  <c r="A4160" i="30"/>
  <c r="D4160" i="30" l="1"/>
  <c r="V309" i="32" s="1"/>
  <c r="A4161" i="30"/>
  <c r="A4162" i="30" l="1"/>
  <c r="D4161" i="30"/>
  <c r="V311" i="32" s="1"/>
  <c r="A4163" i="30" l="1"/>
  <c r="D4162" i="30"/>
  <c r="V313" i="32" s="1"/>
  <c r="D4163" i="30" l="1"/>
  <c r="V315" i="32" s="1"/>
  <c r="A4164" i="30"/>
  <c r="D4164" i="30" l="1"/>
  <c r="V317" i="32" s="1"/>
  <c r="A4165" i="30"/>
  <c r="A4166" i="30" l="1"/>
  <c r="D4165" i="30"/>
  <c r="V319" i="32" s="1"/>
  <c r="A4167" i="30" l="1"/>
  <c r="D4166" i="30"/>
  <c r="V321" i="32" s="1"/>
  <c r="D4167" i="30" l="1"/>
  <c r="V323" i="32" s="1"/>
  <c r="A4168" i="30"/>
  <c r="D4168" i="30" l="1"/>
  <c r="V325" i="32" s="1"/>
  <c r="A4169" i="30"/>
  <c r="A4170" i="30" l="1"/>
  <c r="D4169" i="30"/>
  <c r="V327" i="32" s="1"/>
  <c r="A4171" i="30" l="1"/>
  <c r="D4170" i="30"/>
  <c r="V329" i="32" s="1"/>
  <c r="D4171" i="30" l="1"/>
  <c r="V331" i="32" s="1"/>
  <c r="A4172" i="30"/>
  <c r="D4172" i="30" l="1"/>
  <c r="V333" i="32" s="1"/>
  <c r="A4173" i="30"/>
  <c r="A4174" i="30" l="1"/>
  <c r="D4173" i="30"/>
  <c r="V335" i="32" s="1"/>
  <c r="A4175" i="30" l="1"/>
  <c r="D4174" i="30"/>
  <c r="V337" i="32" s="1"/>
  <c r="D4175" i="30" l="1"/>
  <c r="V339" i="32" s="1"/>
  <c r="A4176" i="30"/>
  <c r="D4176" i="30" l="1"/>
  <c r="V341" i="32" s="1"/>
  <c r="A4177" i="30"/>
  <c r="A4178" i="30" l="1"/>
  <c r="D4177" i="30"/>
  <c r="V343" i="32" s="1"/>
  <c r="A4179" i="30" l="1"/>
  <c r="D4178" i="30"/>
  <c r="V345" i="32" s="1"/>
  <c r="D4179" i="30" l="1"/>
  <c r="V347" i="32" s="1"/>
  <c r="A4180" i="30"/>
  <c r="D4180" i="30" l="1"/>
  <c r="V349" i="32" s="1"/>
  <c r="A4181" i="30"/>
  <c r="A4182" i="30" l="1"/>
  <c r="D4181" i="30"/>
  <c r="V351" i="32" s="1"/>
  <c r="A4183" i="30" l="1"/>
  <c r="D4182" i="30"/>
  <c r="V353" i="32" s="1"/>
  <c r="D4183" i="30" l="1"/>
  <c r="V355" i="32" s="1"/>
  <c r="A4184" i="30"/>
  <c r="D4184" i="30" l="1"/>
  <c r="V357" i="32" s="1"/>
  <c r="A4185" i="30"/>
  <c r="A4186" i="30" l="1"/>
  <c r="D4185" i="30"/>
  <c r="V359" i="32" s="1"/>
  <c r="A4187" i="30" l="1"/>
  <c r="D4186" i="30"/>
  <c r="V361" i="32" s="1"/>
  <c r="D4187" i="30" l="1"/>
  <c r="V363" i="32" s="1"/>
  <c r="A4188" i="30"/>
  <c r="D4188" i="30" l="1"/>
  <c r="V365" i="32" s="1"/>
  <c r="A4189" i="30"/>
  <c r="A4190" i="30" l="1"/>
  <c r="D4189" i="30"/>
  <c r="V367" i="32" s="1"/>
  <c r="A4191" i="30" l="1"/>
  <c r="D4190" i="30"/>
  <c r="V369" i="32" s="1"/>
  <c r="D4191" i="30" l="1"/>
  <c r="V371" i="32" s="1"/>
  <c r="A4192" i="30"/>
  <c r="D4192" i="30" l="1"/>
  <c r="V373" i="32" s="1"/>
  <c r="A4193" i="30"/>
  <c r="A4194" i="30" l="1"/>
  <c r="D4193" i="30"/>
  <c r="V375" i="32" s="1"/>
  <c r="A4195" i="30" l="1"/>
  <c r="D4194" i="30"/>
  <c r="V377" i="32" s="1"/>
  <c r="D4195" i="30" l="1"/>
  <c r="V379" i="32" s="1"/>
  <c r="A4196" i="30"/>
  <c r="D4196" i="30" l="1"/>
  <c r="V381" i="32" s="1"/>
  <c r="A4197" i="30"/>
  <c r="A4198" i="30" l="1"/>
  <c r="D4197" i="30"/>
  <c r="V383" i="32" s="1"/>
  <c r="A4199" i="30" l="1"/>
  <c r="D4198" i="30"/>
  <c r="V385" i="32" s="1"/>
  <c r="D4199" i="30" l="1"/>
  <c r="V387" i="32" s="1"/>
  <c r="A4200" i="30"/>
  <c r="D4200" i="30" l="1"/>
  <c r="V389" i="32" s="1"/>
  <c r="A4201" i="30"/>
  <c r="A4202" i="30" l="1"/>
  <c r="D4201" i="30"/>
  <c r="V391" i="32" s="1"/>
  <c r="A4203" i="30" l="1"/>
  <c r="D4202" i="30"/>
  <c r="V393" i="32" s="1"/>
  <c r="A4204" i="30" l="1"/>
  <c r="D4203" i="30"/>
  <c r="V395" i="32" s="1"/>
  <c r="A4205" i="30" l="1"/>
  <c r="D4204" i="30"/>
  <c r="V397" i="32" s="1"/>
  <c r="A4206" i="30" l="1"/>
  <c r="D4205" i="30"/>
  <c r="V399" i="32" s="1"/>
  <c r="D4206" i="30" l="1"/>
  <c r="V401" i="32" s="1"/>
  <c r="A4207" i="30"/>
  <c r="D4207" i="30" l="1"/>
  <c r="V403" i="32" s="1"/>
  <c r="A4208" i="30"/>
  <c r="D4208" i="30" l="1"/>
  <c r="V405" i="32" s="1"/>
  <c r="A4209" i="30"/>
  <c r="A4210" i="30" l="1"/>
  <c r="D4209" i="30"/>
  <c r="V407" i="32" s="1"/>
  <c r="A4211" i="30" l="1"/>
  <c r="D4210" i="30"/>
  <c r="V409" i="32" s="1"/>
  <c r="D4211" i="30" l="1"/>
  <c r="V411" i="32" s="1"/>
  <c r="A4212" i="30"/>
  <c r="D4212" i="30" l="1"/>
  <c r="V413" i="32" s="1"/>
  <c r="A4213" i="30"/>
  <c r="A4214" i="30" l="1"/>
  <c r="D4213" i="30"/>
  <c r="V415" i="32" s="1"/>
  <c r="A4215" i="30" l="1"/>
  <c r="D4214" i="30"/>
  <c r="V417" i="32" s="1"/>
  <c r="D4215" i="30" l="1"/>
  <c r="V419" i="32" s="1"/>
  <c r="A4216" i="30"/>
  <c r="D4216" i="30" l="1"/>
  <c r="V421" i="32" s="1"/>
  <c r="A4217" i="30"/>
  <c r="A4218" i="30" l="1"/>
  <c r="D4217" i="30"/>
  <c r="V423" i="32" s="1"/>
  <c r="A4219" i="30" l="1"/>
  <c r="D4218" i="30"/>
  <c r="V425" i="32" s="1"/>
  <c r="D4219" i="30" l="1"/>
  <c r="V427" i="32" s="1"/>
  <c r="A4220" i="30"/>
  <c r="D4220" i="30" l="1"/>
  <c r="V429" i="32" s="1"/>
  <c r="A4221" i="30"/>
  <c r="A4222" i="30" l="1"/>
  <c r="D4221" i="30"/>
  <c r="V431" i="32" s="1"/>
  <c r="A4223" i="30" l="1"/>
  <c r="D4222" i="30"/>
  <c r="V433" i="32" s="1"/>
  <c r="D4223" i="30" l="1"/>
  <c r="V435" i="32" s="1"/>
  <c r="A4224" i="30"/>
  <c r="D4224" i="30" l="1"/>
  <c r="V437" i="32" s="1"/>
  <c r="A4225" i="30"/>
  <c r="A4226" i="30" l="1"/>
  <c r="D4225" i="30"/>
  <c r="V439" i="32" s="1"/>
  <c r="A4227" i="30" l="1"/>
  <c r="D4226" i="30"/>
  <c r="V441" i="32" s="1"/>
  <c r="D4227" i="30" l="1"/>
  <c r="V443" i="32" s="1"/>
  <c r="A4228" i="30"/>
  <c r="D4228" i="30" l="1"/>
  <c r="V445" i="32" s="1"/>
  <c r="A4229" i="30"/>
  <c r="A4230" i="30" l="1"/>
  <c r="D4229" i="30"/>
  <c r="V447" i="32" s="1"/>
  <c r="A4231" i="30" l="1"/>
  <c r="D4230" i="30"/>
  <c r="V449" i="32" s="1"/>
  <c r="D4231" i="30" l="1"/>
  <c r="V451" i="32" s="1"/>
  <c r="A4232" i="30"/>
  <c r="D4232" i="30" l="1"/>
  <c r="V453" i="32" s="1"/>
  <c r="A4233" i="30"/>
  <c r="A4234" i="30" l="1"/>
  <c r="D4233" i="30"/>
  <c r="V455" i="32" s="1"/>
  <c r="A4235" i="30" l="1"/>
  <c r="D4234" i="30"/>
  <c r="V457" i="32" s="1"/>
  <c r="D4235" i="30" l="1"/>
  <c r="V459" i="32" s="1"/>
  <c r="A4236" i="30"/>
  <c r="D4236" i="30" l="1"/>
  <c r="V461" i="32" s="1"/>
  <c r="A4237" i="30"/>
  <c r="A4238" i="30" l="1"/>
  <c r="D4237" i="30"/>
  <c r="V463" i="32" s="1"/>
  <c r="A4239" i="30" l="1"/>
  <c r="D4238" i="30"/>
  <c r="V465" i="32" s="1"/>
  <c r="D4239" i="30" l="1"/>
  <c r="V467" i="32" s="1"/>
  <c r="A4240" i="30"/>
  <c r="D4240" i="30" l="1"/>
  <c r="V469" i="32" s="1"/>
  <c r="A4241" i="30"/>
  <c r="A4242" i="30" l="1"/>
  <c r="D4241" i="30"/>
  <c r="V471" i="32" s="1"/>
  <c r="A4243" i="30" l="1"/>
  <c r="D4242" i="30"/>
  <c r="V473" i="32" s="1"/>
  <c r="D4243" i="30" l="1"/>
  <c r="V475" i="32" s="1"/>
  <c r="A4244" i="30"/>
  <c r="D4244" i="30" l="1"/>
  <c r="V477" i="32" s="1"/>
  <c r="A4245" i="30"/>
  <c r="A4246" i="30" l="1"/>
  <c r="D4245" i="30"/>
  <c r="V479" i="32" s="1"/>
  <c r="A4247" i="30" l="1"/>
  <c r="D4246" i="30"/>
  <c r="V481" i="32" s="1"/>
  <c r="D4247" i="30" l="1"/>
  <c r="V483" i="32" s="1"/>
  <c r="A4248" i="30"/>
  <c r="D4248" i="30" l="1"/>
  <c r="V485" i="32" s="1"/>
  <c r="A4249" i="30"/>
  <c r="A4250" i="30" l="1"/>
  <c r="D4249" i="30"/>
  <c r="V487" i="32" s="1"/>
  <c r="A4251" i="30" l="1"/>
  <c r="D4250" i="30"/>
  <c r="V489" i="32" s="1"/>
  <c r="D4251" i="30" l="1"/>
  <c r="V491" i="32" s="1"/>
  <c r="A4252" i="30"/>
  <c r="D4252" i="30" l="1"/>
  <c r="V493" i="32" s="1"/>
  <c r="A4253" i="30"/>
  <c r="A4254" i="30" l="1"/>
  <c r="D4253" i="30"/>
  <c r="V495" i="32" s="1"/>
  <c r="A4255" i="30" l="1"/>
  <c r="D4254" i="30"/>
  <c r="V497" i="32" s="1"/>
  <c r="D4255" i="30" l="1"/>
  <c r="V499" i="32" s="1"/>
  <c r="A4256" i="30"/>
  <c r="D4256" i="30" l="1"/>
  <c r="V501" i="32" s="1"/>
  <c r="A4257" i="30"/>
  <c r="A4258" i="30" l="1"/>
  <c r="D4257" i="30"/>
  <c r="V503" i="32" s="1"/>
  <c r="A4259" i="30" l="1"/>
  <c r="D4258" i="30"/>
  <c r="V505" i="32" s="1"/>
  <c r="D4259" i="30" l="1"/>
  <c r="V507" i="32" s="1"/>
  <c r="A4260" i="30"/>
  <c r="D4260" i="30" l="1"/>
  <c r="V509" i="32" s="1"/>
  <c r="A4261" i="30"/>
  <c r="A4262" i="30" l="1"/>
  <c r="D4261" i="30"/>
  <c r="V511" i="32" s="1"/>
  <c r="A4263" i="30" l="1"/>
  <c r="D4262" i="30"/>
  <c r="V513" i="32" s="1"/>
  <c r="D4263" i="30" l="1"/>
  <c r="V515" i="32" s="1"/>
  <c r="A4264" i="30"/>
  <c r="D4264" i="30" l="1"/>
  <c r="V517" i="32" s="1"/>
  <c r="A4265" i="30"/>
  <c r="A4266" i="30" l="1"/>
  <c r="D4265" i="30"/>
  <c r="V519" i="32" s="1"/>
  <c r="A4267" i="30" l="1"/>
  <c r="D4266" i="30"/>
  <c r="V521" i="32" s="1"/>
  <c r="D4267" i="30" l="1"/>
  <c r="V523" i="32" s="1"/>
  <c r="A4268" i="30"/>
  <c r="D4268" i="30" l="1"/>
  <c r="V525" i="32" s="1"/>
  <c r="A4269" i="30"/>
  <c r="A4270" i="30" l="1"/>
  <c r="D4269" i="30"/>
  <c r="V527" i="32" s="1"/>
  <c r="A4271" i="30" l="1"/>
  <c r="D4270" i="30"/>
  <c r="V529" i="32" s="1"/>
  <c r="D4271" i="30" l="1"/>
  <c r="V531" i="32" s="1"/>
  <c r="A4272" i="30"/>
  <c r="D4272" i="30" l="1"/>
  <c r="V533" i="32" s="1"/>
  <c r="A4273" i="30"/>
  <c r="A4274" i="30" l="1"/>
  <c r="D4273" i="30"/>
  <c r="V535" i="32" s="1"/>
  <c r="A4275" i="30" l="1"/>
  <c r="D4274" i="30"/>
  <c r="V537" i="32" s="1"/>
  <c r="D4275" i="30" l="1"/>
  <c r="V539" i="32" s="1"/>
  <c r="A4276" i="30"/>
  <c r="D4276" i="30" l="1"/>
  <c r="V541" i="32" s="1"/>
  <c r="A4277" i="30"/>
  <c r="A4278" i="30" l="1"/>
  <c r="D4277" i="30"/>
  <c r="V543" i="32" s="1"/>
  <c r="A4279" i="30" l="1"/>
  <c r="D4278" i="30"/>
  <c r="V545" i="32" s="1"/>
  <c r="D4279" i="30" l="1"/>
  <c r="V547" i="32" s="1"/>
  <c r="A4280" i="30"/>
  <c r="D4280" i="30" l="1"/>
  <c r="V549" i="32" s="1"/>
  <c r="A4281" i="30"/>
  <c r="A4282" i="30" l="1"/>
  <c r="D4281" i="30"/>
  <c r="V551" i="32" s="1"/>
  <c r="A4283" i="30" l="1"/>
  <c r="D4282" i="30"/>
  <c r="V553" i="32" s="1"/>
  <c r="D4283" i="30" l="1"/>
  <c r="V555" i="32" s="1"/>
  <c r="A4284" i="30"/>
  <c r="D4284" i="30" l="1"/>
  <c r="V557" i="32" s="1"/>
  <c r="A4285" i="30"/>
  <c r="A4286" i="30" l="1"/>
  <c r="D4285" i="30"/>
  <c r="V559" i="32" s="1"/>
  <c r="A4287" i="30" l="1"/>
  <c r="D4286" i="30"/>
  <c r="V561" i="32" s="1"/>
  <c r="D4287" i="30" l="1"/>
  <c r="V563" i="32" s="1"/>
  <c r="A4288" i="30"/>
  <c r="D4288" i="30" l="1"/>
  <c r="V565" i="32" s="1"/>
  <c r="A4289" i="30"/>
  <c r="A4290" i="30" l="1"/>
  <c r="D4289" i="30"/>
  <c r="V567" i="32" s="1"/>
  <c r="A4291" i="30" l="1"/>
  <c r="D4290" i="30"/>
  <c r="V569" i="32" s="1"/>
  <c r="D4291" i="30" l="1"/>
  <c r="V571" i="32" s="1"/>
  <c r="A4292" i="30"/>
  <c r="D4292" i="30" l="1"/>
  <c r="V573" i="32" s="1"/>
  <c r="A4293" i="30"/>
  <c r="A4294" i="30" l="1"/>
  <c r="D4293" i="30"/>
  <c r="V575" i="32" s="1"/>
  <c r="A4295" i="30" l="1"/>
  <c r="D4294" i="30"/>
  <c r="V577" i="32" s="1"/>
  <c r="D4295" i="30" l="1"/>
  <c r="V579" i="32" s="1"/>
  <c r="A4296" i="30"/>
  <c r="D4296" i="30" l="1"/>
  <c r="V581" i="32" s="1"/>
  <c r="A4297" i="30"/>
  <c r="A4298" i="30" l="1"/>
  <c r="D4297" i="30"/>
  <c r="V583" i="32" s="1"/>
  <c r="A4299" i="30" l="1"/>
  <c r="D4298" i="30"/>
  <c r="V585" i="32" s="1"/>
  <c r="D4299" i="30" l="1"/>
  <c r="V587" i="32" s="1"/>
  <c r="A4300" i="30"/>
  <c r="D4300" i="30" l="1"/>
  <c r="V589" i="32" s="1"/>
  <c r="A4301" i="30"/>
  <c r="A4302" i="30" l="1"/>
  <c r="D4301" i="30"/>
  <c r="V591" i="32" s="1"/>
  <c r="A4303" i="30" l="1"/>
  <c r="D4302" i="30"/>
  <c r="V593" i="32" s="1"/>
  <c r="D4303" i="30" l="1"/>
  <c r="V595" i="32" s="1"/>
  <c r="A4304" i="30"/>
  <c r="D4304" i="30" l="1"/>
  <c r="V597" i="32" s="1"/>
  <c r="A4305" i="30"/>
  <c r="A4306" i="30" l="1"/>
  <c r="D4305" i="30"/>
  <c r="V599" i="32" s="1"/>
  <c r="A4307" i="30" l="1"/>
  <c r="D4306" i="30"/>
  <c r="V601" i="32" s="1"/>
  <c r="D4307" i="30" l="1"/>
  <c r="V603" i="32" s="1"/>
  <c r="A4308" i="30"/>
  <c r="D4308" i="30" l="1"/>
  <c r="V605" i="32" s="1"/>
  <c r="A4309" i="30"/>
  <c r="A4310" i="30" l="1"/>
  <c r="D4309" i="30"/>
  <c r="V607" i="32" s="1"/>
  <c r="A4311" i="30" l="1"/>
  <c r="D4310" i="30"/>
  <c r="V609" i="32" s="1"/>
  <c r="D4311" i="30" l="1"/>
  <c r="V611" i="32" s="1"/>
  <c r="A4312" i="30"/>
  <c r="D4312" i="30" l="1"/>
  <c r="V613" i="32" s="1"/>
  <c r="A4313" i="30"/>
  <c r="A4314" i="30" l="1"/>
  <c r="D4313" i="30"/>
  <c r="V615" i="32" s="1"/>
  <c r="A4315" i="30" l="1"/>
  <c r="D4314" i="30"/>
  <c r="V617" i="32" s="1"/>
  <c r="D4315" i="30" l="1"/>
  <c r="V619" i="32" s="1"/>
  <c r="A4316" i="30"/>
  <c r="D4316" i="30" l="1"/>
  <c r="D4317" i="30" s="1"/>
  <c r="D4318" i="30" s="1"/>
  <c r="D4319" i="30" s="1"/>
  <c r="D4320" i="30" s="1"/>
  <c r="D4321" i="30" s="1"/>
  <c r="D4322" i="30" s="1"/>
  <c r="D4323" i="30" s="1"/>
  <c r="D4324" i="30" s="1"/>
  <c r="D4325" i="30" s="1"/>
  <c r="D4326" i="30" s="1"/>
  <c r="D4327" i="30" s="1"/>
  <c r="D4328" i="30" s="1"/>
  <c r="D4329" i="30" s="1"/>
  <c r="D4330" i="30" s="1"/>
  <c r="D4331" i="30" s="1"/>
  <c r="D4332" i="30" s="1"/>
  <c r="D4333" i="30" s="1"/>
  <c r="D4334" i="30" s="1"/>
  <c r="D4335" i="30" s="1"/>
  <c r="D4336" i="30" s="1"/>
  <c r="D4337" i="30" s="1"/>
  <c r="D4338" i="30" s="1"/>
  <c r="D4339" i="30" s="1"/>
  <c r="D4340" i="30" s="1"/>
  <c r="D4341" i="30" s="1"/>
  <c r="D4342" i="30" s="1"/>
  <c r="D4343" i="30" s="1"/>
  <c r="D4344" i="30" s="1"/>
  <c r="D4345" i="30" s="1"/>
  <c r="D4346" i="30" s="1"/>
  <c r="D4347" i="30" s="1"/>
  <c r="D4348" i="30" s="1"/>
  <c r="D4349" i="30" s="1"/>
  <c r="D4350" i="30" s="1"/>
  <c r="D4351" i="30" s="1"/>
  <c r="D4352" i="30" s="1"/>
  <c r="D4353" i="30" s="1"/>
  <c r="D4354" i="30" s="1"/>
  <c r="D4355" i="30" s="1"/>
  <c r="D4356" i="30" s="1"/>
  <c r="D4357" i="30" s="1"/>
  <c r="D4358" i="30" s="1"/>
  <c r="D4359" i="30" s="1"/>
  <c r="D4360" i="30" s="1"/>
  <c r="D4361" i="30" s="1"/>
  <c r="D4362" i="30" s="1"/>
  <c r="D4363" i="30" s="1"/>
  <c r="D4364" i="30" s="1"/>
  <c r="D4365" i="30" s="1"/>
  <c r="D4366" i="30" s="1"/>
  <c r="D4367" i="30" s="1"/>
  <c r="D4368" i="30" s="1"/>
  <c r="D4369" i="30" s="1"/>
  <c r="D4370" i="30" s="1"/>
  <c r="D4371" i="30" s="1"/>
  <c r="D4372" i="30" s="1"/>
  <c r="D4373" i="30" s="1"/>
  <c r="D4374" i="30" s="1"/>
  <c r="D4375" i="30" s="1"/>
  <c r="D4376" i="30" s="1"/>
  <c r="D4377" i="30" s="1"/>
  <c r="D4378" i="30" s="1"/>
  <c r="D4379" i="30" s="1"/>
  <c r="D4380" i="30" s="1"/>
  <c r="D4381" i="30" s="1"/>
  <c r="D4382" i="30" s="1"/>
  <c r="D4383" i="30" s="1"/>
  <c r="D4384" i="30" s="1"/>
  <c r="V737" i="32" l="1"/>
  <c r="V721" i="32"/>
  <c r="V621" i="32"/>
  <c r="V659" i="32"/>
  <c r="V755" i="32"/>
  <c r="V705" i="32"/>
  <c r="V741" i="32"/>
  <c r="V663" i="32"/>
  <c r="V655" i="32"/>
  <c r="V707" i="32"/>
  <c r="V685" i="32"/>
  <c r="V627" i="32"/>
  <c r="V651" i="32"/>
  <c r="V683" i="32"/>
  <c r="V631" i="32"/>
  <c r="V667" i="32"/>
  <c r="V635" i="32"/>
  <c r="V641" i="32"/>
  <c r="V725" i="32"/>
  <c r="V677" i="32"/>
  <c r="V669" i="32"/>
  <c r="V753" i="32"/>
  <c r="V679" i="32"/>
  <c r="V731" i="32"/>
  <c r="V717" i="32"/>
  <c r="V701" i="32"/>
  <c r="V629" i="32"/>
  <c r="V711" i="32"/>
  <c r="V757" i="32"/>
  <c r="V665" i="32"/>
  <c r="V657" i="32"/>
  <c r="V625" i="32"/>
  <c r="V751" i="32"/>
  <c r="V671" i="32"/>
  <c r="V715" i="32"/>
  <c r="V745" i="32"/>
  <c r="V729" i="32"/>
  <c r="V637" i="32"/>
  <c r="V695" i="32"/>
  <c r="V733" i="32"/>
  <c r="V727" i="32"/>
  <c r="V647" i="32"/>
  <c r="V699" i="32"/>
  <c r="V703" i="32"/>
  <c r="V719" i="32"/>
  <c r="V639" i="32"/>
  <c r="V747" i="32"/>
  <c r="V623" i="32"/>
  <c r="V675" i="32"/>
  <c r="V749" i="32"/>
  <c r="V643" i="32"/>
  <c r="V691" i="32"/>
  <c r="V687" i="32"/>
  <c r="V739" i="32"/>
  <c r="V653" i="32"/>
  <c r="V645" i="32"/>
  <c r="V689" i="32"/>
  <c r="V735" i="32"/>
  <c r="V709" i="32"/>
  <c r="V633" i="32"/>
  <c r="V681" i="32"/>
  <c r="V673" i="32"/>
  <c r="V661" i="32"/>
  <c r="V697" i="32"/>
  <c r="V693" i="32"/>
  <c r="V743" i="32"/>
  <c r="V713" i="32"/>
  <c r="V723" i="32"/>
  <c r="V649" i="32"/>
  <c r="R18" i="32" l="1"/>
  <c r="Z18" i="32" s="1"/>
</calcChain>
</file>

<file path=xl/comments1.xml><?xml version="1.0" encoding="utf-8"?>
<comments xmlns="http://schemas.openxmlformats.org/spreadsheetml/2006/main">
  <authors>
    <author>Author</author>
  </authors>
  <commentList>
    <comment ref="I1" authorId="0" shapeId="0">
      <text>
        <r>
          <rPr>
            <b/>
            <sz val="9"/>
            <color indexed="81"/>
            <rFont val="Tahoma"/>
            <charset val="1"/>
          </rPr>
          <t>Mohsen Rahmani18%</t>
        </r>
      </text>
    </comment>
    <comment ref="J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18%</t>
        </r>
      </text>
    </comment>
    <comment ref="K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15%</t>
        </r>
      </text>
    </comment>
    <comment ref="L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15%</t>
        </r>
      </text>
    </comment>
    <comment ref="M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10%</t>
        </r>
      </text>
    </comment>
    <comment ref="N1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10%</t>
        </r>
      </text>
    </comment>
    <comment ref="L2" authorId="0" shape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15%</t>
        </r>
      </text>
    </comment>
  </commentList>
</comments>
</file>

<file path=xl/sharedStrings.xml><?xml version="1.0" encoding="utf-8"?>
<sst xmlns="http://schemas.openxmlformats.org/spreadsheetml/2006/main" count="660" uniqueCount="338">
  <si>
    <t>age</t>
  </si>
  <si>
    <t>D'x</t>
  </si>
  <si>
    <t>D''x</t>
  </si>
  <si>
    <t>interest rate</t>
  </si>
  <si>
    <t>سن</t>
  </si>
  <si>
    <t>سال</t>
  </si>
  <si>
    <t>سرمايه فوت</t>
  </si>
  <si>
    <t>برابر</t>
  </si>
  <si>
    <t>حق بيمه اوليه</t>
  </si>
  <si>
    <t>درصد</t>
  </si>
  <si>
    <t>Interest rate</t>
  </si>
  <si>
    <t>secend 5 year</t>
  </si>
  <si>
    <t>ارزش بازخرید</t>
  </si>
  <si>
    <t>first 5 year</t>
  </si>
  <si>
    <t>هزینه پزشکی</t>
  </si>
  <si>
    <t>سرمایه فوت</t>
  </si>
  <si>
    <t>ریال</t>
  </si>
  <si>
    <t>مدت بیمه</t>
  </si>
  <si>
    <t>برابر حق بیمه</t>
  </si>
  <si>
    <t>ضریب انتخاب سرمایه فوت</t>
  </si>
  <si>
    <t xml:space="preserve"> after 10 year</t>
  </si>
  <si>
    <t>N"x</t>
  </si>
  <si>
    <t>TERM 1YEAR</t>
  </si>
  <si>
    <t>TERM1 YEAR</t>
  </si>
  <si>
    <t>TERM 1 YEAR</t>
  </si>
  <si>
    <t>سرمایه حادثه</t>
  </si>
  <si>
    <t>سرطان</t>
  </si>
  <si>
    <t>حق بیمه</t>
  </si>
  <si>
    <t>نقص عضو</t>
  </si>
  <si>
    <t>year</t>
  </si>
  <si>
    <t>نرخ بهره اعمالی</t>
  </si>
  <si>
    <t>تعداد اقساط</t>
  </si>
  <si>
    <t>حق بیمه تجمیعی</t>
  </si>
  <si>
    <t>مدت بیمه نامه</t>
  </si>
  <si>
    <t>حق بیمه سال اول</t>
  </si>
  <si>
    <t>سن بیمه شده</t>
  </si>
  <si>
    <t>طبقه شغلی</t>
  </si>
  <si>
    <t>ضریب تعدیل سرمایه فوت</t>
  </si>
  <si>
    <t>آورده اولیه</t>
  </si>
  <si>
    <t>سرمایه فوت سال اول</t>
  </si>
  <si>
    <t>ضریب تعدیل حق بیمه</t>
  </si>
  <si>
    <t>پوشش تكميلي فوت بر اثر حادثه به میزان</t>
  </si>
  <si>
    <t>پوشش نقص عضو دائم کلی و جزئی به میزان</t>
  </si>
  <si>
    <t>پوشش هزینه پزشکی به میزان</t>
  </si>
  <si>
    <t>پوشش امراض خاص به میزان</t>
  </si>
  <si>
    <t>پوشش بیماری سرطان به میزان</t>
  </si>
  <si>
    <t>پیش بینی 20 درصد</t>
  </si>
  <si>
    <t>پیش بینی 22 درصد</t>
  </si>
  <si>
    <t>پوشش معافيت از پرداخت حق بيمه</t>
  </si>
  <si>
    <t>نرخ سود پیش بینی 20</t>
  </si>
  <si>
    <t>نرخ سود پیش بینی 22</t>
  </si>
  <si>
    <t>بیماری های خاص</t>
  </si>
  <si>
    <t xml:space="preserve">پوشش پرداخت مستمری از کار افتادگی </t>
  </si>
  <si>
    <t>نام و نام خانوادگی</t>
  </si>
  <si>
    <r>
      <t xml:space="preserve">جدول مذاکره بیمه زندگی </t>
    </r>
    <r>
      <rPr>
        <b/>
        <sz val="36"/>
        <color rgb="FF00B050"/>
        <rFont val="B Titr"/>
        <charset val="178"/>
      </rPr>
      <t>مان</t>
    </r>
  </si>
  <si>
    <t>نحوه پرداخت حق بیمه</t>
  </si>
  <si>
    <t>حق بیمه سال</t>
  </si>
  <si>
    <t>حق بیمه عمر و سرمایه گذاری</t>
  </si>
  <si>
    <t>حق بیمه پوشش حادثه</t>
  </si>
  <si>
    <t>حق بیمه درمان</t>
  </si>
  <si>
    <t>Accident Risk Premiums</t>
  </si>
  <si>
    <t>Health Risk Premiums</t>
  </si>
  <si>
    <t>Accident Acquisition Costs</t>
  </si>
  <si>
    <t>Health Acquisition Costs</t>
  </si>
  <si>
    <t>Accident Death Risk Premium</t>
  </si>
  <si>
    <t>Accident Death Acquisition Cost</t>
  </si>
  <si>
    <t>Riders Acquisition Costs</t>
  </si>
  <si>
    <t>Initial Reserve</t>
  </si>
  <si>
    <t>Surrender Value</t>
  </si>
  <si>
    <t>Reserve</t>
  </si>
  <si>
    <t>V'ger Premium Projection Values</t>
  </si>
  <si>
    <t>Iran Ins Premium Projection Values</t>
  </si>
  <si>
    <t>Iran Insurance &amp; V'ger Death Benefit Projection Values</t>
  </si>
  <si>
    <t>Iran Insurance &amp; V'ger Accident Death Benefit Projection Values</t>
  </si>
  <si>
    <t>Premium  Rate With TAX</t>
  </si>
  <si>
    <t>healthTaxRate</t>
  </si>
  <si>
    <t>cityTaxRate</t>
  </si>
  <si>
    <t>vATRate</t>
  </si>
  <si>
    <t>Sum Of TAX</t>
  </si>
  <si>
    <t>TAX Calculation</t>
  </si>
  <si>
    <t>YEAR</t>
  </si>
  <si>
    <t>INTEREST RATE</t>
  </si>
  <si>
    <t>SUM CURRENT INIT TESERVE + PREVIOUS RESERVE</t>
  </si>
  <si>
    <t>INTEREST PER MONTH</t>
  </si>
  <si>
    <t>REMAINED SUM OF INSURING COST</t>
  </si>
  <si>
    <t>INSURING COST PER YEAR</t>
  </si>
  <si>
    <t>CALCULATED YEAR</t>
  </si>
  <si>
    <t>CALCULATED MONTH</t>
  </si>
  <si>
    <t>0</t>
  </si>
  <si>
    <t>CALCULATED RESERVE</t>
  </si>
  <si>
    <t>CALCULATED SURRENDER</t>
  </si>
  <si>
    <t>YEARLY INITIAL RESERVE</t>
  </si>
  <si>
    <t>YEARLY RESERVE</t>
  </si>
  <si>
    <t>Dread Disease Risk Premium</t>
  </si>
  <si>
    <t>Dread Disease Rate</t>
  </si>
  <si>
    <t>Dread Disease Acquisition Cost</t>
  </si>
  <si>
    <t>Base Dread Disease Risk Premium</t>
  </si>
  <si>
    <t>Administrative Cost Private</t>
  </si>
  <si>
    <t>Year</t>
  </si>
  <si>
    <t>Age</t>
  </si>
  <si>
    <t>Premium</t>
  </si>
  <si>
    <t>Insured Client's Age</t>
  </si>
  <si>
    <t>First Premium Installment</t>
  </si>
  <si>
    <t>Adjustment Factor of Death Capital</t>
  </si>
  <si>
    <t>First Year Death Capital</t>
  </si>
  <si>
    <t>Main Rider</t>
  </si>
  <si>
    <t>Occupational Class</t>
  </si>
  <si>
    <t>Insurance Period</t>
  </si>
  <si>
    <t>Type of Payment</t>
  </si>
  <si>
    <t>Initial Fund</t>
  </si>
  <si>
    <t>Dread Disease Cover</t>
  </si>
  <si>
    <t>Cancer  Cover</t>
  </si>
  <si>
    <t>Adjustment Factor of Premium</t>
  </si>
  <si>
    <t xml:space="preserve">Accident Disability (dismemberment) </t>
  </si>
  <si>
    <t xml:space="preserve">Accident Medical Costs </t>
  </si>
  <si>
    <t xml:space="preserve">Accident death </t>
  </si>
  <si>
    <t xml:space="preserve">WOP by Accident </t>
  </si>
  <si>
    <r>
      <rPr>
        <b/>
        <sz val="24"/>
        <color theme="1"/>
        <rFont val="Calibri"/>
        <family val="2"/>
        <scheme val="minor"/>
      </rPr>
      <t>MAN Unit Test</t>
    </r>
    <r>
      <rPr>
        <b/>
        <sz val="24"/>
        <color rgb="FF00FF00"/>
        <rFont val="Calibri"/>
        <family val="2"/>
        <scheme val="minor"/>
      </rPr>
      <t xml:space="preserve">                </t>
    </r>
    <r>
      <rPr>
        <b/>
        <sz val="24"/>
        <color theme="1"/>
        <rFont val="Calibri"/>
        <family val="2"/>
        <scheme val="minor"/>
      </rPr>
      <t>(Annually)</t>
    </r>
  </si>
  <si>
    <t>Accident Riders</t>
  </si>
  <si>
    <t>Health Riders</t>
  </si>
  <si>
    <t>Disability Annuity</t>
  </si>
  <si>
    <t>Yes</t>
  </si>
  <si>
    <t>IRR</t>
  </si>
  <si>
    <t>times</t>
  </si>
  <si>
    <t>times last paid premium</t>
  </si>
  <si>
    <t>Percent</t>
  </si>
  <si>
    <t>Annually</t>
  </si>
  <si>
    <t>Years</t>
  </si>
  <si>
    <t>&lt;===</t>
  </si>
  <si>
    <t>Collected Premiums</t>
  </si>
  <si>
    <t>Collective Premium</t>
  </si>
  <si>
    <t>Sale Commission (1)</t>
  </si>
  <si>
    <t>Sale Commission (2)</t>
  </si>
  <si>
    <t xml:space="preserve">Insuring Cost </t>
  </si>
  <si>
    <t>Acquisition Cost</t>
  </si>
  <si>
    <t>Cancer Risk Premium</t>
  </si>
  <si>
    <t>Cancer Acquisition Cost</t>
  </si>
  <si>
    <t>Cancer Rate</t>
  </si>
  <si>
    <t>Death Peril Premium</t>
  </si>
  <si>
    <t>Death Peril Rate</t>
  </si>
  <si>
    <t>Cancer Capital (1)</t>
  </si>
  <si>
    <t>Cancer Capital (2)</t>
  </si>
  <si>
    <t>Death Capital (1)</t>
  </si>
  <si>
    <t>Death Capital (2)</t>
  </si>
  <si>
    <t>Accident Capital (1)</t>
  </si>
  <si>
    <t>Accident Capital (2)</t>
  </si>
  <si>
    <t>Accident Disabililty Capital (1)</t>
  </si>
  <si>
    <t>Accident Disabililty Capital (2)</t>
  </si>
  <si>
    <t>Accident Medical Cost (1)</t>
  </si>
  <si>
    <t>Accident Medical Cost (2)</t>
  </si>
  <si>
    <t>WOP</t>
  </si>
  <si>
    <t>WOP Capital</t>
  </si>
  <si>
    <t>Disability Annuity Capital</t>
  </si>
  <si>
    <t>Accident Death Rate</t>
  </si>
  <si>
    <t>Accident Disability Rate</t>
  </si>
  <si>
    <t>Accident Disability Risk Premium</t>
  </si>
  <si>
    <t>Accident Medical Cost rate</t>
  </si>
  <si>
    <t>Accident Medical Cost Risk Premium</t>
  </si>
  <si>
    <t>WOP rate</t>
  </si>
  <si>
    <t>WOP Risk Premium</t>
  </si>
  <si>
    <t>Disability Annuity Rate</t>
  </si>
  <si>
    <t>Disability Annuity Risk Premium</t>
  </si>
  <si>
    <t>Main Risk Premium</t>
  </si>
  <si>
    <t>Riders Risk Premiums</t>
  </si>
  <si>
    <t>All Deductions</t>
  </si>
  <si>
    <t xml:space="preserve">Cancer </t>
  </si>
  <si>
    <t>Dread Disease</t>
  </si>
  <si>
    <t>rate in milion</t>
  </si>
  <si>
    <t>Rate</t>
  </si>
  <si>
    <t>Accident Death</t>
  </si>
  <si>
    <t>Accident Disability</t>
  </si>
  <si>
    <t>Accident Medical Cost</t>
  </si>
  <si>
    <t>rate (per mil)</t>
  </si>
  <si>
    <t>rate (per cent)</t>
  </si>
  <si>
    <t>Percent of first year Gross Premium</t>
  </si>
  <si>
    <t>Administrative Cost</t>
  </si>
  <si>
    <t>Percent of 2nd-5th year Gross Premium</t>
  </si>
  <si>
    <t>Percent of 6th-n year Gross Premium</t>
  </si>
  <si>
    <t>permil first five years</t>
  </si>
  <si>
    <t>Insuring Cost</t>
  </si>
  <si>
    <t>whole contract based on risk premium</t>
  </si>
  <si>
    <t>Accident Acquisition Costs rate</t>
  </si>
  <si>
    <t>Dread Disease Acquisition Costs rate</t>
  </si>
  <si>
    <t>Cancer Acquisition Costs rate</t>
  </si>
  <si>
    <t>Insurance Coverages</t>
  </si>
  <si>
    <t>Technical Interest Rate</t>
  </si>
  <si>
    <t>Cancer</t>
  </si>
  <si>
    <t>Capital Death</t>
  </si>
  <si>
    <t>Riders Maximums</t>
  </si>
  <si>
    <t>Main Risk (natural Death)</t>
  </si>
  <si>
    <t>Policy Info</t>
  </si>
  <si>
    <t>years</t>
  </si>
  <si>
    <t>Premium Adj Factor</t>
  </si>
  <si>
    <t>Death Adj Factor</t>
  </si>
  <si>
    <t>times Gross Premium</t>
  </si>
  <si>
    <t>Technical Interest Rate for Investment</t>
  </si>
  <si>
    <t>Dread Disease Capital (1)</t>
  </si>
  <si>
    <t>Dread disease Capital  (2)</t>
  </si>
  <si>
    <t>Accident Disability Acquisition Cost</t>
  </si>
  <si>
    <t>Accident Medical Cost Acquisition Cost</t>
  </si>
  <si>
    <t>WOP Acquisition Cost</t>
  </si>
  <si>
    <t>Disability Annuity Acquisition Cost</t>
  </si>
  <si>
    <t>Record Identification Table</t>
  </si>
  <si>
    <t>Record Title</t>
  </si>
  <si>
    <t>Record Code</t>
  </si>
  <si>
    <t>Version</t>
  </si>
  <si>
    <t>Prepared By</t>
  </si>
  <si>
    <t>Approved By</t>
  </si>
  <si>
    <t>Date of Issue</t>
  </si>
  <si>
    <t>Summery of Changes</t>
  </si>
  <si>
    <t>Maryam Kiani
&amp;
Amir Peyman</t>
  </si>
  <si>
    <t>MAN Unit Test</t>
  </si>
  <si>
    <t># Translated the excel file to English
# Added Acquisition Costs and isolated Risk Premiums for all the riders</t>
  </si>
  <si>
    <t>No</t>
  </si>
  <si>
    <r>
      <t>l</t>
    </r>
    <r>
      <rPr>
        <b/>
        <sz val="9"/>
        <rFont val="Calibri"/>
        <family val="2"/>
        <scheme val="minor"/>
      </rPr>
      <t>x</t>
    </r>
  </si>
  <si>
    <r>
      <t>d</t>
    </r>
    <r>
      <rPr>
        <b/>
        <sz val="9"/>
        <rFont val="Calibri"/>
        <family val="2"/>
        <scheme val="minor"/>
      </rPr>
      <t>x</t>
    </r>
  </si>
  <si>
    <r>
      <t>q</t>
    </r>
    <r>
      <rPr>
        <b/>
        <sz val="9"/>
        <rFont val="Calibri"/>
        <family val="2"/>
        <scheme val="minor"/>
      </rPr>
      <t>x</t>
    </r>
  </si>
  <si>
    <r>
      <t>P</t>
    </r>
    <r>
      <rPr>
        <b/>
        <sz val="9"/>
        <rFont val="Calibri"/>
        <family val="2"/>
        <scheme val="minor"/>
      </rPr>
      <t>x</t>
    </r>
  </si>
  <si>
    <r>
      <t>sum(l</t>
    </r>
    <r>
      <rPr>
        <b/>
        <sz val="9"/>
        <rFont val="Calibri"/>
        <family val="2"/>
        <scheme val="minor"/>
      </rPr>
      <t>x</t>
    </r>
    <r>
      <rPr>
        <b/>
        <sz val="14"/>
        <rFont val="Calibri"/>
        <family val="2"/>
        <scheme val="minor"/>
      </rPr>
      <t>)</t>
    </r>
  </si>
  <si>
    <r>
      <t>e</t>
    </r>
    <r>
      <rPr>
        <b/>
        <sz val="9"/>
        <rFont val="Calibri"/>
        <family val="2"/>
        <scheme val="minor"/>
      </rPr>
      <t>x</t>
    </r>
  </si>
  <si>
    <r>
      <t>D</t>
    </r>
    <r>
      <rPr>
        <b/>
        <sz val="9"/>
        <color theme="0"/>
        <rFont val="Calibri"/>
        <family val="2"/>
        <scheme val="minor"/>
      </rPr>
      <t>x</t>
    </r>
  </si>
  <si>
    <r>
      <t>C</t>
    </r>
    <r>
      <rPr>
        <b/>
        <sz val="9"/>
        <color theme="0"/>
        <rFont val="Calibri"/>
        <family val="2"/>
        <scheme val="minor"/>
      </rPr>
      <t>x</t>
    </r>
  </si>
  <si>
    <r>
      <t>C'</t>
    </r>
    <r>
      <rPr>
        <b/>
        <sz val="9"/>
        <rFont val="Calibri"/>
        <family val="2"/>
        <scheme val="minor"/>
      </rPr>
      <t>x</t>
    </r>
  </si>
  <si>
    <r>
      <t>C''</t>
    </r>
    <r>
      <rPr>
        <b/>
        <sz val="9"/>
        <color theme="0"/>
        <rFont val="Calibri"/>
        <family val="2"/>
        <scheme val="minor"/>
      </rPr>
      <t>x</t>
    </r>
  </si>
  <si>
    <t># Changed the interest rate in calculation of Disability Annuity from 10% to 15% so that it is in accordance with Actuarial Concept, but it should be changed back later.</t>
  </si>
  <si>
    <t>Amir Peyman</t>
  </si>
  <si>
    <t>Medical Age</t>
  </si>
  <si>
    <t>Medical CX/DX</t>
  </si>
  <si>
    <t>CurrCX/DX</t>
  </si>
  <si>
    <t>RiskLoadingFactor</t>
  </si>
  <si>
    <t>Medical Risk Loading</t>
  </si>
  <si>
    <t>RiskLoading
Rate</t>
  </si>
  <si>
    <t>RiskLoading
Risk Premium</t>
  </si>
  <si>
    <t>Column1</t>
  </si>
  <si>
    <t>Column2</t>
  </si>
  <si>
    <t>Column3</t>
  </si>
  <si>
    <t>Introduced Medical Risk Loading Calculation to Unit Test
it is now available in Application Sheet</t>
  </si>
  <si>
    <t>Ultimate Age + Duration</t>
  </si>
  <si>
    <t>Corrected Disability Annuity calculation
Medical Age is now considered in calculating dread disease and cancer rates</t>
  </si>
  <si>
    <t>Medical
Age</t>
  </si>
  <si>
    <t>Medical Age temp</t>
  </si>
  <si>
    <t>Sales Commission</t>
  </si>
  <si>
    <t>Costs (General)</t>
  </si>
  <si>
    <t>Costs (Overriden for Single)</t>
  </si>
  <si>
    <t>Current Age</t>
  </si>
  <si>
    <t>Max Sum Insured For Death</t>
  </si>
  <si>
    <t>Max Sum Insured</t>
  </si>
  <si>
    <t>Below 51 Initial Age</t>
  </si>
  <si>
    <t>51 and more Initial Age</t>
  </si>
  <si>
    <t>All Addition and Deductions</t>
  </si>
  <si>
    <t>Sum Insured Endowment
Annual</t>
  </si>
  <si>
    <t>Sum Insured Endowment
Single</t>
  </si>
  <si>
    <t>Amir Peyman
&amp;
Hirad Nikoo</t>
  </si>
  <si>
    <t>Finalized Single Calculation</t>
  </si>
  <si>
    <t>Dynamic Max Sum Insured for Annual and Single calculation</t>
  </si>
  <si>
    <t>Apply Change?</t>
  </si>
  <si>
    <t>Change Type</t>
  </si>
  <si>
    <t>Rider Inclusion/Exclusion</t>
  </si>
  <si>
    <t>Type of Rider
 (for rider inclusion/exclusion)</t>
  </si>
  <si>
    <t>Validity Year</t>
  </si>
  <si>
    <t>Single</t>
  </si>
  <si>
    <t>Change Death Capital</t>
  </si>
  <si>
    <t>Annual</t>
  </si>
  <si>
    <t>Change Risk Loading</t>
  </si>
  <si>
    <t>Monthly</t>
  </si>
  <si>
    <t>Change Contract Duration</t>
  </si>
  <si>
    <t>Quarterly</t>
  </si>
  <si>
    <t>Change Premium</t>
  </si>
  <si>
    <t>Semi-Annually</t>
  </si>
  <si>
    <t>Change Job Class</t>
  </si>
  <si>
    <t xml:space="preserve">MAN Unit Test  </t>
  </si>
  <si>
    <t>#Change Premium for Annual Calculation is added
#Change Death Capital for Annual Calculation is added
#Change Duration for Annual Calculation is added
#Change Medical Risk Loading for Annual Calculation is added</t>
  </si>
  <si>
    <t>#Change Job for all accident riders for Annual Calculation is added</t>
  </si>
  <si>
    <t>#Corrected change medical risk loading effects on dread disease and cancer</t>
  </si>
  <si>
    <t>Premium Static</t>
  </si>
  <si>
    <t>WOP without change</t>
  </si>
  <si>
    <t>Final WOP</t>
  </si>
  <si>
    <t>#Corrected WOP calculation after premium change
#Added accident death inclusion/exclusion in changes</t>
  </si>
  <si>
    <t>Column6</t>
  </si>
  <si>
    <t>#Corrected WOP calculation after Change of contract duration</t>
  </si>
  <si>
    <t>#Rider Inclusion/Exclusion for Dread Disease is Added
#Rider Inclusion/Exclusion for Cancer is Added
#Rider Inclusion/Exclusion for Accident Disability is Added
#Rider Inclusion/Exclusion for Accident Medical Cost is Added</t>
  </si>
  <si>
    <t>Code Annuity Capital</t>
  </si>
  <si>
    <t>#Rider Inclusion/Exclusion for Disability Annuity is added</t>
  </si>
  <si>
    <t>#Rider Inclusion/Exclusion for WOP is added, but the calculation only works for Inclusion</t>
  </si>
  <si>
    <t>Production Amount</t>
  </si>
  <si>
    <t>Production Amount For Portfolio</t>
  </si>
  <si>
    <t>Mohsen Rahmani</t>
  </si>
  <si>
    <t>Added Production Amount And Production Amount For Portfolio To Annually Calculation</t>
  </si>
  <si>
    <t>Change Value Adjustment</t>
  </si>
  <si>
    <t>New Adjustment Factor for Death</t>
  </si>
  <si>
    <t>New premium Adjustment Factor</t>
  </si>
  <si>
    <t># adding change value adjustment change in changes tab (For Annually Mode)</t>
  </si>
  <si>
    <t>Arash Mehraien</t>
  </si>
  <si>
    <t>WOP Before Adj. BT</t>
  </si>
  <si>
    <t>Premium Before Change Adj. BT</t>
  </si>
  <si>
    <t>Paid-Up</t>
  </si>
  <si>
    <t>Paid-Up Option</t>
  </si>
  <si>
    <t>Penalty Amount</t>
  </si>
  <si>
    <t>Penalty Amount + Next Premium</t>
  </si>
  <si>
    <t>Annulment</t>
  </si>
  <si>
    <t>Row</t>
  </si>
  <si>
    <t>Reserve + penalty</t>
  </si>
  <si>
    <t>Paid-up with main coverage</t>
  </si>
  <si>
    <t># adding paid-up change in changes tab (for annually calculation)</t>
  </si>
  <si>
    <t xml:space="preserve">Date </t>
  </si>
  <si>
    <t>Saving</t>
  </si>
  <si>
    <t>Previous Year Reserve</t>
  </si>
  <si>
    <t>Date</t>
  </si>
  <si>
    <t>Current Reserve</t>
  </si>
  <si>
    <t>Last Reserve</t>
  </si>
  <si>
    <t>Interest Rate</t>
  </si>
  <si>
    <t>First 5 Year</t>
  </si>
  <si>
    <t>Second 5 Years</t>
  </si>
  <si>
    <t>Last 5 Year</t>
  </si>
  <si>
    <t>Age of Policy</t>
  </si>
  <si>
    <t>Profit Year</t>
  </si>
  <si>
    <t>last aniversary</t>
  </si>
  <si>
    <t>Profit Enter Application</t>
  </si>
  <si>
    <t>Policy Start Year</t>
  </si>
  <si>
    <t>Policy Start Mouth</t>
  </si>
  <si>
    <t>Policy Start Day</t>
  </si>
  <si>
    <t>Last Aniversary</t>
  </si>
  <si>
    <t>Policy Start Date</t>
  </si>
  <si>
    <t>Announced Profit Rate</t>
  </si>
  <si>
    <t>Start of Profit Year</t>
  </si>
  <si>
    <t xml:space="preserve">Total Profit: </t>
  </si>
  <si>
    <t>85% of Profit:</t>
  </si>
  <si>
    <t>Daily Calculation</t>
  </si>
  <si>
    <t>Day</t>
  </si>
  <si>
    <t>Profit Rate</t>
  </si>
  <si>
    <t>Profit</t>
  </si>
  <si>
    <t>ROW</t>
  </si>
  <si>
    <t>Contract Type</t>
  </si>
  <si>
    <t>Contract Payment Type</t>
  </si>
  <si>
    <t>Single Payment</t>
  </si>
  <si>
    <t>Add profit calculation for partial payment &amp; single payment</t>
  </si>
  <si>
    <t>30/10/2016</t>
  </si>
  <si>
    <t>Corrected Bug For Calculation of MAN Disability Annuity Product / Risk Mortality Table with intrest rate 10%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</si>
</sst>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&quot;ريال&quot;\ * #,##0.00_-;_-&quot;ريال&quot;\ * #,##0.00\-;_-&quot;ريال&quot;\ * &quot;-&quot;??_-;_-@_-"/>
    <numFmt numFmtId="165" formatCode="_-* #,##0.00_-;_-* #,##0.00\-;_-* &quot;-&quot;??_-;_-@_-"/>
    <numFmt numFmtId="166" formatCode="#,##0.0"/>
    <numFmt numFmtId="167" formatCode="#,##0_ ;\-#,##0\ "/>
    <numFmt numFmtId="168" formatCode="#,##0.00000"/>
    <numFmt numFmtId="169" formatCode="0.000"/>
    <numFmt numFmtId="170" formatCode="#,##0.0000000000"/>
    <numFmt numFmtId="171" formatCode="0.0000000000000000000"/>
    <numFmt numFmtId="172" formatCode="#,##0.00000000"/>
  </numFmts>
  <fonts count="85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b/>
      <i/>
      <sz val="12"/>
      <name val="Arial"/>
      <family val="2"/>
      <charset val="178"/>
    </font>
    <font>
      <sz val="10"/>
      <name val="Arial"/>
      <family val="2"/>
    </font>
    <font>
      <i/>
      <sz val="14"/>
      <color theme="1"/>
      <name val="Times New Roman"/>
      <family val="1"/>
    </font>
    <font>
      <i/>
      <sz val="14"/>
      <name val="Times New Roman"/>
      <family val="1"/>
    </font>
    <font>
      <b/>
      <sz val="14"/>
      <color theme="1"/>
      <name val="B Nazanin"/>
      <charset val="178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4"/>
      <color theme="1"/>
      <name val="B Titr"/>
      <charset val="178"/>
    </font>
    <font>
      <b/>
      <sz val="14"/>
      <color theme="1"/>
      <name val="B Titr"/>
      <charset val="178"/>
    </font>
    <font>
      <b/>
      <sz val="14"/>
      <color theme="0"/>
      <name val="B Titr"/>
      <charset val="178"/>
    </font>
    <font>
      <b/>
      <sz val="36"/>
      <color theme="1"/>
      <name val="B Titr"/>
      <charset val="178"/>
    </font>
    <font>
      <b/>
      <sz val="36"/>
      <color rgb="FF00B050"/>
      <name val="B Titr"/>
      <charset val="178"/>
    </font>
    <font>
      <b/>
      <sz val="13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4"/>
      <color rgb="FF00FF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42"/>
      <color rgb="FF00FF00"/>
      <name val="Calibri"/>
      <family val="2"/>
      <scheme val="minor"/>
    </font>
    <font>
      <sz val="15"/>
      <color theme="1"/>
      <name val="Calibri"/>
      <family val="2"/>
      <scheme val="minor"/>
    </font>
    <font>
      <sz val="15"/>
      <color theme="6" tint="0.7999816888943144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1"/>
      <color theme="1"/>
      <name val="Calibri"/>
      <family val="2"/>
    </font>
    <font>
      <sz val="14"/>
      <color theme="0"/>
      <name val="Calibri"/>
      <family val="2"/>
    </font>
    <font>
      <b/>
      <sz val="22"/>
      <color theme="0"/>
      <name val="Calibri"/>
      <family val="2"/>
    </font>
    <font>
      <b/>
      <sz val="16"/>
      <color theme="0"/>
      <name val="Calibri"/>
      <family val="2"/>
    </font>
    <font>
      <b/>
      <sz val="16"/>
      <color rgb="FFFF0000"/>
      <name val="Calibri"/>
      <family val="2"/>
    </font>
    <font>
      <b/>
      <sz val="18"/>
      <color theme="0"/>
      <name val="Calibri"/>
      <family val="2"/>
    </font>
    <font>
      <b/>
      <sz val="18"/>
      <color theme="1"/>
      <name val="Calibri"/>
      <family val="2"/>
    </font>
    <font>
      <b/>
      <sz val="12"/>
      <name val="Calibri"/>
      <family val="2"/>
    </font>
    <font>
      <sz val="14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rgb="FF7030A0"/>
      <name val="Calibri"/>
      <family val="2"/>
    </font>
    <font>
      <b/>
      <sz val="16"/>
      <color theme="1"/>
      <name val="Calibri"/>
      <family val="2"/>
    </font>
    <font>
      <sz val="18"/>
      <color theme="0"/>
      <name val="Calibri"/>
      <family val="2"/>
    </font>
    <font>
      <b/>
      <sz val="14"/>
      <name val="Calibri"/>
      <family val="2"/>
    </font>
    <font>
      <sz val="11"/>
      <color theme="1" tint="0.499984740745262"/>
      <name val="Calibri"/>
      <family val="2"/>
    </font>
    <font>
      <sz val="9"/>
      <name val="Calibri"/>
      <family val="2"/>
    </font>
    <font>
      <sz val="10"/>
      <name val="Calibri"/>
      <family val="2"/>
    </font>
    <font>
      <b/>
      <sz val="16"/>
      <color theme="1"/>
      <name val="Times New Roman"/>
      <family val="1"/>
    </font>
    <font>
      <sz val="11"/>
      <color theme="1"/>
      <name val="Times New Roman"/>
      <family val="1"/>
    </font>
    <font>
      <b/>
      <sz val="10"/>
      <color theme="1"/>
      <name val="Times New Roman"/>
      <family val="1"/>
    </font>
    <font>
      <sz val="12"/>
      <color theme="1"/>
      <name val="Times New Roman"/>
      <family val="1"/>
    </font>
    <font>
      <sz val="11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b/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2"/>
      <color theme="6" tint="-0.249977111117893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4"/>
      <color indexed="54"/>
      <name val="Arial"/>
      <family val="2"/>
    </font>
    <font>
      <b/>
      <sz val="10"/>
      <color theme="0"/>
      <name val="Arial"/>
      <family val="2"/>
    </font>
    <font>
      <sz val="11"/>
      <name val="Arial"/>
      <family val="2"/>
    </font>
    <font>
      <b/>
      <sz val="10"/>
      <color theme="1" tint="4.9989318521683403E-2"/>
      <name val="Arial"/>
      <family val="2"/>
    </font>
    <font>
      <sz val="24"/>
      <color theme="0" tint="-0.14999847407452621"/>
      <name val="Arial"/>
      <family val="2"/>
    </font>
    <font>
      <b/>
      <sz val="10"/>
      <color theme="0" tint="-4.9989318521683403E-2"/>
      <name val="Arial"/>
      <family val="2"/>
    </font>
    <font>
      <sz val="18"/>
      <color theme="0" tint="-4.9989318521683403E-2"/>
      <name val="Arial"/>
      <family val="2"/>
    </font>
    <font>
      <b/>
      <sz val="11"/>
      <color theme="0" tint="-4.9989318521683403E-2"/>
      <name val="Arial"/>
      <family val="2"/>
    </font>
    <font>
      <b/>
      <sz val="11"/>
      <name val="Arial"/>
      <family val="2"/>
    </font>
    <font>
      <b/>
      <sz val="14"/>
      <color theme="0" tint="-4.9989318521683403E-2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66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F7B7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8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rgb="FFFFCC99"/>
      </patternFill>
    </fill>
    <fill>
      <patternFill patternType="solid">
        <fgColor rgb="FF009999"/>
        <bgColor indexed="64"/>
      </patternFill>
    </fill>
    <fill>
      <patternFill patternType="solid">
        <fgColor rgb="FF57E3AE"/>
        <bgColor indexed="64"/>
      </patternFill>
    </fill>
    <fill>
      <patternFill patternType="solid">
        <fgColor rgb="FFDBFDDD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34003A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CE22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820000"/>
        <bgColor indexed="64"/>
      </patternFill>
    </fill>
    <fill>
      <patternFill patternType="solid">
        <fgColor rgb="FFD3BA03"/>
        <bgColor indexed="64"/>
      </patternFill>
    </fill>
    <fill>
      <patternFill patternType="solid">
        <fgColor rgb="FFFEF99C"/>
        <bgColor indexed="64"/>
      </patternFill>
    </fill>
    <fill>
      <patternFill patternType="solid">
        <fgColor theme="2" tint="-0.749992370372631"/>
        <bgColor indexed="64"/>
      </patternFill>
    </fill>
  </fills>
  <borders count="8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theme="0"/>
      </right>
      <top style="medium">
        <color indexed="64"/>
      </top>
      <bottom style="medium">
        <color indexed="64"/>
      </bottom>
      <diagonal/>
    </border>
    <border>
      <left style="medium">
        <color theme="0"/>
      </left>
      <right style="medium">
        <color theme="0"/>
      </right>
      <top style="medium">
        <color indexed="64"/>
      </top>
      <bottom style="medium">
        <color indexed="64"/>
      </bottom>
      <diagonal/>
    </border>
    <border>
      <left style="medium">
        <color theme="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rgb="FF0070C0"/>
      </left>
      <right/>
      <top style="medium">
        <color rgb="FF0070C0"/>
      </top>
      <bottom/>
      <diagonal/>
    </border>
    <border>
      <left/>
      <right/>
      <top style="medium">
        <color rgb="FF0070C0"/>
      </top>
      <bottom/>
      <diagonal/>
    </border>
    <border>
      <left/>
      <right style="medium">
        <color rgb="FF0070C0"/>
      </right>
      <top style="medium">
        <color rgb="FF0070C0"/>
      </top>
      <bottom/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/>
      <top/>
      <bottom style="medium">
        <color rgb="FF0070C0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ck">
        <color theme="9" tint="-0.499984740745262"/>
      </left>
      <right/>
      <top/>
      <bottom/>
      <diagonal/>
    </border>
    <border>
      <left/>
      <right style="thick">
        <color theme="9" tint="-0.499984740745262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theme="9" tint="-0.499984740745262"/>
      </left>
      <right/>
      <top/>
      <bottom style="thick">
        <color theme="9" tint="-0.499984740745262"/>
      </bottom>
      <diagonal/>
    </border>
    <border>
      <left/>
      <right/>
      <top/>
      <bottom style="thick">
        <color theme="9" tint="-0.499984740745262"/>
      </bottom>
      <diagonal/>
    </border>
    <border>
      <left/>
      <right style="thick">
        <color theme="9" tint="-0.499984740745262"/>
      </right>
      <top/>
      <bottom style="thick">
        <color theme="9" tint="-0.499984740745262"/>
      </bottom>
      <diagonal/>
    </border>
  </borders>
  <cellStyleXfs count="28">
    <xf numFmtId="0" fontId="0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0" fontId="5" fillId="0" borderId="0"/>
    <xf numFmtId="165" fontId="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37" borderId="0" applyNumberFormat="0" applyBorder="0" applyAlignment="0" applyProtection="0"/>
    <xf numFmtId="0" fontId="3" fillId="0" borderId="0"/>
    <xf numFmtId="0" fontId="60" fillId="0" borderId="0" applyNumberFormat="0" applyFill="0" applyBorder="0" applyAlignment="0" applyProtection="0"/>
    <xf numFmtId="0" fontId="3" fillId="40" borderId="0" applyNumberFormat="0" applyBorder="0" applyAlignment="0" applyProtection="0"/>
    <xf numFmtId="0" fontId="63" fillId="41" borderId="0" applyNumberFormat="0" applyBorder="0" applyAlignment="0" applyProtection="0"/>
    <xf numFmtId="0" fontId="64" fillId="42" borderId="0" applyNumberFormat="0" applyBorder="0" applyAlignment="0" applyProtection="0"/>
    <xf numFmtId="0" fontId="65" fillId="43" borderId="0" applyNumberFormat="0" applyBorder="0" applyAlignment="0" applyProtection="0"/>
    <xf numFmtId="0" fontId="3" fillId="44" borderId="0" applyNumberFormat="0" applyBorder="0" applyAlignment="0" applyProtection="0"/>
    <xf numFmtId="0" fontId="18" fillId="45" borderId="0" applyNumberFormat="0" applyBorder="0" applyAlignment="0" applyProtection="0"/>
    <xf numFmtId="0" fontId="18" fillId="46" borderId="0" applyNumberFormat="0" applyBorder="0" applyAlignment="0" applyProtection="0"/>
    <xf numFmtId="0" fontId="3" fillId="47" borderId="0" applyNumberFormat="0" applyBorder="0" applyAlignment="0" applyProtection="0"/>
    <xf numFmtId="0" fontId="66" fillId="0" borderId="0"/>
    <xf numFmtId="0" fontId="68" fillId="48" borderId="54" applyNumberFormat="0" applyAlignment="0" applyProtection="0"/>
    <xf numFmtId="0" fontId="72" fillId="0" borderId="0"/>
    <xf numFmtId="0" fontId="3" fillId="52" borderId="0" applyNumberFormat="0" applyBorder="0" applyAlignment="0" applyProtection="0"/>
  </cellStyleXfs>
  <cellXfs count="592">
    <xf numFmtId="0" fontId="0" fillId="0" borderId="0" xfId="0"/>
    <xf numFmtId="0" fontId="0" fillId="0" borderId="7" xfId="0" applyNumberFormat="1" applyBorder="1" applyAlignment="1">
      <alignment horizontal="center" vertical="center"/>
    </xf>
    <xf numFmtId="0" fontId="0" fillId="7" borderId="7" xfId="0" applyNumberFormat="1" applyFill="1" applyBorder="1" applyAlignment="1">
      <alignment horizontal="center" vertical="center"/>
    </xf>
    <xf numFmtId="0" fontId="0" fillId="0" borderId="7" xfId="0" applyNumberFormat="1" applyFont="1" applyBorder="1" applyAlignment="1">
      <alignment horizontal="center" vertical="center"/>
    </xf>
    <xf numFmtId="0" fontId="0" fillId="8" borderId="7" xfId="0" applyNumberFormat="1" applyFont="1" applyFill="1" applyBorder="1" applyAlignment="1">
      <alignment horizontal="center" vertical="center"/>
    </xf>
    <xf numFmtId="0" fontId="0" fillId="8" borderId="7" xfId="0" applyNumberFormat="1" applyFont="1" applyFill="1" applyBorder="1" applyAlignment="1">
      <alignment vertical="center"/>
    </xf>
    <xf numFmtId="0" fontId="4" fillId="7" borderId="9" xfId="0" applyNumberFormat="1" applyFont="1" applyFill="1" applyBorder="1" applyAlignment="1">
      <alignment horizontal="center" vertical="center"/>
    </xf>
    <xf numFmtId="0" fontId="0" fillId="7" borderId="8" xfId="0" applyNumberFormat="1" applyFill="1" applyBorder="1" applyAlignment="1">
      <alignment horizontal="center" vertical="center"/>
    </xf>
    <xf numFmtId="0" fontId="0" fillId="8" borderId="8" xfId="0" applyNumberFormat="1" applyFont="1" applyFill="1" applyBorder="1" applyAlignment="1">
      <alignment horizontal="center" vertical="center"/>
    </xf>
    <xf numFmtId="0" fontId="4" fillId="0" borderId="9" xfId="0" applyNumberFormat="1" applyFon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/>
    <xf numFmtId="0" fontId="2" fillId="10" borderId="7" xfId="3" applyNumberFormat="1" applyFill="1" applyBorder="1" applyAlignment="1">
      <alignment horizontal="center" vertical="center"/>
    </xf>
    <xf numFmtId="0" fontId="0" fillId="10" borderId="7" xfId="0" applyNumberFormat="1" applyFill="1" applyBorder="1" applyAlignment="1">
      <alignment horizontal="center" vertical="center"/>
    </xf>
    <xf numFmtId="0" fontId="0" fillId="10" borderId="8" xfId="0" applyNumberFormat="1" applyFill="1" applyBorder="1" applyAlignment="1">
      <alignment horizontal="center" vertical="center"/>
    </xf>
    <xf numFmtId="0" fontId="6" fillId="11" borderId="7" xfId="0" applyNumberFormat="1" applyFont="1" applyFill="1" applyBorder="1" applyAlignment="1">
      <alignment horizontal="center" vertical="center"/>
    </xf>
    <xf numFmtId="0" fontId="6" fillId="10" borderId="10" xfId="0" applyNumberFormat="1" applyFont="1" applyFill="1" applyBorder="1" applyAlignment="1">
      <alignment horizontal="center" vertical="center"/>
    </xf>
    <xf numFmtId="3" fontId="6" fillId="11" borderId="7" xfId="0" applyNumberFormat="1" applyFont="1" applyFill="1" applyBorder="1" applyAlignment="1">
      <alignment horizontal="center" vertical="center"/>
    </xf>
    <xf numFmtId="0" fontId="6" fillId="14" borderId="7" xfId="0" applyNumberFormat="1" applyFont="1" applyFill="1" applyBorder="1" applyAlignment="1">
      <alignment horizontal="center" vertical="center"/>
    </xf>
    <xf numFmtId="0" fontId="7" fillId="13" borderId="7" xfId="0" applyNumberFormat="1" applyFont="1" applyFill="1" applyBorder="1" applyAlignment="1">
      <alignment horizontal="center" vertical="center"/>
    </xf>
    <xf numFmtId="3" fontId="7" fillId="13" borderId="7" xfId="0" applyNumberFormat="1" applyFont="1" applyFill="1" applyBorder="1" applyAlignment="1">
      <alignment horizontal="center" vertical="center"/>
    </xf>
    <xf numFmtId="4" fontId="6" fillId="14" borderId="7" xfId="0" applyNumberFormat="1" applyFont="1" applyFill="1" applyBorder="1" applyAlignment="1">
      <alignment horizontal="center" vertical="center"/>
    </xf>
    <xf numFmtId="3" fontId="6" fillId="14" borderId="7" xfId="0" applyNumberFormat="1" applyFont="1" applyFill="1" applyBorder="1" applyAlignment="1">
      <alignment horizontal="center" vertical="center"/>
    </xf>
    <xf numFmtId="4" fontId="7" fillId="13" borderId="7" xfId="0" applyNumberFormat="1" applyFont="1" applyFill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3" fontId="6" fillId="0" borderId="0" xfId="0" applyNumberFormat="1" applyFont="1" applyAlignment="1">
      <alignment horizontal="center" vertical="center"/>
    </xf>
    <xf numFmtId="166" fontId="6" fillId="0" borderId="0" xfId="0" applyNumberFormat="1" applyFont="1" applyAlignment="1">
      <alignment horizontal="center" vertical="center"/>
    </xf>
    <xf numFmtId="167" fontId="6" fillId="0" borderId="0" xfId="1" applyNumberFormat="1" applyFont="1" applyAlignment="1">
      <alignment horizontal="center" vertical="center"/>
    </xf>
    <xf numFmtId="0" fontId="6" fillId="0" borderId="0" xfId="0" applyNumberFormat="1" applyFont="1" applyBorder="1" applyAlignment="1">
      <alignment horizontal="center" vertical="center"/>
    </xf>
    <xf numFmtId="167" fontId="6" fillId="10" borderId="10" xfId="1" applyNumberFormat="1" applyFont="1" applyFill="1" applyBorder="1" applyAlignment="1">
      <alignment horizontal="center" vertical="center"/>
    </xf>
    <xf numFmtId="0" fontId="6" fillId="9" borderId="7" xfId="0" applyNumberFormat="1" applyFont="1" applyFill="1" applyBorder="1" applyAlignment="1">
      <alignment horizontal="center" vertical="center"/>
    </xf>
    <xf numFmtId="0" fontId="6" fillId="15" borderId="7" xfId="0" applyNumberFormat="1" applyFont="1" applyFill="1" applyBorder="1" applyAlignment="1">
      <alignment horizontal="center" vertical="center"/>
    </xf>
    <xf numFmtId="0" fontId="6" fillId="9" borderId="8" xfId="0" applyNumberFormat="1" applyFont="1" applyFill="1" applyBorder="1" applyAlignment="1">
      <alignment horizontal="center" vertical="center"/>
    </xf>
    <xf numFmtId="0" fontId="6" fillId="15" borderId="8" xfId="0" applyNumberFormat="1" applyFont="1" applyFill="1" applyBorder="1" applyAlignment="1">
      <alignment horizontal="center" vertical="center"/>
    </xf>
    <xf numFmtId="4" fontId="6" fillId="0" borderId="0" xfId="0" applyNumberFormat="1" applyFont="1" applyAlignment="1">
      <alignment horizontal="center" vertical="center"/>
    </xf>
    <xf numFmtId="3" fontId="7" fillId="23" borderId="7" xfId="0" applyNumberFormat="1" applyFont="1" applyFill="1" applyBorder="1" applyAlignment="1">
      <alignment horizontal="center" vertical="center"/>
    </xf>
    <xf numFmtId="3" fontId="7" fillId="24" borderId="7" xfId="0" applyNumberFormat="1" applyFont="1" applyFill="1" applyBorder="1" applyAlignment="1">
      <alignment horizontal="center" vertical="center"/>
    </xf>
    <xf numFmtId="3" fontId="6" fillId="21" borderId="7" xfId="0" applyNumberFormat="1" applyFont="1" applyFill="1" applyBorder="1" applyAlignment="1">
      <alignment horizontal="center" vertical="center"/>
    </xf>
    <xf numFmtId="168" fontId="6" fillId="11" borderId="7" xfId="0" applyNumberFormat="1" applyFont="1" applyFill="1" applyBorder="1" applyAlignment="1">
      <alignment horizontal="center" vertical="center"/>
    </xf>
    <xf numFmtId="3" fontId="6" fillId="16" borderId="7" xfId="0" applyNumberFormat="1" applyFont="1" applyFill="1" applyBorder="1" applyAlignment="1">
      <alignment horizontal="center" vertical="center"/>
    </xf>
    <xf numFmtId="3" fontId="6" fillId="17" borderId="7" xfId="0" applyNumberFormat="1" applyFont="1" applyFill="1" applyBorder="1" applyAlignment="1">
      <alignment horizontal="center" vertical="center"/>
    </xf>
    <xf numFmtId="0" fontId="4" fillId="9" borderId="9" xfId="0" applyNumberFormat="1" applyFont="1" applyFill="1" applyBorder="1" applyAlignment="1">
      <alignment horizontal="center" vertical="center"/>
    </xf>
    <xf numFmtId="3" fontId="6" fillId="11" borderId="10" xfId="0" applyNumberFormat="1" applyFont="1" applyFill="1" applyBorder="1" applyAlignment="1">
      <alignment horizontal="center" vertical="center"/>
    </xf>
    <xf numFmtId="0" fontId="0" fillId="8" borderId="7" xfId="0" applyNumberFormat="1" applyFill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8" borderId="8" xfId="0" applyNumberFormat="1" applyFill="1" applyBorder="1" applyAlignment="1">
      <alignment horizontal="center" vertical="center"/>
    </xf>
    <xf numFmtId="167" fontId="6" fillId="0" borderId="0" xfId="0" applyNumberFormat="1" applyFont="1" applyAlignment="1">
      <alignment horizontal="center" vertical="center"/>
    </xf>
    <xf numFmtId="0" fontId="8" fillId="0" borderId="0" xfId="0" applyFont="1"/>
    <xf numFmtId="0" fontId="9" fillId="0" borderId="0" xfId="0" applyFont="1"/>
    <xf numFmtId="0" fontId="10" fillId="0" borderId="0" xfId="0" applyFont="1" applyAlignment="1">
      <alignment horizontal="center" vertical="center"/>
    </xf>
    <xf numFmtId="3" fontId="11" fillId="0" borderId="0" xfId="0" applyNumberFormat="1" applyFont="1" applyAlignment="1">
      <alignment horizontal="center" vertical="center"/>
    </xf>
    <xf numFmtId="0" fontId="13" fillId="6" borderId="0" xfId="0" applyFont="1" applyFill="1" applyBorder="1" applyAlignment="1">
      <alignment horizontal="center" vertical="center"/>
    </xf>
    <xf numFmtId="3" fontId="13" fillId="6" borderId="0" xfId="0" applyNumberFormat="1" applyFont="1" applyFill="1" applyBorder="1" applyAlignment="1">
      <alignment horizontal="center" vertical="center"/>
    </xf>
    <xf numFmtId="3" fontId="12" fillId="6" borderId="14" xfId="0" applyNumberFormat="1" applyFont="1" applyFill="1" applyBorder="1" applyAlignment="1">
      <alignment horizontal="center" vertical="center"/>
    </xf>
    <xf numFmtId="3" fontId="12" fillId="6" borderId="22" xfId="0" applyNumberFormat="1" applyFont="1" applyFill="1" applyBorder="1" applyAlignment="1">
      <alignment horizontal="center" vertical="center"/>
    </xf>
    <xf numFmtId="3" fontId="12" fillId="6" borderId="23" xfId="0" applyNumberFormat="1" applyFont="1" applyFill="1" applyBorder="1" applyAlignment="1">
      <alignment horizontal="center" vertical="center"/>
    </xf>
    <xf numFmtId="3" fontId="12" fillId="6" borderId="15" xfId="0" applyNumberFormat="1" applyFont="1" applyFill="1" applyBorder="1" applyAlignment="1">
      <alignment horizontal="center" vertical="center"/>
    </xf>
    <xf numFmtId="3" fontId="12" fillId="6" borderId="8" xfId="0" applyNumberFormat="1" applyFont="1" applyFill="1" applyBorder="1" applyAlignment="1">
      <alignment horizontal="center" vertical="center"/>
    </xf>
    <xf numFmtId="3" fontId="12" fillId="6" borderId="16" xfId="0" applyNumberFormat="1" applyFont="1" applyFill="1" applyBorder="1" applyAlignment="1">
      <alignment horizontal="center" vertical="center"/>
    </xf>
    <xf numFmtId="3" fontId="14" fillId="30" borderId="42" xfId="0" applyNumberFormat="1" applyFont="1" applyFill="1" applyBorder="1" applyAlignment="1">
      <alignment horizontal="center" vertical="center"/>
    </xf>
    <xf numFmtId="3" fontId="14" fillId="30" borderId="43" xfId="0" applyNumberFormat="1" applyFont="1" applyFill="1" applyBorder="1" applyAlignment="1">
      <alignment horizontal="center" vertical="center"/>
    </xf>
    <xf numFmtId="0" fontId="14" fillId="30" borderId="43" xfId="0" applyFont="1" applyFill="1" applyBorder="1" applyAlignment="1">
      <alignment horizontal="center" vertical="center"/>
    </xf>
    <xf numFmtId="0" fontId="14" fillId="30" borderId="44" xfId="0" applyFont="1" applyFill="1" applyBorder="1" applyAlignment="1">
      <alignment horizontal="center" vertical="center"/>
    </xf>
    <xf numFmtId="3" fontId="13" fillId="6" borderId="30" xfId="0" applyNumberFormat="1" applyFont="1" applyFill="1" applyBorder="1" applyAlignment="1">
      <alignment horizontal="center" vertical="center"/>
    </xf>
    <xf numFmtId="3" fontId="12" fillId="6" borderId="17" xfId="0" applyNumberFormat="1" applyFont="1" applyFill="1" applyBorder="1" applyAlignment="1">
      <alignment horizontal="center" vertical="center"/>
    </xf>
    <xf numFmtId="3" fontId="12" fillId="6" borderId="24" xfId="0" applyNumberFormat="1" applyFont="1" applyFill="1" applyBorder="1" applyAlignment="1">
      <alignment horizontal="center" vertical="center"/>
    </xf>
    <xf numFmtId="3" fontId="12" fillId="6" borderId="18" xfId="0" applyNumberFormat="1" applyFont="1" applyFill="1" applyBorder="1" applyAlignment="1">
      <alignment horizontal="center" vertical="center"/>
    </xf>
    <xf numFmtId="3" fontId="13" fillId="6" borderId="26" xfId="0" applyNumberFormat="1" applyFont="1" applyFill="1" applyBorder="1" applyAlignment="1">
      <alignment horizontal="center" vertical="center"/>
    </xf>
    <xf numFmtId="3" fontId="13" fillId="6" borderId="45" xfId="0" applyNumberFormat="1" applyFont="1" applyFill="1" applyBorder="1" applyAlignment="1">
      <alignment horizontal="center" vertical="center"/>
    </xf>
    <xf numFmtId="3" fontId="13" fillId="6" borderId="40" xfId="0" applyNumberFormat="1" applyFont="1" applyFill="1" applyBorder="1" applyAlignment="1">
      <alignment horizontal="center" vertical="center"/>
    </xf>
    <xf numFmtId="3" fontId="13" fillId="6" borderId="46" xfId="0" applyNumberFormat="1" applyFont="1" applyFill="1" applyBorder="1" applyAlignment="1">
      <alignment horizontal="center" vertical="center"/>
    </xf>
    <xf numFmtId="3" fontId="13" fillId="6" borderId="47" xfId="0" applyNumberFormat="1" applyFont="1" applyFill="1" applyBorder="1" applyAlignment="1">
      <alignment horizontal="center" vertical="center"/>
    </xf>
    <xf numFmtId="3" fontId="13" fillId="6" borderId="26" xfId="0" applyNumberFormat="1" applyFont="1" applyFill="1" applyBorder="1" applyAlignment="1">
      <alignment horizontal="center" vertical="center"/>
    </xf>
    <xf numFmtId="3" fontId="13" fillId="6" borderId="45" xfId="0" applyNumberFormat="1" applyFont="1" applyFill="1" applyBorder="1" applyAlignment="1">
      <alignment horizontal="center" vertical="center"/>
    </xf>
    <xf numFmtId="0" fontId="13" fillId="6" borderId="41" xfId="0" applyFont="1" applyFill="1" applyBorder="1" applyAlignment="1">
      <alignment horizontal="center" vertical="center"/>
    </xf>
    <xf numFmtId="0" fontId="13" fillId="6" borderId="31" xfId="0" applyFont="1" applyFill="1" applyBorder="1" applyAlignment="1">
      <alignment horizontal="center" vertical="center"/>
    </xf>
    <xf numFmtId="3" fontId="13" fillId="6" borderId="40" xfId="0" applyNumberFormat="1" applyFont="1" applyFill="1" applyBorder="1" applyAlignment="1">
      <alignment horizontal="center" vertical="center"/>
    </xf>
    <xf numFmtId="0" fontId="13" fillId="6" borderId="39" xfId="0" applyFont="1" applyFill="1" applyBorder="1" applyAlignment="1">
      <alignment horizontal="center" vertical="center"/>
    </xf>
    <xf numFmtId="3" fontId="0" fillId="0" borderId="0" xfId="0" applyNumberFormat="1"/>
    <xf numFmtId="3" fontId="14" fillId="30" borderId="6" xfId="0" applyNumberFormat="1" applyFont="1" applyFill="1" applyBorder="1" applyAlignment="1">
      <alignment horizontal="center" vertical="center"/>
    </xf>
    <xf numFmtId="3" fontId="17" fillId="5" borderId="6" xfId="0" applyNumberFormat="1" applyFont="1" applyFill="1" applyBorder="1" applyAlignment="1">
      <alignment horizontal="center" vertical="center" wrapText="1"/>
    </xf>
    <xf numFmtId="4" fontId="17" fillId="20" borderId="6" xfId="0" applyNumberFormat="1" applyFont="1" applyFill="1" applyBorder="1" applyAlignment="1">
      <alignment horizontal="center" vertical="center" wrapText="1"/>
    </xf>
    <xf numFmtId="166" fontId="17" fillId="4" borderId="6" xfId="0" applyNumberFormat="1" applyFont="1" applyFill="1" applyBorder="1" applyAlignment="1">
      <alignment horizontal="center" vertical="center" wrapText="1"/>
    </xf>
    <xf numFmtId="3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8" xfId="0" applyNumberFormat="1" applyBorder="1" applyAlignment="1">
      <alignment horizontal="center" vertical="center"/>
    </xf>
    <xf numFmtId="4" fontId="0" fillId="0" borderId="8" xfId="0" applyNumberFormat="1" applyBorder="1" applyAlignment="1">
      <alignment horizontal="center" vertical="center"/>
    </xf>
    <xf numFmtId="4" fontId="0" fillId="0" borderId="0" xfId="0" applyNumberFormat="1" applyFill="1" applyAlignment="1">
      <alignment horizontal="center" vertical="center" wrapText="1"/>
    </xf>
    <xf numFmtId="4" fontId="0" fillId="0" borderId="25" xfId="0" applyNumberFormat="1" applyBorder="1" applyAlignment="1">
      <alignment horizontal="center" vertical="center"/>
    </xf>
    <xf numFmtId="4" fontId="0" fillId="0" borderId="50" xfId="0" applyNumberFormat="1" applyBorder="1" applyAlignment="1">
      <alignment horizontal="center" vertical="center"/>
    </xf>
    <xf numFmtId="4" fontId="0" fillId="0" borderId="51" xfId="0" applyNumberFormat="1" applyBorder="1" applyAlignment="1">
      <alignment horizontal="center" vertical="center"/>
    </xf>
    <xf numFmtId="4" fontId="18" fillId="37" borderId="7" xfId="13" applyNumberFormat="1" applyBorder="1" applyAlignment="1">
      <alignment horizontal="center" vertical="center" wrapText="1"/>
    </xf>
    <xf numFmtId="4" fontId="18" fillId="37" borderId="10" xfId="13" applyNumberFormat="1" applyBorder="1" applyAlignment="1">
      <alignment horizontal="center" vertical="center" wrapText="1"/>
    </xf>
    <xf numFmtId="4" fontId="0" fillId="10" borderId="8" xfId="0" applyNumberFormat="1" applyFill="1" applyBorder="1" applyAlignment="1">
      <alignment horizontal="center" vertical="center"/>
    </xf>
    <xf numFmtId="3" fontId="0" fillId="10" borderId="8" xfId="0" applyNumberFormat="1" applyFill="1" applyBorder="1" applyAlignment="1">
      <alignment horizontal="center" vertical="center"/>
    </xf>
    <xf numFmtId="3" fontId="18" fillId="37" borderId="7" xfId="13" applyNumberForma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3" fontId="19" fillId="38" borderId="8" xfId="0" applyNumberFormat="1" applyFont="1" applyFill="1" applyBorder="1" applyAlignment="1">
      <alignment horizontal="center" vertical="center"/>
    </xf>
    <xf numFmtId="3" fontId="19" fillId="38" borderId="25" xfId="0" applyNumberFormat="1" applyFont="1" applyFill="1" applyBorder="1" applyAlignment="1">
      <alignment horizontal="center" vertical="center"/>
    </xf>
    <xf numFmtId="4" fontId="20" fillId="10" borderId="8" xfId="0" applyNumberFormat="1" applyFont="1" applyFill="1" applyBorder="1" applyAlignment="1">
      <alignment horizontal="center" vertical="center" wrapText="1"/>
    </xf>
    <xf numFmtId="0" fontId="25" fillId="19" borderId="0" xfId="0" applyFont="1" applyFill="1" applyBorder="1" applyProtection="1"/>
    <xf numFmtId="0" fontId="26" fillId="19" borderId="0" xfId="0" applyFont="1" applyFill="1" applyBorder="1" applyAlignment="1" applyProtection="1">
      <alignment horizontal="center" vertical="center"/>
    </xf>
    <xf numFmtId="0" fontId="25" fillId="0" borderId="0" xfId="0" applyFont="1" applyBorder="1" applyProtection="1"/>
    <xf numFmtId="3" fontId="27" fillId="16" borderId="0" xfId="0" applyNumberFormat="1" applyFont="1" applyFill="1" applyBorder="1" applyAlignment="1" applyProtection="1">
      <alignment horizontal="center" vertical="center"/>
    </xf>
    <xf numFmtId="3" fontId="27" fillId="16" borderId="0" xfId="2" applyNumberFormat="1" applyFont="1" applyFill="1" applyBorder="1" applyAlignment="1" applyProtection="1">
      <alignment horizontal="center" vertical="center"/>
      <protection locked="0"/>
    </xf>
    <xf numFmtId="3" fontId="28" fillId="4" borderId="0" xfId="0" applyNumberFormat="1" applyFont="1" applyFill="1" applyBorder="1" applyAlignment="1" applyProtection="1">
      <alignment horizontal="center" vertical="center"/>
    </xf>
    <xf numFmtId="3" fontId="29" fillId="16" borderId="0" xfId="0" applyNumberFormat="1" applyFont="1" applyFill="1" applyBorder="1" applyAlignment="1" applyProtection="1">
      <alignment horizontal="center" vertical="center"/>
    </xf>
    <xf numFmtId="0" fontId="27" fillId="10" borderId="35" xfId="0" applyFont="1" applyFill="1" applyBorder="1" applyAlignment="1" applyProtection="1">
      <alignment horizontal="center" vertical="center"/>
    </xf>
    <xf numFmtId="3" fontId="27" fillId="12" borderId="0" xfId="0" applyNumberFormat="1" applyFont="1" applyFill="1" applyBorder="1" applyAlignment="1" applyProtection="1">
      <alignment horizontal="center" vertical="center"/>
    </xf>
    <xf numFmtId="3" fontId="27" fillId="12" borderId="0" xfId="2" applyNumberFormat="1" applyFont="1" applyFill="1" applyBorder="1" applyAlignment="1" applyProtection="1">
      <alignment horizontal="center" vertical="center"/>
      <protection locked="0"/>
    </xf>
    <xf numFmtId="3" fontId="31" fillId="18" borderId="0" xfId="0" applyNumberFormat="1" applyFont="1" applyFill="1" applyBorder="1" applyAlignment="1" applyProtection="1">
      <alignment horizontal="center" vertical="center" wrapText="1"/>
    </xf>
    <xf numFmtId="3" fontId="28" fillId="18" borderId="0" xfId="0" applyNumberFormat="1" applyFont="1" applyFill="1" applyBorder="1" applyAlignment="1" applyProtection="1">
      <alignment horizontal="center" vertical="center" wrapText="1"/>
    </xf>
    <xf numFmtId="0" fontId="27" fillId="10" borderId="0" xfId="0" applyFont="1" applyFill="1" applyBorder="1" applyAlignment="1" applyProtection="1">
      <alignment horizontal="center" vertical="center"/>
    </xf>
    <xf numFmtId="3" fontId="27" fillId="10" borderId="0" xfId="0" applyNumberFormat="1" applyFont="1" applyFill="1" applyBorder="1" applyAlignment="1" applyProtection="1">
      <alignment horizontal="center" vertical="center"/>
    </xf>
    <xf numFmtId="3" fontId="32" fillId="10" borderId="0" xfId="0" applyNumberFormat="1" applyFont="1" applyFill="1" applyBorder="1" applyAlignment="1" applyProtection="1">
      <alignment horizontal="center" vertical="center"/>
      <protection locked="0"/>
    </xf>
    <xf numFmtId="3" fontId="31" fillId="10" borderId="0" xfId="0" applyNumberFormat="1" applyFont="1" applyFill="1" applyBorder="1" applyAlignment="1" applyProtection="1">
      <alignment horizontal="center" vertical="center" wrapText="1"/>
    </xf>
    <xf numFmtId="3" fontId="17" fillId="10" borderId="0" xfId="0" applyNumberFormat="1" applyFont="1" applyFill="1" applyBorder="1" applyAlignment="1" applyProtection="1">
      <alignment horizontal="center" vertical="center" wrapText="1"/>
    </xf>
    <xf numFmtId="0" fontId="27" fillId="23" borderId="35" xfId="0" applyFont="1" applyFill="1" applyBorder="1" applyAlignment="1" applyProtection="1">
      <alignment horizontal="center" vertical="center"/>
    </xf>
    <xf numFmtId="3" fontId="27" fillId="21" borderId="0" xfId="0" applyNumberFormat="1" applyFont="1" applyFill="1" applyBorder="1" applyAlignment="1" applyProtection="1">
      <alignment horizontal="center" vertical="center"/>
    </xf>
    <xf numFmtId="3" fontId="27" fillId="21" borderId="0" xfId="2" applyNumberFormat="1" applyFont="1" applyFill="1" applyBorder="1" applyAlignment="1" applyProtection="1">
      <alignment horizontal="center" vertical="center"/>
      <protection locked="0"/>
    </xf>
    <xf numFmtId="3" fontId="31" fillId="20" borderId="0" xfId="0" applyNumberFormat="1" applyFont="1" applyFill="1" applyBorder="1" applyAlignment="1" applyProtection="1">
      <alignment horizontal="center" vertical="center"/>
    </xf>
    <xf numFmtId="3" fontId="28" fillId="20" borderId="0" xfId="0" applyNumberFormat="1" applyFont="1" applyFill="1" applyBorder="1" applyAlignment="1" applyProtection="1">
      <alignment horizontal="center" vertical="center"/>
    </xf>
    <xf numFmtId="0" fontId="27" fillId="23" borderId="0" xfId="0" applyFont="1" applyFill="1" applyBorder="1" applyAlignment="1" applyProtection="1">
      <alignment horizontal="center" vertical="center"/>
    </xf>
    <xf numFmtId="0" fontId="0" fillId="19" borderId="0" xfId="0" applyFont="1" applyFill="1" applyBorder="1" applyAlignment="1" applyProtection="1">
      <alignment horizontal="center" vertical="center"/>
    </xf>
    <xf numFmtId="0" fontId="25" fillId="36" borderId="0" xfId="0" applyFont="1" applyFill="1" applyBorder="1" applyProtection="1"/>
    <xf numFmtId="0" fontId="27" fillId="27" borderId="28" xfId="0" applyFont="1" applyFill="1" applyBorder="1" applyProtection="1"/>
    <xf numFmtId="0" fontId="27" fillId="27" borderId="35" xfId="0" applyFont="1" applyFill="1" applyBorder="1" applyProtection="1"/>
    <xf numFmtId="0" fontId="27" fillId="27" borderId="19" xfId="0" applyFont="1" applyFill="1" applyBorder="1" applyProtection="1"/>
    <xf numFmtId="0" fontId="27" fillId="27" borderId="0" xfId="0" applyFont="1" applyFill="1" applyBorder="1" applyProtection="1"/>
    <xf numFmtId="0" fontId="31" fillId="27" borderId="0" xfId="0" applyFont="1" applyFill="1" applyBorder="1" applyProtection="1"/>
    <xf numFmtId="0" fontId="17" fillId="27" borderId="0" xfId="0" applyFont="1" applyFill="1" applyBorder="1" applyProtection="1"/>
    <xf numFmtId="0" fontId="27" fillId="27" borderId="20" xfId="0" applyFont="1" applyFill="1" applyBorder="1" applyProtection="1"/>
    <xf numFmtId="0" fontId="27" fillId="27" borderId="32" xfId="0" applyFont="1" applyFill="1" applyBorder="1" applyProtection="1"/>
    <xf numFmtId="0" fontId="33" fillId="27" borderId="32" xfId="0" applyFont="1" applyFill="1" applyBorder="1" applyProtection="1"/>
    <xf numFmtId="0" fontId="27" fillId="10" borderId="28" xfId="0" applyFont="1" applyFill="1" applyBorder="1" applyAlignment="1" applyProtection="1">
      <alignment horizontal="center" vertical="center"/>
    </xf>
    <xf numFmtId="0" fontId="33" fillId="10" borderId="35" xfId="0" applyFont="1" applyFill="1" applyBorder="1" applyAlignment="1" applyProtection="1">
      <alignment horizontal="center" vertical="center"/>
    </xf>
    <xf numFmtId="0" fontId="27" fillId="10" borderId="19" xfId="0" applyFont="1" applyFill="1" applyBorder="1" applyAlignment="1" applyProtection="1">
      <alignment horizontal="center" vertical="center"/>
    </xf>
    <xf numFmtId="0" fontId="31" fillId="10" borderId="0" xfId="0" applyFont="1" applyFill="1" applyBorder="1" applyAlignment="1" applyProtection="1">
      <alignment horizontal="center" vertical="center"/>
    </xf>
    <xf numFmtId="0" fontId="17" fillId="10" borderId="0" xfId="0" applyFont="1" applyFill="1" applyBorder="1" applyAlignment="1" applyProtection="1">
      <alignment horizontal="center" vertical="center" wrapText="1"/>
    </xf>
    <xf numFmtId="0" fontId="27" fillId="23" borderId="28" xfId="0" applyFont="1" applyFill="1" applyBorder="1" applyAlignment="1" applyProtection="1">
      <alignment horizontal="center" vertical="center"/>
    </xf>
    <xf numFmtId="0" fontId="31" fillId="23" borderId="35" xfId="0" applyFont="1" applyFill="1" applyBorder="1" applyAlignment="1" applyProtection="1">
      <alignment horizontal="center" vertical="center"/>
    </xf>
    <xf numFmtId="0" fontId="17" fillId="23" borderId="35" xfId="0" applyFont="1" applyFill="1" applyBorder="1" applyAlignment="1" applyProtection="1">
      <alignment horizontal="center" vertical="center"/>
    </xf>
    <xf numFmtId="0" fontId="27" fillId="23" borderId="19" xfId="0" applyFont="1" applyFill="1" applyBorder="1" applyAlignment="1" applyProtection="1">
      <alignment horizontal="center" vertical="center"/>
    </xf>
    <xf numFmtId="0" fontId="31" fillId="23" borderId="0" xfId="0" applyFont="1" applyFill="1" applyBorder="1" applyAlignment="1" applyProtection="1">
      <alignment horizontal="center" vertical="center"/>
    </xf>
    <xf numFmtId="0" fontId="17" fillId="23" borderId="0" xfId="0" applyFont="1" applyFill="1" applyBorder="1" applyAlignment="1" applyProtection="1">
      <alignment horizontal="center" vertical="center"/>
    </xf>
    <xf numFmtId="0" fontId="34" fillId="23" borderId="20" xfId="0" applyFont="1" applyFill="1" applyBorder="1" applyAlignment="1" applyProtection="1">
      <alignment horizontal="center" vertical="center"/>
    </xf>
    <xf numFmtId="0" fontId="34" fillId="23" borderId="32" xfId="0" applyFont="1" applyFill="1" applyBorder="1" applyAlignment="1" applyProtection="1">
      <alignment horizontal="center" vertical="center"/>
    </xf>
    <xf numFmtId="0" fontId="33" fillId="23" borderId="32" xfId="0" applyFont="1" applyFill="1" applyBorder="1" applyAlignment="1" applyProtection="1">
      <alignment horizontal="center" vertical="center"/>
    </xf>
    <xf numFmtId="0" fontId="34" fillId="14" borderId="19" xfId="0" applyFont="1" applyFill="1" applyBorder="1" applyProtection="1"/>
    <xf numFmtId="0" fontId="34" fillId="14" borderId="0" xfId="0" applyFont="1" applyFill="1" applyBorder="1" applyProtection="1"/>
    <xf numFmtId="0" fontId="33" fillId="14" borderId="0" xfId="0" applyFont="1" applyFill="1" applyBorder="1" applyProtection="1"/>
    <xf numFmtId="3" fontId="34" fillId="5" borderId="0" xfId="0" applyNumberFormat="1" applyFont="1" applyFill="1" applyBorder="1" applyAlignment="1" applyProtection="1">
      <alignment horizontal="center" vertical="center"/>
    </xf>
    <xf numFmtId="0" fontId="35" fillId="3" borderId="0" xfId="0" applyFont="1" applyFill="1" applyBorder="1" applyAlignment="1" applyProtection="1">
      <alignment horizontal="center" vertical="center"/>
    </xf>
    <xf numFmtId="0" fontId="34" fillId="14" borderId="20" xfId="0" applyFont="1" applyFill="1" applyBorder="1" applyProtection="1"/>
    <xf numFmtId="0" fontId="34" fillId="14" borderId="32" xfId="0" applyFont="1" applyFill="1" applyBorder="1" applyAlignment="1" applyProtection="1"/>
    <xf numFmtId="0" fontId="34" fillId="14" borderId="32" xfId="0" applyFont="1" applyFill="1" applyBorder="1" applyProtection="1"/>
    <xf numFmtId="3" fontId="36" fillId="12" borderId="0" xfId="0" applyNumberFormat="1" applyFont="1" applyFill="1" applyBorder="1" applyAlignment="1" applyProtection="1">
      <alignment horizontal="center" vertical="center"/>
    </xf>
    <xf numFmtId="0" fontId="36" fillId="5" borderId="0" xfId="0" applyFont="1" applyFill="1" applyBorder="1" applyAlignment="1" applyProtection="1">
      <alignment horizontal="center" vertical="center"/>
    </xf>
    <xf numFmtId="3" fontId="17" fillId="18" borderId="6" xfId="0" applyNumberFormat="1" applyFont="1" applyFill="1" applyBorder="1" applyAlignment="1">
      <alignment horizontal="center" vertical="center" wrapText="1"/>
    </xf>
    <xf numFmtId="3" fontId="21" fillId="18" borderId="6" xfId="0" applyNumberFormat="1" applyFont="1" applyFill="1" applyBorder="1" applyAlignment="1">
      <alignment horizontal="center" vertical="center" wrapText="1"/>
    </xf>
    <xf numFmtId="0" fontId="37" fillId="9" borderId="27" xfId="0" applyNumberFormat="1" applyFont="1" applyFill="1" applyBorder="1" applyAlignment="1">
      <alignment horizontal="center" vertical="center" wrapText="1"/>
    </xf>
    <xf numFmtId="4" fontId="17" fillId="5" borderId="6" xfId="0" applyNumberFormat="1" applyFont="1" applyFill="1" applyBorder="1" applyAlignment="1">
      <alignment horizontal="center" vertical="center" wrapText="1"/>
    </xf>
    <xf numFmtId="4" fontId="17" fillId="22" borderId="27" xfId="0" applyNumberFormat="1" applyFont="1" applyFill="1" applyBorder="1" applyAlignment="1">
      <alignment horizontal="center" vertical="center" wrapText="1"/>
    </xf>
    <xf numFmtId="0" fontId="37" fillId="15" borderId="27" xfId="0" applyNumberFormat="1" applyFont="1" applyFill="1" applyBorder="1" applyAlignment="1">
      <alignment horizontal="center" vertical="center" wrapText="1"/>
    </xf>
    <xf numFmtId="3" fontId="17" fillId="12" borderId="6" xfId="0" applyNumberFormat="1" applyFont="1" applyFill="1" applyBorder="1" applyAlignment="1">
      <alignment horizontal="center" vertical="center" wrapText="1"/>
    </xf>
    <xf numFmtId="0" fontId="33" fillId="0" borderId="0" xfId="0" applyNumberFormat="1" applyFont="1" applyAlignment="1">
      <alignment horizontal="center" vertical="center" wrapText="1"/>
    </xf>
    <xf numFmtId="0" fontId="38" fillId="28" borderId="0" xfId="0" applyNumberFormat="1" applyFont="1" applyFill="1" applyBorder="1" applyAlignment="1">
      <alignment horizontal="center" vertical="center"/>
    </xf>
    <xf numFmtId="0" fontId="38" fillId="6" borderId="0" xfId="0" applyNumberFormat="1" applyFont="1" applyFill="1" applyBorder="1" applyAlignment="1">
      <alignment horizontal="center" vertical="center"/>
    </xf>
    <xf numFmtId="0" fontId="39" fillId="32" borderId="0" xfId="0" applyFont="1" applyFill="1"/>
    <xf numFmtId="0" fontId="38" fillId="6" borderId="0" xfId="0" applyFont="1" applyFill="1" applyBorder="1" applyAlignment="1">
      <alignment horizontal="center" vertical="center"/>
    </xf>
    <xf numFmtId="0" fontId="39" fillId="31" borderId="0" xfId="0" applyFont="1" applyFill="1"/>
    <xf numFmtId="0" fontId="42" fillId="2" borderId="6" xfId="0" applyNumberFormat="1" applyFont="1" applyFill="1" applyBorder="1" applyAlignment="1">
      <alignment horizontal="center" vertical="center"/>
    </xf>
    <xf numFmtId="0" fontId="39" fillId="6" borderId="0" xfId="0" applyFont="1" applyFill="1"/>
    <xf numFmtId="0" fontId="39" fillId="17" borderId="0" xfId="0" applyFont="1" applyFill="1"/>
    <xf numFmtId="0" fontId="39" fillId="33" borderId="0" xfId="0" applyFont="1" applyFill="1"/>
    <xf numFmtId="3" fontId="42" fillId="26" borderId="14" xfId="0" applyNumberFormat="1" applyFont="1" applyFill="1" applyBorder="1" applyAlignment="1">
      <alignment horizontal="center" vertical="center"/>
    </xf>
    <xf numFmtId="0" fontId="39" fillId="0" borderId="0" xfId="0" applyFont="1"/>
    <xf numFmtId="0" fontId="38" fillId="12" borderId="14" xfId="0" applyNumberFormat="1" applyFont="1" applyFill="1" applyBorder="1" applyAlignment="1">
      <alignment horizontal="center" vertical="center"/>
    </xf>
    <xf numFmtId="3" fontId="38" fillId="12" borderId="22" xfId="0" applyNumberFormat="1" applyFont="1" applyFill="1" applyBorder="1" applyAlignment="1">
      <alignment horizontal="center" vertical="center"/>
    </xf>
    <xf numFmtId="0" fontId="38" fillId="12" borderId="29" xfId="0" applyNumberFormat="1" applyFont="1" applyFill="1" applyBorder="1" applyAlignment="1">
      <alignment horizontal="center" vertical="center"/>
    </xf>
    <xf numFmtId="0" fontId="38" fillId="18" borderId="14" xfId="0" applyNumberFormat="1" applyFont="1" applyFill="1" applyBorder="1" applyAlignment="1">
      <alignment horizontal="center" vertical="center"/>
    </xf>
    <xf numFmtId="3" fontId="38" fillId="18" borderId="22" xfId="0" applyNumberFormat="1" applyFont="1" applyFill="1" applyBorder="1" applyAlignment="1">
      <alignment horizontal="center" vertical="center"/>
    </xf>
    <xf numFmtId="0" fontId="38" fillId="18" borderId="23" xfId="0" applyNumberFormat="1" applyFont="1" applyFill="1" applyBorder="1" applyAlignment="1">
      <alignment horizontal="center" vertical="center"/>
    </xf>
    <xf numFmtId="3" fontId="46" fillId="14" borderId="22" xfId="0" applyNumberFormat="1" applyFont="1" applyFill="1" applyBorder="1" applyAlignment="1">
      <alignment horizontal="center" vertical="center"/>
    </xf>
    <xf numFmtId="0" fontId="46" fillId="14" borderId="23" xfId="0" applyNumberFormat="1" applyFont="1" applyFill="1" applyBorder="1" applyAlignment="1">
      <alignment horizontal="center" vertical="center"/>
    </xf>
    <xf numFmtId="0" fontId="46" fillId="6" borderId="0" xfId="0" applyNumberFormat="1" applyFont="1" applyFill="1" applyBorder="1" applyAlignment="1">
      <alignment horizontal="center" vertical="center"/>
    </xf>
    <xf numFmtId="0" fontId="47" fillId="7" borderId="9" xfId="0" applyNumberFormat="1" applyFont="1" applyFill="1" applyBorder="1" applyAlignment="1">
      <alignment horizontal="center" vertical="center"/>
    </xf>
    <xf numFmtId="4" fontId="47" fillId="7" borderId="11" xfId="0" applyNumberFormat="1" applyFont="1" applyFill="1" applyBorder="1" applyAlignment="1">
      <alignment horizontal="center" vertical="center"/>
    </xf>
    <xf numFmtId="0" fontId="40" fillId="2" borderId="6" xfId="0" applyNumberFormat="1" applyFont="1" applyFill="1" applyBorder="1" applyAlignment="1">
      <alignment horizontal="center" vertical="center"/>
    </xf>
    <xf numFmtId="0" fontId="48" fillId="14" borderId="14" xfId="0" applyNumberFormat="1" applyFont="1" applyFill="1" applyBorder="1" applyAlignment="1">
      <alignment horizontal="center" vertical="center"/>
    </xf>
    <xf numFmtId="0" fontId="49" fillId="14" borderId="22" xfId="0" applyNumberFormat="1" applyFont="1" applyFill="1" applyBorder="1" applyAlignment="1">
      <alignment horizontal="center" vertical="center"/>
    </xf>
    <xf numFmtId="0" fontId="48" fillId="14" borderId="23" xfId="0" applyNumberFormat="1" applyFont="1" applyFill="1" applyBorder="1" applyAlignment="1">
      <alignment horizontal="center" vertical="center"/>
    </xf>
    <xf numFmtId="0" fontId="39" fillId="30" borderId="6" xfId="0" applyFont="1" applyFill="1" applyBorder="1" applyAlignment="1">
      <alignment horizontal="center" vertical="center"/>
    </xf>
    <xf numFmtId="3" fontId="48" fillId="7" borderId="9" xfId="0" applyNumberFormat="1" applyFont="1" applyFill="1" applyBorder="1" applyAlignment="1">
      <alignment horizontal="center" vertical="center"/>
    </xf>
    <xf numFmtId="3" fontId="48" fillId="7" borderId="6" xfId="0" applyNumberFormat="1" applyFont="1" applyFill="1" applyBorder="1" applyAlignment="1">
      <alignment horizontal="center" vertical="center"/>
    </xf>
    <xf numFmtId="0" fontId="38" fillId="12" borderId="15" xfId="0" applyNumberFormat="1" applyFont="1" applyFill="1" applyBorder="1" applyAlignment="1">
      <alignment horizontal="center" vertical="center"/>
    </xf>
    <xf numFmtId="4" fontId="38" fillId="12" borderId="8" xfId="0" applyNumberFormat="1" applyFont="1" applyFill="1" applyBorder="1" applyAlignment="1">
      <alignment horizontal="center" vertical="center"/>
    </xf>
    <xf numFmtId="3" fontId="38" fillId="12" borderId="25" xfId="0" applyNumberFormat="1" applyFont="1" applyFill="1" applyBorder="1" applyAlignment="1">
      <alignment horizontal="center" vertical="center"/>
    </xf>
    <xf numFmtId="0" fontId="38" fillId="18" borderId="15" xfId="0" applyNumberFormat="1" applyFont="1" applyFill="1" applyBorder="1" applyAlignment="1">
      <alignment horizontal="center" vertical="center"/>
    </xf>
    <xf numFmtId="3" fontId="38" fillId="18" borderId="8" xfId="0" applyNumberFormat="1" applyFont="1" applyFill="1" applyBorder="1" applyAlignment="1">
      <alignment horizontal="center" vertical="center"/>
    </xf>
    <xf numFmtId="0" fontId="38" fillId="18" borderId="16" xfId="0" applyNumberFormat="1" applyFont="1" applyFill="1" applyBorder="1" applyAlignment="1">
      <alignment horizontal="center" vertical="center"/>
    </xf>
    <xf numFmtId="3" fontId="46" fillId="14" borderId="8" xfId="0" applyNumberFormat="1" applyFont="1" applyFill="1" applyBorder="1" applyAlignment="1">
      <alignment horizontal="center" vertical="center"/>
    </xf>
    <xf numFmtId="0" fontId="46" fillId="14" borderId="16" xfId="0" applyNumberFormat="1" applyFont="1" applyFill="1" applyBorder="1" applyAlignment="1">
      <alignment horizontal="center" vertical="center"/>
    </xf>
    <xf numFmtId="0" fontId="47" fillId="0" borderId="20" xfId="0" applyNumberFormat="1" applyFont="1" applyBorder="1" applyAlignment="1">
      <alignment horizontal="center" vertical="center"/>
    </xf>
    <xf numFmtId="4" fontId="47" fillId="0" borderId="21" xfId="0" applyNumberFormat="1" applyFont="1" applyBorder="1" applyAlignment="1">
      <alignment horizontal="center" vertical="center"/>
    </xf>
    <xf numFmtId="0" fontId="51" fillId="21" borderId="6" xfId="0" applyNumberFormat="1" applyFont="1" applyFill="1" applyBorder="1" applyAlignment="1">
      <alignment horizontal="center" vertical="center"/>
    </xf>
    <xf numFmtId="0" fontId="48" fillId="14" borderId="15" xfId="0" applyNumberFormat="1" applyFont="1" applyFill="1" applyBorder="1" applyAlignment="1">
      <alignment horizontal="center" vertical="center"/>
    </xf>
    <xf numFmtId="0" fontId="49" fillId="14" borderId="8" xfId="0" applyNumberFormat="1" applyFont="1" applyFill="1" applyBorder="1" applyAlignment="1">
      <alignment horizontal="center" vertical="center"/>
    </xf>
    <xf numFmtId="0" fontId="48" fillId="14" borderId="16" xfId="0" applyNumberFormat="1" applyFont="1" applyFill="1" applyBorder="1" applyAlignment="1">
      <alignment horizontal="center" vertical="center"/>
    </xf>
    <xf numFmtId="3" fontId="38" fillId="2" borderId="4" xfId="0" applyNumberFormat="1" applyFont="1" applyFill="1" applyBorder="1" applyAlignment="1">
      <alignment horizontal="center" vertical="center"/>
    </xf>
    <xf numFmtId="4" fontId="38" fillId="2" borderId="4" xfId="0" applyNumberFormat="1" applyFont="1" applyFill="1" applyBorder="1" applyAlignment="1">
      <alignment horizontal="center" vertical="center"/>
    </xf>
    <xf numFmtId="3" fontId="45" fillId="28" borderId="14" xfId="0" applyNumberFormat="1" applyFont="1" applyFill="1" applyBorder="1" applyAlignment="1">
      <alignment horizontal="center" vertical="center"/>
    </xf>
    <xf numFmtId="3" fontId="52" fillId="27" borderId="7" xfId="0" applyNumberFormat="1" applyFont="1" applyFill="1" applyBorder="1" applyAlignment="1">
      <alignment horizontal="center" vertical="center"/>
    </xf>
    <xf numFmtId="3" fontId="52" fillId="5" borderId="7" xfId="0" applyNumberFormat="1" applyFont="1" applyFill="1" applyBorder="1" applyAlignment="1">
      <alignment horizontal="center" vertical="center"/>
    </xf>
    <xf numFmtId="3" fontId="39" fillId="33" borderId="0" xfId="0" applyNumberFormat="1" applyFont="1" applyFill="1"/>
    <xf numFmtId="0" fontId="47" fillId="16" borderId="9" xfId="0" applyNumberFormat="1" applyFont="1" applyFill="1" applyBorder="1" applyAlignment="1">
      <alignment horizontal="center" vertical="center"/>
    </xf>
    <xf numFmtId="4" fontId="47" fillId="16" borderId="21" xfId="0" applyNumberFormat="1" applyFont="1" applyFill="1" applyBorder="1" applyAlignment="1">
      <alignment horizontal="center" vertical="center"/>
    </xf>
    <xf numFmtId="0" fontId="48" fillId="0" borderId="7" xfId="0" applyFont="1" applyBorder="1" applyAlignment="1">
      <alignment horizontal="center" vertical="center"/>
    </xf>
    <xf numFmtId="3" fontId="46" fillId="13" borderId="14" xfId="0" applyNumberFormat="1" applyFont="1" applyFill="1" applyBorder="1" applyAlignment="1">
      <alignment horizontal="center" vertical="center"/>
    </xf>
    <xf numFmtId="4" fontId="46" fillId="13" borderId="13" xfId="0" applyNumberFormat="1" applyFont="1" applyFill="1" applyBorder="1" applyAlignment="1">
      <alignment horizontal="center" vertical="center"/>
    </xf>
    <xf numFmtId="4" fontId="46" fillId="13" borderId="16" xfId="0" applyNumberFormat="1" applyFont="1" applyFill="1" applyBorder="1" applyAlignment="1">
      <alignment horizontal="center" vertical="center"/>
    </xf>
    <xf numFmtId="4" fontId="46" fillId="13" borderId="23" xfId="0" applyNumberFormat="1" applyFont="1" applyFill="1" applyBorder="1" applyAlignment="1">
      <alignment horizontal="center" vertical="center"/>
    </xf>
    <xf numFmtId="3" fontId="45" fillId="28" borderId="15" xfId="0" applyNumberFormat="1" applyFont="1" applyFill="1" applyBorder="1" applyAlignment="1">
      <alignment horizontal="center" vertical="center"/>
    </xf>
    <xf numFmtId="3" fontId="38" fillId="12" borderId="8" xfId="0" applyNumberFormat="1" applyFont="1" applyFill="1" applyBorder="1" applyAlignment="1">
      <alignment horizontal="center" vertical="center"/>
    </xf>
    <xf numFmtId="0" fontId="48" fillId="0" borderId="8" xfId="0" applyFont="1" applyBorder="1" applyAlignment="1">
      <alignment horizontal="center" vertical="center"/>
    </xf>
    <xf numFmtId="3" fontId="46" fillId="13" borderId="15" xfId="0" applyNumberFormat="1" applyFont="1" applyFill="1" applyBorder="1" applyAlignment="1">
      <alignment horizontal="center" vertical="center"/>
    </xf>
    <xf numFmtId="3" fontId="52" fillId="27" borderId="8" xfId="0" applyNumberFormat="1" applyFont="1" applyFill="1" applyBorder="1" applyAlignment="1">
      <alignment horizontal="center" vertical="center"/>
    </xf>
    <xf numFmtId="0" fontId="38" fillId="12" borderId="16" xfId="0" applyNumberFormat="1" applyFont="1" applyFill="1" applyBorder="1" applyAlignment="1">
      <alignment horizontal="center" vertical="center"/>
    </xf>
    <xf numFmtId="3" fontId="38" fillId="18" borderId="15" xfId="0" applyNumberFormat="1" applyFont="1" applyFill="1" applyBorder="1" applyAlignment="1">
      <alignment horizontal="center" vertical="center"/>
    </xf>
    <xf numFmtId="3" fontId="38" fillId="12" borderId="15" xfId="0" applyNumberFormat="1" applyFont="1" applyFill="1" applyBorder="1" applyAlignment="1">
      <alignment horizontal="center" vertical="center"/>
    </xf>
    <xf numFmtId="3" fontId="46" fillId="13" borderId="17" xfId="0" applyNumberFormat="1" applyFont="1" applyFill="1" applyBorder="1" applyAlignment="1">
      <alignment horizontal="center" vertical="center"/>
    </xf>
    <xf numFmtId="4" fontId="46" fillId="13" borderId="18" xfId="0" applyNumberFormat="1" applyFont="1" applyFill="1" applyBorder="1" applyAlignment="1">
      <alignment horizontal="center" vertical="center"/>
    </xf>
    <xf numFmtId="0" fontId="53" fillId="31" borderId="0" xfId="0" applyFont="1" applyFill="1"/>
    <xf numFmtId="0" fontId="38" fillId="12" borderId="25" xfId="0" applyNumberFormat="1" applyFont="1" applyFill="1" applyBorder="1" applyAlignment="1">
      <alignment horizontal="center" vertical="center"/>
    </xf>
    <xf numFmtId="0" fontId="46" fillId="28" borderId="0" xfId="0" applyNumberFormat="1" applyFont="1" applyFill="1" applyBorder="1" applyAlignment="1">
      <alignment horizontal="center" vertical="center"/>
    </xf>
    <xf numFmtId="3" fontId="53" fillId="31" borderId="0" xfId="0" applyNumberFormat="1" applyFont="1" applyFill="1"/>
    <xf numFmtId="0" fontId="48" fillId="14" borderId="17" xfId="0" applyNumberFormat="1" applyFont="1" applyFill="1" applyBorder="1" applyAlignment="1">
      <alignment horizontal="center" vertical="center"/>
    </xf>
    <xf numFmtId="0" fontId="49" fillId="14" borderId="24" xfId="0" applyNumberFormat="1" applyFont="1" applyFill="1" applyBorder="1" applyAlignment="1">
      <alignment horizontal="center" vertical="center"/>
    </xf>
    <xf numFmtId="0" fontId="48" fillId="14" borderId="18" xfId="0" applyNumberFormat="1" applyFont="1" applyFill="1" applyBorder="1" applyAlignment="1">
      <alignment horizontal="center" vertical="center"/>
    </xf>
    <xf numFmtId="0" fontId="38" fillId="12" borderId="17" xfId="0" applyNumberFormat="1" applyFont="1" applyFill="1" applyBorder="1" applyAlignment="1">
      <alignment horizontal="center" vertical="center"/>
    </xf>
    <xf numFmtId="4" fontId="38" fillId="12" borderId="24" xfId="0" applyNumberFormat="1" applyFont="1" applyFill="1" applyBorder="1" applyAlignment="1">
      <alignment horizontal="center" vertical="center"/>
    </xf>
    <xf numFmtId="3" fontId="38" fillId="12" borderId="5" xfId="0" applyNumberFormat="1" applyFont="1" applyFill="1" applyBorder="1" applyAlignment="1">
      <alignment horizontal="center" vertical="center"/>
    </xf>
    <xf numFmtId="3" fontId="38" fillId="18" borderId="17" xfId="0" applyNumberFormat="1" applyFont="1" applyFill="1" applyBorder="1" applyAlignment="1">
      <alignment horizontal="center" vertical="center"/>
    </xf>
    <xf numFmtId="0" fontId="39" fillId="28" borderId="0" xfId="0" applyFont="1" applyFill="1"/>
    <xf numFmtId="0" fontId="48" fillId="28" borderId="0" xfId="0" applyNumberFormat="1" applyFont="1" applyFill="1" applyBorder="1" applyAlignment="1">
      <alignment horizontal="center" vertical="center"/>
    </xf>
    <xf numFmtId="0" fontId="48" fillId="6" borderId="0" xfId="0" applyNumberFormat="1" applyFont="1" applyFill="1" applyBorder="1" applyAlignment="1">
      <alignment horizontal="center" vertical="center"/>
    </xf>
    <xf numFmtId="0" fontId="54" fillId="28" borderId="8" xfId="0" applyNumberFormat="1" applyFont="1" applyFill="1" applyBorder="1" applyAlignment="1">
      <alignment horizontal="left" vertical="center"/>
    </xf>
    <xf numFmtId="0" fontId="55" fillId="28" borderId="8" xfId="0" applyNumberFormat="1" applyFont="1" applyFill="1" applyBorder="1" applyAlignment="1">
      <alignment horizontal="center" vertical="center"/>
    </xf>
    <xf numFmtId="0" fontId="55" fillId="28" borderId="0" xfId="0" applyNumberFormat="1" applyFont="1" applyFill="1" applyBorder="1" applyAlignment="1">
      <alignment horizontal="center" vertical="center"/>
    </xf>
    <xf numFmtId="0" fontId="39" fillId="32" borderId="0" xfId="0" applyFont="1" applyFill="1" applyBorder="1"/>
    <xf numFmtId="0" fontId="39" fillId="6" borderId="0" xfId="0" applyFont="1" applyFill="1" applyAlignment="1">
      <alignment horizontal="center" vertical="center"/>
    </xf>
    <xf numFmtId="0" fontId="39" fillId="33" borderId="0" xfId="0" applyFont="1" applyFill="1" applyAlignment="1">
      <alignment horizontal="center" vertical="center"/>
    </xf>
    <xf numFmtId="0" fontId="55" fillId="28" borderId="8" xfId="0" applyNumberFormat="1" applyFont="1" applyFill="1" applyBorder="1" applyAlignment="1">
      <alignment horizontal="left" vertical="center"/>
    </xf>
    <xf numFmtId="0" fontId="47" fillId="6" borderId="0" xfId="0" applyNumberFormat="1" applyFont="1" applyFill="1" applyAlignment="1">
      <alignment horizontal="center" vertical="center"/>
    </xf>
    <xf numFmtId="3" fontId="47" fillId="6" borderId="0" xfId="0" applyNumberFormat="1" applyFont="1" applyFill="1" applyAlignment="1">
      <alignment horizontal="center" vertical="center"/>
    </xf>
    <xf numFmtId="0" fontId="39" fillId="17" borderId="0" xfId="0" applyFont="1" applyFill="1" applyBorder="1"/>
    <xf numFmtId="3" fontId="52" fillId="27" borderId="24" xfId="0" applyNumberFormat="1" applyFont="1" applyFill="1" applyBorder="1" applyAlignment="1">
      <alignment horizontal="center" vertical="center"/>
    </xf>
    <xf numFmtId="0" fontId="45" fillId="33" borderId="0" xfId="0" applyFont="1" applyFill="1"/>
    <xf numFmtId="0" fontId="39" fillId="0" borderId="0" xfId="0" applyFont="1" applyBorder="1"/>
    <xf numFmtId="0" fontId="39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3" fillId="0" borderId="0" xfId="14"/>
    <xf numFmtId="0" fontId="10" fillId="39" borderId="34" xfId="14" applyFont="1" applyFill="1" applyBorder="1" applyAlignment="1">
      <alignment horizontal="center" vertical="center" wrapText="1" readingOrder="1"/>
    </xf>
    <xf numFmtId="0" fontId="10" fillId="39" borderId="20" xfId="14" applyFont="1" applyFill="1" applyBorder="1" applyAlignment="1">
      <alignment horizontal="center" vertical="center" wrapText="1" readingOrder="1"/>
    </xf>
    <xf numFmtId="0" fontId="59" fillId="0" borderId="34" xfId="14" applyFont="1" applyBorder="1" applyAlignment="1">
      <alignment horizontal="justify" vertical="center" wrapText="1" readingOrder="1"/>
    </xf>
    <xf numFmtId="0" fontId="58" fillId="0" borderId="6" xfId="14" applyFont="1" applyBorder="1" applyAlignment="1">
      <alignment horizontal="center" vertical="center" wrapText="1" readingOrder="1"/>
    </xf>
    <xf numFmtId="0" fontId="58" fillId="0" borderId="9" xfId="14" applyFont="1" applyBorder="1" applyAlignment="1">
      <alignment horizontal="center" vertical="center" wrapText="1" readingOrder="1"/>
    </xf>
    <xf numFmtId="14" fontId="58" fillId="0" borderId="9" xfId="14" applyNumberFormat="1" applyFont="1" applyBorder="1" applyAlignment="1">
      <alignment horizontal="center" vertical="center" wrapText="1" readingOrder="1"/>
    </xf>
    <xf numFmtId="49" fontId="58" fillId="0" borderId="6" xfId="14" applyNumberFormat="1" applyFont="1" applyBorder="1" applyAlignment="1">
      <alignment horizontal="left" vertical="center" wrapText="1" readingOrder="1"/>
    </xf>
    <xf numFmtId="0" fontId="3" fillId="40" borderId="7" xfId="16" applyNumberFormat="1" applyBorder="1" applyAlignment="1">
      <alignment horizontal="center" vertical="center"/>
    </xf>
    <xf numFmtId="0" fontId="3" fillId="40" borderId="0" xfId="16"/>
    <xf numFmtId="0" fontId="0" fillId="0" borderId="0" xfId="0" applyFont="1"/>
    <xf numFmtId="0" fontId="32" fillId="12" borderId="1" xfId="0" applyNumberFormat="1" applyFont="1" applyFill="1" applyBorder="1" applyAlignment="1">
      <alignment horizontal="center" vertical="center"/>
    </xf>
    <xf numFmtId="0" fontId="32" fillId="12" borderId="2" xfId="0" applyNumberFormat="1" applyFont="1" applyFill="1" applyBorder="1" applyAlignment="1">
      <alignment horizontal="center" vertical="center"/>
    </xf>
    <xf numFmtId="0" fontId="32" fillId="12" borderId="6" xfId="3" applyNumberFormat="1" applyFont="1" applyFill="1" applyBorder="1" applyAlignment="1">
      <alignment horizontal="center" vertical="center"/>
    </xf>
    <xf numFmtId="0" fontId="32" fillId="12" borderId="3" xfId="0" applyNumberFormat="1" applyFont="1" applyFill="1" applyBorder="1" applyAlignment="1">
      <alignment horizontal="center" vertical="center"/>
    </xf>
    <xf numFmtId="0" fontId="62" fillId="2" borderId="4" xfId="0" applyNumberFormat="1" applyFont="1" applyFill="1" applyBorder="1" applyAlignment="1">
      <alignment horizontal="center" vertical="center"/>
    </xf>
    <xf numFmtId="0" fontId="31" fillId="3" borderId="1" xfId="0" applyNumberFormat="1" applyFont="1" applyFill="1" applyBorder="1" applyAlignment="1">
      <alignment horizontal="center" vertical="center"/>
    </xf>
    <xf numFmtId="0" fontId="31" fillId="3" borderId="2" xfId="0" applyNumberFormat="1" applyFont="1" applyFill="1" applyBorder="1" applyAlignment="1">
      <alignment horizontal="center" vertical="center"/>
    </xf>
    <xf numFmtId="0" fontId="32" fillId="0" borderId="6" xfId="0" applyNumberFormat="1" applyFont="1" applyFill="1" applyBorder="1" applyAlignment="1">
      <alignment horizontal="center" vertical="center"/>
    </xf>
    <xf numFmtId="0" fontId="32" fillId="0" borderId="6" xfId="0" applyNumberFormat="1" applyFont="1" applyBorder="1" applyAlignment="1">
      <alignment horizontal="center" vertical="center"/>
    </xf>
    <xf numFmtId="0" fontId="31" fillId="4" borderId="6" xfId="0" applyNumberFormat="1" applyFont="1" applyFill="1" applyBorder="1" applyAlignment="1">
      <alignment horizontal="center" vertical="center"/>
    </xf>
    <xf numFmtId="0" fontId="31" fillId="5" borderId="6" xfId="0" applyNumberFormat="1" applyFont="1" applyFill="1" applyBorder="1" applyAlignment="1">
      <alignment horizontal="center" vertical="center"/>
    </xf>
    <xf numFmtId="0" fontId="32" fillId="6" borderId="6" xfId="0" applyNumberFormat="1" applyFont="1" applyFill="1" applyBorder="1" applyAlignment="1">
      <alignment horizontal="center" vertical="center"/>
    </xf>
    <xf numFmtId="0" fontId="27" fillId="40" borderId="6" xfId="16" applyNumberFormat="1" applyFont="1" applyBorder="1" applyAlignment="1">
      <alignment horizontal="center" vertical="center"/>
    </xf>
    <xf numFmtId="14" fontId="3" fillId="0" borderId="0" xfId="14" applyNumberFormat="1"/>
    <xf numFmtId="49" fontId="60" fillId="0" borderId="6" xfId="15" applyNumberFormat="1" applyBorder="1" applyAlignment="1">
      <alignment horizontal="left" vertical="center" wrapText="1" readingOrder="1"/>
    </xf>
    <xf numFmtId="3" fontId="27" fillId="16" borderId="0" xfId="2" applyNumberFormat="1" applyFont="1" applyFill="1" applyBorder="1" applyAlignment="1" applyProtection="1">
      <alignment horizontal="center" vertical="center"/>
      <protection locked="0"/>
    </xf>
    <xf numFmtId="0" fontId="66" fillId="0" borderId="0" xfId="24"/>
    <xf numFmtId="0" fontId="65" fillId="43" borderId="0" xfId="19" applyAlignment="1">
      <alignment horizontal="center"/>
    </xf>
    <xf numFmtId="0" fontId="66" fillId="0" borderId="0" xfId="24" applyAlignment="1">
      <alignment horizontal="center"/>
    </xf>
    <xf numFmtId="3" fontId="29" fillId="16" borderId="0" xfId="2" applyNumberFormat="1" applyFont="1" applyFill="1" applyBorder="1" applyAlignment="1" applyProtection="1">
      <alignment vertical="center"/>
      <protection locked="0"/>
    </xf>
    <xf numFmtId="0" fontId="18" fillId="45" borderId="8" xfId="21" applyBorder="1" applyAlignment="1">
      <alignment vertical="center"/>
    </xf>
    <xf numFmtId="0" fontId="3" fillId="44" borderId="8" xfId="20" applyFont="1" applyBorder="1" applyAlignment="1">
      <alignment vertical="center"/>
    </xf>
    <xf numFmtId="0" fontId="67" fillId="41" borderId="8" xfId="17" applyFont="1" applyBorder="1" applyAlignment="1">
      <alignment vertical="center"/>
    </xf>
    <xf numFmtId="0" fontId="6" fillId="10" borderId="52" xfId="0" applyNumberFormat="1" applyFont="1" applyFill="1" applyBorder="1" applyAlignment="1">
      <alignment horizontal="center" vertical="center"/>
    </xf>
    <xf numFmtId="0" fontId="6" fillId="11" borderId="53" xfId="0" applyNumberFormat="1" applyFont="1" applyFill="1" applyBorder="1" applyAlignment="1">
      <alignment horizontal="center" vertical="center"/>
    </xf>
    <xf numFmtId="167" fontId="6" fillId="10" borderId="52" xfId="1" applyNumberFormat="1" applyFont="1" applyFill="1" applyBorder="1" applyAlignment="1">
      <alignment horizontal="center" vertical="center"/>
    </xf>
    <xf numFmtId="3" fontId="6" fillId="11" borderId="53" xfId="0" applyNumberFormat="1" applyFont="1" applyFill="1" applyBorder="1" applyAlignment="1">
      <alignment horizontal="center" vertical="center"/>
    </xf>
    <xf numFmtId="3" fontId="6" fillId="11" borderId="52" xfId="0" applyNumberFormat="1" applyFont="1" applyFill="1" applyBorder="1" applyAlignment="1">
      <alignment horizontal="center" vertical="center"/>
    </xf>
    <xf numFmtId="0" fontId="6" fillId="9" borderId="50" xfId="0" applyNumberFormat="1" applyFont="1" applyFill="1" applyBorder="1" applyAlignment="1">
      <alignment horizontal="center" vertical="center"/>
    </xf>
    <xf numFmtId="0" fontId="6" fillId="14" borderId="53" xfId="0" applyNumberFormat="1" applyFont="1" applyFill="1" applyBorder="1" applyAlignment="1">
      <alignment horizontal="center" vertical="center"/>
    </xf>
    <xf numFmtId="3" fontId="6" fillId="14" borderId="53" xfId="0" applyNumberFormat="1" applyFont="1" applyFill="1" applyBorder="1" applyAlignment="1">
      <alignment horizontal="center" vertical="center"/>
    </xf>
    <xf numFmtId="0" fontId="7" fillId="13" borderId="53" xfId="0" applyNumberFormat="1" applyFont="1" applyFill="1" applyBorder="1" applyAlignment="1">
      <alignment horizontal="center" vertical="center"/>
    </xf>
    <xf numFmtId="3" fontId="7" fillId="13" borderId="53" xfId="0" applyNumberFormat="1" applyFont="1" applyFill="1" applyBorder="1" applyAlignment="1">
      <alignment horizontal="center" vertical="center"/>
    </xf>
    <xf numFmtId="4" fontId="6" fillId="14" borderId="53" xfId="0" applyNumberFormat="1" applyFont="1" applyFill="1" applyBorder="1" applyAlignment="1">
      <alignment horizontal="center" vertical="center"/>
    </xf>
    <xf numFmtId="4" fontId="7" fillId="13" borderId="53" xfId="0" applyNumberFormat="1" applyFont="1" applyFill="1" applyBorder="1" applyAlignment="1">
      <alignment horizontal="center" vertical="center"/>
    </xf>
    <xf numFmtId="3" fontId="7" fillId="24" borderId="53" xfId="0" applyNumberFormat="1" applyFont="1" applyFill="1" applyBorder="1" applyAlignment="1">
      <alignment horizontal="center" vertical="center"/>
    </xf>
    <xf numFmtId="3" fontId="6" fillId="21" borderId="53" xfId="0" applyNumberFormat="1" applyFont="1" applyFill="1" applyBorder="1" applyAlignment="1">
      <alignment horizontal="center" vertical="center"/>
    </xf>
    <xf numFmtId="3" fontId="7" fillId="23" borderId="53" xfId="0" applyNumberFormat="1" applyFont="1" applyFill="1" applyBorder="1" applyAlignment="1">
      <alignment horizontal="center" vertical="center"/>
    </xf>
    <xf numFmtId="0" fontId="6" fillId="15" borderId="50" xfId="0" applyNumberFormat="1" applyFont="1" applyFill="1" applyBorder="1" applyAlignment="1">
      <alignment horizontal="center" vertical="center"/>
    </xf>
    <xf numFmtId="3" fontId="6" fillId="17" borderId="53" xfId="0" applyNumberFormat="1" applyFont="1" applyFill="1" applyBorder="1" applyAlignment="1">
      <alignment horizontal="center" vertical="center"/>
    </xf>
    <xf numFmtId="0" fontId="6" fillId="11" borderId="10" xfId="0" applyNumberFormat="1" applyFont="1" applyFill="1" applyBorder="1" applyAlignment="1">
      <alignment horizontal="center" vertical="center"/>
    </xf>
    <xf numFmtId="0" fontId="6" fillId="11" borderId="52" xfId="0" applyNumberFormat="1" applyFont="1" applyFill="1" applyBorder="1" applyAlignment="1">
      <alignment horizontal="center" vertical="center"/>
    </xf>
    <xf numFmtId="0" fontId="68" fillId="48" borderId="0" xfId="25" applyBorder="1" applyAlignment="1">
      <alignment horizontal="center"/>
    </xf>
    <xf numFmtId="3" fontId="39" fillId="33" borderId="0" xfId="0" applyNumberFormat="1" applyFont="1" applyFill="1" applyAlignment="1">
      <alignment horizontal="center" vertical="center"/>
    </xf>
    <xf numFmtId="3" fontId="39" fillId="0" borderId="0" xfId="0" applyNumberFormat="1" applyFont="1" applyAlignment="1">
      <alignment horizontal="center" vertical="center"/>
    </xf>
    <xf numFmtId="0" fontId="39" fillId="12" borderId="0" xfId="0" applyFont="1" applyFill="1" applyAlignment="1">
      <alignment horizontal="center" vertical="center"/>
    </xf>
    <xf numFmtId="3" fontId="39" fillId="12" borderId="0" xfId="0" applyNumberFormat="1" applyFont="1" applyFill="1" applyAlignment="1">
      <alignment horizontal="center" vertical="center"/>
    </xf>
    <xf numFmtId="3" fontId="70" fillId="14" borderId="24" xfId="0" applyNumberFormat="1" applyFont="1" applyFill="1" applyBorder="1" applyAlignment="1">
      <alignment horizontal="center" vertical="center"/>
    </xf>
    <xf numFmtId="0" fontId="70" fillId="14" borderId="18" xfId="0" applyNumberFormat="1" applyFont="1" applyFill="1" applyBorder="1" applyAlignment="1">
      <alignment horizontal="center" vertical="center"/>
    </xf>
    <xf numFmtId="0" fontId="30" fillId="3" borderId="0" xfId="0" applyFont="1" applyFill="1" applyBorder="1" applyAlignment="1" applyProtection="1">
      <alignment horizontal="center" vertical="center" wrapText="1"/>
    </xf>
    <xf numFmtId="0" fontId="72" fillId="0" borderId="0" xfId="26"/>
    <xf numFmtId="0" fontId="72" fillId="0" borderId="0" xfId="26" applyAlignment="1">
      <alignment horizontal="center" vertical="center"/>
    </xf>
    <xf numFmtId="0" fontId="5" fillId="0" borderId="0" xfId="26" applyFont="1"/>
    <xf numFmtId="0" fontId="71" fillId="0" borderId="0" xfId="26" applyFont="1"/>
    <xf numFmtId="0" fontId="71" fillId="0" borderId="0" xfId="26" applyFont="1" applyAlignment="1">
      <alignment horizontal="center" vertical="center"/>
    </xf>
    <xf numFmtId="0" fontId="72" fillId="0" borderId="0" xfId="26" applyAlignment="1"/>
    <xf numFmtId="0" fontId="72" fillId="50" borderId="0" xfId="26" applyFill="1" applyAlignment="1"/>
    <xf numFmtId="0" fontId="71" fillId="51" borderId="9" xfId="26" applyFont="1" applyFill="1" applyBorder="1" applyAlignment="1">
      <alignment horizontal="center" vertical="center"/>
    </xf>
    <xf numFmtId="0" fontId="71" fillId="0" borderId="6" xfId="26" applyFont="1" applyBorder="1" applyAlignment="1">
      <alignment horizontal="center"/>
    </xf>
    <xf numFmtId="0" fontId="72" fillId="50" borderId="35" xfId="26" applyFill="1" applyBorder="1" applyAlignment="1">
      <alignment horizontal="center"/>
    </xf>
    <xf numFmtId="0" fontId="72" fillId="50" borderId="35" xfId="26" applyFill="1" applyBorder="1" applyAlignment="1"/>
    <xf numFmtId="0" fontId="71" fillId="51" borderId="9" xfId="26" applyFont="1" applyFill="1" applyBorder="1" applyAlignment="1">
      <alignment horizontal="center"/>
    </xf>
    <xf numFmtId="0" fontId="71" fillId="0" borderId="6" xfId="26" applyFont="1" applyBorder="1" applyAlignment="1">
      <alignment horizontal="center" vertical="center"/>
    </xf>
    <xf numFmtId="49" fontId="71" fillId="0" borderId="0" xfId="26" applyNumberFormat="1" applyFont="1"/>
    <xf numFmtId="0" fontId="71" fillId="51" borderId="6" xfId="26" applyFont="1" applyFill="1" applyBorder="1" applyAlignment="1">
      <alignment horizontal="center" vertical="center" wrapText="1"/>
    </xf>
    <xf numFmtId="0" fontId="71" fillId="0" borderId="11" xfId="26" applyFont="1" applyBorder="1" applyAlignment="1">
      <alignment horizontal="center" vertical="center"/>
    </xf>
    <xf numFmtId="0" fontId="72" fillId="50" borderId="0" xfId="26" applyFill="1" applyBorder="1" applyAlignment="1">
      <alignment horizontal="center"/>
    </xf>
    <xf numFmtId="0" fontId="72" fillId="50" borderId="32" xfId="26" applyFill="1" applyBorder="1" applyAlignment="1">
      <alignment horizontal="center"/>
    </xf>
    <xf numFmtId="3" fontId="3" fillId="40" borderId="7" xfId="16" applyNumberFormat="1" applyBorder="1" applyAlignment="1">
      <alignment horizontal="center" vertical="center"/>
    </xf>
    <xf numFmtId="3" fontId="3" fillId="52" borderId="10" xfId="27" applyNumberFormat="1" applyBorder="1" applyAlignment="1">
      <alignment horizontal="center" vertical="center"/>
    </xf>
    <xf numFmtId="3" fontId="71" fillId="0" borderId="6" xfId="26" applyNumberFormat="1" applyFont="1" applyBorder="1" applyAlignment="1">
      <alignment horizontal="center" vertical="center"/>
    </xf>
    <xf numFmtId="3" fontId="71" fillId="0" borderId="6" xfId="26" applyNumberFormat="1" applyFont="1" applyBorder="1" applyAlignment="1">
      <alignment horizontal="center"/>
    </xf>
    <xf numFmtId="3" fontId="17" fillId="18" borderId="11" xfId="0" applyNumberFormat="1" applyFont="1" applyFill="1" applyBorder="1" applyAlignment="1">
      <alignment horizontal="center" vertical="center" wrapText="1"/>
    </xf>
    <xf numFmtId="0" fontId="6" fillId="10" borderId="47" xfId="0" applyNumberFormat="1" applyFont="1" applyFill="1" applyBorder="1" applyAlignment="1">
      <alignment horizontal="center" vertical="center"/>
    </xf>
    <xf numFmtId="0" fontId="33" fillId="53" borderId="8" xfId="0" applyNumberFormat="1" applyFont="1" applyFill="1" applyBorder="1" applyAlignment="1">
      <alignment horizontal="center" vertical="center" wrapText="1"/>
    </xf>
    <xf numFmtId="0" fontId="6" fillId="53" borderId="8" xfId="0" applyNumberFormat="1" applyFont="1" applyFill="1" applyBorder="1" applyAlignment="1">
      <alignment horizontal="center" vertical="center"/>
    </xf>
    <xf numFmtId="0" fontId="74" fillId="34" borderId="8" xfId="0" applyFont="1" applyFill="1" applyBorder="1" applyAlignment="1">
      <alignment horizontal="center" vertical="center"/>
    </xf>
    <xf numFmtId="0" fontId="74" fillId="34" borderId="49" xfId="0" applyFont="1" applyFill="1" applyBorder="1" applyAlignment="1">
      <alignment horizontal="center" vertical="center"/>
    </xf>
    <xf numFmtId="0" fontId="74" fillId="5" borderId="4" xfId="0" applyFont="1" applyFill="1" applyBorder="1" applyAlignment="1">
      <alignment horizontal="center" vertical="center"/>
    </xf>
    <xf numFmtId="14" fontId="75" fillId="4" borderId="8" xfId="0" applyNumberFormat="1" applyFont="1" applyFill="1" applyBorder="1" applyAlignment="1">
      <alignment horizontal="center" vertical="center"/>
    </xf>
    <xf numFmtId="14" fontId="0" fillId="54" borderId="8" xfId="0" applyNumberFormat="1" applyFill="1" applyBorder="1" applyAlignment="1">
      <alignment horizontal="center" vertical="center"/>
    </xf>
    <xf numFmtId="14" fontId="75" fillId="5" borderId="8" xfId="0" applyNumberFormat="1" applyFont="1" applyFill="1" applyBorder="1" applyAlignment="1">
      <alignment horizontal="center" vertical="center"/>
    </xf>
    <xf numFmtId="0" fontId="0" fillId="5" borderId="8" xfId="0" applyFill="1" applyBorder="1"/>
    <xf numFmtId="3" fontId="75" fillId="5" borderId="25" xfId="0" applyNumberFormat="1" applyFont="1" applyFill="1" applyBorder="1" applyAlignment="1">
      <alignment horizontal="center" vertical="center"/>
    </xf>
    <xf numFmtId="0" fontId="0" fillId="5" borderId="63" xfId="0" applyFill="1" applyBorder="1"/>
    <xf numFmtId="14" fontId="75" fillId="5" borderId="49" xfId="0" applyNumberFormat="1" applyFont="1" applyFill="1" applyBorder="1" applyAlignment="1">
      <alignment horizontal="center" vertical="center"/>
    </xf>
    <xf numFmtId="3" fontId="75" fillId="5" borderId="8" xfId="0" applyNumberFormat="1" applyFont="1" applyFill="1" applyBorder="1" applyAlignment="1">
      <alignment horizontal="center" vertical="center"/>
    </xf>
    <xf numFmtId="0" fontId="5" fillId="0" borderId="0" xfId="0" applyFont="1"/>
    <xf numFmtId="14" fontId="75" fillId="0" borderId="8" xfId="0" applyNumberFormat="1" applyFont="1" applyBorder="1" applyAlignment="1">
      <alignment horizontal="center" vertical="center"/>
    </xf>
    <xf numFmtId="0" fontId="0" fillId="0" borderId="8" xfId="0" applyBorder="1"/>
    <xf numFmtId="3" fontId="75" fillId="0" borderId="25" xfId="0" applyNumberFormat="1" applyFont="1" applyBorder="1" applyAlignment="1">
      <alignment horizontal="center" vertical="center"/>
    </xf>
    <xf numFmtId="14" fontId="75" fillId="0" borderId="49" xfId="0" applyNumberFormat="1" applyFont="1" applyBorder="1" applyAlignment="1">
      <alignment horizontal="center" vertical="center"/>
    </xf>
    <xf numFmtId="3" fontId="75" fillId="0" borderId="8" xfId="0" applyNumberFormat="1" applyFont="1" applyBorder="1" applyAlignment="1">
      <alignment horizontal="center" vertical="center"/>
    </xf>
    <xf numFmtId="0" fontId="0" fillId="0" borderId="0" xfId="0" applyBorder="1"/>
    <xf numFmtId="0" fontId="0" fillId="55" borderId="0" xfId="0" applyFill="1" applyAlignment="1"/>
    <xf numFmtId="0" fontId="0" fillId="0" borderId="67" xfId="0" applyBorder="1"/>
    <xf numFmtId="0" fontId="0" fillId="0" borderId="0" xfId="0" applyAlignment="1">
      <alignment horizontal="center" vertical="center"/>
    </xf>
    <xf numFmtId="0" fontId="75" fillId="0" borderId="49" xfId="0" applyFont="1" applyBorder="1" applyAlignment="1">
      <alignment horizontal="center" vertical="center"/>
    </xf>
    <xf numFmtId="0" fontId="75" fillId="0" borderId="8" xfId="0" applyFont="1" applyBorder="1" applyAlignment="1">
      <alignment horizontal="center" vertical="center"/>
    </xf>
    <xf numFmtId="0" fontId="0" fillId="0" borderId="0" xfId="0" applyBorder="1" applyProtection="1">
      <protection locked="0"/>
    </xf>
    <xf numFmtId="0" fontId="0" fillId="56" borderId="0" xfId="0" applyFill="1" applyProtection="1">
      <protection locked="0"/>
    </xf>
    <xf numFmtId="0" fontId="0" fillId="0" borderId="0" xfId="0" applyProtection="1">
      <protection locked="0"/>
    </xf>
    <xf numFmtId="0" fontId="0" fillId="60" borderId="74" xfId="0" applyFill="1" applyBorder="1" applyAlignment="1" applyProtection="1">
      <alignment horizontal="center"/>
      <protection locked="0"/>
    </xf>
    <xf numFmtId="0" fontId="0" fillId="60" borderId="75" xfId="0" applyFill="1" applyBorder="1" applyAlignment="1" applyProtection="1">
      <alignment horizontal="center"/>
      <protection locked="0"/>
    </xf>
    <xf numFmtId="0" fontId="0" fillId="60" borderId="76" xfId="0" applyFill="1" applyBorder="1" applyAlignment="1" applyProtection="1">
      <alignment horizontal="center"/>
      <protection locked="0"/>
    </xf>
    <xf numFmtId="0" fontId="81" fillId="21" borderId="8" xfId="0" applyFont="1" applyFill="1" applyBorder="1" applyAlignment="1">
      <alignment horizontal="center" vertical="center"/>
    </xf>
    <xf numFmtId="0" fontId="81" fillId="64" borderId="8" xfId="0" applyFont="1" applyFill="1" applyBorder="1" applyAlignment="1">
      <alignment horizontal="center" vertical="center"/>
    </xf>
    <xf numFmtId="0" fontId="0" fillId="62" borderId="69" xfId="0" applyFill="1" applyBorder="1" applyAlignment="1" applyProtection="1">
      <protection locked="0"/>
    </xf>
    <xf numFmtId="0" fontId="0" fillId="62" borderId="0" xfId="0" applyFill="1" applyAlignment="1" applyProtection="1">
      <protection locked="0"/>
    </xf>
    <xf numFmtId="0" fontId="0" fillId="56" borderId="69" xfId="0" applyFill="1" applyBorder="1" applyAlignment="1" applyProtection="1">
      <protection locked="0"/>
    </xf>
    <xf numFmtId="0" fontId="0" fillId="56" borderId="0" xfId="0" applyFill="1" applyAlignment="1" applyProtection="1">
      <protection locked="0"/>
    </xf>
    <xf numFmtId="14" fontId="0" fillId="65" borderId="8" xfId="0" applyNumberFormat="1" applyFill="1" applyBorder="1" applyAlignment="1">
      <alignment horizontal="center" vertical="center"/>
    </xf>
    <xf numFmtId="0" fontId="0" fillId="65" borderId="8" xfId="0" applyNumberFormat="1" applyFill="1" applyBorder="1" applyAlignment="1">
      <alignment horizontal="center" vertical="center"/>
    </xf>
    <xf numFmtId="0" fontId="0" fillId="55" borderId="67" xfId="0" applyFill="1" applyBorder="1" applyAlignment="1"/>
    <xf numFmtId="0" fontId="0" fillId="55" borderId="0" xfId="0" applyFill="1" applyBorder="1" applyAlignment="1"/>
    <xf numFmtId="0" fontId="0" fillId="55" borderId="70" xfId="0" applyFill="1" applyBorder="1" applyAlignment="1"/>
    <xf numFmtId="0" fontId="0" fillId="55" borderId="71" xfId="0" applyFill="1" applyBorder="1" applyAlignment="1"/>
    <xf numFmtId="0" fontId="56" fillId="39" borderId="9" xfId="14" applyFont="1" applyFill="1" applyBorder="1" applyAlignment="1">
      <alignment horizontal="center" vertical="center" readingOrder="1"/>
    </xf>
    <xf numFmtId="0" fontId="57" fillId="39" borderId="33" xfId="14" applyFont="1" applyFill="1" applyBorder="1" applyAlignment="1">
      <alignment horizontal="center" vertical="center" readingOrder="1"/>
    </xf>
    <xf numFmtId="0" fontId="57" fillId="39" borderId="11" xfId="14" applyFont="1" applyFill="1" applyBorder="1" applyAlignment="1">
      <alignment horizontal="center" vertical="center" readingOrder="1"/>
    </xf>
    <xf numFmtId="0" fontId="58" fillId="0" borderId="20" xfId="14" applyFont="1" applyBorder="1" applyAlignment="1">
      <alignment horizontal="center" vertical="center" wrapText="1" readingOrder="1"/>
    </xf>
    <xf numFmtId="0" fontId="58" fillId="0" borderId="21" xfId="14" applyFont="1" applyBorder="1" applyAlignment="1">
      <alignment horizontal="center" vertical="center" wrapText="1" readingOrder="1"/>
    </xf>
    <xf numFmtId="0" fontId="22" fillId="6" borderId="9" xfId="0" applyFont="1" applyFill="1" applyBorder="1" applyAlignment="1" applyProtection="1">
      <alignment horizontal="center" vertical="center"/>
    </xf>
    <xf numFmtId="0" fontId="24" fillId="6" borderId="33" xfId="0" applyFont="1" applyFill="1" applyBorder="1" applyAlignment="1" applyProtection="1">
      <alignment horizontal="center" vertical="center"/>
    </xf>
    <xf numFmtId="0" fontId="24" fillId="6" borderId="11" xfId="0" applyFont="1" applyFill="1" applyBorder="1" applyAlignment="1" applyProtection="1">
      <alignment horizontal="center" vertical="center"/>
    </xf>
    <xf numFmtId="3" fontId="32" fillId="12" borderId="0" xfId="0" applyNumberFormat="1" applyFont="1" applyFill="1" applyBorder="1" applyAlignment="1" applyProtection="1">
      <alignment horizontal="center" vertical="center"/>
      <protection locked="0"/>
    </xf>
    <xf numFmtId="0" fontId="35" fillId="35" borderId="36" xfId="0" applyFont="1" applyFill="1" applyBorder="1" applyAlignment="1" applyProtection="1">
      <alignment horizontal="center" vertical="center" textRotation="180"/>
    </xf>
    <xf numFmtId="0" fontId="35" fillId="35" borderId="21" xfId="0" applyFont="1" applyFill="1" applyBorder="1" applyAlignment="1" applyProtection="1">
      <alignment horizontal="center" vertical="center" textRotation="180"/>
    </xf>
    <xf numFmtId="0" fontId="30" fillId="26" borderId="12" xfId="0" applyFont="1" applyFill="1" applyBorder="1" applyAlignment="1" applyProtection="1">
      <alignment horizontal="center" vertical="center" textRotation="180"/>
    </xf>
    <xf numFmtId="0" fontId="30" fillId="26" borderId="36" xfId="0" applyFont="1" applyFill="1" applyBorder="1" applyAlignment="1" applyProtection="1">
      <alignment horizontal="center" vertical="center" textRotation="180"/>
    </xf>
    <xf numFmtId="0" fontId="30" fillId="26" borderId="21" xfId="0" applyFont="1" applyFill="1" applyBorder="1" applyAlignment="1" applyProtection="1">
      <alignment horizontal="center" vertical="center" textRotation="180"/>
    </xf>
    <xf numFmtId="0" fontId="30" fillId="34" borderId="12" xfId="0" applyFont="1" applyFill="1" applyBorder="1" applyAlignment="1" applyProtection="1">
      <alignment horizontal="center" vertical="center" textRotation="180"/>
    </xf>
    <xf numFmtId="0" fontId="30" fillId="34" borderId="36" xfId="0" applyFont="1" applyFill="1" applyBorder="1" applyAlignment="1" applyProtection="1">
      <alignment horizontal="center" vertical="center" textRotation="180"/>
    </xf>
    <xf numFmtId="0" fontId="31" fillId="25" borderId="12" xfId="0" applyFont="1" applyFill="1" applyBorder="1" applyAlignment="1" applyProtection="1">
      <alignment horizontal="center" vertical="center" textRotation="180" wrapText="1"/>
    </xf>
    <xf numFmtId="0" fontId="31" fillId="25" borderId="36" xfId="0" applyFont="1" applyFill="1" applyBorder="1" applyAlignment="1" applyProtection="1">
      <alignment horizontal="center" vertical="center" textRotation="180" wrapText="1"/>
    </xf>
    <xf numFmtId="0" fontId="31" fillId="25" borderId="21" xfId="0" applyFont="1" applyFill="1" applyBorder="1" applyAlignment="1" applyProtection="1">
      <alignment horizontal="center" vertical="center" textRotation="180" wrapText="1"/>
    </xf>
    <xf numFmtId="3" fontId="27" fillId="12" borderId="0" xfId="2" applyNumberFormat="1" applyFont="1" applyFill="1" applyBorder="1" applyAlignment="1" applyProtection="1">
      <alignment horizontal="center" vertical="center"/>
      <protection locked="0"/>
    </xf>
    <xf numFmtId="3" fontId="32" fillId="21" borderId="0" xfId="0" applyNumberFormat="1" applyFont="1" applyFill="1" applyBorder="1" applyAlignment="1" applyProtection="1">
      <alignment horizontal="center" vertical="center"/>
      <protection locked="0"/>
    </xf>
    <xf numFmtId="3" fontId="13" fillId="6" borderId="40" xfId="0" applyNumberFormat="1" applyFont="1" applyFill="1" applyBorder="1" applyAlignment="1">
      <alignment horizontal="center" vertical="center"/>
    </xf>
    <xf numFmtId="3" fontId="13" fillId="6" borderId="26" xfId="0" applyNumberFormat="1" applyFont="1" applyFill="1" applyBorder="1" applyAlignment="1">
      <alignment horizontal="center" vertical="center"/>
    </xf>
    <xf numFmtId="0" fontId="13" fillId="6" borderId="26" xfId="0" applyFont="1" applyFill="1" applyBorder="1" applyAlignment="1">
      <alignment horizontal="center" vertical="center"/>
    </xf>
    <xf numFmtId="0" fontId="13" fillId="6" borderId="41" xfId="0" applyFont="1" applyFill="1" applyBorder="1" applyAlignment="1">
      <alignment horizontal="center" vertical="center"/>
    </xf>
    <xf numFmtId="3" fontId="13" fillId="6" borderId="41" xfId="0" applyNumberFormat="1" applyFont="1" applyFill="1" applyBorder="1" applyAlignment="1">
      <alignment horizontal="center" vertical="center"/>
    </xf>
    <xf numFmtId="3" fontId="13" fillId="6" borderId="45" xfId="0" applyNumberFormat="1" applyFont="1" applyFill="1" applyBorder="1" applyAlignment="1">
      <alignment horizontal="center" vertical="center"/>
    </xf>
    <xf numFmtId="3" fontId="13" fillId="6" borderId="31" xfId="0" applyNumberFormat="1" applyFont="1" applyFill="1" applyBorder="1" applyAlignment="1">
      <alignment horizontal="center" vertical="center"/>
    </xf>
    <xf numFmtId="0" fontId="13" fillId="6" borderId="45" xfId="0" applyFont="1" applyFill="1" applyBorder="1" applyAlignment="1">
      <alignment horizontal="center" vertical="center"/>
    </xf>
    <xf numFmtId="0" fontId="13" fillId="6" borderId="31" xfId="0" applyFont="1" applyFill="1" applyBorder="1" applyAlignment="1">
      <alignment horizontal="center" vertical="center"/>
    </xf>
    <xf numFmtId="0" fontId="15" fillId="6" borderId="9" xfId="0" applyFont="1" applyFill="1" applyBorder="1" applyAlignment="1">
      <alignment horizontal="center" vertical="center"/>
    </xf>
    <xf numFmtId="0" fontId="15" fillId="6" borderId="33" xfId="0" applyFont="1" applyFill="1" applyBorder="1" applyAlignment="1">
      <alignment horizontal="center" vertical="center"/>
    </xf>
    <xf numFmtId="0" fontId="15" fillId="6" borderId="11" xfId="0" applyFont="1" applyFill="1" applyBorder="1" applyAlignment="1">
      <alignment horizontal="center" vertical="center"/>
    </xf>
    <xf numFmtId="3" fontId="13" fillId="6" borderId="37" xfId="0" applyNumberFormat="1" applyFont="1" applyFill="1" applyBorder="1" applyAlignment="1">
      <alignment horizontal="center" vertical="center"/>
    </xf>
    <xf numFmtId="3" fontId="13" fillId="6" borderId="38" xfId="0" applyNumberFormat="1" applyFont="1" applyFill="1" applyBorder="1" applyAlignment="1">
      <alignment horizontal="center" vertical="center"/>
    </xf>
    <xf numFmtId="3" fontId="13" fillId="6" borderId="47" xfId="0" applyNumberFormat="1" applyFont="1" applyFill="1" applyBorder="1" applyAlignment="1">
      <alignment horizontal="center" vertical="center"/>
    </xf>
    <xf numFmtId="3" fontId="13" fillId="6" borderId="48" xfId="0" applyNumberFormat="1" applyFont="1" applyFill="1" applyBorder="1" applyAlignment="1">
      <alignment horizontal="center" vertical="center"/>
    </xf>
    <xf numFmtId="0" fontId="73" fillId="39" borderId="55" xfId="26" applyFont="1" applyFill="1" applyBorder="1" applyAlignment="1">
      <alignment horizontal="center" vertical="center"/>
    </xf>
    <xf numFmtId="0" fontId="73" fillId="39" borderId="56" xfId="26" applyFont="1" applyFill="1" applyBorder="1" applyAlignment="1">
      <alignment horizontal="center" vertical="center"/>
    </xf>
    <xf numFmtId="0" fontId="73" fillId="39" borderId="57" xfId="26" applyFont="1" applyFill="1" applyBorder="1" applyAlignment="1">
      <alignment horizontal="center" vertical="center"/>
    </xf>
    <xf numFmtId="0" fontId="73" fillId="39" borderId="58" xfId="26" applyFont="1" applyFill="1" applyBorder="1" applyAlignment="1">
      <alignment horizontal="center" vertical="center"/>
    </xf>
    <xf numFmtId="0" fontId="73" fillId="39" borderId="0" xfId="26" applyFont="1" applyFill="1" applyBorder="1" applyAlignment="1">
      <alignment horizontal="center" vertical="center"/>
    </xf>
    <xf numFmtId="0" fontId="73" fillId="39" borderId="59" xfId="26" applyFont="1" applyFill="1" applyBorder="1" applyAlignment="1">
      <alignment horizontal="center" vertical="center"/>
    </xf>
    <xf numFmtId="0" fontId="73" fillId="39" borderId="60" xfId="26" applyFont="1" applyFill="1" applyBorder="1" applyAlignment="1">
      <alignment horizontal="center" vertical="center"/>
    </xf>
    <xf numFmtId="0" fontId="73" fillId="39" borderId="61" xfId="26" applyFont="1" applyFill="1" applyBorder="1" applyAlignment="1">
      <alignment horizontal="center" vertical="center"/>
    </xf>
    <xf numFmtId="0" fontId="73" fillId="39" borderId="62" xfId="26" applyFont="1" applyFill="1" applyBorder="1" applyAlignment="1">
      <alignment horizontal="center" vertical="center"/>
    </xf>
    <xf numFmtId="0" fontId="72" fillId="49" borderId="0" xfId="26" applyFill="1" applyAlignment="1">
      <alignment horizontal="center"/>
    </xf>
    <xf numFmtId="0" fontId="72" fillId="50" borderId="0" xfId="26" applyFill="1" applyAlignment="1">
      <alignment horizontal="center"/>
    </xf>
    <xf numFmtId="0" fontId="72" fillId="49" borderId="0" xfId="26" applyFill="1" applyBorder="1" applyAlignment="1">
      <alignment horizontal="center"/>
    </xf>
    <xf numFmtId="0" fontId="71" fillId="49" borderId="0" xfId="26" applyFont="1" applyFill="1" applyAlignment="1">
      <alignment horizontal="center" vertical="center"/>
    </xf>
    <xf numFmtId="166" fontId="17" fillId="4" borderId="9" xfId="0" applyNumberFormat="1" applyFont="1" applyFill="1" applyBorder="1" applyAlignment="1">
      <alignment horizontal="center" vertical="center" wrapText="1"/>
    </xf>
    <xf numFmtId="166" fontId="17" fillId="4" borderId="11" xfId="0" applyNumberFormat="1" applyFont="1" applyFill="1" applyBorder="1" applyAlignment="1">
      <alignment horizontal="center" vertical="center" wrapText="1"/>
    </xf>
    <xf numFmtId="0" fontId="0" fillId="60" borderId="69" xfId="0" applyFill="1" applyBorder="1" applyAlignment="1" applyProtection="1">
      <alignment horizontal="center"/>
      <protection locked="0"/>
    </xf>
    <xf numFmtId="0" fontId="0" fillId="60" borderId="0" xfId="0" applyFill="1" applyBorder="1" applyAlignment="1" applyProtection="1">
      <alignment horizontal="center"/>
      <protection locked="0"/>
    </xf>
    <xf numFmtId="0" fontId="0" fillId="60" borderId="47" xfId="0" applyFill="1" applyBorder="1" applyAlignment="1" applyProtection="1">
      <alignment horizontal="center"/>
      <protection locked="0"/>
    </xf>
    <xf numFmtId="1" fontId="71" fillId="61" borderId="8" xfId="0" applyNumberFormat="1" applyFont="1" applyFill="1" applyBorder="1" applyAlignment="1" applyProtection="1">
      <alignment horizontal="center" vertical="center"/>
      <protection locked="0"/>
    </xf>
    <xf numFmtId="0" fontId="78" fillId="26" borderId="8" xfId="0" applyFont="1" applyFill="1" applyBorder="1" applyAlignment="1" applyProtection="1">
      <alignment horizontal="center" vertical="center"/>
      <protection locked="0"/>
    </xf>
    <xf numFmtId="0" fontId="78" fillId="26" borderId="25" xfId="0" applyFont="1" applyFill="1" applyBorder="1" applyAlignment="1" applyProtection="1">
      <alignment horizontal="center" vertical="center"/>
      <protection locked="0"/>
    </xf>
    <xf numFmtId="14" fontId="71" fillId="61" borderId="8" xfId="0" applyNumberFormat="1" applyFont="1" applyFill="1" applyBorder="1" applyAlignment="1" applyProtection="1">
      <alignment horizontal="center" vertical="center"/>
      <protection locked="0"/>
    </xf>
    <xf numFmtId="0" fontId="71" fillId="61" borderId="8" xfId="0" applyFont="1" applyFill="1" applyBorder="1" applyAlignment="1" applyProtection="1">
      <alignment horizontal="center" vertical="center"/>
      <protection locked="0"/>
    </xf>
    <xf numFmtId="0" fontId="0" fillId="56" borderId="72" xfId="0" applyFill="1" applyBorder="1" applyAlignment="1" applyProtection="1">
      <alignment horizontal="center"/>
      <protection locked="0"/>
    </xf>
    <xf numFmtId="0" fontId="0" fillId="56" borderId="73" xfId="0" applyFill="1" applyBorder="1" applyAlignment="1" applyProtection="1">
      <alignment horizontal="center"/>
      <protection locked="0"/>
    </xf>
    <xf numFmtId="0" fontId="77" fillId="59" borderId="0" xfId="0" applyFont="1" applyFill="1" applyBorder="1" applyAlignment="1" applyProtection="1">
      <alignment horizontal="center" vertical="center"/>
      <protection locked="0"/>
    </xf>
    <xf numFmtId="0" fontId="0" fillId="56" borderId="77" xfId="0" applyFill="1" applyBorder="1" applyAlignment="1" applyProtection="1">
      <alignment horizontal="center"/>
      <protection locked="0"/>
    </xf>
    <xf numFmtId="0" fontId="0" fillId="56" borderId="78" xfId="0" applyFill="1" applyBorder="1" applyAlignment="1" applyProtection="1">
      <alignment horizontal="center"/>
      <protection locked="0"/>
    </xf>
    <xf numFmtId="0" fontId="0" fillId="56" borderId="79" xfId="0" applyFill="1" applyBorder="1" applyAlignment="1" applyProtection="1">
      <alignment horizontal="center"/>
      <protection locked="0"/>
    </xf>
    <xf numFmtId="0" fontId="0" fillId="56" borderId="0" xfId="0" applyFill="1" applyAlignment="1" applyProtection="1">
      <alignment horizontal="center"/>
      <protection locked="0"/>
    </xf>
    <xf numFmtId="0" fontId="79" fillId="26" borderId="8" xfId="0" applyFont="1" applyFill="1" applyBorder="1" applyAlignment="1" applyProtection="1">
      <alignment horizontal="center" vertical="center"/>
      <protection locked="0"/>
    </xf>
    <xf numFmtId="0" fontId="80" fillId="4" borderId="8" xfId="0" applyFont="1" applyFill="1" applyBorder="1" applyAlignment="1" applyProtection="1">
      <alignment horizontal="center" vertical="center"/>
      <protection locked="0"/>
    </xf>
    <xf numFmtId="0" fontId="78" fillId="26" borderId="51" xfId="0" applyFont="1" applyFill="1" applyBorder="1" applyAlignment="1" applyProtection="1">
      <alignment horizontal="center" vertical="center"/>
      <protection locked="0"/>
    </xf>
    <xf numFmtId="0" fontId="78" fillId="26" borderId="69" xfId="0" applyFont="1" applyFill="1" applyBorder="1" applyAlignment="1" applyProtection="1">
      <alignment horizontal="center" vertical="center"/>
      <protection locked="0"/>
    </xf>
    <xf numFmtId="0" fontId="78" fillId="26" borderId="52" xfId="0" applyFont="1" applyFill="1" applyBorder="1" applyAlignment="1" applyProtection="1">
      <alignment horizontal="center" vertical="center"/>
      <protection locked="0"/>
    </xf>
    <xf numFmtId="0" fontId="78" fillId="26" borderId="0" xfId="0" applyFont="1" applyFill="1" applyBorder="1" applyAlignment="1" applyProtection="1">
      <alignment horizontal="center" vertical="center"/>
      <protection locked="0"/>
    </xf>
    <xf numFmtId="0" fontId="78" fillId="26" borderId="10" xfId="0" applyFont="1" applyFill="1" applyBorder="1" applyAlignment="1" applyProtection="1">
      <alignment horizontal="center" vertical="center"/>
      <protection locked="0"/>
    </xf>
    <xf numFmtId="0" fontId="78" fillId="26" borderId="47" xfId="0" applyFont="1" applyFill="1" applyBorder="1" applyAlignment="1" applyProtection="1">
      <alignment horizontal="center" vertical="center"/>
      <protection locked="0"/>
    </xf>
    <xf numFmtId="0" fontId="71" fillId="61" borderId="51" xfId="0" applyNumberFormat="1" applyFont="1" applyFill="1" applyBorder="1" applyAlignment="1" applyProtection="1">
      <alignment horizontal="center" vertical="center"/>
    </xf>
    <xf numFmtId="0" fontId="71" fillId="61" borderId="69" xfId="0" applyNumberFormat="1" applyFont="1" applyFill="1" applyBorder="1" applyAlignment="1" applyProtection="1">
      <alignment horizontal="center" vertical="center"/>
    </xf>
    <xf numFmtId="0" fontId="71" fillId="61" borderId="74" xfId="0" applyNumberFormat="1" applyFont="1" applyFill="1" applyBorder="1" applyAlignment="1" applyProtection="1">
      <alignment horizontal="center" vertical="center"/>
    </xf>
    <xf numFmtId="0" fontId="71" fillId="61" borderId="52" xfId="0" applyNumberFormat="1" applyFont="1" applyFill="1" applyBorder="1" applyAlignment="1" applyProtection="1">
      <alignment horizontal="center" vertical="center"/>
    </xf>
    <xf numFmtId="0" fontId="71" fillId="61" borderId="0" xfId="0" applyNumberFormat="1" applyFont="1" applyFill="1" applyBorder="1" applyAlignment="1" applyProtection="1">
      <alignment horizontal="center" vertical="center"/>
    </xf>
    <xf numFmtId="0" fontId="71" fillId="61" borderId="75" xfId="0" applyNumberFormat="1" applyFont="1" applyFill="1" applyBorder="1" applyAlignment="1" applyProtection="1">
      <alignment horizontal="center" vertical="center"/>
    </xf>
    <xf numFmtId="0" fontId="71" fillId="61" borderId="10" xfId="0" applyNumberFormat="1" applyFont="1" applyFill="1" applyBorder="1" applyAlignment="1" applyProtection="1">
      <alignment horizontal="center" vertical="center"/>
    </xf>
    <xf numFmtId="0" fontId="71" fillId="61" borderId="47" xfId="0" applyNumberFormat="1" applyFont="1" applyFill="1" applyBorder="1" applyAlignment="1" applyProtection="1">
      <alignment horizontal="center" vertical="center"/>
    </xf>
    <xf numFmtId="0" fontId="71" fillId="61" borderId="76" xfId="0" applyNumberFormat="1" applyFont="1" applyFill="1" applyBorder="1" applyAlignment="1" applyProtection="1">
      <alignment horizontal="center" vertical="center"/>
    </xf>
    <xf numFmtId="170" fontId="71" fillId="61" borderId="51" xfId="0" applyNumberFormat="1" applyFont="1" applyFill="1" applyBorder="1" applyAlignment="1" applyProtection="1">
      <alignment horizontal="center" vertical="center"/>
    </xf>
    <xf numFmtId="170" fontId="71" fillId="61" borderId="69" xfId="0" applyNumberFormat="1" applyFont="1" applyFill="1" applyBorder="1" applyAlignment="1" applyProtection="1">
      <alignment horizontal="center" vertical="center"/>
    </xf>
    <xf numFmtId="170" fontId="71" fillId="61" borderId="74" xfId="0" applyNumberFormat="1" applyFont="1" applyFill="1" applyBorder="1" applyAlignment="1" applyProtection="1">
      <alignment horizontal="center" vertical="center"/>
    </xf>
    <xf numFmtId="170" fontId="71" fillId="61" borderId="52" xfId="0" applyNumberFormat="1" applyFont="1" applyFill="1" applyBorder="1" applyAlignment="1" applyProtection="1">
      <alignment horizontal="center" vertical="center"/>
    </xf>
    <xf numFmtId="170" fontId="71" fillId="61" borderId="0" xfId="0" applyNumberFormat="1" applyFont="1" applyFill="1" applyBorder="1" applyAlignment="1" applyProtection="1">
      <alignment horizontal="center" vertical="center"/>
    </xf>
    <xf numFmtId="170" fontId="71" fillId="61" borderId="75" xfId="0" applyNumberFormat="1" applyFont="1" applyFill="1" applyBorder="1" applyAlignment="1" applyProtection="1">
      <alignment horizontal="center" vertical="center"/>
    </xf>
    <xf numFmtId="170" fontId="71" fillId="61" borderId="10" xfId="0" applyNumberFormat="1" applyFont="1" applyFill="1" applyBorder="1" applyAlignment="1" applyProtection="1">
      <alignment horizontal="center" vertical="center"/>
    </xf>
    <xf numFmtId="170" fontId="71" fillId="61" borderId="47" xfId="0" applyNumberFormat="1" applyFont="1" applyFill="1" applyBorder="1" applyAlignment="1" applyProtection="1">
      <alignment horizontal="center" vertical="center"/>
    </xf>
    <xf numFmtId="170" fontId="71" fillId="61" borderId="76" xfId="0" applyNumberFormat="1" applyFont="1" applyFill="1" applyBorder="1" applyAlignment="1" applyProtection="1">
      <alignment horizontal="center" vertical="center"/>
    </xf>
    <xf numFmtId="3" fontId="71" fillId="61" borderId="51" xfId="0" applyNumberFormat="1" applyFont="1" applyFill="1" applyBorder="1" applyAlignment="1" applyProtection="1">
      <alignment horizontal="center" vertical="center"/>
    </xf>
    <xf numFmtId="3" fontId="71" fillId="61" borderId="69" xfId="0" applyNumberFormat="1" applyFont="1" applyFill="1" applyBorder="1" applyAlignment="1" applyProtection="1">
      <alignment horizontal="center" vertical="center"/>
    </xf>
    <xf numFmtId="3" fontId="71" fillId="61" borderId="74" xfId="0" applyNumberFormat="1" applyFont="1" applyFill="1" applyBorder="1" applyAlignment="1" applyProtection="1">
      <alignment horizontal="center" vertical="center"/>
    </xf>
    <xf numFmtId="3" fontId="71" fillId="61" borderId="52" xfId="0" applyNumberFormat="1" applyFont="1" applyFill="1" applyBorder="1" applyAlignment="1" applyProtection="1">
      <alignment horizontal="center" vertical="center"/>
    </xf>
    <xf numFmtId="3" fontId="71" fillId="61" borderId="0" xfId="0" applyNumberFormat="1" applyFont="1" applyFill="1" applyBorder="1" applyAlignment="1" applyProtection="1">
      <alignment horizontal="center" vertical="center"/>
    </xf>
    <xf numFmtId="3" fontId="71" fillId="61" borderId="75" xfId="0" applyNumberFormat="1" applyFont="1" applyFill="1" applyBorder="1" applyAlignment="1" applyProtection="1">
      <alignment horizontal="center" vertical="center"/>
    </xf>
    <xf numFmtId="3" fontId="71" fillId="61" borderId="10" xfId="0" applyNumberFormat="1" applyFont="1" applyFill="1" applyBorder="1" applyAlignment="1" applyProtection="1">
      <alignment horizontal="center" vertical="center"/>
    </xf>
    <xf numFmtId="3" fontId="71" fillId="61" borderId="47" xfId="0" applyNumberFormat="1" applyFont="1" applyFill="1" applyBorder="1" applyAlignment="1" applyProtection="1">
      <alignment horizontal="center" vertical="center"/>
    </xf>
    <xf numFmtId="3" fontId="71" fillId="61" borderId="76" xfId="0" applyNumberFormat="1" applyFont="1" applyFill="1" applyBorder="1" applyAlignment="1" applyProtection="1">
      <alignment horizontal="center" vertical="center"/>
    </xf>
    <xf numFmtId="169" fontId="71" fillId="61" borderId="8" xfId="0" applyNumberFormat="1" applyFont="1" applyFill="1" applyBorder="1" applyAlignment="1" applyProtection="1">
      <alignment horizontal="center" vertical="center"/>
      <protection locked="0"/>
    </xf>
    <xf numFmtId="14" fontId="71" fillId="61" borderId="51" xfId="0" applyNumberFormat="1" applyFont="1" applyFill="1" applyBorder="1" applyAlignment="1" applyProtection="1">
      <alignment horizontal="center" vertical="center"/>
    </xf>
    <xf numFmtId="14" fontId="71" fillId="61" borderId="69" xfId="0" applyNumberFormat="1" applyFont="1" applyFill="1" applyBorder="1" applyAlignment="1" applyProtection="1">
      <alignment horizontal="center" vertical="center"/>
    </xf>
    <xf numFmtId="14" fontId="71" fillId="61" borderId="74" xfId="0" applyNumberFormat="1" applyFont="1" applyFill="1" applyBorder="1" applyAlignment="1" applyProtection="1">
      <alignment horizontal="center" vertical="center"/>
    </xf>
    <xf numFmtId="14" fontId="71" fillId="61" borderId="52" xfId="0" applyNumberFormat="1" applyFont="1" applyFill="1" applyBorder="1" applyAlignment="1" applyProtection="1">
      <alignment horizontal="center" vertical="center"/>
    </xf>
    <xf numFmtId="14" fontId="71" fillId="61" borderId="0" xfId="0" applyNumberFormat="1" applyFont="1" applyFill="1" applyBorder="1" applyAlignment="1" applyProtection="1">
      <alignment horizontal="center" vertical="center"/>
    </xf>
    <xf numFmtId="14" fontId="71" fillId="61" borderId="75" xfId="0" applyNumberFormat="1" applyFont="1" applyFill="1" applyBorder="1" applyAlignment="1" applyProtection="1">
      <alignment horizontal="center" vertical="center"/>
    </xf>
    <xf numFmtId="14" fontId="71" fillId="61" borderId="10" xfId="0" applyNumberFormat="1" applyFont="1" applyFill="1" applyBorder="1" applyAlignment="1" applyProtection="1">
      <alignment horizontal="center" vertical="center"/>
    </xf>
    <xf numFmtId="14" fontId="71" fillId="61" borderId="47" xfId="0" applyNumberFormat="1" applyFont="1" applyFill="1" applyBorder="1" applyAlignment="1" applyProtection="1">
      <alignment horizontal="center" vertical="center"/>
    </xf>
    <xf numFmtId="14" fontId="71" fillId="61" borderId="76" xfId="0" applyNumberFormat="1" applyFont="1" applyFill="1" applyBorder="1" applyAlignment="1" applyProtection="1">
      <alignment horizontal="center" vertical="center"/>
    </xf>
    <xf numFmtId="14" fontId="71" fillId="61" borderId="51" xfId="0" applyNumberFormat="1" applyFont="1" applyFill="1" applyBorder="1" applyAlignment="1" applyProtection="1">
      <alignment horizontal="center" vertical="center"/>
      <protection locked="0"/>
    </xf>
    <xf numFmtId="14" fontId="71" fillId="61" borderId="69" xfId="0" applyNumberFormat="1" applyFont="1" applyFill="1" applyBorder="1" applyAlignment="1" applyProtection="1">
      <alignment horizontal="center" vertical="center"/>
      <protection locked="0"/>
    </xf>
    <xf numFmtId="14" fontId="71" fillId="61" borderId="74" xfId="0" applyNumberFormat="1" applyFont="1" applyFill="1" applyBorder="1" applyAlignment="1" applyProtection="1">
      <alignment horizontal="center" vertical="center"/>
      <protection locked="0"/>
    </xf>
    <xf numFmtId="14" fontId="71" fillId="61" borderId="52" xfId="0" applyNumberFormat="1" applyFont="1" applyFill="1" applyBorder="1" applyAlignment="1" applyProtection="1">
      <alignment horizontal="center" vertical="center"/>
      <protection locked="0"/>
    </xf>
    <xf numFmtId="14" fontId="71" fillId="61" borderId="0" xfId="0" applyNumberFormat="1" applyFont="1" applyFill="1" applyBorder="1" applyAlignment="1" applyProtection="1">
      <alignment horizontal="center" vertical="center"/>
      <protection locked="0"/>
    </xf>
    <xf numFmtId="14" fontId="71" fillId="61" borderId="75" xfId="0" applyNumberFormat="1" applyFont="1" applyFill="1" applyBorder="1" applyAlignment="1" applyProtection="1">
      <alignment horizontal="center" vertical="center"/>
      <protection locked="0"/>
    </xf>
    <xf numFmtId="14" fontId="71" fillId="61" borderId="10" xfId="0" applyNumberFormat="1" applyFont="1" applyFill="1" applyBorder="1" applyAlignment="1" applyProtection="1">
      <alignment horizontal="center" vertical="center"/>
      <protection locked="0"/>
    </xf>
    <xf numFmtId="14" fontId="71" fillId="61" borderId="47" xfId="0" applyNumberFormat="1" applyFont="1" applyFill="1" applyBorder="1" applyAlignment="1" applyProtection="1">
      <alignment horizontal="center" vertical="center"/>
      <protection locked="0"/>
    </xf>
    <xf numFmtId="14" fontId="71" fillId="61" borderId="76" xfId="0" applyNumberFormat="1" applyFont="1" applyFill="1" applyBorder="1" applyAlignment="1" applyProtection="1">
      <alignment horizontal="center" vertical="center"/>
      <protection locked="0"/>
    </xf>
    <xf numFmtId="1" fontId="71" fillId="61" borderId="51" xfId="0" applyNumberFormat="1" applyFont="1" applyFill="1" applyBorder="1" applyAlignment="1" applyProtection="1">
      <alignment horizontal="center" vertical="center"/>
    </xf>
    <xf numFmtId="1" fontId="71" fillId="61" borderId="69" xfId="0" applyNumberFormat="1" applyFont="1" applyFill="1" applyBorder="1" applyAlignment="1" applyProtection="1">
      <alignment horizontal="center" vertical="center"/>
    </xf>
    <xf numFmtId="1" fontId="71" fillId="61" borderId="74" xfId="0" applyNumberFormat="1" applyFont="1" applyFill="1" applyBorder="1" applyAlignment="1" applyProtection="1">
      <alignment horizontal="center" vertical="center"/>
    </xf>
    <xf numFmtId="1" fontId="71" fillId="61" borderId="52" xfId="0" applyNumberFormat="1" applyFont="1" applyFill="1" applyBorder="1" applyAlignment="1" applyProtection="1">
      <alignment horizontal="center" vertical="center"/>
    </xf>
    <xf numFmtId="1" fontId="71" fillId="61" borderId="0" xfId="0" applyNumberFormat="1" applyFont="1" applyFill="1" applyBorder="1" applyAlignment="1" applyProtection="1">
      <alignment horizontal="center" vertical="center"/>
    </xf>
    <xf numFmtId="1" fontId="71" fillId="61" borderId="75" xfId="0" applyNumberFormat="1" applyFont="1" applyFill="1" applyBorder="1" applyAlignment="1" applyProtection="1">
      <alignment horizontal="center" vertical="center"/>
    </xf>
    <xf numFmtId="1" fontId="71" fillId="61" borderId="10" xfId="0" applyNumberFormat="1" applyFont="1" applyFill="1" applyBorder="1" applyAlignment="1" applyProtection="1">
      <alignment horizontal="center" vertical="center"/>
    </xf>
    <xf numFmtId="1" fontId="71" fillId="61" borderId="47" xfId="0" applyNumberFormat="1" applyFont="1" applyFill="1" applyBorder="1" applyAlignment="1" applyProtection="1">
      <alignment horizontal="center" vertical="center"/>
    </xf>
    <xf numFmtId="1" fontId="71" fillId="61" borderId="76" xfId="0" applyNumberFormat="1" applyFont="1" applyFill="1" applyBorder="1" applyAlignment="1" applyProtection="1">
      <alignment horizontal="center" vertical="center"/>
    </xf>
    <xf numFmtId="0" fontId="81" fillId="16" borderId="8" xfId="0" applyFont="1" applyFill="1" applyBorder="1" applyAlignment="1" applyProtection="1">
      <alignment horizontal="center" vertical="center"/>
      <protection locked="0"/>
    </xf>
    <xf numFmtId="14" fontId="81" fillId="16" borderId="8" xfId="0" applyNumberFormat="1" applyFont="1" applyFill="1" applyBorder="1" applyAlignment="1" applyProtection="1">
      <alignment horizontal="center" vertical="center"/>
      <protection locked="0"/>
    </xf>
    <xf numFmtId="171" fontId="81" fillId="16" borderId="8" xfId="0" applyNumberFormat="1" applyFont="1" applyFill="1" applyBorder="1" applyAlignment="1" applyProtection="1">
      <alignment horizontal="center" vertical="center"/>
      <protection locked="0"/>
    </xf>
    <xf numFmtId="172" fontId="81" fillId="16" borderId="8" xfId="0" applyNumberFormat="1" applyFont="1" applyFill="1" applyBorder="1" applyAlignment="1" applyProtection="1">
      <alignment horizontal="center" vertical="center"/>
      <protection locked="0"/>
    </xf>
    <xf numFmtId="0" fontId="39" fillId="33" borderId="0" xfId="0" applyFont="1" applyFill="1" applyAlignment="1">
      <alignment horizontal="center" vertical="center"/>
    </xf>
    <xf numFmtId="0" fontId="38" fillId="12" borderId="25" xfId="0" applyNumberFormat="1" applyFont="1" applyFill="1" applyBorder="1" applyAlignment="1">
      <alignment horizontal="center" vertical="center"/>
    </xf>
    <xf numFmtId="0" fontId="38" fillId="12" borderId="41" xfId="0" applyNumberFormat="1" applyFont="1" applyFill="1" applyBorder="1" applyAlignment="1">
      <alignment horizontal="center" vertical="center"/>
    </xf>
    <xf numFmtId="0" fontId="38" fillId="18" borderId="25" xfId="0" applyNumberFormat="1" applyFont="1" applyFill="1" applyBorder="1" applyAlignment="1">
      <alignment horizontal="center" vertical="center"/>
    </xf>
    <xf numFmtId="0" fontId="38" fillId="18" borderId="41" xfId="0" applyNumberFormat="1" applyFont="1" applyFill="1" applyBorder="1" applyAlignment="1">
      <alignment horizontal="center" vertical="center"/>
    </xf>
    <xf numFmtId="0" fontId="38" fillId="18" borderId="5" xfId="0" applyNumberFormat="1" applyFont="1" applyFill="1" applyBorder="1" applyAlignment="1">
      <alignment horizontal="center" vertical="center"/>
    </xf>
    <xf numFmtId="0" fontId="38" fillId="18" borderId="31" xfId="0" applyNumberFormat="1" applyFont="1" applyFill="1" applyBorder="1" applyAlignment="1">
      <alignment horizontal="center" vertical="center"/>
    </xf>
    <xf numFmtId="0" fontId="38" fillId="34" borderId="9" xfId="0" applyNumberFormat="1" applyFont="1" applyFill="1" applyBorder="1" applyAlignment="1">
      <alignment horizontal="center" vertical="center"/>
    </xf>
    <xf numFmtId="0" fontId="38" fillId="34" borderId="33" xfId="0" applyNumberFormat="1" applyFont="1" applyFill="1" applyBorder="1" applyAlignment="1">
      <alignment horizontal="center" vertical="center"/>
    </xf>
    <xf numFmtId="0" fontId="38" fillId="34" borderId="11" xfId="0" applyNumberFormat="1" applyFont="1" applyFill="1" applyBorder="1" applyAlignment="1">
      <alignment horizontal="center" vertical="center"/>
    </xf>
    <xf numFmtId="0" fontId="38" fillId="3" borderId="28" xfId="0" applyFont="1" applyFill="1" applyBorder="1" applyAlignment="1">
      <alignment horizontal="center" vertical="center"/>
    </xf>
    <xf numFmtId="0" fontId="38" fillId="3" borderId="35" xfId="0" applyFont="1" applyFill="1" applyBorder="1" applyAlignment="1">
      <alignment horizontal="center" vertical="center"/>
    </xf>
    <xf numFmtId="0" fontId="38" fillId="3" borderId="12" xfId="0" applyFont="1" applyFill="1" applyBorder="1" applyAlignment="1">
      <alignment horizontal="center" vertical="center"/>
    </xf>
    <xf numFmtId="0" fontId="40" fillId="2" borderId="20" xfId="0" applyNumberFormat="1" applyFont="1" applyFill="1" applyBorder="1" applyAlignment="1">
      <alignment horizontal="center" vertical="center"/>
    </xf>
    <xf numFmtId="0" fontId="40" fillId="2" borderId="32" xfId="0" applyNumberFormat="1" applyFont="1" applyFill="1" applyBorder="1" applyAlignment="1">
      <alignment horizontal="center" vertical="center"/>
    </xf>
    <xf numFmtId="0" fontId="41" fillId="2" borderId="9" xfId="0" applyFont="1" applyFill="1" applyBorder="1" applyAlignment="1">
      <alignment horizontal="center" vertical="center"/>
    </xf>
    <xf numFmtId="0" fontId="41" fillId="2" borderId="33" xfId="0" applyFont="1" applyFill="1" applyBorder="1" applyAlignment="1">
      <alignment horizontal="center" vertical="center"/>
    </xf>
    <xf numFmtId="0" fontId="41" fillId="2" borderId="11" xfId="0" applyFont="1" applyFill="1" applyBorder="1" applyAlignment="1">
      <alignment horizontal="center" vertical="center"/>
    </xf>
    <xf numFmtId="0" fontId="44" fillId="2" borderId="4" xfId="0" applyNumberFormat="1" applyFont="1" applyFill="1" applyBorder="1" applyAlignment="1">
      <alignment horizontal="center" vertical="center"/>
    </xf>
    <xf numFmtId="0" fontId="44" fillId="2" borderId="34" xfId="0" applyNumberFormat="1" applyFont="1" applyFill="1" applyBorder="1" applyAlignment="1">
      <alignment horizontal="center" vertical="center"/>
    </xf>
    <xf numFmtId="0" fontId="46" fillId="14" borderId="14" xfId="0" applyNumberFormat="1" applyFont="1" applyFill="1" applyBorder="1" applyAlignment="1">
      <alignment horizontal="center" vertical="center"/>
    </xf>
    <xf numFmtId="0" fontId="46" fillId="14" borderId="15" xfId="0" applyNumberFormat="1" applyFont="1" applyFill="1" applyBorder="1" applyAlignment="1">
      <alignment horizontal="center" vertical="center"/>
    </xf>
    <xf numFmtId="0" fontId="46" fillId="14" borderId="17" xfId="0" applyNumberFormat="1" applyFont="1" applyFill="1" applyBorder="1" applyAlignment="1">
      <alignment horizontal="center" vertical="center"/>
    </xf>
    <xf numFmtId="0" fontId="43" fillId="30" borderId="28" xfId="0" applyFont="1" applyFill="1" applyBorder="1" applyAlignment="1">
      <alignment horizontal="center" vertical="center"/>
    </xf>
    <xf numFmtId="0" fontId="43" fillId="30" borderId="35" xfId="0" applyFont="1" applyFill="1" applyBorder="1" applyAlignment="1">
      <alignment horizontal="center" vertical="center"/>
    </xf>
    <xf numFmtId="0" fontId="43" fillId="30" borderId="12" xfId="0" applyFont="1" applyFill="1" applyBorder="1" applyAlignment="1">
      <alignment horizontal="center" vertical="center"/>
    </xf>
    <xf numFmtId="0" fontId="38" fillId="18" borderId="25" xfId="0" applyNumberFormat="1" applyFont="1" applyFill="1" applyBorder="1" applyAlignment="1">
      <alignment vertical="center"/>
    </xf>
    <xf numFmtId="0" fontId="38" fillId="18" borderId="49" xfId="0" applyNumberFormat="1" applyFont="1" applyFill="1" applyBorder="1" applyAlignment="1">
      <alignment vertical="center"/>
    </xf>
    <xf numFmtId="3" fontId="50" fillId="9" borderId="30" xfId="0" applyNumberFormat="1" applyFont="1" applyFill="1" applyBorder="1" applyAlignment="1">
      <alignment horizontal="center" vertical="center"/>
    </xf>
    <xf numFmtId="3" fontId="50" fillId="9" borderId="31" xfId="0" applyNumberFormat="1" applyFont="1" applyFill="1" applyBorder="1" applyAlignment="1">
      <alignment horizontal="center" vertical="center"/>
    </xf>
    <xf numFmtId="166" fontId="44" fillId="3" borderId="9" xfId="0" applyNumberFormat="1" applyFont="1" applyFill="1" applyBorder="1" applyAlignment="1">
      <alignment horizontal="center" vertical="center"/>
    </xf>
    <xf numFmtId="166" fontId="44" fillId="3" borderId="33" xfId="0" applyNumberFormat="1" applyFont="1" applyFill="1" applyBorder="1" applyAlignment="1">
      <alignment horizontal="center" vertical="center"/>
    </xf>
    <xf numFmtId="166" fontId="44" fillId="3" borderId="11" xfId="0" applyNumberFormat="1" applyFont="1" applyFill="1" applyBorder="1" applyAlignment="1">
      <alignment horizontal="center" vertical="center"/>
    </xf>
    <xf numFmtId="0" fontId="40" fillId="2" borderId="4" xfId="0" applyNumberFormat="1" applyFont="1" applyFill="1" applyBorder="1" applyAlignment="1">
      <alignment horizontal="center" vertical="center"/>
    </xf>
    <xf numFmtId="0" fontId="40" fillId="2" borderId="34" xfId="0" applyNumberFormat="1" applyFont="1" applyFill="1" applyBorder="1" applyAlignment="1">
      <alignment horizontal="center" vertical="center"/>
    </xf>
    <xf numFmtId="3" fontId="45" fillId="29" borderId="28" xfId="0" applyNumberFormat="1" applyFont="1" applyFill="1" applyBorder="1" applyAlignment="1">
      <alignment horizontal="center" vertical="center"/>
    </xf>
    <xf numFmtId="3" fontId="45" fillId="29" borderId="20" xfId="0" applyNumberFormat="1" applyFont="1" applyFill="1" applyBorder="1" applyAlignment="1">
      <alignment horizontal="center" vertical="center"/>
    </xf>
    <xf numFmtId="9" fontId="31" fillId="45" borderId="8" xfId="21" applyNumberFormat="1" applyFont="1" applyBorder="1" applyAlignment="1">
      <alignment horizontal="center" vertical="center"/>
    </xf>
    <xf numFmtId="0" fontId="31" fillId="45" borderId="8" xfId="21" applyFont="1" applyBorder="1" applyAlignment="1">
      <alignment horizontal="center" vertical="center"/>
    </xf>
    <xf numFmtId="9" fontId="31" fillId="46" borderId="8" xfId="22" applyNumberFormat="1" applyFont="1" applyBorder="1" applyAlignment="1">
      <alignment horizontal="center" vertical="center"/>
    </xf>
    <xf numFmtId="0" fontId="31" fillId="46" borderId="8" xfId="22" applyFont="1" applyBorder="1" applyAlignment="1">
      <alignment horizontal="center" vertical="center"/>
    </xf>
    <xf numFmtId="9" fontId="27" fillId="47" borderId="8" xfId="23" applyNumberFormat="1" applyFont="1" applyBorder="1" applyAlignment="1">
      <alignment horizontal="center" vertical="center"/>
    </xf>
    <xf numFmtId="0" fontId="27" fillId="47" borderId="8" xfId="23" applyFont="1" applyBorder="1" applyAlignment="1">
      <alignment horizontal="center" vertical="center"/>
    </xf>
    <xf numFmtId="0" fontId="69" fillId="42" borderId="0" xfId="18" applyFont="1" applyAlignment="1">
      <alignment horizontal="center" vertical="center"/>
    </xf>
    <xf numFmtId="0" fontId="68" fillId="48" borderId="0" xfId="25" applyBorder="1" applyAlignment="1">
      <alignment horizontal="center" vertical="center"/>
    </xf>
    <xf numFmtId="0" fontId="0" fillId="55" borderId="64" xfId="0" applyFill="1" applyBorder="1" applyAlignment="1">
      <alignment horizontal="center"/>
    </xf>
    <xf numFmtId="0" fontId="0" fillId="55" borderId="65" xfId="0" applyFill="1" applyBorder="1" applyAlignment="1">
      <alignment horizontal="center"/>
    </xf>
    <xf numFmtId="0" fontId="0" fillId="55" borderId="66" xfId="0" applyFill="1" applyBorder="1" applyAlignment="1">
      <alignment horizontal="center"/>
    </xf>
    <xf numFmtId="0" fontId="0" fillId="55" borderId="67" xfId="0" applyFill="1" applyBorder="1" applyAlignment="1">
      <alignment horizontal="center"/>
    </xf>
    <xf numFmtId="0" fontId="0" fillId="55" borderId="0" xfId="0" applyFill="1" applyBorder="1" applyAlignment="1">
      <alignment horizontal="center"/>
    </xf>
    <xf numFmtId="0" fontId="0" fillId="55" borderId="68" xfId="0" applyFill="1" applyBorder="1" applyAlignment="1">
      <alignment horizontal="center"/>
    </xf>
    <xf numFmtId="0" fontId="76" fillId="56" borderId="0" xfId="0" applyFont="1" applyFill="1" applyAlignment="1">
      <alignment horizontal="center" vertical="center"/>
    </xf>
    <xf numFmtId="0" fontId="0" fillId="22" borderId="0" xfId="0" applyFill="1" applyAlignment="1">
      <alignment horizontal="center"/>
    </xf>
    <xf numFmtId="3" fontId="71" fillId="57" borderId="0" xfId="0" applyNumberFormat="1" applyFont="1" applyFill="1" applyAlignment="1">
      <alignment horizontal="center" vertical="center"/>
    </xf>
    <xf numFmtId="0" fontId="0" fillId="55" borderId="0" xfId="0" applyFill="1" applyAlignment="1">
      <alignment horizontal="center"/>
    </xf>
    <xf numFmtId="0" fontId="71" fillId="58" borderId="0" xfId="0" applyFont="1" applyFill="1" applyBorder="1" applyAlignment="1">
      <alignment horizontal="center" vertical="center"/>
    </xf>
    <xf numFmtId="0" fontId="71" fillId="56" borderId="47" xfId="0" applyFont="1" applyFill="1" applyBorder="1" applyAlignment="1">
      <alignment horizontal="center"/>
    </xf>
    <xf numFmtId="0" fontId="71" fillId="22" borderId="47" xfId="0" applyFont="1" applyFill="1" applyBorder="1" applyAlignment="1">
      <alignment horizontal="center"/>
    </xf>
    <xf numFmtId="0" fontId="71" fillId="57" borderId="47" xfId="0" applyFont="1" applyFill="1" applyBorder="1" applyAlignment="1">
      <alignment horizontal="center"/>
    </xf>
    <xf numFmtId="0" fontId="71" fillId="22" borderId="26" xfId="0" applyFont="1" applyFill="1" applyBorder="1" applyAlignment="1">
      <alignment horizontal="center"/>
    </xf>
    <xf numFmtId="0" fontId="0" fillId="55" borderId="69" xfId="0" applyFill="1" applyBorder="1" applyAlignment="1">
      <alignment horizontal="center"/>
    </xf>
    <xf numFmtId="14" fontId="71" fillId="57" borderId="0" xfId="0" applyNumberFormat="1" applyFont="1" applyFill="1" applyAlignment="1">
      <alignment horizontal="center" vertical="center"/>
    </xf>
    <xf numFmtId="0" fontId="71" fillId="57" borderId="0" xfId="0" applyNumberFormat="1" applyFont="1" applyFill="1" applyAlignment="1">
      <alignment horizontal="center" vertical="center"/>
    </xf>
    <xf numFmtId="171" fontId="81" fillId="64" borderId="25" xfId="0" applyNumberFormat="1" applyFont="1" applyFill="1" applyBorder="1" applyAlignment="1">
      <alignment horizontal="center"/>
    </xf>
    <xf numFmtId="171" fontId="81" fillId="64" borderId="26" xfId="0" applyNumberFormat="1" applyFont="1" applyFill="1" applyBorder="1" applyAlignment="1">
      <alignment horizontal="center"/>
    </xf>
    <xf numFmtId="171" fontId="81" fillId="64" borderId="49" xfId="0" applyNumberFormat="1" applyFont="1" applyFill="1" applyBorder="1" applyAlignment="1">
      <alignment horizontal="center"/>
    </xf>
    <xf numFmtId="0" fontId="74" fillId="55" borderId="8" xfId="0" applyFont="1" applyFill="1" applyBorder="1" applyAlignment="1">
      <alignment horizontal="center" vertical="center"/>
    </xf>
    <xf numFmtId="0" fontId="82" fillId="63" borderId="49" xfId="0" applyFont="1" applyFill="1" applyBorder="1" applyAlignment="1">
      <alignment horizontal="center" vertical="center"/>
    </xf>
    <xf numFmtId="0" fontId="82" fillId="63" borderId="8" xfId="0" applyFont="1" applyFill="1" applyBorder="1" applyAlignment="1">
      <alignment horizontal="center" vertical="center"/>
    </xf>
  </cellXfs>
  <cellStyles count="28">
    <cellStyle name="20% - Accent2" xfId="20" builtinId="34"/>
    <cellStyle name="20% - Accent6" xfId="27" builtinId="50"/>
    <cellStyle name="40% - Accent4" xfId="23" builtinId="43"/>
    <cellStyle name="40% - Accent5" xfId="16" builtinId="47"/>
    <cellStyle name="60% - Accent2" xfId="21" builtinId="36"/>
    <cellStyle name="60% - Accent3" xfId="22" builtinId="40"/>
    <cellStyle name="Accent1" xfId="13" builtinId="29"/>
    <cellStyle name="Bad" xfId="18" builtinId="27"/>
    <cellStyle name="Comma" xfId="1" builtinId="3"/>
    <cellStyle name="Comma 2" xfId="5"/>
    <cellStyle name="Currency" xfId="2" builtinId="4"/>
    <cellStyle name="Good" xfId="17" builtinId="26"/>
    <cellStyle name="Input" xfId="25" builtinId="20"/>
    <cellStyle name="Neutral" xfId="19" builtinId="28"/>
    <cellStyle name="Normal" xfId="0" builtinId="0"/>
    <cellStyle name="Normal 2" xfId="3"/>
    <cellStyle name="Normal 2 2" xfId="6"/>
    <cellStyle name="Normal 2 2 2" xfId="8"/>
    <cellStyle name="Normal 2 2 2 2" xfId="12"/>
    <cellStyle name="Normal 2 2 3" xfId="10"/>
    <cellStyle name="Normal 2 3" xfId="7"/>
    <cellStyle name="Normal 2 3 2" xfId="11"/>
    <cellStyle name="Normal 2 4" xfId="9"/>
    <cellStyle name="Normal 3" xfId="4"/>
    <cellStyle name="Normal 4" xfId="14"/>
    <cellStyle name="Normal 5" xfId="24"/>
    <cellStyle name="Normal 6" xfId="26"/>
    <cellStyle name="Warning Text" xfId="15" builtinId="11"/>
  </cellStyles>
  <dxfs count="278"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5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5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5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5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rgb="FF00B0F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0" formatCode="General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4" formatCode="#,##0.0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4" formatCode="#,##0.0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4" formatCode="#,##0.0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4" formatCode="#,##0.0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0" formatCode="General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i/>
        <sz val="14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8" formatCode="#,##0.0000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8" formatCode="#,##0.0000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0"/>
        <name val="Calibri"/>
        <scheme val="minor"/>
      </font>
      <numFmt numFmtId="166" formatCode="#,##0.0"/>
      <fill>
        <patternFill patternType="solid">
          <fgColor indexed="64"/>
          <bgColor theme="5" tint="-0.249977111117893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5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5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5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5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5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rgb="FF00B0F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0" formatCode="General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4" formatCode="#,##0.0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4" formatCode="#,##0.0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4" formatCode="#,##0.0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4" formatCode="#,##0.0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0" formatCode="General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8" formatCode="#,##0.0000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0"/>
        <name val="Calibri"/>
        <scheme val="minor"/>
      </font>
      <numFmt numFmtId="166" formatCode="#,##0.0"/>
      <fill>
        <patternFill patternType="solid">
          <fgColor indexed="64"/>
          <bgColor theme="5" tint="-0.249977111117893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5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5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5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5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rgb="FF00B0F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7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0" formatCode="General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4" formatCode="#,##0.0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4" formatCode="#,##0.0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4" formatCode="#,##0.0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4" formatCode="#,##0.0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3" formatCode="#,##0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auto="1"/>
        <name val="Times New Roman"/>
        <scheme val="none"/>
      </font>
      <numFmt numFmtId="0" formatCode="General"/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theme="6" tint="0.399975585192419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i/>
        <sz val="14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8" formatCode="#,##0.0000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8" formatCode="#,##0.0000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3" formatCode="#,##0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167" formatCode="#,##0_ ;\-#,##0\ 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theme="3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4"/>
        <color theme="1"/>
        <name val="Times New Roman"/>
        <scheme val="none"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theme="0"/>
        <name val="Calibri"/>
        <scheme val="minor"/>
      </font>
      <numFmt numFmtId="166" formatCode="#,##0.0"/>
      <fill>
        <patternFill patternType="solid">
          <fgColor indexed="64"/>
          <bgColor theme="5" tint="-0.249977111117893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color theme="0"/>
      </font>
      <fill>
        <patternFill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57E3AE"/>
      </font>
      <fill>
        <gradientFill degree="90">
          <stop position="0">
            <color rgb="FF57E3AE"/>
          </stop>
          <stop position="1">
            <color rgb="FF57E3AE"/>
          </stop>
        </gradientFill>
      </fill>
      <border>
        <left/>
        <right/>
        <top/>
        <bottom/>
        <vertical/>
        <horizontal/>
      </border>
    </dxf>
    <dxf>
      <font>
        <color rgb="FF57E3AE"/>
      </font>
      <fill>
        <gradientFill degree="90">
          <stop position="0">
            <color rgb="FF57E3AE"/>
          </stop>
          <stop position="1">
            <color rgb="FF57E3AE"/>
          </stop>
        </gradientFill>
      </fill>
      <border>
        <left/>
        <right/>
        <top/>
        <bottom/>
        <vertical/>
        <horizontal/>
      </border>
    </dxf>
    <dxf>
      <font>
        <color rgb="FF57E3AE"/>
      </font>
      <fill>
        <gradientFill degree="90">
          <stop position="0">
            <color rgb="FF57E3AE"/>
          </stop>
          <stop position="1">
            <color rgb="FF57E3AE"/>
          </stop>
        </gradientFill>
      </fill>
      <border>
        <left/>
        <right/>
        <top/>
        <bottom/>
        <vertical/>
        <horizontal/>
      </border>
    </dxf>
    <dxf>
      <font>
        <color rgb="FF57E3AE"/>
      </font>
      <fill>
        <gradientFill degree="90">
          <stop position="0">
            <color rgb="FF57E3AE"/>
          </stop>
          <stop position="1">
            <color rgb="FF57E3AE"/>
          </stop>
        </gradientFill>
      </fill>
      <border>
        <left/>
        <right/>
        <top/>
        <bottom/>
        <vertical/>
        <horizontal/>
      </border>
    </dxf>
    <dxf>
      <font>
        <color rgb="FF57E3AE"/>
      </font>
      <fill>
        <gradientFill degree="90">
          <stop position="0">
            <color rgb="FF57E3AE"/>
          </stop>
          <stop position="1">
            <color rgb="FF57E3AE"/>
          </stop>
        </gradientFill>
      </fill>
      <border>
        <left/>
        <right/>
        <top/>
        <bottom/>
        <vertical/>
        <horizontal/>
      </border>
    </dxf>
    <dxf>
      <font>
        <color rgb="FF57E3AE"/>
      </font>
      <fill>
        <gradientFill degree="90">
          <stop position="0">
            <color rgb="FF57E3AE"/>
          </stop>
          <stop position="1">
            <color rgb="FF57E3AE"/>
          </stop>
        </gradientFill>
      </fill>
      <border>
        <left/>
        <right/>
        <top/>
        <bottom/>
        <vertical/>
        <horizontal/>
      </border>
    </dxf>
    <dxf>
      <font>
        <color rgb="FF57E3AE"/>
      </font>
      <fill>
        <patternFill>
          <bgColor rgb="FF57E3AE"/>
        </patternFill>
      </fill>
      <border>
        <left/>
        <right/>
        <top/>
        <bottom/>
        <vertical/>
        <horizontal/>
      </border>
    </dxf>
    <dxf>
      <font>
        <color rgb="FF57E3AE"/>
      </font>
      <fill>
        <patternFill>
          <bgColor rgb="FF57E3AE"/>
        </patternFill>
      </fill>
      <border>
        <left/>
        <right/>
        <top/>
        <bottom/>
      </border>
    </dxf>
    <dxf>
      <font>
        <color rgb="FF57E3AE"/>
      </font>
      <fill>
        <patternFill>
          <bgColor rgb="FF57E3AE"/>
        </patternFill>
      </fill>
      <border>
        <left/>
        <right/>
        <top/>
        <bottom/>
      </border>
    </dxf>
    <dxf>
      <font>
        <b/>
        <i val="0"/>
      </font>
      <fill>
        <gradientFill degree="90">
          <stop position="0">
            <color rgb="FF00FF99"/>
          </stop>
          <stop position="1">
            <color theme="4"/>
          </stop>
        </gradientFill>
      </fill>
    </dxf>
    <dxf>
      <font>
        <color rgb="FF57E3AE"/>
      </font>
      <fill>
        <patternFill>
          <bgColor rgb="FF57E3AE"/>
        </patternFill>
      </fill>
      <border>
        <left/>
        <right/>
        <top/>
        <bottom/>
      </border>
    </dxf>
    <dxf>
      <font>
        <color rgb="FF57E3AE"/>
      </font>
      <fill>
        <patternFill patternType="solid">
          <fgColor theme="0"/>
          <bgColor rgb="FF57E3AE"/>
        </patternFill>
      </fill>
      <border>
        <left/>
        <right/>
        <top/>
        <bottom/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4" formatCode="#,##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numFmt numFmtId="4" formatCode="#,##0.00"/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1" defaultTableStyle="TableStyleMedium2" defaultPivotStyle="PivotStyleMedium9">
    <tableStyle name="Table Style 1" pivot="0" count="0"/>
  </tableStyles>
  <colors>
    <mruColors>
      <color rgb="FF57E3AE"/>
      <color rgb="FF003300"/>
      <color rgb="FF85E040"/>
      <color rgb="FF66FF33"/>
      <color rgb="FF00FF00"/>
      <color rgb="FF99FF33"/>
      <color rgb="FF00660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154780</xdr:colOff>
      <xdr:row>0</xdr:row>
      <xdr:rowOff>71437</xdr:rowOff>
    </xdr:from>
    <xdr:to>
      <xdr:col>2</xdr:col>
      <xdr:colOff>504824</xdr:colOff>
      <xdr:row>0</xdr:row>
      <xdr:rowOff>809625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405" y="71437"/>
          <a:ext cx="1807369" cy="738188"/>
        </a:xfrm>
        <a:prstGeom prst="rect">
          <a:avLst/>
        </a:prstGeom>
      </xdr:spPr>
    </xdr:pic>
    <xdr:clientData/>
  </xdr:twoCellAnchor>
  <xdr:twoCellAnchor editAs="oneCell">
    <xdr:from>
      <xdr:col>9</xdr:col>
      <xdr:colOff>1619250</xdr:colOff>
      <xdr:row>0</xdr:row>
      <xdr:rowOff>85724</xdr:rowOff>
    </xdr:from>
    <xdr:to>
      <xdr:col>11</xdr:col>
      <xdr:colOff>192878</xdr:colOff>
      <xdr:row>0</xdr:row>
      <xdr:rowOff>800099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0" y="85724"/>
          <a:ext cx="878678" cy="7143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671514</xdr:colOff>
      <xdr:row>0</xdr:row>
      <xdr:rowOff>59530</xdr:rowOff>
    </xdr:from>
    <xdr:to>
      <xdr:col>12</xdr:col>
      <xdr:colOff>1600162</xdr:colOff>
      <xdr:row>0</xdr:row>
      <xdr:rowOff>860789</xdr:rowOff>
    </xdr:to>
    <xdr:pic>
      <xdr:nvPicPr>
        <xdr:cNvPr id="2" name="Picture 1" descr="download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730414" y="59530"/>
          <a:ext cx="928648" cy="801259"/>
        </a:xfrm>
        <a:prstGeom prst="rect">
          <a:avLst/>
        </a:prstGeom>
      </xdr:spPr>
    </xdr:pic>
    <xdr:clientData/>
  </xdr:twoCellAnchor>
  <xdr:twoCellAnchor editAs="oneCell">
    <xdr:from>
      <xdr:col>0</xdr:col>
      <xdr:colOff>154775</xdr:colOff>
      <xdr:row>0</xdr:row>
      <xdr:rowOff>35726</xdr:rowOff>
    </xdr:from>
    <xdr:to>
      <xdr:col>2</xdr:col>
      <xdr:colOff>274368</xdr:colOff>
      <xdr:row>0</xdr:row>
      <xdr:rowOff>871545</xdr:rowOff>
    </xdr:to>
    <xdr:pic>
      <xdr:nvPicPr>
        <xdr:cNvPr id="3" name="Picture 2" descr="man4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3838" y="35726"/>
          <a:ext cx="833438" cy="8334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130970</xdr:colOff>
      <xdr:row>3</xdr:row>
      <xdr:rowOff>47624</xdr:rowOff>
    </xdr:from>
    <xdr:to>
      <xdr:col>2</xdr:col>
      <xdr:colOff>608368</xdr:colOff>
      <xdr:row>5</xdr:row>
      <xdr:rowOff>107156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6520" y="542924"/>
          <a:ext cx="477398" cy="383382"/>
        </a:xfrm>
        <a:prstGeom prst="rect">
          <a:avLst/>
        </a:prstGeom>
        <a:solidFill>
          <a:srgbClr val="FFFFFF"/>
        </a:solidFill>
        <a:ln w="12700">
          <a:solidFill>
            <a:srgbClr val="0033CC"/>
          </a:solidFill>
          <a:miter lim="800000"/>
          <a:headEnd/>
          <a:tailEnd/>
        </a:ln>
      </xdr:spPr>
    </xdr:pic>
    <xdr:clientData/>
  </xdr:twoCellAnchor>
  <xdr:twoCellAnchor editAs="oneCell">
    <xdr:from>
      <xdr:col>9</xdr:col>
      <xdr:colOff>357189</xdr:colOff>
      <xdr:row>3</xdr:row>
      <xdr:rowOff>65486</xdr:rowOff>
    </xdr:from>
    <xdr:to>
      <xdr:col>9</xdr:col>
      <xdr:colOff>790575</xdr:colOff>
      <xdr:row>5</xdr:row>
      <xdr:rowOff>119063</xdr:rowOff>
    </xdr:to>
    <xdr:pic>
      <xdr:nvPicPr>
        <xdr:cNvPr id="3" name="Picture 2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6814" y="560786"/>
          <a:ext cx="433386" cy="377427"/>
        </a:xfrm>
        <a:prstGeom prst="rect">
          <a:avLst/>
        </a:prstGeom>
        <a:noFill/>
        <a:ln>
          <a:solidFill>
            <a:srgbClr val="0033CC"/>
          </a:solidFill>
        </a:ln>
        <a:scene3d>
          <a:camera prst="orthographicFront">
            <a:rot lat="300000" lon="0" rev="0"/>
          </a:camera>
          <a:lightRig rig="threePt" dir="t"/>
        </a:scene3d>
      </xdr:spPr>
    </xdr:pic>
    <xdr:clientData/>
  </xdr:twoCellAnchor>
</xdr:wsDr>
</file>

<file path=xl/tables/table1.xml><?xml version="1.0" encoding="utf-8"?>
<table xmlns="http://schemas.openxmlformats.org/spreadsheetml/2006/main" id="5" name="Table5" displayName="Table5" ref="A1:M109" totalsRowShown="0" headerRowDxfId="275" dataDxfId="273" headerRowBorderDxfId="274" tableBorderDxfId="272" totalsRowBorderDxfId="271" headerRowCellStyle="Accent1">
  <tableColumns count="13">
    <tableColumn id="2" name="YEAR" dataDxfId="270"/>
    <tableColumn id="3" name="YEARLY INITIAL RESERVE" dataDxfId="269">
      <calculatedColumnFormula>'Annual Calculation'!CC1</calculatedColumnFormula>
    </tableColumn>
    <tableColumn id="4" name="YEARLY RESERVE" dataDxfId="268">
      <calculatedColumnFormula>'Annual Calculation'!CE1</calculatedColumnFormula>
    </tableColumn>
    <tableColumn id="5" name="INTEREST RATE" dataDxfId="267"/>
    <tableColumn id="6" name="SUM CURRENT INIT TESERVE + PREVIOUS RESERVE" dataDxfId="266">
      <calculatedColumnFormula>C1+B2</calculatedColumnFormula>
    </tableColumn>
    <tableColumn id="7" name="INTEREST PER MONTH" dataDxfId="265">
      <calculatedColumnFormula>(1+D2)^($M$2/12)</calculatedColumnFormula>
    </tableColumn>
    <tableColumn id="8" name="CALCULATED RESERVE" dataDxfId="264">
      <calculatedColumnFormula>E2*F2</calculatedColumnFormula>
    </tableColumn>
    <tableColumn id="9" name="REMAINED SUM OF INSURING COST" dataDxfId="263">
      <calculatedColumnFormula>IF(#REF!&gt;=5,0,(5-#REF!)*$K$2)</calculatedColumnFormula>
    </tableColumn>
    <tableColumn id="14" name="0" dataDxfId="262">
      <calculatedColumnFormula>IF($L$2=Table5[[#This Row],[YEAR]]-1,1,0)</calculatedColumnFormula>
    </tableColumn>
    <tableColumn id="10" name="CALCULATED SURRENDER" dataDxfId="261">
      <calculatedColumnFormula>G2-H2</calculatedColumnFormula>
    </tableColumn>
    <tableColumn id="11" name="INSURING COST PER YEAR" dataDxfId="260">
      <calculatedColumnFormula>INSURING_COST</calculatedColumnFormula>
    </tableColumn>
    <tableColumn id="12" name="CALCULATED YEAR" dataDxfId="259"/>
    <tableColumn id="13" name="CALCULATED MONTH" dataDxfId="25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B1:CF107" totalsRowShown="0" headerRowDxfId="244" tableBorderDxfId="243">
  <autoFilter ref="B1:CF107">
    <filterColumn colId="0" hiddenButton="1"/>
    <filterColumn colId="1" hiddenButton="1"/>
    <filterColumn colId="4" hiddenButton="1"/>
    <filterColumn colId="5" hiddenButton="1"/>
    <filterColumn colId="6" hiddenButton="1"/>
    <filterColumn colId="10" hiddenButton="1"/>
    <filterColumn colId="14" hiddenButton="1"/>
    <filterColumn colId="15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8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1" hiddenButton="1"/>
    <filterColumn colId="82" hiddenButton="1"/>
  </autoFilter>
  <tableColumns count="83">
    <tableColumn id="1" name="Year" dataDxfId="242">
      <calculatedColumnFormula>IF(B1=0,0,IF(db!$E$5&lt;B1+1,0,B1+1))</calculatedColumnFormula>
    </tableColumn>
    <tableColumn id="2" name="Age" dataDxfId="241">
      <calculatedColumnFormula>IF(B2=0,0,(C1+1))</calculatedColumnFormula>
    </tableColumn>
    <tableColumn id="77" name="Column6" dataDxfId="240">
      <calculatedColumnFormula>IF(B2=0,0,db!E2)</calculatedColumnFormula>
    </tableColumn>
    <tableColumn id="70" name="Medical_x000a_Age" dataDxfId="239">
      <calculatedColumnFormula>IF(Table1[[#This Row],[Year]]=0,0,LOOKUP(Table1[[#This Row],[Age]],RiskLoading!A$3:A$109,RiskLoading!DG$3:DG$109))</calculatedColumnFormula>
    </tableColumn>
    <tableColumn id="3" name="V'ger Premium Projection Values" dataDxfId="238" dataCellStyle="Comma">
      <calculatedColumnFormula>ROUND(L2,-3)</calculatedColumnFormula>
    </tableColumn>
    <tableColumn id="4" name="Iran Ins Premium Projection Values" dataDxfId="237" dataCellStyle="Comma">
      <calculatedColumnFormula>ROUND(L2,-3)</calculatedColumnFormula>
    </tableColumn>
    <tableColumn id="5" name="Premium  Rate With TAX" dataDxfId="236" dataCellStyle="Comma">
      <calculatedColumnFormula xml:space="preserve"> ROUND(L2 * (1 + SumOfTAX),-3)</calculatedColumnFormula>
    </tableColumn>
    <tableColumn id="80" name="Adjustment Factor of Death Capital" dataDxfId="235" dataCellStyle="Comma">
      <calculatedColumnFormula>IF(B2&gt;0,IF(AND(Table1[[#This Row],[Year]]&gt;ValidityYear,Change="Yes",ChangeType="Change Value Adjustment"),Changes!$G$22,'Application Annually'!C11),0)</calculatedColumnFormula>
    </tableColumn>
    <tableColumn id="79" name="Adjustment Factor of Premium" dataDxfId="234" dataCellStyle="Comma">
      <calculatedColumnFormula>IF(B2&gt;0,IF(AND(Table1[[#This Row],[Year]]&gt;Changes!ValidityYear,Changes!Change="Yes",Changes!ChangeType="Change Value Adjustment"),Changes!$G$24,'Application Annually'!$C$7),0)</calculatedColumnFormula>
    </tableColumn>
    <tableColumn id="81" name="Premium Before Change Adj. BT" dataDxfId="233" dataCellStyle="Comma"/>
    <tableColumn id="6" name="Premium" dataDxfId="232" dataCellStyle="Comma">
      <calculatedColumnFormula>ROUND(IF(B2=0,0,(L1*(1+db!$B$3))),0)</calculatedColumnFormula>
    </tableColumn>
    <tableColumn id="78" name="Production Amount" dataDxfId="231" dataCellStyle="Comma">
      <calculatedColumnFormula>IF(Table1[[#This Row],[Year]]=1,ROUND(MIN($L$2 -( Table1[[#This Row],[Riders Risk Premiums]] + Table1[[#This Row],[Acquisition Cost]]) *0.75,Table1[[#This Row],[Death Capital (1)]]* 0.03),0),0)</calculatedColumnFormula>
    </tableColumn>
    <tableColumn id="76" name="Production Amount For Portfolio" dataDxfId="230" dataCellStyle="Comma">
      <calculatedColumnFormula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calculatedColumnFormula>
    </tableColumn>
    <tableColumn id="73" name="Premium Static" dataDxfId="229" dataCellStyle="Comma">
      <calculatedColumnFormula>IF(B2=0,0,db!E3)</calculatedColumnFormula>
    </tableColumn>
    <tableColumn id="7" name="Collective Premium" dataDxfId="228" dataCellStyle="Comma">
      <calculatedColumnFormula>IF(Table1[Year] = 0, 0, SUM(L$2:L2))</calculatedColumnFormula>
    </tableColumn>
    <tableColumn id="8" name="Iran Insurance &amp; V'ger Death Benefit Projection Values" dataDxfId="227">
      <calculatedColumnFormula>ROUND(T2,-3)</calculatedColumnFormula>
    </tableColumn>
    <tableColumn id="72" name="Max Sum Insured For Death" dataDxfId="226">
      <calculatedColumnFormula>IF(Table1[[#This Row],[Year]]=0,0,IF($C$2&lt;=50,LOOKUP(Table1[[#This Row],[Age]],db!BG3:BG109,db!BH3:BH109),LOOKUP(Table1[[#This Row],[Age]],db!BJ3:BJ109,db!BK3:BK109)))</calculatedColumnFormula>
    </tableColumn>
    <tableColumn id="9" name="Death Capital (1)" dataDxfId="225">
      <calculatedColumnFormula>MIN(IF(B2=0,0,db!$E$4*((1+db!$B$4)^(B2-1))),Table1[[#This Row],[Max Sum Insured For Death]])</calculatedColumnFormula>
    </tableColumn>
    <tableColumn id="10" name="Death Capital (2)" dataDxfId="224">
      <calculatedColumnFormula>MIN(IF(B2=0,0,Table1[[#This Row],[Death Capital (1)]]),Table1[[#This Row],[Max Sum Insured For Death]])</calculatedColumnFormula>
    </tableColumn>
    <tableColumn id="11" name="Iran Insurance &amp; V'ger Accident Death Benefit Projection Values" dataDxfId="223" dataCellStyle="Comma">
      <calculatedColumnFormula>ROUND(V2,-3)</calculatedColumnFormula>
    </tableColumn>
    <tableColumn id="12" name="Accident Capital (1)" dataDxfId="222" dataCellStyle="Comma">
      <calculatedColumnFormula>IF(B2=0,0,IF(db!$D$6="Yes",(db!$B$6)*T2,0))</calculatedColumnFormula>
    </tableColumn>
    <tableColumn id="13" name="Accident Capital (2)" dataDxfId="221" dataCellStyle="Comma">
      <calculatedColumnFormula>MIN(IF(V2&lt;=db!$L$2,V2,db!$L$2),MAX_ACC_CAPITAL)</calculatedColumnFormula>
    </tableColumn>
    <tableColumn id="14" name="Accident Disabililty Capital (1)" dataDxfId="220">
      <calculatedColumnFormula>IF(OR(B2=0,Table1[[#This Row],[Accident Capital (2)]]=0),0,IF(db!$D$7="Yes",(db!$B$7)*T2,0))</calculatedColumnFormula>
    </tableColumn>
    <tableColumn id="15" name="Accident Disabililty Capital (2)" dataDxfId="219">
      <calculatedColumnFormula>IF(C2&gt;69,0,IF(C2=0,0,IF(X2&lt;=db!$L$3,X2,db!$L$3)))</calculatedColumnFormula>
    </tableColumn>
    <tableColumn id="16" name="Accident Medical Cost (1)" dataDxfId="218" dataCellStyle="Comma">
      <calculatedColumnFormula>IF(OR(B2=0,Table1[[#This Row],[Accident Capital (2)]]=0),0,IF(db!$D$9="Yes",(db!$B$9)*T2,0))</calculatedColumnFormula>
    </tableColumn>
    <tableColumn id="17" name="Accident Medical Cost (2)" dataDxfId="217" dataCellStyle="Comma">
      <calculatedColumnFormula>ROUND(IF(C2&gt;69,0,IF(C2=0,0,IF(Z2&lt;=db!$L$4,Z2,db!$L$4))),0)</calculatedColumnFormula>
    </tableColumn>
    <tableColumn id="18" name="WOP" dataDxfId="216">
      <calculatedColumnFormula>IF(AND(db!$D$8="Yes",C2&lt;=69,ROW()-1&lt;=InsurancePeriod),1,IF(AND(Changes!Change = "Yes", Changes!ChangeType = "Rider Inclusion/Exclusion", Changes!RiderType = "WOP", Changes!ValidityYear &lt;= Table1[[#This Row],[Year]]),1,0))</calculatedColumnFormula>
    </tableColumn>
    <tableColumn id="82" name="WOP Before Adj. BT" dataDxfId="215">
      <calculatedColumnFormula>(AC3+K3)*AB2*((1)/(1+db!AA4))*(LOOKUP(C2,'Mortality Table'!$A$2:$A$108,'Mortality Table'!$E$2:$E$108))</calculatedColumnFormula>
    </tableColumn>
    <tableColumn id="19" name="WOP Capital" dataDxfId="214" dataCellStyle="40% - Accent5">
      <calculatedColumnFormula>(AD3+L3)*AB2*((1)/(1+db!AA4))*(LOOKUP(C2,'Mortality Table'!$A$2:$A$108,'Mortality Table'!$E$2:$E$108))</calculatedColumnFormula>
    </tableColumn>
    <tableColumn id="71" name="WOP without change" dataDxfId="213" dataCellStyle="20% - Accent6">
      <calculatedColumnFormula>IF(AND(Changes!Change="Yes", Changes!ChangeType="Change Value Adjustment"),Table1[[#This Row],[WOP Capital]],(AE3+O3)*AB2*((1)/(1+db!AA4))*(LOOKUP(D2,'Mortality Table'!$A$2:$A$108,'Mortality Table'!$E$2:$E$108)))</calculatedColumnFormula>
    </tableColumn>
    <tableColumn id="74" name="Final WOP" dataDxfId="212" dataCellStyle="40% - Accent5">
      <calculatedColumnFormula>IF(AND(Changes!Change="Yes",Changes!ValidityYear&lt;=Table1[[#This Row],[Year]],Changes!ChangeType="Paid-Up"),0,IF(AND(Changes!Change="Yes", Changes!ValidityYear&lt;=ROW()-1),Table1[[#This Row],[WOP Capital]],Table1[[#This Row],[WOP without change]]))</calculatedColumnFormula>
    </tableColumn>
    <tableColumn id="75" name="Code Annuity Capital" dataDxfId="211">
      <calculatedColumnFormula>IF(AND(Changes!Change="Yes", Changes!ValidityYear&lt;=Table1[[#This Row],[Year]], Changes!ChangeType="Rider Inclusion/Exclusion", Changes!RiderType="Disability Annuity"), L2*Changes!NewChangedValue,L2*db!B$10*IF(db!$D$10="Yes",1,0))</calculatedColumnFormula>
    </tableColumn>
    <tableColumn id="20" name="Disability Annuity Capital" dataDxfId="210" dataCellStyle="Comma">
      <calculatedColumnFormula>IF(AND(Changes!Change="Yes",Changes!ValidityYear&lt;=Table1[[#This Row],[Year]],Changes!ChangeType="Paid-Up"),0,Table1[[#This Row],[Code Annuity Capital]]*IF('Annual Calculation'!C2&gt;69,0,(LOOKUP('Annual Calculation'!C2+1,'Mortality Table'!$A$2:$A$108,'Mortality Table'!$O$2:$O$108)-LOOKUP('Annual Calculation'!C2+11,'Mortality Table'!$A$2:$A$108,'Mortality Table'!$O$2:$O$108))/LOOKUP('Annual Calculation'!C2,'Mortality Table'!$A$2:$A$108,'Mortality Table'!$M$2:$M$108)))</calculatedColumnFormula>
    </tableColumn>
    <tableColumn id="21" name="Dread Disease Capital (1)" dataDxfId="209">
      <calculatedColumnFormula>IF(B2=0,0,IF(db!$D$11="Yes",(db!$B$11)*T2,0))</calculatedColumnFormula>
    </tableColumn>
    <tableColumn id="22" name="Dread disease Capital  (2)" dataDxfId="208">
      <calculatedColumnFormula>ROUND(IF(C2&gt;59,0,IF(C2=0,0,IF(AI2&lt;=db!$L$5,AI2,db!$L$5))),0)</calculatedColumnFormula>
    </tableColumn>
    <tableColumn id="23" name="Cancer Capital (1)" dataDxfId="207" dataCellStyle="Comma">
      <calculatedColumnFormula>IF(B2=0,0,IF(db!$D$12="Yes",(db!$B$12)*T2,0))</calculatedColumnFormula>
    </tableColumn>
    <tableColumn id="24" name="Cancer Capital (2)" dataDxfId="206" dataCellStyle="Comma">
      <calculatedColumnFormula>ROUND(IF(C2&gt;59,0,IF(C2=0,0,IF(AK2&lt;=db!$L$6,AK2,db!$L$6))),0)</calculatedColumnFormula>
    </tableColumn>
    <tableColumn id="25" name="Column1" dataDxfId="205"/>
    <tableColumn id="26" name="Death Peril Rate" dataDxfId="204">
      <calculatedColumnFormula>IF(B2=0,0,IF(C2&lt;(db!$E$2+5),LOOKUP(C2,'Mortality Table'!$A$2:$A$108,'Mortality Table'!$P$2:$P$108),IF((C2&gt;=db!$E$2+10),LOOKUP(C2,'Mortality Table'!$A$2:$A$108,'Mortality Table'!$R$2:$R$108),LOOKUP(C2,'Mortality Table'!$A$2:$A$108,'Mortality Table'!$Q$2:$Q$108))))</calculatedColumnFormula>
    </tableColumn>
    <tableColumn id="27" name="Death Peril Premium" dataDxfId="203">
      <calculatedColumnFormula>ROUND(AN2*T2,0)</calculatedColumnFormula>
    </tableColumn>
    <tableColumn id="28" name="Accident Death Rate" dataDxfId="202">
      <calculatedColumnFormula>IF(B2=0,0,LOOKUP(db!$A$8,db!$AX$4:$AX$8,db!$AY$4:$AY$8))</calculatedColumnFormula>
    </tableColumn>
    <tableColumn id="29" name="Accident Death Risk Premium" dataDxfId="201">
      <calculatedColumnFormula>ROUND((AP2/1000)*W2 * (1-db!$AS$9),0)</calculatedColumnFormula>
    </tableColumn>
    <tableColumn id="30" name="Accident Death Acquisition Cost" dataDxfId="200">
      <calculatedColumnFormula>(AP2/1000)*W2 * db!$AS$9</calculatedColumnFormula>
    </tableColumn>
    <tableColumn id="31" name="Accident Disability Rate" dataDxfId="199">
      <calculatedColumnFormula>IF(B2=0,0,LOOKUP(db!$A$8,db!$AX$4:$AX$8,db!$AZ$4:$AZ$8))</calculatedColumnFormula>
    </tableColumn>
    <tableColumn id="32" name="Accident Disability Risk Premium" dataDxfId="198">
      <calculatedColumnFormula>(AS2/1000)*Y2*(1-db!$AS$9)</calculatedColumnFormula>
    </tableColumn>
    <tableColumn id="33" name="Accident Disability Acquisition Cost" dataDxfId="197">
      <calculatedColumnFormula>(AS2/1000)*Y2*(db!$AS$9)</calculatedColumnFormula>
    </tableColumn>
    <tableColumn id="34" name="Accident Medical Cost rate" dataDxfId="196">
      <calculatedColumnFormula>IF(B2=0,0,LOOKUP(db!$A$8,db!$AX$4:$AX$8,db!$BA$4:$BA$8))</calculatedColumnFormula>
    </tableColumn>
    <tableColumn id="35" name="Accident Medical Cost Risk Premium" dataDxfId="195">
      <calculatedColumnFormula>ROUND((AV2/(100))*AA2*(1-db!$AS$9),0)</calculatedColumnFormula>
    </tableColumn>
    <tableColumn id="36" name="Accident Medical Cost Acquisition Cost" dataDxfId="194">
      <calculatedColumnFormula>ROUND((AV2/(100))*AA2*(db!$AS$9),0)</calculatedColumnFormula>
    </tableColumn>
    <tableColumn id="37" name="WOP rate" dataDxfId="193">
      <calculatedColumnFormula>IF(db!$D$8="Yes",AS2,0)</calculatedColumnFormula>
    </tableColumn>
    <tableColumn id="38" name="WOP Risk Premium" dataDxfId="192">
      <calculatedColumnFormula>(AY2*AF2)/1000*(1-db!$AS$9)</calculatedColumnFormula>
    </tableColumn>
    <tableColumn id="39" name="WOP Acquisition Cost" dataDxfId="191">
      <calculatedColumnFormula>(AY2*AF2)/1000*(db!$AS$9)</calculatedColumnFormula>
    </tableColumn>
    <tableColumn id="40" name="Disability Annuity Rate" dataDxfId="190">
      <calculatedColumnFormula>AS2</calculatedColumnFormula>
    </tableColumn>
    <tableColumn id="41" name="Disability Annuity Risk Premium" dataDxfId="189">
      <calculatedColumnFormula>(BB2*AH2/1000)*(1-db!$AS$9)</calculatedColumnFormula>
    </tableColumn>
    <tableColumn id="42" name="Disability Annuity Acquisition Cost" dataDxfId="188">
      <calculatedColumnFormula>(BB2*AH2/1000)*(db!$AS$9)</calculatedColumnFormula>
    </tableColumn>
    <tableColumn id="43" name="Dread Disease Rate" dataDxfId="187">
      <calculatedColumnFormula>IF(B2=0,0,IF(C2&gt;60,0,LOOKUP(Table1[[#This Row],[Medical
Age]],db!$BC$3:$BC$63,db!$BD$3:$BD$63)))</calculatedColumnFormula>
    </tableColumn>
    <tableColumn id="44" name="Dread Disease Acquisition Cost" dataDxfId="186">
      <calculatedColumnFormula>BG2*db!$AS$10</calculatedColumnFormula>
    </tableColumn>
    <tableColumn id="45" name="Base Dread Disease Risk Premium" dataDxfId="185">
      <calculatedColumnFormula>(BE2/1000000)*AJ2</calculatedColumnFormula>
    </tableColumn>
    <tableColumn id="46" name="Dread Disease Risk Premium" dataDxfId="184">
      <calculatedColumnFormula>(BE2/1000000)*AJ2*(1-db!$AS$10)</calculatedColumnFormula>
    </tableColumn>
    <tableColumn id="47" name="Cancer Rate" dataDxfId="183">
      <calculatedColumnFormula>IF(B2=0,0,IF(C2&gt;59,0,LOOKUP(Table1[[#This Row],[Medical
Age]],db!$BC$3:$BC$63,db!$BE$3:$BE$63)))</calculatedColumnFormula>
    </tableColumn>
    <tableColumn id="48" name="Cancer Risk Premium" dataDxfId="182">
      <calculatedColumnFormula>(BI2/1000000)*AL2*(1-db!$AS$11)</calculatedColumnFormula>
    </tableColumn>
    <tableColumn id="49" name="Cancer Acquisition Cost" dataDxfId="181">
      <calculatedColumnFormula>(BI2/1000000)*AL2*(db!$AS$11)</calculatedColumnFormula>
    </tableColumn>
    <tableColumn id="50" name="RiskLoading_x000a_Rate" dataDxfId="180"/>
    <tableColumn id="51" name="RiskLoading_x000a_Risk Premium" dataDxfId="179"/>
    <tableColumn id="52" name="Column2" dataDxfId="178"/>
    <tableColumn id="53" name="Main Risk Premium" dataDxfId="177">
      <calculatedColumnFormula>AO2</calculatedColumnFormula>
    </tableColumn>
    <tableColumn id="54" name="Accident Risk Premiums" dataDxfId="176">
      <calculatedColumnFormula>(BC2+AZ2+AW2+AT2+AQ2)</calculatedColumnFormula>
    </tableColumn>
    <tableColumn id="55" name="Accident Acquisition Costs" dataDxfId="175">
      <calculatedColumnFormula>AR2+AU2+AX2+BA2+BD2</calculatedColumnFormula>
    </tableColumn>
    <tableColumn id="56" name="Health Risk Premiums" dataDxfId="174">
      <calculatedColumnFormula>(BJ2+BH2)</calculatedColumnFormula>
    </tableColumn>
    <tableColumn id="57" name="Health Acquisition Costs" dataDxfId="173">
      <calculatedColumnFormula>BF2+BK2</calculatedColumnFormula>
    </tableColumn>
    <tableColumn id="58" name="Riders Risk Premiums" dataDxfId="172">
      <calculatedColumnFormula>ROUND(BR2+BP2,0)</calculatedColumnFormula>
    </tableColumn>
    <tableColumn id="59" name="Riders Acquisition Costs" dataDxfId="171">
      <calculatedColumnFormula>ROUND(BQ2+BS2,0)</calculatedColumnFormula>
    </tableColumn>
    <tableColumn id="60" name="Administrative Cost Private" dataDxfId="170">
      <calculatedColumnFormula>(db!$AS$4/100)*(L2-BT2-BU2)</calculatedColumnFormula>
    </tableColumn>
    <tableColumn id="61" name="Acquisition Cost" dataDxfId="169">
      <calculatedColumnFormula>(db!$AS$8/100)*(L2-BT2-BU2)</calculatedColumnFormula>
    </tableColumn>
    <tableColumn id="62" name="Insuring Cost " dataDxfId="168"/>
    <tableColumn id="63" name="Sale Commission (1)" dataDxfId="167"/>
    <tableColumn id="64" name="Sale Commission (2)" dataDxfId="166"/>
    <tableColumn id="65" name="All Deductions" dataDxfId="165">
      <calculatedColumnFormula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calculatedColumnFormula>
    </tableColumn>
    <tableColumn id="66" name="Column3" dataDxfId="164"/>
    <tableColumn id="67" name="Initial Reserve" dataDxfId="163">
      <calculatedColumnFormula>ROUND((L2-CA2),0)</calculatedColumnFormula>
    </tableColumn>
    <tableColumn id="83" name="Saving" dataDxfId="162"/>
    <tableColumn id="68" name="Reserve" dataDxfId="161">
      <calculatedColumnFormula>IF(B2=0,0,((CC2)*(1+db!Y4))+((CE1)*(1+db!U4)))</calculatedColumnFormula>
    </tableColumn>
    <tableColumn id="69" name="Surrender Value" dataDxfId="160">
      <calculatedColumnFormula>ROUND(CE2,-3)</calculatedColumnFormula>
    </tableColumn>
  </tableColumns>
  <tableStyleInfo name="Table Style 1" showFirstColumn="0" showLastColumn="0" showRowStripes="1" showColumnStripes="0"/>
</table>
</file>

<file path=xl/tables/table3.xml><?xml version="1.0" encoding="utf-8"?>
<table xmlns="http://schemas.openxmlformats.org/spreadsheetml/2006/main" id="2" name="Table13" displayName="Table13" ref="B1:BV107" totalsRowShown="0" headerRowDxfId="159" tableBorderDxfId="158">
  <autoFilter ref="B1:BV107"/>
  <tableColumns count="73">
    <tableColumn id="1" name="Year" dataDxfId="157">
      <calculatedColumnFormula>IF(B1=0,0,IF(db!$E$5&lt;B1+1,0,B1+1))</calculatedColumnFormula>
    </tableColumn>
    <tableColumn id="2" name="Age" dataDxfId="156">
      <calculatedColumnFormula>IF(B2=0,0,(C1+1))</calculatedColumnFormula>
    </tableColumn>
    <tableColumn id="70" name="Medical_x000a_Age" dataDxfId="155">
      <calculatedColumnFormula>LOOKUP(Table13[[#This Row],[Age]],RiskLoading!A$3:A$109,RiskLoading!DG$3:DG$109)</calculatedColumnFormula>
    </tableColumn>
    <tableColumn id="3" name="V'ger Premium Projection Values" dataDxfId="154" dataCellStyle="Comma">
      <calculatedColumnFormula>ROUND(H2,-3)</calculatedColumnFormula>
    </tableColumn>
    <tableColumn id="4" name="Iran Ins Premium Projection Values" dataDxfId="153" dataCellStyle="Comma">
      <calculatedColumnFormula>ROUND(H2,-3)</calculatedColumnFormula>
    </tableColumn>
    <tableColumn id="5" name="Premium  Rate With TAX" dataDxfId="152" dataCellStyle="Comma">
      <calculatedColumnFormula xml:space="preserve"> ROUND(H2 * (1 + SumOfTAX),-3)</calculatedColumnFormula>
    </tableColumn>
    <tableColumn id="6" name="Premium" dataDxfId="151" dataCellStyle="Comma">
      <calculatedColumnFormula>ROUND(IF(B2=0,0,(H1*(1+db!$B$3))),0)</calculatedColumnFormula>
    </tableColumn>
    <tableColumn id="7" name="Collective Premium" dataDxfId="150" dataCellStyle="Comma">
      <calculatedColumnFormula>IF(B2=0,0,SUM($H$2:H2))</calculatedColumnFormula>
    </tableColumn>
    <tableColumn id="8" name="Iran Insurance &amp; V'ger Death Benefit Projection Values" dataDxfId="149">
      <calculatedColumnFormula>ROUND(L2,-3)</calculatedColumnFormula>
    </tableColumn>
    <tableColumn id="71" name="Max Sum Insured For Death" dataDxfId="148">
      <calculatedColumnFormula>IF(Table13[[#This Row],[Year]]=0,0,IF($C$2&lt;=50,LOOKUP(Table13[[#This Row],[Age]],db!BG3:BG109,db!BH3:BH109),LOOKUP(Table13[[#This Row],[Age]],db!BJ3:BJ109,db!BK3:BK109)))</calculatedColumnFormula>
    </tableColumn>
    <tableColumn id="9" name="Death Capital (1)" dataDxfId="147">
      <calculatedColumnFormula>MIN(IF(B2=0,0,db!$E$4*((1+db!$B$4)^(B2-1))),Table13[[#This Row],[Max Sum Insured For Death]])</calculatedColumnFormula>
    </tableColumn>
    <tableColumn id="10" name="Death Capital (2)" dataDxfId="146">
      <calculatedColumnFormula>ROUND(IF(L2&lt;=db!$L$7,L2,db!$L$7),0)</calculatedColumnFormula>
    </tableColumn>
    <tableColumn id="11" name="Iran Insurance &amp; V'ger Accident Death Benefit Projection Values" dataDxfId="145" dataCellStyle="Comma">
      <calculatedColumnFormula>ROUND(O2,-3)</calculatedColumnFormula>
    </tableColumn>
    <tableColumn id="12" name="Accident Capital (1)" dataDxfId="144" dataCellStyle="Comma">
      <calculatedColumnFormula>IF(B2=0,0,IF(db!$D$6="Yes",(db!$B$6)*M2,0))</calculatedColumnFormula>
    </tableColumn>
    <tableColumn id="13" name="Accident Capital (2)" dataDxfId="143" dataCellStyle="Comma">
      <calculatedColumnFormula>MIN(IF(O2&lt;=db!$L$2,O2,db!$L$2),MAX_ACC_CAPITAL)</calculatedColumnFormula>
    </tableColumn>
    <tableColumn id="14" name="Accident Disabililty Capital (1)" dataDxfId="142">
      <calculatedColumnFormula>IF(B2=0,0,IF(db!$D$7="Yes",(db!$B$7)*M2,0))</calculatedColumnFormula>
    </tableColumn>
    <tableColumn id="15" name="Accident Disabililty Capital (2)" dataDxfId="141">
      <calculatedColumnFormula>IF(C2&gt;69,0,IF(C2=0,0,IF(Q2&lt;=db!$L$3,Q2,db!$L$3)))</calculatedColumnFormula>
    </tableColumn>
    <tableColumn id="16" name="Accident Medical Cost (1)" dataDxfId="140" dataCellStyle="Comma">
      <calculatedColumnFormula>IF(B2=0,0,IF(db!$D$9="Yes",(db!$B$9)*M2,0))</calculatedColumnFormula>
    </tableColumn>
    <tableColumn id="17" name="Accident Medical Cost (2)" dataDxfId="139" dataCellStyle="Comma">
      <calculatedColumnFormula>ROUND(IF(C2&gt;69,0,IF(C2=0,0,IF(S2&lt;=db!$L$4,S2,db!$L$4))),0)</calculatedColumnFormula>
    </tableColumn>
    <tableColumn id="18" name="WOP" dataDxfId="138">
      <calculatedColumnFormula>IF(AND(db!$D$8="Yes",C2&lt;=69,C2&gt;0),1,0)</calculatedColumnFormula>
    </tableColumn>
    <tableColumn id="19" name="WOP Capital" dataDxfId="137">
      <calculatedColumnFormula>(V3+H3)*U2*((1)/(1+db!AA4))*(LOOKUP(C2,'Mortality Table'!$A$2:$A$108,'Mortality Table'!$E$2:$E$108))</calculatedColumnFormula>
    </tableColumn>
    <tableColumn id="20" name="Disability Annuity Capital" dataDxfId="136" dataCellStyle="Comma">
      <calculatedColumnFormula>H2*db!B$10*IF('Annual Calculation'!C2&gt;69,0,(LOOKUP('Annual Calculation'!C2+1,'Mortality Table'!$A$2:$A$108,'Mortality Table'!$O$2:$O$108)-LOOKUP('Annual Calculation'!C2+11,'Mortality Table'!$A$2:$A$108,'Mortality Table'!$O$2:$O$108))/LOOKUP('Annual Calculation'!C2,'Mortality Table'!$A$2:$A$108,'Mortality Table'!$K$2:$K$108))*IF(db!$D$10="Yes",1,0)</calculatedColumnFormula>
    </tableColumn>
    <tableColumn id="21" name="Dread Disease Capital (1)" dataDxfId="135">
      <calculatedColumnFormula>IF(B2=0,0,IF(db!$D$11="Yes",(db!$B$11)*M2,0))</calculatedColumnFormula>
    </tableColumn>
    <tableColumn id="22" name="Dread disease Capital  (2)" dataDxfId="134">
      <calculatedColumnFormula>ROUND(IF(C2&gt;59,0,IF(C2=0,0,IF(X2&lt;=db!$L$5,X2,db!$L$5))),0)</calculatedColumnFormula>
    </tableColumn>
    <tableColumn id="23" name="Cancer Capital (1)" dataDxfId="133" dataCellStyle="Comma">
      <calculatedColumnFormula>IF(B2=0,0,IF(db!$D$12="Yes",(db!$B$12)*M2,0))</calculatedColumnFormula>
    </tableColumn>
    <tableColumn id="24" name="Cancer Capital (2)" dataDxfId="132" dataCellStyle="Comma">
      <calculatedColumnFormula>ROUND(IF(C2&gt;59,0,IF(C2=0,0,IF(Z2&lt;=db!$L$6,Z2,db!$L$6))),0)</calculatedColumnFormula>
    </tableColumn>
    <tableColumn id="25" name="Column1" dataDxfId="131"/>
    <tableColumn id="26" name="Death Peril Rate" dataDxfId="130">
      <calculatedColumnFormula>IF(B2=0,0,IF(C2&lt;(db!$E$2+5),LOOKUP(C2,'Mortality Table'!$A$2:$A$108,'Mortality Table'!$P$2:$P$108),IF((C2&gt;=db!$E$2+10),LOOKUP(C2,'Mortality Table'!$A$2:$A$108,'Mortality Table'!$R$2:$R$108),LOOKUP(C2,'Mortality Table'!$A$2:$A$108,'Mortality Table'!$Q$2:$Q$108))))</calculatedColumnFormula>
    </tableColumn>
    <tableColumn id="27" name="Death Peril Premium" dataDxfId="129">
      <calculatedColumnFormula>ROUND(AC2*M2,0)</calculatedColumnFormula>
    </tableColumn>
    <tableColumn id="28" name="Accident Death Rate" dataDxfId="128">
      <calculatedColumnFormula>IF(B2=0,0,LOOKUP(db!$A$8,db!$AX$4:$AX$8,db!$AY$4:$AY$8))</calculatedColumnFormula>
    </tableColumn>
    <tableColumn id="29" name="Accident Death Risk Premium" dataDxfId="127">
      <calculatedColumnFormula>ROUND((AE2/1000)*P2 * (1-db!$AS$9),0)</calculatedColumnFormula>
    </tableColumn>
    <tableColumn id="30" name="Accident Death Acquisition Cost" dataDxfId="126">
      <calculatedColumnFormula>(AE2/1000)*P2 * db!$AS$9</calculatedColumnFormula>
    </tableColumn>
    <tableColumn id="31" name="Accident Disability Rate" dataDxfId="125">
      <calculatedColumnFormula>IF(B2=0,0,LOOKUP(db!$A$8,db!$AX$4:$AX$8,db!$AZ$4:$AZ$8))</calculatedColumnFormula>
    </tableColumn>
    <tableColumn id="32" name="Accident Disability Risk Premium" dataDxfId="124">
      <calculatedColumnFormula>(AH2/1000)*R2*(1-db!$AS$9)</calculatedColumnFormula>
    </tableColumn>
    <tableColumn id="33" name="Accident Disability Acquisition Cost" dataDxfId="123">
      <calculatedColumnFormula>(AH2/1000)*R2*(db!$AS$9)</calculatedColumnFormula>
    </tableColumn>
    <tableColumn id="34" name="Accident Medical Cost rate" dataDxfId="122">
      <calculatedColumnFormula>IF(B2=0,0,LOOKUP(db!$A$8,db!$AX$4:$AX$8,db!$BA$4:$BA$8))</calculatedColumnFormula>
    </tableColumn>
    <tableColumn id="35" name="Accident Medical Cost Risk Premium" dataDxfId="121">
      <calculatedColumnFormula>ROUND((AK2/(100))*T2*(1-db!$AS$9),0)</calculatedColumnFormula>
    </tableColumn>
    <tableColumn id="36" name="Accident Medical Cost Acquisition Cost" dataDxfId="120">
      <calculatedColumnFormula>ROUND((AK2/(100))*T2*(db!$AS$9),0)</calculatedColumnFormula>
    </tableColumn>
    <tableColumn id="37" name="WOP rate" dataDxfId="119">
      <calculatedColumnFormula>IF(db!$D$8="Yes",AH2,0)</calculatedColumnFormula>
    </tableColumn>
    <tableColumn id="38" name="WOP Risk Premium" dataDxfId="118">
      <calculatedColumnFormula>(AN2*V2)/1000*(1-db!$AS$9)</calculatedColumnFormula>
    </tableColumn>
    <tableColumn id="39" name="WOP Acquisition Cost" dataDxfId="117">
      <calculatedColumnFormula>(AN2*V2)/1000*(db!$AS$9)</calculatedColumnFormula>
    </tableColumn>
    <tableColumn id="40" name="Disability Annuity Rate" dataDxfId="116">
      <calculatedColumnFormula>IF(db!$D$10="Yes",AH2,0)</calculatedColumnFormula>
    </tableColumn>
    <tableColumn id="41" name="Disability Annuity Risk Premium" dataDxfId="115">
      <calculatedColumnFormula>(AQ2*W2/1000)*(1-db!$AS$9)</calculatedColumnFormula>
    </tableColumn>
    <tableColumn id="42" name="Disability Annuity Acquisition Cost" dataDxfId="114">
      <calculatedColumnFormula>(AQ2*W2/1000)*(db!$AS$9)</calculatedColumnFormula>
    </tableColumn>
    <tableColumn id="43" name="Dread Disease Rate" dataDxfId="113">
      <calculatedColumnFormula>IF(B2=0,0,IF(C2&gt;60,0,LOOKUP(LOOKUP(C2,RiskLoading!A$3:A$109,RiskLoading!DG$3:DG$109),db!$BC$3:$BC$63,db!$BD$3:$BD$63)))</calculatedColumnFormula>
    </tableColumn>
    <tableColumn id="44" name="Dread Disease Acquisition Cost" dataDxfId="112">
      <calculatedColumnFormula>AV2*db!$AS$10</calculatedColumnFormula>
    </tableColumn>
    <tableColumn id="45" name="Base Dread Disease Risk Premium" dataDxfId="111">
      <calculatedColumnFormula>(AT2/1000000)*Y2</calculatedColumnFormula>
    </tableColumn>
    <tableColumn id="46" name="Dread Disease Risk Premium" dataDxfId="110">
      <calculatedColumnFormula>(AT2/1000000)*Y2*(1-db!$AS$10)</calculatedColumnFormula>
    </tableColumn>
    <tableColumn id="47" name="Cancer Rate" dataDxfId="109">
      <calculatedColumnFormula>IF(B2=0,0,IF(C2&gt;60,0,LOOKUP(LOOKUP(C2,RiskLoading!A$3:A$109,RiskLoading!DG$3:DG$109),db!$BC$3:$BC$63,db!$BE$3:$BE$63)))</calculatedColumnFormula>
    </tableColumn>
    <tableColumn id="48" name="Cancer Risk Premium" dataDxfId="108">
      <calculatedColumnFormula>(AX2/1000000)*AA2*(1-db!$AS$11)</calculatedColumnFormula>
    </tableColumn>
    <tableColumn id="49" name="Cancer Acquisition Cost" dataDxfId="107">
      <calculatedColumnFormula>(AX2/1000000)*AA2*(db!$AS$11)</calculatedColumnFormula>
    </tableColumn>
    <tableColumn id="50" name="RiskLoading_x000a_Rate" dataDxfId="106"/>
    <tableColumn id="51" name="RiskLoading_x000a_Risk Premium" dataDxfId="105">
      <calculatedColumnFormula>Table13[[#This Row],[RiskLoading
Rate]]*Table13[[#This Row],[Death Capital (2)]]</calculatedColumnFormula>
    </tableColumn>
    <tableColumn id="52" name="Column2" dataDxfId="104"/>
    <tableColumn id="53" name="Main Risk Premium" dataDxfId="103">
      <calculatedColumnFormula>AD2</calculatedColumnFormula>
    </tableColumn>
    <tableColumn id="54" name="Accident Risk Premiums" dataDxfId="102">
      <calculatedColumnFormula>(AR2+AO2+AL2+AI2+AF2)</calculatedColumnFormula>
    </tableColumn>
    <tableColumn id="55" name="Accident Acquisition Costs" dataDxfId="101">
      <calculatedColumnFormula>AG2+AJ2+AM2+AP2+AS2</calculatedColumnFormula>
    </tableColumn>
    <tableColumn id="56" name="Health Risk Premiums" dataDxfId="100">
      <calculatedColumnFormula>(AY2+AW2)</calculatedColumnFormula>
    </tableColumn>
    <tableColumn id="57" name="Health Acquisition Costs" dataDxfId="99">
      <calculatedColumnFormula>AU2+AZ2</calculatedColumnFormula>
    </tableColumn>
    <tableColumn id="58" name="Riders Risk Premiums" dataDxfId="98">
      <calculatedColumnFormula>ROUND(BG2+BE2,0)</calculatedColumnFormula>
    </tableColumn>
    <tableColumn id="59" name="Riders Acquisition Costs" dataDxfId="97">
      <calculatedColumnFormula>ROUND(BF2+BH2,0)</calculatedColumnFormula>
    </tableColumn>
    <tableColumn id="60" name="Administrative Cost Private" dataDxfId="96">
      <calculatedColumnFormula>(db!$AS$4/100)*(H2-BI2-BJ2)</calculatedColumnFormula>
    </tableColumn>
    <tableColumn id="61" name="Acquisition Cost" dataDxfId="95">
      <calculatedColumnFormula>(db!$AS$8/100)*(H2-BI2-BJ2)</calculatedColumnFormula>
    </tableColumn>
    <tableColumn id="62" name="Insuring Cost " dataDxfId="94"/>
    <tableColumn id="63" name="Sale Commission (1)" dataDxfId="93">
      <calculatedColumnFormula>$H$2*db!$AS$17/100</calculatedColumnFormula>
    </tableColumn>
    <tableColumn id="64" name="Sale Commission (2)" dataDxfId="92"/>
    <tableColumn id="65" name="All Deductions" dataDxfId="91">
      <calculatedColumnFormula>ROUND(Table13[[#This Row],[RiskLoading
Risk Premium]]+Table13[[#This Row],[Sale Commission (2)]]+Table13[[#This Row],[Acquisition Cost]]+Table13[[#This Row],[Riders Risk Premiums]]+Table13[[#This Row],[Riders Acquisition Costs]]+Table13[[#This Row],[Main Risk Premium]],0)</calculatedColumnFormula>
    </tableColumn>
    <tableColumn id="66" name="Column3" dataDxfId="90"/>
    <tableColumn id="67" name="All Addition and Deductions" dataDxfId="89">
      <calculatedColumnFormula>Table13[[#This Row],[Initial Reserve]]-Table13[[#This Row],[All Deductions]]</calculatedColumnFormula>
    </tableColumn>
    <tableColumn id="85" name="Initial Reserve" dataDxfId="88">
      <calculatedColumnFormula>Table13[Premium]-Table13[[#This Row],[Administrative Cost Private]]</calculatedColumnFormula>
    </tableColumn>
    <tableColumn id="72" name="Saving" dataDxfId="87"/>
    <tableColumn id="68" name="Reserve" dataDxfId="86">
      <calculatedColumnFormula>IF(B2=0,0,((BR2)*(1+db!Y4))+((BU1)*(1+db!U4)))</calculatedColumnFormula>
    </tableColumn>
    <tableColumn id="69" name="Surrender Value" dataDxfId="85">
      <calculatedColumnFormula>ROUND(BU2,-3)</calculatedColumnFormula>
    </tableColumn>
  </tableColumns>
  <tableStyleInfo name="Table Style 1" showFirstColumn="0" showLastColumn="0" showRowStripes="1" showColumnStripes="0"/>
</table>
</file>

<file path=xl/tables/table4.xml><?xml version="1.0" encoding="utf-8"?>
<table xmlns="http://schemas.openxmlformats.org/spreadsheetml/2006/main" id="3" name="Table14" displayName="Table14" ref="B1:CF107" totalsRowShown="0" headerRowDxfId="84" tableBorderDxfId="83">
  <autoFilter ref="B1:CF107">
    <filterColumn colId="0" hiddenButton="1"/>
    <filterColumn colId="1" hiddenButton="1"/>
    <filterColumn colId="4" hiddenButton="1"/>
    <filterColumn colId="5" hiddenButton="1"/>
    <filterColumn colId="6" hiddenButton="1"/>
    <filterColumn colId="10" hiddenButton="1"/>
    <filterColumn colId="14" hiddenButton="1"/>
    <filterColumn colId="15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8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1" hiddenButton="1"/>
    <filterColumn colId="82" hiddenButton="1"/>
  </autoFilter>
  <tableColumns count="83">
    <tableColumn id="1" name="Year" dataDxfId="82">
      <calculatedColumnFormula>IF(B1=0,0,IF(db!$E$5&lt;B1+1,0,B1+1))</calculatedColumnFormula>
    </tableColumn>
    <tableColumn id="2" name="Age" dataDxfId="81">
      <calculatedColumnFormula>IF(B2=0,0,(C1+1))</calculatedColumnFormula>
    </tableColumn>
    <tableColumn id="77" name="Column6" dataDxfId="80">
      <calculatedColumnFormula>IF(B2=0,0,db!E2)</calculatedColumnFormula>
    </tableColumn>
    <tableColumn id="70" name="Medical_x000a_Age" dataDxfId="79">
      <calculatedColumnFormula>IF(Table14[[#This Row],[Year]]=0,0,LOOKUP(Table14[[#This Row],[Age]],RiskLoading!A$3:A$109,RiskLoading!DG$3:DG$109))</calculatedColumnFormula>
    </tableColumn>
    <tableColumn id="3" name="V'ger Premium Projection Values" dataDxfId="78" dataCellStyle="Comma">
      <calculatedColumnFormula>ROUND(L2,-3)</calculatedColumnFormula>
    </tableColumn>
    <tableColumn id="4" name="Iran Ins Premium Projection Values" dataDxfId="77" dataCellStyle="Comma">
      <calculatedColumnFormula>ROUND(L2,-3)</calculatedColumnFormula>
    </tableColumn>
    <tableColumn id="5" name="Premium  Rate With TAX" dataDxfId="76" dataCellStyle="Comma">
      <calculatedColumnFormula xml:space="preserve"> ROUND(L2 * (1 + SumOfTAX),-3)</calculatedColumnFormula>
    </tableColumn>
    <tableColumn id="80" name="Adjustment Factor of Death Capital" dataDxfId="75" dataCellStyle="Comma">
      <calculatedColumnFormula>IF(B2&gt;0,IF(AND(Table14[[#This Row],[Year]]&gt;Changes!ValidityYear,Changes!Change="Yes",Changes!ChangeType="Change Value Adjustment"),Changes!$G$22,'Application Annually'!$C$11),0)</calculatedColumnFormula>
    </tableColumn>
    <tableColumn id="79" name="Adjustment Factor of Premium" dataDxfId="74" dataCellStyle="Comma">
      <calculatedColumnFormula>IF(B2&gt;0,IF(AND(Table14[[#This Row],[Year]]&gt;Changes!ValidityYear,Changes!Change="Yes",Changes!ChangeType="Change Value Adjustment"),Changes!$G$24,'Application Annually'!$C$7),0)</calculatedColumnFormula>
    </tableColumn>
    <tableColumn id="81" name="Premium Before Change Adj. BT" dataDxfId="73" dataCellStyle="Comma"/>
    <tableColumn id="6" name="Premium" dataDxfId="72" dataCellStyle="Comma">
      <calculatedColumnFormula>ROUND(IF(B2=0,0,(L1*(1+db!$B$3))),0)</calculatedColumnFormula>
    </tableColumn>
    <tableColumn id="78" name="Production Amount" dataDxfId="71" dataCellStyle="Comma">
      <calculatedColumnFormula>IF(Table14[[#This Row],[Year]]=1,ROUND(MIN($L$2 -( Table14[[#This Row],[Riders Risk Premiums]] + Table14[[#This Row],[Acquisition Cost]]) *0.75,Table14[[#This Row],[Death Capital (1)]]* 0.03),0),0)</calculatedColumnFormula>
    </tableColumn>
    <tableColumn id="76" name="Production Amount For Portfolio" dataDxfId="70" dataCellStyle="Comma">
      <calculatedColumnFormula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calculatedColumnFormula>
    </tableColumn>
    <tableColumn id="73" name="Premium Static" dataDxfId="69" dataCellStyle="Comma">
      <calculatedColumnFormula>IF(B2=0,0,db!E3)</calculatedColumnFormula>
    </tableColumn>
    <tableColumn id="7" name="Collective Premium" dataDxfId="68" dataCellStyle="Comma">
      <calculatedColumnFormula>IF(Table14[Year] = 0, 0, SUM(L$2:L2))</calculatedColumnFormula>
    </tableColumn>
    <tableColumn id="8" name="Iran Insurance &amp; V'ger Death Benefit Projection Values" dataDxfId="67">
      <calculatedColumnFormula>ROUND(T2,-3)</calculatedColumnFormula>
    </tableColumn>
    <tableColumn id="72" name="Max Sum Insured For Death" dataDxfId="66">
      <calculatedColumnFormula>IF(Table14[[#This Row],[Year]]=0,0,IF($C$2&lt;=50,LOOKUP(Table14[[#This Row],[Age]],db!BG3:BG109,db!BH3:BH109),LOOKUP(Table14[[#This Row],[Age]],db!BJ3:BJ109,db!BK3:BK109)))</calculatedColumnFormula>
    </tableColumn>
    <tableColumn id="9" name="Death Capital (1)" dataDxfId="65">
      <calculatedColumnFormula>MIN(IF(B2=0,0,db!$E$4*((1+db!$B$4)^(B2-1))),Table14[[#This Row],[Max Sum Insured For Death]])</calculatedColumnFormula>
    </tableColumn>
    <tableColumn id="10" name="Death Capital (2)" dataDxfId="64">
      <calculatedColumnFormula>MIN(IF(B2=0,0,Table14[[#This Row],[Death Capital (1)]]),Table14[[#This Row],[Max Sum Insured For Death]])</calculatedColumnFormula>
    </tableColumn>
    <tableColumn id="11" name="Iran Insurance &amp; V'ger Accident Death Benefit Projection Values" dataDxfId="63" dataCellStyle="Comma">
      <calculatedColumnFormula>ROUND(V2,-3)</calculatedColumnFormula>
    </tableColumn>
    <tableColumn id="12" name="Accident Capital (1)" dataDxfId="62" dataCellStyle="Comma">
      <calculatedColumnFormula>IF(B2=0,0,IF(db!$D$6="Yes",(db!$B$6)*T2,0))</calculatedColumnFormula>
    </tableColumn>
    <tableColumn id="13" name="Accident Capital (2)" dataDxfId="61" dataCellStyle="Comma">
      <calculatedColumnFormula>MIN(IF(V2&lt;=db!$L$2,V2,db!$L$2),MAX_ACC_CAPITAL)</calculatedColumnFormula>
    </tableColumn>
    <tableColumn id="14" name="Accident Disabililty Capital (1)" dataDxfId="60">
      <calculatedColumnFormula>IF(OR(B2=0,Table14[[#This Row],[Accident Capital (2)]]=0),0,IF(db!$D$7="Yes",(db!$B$7)*T2,0))</calculatedColumnFormula>
    </tableColumn>
    <tableColumn id="15" name="Accident Disabililty Capital (2)" dataDxfId="59">
      <calculatedColumnFormula>IF(C2&gt;69,0,IF(C2=0,0,IF(X2&lt;=db!$L$3,X2,db!$L$3)))</calculatedColumnFormula>
    </tableColumn>
    <tableColumn id="16" name="Accident Medical Cost (1)" dataDxfId="58" dataCellStyle="Comma">
      <calculatedColumnFormula>IF(OR(B2=0,Table14[[#This Row],[Accident Capital (2)]]=0),0,IF(db!$D$9="Yes",(db!$B$9)*T2,0))</calculatedColumnFormula>
    </tableColumn>
    <tableColumn id="17" name="Accident Medical Cost (2)" dataDxfId="57" dataCellStyle="Comma">
      <calculatedColumnFormula>ROUND(IF(C2&gt;69,0,IF(C2=0,0,IF(Z2&lt;=db!$L$4,Z2,db!$L$4))),0)</calculatedColumnFormula>
    </tableColumn>
    <tableColumn id="18" name="WOP" dataDxfId="56">
      <calculatedColumnFormula>IF(AND(db!$D$8="Yes",C2&lt;=69,ROW()-1&lt;=InsurancePeriod),1,IF(AND(Changes!Change = "Yes", Changes!ChangeType = "Rider Inclusion/Exclusion", Changes!RiderType = "WOP", Changes!ValidityYear &lt;= Table14[[#This Row],[Year]]),1,0))</calculatedColumnFormula>
    </tableColumn>
    <tableColumn id="82" name="WOP Before Adj. BT" dataDxfId="55">
      <calculatedColumnFormula>(AC3+K3)*AB2*((1)/(1+db!AA4))*(LOOKUP(C2,'Mortality Table'!$A$2:$A$108,'Mortality Table'!$E$2:$E$108))</calculatedColumnFormula>
    </tableColumn>
    <tableColumn id="19" name="WOP Capital" dataDxfId="54" dataCellStyle="40% - Accent5">
      <calculatedColumnFormula>(AD3+L3)*AB2*((1)/(1+db!AA4))*(LOOKUP(C2,'Mortality Table'!$A$2:$A$108,'Mortality Table'!$E$2:$E$108))</calculatedColumnFormula>
    </tableColumn>
    <tableColumn id="71" name="WOP without change" dataDxfId="53" dataCellStyle="20% - Accent6">
      <calculatedColumnFormula>IF(AND(Changes!Change="Yes", Changes!ChangeType="Change Value Adjustment"),Table14[[#This Row],[WOP Capital]],(AE3+O3)*AB2*((1)/(1+db!AA4))*(LOOKUP(D2,'Mortality Table'!$A$2:$A$108,'Mortality Table'!$E$2:$E$108)))</calculatedColumnFormula>
    </tableColumn>
    <tableColumn id="74" name="Final WOP" dataDxfId="52" dataCellStyle="40% - Accent5">
      <calculatedColumnFormula>IF(AND(Changes!Change="Yes",Changes!ValidityYear&lt;=Table14[[#This Row],[Year]],Changes!ChangeType="Paid-Up"),0,IF(AND(Changes!Change="Yes", Changes!ValidityYear&lt;=ROW()-1),Table14[[#This Row],[WOP Capital]],Table14[[#This Row],[WOP without change]]))</calculatedColumnFormula>
    </tableColumn>
    <tableColumn id="75" name="Code Annuity Capital" dataDxfId="51">
      <calculatedColumnFormula>IF(AND(Changes!Change="Yes", Changes!ValidityYear&lt;=Table14[[#This Row],[Year]], Changes!ChangeType="Rider Inclusion/Exclusion", Changes!RiderType="Disability Annuity"), L2*Changes!NewChangedValue,L2*db!B$10*IF(db!$D$10="Yes",1,0))</calculatedColumnFormula>
    </tableColumn>
    <tableColumn id="20" name="Disability Annuity Capital" dataDxfId="50" dataCellStyle="Comma">
      <calculatedColumnFormula>Table14[[#This Row],[Code Annuity Capital]]*IF('Annual Calculation'!C2&gt;69,0,(LOOKUP('Annual Calculation'!C2+1,'Mortality Table'!$A$2:$A$108,'Mortality Table'!$O$2:$O$108)-LOOKUP('Annual Calculation'!C2+11,'Mortality Table'!$A$2:$A$108,'Mortality Table'!$O$2:$O$108))/LOOKUP('Annual Calculation'!C2,'Mortality Table'!$A$2:$A$108,'Mortality Table'!$M$2:$M$108))</calculatedColumnFormula>
    </tableColumn>
    <tableColumn id="21" name="Dread Disease Capital (1)" dataDxfId="49">
      <calculatedColumnFormula>IF(B2=0,0,IF(db!$D$11="Yes",(db!$B$11)*T2,0))</calculatedColumnFormula>
    </tableColumn>
    <tableColumn id="22" name="Dread disease Capital  (2)" dataDxfId="48">
      <calculatedColumnFormula>ROUND(IF(C2&gt;59,0,IF(C2=0,0,IF(AI2&lt;=db!$L$5,AI2,db!$L$5))),0)</calculatedColumnFormula>
    </tableColumn>
    <tableColumn id="23" name="Cancer Capital (1)" dataDxfId="47" dataCellStyle="Comma">
      <calculatedColumnFormula>IF(B2=0,0,IF(db!$D$12="Yes",(db!$B$12)*T2,0))</calculatedColumnFormula>
    </tableColumn>
    <tableColumn id="24" name="Cancer Capital (2)" dataDxfId="46" dataCellStyle="Comma">
      <calculatedColumnFormula>ROUND(IF(C2&gt;59,0,IF(C2=0,0,IF(AK2&lt;=db!$L$6,AK2,db!$L$6))),0)</calculatedColumnFormula>
    </tableColumn>
    <tableColumn id="25" name="Column1" dataDxfId="45"/>
    <tableColumn id="26" name="Death Peril Rate" dataDxfId="44">
      <calculatedColumnFormula>IF(B2=0,0,IF(C2&lt;(db!$E$2+5),LOOKUP(C2,'Mortality Table'!$A$2:$A$108,'Mortality Table'!$P$2:$P$108),IF((C2&gt;=db!$E$2+10),LOOKUP(C2,'Mortality Table'!$A$2:$A$108,'Mortality Table'!$R$2:$R$108),LOOKUP(C2,'Mortality Table'!$A$2:$A$108,'Mortality Table'!$Q$2:$Q$108))))</calculatedColumnFormula>
    </tableColumn>
    <tableColumn id="27" name="Death Peril Premium" dataDxfId="43">
      <calculatedColumnFormula>ROUND(AN2*T2,0)</calculatedColumnFormula>
    </tableColumn>
    <tableColumn id="28" name="Accident Death Rate" dataDxfId="42">
      <calculatedColumnFormula>IF(B2=0,0,LOOKUP(db!$A$8,db!$AX$4:$AX$8,db!$AY$4:$AY$8))</calculatedColumnFormula>
    </tableColumn>
    <tableColumn id="29" name="Accident Death Risk Premium" dataDxfId="41">
      <calculatedColumnFormula>ROUND((AP2/1000)*W2 * (1-db!$AS$9),0)</calculatedColumnFormula>
    </tableColumn>
    <tableColumn id="30" name="Accident Death Acquisition Cost" dataDxfId="40">
      <calculatedColumnFormula>(AP2/1000)*W2 * db!$AS$9</calculatedColumnFormula>
    </tableColumn>
    <tableColumn id="31" name="Accident Disability Rate" dataDxfId="39">
      <calculatedColumnFormula>IF(B2=0,0,LOOKUP(db!$A$8,db!$AX$4:$AX$8,db!$AZ$4:$AZ$8))</calculatedColumnFormula>
    </tableColumn>
    <tableColumn id="32" name="Accident Disability Risk Premium" dataDxfId="38">
      <calculatedColumnFormula>(AS2/1000)*Y2*(1-db!$AS$9)</calculatedColumnFormula>
    </tableColumn>
    <tableColumn id="33" name="Accident Disability Acquisition Cost" dataDxfId="37">
      <calculatedColumnFormula>(AS2/1000)*Y2*(db!$AS$9)</calculatedColumnFormula>
    </tableColumn>
    <tableColumn id="34" name="Accident Medical Cost rate" dataDxfId="36">
      <calculatedColumnFormula>IF(B2=0,0,LOOKUP(db!$A$8,db!$AX$4:$AX$8,db!$BA$4:$BA$8))</calculatedColumnFormula>
    </tableColumn>
    <tableColumn id="35" name="Accident Medical Cost Risk Premium" dataDxfId="35">
      <calculatedColumnFormula>ROUND((AV2/(100))*AA2*(1-db!$AS$9),0)</calculatedColumnFormula>
    </tableColumn>
    <tableColumn id="36" name="Accident Medical Cost Acquisition Cost" dataDxfId="34">
      <calculatedColumnFormula>ROUND((AV2/(100))*AA2*(db!$AS$9),0)</calculatedColumnFormula>
    </tableColumn>
    <tableColumn id="37" name="WOP rate" dataDxfId="33">
      <calculatedColumnFormula>IF(db!$D$8="Yes",AS2,0)</calculatedColumnFormula>
    </tableColumn>
    <tableColumn id="38" name="WOP Risk Premium" dataDxfId="32">
      <calculatedColumnFormula>(AY2*AF2)/1000*(1-db!$AS$9)</calculatedColumnFormula>
    </tableColumn>
    <tableColumn id="39" name="WOP Acquisition Cost" dataDxfId="31">
      <calculatedColumnFormula>(AY2*AF2)/1000*(db!$AS$9)</calculatedColumnFormula>
    </tableColumn>
    <tableColumn id="40" name="Disability Annuity Rate" dataDxfId="30">
      <calculatedColumnFormula>AS2</calculatedColumnFormula>
    </tableColumn>
    <tableColumn id="41" name="Disability Annuity Risk Premium" dataDxfId="29">
      <calculatedColumnFormula>(BB2*AH2/1000)*(1-db!$AS$9)</calculatedColumnFormula>
    </tableColumn>
    <tableColumn id="42" name="Disability Annuity Acquisition Cost" dataDxfId="28">
      <calculatedColumnFormula>(BB2*AH2/1000)*(db!$AS$9)</calculatedColumnFormula>
    </tableColumn>
    <tableColumn id="43" name="Dread Disease Rate" dataDxfId="27">
      <calculatedColumnFormula>IF(B2=0,0,IF(C2&gt;60,0,LOOKUP(Table14[[#This Row],[Medical
Age]],db!$BC$3:$BC$63,db!$BD$3:$BD$63)))</calculatedColumnFormula>
    </tableColumn>
    <tableColumn id="44" name="Dread Disease Acquisition Cost" dataDxfId="26">
      <calculatedColumnFormula>BG2*db!$AS$10</calculatedColumnFormula>
    </tableColumn>
    <tableColumn id="45" name="Base Dread Disease Risk Premium" dataDxfId="25">
      <calculatedColumnFormula>(BE2/1000000)*AJ2</calculatedColumnFormula>
    </tableColumn>
    <tableColumn id="46" name="Dread Disease Risk Premium" dataDxfId="24">
      <calculatedColumnFormula>(BE2/1000000)*AJ2*(1-db!$AS$10)</calculatedColumnFormula>
    </tableColumn>
    <tableColumn id="47" name="Cancer Rate" dataDxfId="23">
      <calculatedColumnFormula>IF(B2=0,0,IF(C2&gt;59,0,LOOKUP(Table14[[#This Row],[Medical
Age]],db!$BC$3:$BC$63,db!$BE$3:$BE$63)))</calculatedColumnFormula>
    </tableColumn>
    <tableColumn id="48" name="Cancer Risk Premium" dataDxfId="22">
      <calculatedColumnFormula>(BI2/1000000)*AL2*(1-db!$AS$11)</calculatedColumnFormula>
    </tableColumn>
    <tableColumn id="49" name="Cancer Acquisition Cost" dataDxfId="21">
      <calculatedColumnFormula>(BI2/1000000)*AL2*(db!$AS$11)</calculatedColumnFormula>
    </tableColumn>
    <tableColumn id="50" name="RiskLoading_x000a_Rate" dataDxfId="20"/>
    <tableColumn id="51" name="RiskLoading_x000a_Risk Premium" dataDxfId="19">
      <calculatedColumnFormula>Table14[[#This Row],[RiskLoading
Rate]]*Table14[[#This Row],[Death Capital (2)]]</calculatedColumnFormula>
    </tableColumn>
    <tableColumn id="52" name="Column2" dataDxfId="18"/>
    <tableColumn id="53" name="Main Risk Premium" dataDxfId="17">
      <calculatedColumnFormula>AO2</calculatedColumnFormula>
    </tableColumn>
    <tableColumn id="54" name="Accident Risk Premiums" dataDxfId="16">
      <calculatedColumnFormula>(BC2+AZ2+AW2+AT2+AQ2)</calculatedColumnFormula>
    </tableColumn>
    <tableColumn id="55" name="Accident Acquisition Costs" dataDxfId="15">
      <calculatedColumnFormula>AR2+AU2+AX2+BA2+BD2</calculatedColumnFormula>
    </tableColumn>
    <tableColumn id="56" name="Health Risk Premiums" dataDxfId="14">
      <calculatedColumnFormula>(BJ2+BH2)</calculatedColumnFormula>
    </tableColumn>
    <tableColumn id="57" name="Health Acquisition Costs" dataDxfId="13">
      <calculatedColumnFormula>BF2+BK2</calculatedColumnFormula>
    </tableColumn>
    <tableColumn id="58" name="Riders Risk Premiums" dataDxfId="12">
      <calculatedColumnFormula>ROUND(BR2+BP2,0)</calculatedColumnFormula>
    </tableColumn>
    <tableColumn id="59" name="Riders Acquisition Costs" dataDxfId="11">
      <calculatedColumnFormula>ROUND(BQ2+BS2,0)</calculatedColumnFormula>
    </tableColumn>
    <tableColumn id="60" name="Administrative Cost Private" dataDxfId="10">
      <calculatedColumnFormula>(db!$AS$4/100)*(L2-BT2-BU2)</calculatedColumnFormula>
    </tableColumn>
    <tableColumn id="61" name="Acquisition Cost" dataDxfId="9">
      <calculatedColumnFormula>(db!$AS$8/100)*(L2-BT2-BU2)</calculatedColumnFormula>
    </tableColumn>
    <tableColumn id="62" name="Insuring Cost " dataDxfId="8"/>
    <tableColumn id="63" name="Sale Commission (1)" dataDxfId="7"/>
    <tableColumn id="64" name="Sale Commission (2)" dataDxfId="6"/>
    <tableColumn id="65" name="All Deductions" dataDxfId="5">
      <calculatedColumnFormula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calculatedColumnFormula>
    </tableColumn>
    <tableColumn id="66" name="Column3" dataDxfId="4"/>
    <tableColumn id="67" name="Initial Reserve" dataDxfId="3">
      <calculatedColumnFormula>ROUND((L2-CA2),0)</calculatedColumnFormula>
    </tableColumn>
    <tableColumn id="83" name="Reserve + penalty" dataDxfId="2"/>
    <tableColumn id="68" name="Reserve" dataDxfId="1">
      <calculatedColumnFormula>IF(B2=0,0,((CC2)*(1+db!Y4))+((CE1)*(1+db!U4)))</calculatedColumnFormula>
    </tableColumn>
    <tableColumn id="69" name="Surrender Value" dataDxfId="0">
      <calculatedColumnFormula>ROUND(CE2,-3)</calculatedColumnFormula>
    </tableColumn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tabSelected="1" topLeftCell="A15" zoomScale="85" zoomScaleNormal="85" workbookViewId="0">
      <selection activeCell="A25" sqref="A25"/>
    </sheetView>
  </sheetViews>
  <sheetFormatPr defaultRowHeight="15"/>
  <cols>
    <col min="1" max="1" width="14.140625" style="261" customWidth="1"/>
    <col min="2" max="2" width="16" style="261" customWidth="1"/>
    <col min="3" max="3" width="45.7109375" style="261" customWidth="1"/>
    <col min="4" max="4" width="17.140625" style="261" customWidth="1"/>
    <col min="5" max="5" width="48.7109375" style="261" customWidth="1"/>
    <col min="6" max="7" width="9.140625" style="261"/>
    <col min="8" max="8" width="10.7109375" style="261" bestFit="1" customWidth="1"/>
    <col min="9" max="16384" width="9.140625" style="261"/>
  </cols>
  <sheetData>
    <row r="1" spans="1:10" ht="36.75" customHeight="1" thickBot="1">
      <c r="H1" s="285"/>
    </row>
    <row r="2" spans="1:10" ht="21" thickBot="1">
      <c r="A2" s="389" t="s">
        <v>202</v>
      </c>
      <c r="B2" s="390"/>
      <c r="C2" s="390"/>
      <c r="D2" s="390"/>
      <c r="E2" s="391"/>
    </row>
    <row r="3" spans="1:10" ht="50.25" customHeight="1" thickBot="1">
      <c r="A3" s="262" t="s">
        <v>203</v>
      </c>
      <c r="B3" s="392" t="s">
        <v>211</v>
      </c>
      <c r="C3" s="393"/>
      <c r="D3" s="263" t="s">
        <v>204</v>
      </c>
      <c r="E3" s="264"/>
    </row>
    <row r="4" spans="1:10" ht="16.5" thickBot="1">
      <c r="A4" s="262" t="s">
        <v>205</v>
      </c>
      <c r="B4" s="263" t="s">
        <v>206</v>
      </c>
      <c r="C4" s="263" t="s">
        <v>207</v>
      </c>
      <c r="D4" s="263" t="s">
        <v>208</v>
      </c>
      <c r="E4" s="262" t="s">
        <v>209</v>
      </c>
    </row>
    <row r="5" spans="1:10" ht="39" thickBot="1">
      <c r="A5" s="265">
        <v>1</v>
      </c>
      <c r="B5" s="266" t="s">
        <v>210</v>
      </c>
      <c r="C5" s="266" t="s">
        <v>286</v>
      </c>
      <c r="D5" s="267">
        <v>42357</v>
      </c>
      <c r="E5" s="268" t="s">
        <v>212</v>
      </c>
    </row>
    <row r="6" spans="1:10" ht="60.75" thickBot="1">
      <c r="A6" s="265">
        <f>A5+1</f>
        <v>2</v>
      </c>
      <c r="B6" s="266" t="s">
        <v>225</v>
      </c>
      <c r="C6" s="266" t="s">
        <v>286</v>
      </c>
      <c r="D6" s="267">
        <v>42368</v>
      </c>
      <c r="E6" s="286" t="s">
        <v>224</v>
      </c>
      <c r="J6" s="285">
        <f ca="1">TODAY()</f>
        <v>42697</v>
      </c>
    </row>
    <row r="7" spans="1:10" ht="45.75" thickBot="1">
      <c r="A7" s="265">
        <f t="shared" ref="A7:A20" si="0">A6+1</f>
        <v>3</v>
      </c>
      <c r="B7" s="266" t="s">
        <v>225</v>
      </c>
      <c r="C7" s="266" t="s">
        <v>286</v>
      </c>
      <c r="D7" s="267">
        <v>42373</v>
      </c>
      <c r="E7" s="286" t="s">
        <v>236</v>
      </c>
    </row>
    <row r="8" spans="1:10" ht="45.75" thickBot="1">
      <c r="A8" s="265">
        <f t="shared" si="0"/>
        <v>4</v>
      </c>
      <c r="B8" s="266" t="s">
        <v>225</v>
      </c>
      <c r="C8" s="266" t="s">
        <v>286</v>
      </c>
      <c r="D8" s="267">
        <v>42375</v>
      </c>
      <c r="E8" s="286" t="s">
        <v>238</v>
      </c>
    </row>
    <row r="9" spans="1:10" ht="39" thickBot="1">
      <c r="A9" s="265">
        <f t="shared" si="0"/>
        <v>5</v>
      </c>
      <c r="B9" s="266" t="s">
        <v>252</v>
      </c>
      <c r="C9" s="266" t="s">
        <v>286</v>
      </c>
      <c r="D9" s="267">
        <v>42389</v>
      </c>
      <c r="E9" s="286" t="s">
        <v>253</v>
      </c>
    </row>
    <row r="10" spans="1:10" ht="39" thickBot="1">
      <c r="A10" s="265">
        <f t="shared" si="0"/>
        <v>6</v>
      </c>
      <c r="B10" s="266" t="s">
        <v>252</v>
      </c>
      <c r="C10" s="266" t="s">
        <v>286</v>
      </c>
      <c r="D10" s="267">
        <v>42393</v>
      </c>
      <c r="E10" s="286" t="s">
        <v>254</v>
      </c>
    </row>
    <row r="11" spans="1:10" ht="90.75" thickBot="1">
      <c r="A11" s="265">
        <f t="shared" si="0"/>
        <v>7</v>
      </c>
      <c r="B11" s="266" t="s">
        <v>225</v>
      </c>
      <c r="C11" s="266" t="s">
        <v>286</v>
      </c>
      <c r="D11" s="267">
        <v>42395</v>
      </c>
      <c r="E11" s="286" t="s">
        <v>271</v>
      </c>
    </row>
    <row r="12" spans="1:10" ht="30.75" thickBot="1">
      <c r="A12" s="265">
        <f t="shared" si="0"/>
        <v>8</v>
      </c>
      <c r="B12" s="266" t="s">
        <v>225</v>
      </c>
      <c r="C12" s="266" t="s">
        <v>286</v>
      </c>
      <c r="D12" s="267">
        <v>42396</v>
      </c>
      <c r="E12" s="286" t="s">
        <v>272</v>
      </c>
    </row>
    <row r="13" spans="1:10" ht="30.75" thickBot="1">
      <c r="A13" s="265">
        <f t="shared" si="0"/>
        <v>9</v>
      </c>
      <c r="B13" s="266" t="s">
        <v>225</v>
      </c>
      <c r="C13" s="266" t="s">
        <v>286</v>
      </c>
      <c r="D13" s="267">
        <v>42396</v>
      </c>
      <c r="E13" s="286" t="s">
        <v>273</v>
      </c>
    </row>
    <row r="14" spans="1:10" ht="45.75" thickBot="1">
      <c r="A14" s="265">
        <f t="shared" si="0"/>
        <v>10</v>
      </c>
      <c r="B14" s="266" t="s">
        <v>225</v>
      </c>
      <c r="C14" s="266" t="s">
        <v>286</v>
      </c>
      <c r="D14" s="267">
        <v>42397</v>
      </c>
      <c r="E14" s="286" t="s">
        <v>277</v>
      </c>
    </row>
    <row r="15" spans="1:10" ht="30.75" thickBot="1">
      <c r="A15" s="265">
        <f t="shared" si="0"/>
        <v>11</v>
      </c>
      <c r="B15" s="266" t="s">
        <v>225</v>
      </c>
      <c r="C15" s="266" t="s">
        <v>286</v>
      </c>
      <c r="D15" s="267">
        <v>42400</v>
      </c>
      <c r="E15" s="286" t="s">
        <v>279</v>
      </c>
    </row>
    <row r="16" spans="1:10" ht="105.75" thickBot="1">
      <c r="A16" s="265">
        <f t="shared" si="0"/>
        <v>12</v>
      </c>
      <c r="B16" s="266" t="s">
        <v>225</v>
      </c>
      <c r="C16" s="266" t="s">
        <v>286</v>
      </c>
      <c r="D16" s="267">
        <v>42400</v>
      </c>
      <c r="E16" s="286" t="s">
        <v>280</v>
      </c>
    </row>
    <row r="17" spans="1:5" ht="30.75" thickBot="1">
      <c r="A17" s="265">
        <f t="shared" si="0"/>
        <v>13</v>
      </c>
      <c r="B17" s="266" t="s">
        <v>225</v>
      </c>
      <c r="C17" s="266" t="s">
        <v>286</v>
      </c>
      <c r="D17" s="267">
        <v>42413</v>
      </c>
      <c r="E17" s="286" t="s">
        <v>282</v>
      </c>
    </row>
    <row r="18" spans="1:5" ht="30.75" thickBot="1">
      <c r="A18" s="265">
        <f t="shared" si="0"/>
        <v>14</v>
      </c>
      <c r="B18" s="266" t="s">
        <v>225</v>
      </c>
      <c r="C18" s="266" t="s">
        <v>286</v>
      </c>
      <c r="D18" s="267">
        <v>42415</v>
      </c>
      <c r="E18" s="286" t="s">
        <v>283</v>
      </c>
    </row>
    <row r="19" spans="1:5" ht="30.75" thickBot="1">
      <c r="A19" s="265">
        <f t="shared" si="0"/>
        <v>15</v>
      </c>
      <c r="B19" s="266" t="s">
        <v>286</v>
      </c>
      <c r="C19" s="266" t="s">
        <v>286</v>
      </c>
      <c r="D19" s="267">
        <v>42436</v>
      </c>
      <c r="E19" s="286" t="s">
        <v>287</v>
      </c>
    </row>
    <row r="20" spans="1:5" ht="30.75" customHeight="1" thickBot="1">
      <c r="A20" s="265">
        <f t="shared" si="0"/>
        <v>16</v>
      </c>
      <c r="B20" s="266" t="s">
        <v>292</v>
      </c>
      <c r="C20" s="266" t="s">
        <v>286</v>
      </c>
      <c r="D20" s="267">
        <v>42499</v>
      </c>
      <c r="E20" s="286" t="s">
        <v>291</v>
      </c>
    </row>
    <row r="21" spans="1:5" ht="30.75" thickBot="1">
      <c r="A21" s="265">
        <v>17</v>
      </c>
      <c r="B21" s="266" t="s">
        <v>292</v>
      </c>
      <c r="C21" s="266" t="s">
        <v>286</v>
      </c>
      <c r="D21" s="267">
        <v>42553</v>
      </c>
      <c r="E21" s="286" t="s">
        <v>303</v>
      </c>
    </row>
    <row r="22" spans="1:5" ht="30.75" thickBot="1">
      <c r="A22" s="265">
        <v>18</v>
      </c>
      <c r="B22" s="266" t="s">
        <v>292</v>
      </c>
      <c r="C22" s="266" t="s">
        <v>286</v>
      </c>
      <c r="D22" s="267">
        <v>42614</v>
      </c>
      <c r="E22" s="286" t="s">
        <v>335</v>
      </c>
    </row>
    <row r="23" spans="1:5" ht="45.75" thickBot="1">
      <c r="A23" s="265">
        <v>18</v>
      </c>
      <c r="B23" s="266" t="s">
        <v>286</v>
      </c>
      <c r="C23" s="266" t="s">
        <v>286</v>
      </c>
      <c r="D23" s="267" t="s">
        <v>336</v>
      </c>
      <c r="E23" s="286" t="s">
        <v>337</v>
      </c>
    </row>
    <row r="25" spans="1:5">
      <c r="A25" s="261">
        <v>1</v>
      </c>
    </row>
  </sheetData>
  <mergeCells count="2">
    <mergeCell ref="A2:E2"/>
    <mergeCell ref="B3:C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S83"/>
  <sheetViews>
    <sheetView zoomScaleNormal="100" workbookViewId="0">
      <selection activeCell="C9" sqref="C9"/>
    </sheetView>
  </sheetViews>
  <sheetFormatPr defaultColWidth="9.140625" defaultRowHeight="19.5"/>
  <cols>
    <col min="1" max="1" width="0.7109375" style="102" customWidth="1"/>
    <col min="2" max="2" width="21.85546875" style="102" bestFit="1" customWidth="1"/>
    <col min="3" max="3" width="29.85546875" style="102" bestFit="1" customWidth="1"/>
    <col min="4" max="4" width="0.7109375" style="102" customWidth="1"/>
    <col min="5" max="5" width="35.7109375" style="102" bestFit="1" customWidth="1"/>
    <col min="6" max="6" width="1.42578125" style="102" customWidth="1"/>
    <col min="7" max="7" width="6.28515625" style="102" customWidth="1"/>
    <col min="8" max="8" width="29.85546875" style="102" bestFit="1" customWidth="1"/>
    <col min="9" max="9" width="0.7109375" style="102" customWidth="1"/>
    <col min="10" max="10" width="33.85546875" style="102" bestFit="1" customWidth="1"/>
    <col min="11" max="11" width="0.7109375" style="102" customWidth="1"/>
    <col min="12" max="12" width="9.85546875" style="102" customWidth="1"/>
    <col min="13" max="13" width="1.140625" style="102" customWidth="1"/>
    <col min="14" max="14" width="29.140625" style="102" bestFit="1" customWidth="1"/>
    <col min="15" max="15" width="9.28515625" style="102" customWidth="1"/>
    <col min="16" max="16384" width="9.140625" style="102"/>
  </cols>
  <sheetData>
    <row r="1" spans="1:45" ht="69.75" customHeight="1" thickBot="1">
      <c r="A1" s="394" t="s">
        <v>117</v>
      </c>
      <c r="B1" s="395"/>
      <c r="C1" s="395"/>
      <c r="D1" s="395"/>
      <c r="E1" s="395"/>
      <c r="F1" s="395"/>
      <c r="G1" s="395"/>
      <c r="H1" s="395"/>
      <c r="I1" s="395"/>
      <c r="J1" s="395"/>
      <c r="K1" s="395"/>
      <c r="L1" s="396"/>
      <c r="M1" s="100"/>
      <c r="N1" s="100"/>
      <c r="O1" s="100"/>
      <c r="P1" s="100"/>
      <c r="Q1" s="100"/>
      <c r="R1" s="100"/>
      <c r="S1" s="101" t="e">
        <f>IF(#REF!="Yes",0,#REF!)</f>
        <v>#REF!</v>
      </c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  <c r="AH1" s="100"/>
      <c r="AI1" s="100"/>
      <c r="AJ1" s="100"/>
      <c r="AK1" s="100"/>
      <c r="AL1" s="100"/>
      <c r="AM1" s="100"/>
      <c r="AN1" s="100"/>
      <c r="AO1" s="100"/>
      <c r="AP1" s="100"/>
      <c r="AQ1" s="100"/>
      <c r="AR1" s="100"/>
      <c r="AS1" s="100"/>
    </row>
    <row r="2" spans="1:45" ht="5.25" customHeight="1">
      <c r="A2" s="125"/>
      <c r="B2" s="126"/>
      <c r="C2" s="126"/>
      <c r="D2" s="126"/>
      <c r="E2" s="126"/>
      <c r="F2" s="126"/>
      <c r="G2" s="126"/>
      <c r="H2" s="126"/>
      <c r="I2" s="126"/>
      <c r="J2" s="126"/>
      <c r="K2" s="126"/>
      <c r="L2" s="400" t="s">
        <v>105</v>
      </c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0"/>
      <c r="AL2" s="100"/>
      <c r="AM2" s="100"/>
      <c r="AN2" s="100"/>
      <c r="AO2" s="100"/>
      <c r="AP2" s="100"/>
      <c r="AQ2" s="100"/>
      <c r="AR2" s="100"/>
      <c r="AS2" s="100"/>
    </row>
    <row r="3" spans="1:45" ht="26.25" customHeight="1">
      <c r="A3" s="127"/>
      <c r="B3" s="103"/>
      <c r="C3" s="104" t="s">
        <v>126</v>
      </c>
      <c r="D3" s="128"/>
      <c r="E3" s="105" t="s">
        <v>108</v>
      </c>
      <c r="F3" s="128"/>
      <c r="G3" s="291" t="s">
        <v>125</v>
      </c>
      <c r="H3" s="287">
        <v>25</v>
      </c>
      <c r="I3" s="128"/>
      <c r="J3" s="105" t="s">
        <v>230</v>
      </c>
      <c r="K3" s="128"/>
      <c r="L3" s="401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  <c r="AH3" s="100"/>
      <c r="AI3" s="100"/>
      <c r="AJ3" s="100"/>
      <c r="AK3" s="100"/>
      <c r="AL3" s="100"/>
      <c r="AM3" s="100"/>
      <c r="AN3" s="100"/>
      <c r="AO3" s="100"/>
      <c r="AP3" s="100"/>
      <c r="AQ3" s="100"/>
      <c r="AR3" s="100"/>
      <c r="AS3" s="100"/>
    </row>
    <row r="4" spans="1:45" ht="5.25" customHeight="1">
      <c r="A4" s="127"/>
      <c r="B4" s="128"/>
      <c r="C4" s="128"/>
      <c r="D4" s="128"/>
      <c r="E4" s="129"/>
      <c r="F4" s="128"/>
      <c r="G4" s="128"/>
      <c r="H4" s="128"/>
      <c r="I4" s="128"/>
      <c r="J4" s="130"/>
      <c r="K4" s="128"/>
      <c r="L4" s="401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</row>
    <row r="5" spans="1:45" ht="26.25" customHeight="1">
      <c r="A5" s="127"/>
      <c r="B5" s="106" t="s">
        <v>127</v>
      </c>
      <c r="C5" s="104">
        <v>15</v>
      </c>
      <c r="D5" s="128"/>
      <c r="E5" s="105" t="s">
        <v>107</v>
      </c>
      <c r="F5" s="128"/>
      <c r="G5" s="106" t="s">
        <v>98</v>
      </c>
      <c r="H5" s="104">
        <v>28</v>
      </c>
      <c r="I5" s="128"/>
      <c r="J5" s="105" t="s">
        <v>101</v>
      </c>
      <c r="K5" s="128"/>
      <c r="L5" s="401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  <c r="AC5" s="100"/>
      <c r="AD5" s="100"/>
      <c r="AE5" s="100"/>
      <c r="AF5" s="100"/>
      <c r="AG5" s="100"/>
      <c r="AH5" s="100"/>
      <c r="AI5" s="100"/>
      <c r="AJ5" s="100"/>
      <c r="AK5" s="100"/>
      <c r="AL5" s="100"/>
      <c r="AM5" s="100"/>
      <c r="AN5" s="100"/>
      <c r="AO5" s="100"/>
      <c r="AP5" s="100"/>
      <c r="AQ5" s="100"/>
      <c r="AR5" s="100"/>
      <c r="AS5" s="100"/>
    </row>
    <row r="6" spans="1:45" ht="5.25" customHeight="1">
      <c r="A6" s="127"/>
      <c r="B6" s="128"/>
      <c r="C6" s="128"/>
      <c r="D6" s="128"/>
      <c r="E6" s="129"/>
      <c r="F6" s="128"/>
      <c r="G6" s="128"/>
      <c r="H6" s="128"/>
      <c r="I6" s="128"/>
      <c r="J6" s="130"/>
      <c r="K6" s="128"/>
      <c r="L6" s="401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  <c r="AF6" s="100"/>
      <c r="AG6" s="100"/>
      <c r="AH6" s="100"/>
      <c r="AI6" s="100"/>
      <c r="AJ6" s="100"/>
      <c r="AK6" s="100"/>
      <c r="AL6" s="100"/>
      <c r="AM6" s="100"/>
      <c r="AN6" s="100"/>
      <c r="AO6" s="100"/>
      <c r="AP6" s="100"/>
      <c r="AQ6" s="100"/>
      <c r="AR6" s="100"/>
      <c r="AS6" s="100"/>
    </row>
    <row r="7" spans="1:45" ht="26.25" customHeight="1">
      <c r="A7" s="127"/>
      <c r="B7" s="103" t="s">
        <v>125</v>
      </c>
      <c r="C7" s="104">
        <v>20</v>
      </c>
      <c r="D7" s="128"/>
      <c r="E7" s="105" t="s">
        <v>112</v>
      </c>
      <c r="F7" s="128"/>
      <c r="G7" s="106" t="s">
        <v>122</v>
      </c>
      <c r="H7" s="287">
        <v>100000000</v>
      </c>
      <c r="I7" s="128"/>
      <c r="J7" s="105" t="s">
        <v>102</v>
      </c>
      <c r="K7" s="128"/>
      <c r="L7" s="401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</row>
    <row r="8" spans="1:45" ht="5.25" customHeight="1">
      <c r="A8" s="127"/>
      <c r="B8" s="128"/>
      <c r="C8" s="128"/>
      <c r="D8" s="128"/>
      <c r="E8" s="129"/>
      <c r="F8" s="128"/>
      <c r="G8" s="128"/>
      <c r="H8" s="128"/>
      <c r="I8" s="128"/>
      <c r="J8" s="130"/>
      <c r="K8" s="128"/>
      <c r="L8" s="401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100"/>
      <c r="AI8" s="100"/>
      <c r="AJ8" s="100"/>
      <c r="AK8" s="100"/>
      <c r="AL8" s="100"/>
      <c r="AM8" s="100"/>
      <c r="AN8" s="100"/>
      <c r="AO8" s="100"/>
      <c r="AP8" s="100"/>
      <c r="AQ8" s="100"/>
      <c r="AR8" s="100"/>
      <c r="AS8" s="100"/>
    </row>
    <row r="9" spans="1:45" ht="26.25" customHeight="1">
      <c r="A9" s="127"/>
      <c r="B9" s="106" t="s">
        <v>122</v>
      </c>
      <c r="C9" s="104">
        <v>10000000</v>
      </c>
      <c r="D9" s="128"/>
      <c r="E9" s="105" t="s">
        <v>109</v>
      </c>
      <c r="F9" s="128"/>
      <c r="G9" s="106" t="s">
        <v>123</v>
      </c>
      <c r="H9" s="104">
        <v>0</v>
      </c>
      <c r="I9" s="128"/>
      <c r="J9" s="105"/>
      <c r="K9" s="128"/>
      <c r="L9" s="401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</row>
    <row r="10" spans="1:45" ht="5.25" customHeight="1">
      <c r="A10" s="127"/>
      <c r="B10" s="128"/>
      <c r="C10" s="128">
        <v>0</v>
      </c>
      <c r="D10" s="128"/>
      <c r="E10" s="129"/>
      <c r="F10" s="128"/>
      <c r="G10" s="128"/>
      <c r="H10" s="128"/>
      <c r="I10" s="128"/>
      <c r="J10" s="130"/>
      <c r="K10" s="128"/>
      <c r="L10" s="401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</row>
    <row r="11" spans="1:45" ht="26.25" customHeight="1">
      <c r="A11" s="127"/>
      <c r="B11" s="103" t="s">
        <v>125</v>
      </c>
      <c r="C11" s="104">
        <v>15</v>
      </c>
      <c r="D11" s="128"/>
      <c r="E11" s="105" t="s">
        <v>103</v>
      </c>
      <c r="F11" s="128"/>
      <c r="G11" s="106" t="s">
        <v>122</v>
      </c>
      <c r="H11" s="287">
        <v>1000000000</v>
      </c>
      <c r="I11" s="128"/>
      <c r="J11" s="105" t="s">
        <v>104</v>
      </c>
      <c r="K11" s="128"/>
      <c r="L11" s="401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00"/>
      <c r="AL11" s="100"/>
      <c r="AM11" s="100"/>
      <c r="AN11" s="100"/>
      <c r="AO11" s="100"/>
      <c r="AP11" s="100"/>
      <c r="AQ11" s="100"/>
      <c r="AR11" s="100"/>
      <c r="AS11" s="100"/>
    </row>
    <row r="12" spans="1:45" ht="5.25" customHeight="1" thickBot="1">
      <c r="A12" s="131"/>
      <c r="B12" s="132"/>
      <c r="C12" s="132"/>
      <c r="D12" s="132"/>
      <c r="E12" s="132"/>
      <c r="F12" s="132"/>
      <c r="G12" s="132"/>
      <c r="H12" s="132"/>
      <c r="I12" s="132"/>
      <c r="J12" s="133"/>
      <c r="K12" s="132"/>
      <c r="L12" s="402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</row>
    <row r="13" spans="1:45" ht="4.5" customHeight="1">
      <c r="A13" s="134"/>
      <c r="B13" s="107"/>
      <c r="C13" s="107"/>
      <c r="D13" s="107"/>
      <c r="E13" s="107"/>
      <c r="F13" s="107"/>
      <c r="G13" s="107"/>
      <c r="H13" s="107"/>
      <c r="I13" s="107"/>
      <c r="J13" s="135"/>
      <c r="K13" s="107"/>
      <c r="L13" s="403" t="s">
        <v>118</v>
      </c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</row>
    <row r="14" spans="1:45" ht="26.25" customHeight="1">
      <c r="A14" s="136"/>
      <c r="B14" s="108" t="s">
        <v>123</v>
      </c>
      <c r="C14" s="109">
        <v>1</v>
      </c>
      <c r="D14" s="112"/>
      <c r="E14" s="110" t="s">
        <v>128</v>
      </c>
      <c r="F14" s="112"/>
      <c r="G14" s="397" t="s">
        <v>121</v>
      </c>
      <c r="H14" s="397"/>
      <c r="I14" s="112"/>
      <c r="J14" s="111" t="s">
        <v>115</v>
      </c>
      <c r="K14" s="112"/>
      <c r="L14" s="404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00"/>
      <c r="AL14" s="100"/>
      <c r="AM14" s="100"/>
      <c r="AN14" s="100"/>
      <c r="AO14" s="100"/>
      <c r="AP14" s="100"/>
      <c r="AQ14" s="100"/>
      <c r="AR14" s="100"/>
      <c r="AS14" s="100"/>
    </row>
    <row r="15" spans="1:45" ht="4.5" customHeight="1">
      <c r="A15" s="136"/>
      <c r="B15" s="112"/>
      <c r="C15" s="112"/>
      <c r="D15" s="112"/>
      <c r="E15" s="137"/>
      <c r="F15" s="112"/>
      <c r="G15" s="112"/>
      <c r="H15" s="112"/>
      <c r="I15" s="112"/>
      <c r="J15" s="138"/>
      <c r="K15" s="112"/>
      <c r="L15" s="404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</row>
    <row r="16" spans="1:45" ht="26.25" customHeight="1">
      <c r="A16" s="136"/>
      <c r="B16" s="108" t="s">
        <v>125</v>
      </c>
      <c r="C16" s="109">
        <v>50</v>
      </c>
      <c r="D16" s="112"/>
      <c r="E16" s="110" t="s">
        <v>128</v>
      </c>
      <c r="F16" s="112"/>
      <c r="G16" s="397" t="s">
        <v>121</v>
      </c>
      <c r="H16" s="397"/>
      <c r="I16" s="112"/>
      <c r="J16" s="111" t="s">
        <v>113</v>
      </c>
      <c r="K16" s="112"/>
      <c r="L16" s="404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/>
      <c r="AO16" s="100"/>
      <c r="AP16" s="100"/>
      <c r="AQ16" s="100"/>
      <c r="AR16" s="100"/>
      <c r="AS16" s="100"/>
    </row>
    <row r="17" spans="1:45" ht="4.5" customHeight="1">
      <c r="A17" s="136"/>
      <c r="B17" s="112"/>
      <c r="C17" s="112"/>
      <c r="D17" s="112"/>
      <c r="E17" s="137"/>
      <c r="F17" s="112"/>
      <c r="G17" s="112"/>
      <c r="H17" s="112"/>
      <c r="I17" s="112"/>
      <c r="J17" s="138"/>
      <c r="K17" s="112"/>
      <c r="L17" s="404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</row>
    <row r="18" spans="1:45" ht="26.25" customHeight="1">
      <c r="A18" s="136"/>
      <c r="B18" s="108" t="s">
        <v>125</v>
      </c>
      <c r="C18" s="109">
        <v>20</v>
      </c>
      <c r="D18" s="112"/>
      <c r="E18" s="110" t="s">
        <v>128</v>
      </c>
      <c r="F18" s="112"/>
      <c r="G18" s="397" t="s">
        <v>121</v>
      </c>
      <c r="H18" s="397"/>
      <c r="I18" s="112"/>
      <c r="J18" s="111" t="s">
        <v>114</v>
      </c>
      <c r="K18" s="112"/>
      <c r="L18" s="404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</row>
    <row r="19" spans="1:45" ht="4.5" customHeight="1">
      <c r="A19" s="136"/>
      <c r="B19" s="112"/>
      <c r="C19" s="112"/>
      <c r="D19" s="112"/>
      <c r="E19" s="137"/>
      <c r="F19" s="112"/>
      <c r="G19" s="112"/>
      <c r="H19" s="112"/>
      <c r="I19" s="112"/>
      <c r="J19" s="138"/>
      <c r="K19" s="112"/>
      <c r="L19" s="404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</row>
    <row r="20" spans="1:45" ht="26.25" customHeight="1">
      <c r="A20" s="136"/>
      <c r="B20" s="408">
        <v>1</v>
      </c>
      <c r="C20" s="408"/>
      <c r="D20" s="112"/>
      <c r="E20" s="111" t="s">
        <v>106</v>
      </c>
      <c r="F20" s="112"/>
      <c r="G20" s="397" t="s">
        <v>121</v>
      </c>
      <c r="H20" s="397"/>
      <c r="I20" s="112"/>
      <c r="J20" s="111" t="s">
        <v>116</v>
      </c>
      <c r="K20" s="112"/>
      <c r="L20" s="404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</row>
    <row r="21" spans="1:45" ht="4.5" customHeight="1">
      <c r="A21" s="136"/>
      <c r="B21" s="112"/>
      <c r="C21" s="112"/>
      <c r="D21" s="112"/>
      <c r="E21" s="137"/>
      <c r="F21" s="112"/>
      <c r="G21" s="112"/>
      <c r="H21" s="112"/>
      <c r="I21" s="112"/>
      <c r="J21" s="138"/>
      <c r="K21" s="112"/>
      <c r="L21" s="404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</row>
    <row r="22" spans="1:45" ht="26.25" customHeight="1">
      <c r="A22" s="136"/>
      <c r="B22" s="156" t="s">
        <v>124</v>
      </c>
      <c r="C22" s="109">
        <v>2</v>
      </c>
      <c r="D22" s="112"/>
      <c r="E22" s="110" t="s">
        <v>128</v>
      </c>
      <c r="F22" s="112"/>
      <c r="G22" s="397" t="s">
        <v>121</v>
      </c>
      <c r="H22" s="397"/>
      <c r="I22" s="112"/>
      <c r="J22" s="111" t="s">
        <v>120</v>
      </c>
      <c r="K22" s="112"/>
      <c r="L22" s="404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0"/>
      <c r="AG22" s="100"/>
      <c r="AH22" s="100"/>
      <c r="AI22" s="100"/>
      <c r="AJ22" s="100"/>
      <c r="AK22" s="100"/>
      <c r="AL22" s="100"/>
      <c r="AM22" s="100"/>
      <c r="AN22" s="100"/>
      <c r="AO22" s="100"/>
      <c r="AP22" s="100"/>
      <c r="AQ22" s="100"/>
      <c r="AR22" s="100"/>
      <c r="AS22" s="100"/>
    </row>
    <row r="23" spans="1:45" ht="4.5" customHeight="1" thickBot="1">
      <c r="A23" s="136"/>
      <c r="B23" s="113"/>
      <c r="C23" s="114"/>
      <c r="D23" s="112"/>
      <c r="E23" s="115"/>
      <c r="F23" s="112"/>
      <c r="G23" s="114"/>
      <c r="H23" s="114"/>
      <c r="I23" s="112"/>
      <c r="J23" s="116"/>
      <c r="K23" s="112"/>
      <c r="L23" s="404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</row>
    <row r="24" spans="1:45" ht="3.75" customHeight="1">
      <c r="A24" s="139"/>
      <c r="B24" s="117"/>
      <c r="C24" s="117"/>
      <c r="D24" s="117"/>
      <c r="E24" s="140"/>
      <c r="F24" s="117"/>
      <c r="G24" s="117"/>
      <c r="H24" s="117"/>
      <c r="I24" s="117"/>
      <c r="J24" s="141"/>
      <c r="K24" s="117"/>
      <c r="L24" s="405" t="s">
        <v>119</v>
      </c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  <c r="AI24" s="100"/>
      <c r="AJ24" s="100"/>
      <c r="AK24" s="100"/>
      <c r="AL24" s="100"/>
      <c r="AM24" s="100"/>
      <c r="AN24" s="100"/>
      <c r="AO24" s="100"/>
      <c r="AP24" s="100"/>
      <c r="AQ24" s="100"/>
      <c r="AR24" s="100"/>
      <c r="AS24" s="100"/>
    </row>
    <row r="25" spans="1:45" ht="24.75" customHeight="1">
      <c r="A25" s="142"/>
      <c r="B25" s="118" t="s">
        <v>125</v>
      </c>
      <c r="C25" s="119">
        <v>15</v>
      </c>
      <c r="D25" s="122"/>
      <c r="E25" s="120" t="s">
        <v>128</v>
      </c>
      <c r="F25" s="122"/>
      <c r="G25" s="409" t="s">
        <v>121</v>
      </c>
      <c r="H25" s="409"/>
      <c r="I25" s="122"/>
      <c r="J25" s="121" t="s">
        <v>110</v>
      </c>
      <c r="K25" s="122"/>
      <c r="L25" s="406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</row>
    <row r="26" spans="1:45" ht="3.75" customHeight="1">
      <c r="A26" s="142"/>
      <c r="B26" s="122"/>
      <c r="C26" s="122"/>
      <c r="D26" s="122"/>
      <c r="E26" s="143"/>
      <c r="F26" s="122"/>
      <c r="G26" s="122"/>
      <c r="H26" s="122"/>
      <c r="I26" s="122"/>
      <c r="J26" s="144"/>
      <c r="K26" s="122"/>
      <c r="L26" s="406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0"/>
      <c r="AQ26" s="100"/>
      <c r="AR26" s="100"/>
      <c r="AS26" s="100"/>
    </row>
    <row r="27" spans="1:45" ht="24.75" customHeight="1">
      <c r="A27" s="142"/>
      <c r="B27" s="118" t="s">
        <v>125</v>
      </c>
      <c r="C27" s="119">
        <v>25</v>
      </c>
      <c r="D27" s="122"/>
      <c r="E27" s="120" t="s">
        <v>128</v>
      </c>
      <c r="F27" s="122"/>
      <c r="G27" s="409" t="s">
        <v>121</v>
      </c>
      <c r="H27" s="409"/>
      <c r="I27" s="122"/>
      <c r="J27" s="121" t="s">
        <v>111</v>
      </c>
      <c r="K27" s="122"/>
      <c r="L27" s="406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</row>
    <row r="28" spans="1:45" ht="3.75" customHeight="1" thickBot="1">
      <c r="A28" s="145"/>
      <c r="B28" s="146"/>
      <c r="C28" s="146"/>
      <c r="D28" s="146"/>
      <c r="E28" s="146"/>
      <c r="F28" s="146"/>
      <c r="G28" s="146"/>
      <c r="H28" s="146"/>
      <c r="I28" s="146"/>
      <c r="J28" s="147"/>
      <c r="K28" s="146"/>
      <c r="L28" s="407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  <c r="AI28" s="100"/>
      <c r="AJ28" s="100"/>
      <c r="AK28" s="100"/>
      <c r="AL28" s="100"/>
      <c r="AM28" s="100"/>
      <c r="AN28" s="100"/>
      <c r="AO28" s="100"/>
      <c r="AP28" s="100"/>
      <c r="AQ28" s="100"/>
      <c r="AR28" s="100"/>
      <c r="AS28" s="100"/>
    </row>
    <row r="29" spans="1:45" ht="4.5" customHeight="1">
      <c r="A29" s="148"/>
      <c r="B29" s="149"/>
      <c r="C29" s="149"/>
      <c r="D29" s="149"/>
      <c r="E29" s="149"/>
      <c r="F29" s="149"/>
      <c r="G29" s="149"/>
      <c r="H29" s="149"/>
      <c r="I29" s="149"/>
      <c r="J29" s="150"/>
      <c r="K29" s="149"/>
      <c r="L29" s="398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</row>
    <row r="30" spans="1:45" ht="48.75" customHeight="1">
      <c r="A30" s="148"/>
      <c r="B30" s="157" t="s">
        <v>122</v>
      </c>
      <c r="C30" s="151">
        <f>LOOKUP('Application Annually'!$C$5,'Annual Calculation'!$CG$2:$CG$107,'Annual Calculation'!$CF$2:$CF$107)</f>
        <v>15604908000</v>
      </c>
      <c r="D30" s="149"/>
      <c r="E30" s="321" t="s">
        <v>250</v>
      </c>
      <c r="F30" s="149"/>
      <c r="G30" s="157" t="s">
        <v>122</v>
      </c>
      <c r="H30" s="151">
        <f>SUM('Annual Calculation'!L2:L107)</f>
        <v>7203510784</v>
      </c>
      <c r="I30" s="149"/>
      <c r="J30" s="152" t="s">
        <v>129</v>
      </c>
      <c r="K30" s="149"/>
      <c r="L30" s="398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/>
      <c r="AR30" s="100"/>
      <c r="AS30" s="100"/>
    </row>
    <row r="31" spans="1:45" ht="36" customHeight="1" thickBot="1">
      <c r="A31" s="153"/>
      <c r="B31" s="157" t="s">
        <v>122</v>
      </c>
      <c r="C31" s="151">
        <f>LOOKUP('Application Annually'!$C$5,Single!$BW$2:$BW$107,Single!$BV$2:$BV$107)</f>
        <v>504277000</v>
      </c>
      <c r="D31" s="149"/>
      <c r="E31" s="321" t="s">
        <v>251</v>
      </c>
      <c r="F31" s="154"/>
      <c r="G31" s="154"/>
      <c r="H31" s="154"/>
      <c r="I31" s="154"/>
      <c r="J31" s="154"/>
      <c r="K31" s="155"/>
      <c r="L31" s="399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 s="100"/>
      <c r="AF31" s="100"/>
      <c r="AG31" s="100"/>
      <c r="AH31" s="100"/>
      <c r="AI31" s="100"/>
      <c r="AJ31" s="100"/>
      <c r="AK31" s="100"/>
      <c r="AL31" s="100"/>
      <c r="AM31" s="100"/>
      <c r="AN31" s="100"/>
      <c r="AO31" s="100"/>
      <c r="AP31" s="100"/>
      <c r="AQ31" s="100"/>
      <c r="AR31" s="100"/>
      <c r="AS31" s="100"/>
    </row>
    <row r="32" spans="1:45">
      <c r="A32" s="100"/>
      <c r="B32" s="123"/>
      <c r="C32" s="100"/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  <c r="AI32" s="100"/>
      <c r="AJ32" s="100"/>
      <c r="AK32" s="100"/>
      <c r="AL32" s="100"/>
      <c r="AM32" s="100"/>
      <c r="AN32" s="100"/>
      <c r="AO32" s="100"/>
      <c r="AP32" s="100"/>
      <c r="AQ32" s="100"/>
      <c r="AR32" s="100"/>
      <c r="AS32" s="100"/>
    </row>
    <row r="33" spans="1:45">
      <c r="A33" s="100"/>
      <c r="B33" s="100"/>
      <c r="C33" s="100"/>
      <c r="D33" s="100"/>
      <c r="E33" s="100"/>
      <c r="F33" s="100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100"/>
      <c r="AL33" s="100"/>
      <c r="AM33" s="100"/>
      <c r="AN33" s="100"/>
      <c r="AO33" s="100"/>
      <c r="AP33" s="100"/>
      <c r="AQ33" s="100"/>
      <c r="AR33" s="100"/>
      <c r="AS33" s="100"/>
    </row>
    <row r="34" spans="1:45" ht="73.5" customHeight="1">
      <c r="A34" s="100"/>
      <c r="B34" s="100"/>
      <c r="C34" s="100"/>
      <c r="D34" s="100"/>
      <c r="E34" s="100"/>
      <c r="F34" s="100"/>
      <c r="G34" s="100"/>
      <c r="H34" s="100"/>
      <c r="I34" s="100"/>
      <c r="J34" s="100"/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100"/>
      <c r="AL34" s="100"/>
      <c r="AM34" s="100"/>
      <c r="AN34" s="100"/>
      <c r="AO34" s="100"/>
      <c r="AP34" s="100"/>
      <c r="AQ34" s="100"/>
      <c r="AR34" s="100"/>
      <c r="AS34" s="100"/>
    </row>
    <row r="35" spans="1:45">
      <c r="A35" s="100"/>
      <c r="B35" s="100"/>
      <c r="C35" s="100"/>
      <c r="D35" s="100"/>
      <c r="E35" s="100"/>
      <c r="F35" s="100"/>
      <c r="G35" s="100"/>
      <c r="H35" s="100"/>
      <c r="I35" s="100"/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00"/>
      <c r="AQ35" s="100"/>
      <c r="AR35" s="100"/>
      <c r="AS35" s="100"/>
    </row>
    <row r="36" spans="1:45">
      <c r="A36" s="100"/>
      <c r="B36" s="100"/>
      <c r="C36" s="100"/>
      <c r="D36" s="100"/>
      <c r="E36" s="100"/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100"/>
      <c r="AL36" s="100"/>
      <c r="AM36" s="100"/>
      <c r="AN36" s="100"/>
      <c r="AO36" s="100"/>
      <c r="AP36" s="100"/>
      <c r="AQ36" s="100"/>
      <c r="AR36" s="100"/>
      <c r="AS36" s="100"/>
    </row>
    <row r="37" spans="1:45">
      <c r="A37" s="100"/>
      <c r="B37" s="100"/>
      <c r="C37" s="100"/>
      <c r="D37" s="100"/>
      <c r="E37" s="100"/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100"/>
      <c r="AL37" s="100"/>
      <c r="AM37" s="100"/>
      <c r="AN37" s="100"/>
      <c r="AO37" s="100"/>
      <c r="AP37" s="100"/>
      <c r="AQ37" s="100"/>
      <c r="AR37" s="100"/>
      <c r="AS37" s="100"/>
    </row>
    <row r="38" spans="1:45">
      <c r="A38" s="100"/>
      <c r="B38" s="100"/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  <c r="AC38" s="100"/>
      <c r="AD38" s="100"/>
      <c r="AE38" s="100"/>
      <c r="AF38" s="100"/>
      <c r="AG38" s="100"/>
      <c r="AH38" s="100"/>
      <c r="AI38" s="100"/>
      <c r="AJ38" s="100"/>
      <c r="AK38" s="100"/>
      <c r="AL38" s="100"/>
      <c r="AM38" s="100"/>
      <c r="AN38" s="100"/>
      <c r="AO38" s="100"/>
      <c r="AP38" s="100"/>
      <c r="AQ38" s="100"/>
      <c r="AR38" s="100"/>
      <c r="AS38" s="100"/>
    </row>
    <row r="39" spans="1:45">
      <c r="A39" s="100"/>
      <c r="B39" s="100"/>
      <c r="C39" s="100"/>
      <c r="D39" s="100"/>
      <c r="E39" s="100"/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100"/>
      <c r="AL39" s="100"/>
      <c r="AM39" s="100"/>
      <c r="AN39" s="100"/>
      <c r="AO39" s="100"/>
      <c r="AP39" s="100"/>
      <c r="AQ39" s="100"/>
      <c r="AR39" s="100"/>
      <c r="AS39" s="100"/>
    </row>
    <row r="40" spans="1:45">
      <c r="A40" s="100"/>
      <c r="B40" s="100"/>
      <c r="C40" s="100"/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100"/>
      <c r="AL40" s="100"/>
      <c r="AM40" s="100"/>
      <c r="AN40" s="100"/>
      <c r="AO40" s="100"/>
      <c r="AP40" s="100"/>
      <c r="AQ40" s="100"/>
      <c r="AR40" s="100"/>
      <c r="AS40" s="100"/>
    </row>
    <row r="41" spans="1:45">
      <c r="A41" s="100"/>
      <c r="B41" s="100"/>
      <c r="C41" s="100"/>
      <c r="D41" s="100"/>
      <c r="E41" s="100"/>
      <c r="F41" s="100"/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100"/>
      <c r="AI41" s="100"/>
      <c r="AJ41" s="100"/>
      <c r="AK41" s="100"/>
      <c r="AL41" s="100"/>
      <c r="AM41" s="100"/>
      <c r="AN41" s="100"/>
      <c r="AO41" s="100"/>
      <c r="AP41" s="100"/>
      <c r="AQ41" s="100"/>
      <c r="AR41" s="100"/>
      <c r="AS41" s="100"/>
    </row>
    <row r="42" spans="1:45">
      <c r="A42" s="100"/>
      <c r="B42" s="100"/>
      <c r="C42" s="100"/>
      <c r="D42" s="100"/>
      <c r="E42" s="100"/>
      <c r="F42" s="100"/>
      <c r="G42" s="100"/>
      <c r="H42" s="100"/>
      <c r="I42" s="10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  <c r="AF42" s="100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100"/>
    </row>
    <row r="43" spans="1:45">
      <c r="A43" s="100"/>
      <c r="B43" s="100"/>
      <c r="C43" s="100"/>
      <c r="D43" s="100"/>
      <c r="E43" s="100"/>
      <c r="F43" s="100"/>
      <c r="G43" s="100"/>
      <c r="H43" s="100"/>
      <c r="I43" s="10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100"/>
    </row>
    <row r="44" spans="1:45">
      <c r="A44" s="100"/>
      <c r="B44" s="100"/>
      <c r="C44" s="100"/>
      <c r="D44" s="100"/>
      <c r="E44" s="100"/>
      <c r="F44" s="100"/>
      <c r="G44" s="100"/>
      <c r="H44" s="100"/>
      <c r="I44" s="10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  <c r="AL44" s="100"/>
      <c r="AM44" s="100"/>
      <c r="AN44" s="100"/>
      <c r="AO44" s="100"/>
      <c r="AP44" s="100"/>
      <c r="AQ44" s="100"/>
      <c r="AR44" s="100"/>
      <c r="AS44" s="100"/>
    </row>
    <row r="45" spans="1:45">
      <c r="A45" s="100"/>
      <c r="B45" s="100"/>
      <c r="C45" s="100"/>
      <c r="D45" s="100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100"/>
      <c r="AI45" s="100"/>
      <c r="AJ45" s="100"/>
      <c r="AK45" s="100"/>
      <c r="AL45" s="100"/>
      <c r="AM45" s="100"/>
      <c r="AN45" s="100"/>
      <c r="AO45" s="100"/>
      <c r="AP45" s="100"/>
      <c r="AQ45" s="100"/>
      <c r="AR45" s="100"/>
      <c r="AS45" s="100"/>
    </row>
    <row r="46" spans="1:45">
      <c r="A46" s="100"/>
      <c r="B46" s="100"/>
      <c r="C46" s="100"/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  <c r="AC46" s="100"/>
      <c r="AD46" s="100"/>
      <c r="AE46" s="100"/>
      <c r="AF46" s="100"/>
      <c r="AG46" s="100"/>
      <c r="AH46" s="100"/>
      <c r="AI46" s="100"/>
      <c r="AJ46" s="100"/>
      <c r="AK46" s="100"/>
      <c r="AL46" s="100"/>
      <c r="AM46" s="100"/>
      <c r="AN46" s="100"/>
      <c r="AO46" s="100"/>
      <c r="AP46" s="100"/>
      <c r="AQ46" s="100"/>
      <c r="AR46" s="100"/>
      <c r="AS46" s="100"/>
    </row>
    <row r="47" spans="1:45">
      <c r="A47" s="100"/>
      <c r="B47" s="100"/>
      <c r="C47" s="100"/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</row>
    <row r="48" spans="1:45">
      <c r="A48" s="100"/>
      <c r="B48" s="100"/>
      <c r="C48" s="100"/>
      <c r="D48" s="100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</row>
    <row r="49" spans="1:45">
      <c r="A49" s="100"/>
      <c r="B49" s="100"/>
      <c r="C49" s="100"/>
      <c r="D49" s="100"/>
      <c r="E49" s="100"/>
      <c r="F49" s="100"/>
      <c r="G49" s="100"/>
      <c r="H49" s="100"/>
      <c r="I49" s="100"/>
      <c r="J49" s="100"/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</row>
    <row r="50" spans="1:45">
      <c r="A50" s="100"/>
      <c r="B50" s="100"/>
      <c r="C50" s="100"/>
      <c r="D50" s="100"/>
      <c r="E50" s="100"/>
      <c r="F50" s="100"/>
      <c r="G50" s="100"/>
      <c r="H50" s="100"/>
      <c r="I50" s="100"/>
      <c r="J50" s="100"/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</row>
    <row r="51" spans="1:45">
      <c r="A51" s="100"/>
      <c r="B51" s="100"/>
      <c r="C51" s="100"/>
      <c r="D51" s="100"/>
      <c r="E51" s="100"/>
      <c r="F51" s="100"/>
      <c r="G51" s="100"/>
      <c r="H51" s="100"/>
      <c r="I51" s="100"/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/>
    </row>
    <row r="52" spans="1:45">
      <c r="A52" s="100"/>
      <c r="B52" s="100"/>
      <c r="C52" s="100"/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</row>
    <row r="53" spans="1:45">
      <c r="A53" s="100"/>
      <c r="B53" s="100"/>
      <c r="C53" s="100"/>
      <c r="D53" s="100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</row>
    <row r="54" spans="1:45">
      <c r="A54" s="100"/>
      <c r="B54" s="100"/>
      <c r="C54" s="100"/>
      <c r="D54" s="100"/>
      <c r="E54" s="100"/>
      <c r="F54" s="100"/>
      <c r="G54" s="100"/>
      <c r="H54" s="100"/>
      <c r="I54" s="100"/>
      <c r="J54" s="100"/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/>
      <c r="AQ54" s="100"/>
      <c r="AR54" s="100"/>
      <c r="AS54" s="100"/>
    </row>
    <row r="55" spans="1:45">
      <c r="A55" s="124"/>
      <c r="B55" s="124"/>
      <c r="C55" s="124"/>
      <c r="D55" s="124"/>
      <c r="E55" s="124"/>
      <c r="F55" s="124"/>
      <c r="G55" s="124"/>
      <c r="H55" s="124"/>
      <c r="I55" s="124"/>
      <c r="J55" s="124"/>
      <c r="K55" s="124"/>
      <c r="L55" s="124"/>
      <c r="M55" s="124"/>
      <c r="N55" s="124"/>
      <c r="O55" s="124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</row>
    <row r="56" spans="1:45">
      <c r="A56" s="124"/>
      <c r="B56" s="124"/>
      <c r="C56" s="124"/>
      <c r="D56" s="124"/>
      <c r="E56" s="124"/>
      <c r="F56" s="124"/>
      <c r="G56" s="124"/>
      <c r="H56" s="124"/>
      <c r="I56" s="124"/>
      <c r="J56" s="124"/>
      <c r="K56" s="124"/>
      <c r="L56" s="124"/>
      <c r="M56" s="124"/>
      <c r="N56" s="124"/>
      <c r="O56" s="124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</row>
    <row r="57" spans="1:45">
      <c r="A57" s="124"/>
      <c r="B57" s="124"/>
      <c r="C57" s="124"/>
      <c r="D57" s="124"/>
      <c r="E57" s="124"/>
      <c r="F57" s="124"/>
      <c r="G57" s="124"/>
      <c r="H57" s="124"/>
      <c r="I57" s="124"/>
      <c r="J57" s="124"/>
      <c r="K57" s="124"/>
      <c r="L57" s="124"/>
      <c r="M57" s="124"/>
      <c r="N57" s="124"/>
      <c r="O57" s="124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</row>
    <row r="58" spans="1:45">
      <c r="A58" s="124"/>
      <c r="B58" s="124"/>
      <c r="C58" s="124"/>
      <c r="D58" s="124"/>
      <c r="E58" s="124"/>
      <c r="F58" s="124"/>
      <c r="G58" s="124"/>
      <c r="H58" s="124"/>
      <c r="I58" s="124"/>
      <c r="J58" s="124"/>
      <c r="K58" s="124"/>
      <c r="L58" s="124"/>
      <c r="M58" s="124"/>
      <c r="N58" s="124"/>
      <c r="O58" s="124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</row>
    <row r="59" spans="1:45">
      <c r="A59" s="124"/>
      <c r="B59" s="124"/>
      <c r="C59" s="124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</row>
    <row r="60" spans="1:45">
      <c r="A60" s="124"/>
      <c r="B60" s="124"/>
      <c r="C60" s="124"/>
      <c r="D60" s="124"/>
      <c r="E60" s="124"/>
      <c r="F60" s="124"/>
      <c r="G60" s="124"/>
      <c r="H60" s="124"/>
      <c r="I60" s="124"/>
      <c r="J60" s="124"/>
      <c r="K60" s="124"/>
      <c r="L60" s="124"/>
      <c r="M60" s="124"/>
      <c r="N60" s="124"/>
      <c r="O60" s="124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/>
      <c r="AP60" s="100"/>
      <c r="AQ60" s="100"/>
      <c r="AR60" s="100"/>
      <c r="AS60" s="100"/>
    </row>
    <row r="61" spans="1:45">
      <c r="A61" s="124"/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</row>
    <row r="62" spans="1:45">
      <c r="A62" s="124"/>
      <c r="B62" s="124"/>
      <c r="C62" s="124"/>
      <c r="D62" s="124"/>
      <c r="E62" s="124"/>
      <c r="F62" s="124"/>
      <c r="G62" s="124"/>
      <c r="H62" s="124"/>
      <c r="I62" s="124"/>
      <c r="J62" s="124"/>
      <c r="K62" s="124"/>
      <c r="L62" s="124"/>
      <c r="M62" s="124"/>
      <c r="N62" s="124"/>
      <c r="O62" s="124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100"/>
      <c r="AC62" s="100"/>
      <c r="AD62" s="100"/>
      <c r="AE62" s="100"/>
      <c r="AF62" s="100"/>
      <c r="AG62" s="100"/>
      <c r="AH62" s="100"/>
      <c r="AI62" s="100"/>
      <c r="AJ62" s="100"/>
      <c r="AK62" s="100"/>
      <c r="AL62" s="100"/>
      <c r="AM62" s="100"/>
      <c r="AN62" s="100"/>
      <c r="AO62" s="100"/>
      <c r="AP62" s="100"/>
      <c r="AQ62" s="100"/>
      <c r="AR62" s="100"/>
      <c r="AS62" s="100"/>
    </row>
    <row r="63" spans="1:45">
      <c r="A63" s="124"/>
      <c r="B63" s="124"/>
      <c r="C63" s="124"/>
      <c r="D63" s="124"/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124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</row>
    <row r="64" spans="1:45">
      <c r="A64" s="124"/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</row>
    <row r="65" spans="1:45">
      <c r="A65" s="124"/>
      <c r="B65" s="124"/>
      <c r="C65" s="124"/>
      <c r="D65" s="124"/>
      <c r="E65" s="124"/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</row>
    <row r="66" spans="1:45">
      <c r="A66" s="124"/>
      <c r="B66" s="124"/>
      <c r="C66" s="124"/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124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</row>
    <row r="67" spans="1:45">
      <c r="A67" s="124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/>
      <c r="AJ67" s="100"/>
      <c r="AK67" s="100"/>
      <c r="AL67" s="100"/>
      <c r="AM67" s="100"/>
      <c r="AN67" s="100"/>
      <c r="AO67" s="100"/>
      <c r="AP67" s="100"/>
      <c r="AQ67" s="100"/>
      <c r="AR67" s="100"/>
      <c r="AS67" s="100"/>
    </row>
    <row r="68" spans="1:45">
      <c r="A68" s="124"/>
      <c r="B68" s="124"/>
      <c r="C68" s="124"/>
      <c r="D68" s="124"/>
      <c r="E68" s="124"/>
      <c r="F68" s="124"/>
      <c r="G68" s="124"/>
      <c r="H68" s="124"/>
      <c r="I68" s="124"/>
      <c r="J68" s="124"/>
      <c r="K68" s="124"/>
      <c r="L68" s="124"/>
      <c r="M68" s="124"/>
      <c r="N68" s="124"/>
      <c r="O68" s="124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</row>
    <row r="69" spans="1:45">
      <c r="A69" s="124"/>
      <c r="B69" s="124"/>
      <c r="C69" s="124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</row>
    <row r="70" spans="1:45">
      <c r="A70" s="124"/>
      <c r="B70" s="124"/>
      <c r="C70" s="124"/>
      <c r="D70" s="124"/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124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100"/>
      <c r="AC70" s="100"/>
      <c r="AD70" s="100"/>
      <c r="AE70" s="100"/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/>
      <c r="AQ70" s="100"/>
      <c r="AR70" s="100"/>
      <c r="AS70" s="100"/>
    </row>
    <row r="71" spans="1:45">
      <c r="A71" s="124"/>
      <c r="B71" s="124"/>
      <c r="C71" s="124"/>
      <c r="D71" s="124"/>
      <c r="E71" s="124"/>
      <c r="F71" s="124"/>
      <c r="G71" s="124"/>
      <c r="H71" s="124"/>
      <c r="I71" s="124"/>
      <c r="J71" s="124"/>
      <c r="K71" s="124"/>
      <c r="L71" s="124"/>
      <c r="M71" s="124"/>
      <c r="N71" s="124"/>
      <c r="O71" s="124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/>
      <c r="AE71" s="100"/>
      <c r="AF71" s="100"/>
      <c r="AG71" s="100"/>
      <c r="AH71" s="100"/>
      <c r="AI71" s="100"/>
      <c r="AJ71" s="100"/>
      <c r="AK71" s="100"/>
      <c r="AL71" s="100"/>
      <c r="AM71" s="100"/>
      <c r="AN71" s="100"/>
      <c r="AO71" s="100"/>
      <c r="AP71" s="100"/>
      <c r="AQ71" s="100"/>
      <c r="AR71" s="100"/>
      <c r="AS71" s="100"/>
    </row>
    <row r="72" spans="1:45">
      <c r="A72" s="124"/>
      <c r="B72" s="124"/>
      <c r="C72" s="124"/>
      <c r="D72" s="124"/>
      <c r="E72" s="124"/>
      <c r="F72" s="124"/>
      <c r="G72" s="124"/>
      <c r="H72" s="124"/>
      <c r="I72" s="124"/>
      <c r="J72" s="124"/>
      <c r="K72" s="124"/>
      <c r="L72" s="124"/>
      <c r="M72" s="124"/>
      <c r="N72" s="124"/>
      <c r="O72" s="124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</row>
    <row r="73" spans="1:45">
      <c r="A73" s="124"/>
      <c r="B73" s="124"/>
      <c r="C73" s="124"/>
      <c r="D73" s="124"/>
      <c r="E73" s="124"/>
      <c r="F73" s="124"/>
      <c r="G73" s="124"/>
      <c r="H73" s="124"/>
      <c r="I73" s="124"/>
      <c r="J73" s="124"/>
      <c r="K73" s="124"/>
      <c r="L73" s="124"/>
      <c r="M73" s="124"/>
      <c r="N73" s="124"/>
      <c r="O73" s="124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</row>
    <row r="74" spans="1:45">
      <c r="A74" s="124"/>
      <c r="B74" s="124"/>
      <c r="C74" s="124"/>
      <c r="D74" s="124"/>
      <c r="E74" s="124"/>
      <c r="F74" s="124"/>
      <c r="G74" s="124"/>
      <c r="H74" s="124"/>
      <c r="I74" s="124"/>
      <c r="J74" s="124"/>
      <c r="K74" s="124"/>
      <c r="L74" s="124"/>
      <c r="M74" s="124"/>
      <c r="N74" s="124"/>
      <c r="O74" s="124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/>
      <c r="AM74" s="100"/>
      <c r="AN74" s="100"/>
      <c r="AO74" s="100"/>
      <c r="AP74" s="100"/>
      <c r="AQ74" s="100"/>
      <c r="AR74" s="100"/>
      <c r="AS74" s="100"/>
    </row>
    <row r="75" spans="1:45">
      <c r="A75" s="124"/>
      <c r="B75" s="124"/>
      <c r="C75" s="124"/>
      <c r="D75" s="124"/>
      <c r="E75" s="124"/>
      <c r="F75" s="124"/>
      <c r="G75" s="124"/>
      <c r="H75" s="124"/>
      <c r="I75" s="124"/>
      <c r="J75" s="124"/>
      <c r="K75" s="124"/>
      <c r="L75" s="124"/>
      <c r="M75" s="124"/>
      <c r="N75" s="124"/>
      <c r="O75" s="124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</row>
    <row r="76" spans="1:45">
      <c r="A76" s="124"/>
      <c r="B76" s="124"/>
      <c r="C76" s="124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B76" s="100"/>
      <c r="AC76" s="100"/>
      <c r="AD76" s="100"/>
      <c r="AE76" s="100"/>
      <c r="AF76" s="100"/>
      <c r="AG76" s="100"/>
      <c r="AH76" s="100"/>
      <c r="AI76" s="100"/>
      <c r="AJ76" s="100"/>
      <c r="AK76" s="100"/>
      <c r="AL76" s="100"/>
      <c r="AM76" s="100"/>
      <c r="AN76" s="100"/>
      <c r="AO76" s="100"/>
      <c r="AP76" s="100"/>
      <c r="AQ76" s="100"/>
      <c r="AR76" s="100"/>
      <c r="AS76" s="100"/>
    </row>
    <row r="77" spans="1:45">
      <c r="A77" s="124"/>
      <c r="B77" s="124"/>
      <c r="C77" s="124"/>
      <c r="D77" s="124"/>
      <c r="E77" s="124"/>
      <c r="F77" s="124"/>
      <c r="G77" s="124"/>
      <c r="H77" s="124"/>
      <c r="I77" s="124"/>
      <c r="J77" s="124"/>
      <c r="K77" s="124"/>
      <c r="L77" s="124"/>
      <c r="M77" s="124"/>
      <c r="N77" s="124"/>
      <c r="O77" s="124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  <c r="AE77" s="100"/>
      <c r="AF77" s="100"/>
      <c r="AG77" s="100"/>
      <c r="AH77" s="100"/>
      <c r="AI77" s="100"/>
      <c r="AJ77" s="100"/>
      <c r="AK77" s="100"/>
      <c r="AL77" s="100"/>
      <c r="AM77" s="100"/>
      <c r="AN77" s="100"/>
      <c r="AO77" s="100"/>
      <c r="AP77" s="100"/>
      <c r="AQ77" s="100"/>
      <c r="AR77" s="100"/>
      <c r="AS77" s="100"/>
    </row>
    <row r="78" spans="1:45">
      <c r="A78" s="124"/>
      <c r="B78" s="124"/>
      <c r="C78" s="124"/>
      <c r="D78" s="124"/>
      <c r="E78" s="124"/>
      <c r="F78" s="124"/>
      <c r="G78" s="124"/>
      <c r="H78" s="124"/>
      <c r="I78" s="124"/>
      <c r="J78" s="124"/>
      <c r="K78" s="124"/>
      <c r="L78" s="124"/>
      <c r="M78" s="124"/>
      <c r="N78" s="124"/>
      <c r="O78" s="124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100"/>
      <c r="AC78" s="100"/>
      <c r="AD78" s="100"/>
      <c r="AE78" s="100"/>
      <c r="AF78" s="100"/>
      <c r="AG78" s="100"/>
      <c r="AH78" s="100"/>
      <c r="AI78" s="100"/>
      <c r="AJ78" s="100"/>
      <c r="AK78" s="100"/>
      <c r="AL78" s="100"/>
      <c r="AM78" s="100"/>
      <c r="AN78" s="100"/>
      <c r="AO78" s="100"/>
      <c r="AP78" s="100"/>
      <c r="AQ78" s="100"/>
      <c r="AR78" s="100"/>
      <c r="AS78" s="100"/>
    </row>
    <row r="79" spans="1:45">
      <c r="A79" s="124"/>
      <c r="B79" s="124"/>
      <c r="C79" s="124"/>
      <c r="D79" s="124"/>
      <c r="E79" s="124"/>
      <c r="F79" s="124"/>
      <c r="G79" s="124"/>
      <c r="H79" s="124"/>
      <c r="I79" s="124"/>
      <c r="J79" s="124"/>
      <c r="K79" s="124"/>
      <c r="L79" s="124"/>
      <c r="M79" s="124"/>
      <c r="N79" s="124"/>
      <c r="O79" s="124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00"/>
      <c r="AH79" s="100"/>
      <c r="AI79" s="100"/>
      <c r="AJ79" s="100"/>
      <c r="AK79" s="100"/>
      <c r="AL79" s="100"/>
      <c r="AM79" s="100"/>
      <c r="AN79" s="100"/>
      <c r="AO79" s="100"/>
      <c r="AP79" s="100"/>
      <c r="AQ79" s="100"/>
      <c r="AR79" s="100"/>
      <c r="AS79" s="100"/>
    </row>
    <row r="80" spans="1:45">
      <c r="A80" s="124"/>
      <c r="B80" s="124"/>
      <c r="C80" s="124"/>
      <c r="D80" s="124"/>
      <c r="E80" s="124"/>
      <c r="F80" s="124"/>
      <c r="G80" s="124"/>
      <c r="H80" s="124"/>
      <c r="I80" s="124"/>
      <c r="J80" s="124"/>
      <c r="K80" s="124"/>
      <c r="L80" s="124"/>
      <c r="M80" s="124"/>
      <c r="N80" s="124"/>
      <c r="O80" s="124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  <c r="AD80" s="100"/>
      <c r="AE80" s="100"/>
      <c r="AF80" s="100"/>
      <c r="AG80" s="100"/>
      <c r="AH80" s="100"/>
      <c r="AI80" s="100"/>
      <c r="AJ80" s="100"/>
      <c r="AK80" s="100"/>
      <c r="AL80" s="100"/>
      <c r="AM80" s="100"/>
      <c r="AN80" s="100"/>
      <c r="AO80" s="100"/>
      <c r="AP80" s="100"/>
      <c r="AQ80" s="100"/>
      <c r="AR80" s="100"/>
      <c r="AS80" s="100"/>
    </row>
    <row r="81" spans="1:45">
      <c r="A81" s="124"/>
      <c r="B81" s="124"/>
      <c r="C81" s="124"/>
      <c r="D81" s="124"/>
      <c r="E81" s="124"/>
      <c r="F81" s="124"/>
      <c r="G81" s="124"/>
      <c r="H81" s="124"/>
      <c r="I81" s="124"/>
      <c r="J81" s="124"/>
      <c r="K81" s="124"/>
      <c r="L81" s="124"/>
      <c r="M81" s="124"/>
      <c r="N81" s="124"/>
      <c r="O81" s="124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00"/>
      <c r="AH81" s="100"/>
      <c r="AI81" s="100"/>
      <c r="AJ81" s="100"/>
      <c r="AK81" s="100"/>
      <c r="AL81" s="100"/>
      <c r="AM81" s="100"/>
      <c r="AN81" s="100"/>
      <c r="AO81" s="100"/>
      <c r="AP81" s="100"/>
      <c r="AQ81" s="100"/>
      <c r="AR81" s="100"/>
      <c r="AS81" s="100"/>
    </row>
    <row r="82" spans="1:45">
      <c r="A82" s="124"/>
      <c r="B82" s="124"/>
      <c r="C82" s="124"/>
      <c r="D82" s="124"/>
      <c r="E82" s="124"/>
      <c r="F82" s="124"/>
      <c r="G82" s="124"/>
      <c r="H82" s="124"/>
      <c r="I82" s="124"/>
      <c r="J82" s="124"/>
      <c r="K82" s="124"/>
      <c r="L82" s="124"/>
      <c r="M82" s="124"/>
      <c r="N82" s="124"/>
      <c r="O82" s="124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/>
      <c r="AF82" s="100"/>
      <c r="AG82" s="100"/>
      <c r="AH82" s="100"/>
      <c r="AI82" s="100"/>
      <c r="AJ82" s="100"/>
      <c r="AK82" s="100"/>
      <c r="AL82" s="100"/>
      <c r="AM82" s="100"/>
      <c r="AN82" s="100"/>
      <c r="AO82" s="100"/>
      <c r="AP82" s="100"/>
      <c r="AQ82" s="100"/>
      <c r="AR82" s="100"/>
      <c r="AS82" s="100"/>
    </row>
    <row r="83" spans="1:45">
      <c r="A83" s="124"/>
      <c r="B83" s="124"/>
      <c r="C83" s="124"/>
      <c r="D83" s="124"/>
      <c r="E83" s="124"/>
      <c r="F83" s="124"/>
      <c r="G83" s="124"/>
      <c r="H83" s="124"/>
      <c r="I83" s="124"/>
      <c r="J83" s="124"/>
      <c r="K83" s="124"/>
      <c r="L83" s="124"/>
      <c r="M83" s="124"/>
      <c r="N83" s="124"/>
      <c r="O83" s="124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  <c r="AF83" s="100"/>
      <c r="AG83" s="100"/>
      <c r="AH83" s="100"/>
      <c r="AI83" s="100"/>
      <c r="AJ83" s="100"/>
      <c r="AK83" s="100"/>
      <c r="AL83" s="100"/>
      <c r="AM83" s="100"/>
      <c r="AN83" s="100"/>
      <c r="AO83" s="100"/>
      <c r="AP83" s="100"/>
      <c r="AQ83" s="100"/>
      <c r="AR83" s="100"/>
      <c r="AS83" s="100"/>
    </row>
  </sheetData>
  <sheetProtection selectLockedCells="1"/>
  <mergeCells count="13">
    <mergeCell ref="A1:L1"/>
    <mergeCell ref="G16:H16"/>
    <mergeCell ref="L29:L31"/>
    <mergeCell ref="L2:L12"/>
    <mergeCell ref="L13:L23"/>
    <mergeCell ref="L24:L28"/>
    <mergeCell ref="B20:C20"/>
    <mergeCell ref="G25:H25"/>
    <mergeCell ref="G20:H20"/>
    <mergeCell ref="G27:H27"/>
    <mergeCell ref="G22:H22"/>
    <mergeCell ref="G18:H18"/>
    <mergeCell ref="G14:H14"/>
  </mergeCells>
  <dataValidations xWindow="1055" yWindow="537" count="19">
    <dataValidation type="whole" allowBlank="1" showInputMessage="1" showErrorMessage="1" sqref="C5">
      <formula1>0</formula1>
      <formula2>AgePlusDuration-H5</formula2>
    </dataValidation>
    <dataValidation type="whole" allowBlank="1" showInputMessage="1" showErrorMessage="1" prompt="ضریب تعدیل سرمایه فوت بایستی کمتر یا مساوی ضریب تعدیل حق بیمه بوده و بین 0 تا 20 انتخاب گردد." sqref="C11:C12">
      <formula1>0</formula1>
      <formula2>C7</formula2>
    </dataValidation>
    <dataValidation type="whole" allowBlank="1" showInputMessage="1" showErrorMessage="1" sqref="H5">
      <formula1>0</formula1>
      <formula2>AgePlusDuration-C5</formula2>
    </dataValidation>
    <dataValidation type="list" allowBlank="1" showInputMessage="1" showErrorMessage="1" sqref="G19 G21">
      <formula1>"بله,خیر"</formula1>
    </dataValidation>
    <dataValidation type="whole" operator="greaterThan" allowBlank="1" showInputMessage="1" showErrorMessage="1" sqref="S1">
      <formula1>-1</formula1>
    </dataValidation>
    <dataValidation type="list" allowBlank="1" showInputMessage="1" showErrorMessage="1" sqref="C22:C23">
      <formula1>"1,2,3"</formula1>
    </dataValidation>
    <dataValidation type="whole" allowBlank="1" showInputMessage="1" showErrorMessage="1" sqref="C25">
      <formula1>0</formula1>
      <formula2>25</formula2>
    </dataValidation>
    <dataValidation type="whole" allowBlank="1" showInputMessage="1" showErrorMessage="1" sqref="C27">
      <formula1>0</formula1>
      <formula2>50</formula2>
    </dataValidation>
    <dataValidation type="whole" allowBlank="1" showInputMessage="1" showErrorMessage="1" sqref="C15">
      <formula1>0</formula1>
      <formula2>30</formula2>
    </dataValidation>
    <dataValidation type="list" allowBlank="1" showInputMessage="1" showErrorMessage="1" sqref="B20">
      <formula1>"1,2,3,4,5"</formula1>
    </dataValidation>
    <dataValidation type="whole" allowBlank="1" showInputMessage="1" showErrorMessage="1" sqref="C13 C18">
      <formula1>0</formula1>
      <formula2>20</formula2>
    </dataValidation>
    <dataValidation type="whole" allowBlank="1" showInputMessage="1" showErrorMessage="1" prompt="ضریب تعدیل حق بیمه بایستی بین 0 تا 20 انتخاب گردد." sqref="C7">
      <formula1>0</formula1>
      <formula2>20</formula2>
    </dataValidation>
    <dataValidation type="list" allowBlank="1" showInputMessage="1" showErrorMessage="1" prompt="در صورت خرید پوشش فوت در اثر حادثه و معافیت از پرداخت حق بیمه قابل ارائه می باشد" sqref="G23:H23">
      <formula1>"بله,خیر"</formula1>
    </dataValidation>
    <dataValidation type="whole" allowBlank="1" showInputMessage="1" showErrorMessage="1" sqref="C16">
      <formula1>0</formula1>
      <formula2>100</formula2>
    </dataValidation>
    <dataValidation type="list" allowBlank="1" showInputMessage="1" showErrorMessage="1" sqref="H15 C14">
      <formula1>"0,1,2,3"</formula1>
    </dataValidation>
    <dataValidation type="list" allowBlank="1" showInputMessage="1" showErrorMessage="1" prompt="برای افراد زیر یکسال هیچ پوشش تکمیلی ارائه نمی گردد._x000a_برای افراد بین 1تا6 سال و همچنین افراد بالای 70 سال به میزان یک برابر سرمایه فوت به هر علت ارائه می گردد." sqref="G14:H14">
      <formula1>"Yes, No"</formula1>
    </dataValidation>
    <dataValidation type="list" allowBlank="1" showInputMessage="1" showErrorMessage="1" sqref="D3">
      <formula1>"سالیانه,شش‌ماهه,سه‌ماهه,ماهیانه"</formula1>
    </dataValidation>
    <dataValidation type="list" allowBlank="1" showInputMessage="1" showErrorMessage="1" sqref="C3">
      <formula1>"Annually, Quarterly, Semi-Annually, Monthly"</formula1>
    </dataValidation>
    <dataValidation type="list" allowBlank="1" showInputMessage="1" showErrorMessage="1" sqref="G16:H16 G18:H18 G20:H20 G22:H22 G25:H25 G27:H27">
      <formula1>"Yes, No"</formula1>
    </dataValidation>
  </dataValidation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M20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D5" sqref="D5"/>
    </sheetView>
  </sheetViews>
  <sheetFormatPr defaultRowHeight="15"/>
  <cols>
    <col min="1" max="1" width="11" style="84" customWidth="1"/>
    <col min="2" max="2" width="15.85546875" style="84" customWidth="1"/>
    <col min="3" max="3" width="16.42578125" style="84" bestFit="1" customWidth="1"/>
    <col min="4" max="4" width="19" style="84" customWidth="1"/>
    <col min="5" max="5" width="24" style="84" customWidth="1"/>
    <col min="6" max="6" width="22.28515625" style="84" customWidth="1"/>
    <col min="7" max="7" width="18" style="84" bestFit="1" customWidth="1"/>
    <col min="8" max="8" width="20.42578125" style="84" customWidth="1"/>
    <col min="9" max="9" width="20.42578125" style="83" hidden="1" customWidth="1"/>
    <col min="10" max="10" width="20.85546875" style="84" customWidth="1"/>
    <col min="11" max="11" width="25.42578125" style="84" customWidth="1"/>
    <col min="12" max="12" width="19.140625" style="84" customWidth="1"/>
    <col min="13" max="13" width="21.5703125" style="84" customWidth="1"/>
    <col min="14" max="16384" width="9.140625" style="84"/>
  </cols>
  <sheetData>
    <row r="1" spans="1:13" s="87" customFormat="1" ht="56.25" customHeight="1">
      <c r="A1" s="91" t="s">
        <v>80</v>
      </c>
      <c r="B1" s="91" t="s">
        <v>91</v>
      </c>
      <c r="C1" s="91" t="s">
        <v>92</v>
      </c>
      <c r="D1" s="91" t="s">
        <v>81</v>
      </c>
      <c r="E1" s="91" t="s">
        <v>82</v>
      </c>
      <c r="F1" s="91" t="s">
        <v>83</v>
      </c>
      <c r="G1" s="96" t="s">
        <v>89</v>
      </c>
      <c r="H1" s="91" t="s">
        <v>84</v>
      </c>
      <c r="I1" s="95" t="s">
        <v>88</v>
      </c>
      <c r="J1" s="91" t="s">
        <v>90</v>
      </c>
      <c r="K1" s="91" t="s">
        <v>85</v>
      </c>
      <c r="L1" s="91" t="s">
        <v>86</v>
      </c>
      <c r="M1" s="92" t="s">
        <v>87</v>
      </c>
    </row>
    <row r="2" spans="1:13" ht="23.25">
      <c r="A2" s="94">
        <v>0</v>
      </c>
      <c r="B2" s="93">
        <v>0</v>
      </c>
      <c r="C2" s="93">
        <v>0</v>
      </c>
      <c r="D2" s="93">
        <v>0</v>
      </c>
      <c r="E2" s="93"/>
      <c r="F2" s="93"/>
      <c r="G2" s="93"/>
      <c r="H2" s="93"/>
      <c r="I2" s="85">
        <f>IF($L$2=Table5[[#This Row],[YEAR]]-(IF($M$2&gt;0,IF($M$2&lt;12,1,0),0)),1,0)</f>
        <v>0</v>
      </c>
      <c r="J2" s="93"/>
      <c r="K2" s="99">
        <f>INSURING_COST</f>
        <v>1500000</v>
      </c>
      <c r="L2" s="97">
        <v>14</v>
      </c>
      <c r="M2" s="98">
        <v>11</v>
      </c>
    </row>
    <row r="3" spans="1:13">
      <c r="A3" s="85">
        <f>'Annual Calculation'!B2</f>
        <v>1</v>
      </c>
      <c r="B3" s="86">
        <f>'Annual Calculation'!CC2</f>
        <v>90382589</v>
      </c>
      <c r="C3" s="86">
        <f>'Annual Calculation'!CE2</f>
        <v>106651455.02</v>
      </c>
      <c r="D3" s="86">
        <v>0.18</v>
      </c>
      <c r="E3" s="86">
        <f>IF(Table5[[#This Row],[YEAR]]&lt;&gt;0,C2+B3,0)</f>
        <v>90382589</v>
      </c>
      <c r="F3" s="86">
        <f t="shared" ref="F3:F12" si="0">(1+D3)^($M$2/12)</f>
        <v>1.1638361427938455</v>
      </c>
      <c r="G3" s="86">
        <f>E3*F3</f>
        <v>105190523.75748146</v>
      </c>
      <c r="H3" s="86">
        <f t="shared" ref="H3:H23" si="1">IF(A3=0,0,IF(A3&gt;5,0,(5-A3+((12-$M$2)/12))*$K$2))</f>
        <v>6125000</v>
      </c>
      <c r="I3" s="85">
        <f>IF($L$2=Table5[[#This Row],[YEAR]]-(IF($M$2&gt;0,IF($M$2&lt;12,1,0),0)),1,0)</f>
        <v>0</v>
      </c>
      <c r="J3" s="86">
        <f t="shared" ref="J3:J12" si="2">G3-H3</f>
        <v>99065523.757481456</v>
      </c>
      <c r="K3" s="86"/>
      <c r="L3" s="86"/>
      <c r="M3" s="88"/>
    </row>
    <row r="4" spans="1:13">
      <c r="A4" s="85">
        <f>'Annual Calculation'!B3</f>
        <v>2</v>
      </c>
      <c r="B4" s="86">
        <f>'Annual Calculation'!CC3</f>
        <v>102624047</v>
      </c>
      <c r="C4" s="86">
        <f>'Annual Calculation'!CE3</f>
        <v>246945092</v>
      </c>
      <c r="D4" s="86">
        <v>0.18</v>
      </c>
      <c r="E4" s="86">
        <f>IF(Table5[[#This Row],[YEAR]]&lt;&gt;0,C3+B4,0)</f>
        <v>209275502.01999998</v>
      </c>
      <c r="F4" s="86">
        <f t="shared" si="0"/>
        <v>1.1638361427938455</v>
      </c>
      <c r="G4" s="86">
        <f>E4*F4</f>
        <v>243562393.0522024</v>
      </c>
      <c r="H4" s="86">
        <f t="shared" si="1"/>
        <v>4625000</v>
      </c>
      <c r="I4" s="85">
        <f>IF($L$2=Table5[[#This Row],[YEAR]]-(IF($M$2&gt;0,IF($M$2&lt;12,1,0),0)),1,0)</f>
        <v>0</v>
      </c>
      <c r="J4" s="86">
        <f t="shared" si="2"/>
        <v>238937393.0522024</v>
      </c>
      <c r="K4" s="86"/>
      <c r="L4" s="86"/>
      <c r="M4" s="88"/>
    </row>
    <row r="5" spans="1:13">
      <c r="A5" s="85">
        <f>'Annual Calculation'!B4</f>
        <v>3</v>
      </c>
      <c r="B5" s="86">
        <f>'Annual Calculation'!CC4</f>
        <v>124755190</v>
      </c>
      <c r="C5" s="86">
        <f>'Annual Calculation'!CE4</f>
        <v>438606333</v>
      </c>
      <c r="D5" s="86">
        <v>0.18</v>
      </c>
      <c r="E5" s="86">
        <f>IF(Table5[[#This Row],[YEAR]]&lt;&gt;0,C4+B5,0)</f>
        <v>371700282</v>
      </c>
      <c r="F5" s="86">
        <f t="shared" si="0"/>
        <v>1.1638361427938455</v>
      </c>
      <c r="G5" s="86">
        <f>E5*F5</f>
        <v>432598222.47826463</v>
      </c>
      <c r="H5" s="86">
        <f t="shared" si="1"/>
        <v>3125000</v>
      </c>
      <c r="I5" s="85">
        <f>IF($L$2=Table5[[#This Row],[YEAR]]-(IF($M$2&gt;0,IF($M$2&lt;12,1,0),0)),1,0)</f>
        <v>0</v>
      </c>
      <c r="J5" s="86">
        <f t="shared" si="2"/>
        <v>429473222.47826463</v>
      </c>
      <c r="K5" s="86"/>
      <c r="L5" s="86"/>
      <c r="M5" s="88"/>
    </row>
    <row r="6" spans="1:13">
      <c r="A6" s="85">
        <f>'Annual Calculation'!B5</f>
        <v>4</v>
      </c>
      <c r="B6" s="86">
        <f>'Annual Calculation'!CC5</f>
        <v>150984850</v>
      </c>
      <c r="C6" s="86">
        <f>'Annual Calculation'!CE5</f>
        <v>695717596</v>
      </c>
      <c r="D6" s="86">
        <v>0.18</v>
      </c>
      <c r="E6" s="86">
        <f>IF(Table5[[#This Row],[YEAR]]&lt;&gt;0,C5+B6,0)</f>
        <v>589591183</v>
      </c>
      <c r="F6" s="86">
        <f t="shared" si="0"/>
        <v>1.1638361427938455</v>
      </c>
      <c r="G6" s="86">
        <f t="shared" ref="G6:G12" si="3">E6*F6</f>
        <v>686187528.24798036</v>
      </c>
      <c r="H6" s="86">
        <f t="shared" si="1"/>
        <v>1625000</v>
      </c>
      <c r="I6" s="85">
        <f>IF($L$2=Table5[[#This Row],[YEAR]]-(IF($M$2&gt;0,IF($M$2&lt;12,1,0),0)),1,0)</f>
        <v>0</v>
      </c>
      <c r="J6" s="86">
        <f t="shared" si="2"/>
        <v>684562528.24798036</v>
      </c>
      <c r="K6" s="86"/>
      <c r="L6" s="86"/>
      <c r="M6" s="88"/>
    </row>
    <row r="7" spans="1:13">
      <c r="A7" s="85">
        <f>'Annual Calculation'!B6</f>
        <v>5</v>
      </c>
      <c r="B7" s="86">
        <f>'Annual Calculation'!CC6</f>
        <v>183119585</v>
      </c>
      <c r="C7" s="86">
        <f>'Annual Calculation'!CE6</f>
        <v>1037027874</v>
      </c>
      <c r="D7" s="86">
        <v>0.18</v>
      </c>
      <c r="E7" s="86">
        <f>IF(Table5[[#This Row],[YEAR]]&lt;&gt;0,C6+B7,0)</f>
        <v>878837181</v>
      </c>
      <c r="F7" s="86">
        <f t="shared" si="0"/>
        <v>1.1638361427938455</v>
      </c>
      <c r="G7" s="86">
        <f t="shared" si="3"/>
        <v>1022822474.8788567</v>
      </c>
      <c r="H7" s="86">
        <f t="shared" si="1"/>
        <v>125000</v>
      </c>
      <c r="I7" s="85">
        <f>IF($L$2=Table5[[#This Row],[YEAR]]-(IF($M$2&gt;0,IF($M$2&lt;12,1,0),0)),1,0)</f>
        <v>0</v>
      </c>
      <c r="J7" s="86">
        <f t="shared" si="2"/>
        <v>1022697474.8788567</v>
      </c>
      <c r="K7" s="86"/>
      <c r="L7" s="86"/>
      <c r="M7" s="88"/>
    </row>
    <row r="8" spans="1:13">
      <c r="A8" s="85">
        <f>'Annual Calculation'!B7</f>
        <v>6</v>
      </c>
      <c r="B8" s="86">
        <f>'Annual Calculation'!CC7</f>
        <v>226996152</v>
      </c>
      <c r="C8" s="86">
        <f>'Annual Calculation'!CE7</f>
        <v>1453627630</v>
      </c>
      <c r="D8" s="86">
        <v>0.15</v>
      </c>
      <c r="E8" s="86">
        <f>IF(Table5[[#This Row],[YEAR]]&lt;&gt;0,C7+B8,0)</f>
        <v>1264024026</v>
      </c>
      <c r="F8" s="86">
        <f t="shared" si="0"/>
        <v>1.1366838432126245</v>
      </c>
      <c r="G8" s="86">
        <f t="shared" si="3"/>
        <v>1436795687.7867744</v>
      </c>
      <c r="H8" s="86">
        <f t="shared" si="1"/>
        <v>0</v>
      </c>
      <c r="I8" s="85">
        <f>IF($L$2=Table5[[#This Row],[YEAR]]-(IF($M$2&gt;0,IF($M$2&lt;12,1,0),0)),1,0)</f>
        <v>0</v>
      </c>
      <c r="J8" s="86">
        <f t="shared" si="2"/>
        <v>1436795687.7867744</v>
      </c>
      <c r="K8" s="86"/>
      <c r="L8" s="86"/>
      <c r="M8" s="88"/>
    </row>
    <row r="9" spans="1:13">
      <c r="A9" s="85">
        <f>'Annual Calculation'!B8</f>
        <v>7</v>
      </c>
      <c r="B9" s="86">
        <f>'Annual Calculation'!CC8</f>
        <v>273809593</v>
      </c>
      <c r="C9" s="86">
        <f>'Annual Calculation'!CE8</f>
        <v>1986552806</v>
      </c>
      <c r="D9" s="86">
        <v>0.15</v>
      </c>
      <c r="E9" s="86">
        <f>IF(Table5[[#This Row],[YEAR]]&lt;&gt;0,C8+B9,0)</f>
        <v>1727437223</v>
      </c>
      <c r="F9" s="86">
        <f t="shared" si="0"/>
        <v>1.1366838432126245</v>
      </c>
      <c r="G9" s="86">
        <f t="shared" si="3"/>
        <v>1963549981.5481834</v>
      </c>
      <c r="H9" s="86">
        <f t="shared" si="1"/>
        <v>0</v>
      </c>
      <c r="I9" s="85">
        <f>IF($L$2=Table5[[#This Row],[YEAR]]-(IF($M$2&gt;0,IF($M$2&lt;12,1,0),0)),1,0)</f>
        <v>0</v>
      </c>
      <c r="J9" s="86">
        <f t="shared" si="2"/>
        <v>1963549981.5481834</v>
      </c>
      <c r="K9" s="86"/>
      <c r="L9" s="86"/>
      <c r="M9" s="88"/>
    </row>
    <row r="10" spans="1:13">
      <c r="A10" s="85">
        <f>'Annual Calculation'!B9</f>
        <v>8</v>
      </c>
      <c r="B10" s="86">
        <f>'Annual Calculation'!CC9</f>
        <v>330137947</v>
      </c>
      <c r="C10" s="86">
        <f>'Annual Calculation'!CE9</f>
        <v>2664194366</v>
      </c>
      <c r="D10" s="86">
        <v>0.15</v>
      </c>
      <c r="E10" s="86">
        <f>IF(Table5[[#This Row],[YEAR]]&lt;&gt;0,C9+B10,0)</f>
        <v>2316690753</v>
      </c>
      <c r="F10" s="86">
        <f t="shared" si="0"/>
        <v>1.1366838432126245</v>
      </c>
      <c r="G10" s="86">
        <f t="shared" si="3"/>
        <v>2633344948.655189</v>
      </c>
      <c r="H10" s="86">
        <f t="shared" si="1"/>
        <v>0</v>
      </c>
      <c r="I10" s="85">
        <f>IF($L$2=Table5[[#This Row],[YEAR]]-(IF($M$2&gt;0,IF($M$2&lt;12,1,0),0)),1,0)</f>
        <v>0</v>
      </c>
      <c r="J10" s="86">
        <f t="shared" si="2"/>
        <v>2633344948.655189</v>
      </c>
      <c r="K10" s="86"/>
      <c r="L10" s="86"/>
      <c r="M10" s="88"/>
    </row>
    <row r="11" spans="1:13">
      <c r="A11" s="85">
        <f>'Annual Calculation'!B10</f>
        <v>9</v>
      </c>
      <c r="B11" s="86">
        <f>'Annual Calculation'!CC10</f>
        <v>397662808</v>
      </c>
      <c r="C11" s="86">
        <f>'Annual Calculation'!CE10</f>
        <v>3521135750</v>
      </c>
      <c r="D11" s="86">
        <v>0.15</v>
      </c>
      <c r="E11" s="86">
        <f>IF(Table5[[#This Row],[YEAR]]&lt;&gt;0,C10+B11,0)</f>
        <v>3061857174</v>
      </c>
      <c r="F11" s="86">
        <f t="shared" si="0"/>
        <v>1.1366838432126245</v>
      </c>
      <c r="G11" s="86">
        <f t="shared" si="3"/>
        <v>3480363579.9104657</v>
      </c>
      <c r="H11" s="86">
        <f t="shared" si="1"/>
        <v>0</v>
      </c>
      <c r="I11" s="85">
        <f>IF($L$2=Table5[[#This Row],[YEAR]]-(IF($M$2&gt;0,IF($M$2&lt;12,1,0),0)),1,0)</f>
        <v>0</v>
      </c>
      <c r="J11" s="86">
        <f t="shared" si="2"/>
        <v>3480363579.9104657</v>
      </c>
      <c r="K11" s="86"/>
      <c r="L11" s="86"/>
      <c r="M11" s="88"/>
    </row>
    <row r="12" spans="1:13">
      <c r="A12" s="85">
        <f>'Annual Calculation'!B11</f>
        <v>10</v>
      </c>
      <c r="B12" s="89">
        <f>'Annual Calculation'!CC11</f>
        <v>479208457</v>
      </c>
      <c r="C12" s="89">
        <f>'Annual Calculation'!CE11</f>
        <v>4600395838</v>
      </c>
      <c r="D12" s="89">
        <v>0.15</v>
      </c>
      <c r="E12" s="86">
        <f>IF(Table5[[#This Row],[YEAR]]&lt;&gt;0,C11+B12,0)</f>
        <v>4000344207</v>
      </c>
      <c r="F12" s="89">
        <f t="shared" si="0"/>
        <v>1.1366838432126245</v>
      </c>
      <c r="G12" s="89">
        <f t="shared" si="3"/>
        <v>4547126627.3861189</v>
      </c>
      <c r="H12" s="86">
        <f t="shared" si="1"/>
        <v>0</v>
      </c>
      <c r="I12" s="85">
        <f>IF($L$2=Table5[[#This Row],[YEAR]]-(IF($M$2&gt;0,IF($M$2&lt;12,1,0),0)),1,0)</f>
        <v>0</v>
      </c>
      <c r="J12" s="89">
        <f t="shared" si="2"/>
        <v>4547126627.3861189</v>
      </c>
      <c r="K12" s="89"/>
      <c r="L12" s="89"/>
      <c r="M12" s="90"/>
    </row>
    <row r="13" spans="1:13">
      <c r="A13" s="85">
        <f>'Annual Calculation'!B12</f>
        <v>11</v>
      </c>
      <c r="B13" s="86">
        <f>'Annual Calculation'!CC12</f>
        <v>575882383</v>
      </c>
      <c r="C13" s="86">
        <f>'Annual Calculation'!CE12</f>
        <v>5952719954</v>
      </c>
      <c r="D13" s="89">
        <v>0.15</v>
      </c>
      <c r="E13" s="86">
        <f>IF(Table5[[#This Row],[YEAR]]&lt;&gt;0,C12+B13,0)</f>
        <v>5176278221</v>
      </c>
      <c r="F13" s="86">
        <f>(1+D13)^($M$2/12)</f>
        <v>1.1366838432126245</v>
      </c>
      <c r="G13" s="86">
        <f>E13*F13</f>
        <v>5883791821.7840872</v>
      </c>
      <c r="H13" s="86">
        <f t="shared" si="1"/>
        <v>0</v>
      </c>
      <c r="I13" s="85">
        <f>IF($L$2=Table5[[#This Row],[YEAR]]-(IF($M$2&gt;0,IF($M$2&lt;12,1,0),0)),1,0)</f>
        <v>0</v>
      </c>
      <c r="J13" s="86">
        <f>G13-H13</f>
        <v>5883791821.7840872</v>
      </c>
      <c r="K13" s="86"/>
      <c r="L13" s="86"/>
      <c r="M13" s="88"/>
    </row>
    <row r="14" spans="1:13">
      <c r="A14" s="85">
        <f>'Annual Calculation'!B13</f>
        <v>12</v>
      </c>
      <c r="B14" s="86">
        <f>'Annual Calculation'!CC13</f>
        <v>693112653</v>
      </c>
      <c r="C14" s="86">
        <f>'Annual Calculation'!CE13</f>
        <v>7642707498</v>
      </c>
      <c r="D14" s="89">
        <v>0.15</v>
      </c>
      <c r="E14" s="86">
        <f>IF(Table5[[#This Row],[YEAR]]&lt;&gt;0,C13+B14,0)</f>
        <v>6645832607</v>
      </c>
      <c r="F14" s="86">
        <f>(1+D14)^($M$2/12)</f>
        <v>1.1366838432126245</v>
      </c>
      <c r="G14" s="86">
        <f>E14*F14</f>
        <v>7554210549.0725355</v>
      </c>
      <c r="H14" s="86">
        <f t="shared" si="1"/>
        <v>0</v>
      </c>
      <c r="I14" s="85">
        <f>IF($L$2=Table5[[#This Row],[YEAR]]-(IF($M$2&gt;0,IF($M$2&lt;12,1,0),0)),1,0)</f>
        <v>0</v>
      </c>
      <c r="J14" s="86">
        <f>G14-H14</f>
        <v>7554210549.0725355</v>
      </c>
      <c r="K14" s="86"/>
      <c r="L14" s="86"/>
      <c r="M14" s="88"/>
    </row>
    <row r="15" spans="1:13">
      <c r="A15" s="85">
        <f>'Annual Calculation'!B14</f>
        <v>13</v>
      </c>
      <c r="B15" s="86">
        <f>'Annual Calculation'!CC14</f>
        <v>833547128</v>
      </c>
      <c r="C15" s="86">
        <f>'Annual Calculation'!CE14</f>
        <v>9747692820</v>
      </c>
      <c r="D15" s="89">
        <v>0.15</v>
      </c>
      <c r="E15" s="86">
        <f>IF(Table5[[#This Row],[YEAR]]&lt;&gt;0,C14+B15,0)</f>
        <v>8476254626</v>
      </c>
      <c r="F15" s="86">
        <f t="shared" ref="F15:F46" si="4">(1+D15)^($M$2/12)</f>
        <v>1.1366838432126245</v>
      </c>
      <c r="G15" s="86">
        <f t="shared" ref="G15:G46" si="5">E15*F15</f>
        <v>9634821684.3304672</v>
      </c>
      <c r="H15" s="86">
        <f t="shared" si="1"/>
        <v>0</v>
      </c>
      <c r="I15" s="85">
        <f>IF($L$2=Table5[[#This Row],[YEAR]]-(IF($M$2&gt;0,IF($M$2&lt;12,1,0),0)),1,0)</f>
        <v>0</v>
      </c>
      <c r="J15" s="86">
        <f t="shared" ref="J15:J46" si="6">G15-H15</f>
        <v>9634821684.3304672</v>
      </c>
      <c r="K15" s="86"/>
      <c r="L15" s="86"/>
      <c r="M15" s="88"/>
    </row>
    <row r="16" spans="1:13">
      <c r="A16" s="85">
        <f>'Annual Calculation'!B15</f>
        <v>14</v>
      </c>
      <c r="B16" s="86">
        <f>'Annual Calculation'!CC15</f>
        <v>1003114963</v>
      </c>
      <c r="C16" s="86">
        <f>'Annual Calculation'!CE15</f>
        <v>12363428950</v>
      </c>
      <c r="D16" s="89">
        <v>0.15</v>
      </c>
      <c r="E16" s="86">
        <f>IF(Table5[[#This Row],[YEAR]]&lt;&gt;0,C15+B16,0)</f>
        <v>10750807783</v>
      </c>
      <c r="F16" s="86">
        <f t="shared" si="4"/>
        <v>1.1366838432126245</v>
      </c>
      <c r="G16" s="86">
        <f t="shared" si="5"/>
        <v>12220269508.420635</v>
      </c>
      <c r="H16" s="86">
        <f t="shared" si="1"/>
        <v>0</v>
      </c>
      <c r="I16" s="85">
        <f>IF($L$2=Table5[[#This Row],[YEAR]]-(IF($M$2&gt;0,IF($M$2&lt;12,1,0),0)),1,0)</f>
        <v>0</v>
      </c>
      <c r="J16" s="86">
        <f t="shared" si="6"/>
        <v>12220269508.420635</v>
      </c>
      <c r="K16" s="86"/>
      <c r="L16" s="86"/>
      <c r="M16" s="88"/>
    </row>
    <row r="17" spans="1:13">
      <c r="A17" s="85">
        <f>'Annual Calculation'!B16</f>
        <v>15</v>
      </c>
      <c r="B17" s="86">
        <f>'Annual Calculation'!CC16</f>
        <v>1206055884</v>
      </c>
      <c r="C17" s="86">
        <f>'Annual Calculation'!CE16</f>
        <v>15604907559</v>
      </c>
      <c r="D17" s="89">
        <v>0.15</v>
      </c>
      <c r="E17" s="86">
        <f>IF(Table5[[#This Row],[YEAR]]&lt;&gt;0,C16+B17,0)</f>
        <v>13569484834</v>
      </c>
      <c r="F17" s="86">
        <f t="shared" si="4"/>
        <v>1.1366838432126245</v>
      </c>
      <c r="G17" s="86">
        <f t="shared" si="5"/>
        <v>15424214171.526543</v>
      </c>
      <c r="H17" s="86">
        <f t="shared" si="1"/>
        <v>0</v>
      </c>
      <c r="I17" s="85">
        <f>IF($L$2=Table5[[#This Row],[YEAR]]-(IF($M$2&gt;0,IF($M$2&lt;12,1,0),0)),1,0)</f>
        <v>1</v>
      </c>
      <c r="J17" s="86">
        <f t="shared" si="6"/>
        <v>15424214171.526543</v>
      </c>
      <c r="K17" s="86"/>
      <c r="L17" s="86"/>
      <c r="M17" s="88"/>
    </row>
    <row r="18" spans="1:13">
      <c r="A18" s="85">
        <f>'Annual Calculation'!B17</f>
        <v>0</v>
      </c>
      <c r="B18" s="86">
        <f>'Annual Calculation'!CC17</f>
        <v>0</v>
      </c>
      <c r="C18" s="86">
        <f>'Annual Calculation'!CE17</f>
        <v>0</v>
      </c>
      <c r="D18" s="89">
        <v>0.15</v>
      </c>
      <c r="E18" s="86">
        <f>IF(Table5[[#This Row],[YEAR]]&lt;&gt;0,C17+B18,0)</f>
        <v>0</v>
      </c>
      <c r="F18" s="86">
        <f t="shared" si="4"/>
        <v>1.1366838432126245</v>
      </c>
      <c r="G18" s="86">
        <f t="shared" si="5"/>
        <v>0</v>
      </c>
      <c r="H18" s="86">
        <f t="shared" si="1"/>
        <v>0</v>
      </c>
      <c r="I18" s="85">
        <f>IF($L$2=Table5[[#This Row],[YEAR]]-(IF($M$2&gt;0,IF($M$2&lt;12,1,0),0)),1,0)</f>
        <v>0</v>
      </c>
      <c r="J18" s="86">
        <f t="shared" si="6"/>
        <v>0</v>
      </c>
      <c r="K18" s="86"/>
      <c r="L18" s="86"/>
      <c r="M18" s="88"/>
    </row>
    <row r="19" spans="1:13">
      <c r="A19" s="85">
        <f>'Annual Calculation'!B18</f>
        <v>0</v>
      </c>
      <c r="B19" s="86">
        <f>'Annual Calculation'!CC18</f>
        <v>0</v>
      </c>
      <c r="C19" s="86">
        <f>'Annual Calculation'!CE18</f>
        <v>0</v>
      </c>
      <c r="D19" s="89">
        <v>0.15</v>
      </c>
      <c r="E19" s="86">
        <f>IF(Table5[[#This Row],[YEAR]]&lt;&gt;0,C18+B19,0)</f>
        <v>0</v>
      </c>
      <c r="F19" s="86">
        <f t="shared" si="4"/>
        <v>1.1366838432126245</v>
      </c>
      <c r="G19" s="86">
        <f t="shared" si="5"/>
        <v>0</v>
      </c>
      <c r="H19" s="86">
        <f t="shared" si="1"/>
        <v>0</v>
      </c>
      <c r="I19" s="85">
        <f>IF($L$2=Table5[[#This Row],[YEAR]]-(IF($M$2&gt;0,IF($M$2&lt;12,1,0),0)),1,0)</f>
        <v>0</v>
      </c>
      <c r="J19" s="86">
        <f t="shared" si="6"/>
        <v>0</v>
      </c>
      <c r="K19" s="86"/>
      <c r="L19" s="86"/>
      <c r="M19" s="88"/>
    </row>
    <row r="20" spans="1:13">
      <c r="A20" s="85">
        <f>'Annual Calculation'!B19</f>
        <v>0</v>
      </c>
      <c r="B20" s="86">
        <f>'Annual Calculation'!CC19</f>
        <v>0</v>
      </c>
      <c r="C20" s="86">
        <f>'Annual Calculation'!CE19</f>
        <v>0</v>
      </c>
      <c r="D20" s="89">
        <v>0.15</v>
      </c>
      <c r="E20" s="86">
        <f>IF(Table5[[#This Row],[YEAR]]&lt;&gt;0,C19+B20,0)</f>
        <v>0</v>
      </c>
      <c r="F20" s="86">
        <f t="shared" si="4"/>
        <v>1.1366838432126245</v>
      </c>
      <c r="G20" s="86">
        <f t="shared" si="5"/>
        <v>0</v>
      </c>
      <c r="H20" s="86">
        <f t="shared" si="1"/>
        <v>0</v>
      </c>
      <c r="I20" s="85">
        <f>IF($L$2=Table5[[#This Row],[YEAR]]-(IF($M$2&gt;0,IF($M$2&lt;12,1,0),0)),1,0)</f>
        <v>0</v>
      </c>
      <c r="J20" s="86">
        <f t="shared" si="6"/>
        <v>0</v>
      </c>
      <c r="K20" s="86"/>
      <c r="L20" s="86"/>
      <c r="M20" s="88"/>
    </row>
    <row r="21" spans="1:13">
      <c r="A21" s="85">
        <f>'Annual Calculation'!B20</f>
        <v>0</v>
      </c>
      <c r="B21" s="86">
        <f>'Annual Calculation'!CC20</f>
        <v>0</v>
      </c>
      <c r="C21" s="86">
        <f>'Annual Calculation'!CE20</f>
        <v>0</v>
      </c>
      <c r="D21" s="89">
        <v>0.15</v>
      </c>
      <c r="E21" s="86">
        <f>IF(Table5[[#This Row],[YEAR]]&lt;&gt;0,C20+B21,0)</f>
        <v>0</v>
      </c>
      <c r="F21" s="86">
        <f t="shared" si="4"/>
        <v>1.1366838432126245</v>
      </c>
      <c r="G21" s="86">
        <f t="shared" si="5"/>
        <v>0</v>
      </c>
      <c r="H21" s="86">
        <f t="shared" si="1"/>
        <v>0</v>
      </c>
      <c r="I21" s="85">
        <f>IF($L$2=Table5[[#This Row],[YEAR]]-(IF($M$2&gt;0,IF($M$2&lt;12,1,0),0)),1,0)</f>
        <v>0</v>
      </c>
      <c r="J21" s="86">
        <f t="shared" si="6"/>
        <v>0</v>
      </c>
      <c r="K21" s="86"/>
      <c r="L21" s="86"/>
      <c r="M21" s="88"/>
    </row>
    <row r="22" spans="1:13">
      <c r="A22" s="85">
        <f>'Annual Calculation'!B21</f>
        <v>0</v>
      </c>
      <c r="B22" s="86">
        <f>'Annual Calculation'!CC21</f>
        <v>0</v>
      </c>
      <c r="C22" s="86">
        <f>'Annual Calculation'!CE21</f>
        <v>0</v>
      </c>
      <c r="D22" s="89">
        <v>0.15</v>
      </c>
      <c r="E22" s="86">
        <f>IF(Table5[[#This Row],[YEAR]]&lt;&gt;0,C21+B22,0)</f>
        <v>0</v>
      </c>
      <c r="F22" s="86">
        <f t="shared" si="4"/>
        <v>1.1366838432126245</v>
      </c>
      <c r="G22" s="86">
        <f t="shared" si="5"/>
        <v>0</v>
      </c>
      <c r="H22" s="86">
        <f t="shared" si="1"/>
        <v>0</v>
      </c>
      <c r="I22" s="85">
        <f>IF($L$2=Table5[[#This Row],[YEAR]]-(IF($M$2&gt;0,IF($M$2&lt;12,1,0),0)),1,0)</f>
        <v>0</v>
      </c>
      <c r="J22" s="86">
        <f t="shared" si="6"/>
        <v>0</v>
      </c>
      <c r="K22" s="86"/>
      <c r="L22" s="86"/>
      <c r="M22" s="88"/>
    </row>
    <row r="23" spans="1:13">
      <c r="A23" s="85">
        <f>'Annual Calculation'!B22</f>
        <v>0</v>
      </c>
      <c r="B23" s="86">
        <f>'Annual Calculation'!CC22</f>
        <v>0</v>
      </c>
      <c r="C23" s="86">
        <f>'Annual Calculation'!CE22</f>
        <v>0</v>
      </c>
      <c r="D23" s="89">
        <v>0.15</v>
      </c>
      <c r="E23" s="86">
        <f>IF(Table5[[#This Row],[YEAR]]&lt;&gt;0,C22+B23,0)</f>
        <v>0</v>
      </c>
      <c r="F23" s="86">
        <f t="shared" si="4"/>
        <v>1.1366838432126245</v>
      </c>
      <c r="G23" s="86">
        <f t="shared" si="5"/>
        <v>0</v>
      </c>
      <c r="H23" s="86">
        <f t="shared" si="1"/>
        <v>0</v>
      </c>
      <c r="I23" s="85">
        <f>IF($L$2=Table5[[#This Row],[YEAR]]-(IF($M$2&gt;0,IF($M$2&lt;12,1,0),0)),1,0)</f>
        <v>0</v>
      </c>
      <c r="J23" s="86">
        <f t="shared" si="6"/>
        <v>0</v>
      </c>
      <c r="K23" s="86"/>
      <c r="L23" s="86"/>
      <c r="M23" s="88"/>
    </row>
    <row r="24" spans="1:13">
      <c r="A24" s="85">
        <f>'Annual Calculation'!B23</f>
        <v>0</v>
      </c>
      <c r="B24" s="86">
        <f>'Annual Calculation'!CC23</f>
        <v>0</v>
      </c>
      <c r="C24" s="86">
        <f>'Annual Calculation'!CE23</f>
        <v>0</v>
      </c>
      <c r="D24" s="89">
        <v>0.15</v>
      </c>
      <c r="E24" s="86">
        <f>IF(Table5[[#This Row],[YEAR]]&lt;&gt;0,C23+B24,0)</f>
        <v>0</v>
      </c>
      <c r="F24" s="86">
        <f t="shared" si="4"/>
        <v>1.1366838432126245</v>
      </c>
      <c r="G24" s="86">
        <f t="shared" si="5"/>
        <v>0</v>
      </c>
      <c r="H24" s="86">
        <f>IF(A24=0,0,IF(A24&gt;5,0,(5-A24+((12-$M$2)/12))*$K$2))</f>
        <v>0</v>
      </c>
      <c r="I24" s="85">
        <f>IF($L$2=Table5[[#This Row],[YEAR]]-(IF($M$2&gt;0,IF($M$2&lt;12,1,0),0)),1,0)</f>
        <v>0</v>
      </c>
      <c r="J24" s="86">
        <f t="shared" si="6"/>
        <v>0</v>
      </c>
      <c r="K24" s="86"/>
      <c r="L24" s="86"/>
      <c r="M24" s="88"/>
    </row>
    <row r="25" spans="1:13">
      <c r="A25" s="85">
        <f>'Annual Calculation'!B24</f>
        <v>0</v>
      </c>
      <c r="B25" s="86">
        <f>'Annual Calculation'!CC24</f>
        <v>0</v>
      </c>
      <c r="C25" s="86">
        <f>'Annual Calculation'!CE24</f>
        <v>0</v>
      </c>
      <c r="D25" s="89">
        <v>0.15</v>
      </c>
      <c r="E25" s="86">
        <f>IF(Table5[[#This Row],[YEAR]]&lt;&gt;0,C24+B25,0)</f>
        <v>0</v>
      </c>
      <c r="F25" s="86">
        <f t="shared" si="4"/>
        <v>1.1366838432126245</v>
      </c>
      <c r="G25" s="86">
        <f t="shared" si="5"/>
        <v>0</v>
      </c>
      <c r="H25" s="86">
        <f t="shared" ref="H25:H88" si="7">IF(A25=0,0,IF(A25&gt;5,0,(5-A25+((12-$M$2)/12))*$K$2))</f>
        <v>0</v>
      </c>
      <c r="I25" s="85">
        <f>IF($L$2=Table5[[#This Row],[YEAR]]-(IF($M$2&gt;0,IF($M$2&lt;12,1,0),0)),1,0)</f>
        <v>0</v>
      </c>
      <c r="J25" s="86">
        <f t="shared" si="6"/>
        <v>0</v>
      </c>
      <c r="K25" s="86"/>
      <c r="L25" s="86"/>
      <c r="M25" s="88"/>
    </row>
    <row r="26" spans="1:13">
      <c r="A26" s="85">
        <f>'Annual Calculation'!B25</f>
        <v>0</v>
      </c>
      <c r="B26" s="86">
        <f>'Annual Calculation'!CC25</f>
        <v>0</v>
      </c>
      <c r="C26" s="86">
        <f>'Annual Calculation'!CE25</f>
        <v>0</v>
      </c>
      <c r="D26" s="89">
        <v>0.15</v>
      </c>
      <c r="E26" s="86">
        <f>IF(Table5[[#This Row],[YEAR]]&lt;&gt;0,C25+B26,0)</f>
        <v>0</v>
      </c>
      <c r="F26" s="86">
        <f t="shared" si="4"/>
        <v>1.1366838432126245</v>
      </c>
      <c r="G26" s="86">
        <f t="shared" si="5"/>
        <v>0</v>
      </c>
      <c r="H26" s="86">
        <f t="shared" si="7"/>
        <v>0</v>
      </c>
      <c r="I26" s="85">
        <f>IF($L$2=Table5[[#This Row],[YEAR]]-(IF($M$2&gt;0,IF($M$2&lt;12,1,0),0)),1,0)</f>
        <v>0</v>
      </c>
      <c r="J26" s="86">
        <f t="shared" si="6"/>
        <v>0</v>
      </c>
      <c r="K26" s="86"/>
      <c r="L26" s="86"/>
      <c r="M26" s="88"/>
    </row>
    <row r="27" spans="1:13">
      <c r="A27" s="85">
        <f>'Annual Calculation'!B26</f>
        <v>0</v>
      </c>
      <c r="B27" s="86">
        <f>'Annual Calculation'!CC26</f>
        <v>0</v>
      </c>
      <c r="C27" s="86">
        <f>'Annual Calculation'!CE26</f>
        <v>0</v>
      </c>
      <c r="D27" s="89">
        <v>0.15</v>
      </c>
      <c r="E27" s="86">
        <f>IF(Table5[[#This Row],[YEAR]]&lt;&gt;0,C26+B27,0)</f>
        <v>0</v>
      </c>
      <c r="F27" s="86">
        <f t="shared" si="4"/>
        <v>1.1366838432126245</v>
      </c>
      <c r="G27" s="86">
        <f t="shared" si="5"/>
        <v>0</v>
      </c>
      <c r="H27" s="86">
        <f t="shared" si="7"/>
        <v>0</v>
      </c>
      <c r="I27" s="85">
        <f>IF($L$2=Table5[[#This Row],[YEAR]]-(IF($M$2&gt;0,IF($M$2&lt;12,1,0),0)),1,0)</f>
        <v>0</v>
      </c>
      <c r="J27" s="86">
        <f t="shared" si="6"/>
        <v>0</v>
      </c>
      <c r="K27" s="86"/>
      <c r="L27" s="86"/>
      <c r="M27" s="88"/>
    </row>
    <row r="28" spans="1:13">
      <c r="A28" s="85">
        <f>'Annual Calculation'!B27</f>
        <v>0</v>
      </c>
      <c r="B28" s="86">
        <f>'Annual Calculation'!CC27</f>
        <v>0</v>
      </c>
      <c r="C28" s="86">
        <f>'Annual Calculation'!CE27</f>
        <v>0</v>
      </c>
      <c r="D28" s="89">
        <v>0.15</v>
      </c>
      <c r="E28" s="86">
        <f>IF(Table5[[#This Row],[YEAR]]&lt;&gt;0,C27+B28,0)</f>
        <v>0</v>
      </c>
      <c r="F28" s="86">
        <f t="shared" si="4"/>
        <v>1.1366838432126245</v>
      </c>
      <c r="G28" s="86">
        <f t="shared" si="5"/>
        <v>0</v>
      </c>
      <c r="H28" s="86">
        <f t="shared" si="7"/>
        <v>0</v>
      </c>
      <c r="I28" s="85">
        <f>IF($L$2=Table5[[#This Row],[YEAR]]-(IF($M$2&gt;0,IF($M$2&lt;12,1,0),0)),1,0)</f>
        <v>0</v>
      </c>
      <c r="J28" s="86">
        <f t="shared" si="6"/>
        <v>0</v>
      </c>
      <c r="K28" s="86"/>
      <c r="L28" s="86"/>
      <c r="M28" s="88"/>
    </row>
    <row r="29" spans="1:13">
      <c r="A29" s="85">
        <f>'Annual Calculation'!B28</f>
        <v>0</v>
      </c>
      <c r="B29" s="86">
        <f>'Annual Calculation'!CC28</f>
        <v>0</v>
      </c>
      <c r="C29" s="86">
        <f>'Annual Calculation'!CE28</f>
        <v>0</v>
      </c>
      <c r="D29" s="89">
        <v>0.15</v>
      </c>
      <c r="E29" s="86">
        <f>IF(Table5[[#This Row],[YEAR]]&lt;&gt;0,C28+B29,0)</f>
        <v>0</v>
      </c>
      <c r="F29" s="86">
        <f t="shared" si="4"/>
        <v>1.1366838432126245</v>
      </c>
      <c r="G29" s="86">
        <f t="shared" si="5"/>
        <v>0</v>
      </c>
      <c r="H29" s="86">
        <f t="shared" si="7"/>
        <v>0</v>
      </c>
      <c r="I29" s="85">
        <f>IF($L$2=Table5[[#This Row],[YEAR]]-(IF($M$2&gt;0,IF($M$2&lt;12,1,0),0)),1,0)</f>
        <v>0</v>
      </c>
      <c r="J29" s="86">
        <f t="shared" si="6"/>
        <v>0</v>
      </c>
      <c r="K29" s="86"/>
      <c r="L29" s="86"/>
      <c r="M29" s="88"/>
    </row>
    <row r="30" spans="1:13">
      <c r="A30" s="85">
        <f>'Annual Calculation'!B29</f>
        <v>0</v>
      </c>
      <c r="B30" s="86">
        <f>'Annual Calculation'!CC29</f>
        <v>0</v>
      </c>
      <c r="C30" s="86">
        <f>'Annual Calculation'!CE29</f>
        <v>0</v>
      </c>
      <c r="D30" s="89">
        <v>0.15</v>
      </c>
      <c r="E30" s="86">
        <f>IF(Table5[[#This Row],[YEAR]]&lt;&gt;0,C29+B30,0)</f>
        <v>0</v>
      </c>
      <c r="F30" s="86">
        <f t="shared" si="4"/>
        <v>1.1366838432126245</v>
      </c>
      <c r="G30" s="86">
        <f t="shared" si="5"/>
        <v>0</v>
      </c>
      <c r="H30" s="86">
        <f t="shared" si="7"/>
        <v>0</v>
      </c>
      <c r="I30" s="85">
        <f>IF($L$2=Table5[[#This Row],[YEAR]]-(IF($M$2&gt;0,IF($M$2&lt;12,1,0),0)),1,0)</f>
        <v>0</v>
      </c>
      <c r="J30" s="86">
        <f t="shared" si="6"/>
        <v>0</v>
      </c>
      <c r="K30" s="86"/>
      <c r="L30" s="86"/>
      <c r="M30" s="88"/>
    </row>
    <row r="31" spans="1:13">
      <c r="A31" s="85">
        <f>'Annual Calculation'!B30</f>
        <v>0</v>
      </c>
      <c r="B31" s="86">
        <f>'Annual Calculation'!CC30</f>
        <v>0</v>
      </c>
      <c r="C31" s="86">
        <f>'Annual Calculation'!CE30</f>
        <v>0</v>
      </c>
      <c r="D31" s="89">
        <v>0.15</v>
      </c>
      <c r="E31" s="86">
        <f>IF(Table5[[#This Row],[YEAR]]&lt;&gt;0,C30+B31,0)</f>
        <v>0</v>
      </c>
      <c r="F31" s="86">
        <f t="shared" si="4"/>
        <v>1.1366838432126245</v>
      </c>
      <c r="G31" s="86">
        <f t="shared" si="5"/>
        <v>0</v>
      </c>
      <c r="H31" s="86">
        <f t="shared" si="7"/>
        <v>0</v>
      </c>
      <c r="I31" s="85">
        <f>IF($L$2=Table5[[#This Row],[YEAR]]-(IF($M$2&gt;0,IF($M$2&lt;12,1,0),0)),1,0)</f>
        <v>0</v>
      </c>
      <c r="J31" s="86">
        <f t="shared" si="6"/>
        <v>0</v>
      </c>
      <c r="K31" s="86"/>
      <c r="L31" s="86"/>
      <c r="M31" s="88"/>
    </row>
    <row r="32" spans="1:13">
      <c r="A32" s="85">
        <f>'Annual Calculation'!B31</f>
        <v>0</v>
      </c>
      <c r="B32" s="86">
        <f>'Annual Calculation'!CC31</f>
        <v>0</v>
      </c>
      <c r="C32" s="86">
        <f>'Annual Calculation'!CE31</f>
        <v>0</v>
      </c>
      <c r="D32" s="89">
        <v>0.15</v>
      </c>
      <c r="E32" s="86">
        <f>IF(Table5[[#This Row],[YEAR]]&lt;&gt;0,C31+B32,0)</f>
        <v>0</v>
      </c>
      <c r="F32" s="86">
        <f t="shared" si="4"/>
        <v>1.1366838432126245</v>
      </c>
      <c r="G32" s="86">
        <f t="shared" si="5"/>
        <v>0</v>
      </c>
      <c r="H32" s="86">
        <f t="shared" si="7"/>
        <v>0</v>
      </c>
      <c r="I32" s="85">
        <f>IF($L$2=Table5[[#This Row],[YEAR]]-(IF($M$2&gt;0,IF($M$2&lt;12,1,0),0)),1,0)</f>
        <v>0</v>
      </c>
      <c r="J32" s="86">
        <f t="shared" si="6"/>
        <v>0</v>
      </c>
      <c r="K32" s="86"/>
      <c r="L32" s="86"/>
      <c r="M32" s="88"/>
    </row>
    <row r="33" spans="1:13">
      <c r="A33" s="85">
        <f>'Annual Calculation'!B32</f>
        <v>0</v>
      </c>
      <c r="B33" s="86">
        <f>'Annual Calculation'!CC32</f>
        <v>0</v>
      </c>
      <c r="C33" s="86">
        <f>'Annual Calculation'!CE32</f>
        <v>0</v>
      </c>
      <c r="D33" s="89">
        <v>0.15</v>
      </c>
      <c r="E33" s="86">
        <f>IF(Table5[[#This Row],[YEAR]]&lt;&gt;0,C32+B33,0)</f>
        <v>0</v>
      </c>
      <c r="F33" s="86">
        <f t="shared" si="4"/>
        <v>1.1366838432126245</v>
      </c>
      <c r="G33" s="86">
        <f t="shared" si="5"/>
        <v>0</v>
      </c>
      <c r="H33" s="86">
        <f t="shared" si="7"/>
        <v>0</v>
      </c>
      <c r="I33" s="85">
        <f>IF($L$2=Table5[[#This Row],[YEAR]]-(IF($M$2&gt;0,IF($M$2&lt;12,1,0),0)),1,0)</f>
        <v>0</v>
      </c>
      <c r="J33" s="86">
        <f t="shared" si="6"/>
        <v>0</v>
      </c>
      <c r="K33" s="86"/>
      <c r="L33" s="86"/>
      <c r="M33" s="88"/>
    </row>
    <row r="34" spans="1:13">
      <c r="A34" s="85">
        <f>'Annual Calculation'!B33</f>
        <v>0</v>
      </c>
      <c r="B34" s="86">
        <f>'Annual Calculation'!CC33</f>
        <v>0</v>
      </c>
      <c r="C34" s="86">
        <f>'Annual Calculation'!CE33</f>
        <v>0</v>
      </c>
      <c r="D34" s="89">
        <v>0.15</v>
      </c>
      <c r="E34" s="86">
        <f>IF(Table5[[#This Row],[YEAR]]&lt;&gt;0,C33+B34,0)</f>
        <v>0</v>
      </c>
      <c r="F34" s="86">
        <f t="shared" si="4"/>
        <v>1.1366838432126245</v>
      </c>
      <c r="G34" s="86">
        <f t="shared" si="5"/>
        <v>0</v>
      </c>
      <c r="H34" s="86">
        <f t="shared" si="7"/>
        <v>0</v>
      </c>
      <c r="I34" s="85">
        <f>IF($L$2=Table5[[#This Row],[YEAR]]-(IF($M$2&gt;0,IF($M$2&lt;12,1,0),0)),1,0)</f>
        <v>0</v>
      </c>
      <c r="J34" s="86">
        <f t="shared" si="6"/>
        <v>0</v>
      </c>
      <c r="K34" s="86"/>
      <c r="L34" s="86"/>
      <c r="M34" s="88"/>
    </row>
    <row r="35" spans="1:13">
      <c r="A35" s="85">
        <f>'Annual Calculation'!B34</f>
        <v>0</v>
      </c>
      <c r="B35" s="86">
        <f>'Annual Calculation'!CC34</f>
        <v>0</v>
      </c>
      <c r="C35" s="86">
        <f>'Annual Calculation'!CE34</f>
        <v>0</v>
      </c>
      <c r="D35" s="89">
        <v>0.15</v>
      </c>
      <c r="E35" s="86">
        <f>IF(Table5[[#This Row],[YEAR]]&lt;&gt;0,C34+B35,0)</f>
        <v>0</v>
      </c>
      <c r="F35" s="86">
        <f t="shared" si="4"/>
        <v>1.1366838432126245</v>
      </c>
      <c r="G35" s="86">
        <f t="shared" si="5"/>
        <v>0</v>
      </c>
      <c r="H35" s="86">
        <f t="shared" si="7"/>
        <v>0</v>
      </c>
      <c r="I35" s="85">
        <f>IF($L$2=Table5[[#This Row],[YEAR]]-(IF($M$2&gt;0,IF($M$2&lt;12,1,0),0)),1,0)</f>
        <v>0</v>
      </c>
      <c r="J35" s="86">
        <f t="shared" si="6"/>
        <v>0</v>
      </c>
      <c r="K35" s="86"/>
      <c r="L35" s="86"/>
      <c r="M35" s="88"/>
    </row>
    <row r="36" spans="1:13">
      <c r="A36" s="85">
        <f>'Annual Calculation'!B35</f>
        <v>0</v>
      </c>
      <c r="B36" s="86">
        <f>'Annual Calculation'!CC35</f>
        <v>0</v>
      </c>
      <c r="C36" s="86">
        <f>'Annual Calculation'!CE35</f>
        <v>0</v>
      </c>
      <c r="D36" s="89">
        <v>0.15</v>
      </c>
      <c r="E36" s="86">
        <f>IF(Table5[[#This Row],[YEAR]]&lt;&gt;0,C35+B36,0)</f>
        <v>0</v>
      </c>
      <c r="F36" s="86">
        <f t="shared" si="4"/>
        <v>1.1366838432126245</v>
      </c>
      <c r="G36" s="86">
        <f t="shared" si="5"/>
        <v>0</v>
      </c>
      <c r="H36" s="86">
        <f t="shared" si="7"/>
        <v>0</v>
      </c>
      <c r="I36" s="85">
        <f>IF($L$2=Table5[[#This Row],[YEAR]]-(IF($M$2&gt;0,IF($M$2&lt;12,1,0),0)),1,0)</f>
        <v>0</v>
      </c>
      <c r="J36" s="86">
        <f t="shared" si="6"/>
        <v>0</v>
      </c>
      <c r="K36" s="86"/>
      <c r="L36" s="86"/>
      <c r="M36" s="88"/>
    </row>
    <row r="37" spans="1:13">
      <c r="A37" s="85">
        <f>'Annual Calculation'!B36</f>
        <v>0</v>
      </c>
      <c r="B37" s="86">
        <f>'Annual Calculation'!CC36</f>
        <v>0</v>
      </c>
      <c r="C37" s="86">
        <f>'Annual Calculation'!CE36</f>
        <v>0</v>
      </c>
      <c r="D37" s="89">
        <v>0.15</v>
      </c>
      <c r="E37" s="86">
        <f>IF(Table5[[#This Row],[YEAR]]&lt;&gt;0,C36+B37,0)</f>
        <v>0</v>
      </c>
      <c r="F37" s="86">
        <f t="shared" si="4"/>
        <v>1.1366838432126245</v>
      </c>
      <c r="G37" s="86">
        <f t="shared" si="5"/>
        <v>0</v>
      </c>
      <c r="H37" s="86">
        <f t="shared" si="7"/>
        <v>0</v>
      </c>
      <c r="I37" s="85">
        <f>IF($L$2=Table5[[#This Row],[YEAR]]-(IF($M$2&gt;0,IF($M$2&lt;12,1,0),0)),1,0)</f>
        <v>0</v>
      </c>
      <c r="J37" s="86">
        <f t="shared" si="6"/>
        <v>0</v>
      </c>
      <c r="K37" s="86"/>
      <c r="L37" s="86"/>
      <c r="M37" s="88"/>
    </row>
    <row r="38" spans="1:13">
      <c r="A38" s="85">
        <f>'Annual Calculation'!B37</f>
        <v>0</v>
      </c>
      <c r="B38" s="86">
        <f>'Annual Calculation'!CC37</f>
        <v>0</v>
      </c>
      <c r="C38" s="86">
        <f>'Annual Calculation'!CE37</f>
        <v>0</v>
      </c>
      <c r="D38" s="89">
        <v>0.15</v>
      </c>
      <c r="E38" s="86">
        <f>IF(Table5[[#This Row],[YEAR]]&lt;&gt;0,C37+B38,0)</f>
        <v>0</v>
      </c>
      <c r="F38" s="86">
        <f t="shared" si="4"/>
        <v>1.1366838432126245</v>
      </c>
      <c r="G38" s="86">
        <f t="shared" si="5"/>
        <v>0</v>
      </c>
      <c r="H38" s="86">
        <f t="shared" si="7"/>
        <v>0</v>
      </c>
      <c r="I38" s="85">
        <f>IF($L$2=Table5[[#This Row],[YEAR]]-(IF($M$2&gt;0,IF($M$2&lt;12,1,0),0)),1,0)</f>
        <v>0</v>
      </c>
      <c r="J38" s="86">
        <f t="shared" si="6"/>
        <v>0</v>
      </c>
      <c r="K38" s="86"/>
      <c r="L38" s="86"/>
      <c r="M38" s="88"/>
    </row>
    <row r="39" spans="1:13">
      <c r="A39" s="85">
        <f>'Annual Calculation'!B38</f>
        <v>0</v>
      </c>
      <c r="B39" s="86">
        <f>'Annual Calculation'!CC38</f>
        <v>0</v>
      </c>
      <c r="C39" s="86">
        <f>'Annual Calculation'!CE38</f>
        <v>0</v>
      </c>
      <c r="D39" s="89">
        <v>0.15</v>
      </c>
      <c r="E39" s="86">
        <f>IF(Table5[[#This Row],[YEAR]]&lt;&gt;0,C38+B39,0)</f>
        <v>0</v>
      </c>
      <c r="F39" s="86">
        <f t="shared" si="4"/>
        <v>1.1366838432126245</v>
      </c>
      <c r="G39" s="86">
        <f t="shared" si="5"/>
        <v>0</v>
      </c>
      <c r="H39" s="86">
        <f t="shared" si="7"/>
        <v>0</v>
      </c>
      <c r="I39" s="85">
        <f>IF($L$2=Table5[[#This Row],[YEAR]]-(IF($M$2&gt;0,IF($M$2&lt;12,1,0),0)),1,0)</f>
        <v>0</v>
      </c>
      <c r="J39" s="86">
        <f t="shared" si="6"/>
        <v>0</v>
      </c>
      <c r="K39" s="86"/>
      <c r="L39" s="86"/>
      <c r="M39" s="88"/>
    </row>
    <row r="40" spans="1:13">
      <c r="A40" s="85">
        <f>'Annual Calculation'!B39</f>
        <v>0</v>
      </c>
      <c r="B40" s="86">
        <f>'Annual Calculation'!CC39</f>
        <v>0</v>
      </c>
      <c r="C40" s="86">
        <f>'Annual Calculation'!CE39</f>
        <v>0</v>
      </c>
      <c r="D40" s="89">
        <v>0.15</v>
      </c>
      <c r="E40" s="86">
        <f>IF(Table5[[#This Row],[YEAR]]&lt;&gt;0,C39+B40,0)</f>
        <v>0</v>
      </c>
      <c r="F40" s="86">
        <f t="shared" si="4"/>
        <v>1.1366838432126245</v>
      </c>
      <c r="G40" s="86">
        <f t="shared" si="5"/>
        <v>0</v>
      </c>
      <c r="H40" s="86">
        <f t="shared" si="7"/>
        <v>0</v>
      </c>
      <c r="I40" s="85">
        <f>IF($L$2=Table5[[#This Row],[YEAR]]-(IF($M$2&gt;0,IF($M$2&lt;12,1,0),0)),1,0)</f>
        <v>0</v>
      </c>
      <c r="J40" s="86">
        <f t="shared" si="6"/>
        <v>0</v>
      </c>
      <c r="K40" s="86"/>
      <c r="L40" s="86"/>
      <c r="M40" s="88"/>
    </row>
    <row r="41" spans="1:13">
      <c r="A41" s="85">
        <f>'Annual Calculation'!B40</f>
        <v>0</v>
      </c>
      <c r="B41" s="86">
        <f>'Annual Calculation'!CC40</f>
        <v>0</v>
      </c>
      <c r="C41" s="86">
        <f>'Annual Calculation'!CE40</f>
        <v>0</v>
      </c>
      <c r="D41" s="89">
        <v>0.15</v>
      </c>
      <c r="E41" s="86">
        <f>IF(Table5[[#This Row],[YEAR]]&lt;&gt;0,C40+B41,0)</f>
        <v>0</v>
      </c>
      <c r="F41" s="86">
        <f t="shared" si="4"/>
        <v>1.1366838432126245</v>
      </c>
      <c r="G41" s="86">
        <f t="shared" si="5"/>
        <v>0</v>
      </c>
      <c r="H41" s="86">
        <f t="shared" si="7"/>
        <v>0</v>
      </c>
      <c r="I41" s="85">
        <f>IF($L$2=Table5[[#This Row],[YEAR]]-(IF($M$2&gt;0,IF($M$2&lt;12,1,0),0)),1,0)</f>
        <v>0</v>
      </c>
      <c r="J41" s="86">
        <f t="shared" si="6"/>
        <v>0</v>
      </c>
      <c r="K41" s="86"/>
      <c r="L41" s="86"/>
      <c r="M41" s="88"/>
    </row>
    <row r="42" spans="1:13">
      <c r="A42" s="85">
        <f>'Annual Calculation'!B41</f>
        <v>0</v>
      </c>
      <c r="B42" s="86">
        <f>'Annual Calculation'!CC41</f>
        <v>0</v>
      </c>
      <c r="C42" s="86">
        <f>'Annual Calculation'!CE41</f>
        <v>0</v>
      </c>
      <c r="D42" s="89">
        <v>0.15</v>
      </c>
      <c r="E42" s="86">
        <f>IF(Table5[[#This Row],[YEAR]]&lt;&gt;0,C41+B42,0)</f>
        <v>0</v>
      </c>
      <c r="F42" s="86">
        <f t="shared" si="4"/>
        <v>1.1366838432126245</v>
      </c>
      <c r="G42" s="86">
        <f t="shared" si="5"/>
        <v>0</v>
      </c>
      <c r="H42" s="86">
        <f t="shared" si="7"/>
        <v>0</v>
      </c>
      <c r="I42" s="85">
        <f>IF($L$2=Table5[[#This Row],[YEAR]]-(IF($M$2&gt;0,IF($M$2&lt;12,1,0),0)),1,0)</f>
        <v>0</v>
      </c>
      <c r="J42" s="86">
        <f t="shared" si="6"/>
        <v>0</v>
      </c>
      <c r="K42" s="86"/>
      <c r="L42" s="86"/>
      <c r="M42" s="88"/>
    </row>
    <row r="43" spans="1:13">
      <c r="A43" s="85">
        <f>'Annual Calculation'!B42</f>
        <v>0</v>
      </c>
      <c r="B43" s="86">
        <f>'Annual Calculation'!CC42</f>
        <v>0</v>
      </c>
      <c r="C43" s="86">
        <f>'Annual Calculation'!CE42</f>
        <v>0</v>
      </c>
      <c r="D43" s="89">
        <v>0.15</v>
      </c>
      <c r="E43" s="86">
        <f>IF(Table5[[#This Row],[YEAR]]&lt;&gt;0,C42+B43,0)</f>
        <v>0</v>
      </c>
      <c r="F43" s="86">
        <f t="shared" si="4"/>
        <v>1.1366838432126245</v>
      </c>
      <c r="G43" s="86">
        <f t="shared" si="5"/>
        <v>0</v>
      </c>
      <c r="H43" s="86">
        <f t="shared" si="7"/>
        <v>0</v>
      </c>
      <c r="I43" s="85">
        <f>IF($L$2=Table5[[#This Row],[YEAR]]-(IF($M$2&gt;0,IF($M$2&lt;12,1,0),0)),1,0)</f>
        <v>0</v>
      </c>
      <c r="J43" s="86">
        <f t="shared" si="6"/>
        <v>0</v>
      </c>
      <c r="K43" s="86"/>
      <c r="L43" s="86"/>
      <c r="M43" s="88"/>
    </row>
    <row r="44" spans="1:13">
      <c r="A44" s="85">
        <f>'Annual Calculation'!B43</f>
        <v>0</v>
      </c>
      <c r="B44" s="86">
        <f>'Annual Calculation'!CC43</f>
        <v>0</v>
      </c>
      <c r="C44" s="86">
        <f>'Annual Calculation'!CE43</f>
        <v>0</v>
      </c>
      <c r="D44" s="89">
        <v>0.15</v>
      </c>
      <c r="E44" s="86">
        <f>IF(Table5[[#This Row],[YEAR]]&lt;&gt;0,C43+B44,0)</f>
        <v>0</v>
      </c>
      <c r="F44" s="86">
        <f t="shared" si="4"/>
        <v>1.1366838432126245</v>
      </c>
      <c r="G44" s="86">
        <f t="shared" si="5"/>
        <v>0</v>
      </c>
      <c r="H44" s="86">
        <f t="shared" si="7"/>
        <v>0</v>
      </c>
      <c r="I44" s="85">
        <f>IF($L$2=Table5[[#This Row],[YEAR]]-(IF($M$2&gt;0,IF($M$2&lt;12,1,0),0)),1,0)</f>
        <v>0</v>
      </c>
      <c r="J44" s="86">
        <f t="shared" si="6"/>
        <v>0</v>
      </c>
      <c r="K44" s="86"/>
      <c r="L44" s="86"/>
      <c r="M44" s="88"/>
    </row>
    <row r="45" spans="1:13">
      <c r="A45" s="85">
        <f>'Annual Calculation'!B44</f>
        <v>0</v>
      </c>
      <c r="B45" s="86">
        <f>'Annual Calculation'!CC44</f>
        <v>0</v>
      </c>
      <c r="C45" s="86">
        <f>'Annual Calculation'!CE44</f>
        <v>0</v>
      </c>
      <c r="D45" s="89">
        <v>0.15</v>
      </c>
      <c r="E45" s="86">
        <f>IF(Table5[[#This Row],[YEAR]]&lt;&gt;0,C44+B45,0)</f>
        <v>0</v>
      </c>
      <c r="F45" s="86">
        <f t="shared" si="4"/>
        <v>1.1366838432126245</v>
      </c>
      <c r="G45" s="86">
        <f t="shared" si="5"/>
        <v>0</v>
      </c>
      <c r="H45" s="86">
        <f t="shared" si="7"/>
        <v>0</v>
      </c>
      <c r="I45" s="85">
        <f>IF($L$2=Table5[[#This Row],[YEAR]]-(IF($M$2&gt;0,IF($M$2&lt;12,1,0),0)),1,0)</f>
        <v>0</v>
      </c>
      <c r="J45" s="86">
        <f t="shared" si="6"/>
        <v>0</v>
      </c>
      <c r="K45" s="86"/>
      <c r="L45" s="86"/>
      <c r="M45" s="88"/>
    </row>
    <row r="46" spans="1:13">
      <c r="A46" s="85">
        <f>'Annual Calculation'!B45</f>
        <v>0</v>
      </c>
      <c r="B46" s="86">
        <f>'Annual Calculation'!CC45</f>
        <v>0</v>
      </c>
      <c r="C46" s="86">
        <f>'Annual Calculation'!CE45</f>
        <v>0</v>
      </c>
      <c r="D46" s="89">
        <v>0.15</v>
      </c>
      <c r="E46" s="86">
        <f>IF(Table5[[#This Row],[YEAR]]&lt;&gt;0,C45+B46,0)</f>
        <v>0</v>
      </c>
      <c r="F46" s="86">
        <f t="shared" si="4"/>
        <v>1.1366838432126245</v>
      </c>
      <c r="G46" s="86">
        <f t="shared" si="5"/>
        <v>0</v>
      </c>
      <c r="H46" s="86">
        <f t="shared" si="7"/>
        <v>0</v>
      </c>
      <c r="I46" s="85">
        <f>IF($L$2=Table5[[#This Row],[YEAR]]-(IF($M$2&gt;0,IF($M$2&lt;12,1,0),0)),1,0)</f>
        <v>0</v>
      </c>
      <c r="J46" s="86">
        <f t="shared" si="6"/>
        <v>0</v>
      </c>
      <c r="K46" s="86"/>
      <c r="L46" s="86"/>
      <c r="M46" s="88"/>
    </row>
    <row r="47" spans="1:13">
      <c r="A47" s="85">
        <f>'Annual Calculation'!B46</f>
        <v>0</v>
      </c>
      <c r="B47" s="86">
        <f>'Annual Calculation'!CC46</f>
        <v>0</v>
      </c>
      <c r="C47" s="86">
        <f>'Annual Calculation'!CE46</f>
        <v>0</v>
      </c>
      <c r="D47" s="89">
        <v>0.15</v>
      </c>
      <c r="E47" s="86">
        <f>IF(Table5[[#This Row],[YEAR]]&lt;&gt;0,C46+B47,0)</f>
        <v>0</v>
      </c>
      <c r="F47" s="86">
        <f t="shared" ref="F47:F78" si="8">(1+D47)^($M$2/12)</f>
        <v>1.1366838432126245</v>
      </c>
      <c r="G47" s="86">
        <f t="shared" ref="G47:G78" si="9">E47*F47</f>
        <v>0</v>
      </c>
      <c r="H47" s="86">
        <f t="shared" si="7"/>
        <v>0</v>
      </c>
      <c r="I47" s="85">
        <f>IF($L$2=Table5[[#This Row],[YEAR]]-(IF($M$2&gt;0,IF($M$2&lt;12,1,0),0)),1,0)</f>
        <v>0</v>
      </c>
      <c r="J47" s="86">
        <f t="shared" ref="J47:J78" si="10">G47-H47</f>
        <v>0</v>
      </c>
      <c r="K47" s="86"/>
      <c r="L47" s="86"/>
      <c r="M47" s="88"/>
    </row>
    <row r="48" spans="1:13">
      <c r="A48" s="85">
        <f>'Annual Calculation'!B47</f>
        <v>0</v>
      </c>
      <c r="B48" s="86">
        <f>'Annual Calculation'!CC47</f>
        <v>0</v>
      </c>
      <c r="C48" s="86">
        <f>'Annual Calculation'!CE47</f>
        <v>0</v>
      </c>
      <c r="D48" s="89">
        <v>0.15</v>
      </c>
      <c r="E48" s="86">
        <f>IF(Table5[[#This Row],[YEAR]]&lt;&gt;0,C47+B48,0)</f>
        <v>0</v>
      </c>
      <c r="F48" s="86">
        <f t="shared" si="8"/>
        <v>1.1366838432126245</v>
      </c>
      <c r="G48" s="86">
        <f t="shared" si="9"/>
        <v>0</v>
      </c>
      <c r="H48" s="86">
        <f t="shared" si="7"/>
        <v>0</v>
      </c>
      <c r="I48" s="85">
        <f>IF($L$2=Table5[[#This Row],[YEAR]]-(IF($M$2&gt;0,IF($M$2&lt;12,1,0),0)),1,0)</f>
        <v>0</v>
      </c>
      <c r="J48" s="86">
        <f t="shared" si="10"/>
        <v>0</v>
      </c>
      <c r="K48" s="86"/>
      <c r="L48" s="86"/>
      <c r="M48" s="88"/>
    </row>
    <row r="49" spans="1:13">
      <c r="A49" s="85">
        <f>'Annual Calculation'!B48</f>
        <v>0</v>
      </c>
      <c r="B49" s="86">
        <f>'Annual Calculation'!CC48</f>
        <v>0</v>
      </c>
      <c r="C49" s="86">
        <f>'Annual Calculation'!CE48</f>
        <v>0</v>
      </c>
      <c r="D49" s="89">
        <v>0.15</v>
      </c>
      <c r="E49" s="86">
        <f>IF(Table5[[#This Row],[YEAR]]&lt;&gt;0,C48+B49,0)</f>
        <v>0</v>
      </c>
      <c r="F49" s="86">
        <f t="shared" si="8"/>
        <v>1.1366838432126245</v>
      </c>
      <c r="G49" s="86">
        <f t="shared" si="9"/>
        <v>0</v>
      </c>
      <c r="H49" s="86">
        <f t="shared" si="7"/>
        <v>0</v>
      </c>
      <c r="I49" s="85">
        <f>IF($L$2=Table5[[#This Row],[YEAR]]-(IF($M$2&gt;0,IF($M$2&lt;12,1,0),0)),1,0)</f>
        <v>0</v>
      </c>
      <c r="J49" s="86">
        <f t="shared" si="10"/>
        <v>0</v>
      </c>
      <c r="K49" s="86"/>
      <c r="L49" s="86"/>
      <c r="M49" s="88"/>
    </row>
    <row r="50" spans="1:13">
      <c r="A50" s="85">
        <f>'Annual Calculation'!B49</f>
        <v>0</v>
      </c>
      <c r="B50" s="86">
        <f>'Annual Calculation'!CC49</f>
        <v>0</v>
      </c>
      <c r="C50" s="86">
        <f>'Annual Calculation'!CE49</f>
        <v>0</v>
      </c>
      <c r="D50" s="89">
        <v>0.15</v>
      </c>
      <c r="E50" s="86">
        <f>IF(Table5[[#This Row],[YEAR]]&lt;&gt;0,C49+B50,0)</f>
        <v>0</v>
      </c>
      <c r="F50" s="86">
        <f t="shared" si="8"/>
        <v>1.1366838432126245</v>
      </c>
      <c r="G50" s="86">
        <f t="shared" si="9"/>
        <v>0</v>
      </c>
      <c r="H50" s="86">
        <f t="shared" si="7"/>
        <v>0</v>
      </c>
      <c r="I50" s="85">
        <f>IF($L$2=Table5[[#This Row],[YEAR]]-(IF($M$2&gt;0,IF($M$2&lt;12,1,0),0)),1,0)</f>
        <v>0</v>
      </c>
      <c r="J50" s="86">
        <f t="shared" si="10"/>
        <v>0</v>
      </c>
      <c r="K50" s="86"/>
      <c r="L50" s="86"/>
      <c r="M50" s="88"/>
    </row>
    <row r="51" spans="1:13">
      <c r="A51" s="85">
        <f>'Annual Calculation'!B50</f>
        <v>0</v>
      </c>
      <c r="B51" s="86">
        <f>'Annual Calculation'!CC50</f>
        <v>0</v>
      </c>
      <c r="C51" s="86">
        <f>'Annual Calculation'!CE50</f>
        <v>0</v>
      </c>
      <c r="D51" s="89">
        <v>0.15</v>
      </c>
      <c r="E51" s="86">
        <f>IF(Table5[[#This Row],[YEAR]]&lt;&gt;0,C50+B51,0)</f>
        <v>0</v>
      </c>
      <c r="F51" s="86">
        <f t="shared" si="8"/>
        <v>1.1366838432126245</v>
      </c>
      <c r="G51" s="86">
        <f t="shared" si="9"/>
        <v>0</v>
      </c>
      <c r="H51" s="86">
        <f t="shared" si="7"/>
        <v>0</v>
      </c>
      <c r="I51" s="85">
        <f>IF($L$2=Table5[[#This Row],[YEAR]]-(IF($M$2&gt;0,IF($M$2&lt;12,1,0),0)),1,0)</f>
        <v>0</v>
      </c>
      <c r="J51" s="86">
        <f t="shared" si="10"/>
        <v>0</v>
      </c>
      <c r="K51" s="86"/>
      <c r="L51" s="86"/>
      <c r="M51" s="88"/>
    </row>
    <row r="52" spans="1:13">
      <c r="A52" s="85">
        <f>'Annual Calculation'!B51</f>
        <v>0</v>
      </c>
      <c r="B52" s="86">
        <f>'Annual Calculation'!CC51</f>
        <v>0</v>
      </c>
      <c r="C52" s="86">
        <f>'Annual Calculation'!CE51</f>
        <v>0</v>
      </c>
      <c r="D52" s="89">
        <v>0.15</v>
      </c>
      <c r="E52" s="86">
        <f>IF(Table5[[#This Row],[YEAR]]&lt;&gt;0,C51+B52,0)</f>
        <v>0</v>
      </c>
      <c r="F52" s="86">
        <f t="shared" si="8"/>
        <v>1.1366838432126245</v>
      </c>
      <c r="G52" s="86">
        <f t="shared" si="9"/>
        <v>0</v>
      </c>
      <c r="H52" s="86">
        <f t="shared" si="7"/>
        <v>0</v>
      </c>
      <c r="I52" s="85">
        <f>IF($L$2=Table5[[#This Row],[YEAR]]-(IF($M$2&gt;0,IF($M$2&lt;12,1,0),0)),1,0)</f>
        <v>0</v>
      </c>
      <c r="J52" s="86">
        <f t="shared" si="10"/>
        <v>0</v>
      </c>
      <c r="K52" s="86"/>
      <c r="L52" s="86"/>
      <c r="M52" s="88"/>
    </row>
    <row r="53" spans="1:13">
      <c r="A53" s="85">
        <f>'Annual Calculation'!B52</f>
        <v>0</v>
      </c>
      <c r="B53" s="86">
        <f>'Annual Calculation'!CC52</f>
        <v>0</v>
      </c>
      <c r="C53" s="86">
        <f>'Annual Calculation'!CE52</f>
        <v>0</v>
      </c>
      <c r="D53" s="89">
        <v>0.15</v>
      </c>
      <c r="E53" s="86">
        <f>IF(Table5[[#This Row],[YEAR]]&lt;&gt;0,C52+B53,0)</f>
        <v>0</v>
      </c>
      <c r="F53" s="86">
        <f t="shared" si="8"/>
        <v>1.1366838432126245</v>
      </c>
      <c r="G53" s="86">
        <f t="shared" si="9"/>
        <v>0</v>
      </c>
      <c r="H53" s="86">
        <f t="shared" si="7"/>
        <v>0</v>
      </c>
      <c r="I53" s="85">
        <f>IF($L$2=Table5[[#This Row],[YEAR]]-(IF($M$2&gt;0,IF($M$2&lt;12,1,0),0)),1,0)</f>
        <v>0</v>
      </c>
      <c r="J53" s="86">
        <f t="shared" si="10"/>
        <v>0</v>
      </c>
      <c r="K53" s="86"/>
      <c r="L53" s="86"/>
      <c r="M53" s="88"/>
    </row>
    <row r="54" spans="1:13">
      <c r="A54" s="85">
        <f>'Annual Calculation'!B53</f>
        <v>0</v>
      </c>
      <c r="B54" s="86">
        <f>'Annual Calculation'!CC53</f>
        <v>0</v>
      </c>
      <c r="C54" s="86">
        <f>'Annual Calculation'!CE53</f>
        <v>0</v>
      </c>
      <c r="D54" s="89">
        <v>0.15</v>
      </c>
      <c r="E54" s="86">
        <f>IF(Table5[[#This Row],[YEAR]]&lt;&gt;0,C53+B54,0)</f>
        <v>0</v>
      </c>
      <c r="F54" s="86">
        <f t="shared" si="8"/>
        <v>1.1366838432126245</v>
      </c>
      <c r="G54" s="86">
        <f t="shared" si="9"/>
        <v>0</v>
      </c>
      <c r="H54" s="86">
        <f t="shared" si="7"/>
        <v>0</v>
      </c>
      <c r="I54" s="85">
        <f>IF($L$2=Table5[[#This Row],[YEAR]]-(IF($M$2&gt;0,IF($M$2&lt;12,1,0),0)),1,0)</f>
        <v>0</v>
      </c>
      <c r="J54" s="86">
        <f t="shared" si="10"/>
        <v>0</v>
      </c>
      <c r="K54" s="86"/>
      <c r="L54" s="86"/>
      <c r="M54" s="88"/>
    </row>
    <row r="55" spans="1:13">
      <c r="A55" s="85">
        <f>'Annual Calculation'!B54</f>
        <v>0</v>
      </c>
      <c r="B55" s="86">
        <f>'Annual Calculation'!CC54</f>
        <v>0</v>
      </c>
      <c r="C55" s="86">
        <f>'Annual Calculation'!CE54</f>
        <v>0</v>
      </c>
      <c r="D55" s="89">
        <v>0.15</v>
      </c>
      <c r="E55" s="86">
        <f>IF(Table5[[#This Row],[YEAR]]&lt;&gt;0,C54+B55,0)</f>
        <v>0</v>
      </c>
      <c r="F55" s="86">
        <f t="shared" si="8"/>
        <v>1.1366838432126245</v>
      </c>
      <c r="G55" s="86">
        <f t="shared" si="9"/>
        <v>0</v>
      </c>
      <c r="H55" s="86">
        <f t="shared" si="7"/>
        <v>0</v>
      </c>
      <c r="I55" s="85">
        <f>IF($L$2=Table5[[#This Row],[YEAR]]-(IF($M$2&gt;0,IF($M$2&lt;12,1,0),0)),1,0)</f>
        <v>0</v>
      </c>
      <c r="J55" s="86">
        <f t="shared" si="10"/>
        <v>0</v>
      </c>
      <c r="K55" s="86"/>
      <c r="L55" s="86"/>
      <c r="M55" s="88"/>
    </row>
    <row r="56" spans="1:13">
      <c r="A56" s="85">
        <f>'Annual Calculation'!B55</f>
        <v>0</v>
      </c>
      <c r="B56" s="86">
        <f>'Annual Calculation'!CC55</f>
        <v>0</v>
      </c>
      <c r="C56" s="86">
        <f>'Annual Calculation'!CE55</f>
        <v>0</v>
      </c>
      <c r="D56" s="89">
        <v>0.15</v>
      </c>
      <c r="E56" s="86">
        <f>IF(Table5[[#This Row],[YEAR]]&lt;&gt;0,C55+B56,0)</f>
        <v>0</v>
      </c>
      <c r="F56" s="86">
        <f t="shared" si="8"/>
        <v>1.1366838432126245</v>
      </c>
      <c r="G56" s="86">
        <f t="shared" si="9"/>
        <v>0</v>
      </c>
      <c r="H56" s="86">
        <f t="shared" si="7"/>
        <v>0</v>
      </c>
      <c r="I56" s="85">
        <f>IF($L$2=Table5[[#This Row],[YEAR]]-(IF($M$2&gt;0,IF($M$2&lt;12,1,0),0)),1,0)</f>
        <v>0</v>
      </c>
      <c r="J56" s="86">
        <f t="shared" si="10"/>
        <v>0</v>
      </c>
      <c r="K56" s="86"/>
      <c r="L56" s="86"/>
      <c r="M56" s="88"/>
    </row>
    <row r="57" spans="1:13">
      <c r="A57" s="85">
        <f>'Annual Calculation'!B56</f>
        <v>0</v>
      </c>
      <c r="B57" s="86">
        <f>'Annual Calculation'!CC56</f>
        <v>0</v>
      </c>
      <c r="C57" s="86">
        <f>'Annual Calculation'!CE56</f>
        <v>0</v>
      </c>
      <c r="D57" s="89">
        <v>0.15</v>
      </c>
      <c r="E57" s="86">
        <f>IF(Table5[[#This Row],[YEAR]]&lt;&gt;0,C56+B57,0)</f>
        <v>0</v>
      </c>
      <c r="F57" s="86">
        <f t="shared" si="8"/>
        <v>1.1366838432126245</v>
      </c>
      <c r="G57" s="86">
        <f t="shared" si="9"/>
        <v>0</v>
      </c>
      <c r="H57" s="86">
        <f t="shared" si="7"/>
        <v>0</v>
      </c>
      <c r="I57" s="85">
        <f>IF($L$2=Table5[[#This Row],[YEAR]]-(IF($M$2&gt;0,IF($M$2&lt;12,1,0),0)),1,0)</f>
        <v>0</v>
      </c>
      <c r="J57" s="86">
        <f t="shared" si="10"/>
        <v>0</v>
      </c>
      <c r="K57" s="86"/>
      <c r="L57" s="86"/>
      <c r="M57" s="88"/>
    </row>
    <row r="58" spans="1:13">
      <c r="A58" s="85">
        <f>'Annual Calculation'!B57</f>
        <v>0</v>
      </c>
      <c r="B58" s="86">
        <f>'Annual Calculation'!CC57</f>
        <v>0</v>
      </c>
      <c r="C58" s="86">
        <f>'Annual Calculation'!CE57</f>
        <v>0</v>
      </c>
      <c r="D58" s="89">
        <v>0.15</v>
      </c>
      <c r="E58" s="86">
        <f>IF(Table5[[#This Row],[YEAR]]&lt;&gt;0,C57+B58,0)</f>
        <v>0</v>
      </c>
      <c r="F58" s="86">
        <f t="shared" si="8"/>
        <v>1.1366838432126245</v>
      </c>
      <c r="G58" s="86">
        <f t="shared" si="9"/>
        <v>0</v>
      </c>
      <c r="H58" s="86">
        <f t="shared" si="7"/>
        <v>0</v>
      </c>
      <c r="I58" s="85">
        <f>IF($L$2=Table5[[#This Row],[YEAR]]-(IF($M$2&gt;0,IF($M$2&lt;12,1,0),0)),1,0)</f>
        <v>0</v>
      </c>
      <c r="J58" s="86">
        <f t="shared" si="10"/>
        <v>0</v>
      </c>
      <c r="K58" s="86"/>
      <c r="L58" s="86"/>
      <c r="M58" s="88"/>
    </row>
    <row r="59" spans="1:13">
      <c r="A59" s="85">
        <f>'Annual Calculation'!B58</f>
        <v>0</v>
      </c>
      <c r="B59" s="86">
        <f>'Annual Calculation'!CC58</f>
        <v>0</v>
      </c>
      <c r="C59" s="86">
        <f>'Annual Calculation'!CE58</f>
        <v>0</v>
      </c>
      <c r="D59" s="89">
        <v>0.15</v>
      </c>
      <c r="E59" s="86">
        <f>IF(Table5[[#This Row],[YEAR]]&lt;&gt;0,C58+B59,0)</f>
        <v>0</v>
      </c>
      <c r="F59" s="86">
        <f t="shared" si="8"/>
        <v>1.1366838432126245</v>
      </c>
      <c r="G59" s="86">
        <f t="shared" si="9"/>
        <v>0</v>
      </c>
      <c r="H59" s="86">
        <f t="shared" si="7"/>
        <v>0</v>
      </c>
      <c r="I59" s="85">
        <f>IF($L$2=Table5[[#This Row],[YEAR]]-(IF($M$2&gt;0,IF($M$2&lt;12,1,0),0)),1,0)</f>
        <v>0</v>
      </c>
      <c r="J59" s="86">
        <f t="shared" si="10"/>
        <v>0</v>
      </c>
      <c r="K59" s="86"/>
      <c r="L59" s="86"/>
      <c r="M59" s="88"/>
    </row>
    <row r="60" spans="1:13">
      <c r="A60" s="85">
        <f>'Annual Calculation'!B59</f>
        <v>0</v>
      </c>
      <c r="B60" s="86">
        <f>'Annual Calculation'!CC59</f>
        <v>0</v>
      </c>
      <c r="C60" s="86">
        <f>'Annual Calculation'!CE59</f>
        <v>0</v>
      </c>
      <c r="D60" s="89">
        <v>0.15</v>
      </c>
      <c r="E60" s="86">
        <f>IF(Table5[[#This Row],[YEAR]]&lt;&gt;0,C59+B60,0)</f>
        <v>0</v>
      </c>
      <c r="F60" s="86">
        <f t="shared" si="8"/>
        <v>1.1366838432126245</v>
      </c>
      <c r="G60" s="86">
        <f t="shared" si="9"/>
        <v>0</v>
      </c>
      <c r="H60" s="86">
        <f t="shared" si="7"/>
        <v>0</v>
      </c>
      <c r="I60" s="85">
        <f>IF($L$2=Table5[[#This Row],[YEAR]]-(IF($M$2&gt;0,IF($M$2&lt;12,1,0),0)),1,0)</f>
        <v>0</v>
      </c>
      <c r="J60" s="86">
        <f t="shared" si="10"/>
        <v>0</v>
      </c>
      <c r="K60" s="86"/>
      <c r="L60" s="86"/>
      <c r="M60" s="88"/>
    </row>
    <row r="61" spans="1:13">
      <c r="A61" s="85">
        <f>'Annual Calculation'!B60</f>
        <v>0</v>
      </c>
      <c r="B61" s="86">
        <f>'Annual Calculation'!CC60</f>
        <v>0</v>
      </c>
      <c r="C61" s="86">
        <f>'Annual Calculation'!CE60</f>
        <v>0</v>
      </c>
      <c r="D61" s="89">
        <v>0.15</v>
      </c>
      <c r="E61" s="86">
        <f>IF(Table5[[#This Row],[YEAR]]&lt;&gt;0,C60+B61,0)</f>
        <v>0</v>
      </c>
      <c r="F61" s="86">
        <f t="shared" si="8"/>
        <v>1.1366838432126245</v>
      </c>
      <c r="G61" s="86">
        <f t="shared" si="9"/>
        <v>0</v>
      </c>
      <c r="H61" s="86">
        <f t="shared" si="7"/>
        <v>0</v>
      </c>
      <c r="I61" s="85">
        <f>IF($L$2=Table5[[#This Row],[YEAR]]-(IF($M$2&gt;0,IF($M$2&lt;12,1,0),0)),1,0)</f>
        <v>0</v>
      </c>
      <c r="J61" s="86">
        <f t="shared" si="10"/>
        <v>0</v>
      </c>
      <c r="K61" s="86"/>
      <c r="L61" s="86"/>
      <c r="M61" s="88"/>
    </row>
    <row r="62" spans="1:13">
      <c r="A62" s="85">
        <f>'Annual Calculation'!B61</f>
        <v>0</v>
      </c>
      <c r="B62" s="86">
        <f>'Annual Calculation'!CC61</f>
        <v>0</v>
      </c>
      <c r="C62" s="86">
        <f>'Annual Calculation'!CE61</f>
        <v>0</v>
      </c>
      <c r="D62" s="89">
        <v>0.15</v>
      </c>
      <c r="E62" s="86">
        <f>IF(Table5[[#This Row],[YEAR]]&lt;&gt;0,C61+B62,0)</f>
        <v>0</v>
      </c>
      <c r="F62" s="86">
        <f t="shared" si="8"/>
        <v>1.1366838432126245</v>
      </c>
      <c r="G62" s="86">
        <f t="shared" si="9"/>
        <v>0</v>
      </c>
      <c r="H62" s="86">
        <f t="shared" si="7"/>
        <v>0</v>
      </c>
      <c r="I62" s="85">
        <f>IF($L$2=Table5[[#This Row],[YEAR]]-(IF($M$2&gt;0,IF($M$2&lt;12,1,0),0)),1,0)</f>
        <v>0</v>
      </c>
      <c r="J62" s="86">
        <f t="shared" si="10"/>
        <v>0</v>
      </c>
      <c r="K62" s="86"/>
      <c r="L62" s="86"/>
      <c r="M62" s="88"/>
    </row>
    <row r="63" spans="1:13">
      <c r="A63" s="85">
        <f>'Annual Calculation'!B62</f>
        <v>0</v>
      </c>
      <c r="B63" s="86">
        <f>'Annual Calculation'!CC62</f>
        <v>0</v>
      </c>
      <c r="C63" s="86">
        <f>'Annual Calculation'!CE62</f>
        <v>0</v>
      </c>
      <c r="D63" s="89">
        <v>0.15</v>
      </c>
      <c r="E63" s="86">
        <f>IF(Table5[[#This Row],[YEAR]]&lt;&gt;0,C62+B63,0)</f>
        <v>0</v>
      </c>
      <c r="F63" s="86">
        <f t="shared" si="8"/>
        <v>1.1366838432126245</v>
      </c>
      <c r="G63" s="86">
        <f t="shared" si="9"/>
        <v>0</v>
      </c>
      <c r="H63" s="86">
        <f t="shared" si="7"/>
        <v>0</v>
      </c>
      <c r="I63" s="85">
        <f>IF($L$2=Table5[[#This Row],[YEAR]]-(IF($M$2&gt;0,IF($M$2&lt;12,1,0),0)),1,0)</f>
        <v>0</v>
      </c>
      <c r="J63" s="86">
        <f t="shared" si="10"/>
        <v>0</v>
      </c>
      <c r="K63" s="86"/>
      <c r="L63" s="86"/>
      <c r="M63" s="88"/>
    </row>
    <row r="64" spans="1:13">
      <c r="A64" s="85">
        <f>'Annual Calculation'!B63</f>
        <v>0</v>
      </c>
      <c r="B64" s="86">
        <f>'Annual Calculation'!CC63</f>
        <v>0</v>
      </c>
      <c r="C64" s="86">
        <f>'Annual Calculation'!CE63</f>
        <v>0</v>
      </c>
      <c r="D64" s="89">
        <v>0.15</v>
      </c>
      <c r="E64" s="86">
        <f>IF(Table5[[#This Row],[YEAR]]&lt;&gt;0,C63+B64,0)</f>
        <v>0</v>
      </c>
      <c r="F64" s="86">
        <f t="shared" si="8"/>
        <v>1.1366838432126245</v>
      </c>
      <c r="G64" s="86">
        <f t="shared" si="9"/>
        <v>0</v>
      </c>
      <c r="H64" s="86">
        <f t="shared" si="7"/>
        <v>0</v>
      </c>
      <c r="I64" s="85">
        <f>IF($L$2=Table5[[#This Row],[YEAR]]-(IF($M$2&gt;0,IF($M$2&lt;12,1,0),0)),1,0)</f>
        <v>0</v>
      </c>
      <c r="J64" s="86">
        <f t="shared" si="10"/>
        <v>0</v>
      </c>
      <c r="K64" s="86"/>
      <c r="L64" s="86"/>
      <c r="M64" s="88"/>
    </row>
    <row r="65" spans="1:13">
      <c r="A65" s="85">
        <f>'Annual Calculation'!B64</f>
        <v>0</v>
      </c>
      <c r="B65" s="86">
        <f>'Annual Calculation'!CC64</f>
        <v>0</v>
      </c>
      <c r="C65" s="86">
        <f>'Annual Calculation'!CE64</f>
        <v>0</v>
      </c>
      <c r="D65" s="89">
        <v>0.15</v>
      </c>
      <c r="E65" s="86">
        <f>IF(Table5[[#This Row],[YEAR]]&lt;&gt;0,C64+B65,0)</f>
        <v>0</v>
      </c>
      <c r="F65" s="86">
        <f t="shared" si="8"/>
        <v>1.1366838432126245</v>
      </c>
      <c r="G65" s="86">
        <f t="shared" si="9"/>
        <v>0</v>
      </c>
      <c r="H65" s="86">
        <f t="shared" si="7"/>
        <v>0</v>
      </c>
      <c r="I65" s="85">
        <f>IF($L$2=Table5[[#This Row],[YEAR]]-(IF($M$2&gt;0,IF($M$2&lt;12,1,0),0)),1,0)</f>
        <v>0</v>
      </c>
      <c r="J65" s="86">
        <f t="shared" si="10"/>
        <v>0</v>
      </c>
      <c r="K65" s="86"/>
      <c r="L65" s="86"/>
      <c r="M65" s="88"/>
    </row>
    <row r="66" spans="1:13">
      <c r="A66" s="85">
        <f>'Annual Calculation'!B65</f>
        <v>0</v>
      </c>
      <c r="B66" s="86">
        <f>'Annual Calculation'!CC65</f>
        <v>0</v>
      </c>
      <c r="C66" s="86">
        <f>'Annual Calculation'!CE65</f>
        <v>0</v>
      </c>
      <c r="D66" s="89">
        <v>0.15</v>
      </c>
      <c r="E66" s="86">
        <f>IF(Table5[[#This Row],[YEAR]]&lt;&gt;0,C65+B66,0)</f>
        <v>0</v>
      </c>
      <c r="F66" s="86">
        <f t="shared" si="8"/>
        <v>1.1366838432126245</v>
      </c>
      <c r="G66" s="86">
        <f t="shared" si="9"/>
        <v>0</v>
      </c>
      <c r="H66" s="86">
        <f t="shared" si="7"/>
        <v>0</v>
      </c>
      <c r="I66" s="85">
        <f>IF($L$2=Table5[[#This Row],[YEAR]]-(IF($M$2&gt;0,IF($M$2&lt;12,1,0),0)),1,0)</f>
        <v>0</v>
      </c>
      <c r="J66" s="86">
        <f t="shared" si="10"/>
        <v>0</v>
      </c>
      <c r="K66" s="86"/>
      <c r="L66" s="86"/>
      <c r="M66" s="88"/>
    </row>
    <row r="67" spans="1:13">
      <c r="A67" s="85">
        <f>'Annual Calculation'!B66</f>
        <v>0</v>
      </c>
      <c r="B67" s="86">
        <f>'Annual Calculation'!CC66</f>
        <v>0</v>
      </c>
      <c r="C67" s="86">
        <f>'Annual Calculation'!CE66</f>
        <v>0</v>
      </c>
      <c r="D67" s="89">
        <v>0.15</v>
      </c>
      <c r="E67" s="86">
        <f>IF(Table5[[#This Row],[YEAR]]&lt;&gt;0,C66+B67,0)</f>
        <v>0</v>
      </c>
      <c r="F67" s="86">
        <f t="shared" si="8"/>
        <v>1.1366838432126245</v>
      </c>
      <c r="G67" s="86">
        <f t="shared" si="9"/>
        <v>0</v>
      </c>
      <c r="H67" s="86">
        <f t="shared" si="7"/>
        <v>0</v>
      </c>
      <c r="I67" s="85">
        <f>IF($L$2=Table5[[#This Row],[YEAR]]-(IF($M$2&gt;0,IF($M$2&lt;12,1,0),0)),1,0)</f>
        <v>0</v>
      </c>
      <c r="J67" s="86">
        <f t="shared" si="10"/>
        <v>0</v>
      </c>
      <c r="K67" s="86"/>
      <c r="L67" s="86"/>
      <c r="M67" s="88"/>
    </row>
    <row r="68" spans="1:13">
      <c r="A68" s="85">
        <f>'Annual Calculation'!B67</f>
        <v>0</v>
      </c>
      <c r="B68" s="86">
        <f>'Annual Calculation'!CC67</f>
        <v>0</v>
      </c>
      <c r="C68" s="86">
        <f>'Annual Calculation'!CE67</f>
        <v>0</v>
      </c>
      <c r="D68" s="89">
        <v>0.15</v>
      </c>
      <c r="E68" s="86">
        <f>IF(Table5[[#This Row],[YEAR]]&lt;&gt;0,C67+B68,0)</f>
        <v>0</v>
      </c>
      <c r="F68" s="86">
        <f t="shared" si="8"/>
        <v>1.1366838432126245</v>
      </c>
      <c r="G68" s="86">
        <f t="shared" si="9"/>
        <v>0</v>
      </c>
      <c r="H68" s="86">
        <f t="shared" si="7"/>
        <v>0</v>
      </c>
      <c r="I68" s="85">
        <f>IF($L$2=Table5[[#This Row],[YEAR]]-(IF($M$2&gt;0,IF($M$2&lt;12,1,0),0)),1,0)</f>
        <v>0</v>
      </c>
      <c r="J68" s="86">
        <f t="shared" si="10"/>
        <v>0</v>
      </c>
      <c r="K68" s="86"/>
      <c r="L68" s="86"/>
      <c r="M68" s="88"/>
    </row>
    <row r="69" spans="1:13">
      <c r="A69" s="85">
        <f>'Annual Calculation'!B68</f>
        <v>0</v>
      </c>
      <c r="B69" s="86">
        <f>'Annual Calculation'!CC68</f>
        <v>0</v>
      </c>
      <c r="C69" s="86">
        <f>'Annual Calculation'!CE68</f>
        <v>0</v>
      </c>
      <c r="D69" s="89">
        <v>0.15</v>
      </c>
      <c r="E69" s="86">
        <f>IF(Table5[[#This Row],[YEAR]]&lt;&gt;0,C68+B69,0)</f>
        <v>0</v>
      </c>
      <c r="F69" s="86">
        <f t="shared" si="8"/>
        <v>1.1366838432126245</v>
      </c>
      <c r="G69" s="86">
        <f t="shared" si="9"/>
        <v>0</v>
      </c>
      <c r="H69" s="86">
        <f t="shared" si="7"/>
        <v>0</v>
      </c>
      <c r="I69" s="85">
        <f>IF($L$2=Table5[[#This Row],[YEAR]]-(IF($M$2&gt;0,IF($M$2&lt;12,1,0),0)),1,0)</f>
        <v>0</v>
      </c>
      <c r="J69" s="86">
        <f t="shared" si="10"/>
        <v>0</v>
      </c>
      <c r="K69" s="86"/>
      <c r="L69" s="86"/>
      <c r="M69" s="88"/>
    </row>
    <row r="70" spans="1:13">
      <c r="A70" s="85">
        <f>'Annual Calculation'!B69</f>
        <v>0</v>
      </c>
      <c r="B70" s="86">
        <f>'Annual Calculation'!CC69</f>
        <v>0</v>
      </c>
      <c r="C70" s="86">
        <f>'Annual Calculation'!CE69</f>
        <v>0</v>
      </c>
      <c r="D70" s="89">
        <v>0.15</v>
      </c>
      <c r="E70" s="86">
        <f>IF(Table5[[#This Row],[YEAR]]&lt;&gt;0,C69+B70,0)</f>
        <v>0</v>
      </c>
      <c r="F70" s="86">
        <f t="shared" si="8"/>
        <v>1.1366838432126245</v>
      </c>
      <c r="G70" s="86">
        <f t="shared" si="9"/>
        <v>0</v>
      </c>
      <c r="H70" s="86">
        <f t="shared" si="7"/>
        <v>0</v>
      </c>
      <c r="I70" s="85">
        <f>IF($L$2=Table5[[#This Row],[YEAR]]-(IF($M$2&gt;0,IF($M$2&lt;12,1,0),0)),1,0)</f>
        <v>0</v>
      </c>
      <c r="J70" s="86">
        <f t="shared" si="10"/>
        <v>0</v>
      </c>
      <c r="K70" s="86"/>
      <c r="L70" s="86"/>
      <c r="M70" s="88"/>
    </row>
    <row r="71" spans="1:13">
      <c r="A71" s="85">
        <f>'Annual Calculation'!B70</f>
        <v>0</v>
      </c>
      <c r="B71" s="86">
        <f>'Annual Calculation'!CC70</f>
        <v>0</v>
      </c>
      <c r="C71" s="86">
        <f>'Annual Calculation'!CE70</f>
        <v>0</v>
      </c>
      <c r="D71" s="89">
        <v>0.15</v>
      </c>
      <c r="E71" s="86">
        <f>IF(Table5[[#This Row],[YEAR]]&lt;&gt;0,C70+B71,0)</f>
        <v>0</v>
      </c>
      <c r="F71" s="86">
        <f t="shared" si="8"/>
        <v>1.1366838432126245</v>
      </c>
      <c r="G71" s="86">
        <f t="shared" si="9"/>
        <v>0</v>
      </c>
      <c r="H71" s="86">
        <f t="shared" si="7"/>
        <v>0</v>
      </c>
      <c r="I71" s="85">
        <f>IF($L$2=Table5[[#This Row],[YEAR]]-(IF($M$2&gt;0,IF($M$2&lt;12,1,0),0)),1,0)</f>
        <v>0</v>
      </c>
      <c r="J71" s="86">
        <f t="shared" si="10"/>
        <v>0</v>
      </c>
      <c r="K71" s="86"/>
      <c r="L71" s="86"/>
      <c r="M71" s="88"/>
    </row>
    <row r="72" spans="1:13">
      <c r="A72" s="85">
        <f>'Annual Calculation'!B71</f>
        <v>0</v>
      </c>
      <c r="B72" s="86">
        <f>'Annual Calculation'!CC71</f>
        <v>0</v>
      </c>
      <c r="C72" s="86">
        <f>'Annual Calculation'!CE71</f>
        <v>0</v>
      </c>
      <c r="D72" s="89">
        <v>0.15</v>
      </c>
      <c r="E72" s="86">
        <f>IF(Table5[[#This Row],[YEAR]]&lt;&gt;0,C71+B72,0)</f>
        <v>0</v>
      </c>
      <c r="F72" s="86">
        <f t="shared" si="8"/>
        <v>1.1366838432126245</v>
      </c>
      <c r="G72" s="86">
        <f t="shared" si="9"/>
        <v>0</v>
      </c>
      <c r="H72" s="86">
        <f t="shared" si="7"/>
        <v>0</v>
      </c>
      <c r="I72" s="85">
        <f>IF($L$2=Table5[[#This Row],[YEAR]]-(IF($M$2&gt;0,IF($M$2&lt;12,1,0),0)),1,0)</f>
        <v>0</v>
      </c>
      <c r="J72" s="86">
        <f t="shared" si="10"/>
        <v>0</v>
      </c>
      <c r="K72" s="86"/>
      <c r="L72" s="86"/>
      <c r="M72" s="88"/>
    </row>
    <row r="73" spans="1:13">
      <c r="A73" s="85">
        <f>'Annual Calculation'!B72</f>
        <v>0</v>
      </c>
      <c r="B73" s="86">
        <f>'Annual Calculation'!CC72</f>
        <v>0</v>
      </c>
      <c r="C73" s="86">
        <f>'Annual Calculation'!CE72</f>
        <v>0</v>
      </c>
      <c r="D73" s="89">
        <v>0.15</v>
      </c>
      <c r="E73" s="86">
        <f>IF(Table5[[#This Row],[YEAR]]&lt;&gt;0,C72+B73,0)</f>
        <v>0</v>
      </c>
      <c r="F73" s="86">
        <f t="shared" si="8"/>
        <v>1.1366838432126245</v>
      </c>
      <c r="G73" s="86">
        <f t="shared" si="9"/>
        <v>0</v>
      </c>
      <c r="H73" s="86">
        <f t="shared" si="7"/>
        <v>0</v>
      </c>
      <c r="I73" s="85">
        <f>IF($L$2=Table5[[#This Row],[YEAR]]-(IF($M$2&gt;0,IF($M$2&lt;12,1,0),0)),1,0)</f>
        <v>0</v>
      </c>
      <c r="J73" s="86">
        <f t="shared" si="10"/>
        <v>0</v>
      </c>
      <c r="K73" s="86"/>
      <c r="L73" s="86"/>
      <c r="M73" s="88"/>
    </row>
    <row r="74" spans="1:13">
      <c r="A74" s="85">
        <f>'Annual Calculation'!B73</f>
        <v>0</v>
      </c>
      <c r="B74" s="86">
        <f>'Annual Calculation'!CC73</f>
        <v>0</v>
      </c>
      <c r="C74" s="86">
        <f>'Annual Calculation'!CE73</f>
        <v>0</v>
      </c>
      <c r="D74" s="89">
        <v>0.15</v>
      </c>
      <c r="E74" s="86">
        <f>IF(Table5[[#This Row],[YEAR]]&lt;&gt;0,C73+B74,0)</f>
        <v>0</v>
      </c>
      <c r="F74" s="86">
        <f t="shared" si="8"/>
        <v>1.1366838432126245</v>
      </c>
      <c r="G74" s="86">
        <f t="shared" si="9"/>
        <v>0</v>
      </c>
      <c r="H74" s="86">
        <f t="shared" si="7"/>
        <v>0</v>
      </c>
      <c r="I74" s="85">
        <f>IF($L$2=Table5[[#This Row],[YEAR]]-(IF($M$2&gt;0,IF($M$2&lt;12,1,0),0)),1,0)</f>
        <v>0</v>
      </c>
      <c r="J74" s="86">
        <f t="shared" si="10"/>
        <v>0</v>
      </c>
      <c r="K74" s="86"/>
      <c r="L74" s="86"/>
      <c r="M74" s="88"/>
    </row>
    <row r="75" spans="1:13">
      <c r="A75" s="85">
        <f>'Annual Calculation'!B74</f>
        <v>0</v>
      </c>
      <c r="B75" s="86">
        <f>'Annual Calculation'!CC74</f>
        <v>0</v>
      </c>
      <c r="C75" s="86">
        <f>'Annual Calculation'!CE74</f>
        <v>0</v>
      </c>
      <c r="D75" s="89">
        <v>0.15</v>
      </c>
      <c r="E75" s="86">
        <f>IF(Table5[[#This Row],[YEAR]]&lt;&gt;0,C74+B75,0)</f>
        <v>0</v>
      </c>
      <c r="F75" s="86">
        <f t="shared" si="8"/>
        <v>1.1366838432126245</v>
      </c>
      <c r="G75" s="86">
        <f t="shared" si="9"/>
        <v>0</v>
      </c>
      <c r="H75" s="86">
        <f t="shared" si="7"/>
        <v>0</v>
      </c>
      <c r="I75" s="85">
        <f>IF($L$2=Table5[[#This Row],[YEAR]]-(IF($M$2&gt;0,IF($M$2&lt;12,1,0),0)),1,0)</f>
        <v>0</v>
      </c>
      <c r="J75" s="86">
        <f t="shared" si="10"/>
        <v>0</v>
      </c>
      <c r="K75" s="86"/>
      <c r="L75" s="86"/>
      <c r="M75" s="88"/>
    </row>
    <row r="76" spans="1:13">
      <c r="A76" s="85">
        <f>'Annual Calculation'!B75</f>
        <v>0</v>
      </c>
      <c r="B76" s="86">
        <f>'Annual Calculation'!CC75</f>
        <v>0</v>
      </c>
      <c r="C76" s="86">
        <f>'Annual Calculation'!CE75</f>
        <v>0</v>
      </c>
      <c r="D76" s="89">
        <v>0.15</v>
      </c>
      <c r="E76" s="86">
        <f>IF(Table5[[#This Row],[YEAR]]&lt;&gt;0,C75+B76,0)</f>
        <v>0</v>
      </c>
      <c r="F76" s="86">
        <f t="shared" si="8"/>
        <v>1.1366838432126245</v>
      </c>
      <c r="G76" s="86">
        <f t="shared" si="9"/>
        <v>0</v>
      </c>
      <c r="H76" s="86">
        <f t="shared" si="7"/>
        <v>0</v>
      </c>
      <c r="I76" s="85">
        <f>IF($L$2=Table5[[#This Row],[YEAR]]-(IF($M$2&gt;0,IF($M$2&lt;12,1,0),0)),1,0)</f>
        <v>0</v>
      </c>
      <c r="J76" s="86">
        <f t="shared" si="10"/>
        <v>0</v>
      </c>
      <c r="K76" s="86"/>
      <c r="L76" s="86"/>
      <c r="M76" s="88"/>
    </row>
    <row r="77" spans="1:13">
      <c r="A77" s="85">
        <f>'Annual Calculation'!B76</f>
        <v>0</v>
      </c>
      <c r="B77" s="86">
        <f>'Annual Calculation'!CC76</f>
        <v>0</v>
      </c>
      <c r="C77" s="86">
        <f>'Annual Calculation'!CE76</f>
        <v>0</v>
      </c>
      <c r="D77" s="89">
        <v>0.15</v>
      </c>
      <c r="E77" s="86">
        <f>IF(Table5[[#This Row],[YEAR]]&lt;&gt;0,C76+B77,0)</f>
        <v>0</v>
      </c>
      <c r="F77" s="86">
        <f t="shared" si="8"/>
        <v>1.1366838432126245</v>
      </c>
      <c r="G77" s="86">
        <f t="shared" si="9"/>
        <v>0</v>
      </c>
      <c r="H77" s="86">
        <f t="shared" si="7"/>
        <v>0</v>
      </c>
      <c r="I77" s="85">
        <f>IF($L$2=Table5[[#This Row],[YEAR]]-(IF($M$2&gt;0,IF($M$2&lt;12,1,0),0)),1,0)</f>
        <v>0</v>
      </c>
      <c r="J77" s="86">
        <f t="shared" si="10"/>
        <v>0</v>
      </c>
      <c r="K77" s="86"/>
      <c r="L77" s="86"/>
      <c r="M77" s="88"/>
    </row>
    <row r="78" spans="1:13">
      <c r="A78" s="85">
        <f>'Annual Calculation'!B77</f>
        <v>0</v>
      </c>
      <c r="B78" s="86">
        <f>'Annual Calculation'!CC77</f>
        <v>0</v>
      </c>
      <c r="C78" s="86">
        <f>'Annual Calculation'!CE77</f>
        <v>0</v>
      </c>
      <c r="D78" s="89">
        <v>0.15</v>
      </c>
      <c r="E78" s="86">
        <f>IF(Table5[[#This Row],[YEAR]]&lt;&gt;0,C77+B78,0)</f>
        <v>0</v>
      </c>
      <c r="F78" s="86">
        <f t="shared" si="8"/>
        <v>1.1366838432126245</v>
      </c>
      <c r="G78" s="86">
        <f t="shared" si="9"/>
        <v>0</v>
      </c>
      <c r="H78" s="86">
        <f t="shared" si="7"/>
        <v>0</v>
      </c>
      <c r="I78" s="85">
        <f>IF($L$2=Table5[[#This Row],[YEAR]]-(IF($M$2&gt;0,IF($M$2&lt;12,1,0),0)),1,0)</f>
        <v>0</v>
      </c>
      <c r="J78" s="86">
        <f t="shared" si="10"/>
        <v>0</v>
      </c>
      <c r="K78" s="86"/>
      <c r="L78" s="86"/>
      <c r="M78" s="88"/>
    </row>
    <row r="79" spans="1:13">
      <c r="A79" s="85">
        <f>'Annual Calculation'!B78</f>
        <v>0</v>
      </c>
      <c r="B79" s="86">
        <f>'Annual Calculation'!CC78</f>
        <v>0</v>
      </c>
      <c r="C79" s="86">
        <f>'Annual Calculation'!CE78</f>
        <v>0</v>
      </c>
      <c r="D79" s="89">
        <v>0.15</v>
      </c>
      <c r="E79" s="86">
        <f>IF(Table5[[#This Row],[YEAR]]&lt;&gt;0,C78+B79,0)</f>
        <v>0</v>
      </c>
      <c r="F79" s="86">
        <f t="shared" ref="F79:F109" si="11">(1+D79)^($M$2/12)</f>
        <v>1.1366838432126245</v>
      </c>
      <c r="G79" s="86">
        <f t="shared" ref="G79:G109" si="12">E79*F79</f>
        <v>0</v>
      </c>
      <c r="H79" s="86">
        <f t="shared" si="7"/>
        <v>0</v>
      </c>
      <c r="I79" s="85">
        <f>IF($L$2=Table5[[#This Row],[YEAR]]-(IF($M$2&gt;0,IF($M$2&lt;12,1,0),0)),1,0)</f>
        <v>0</v>
      </c>
      <c r="J79" s="86">
        <f t="shared" ref="J79:J109" si="13">G79-H79</f>
        <v>0</v>
      </c>
      <c r="K79" s="86"/>
      <c r="L79" s="86"/>
      <c r="M79" s="88"/>
    </row>
    <row r="80" spans="1:13">
      <c r="A80" s="85">
        <f>'Annual Calculation'!B79</f>
        <v>0</v>
      </c>
      <c r="B80" s="86">
        <f>'Annual Calculation'!CC79</f>
        <v>0</v>
      </c>
      <c r="C80" s="86">
        <f>'Annual Calculation'!CE79</f>
        <v>0</v>
      </c>
      <c r="D80" s="89">
        <v>0.15</v>
      </c>
      <c r="E80" s="86">
        <f>IF(Table5[[#This Row],[YEAR]]&lt;&gt;0,C79+B80,0)</f>
        <v>0</v>
      </c>
      <c r="F80" s="86">
        <f t="shared" si="11"/>
        <v>1.1366838432126245</v>
      </c>
      <c r="G80" s="86">
        <f t="shared" si="12"/>
        <v>0</v>
      </c>
      <c r="H80" s="86">
        <f t="shared" si="7"/>
        <v>0</v>
      </c>
      <c r="I80" s="85">
        <f>IF($L$2=Table5[[#This Row],[YEAR]]-(IF($M$2&gt;0,IF($M$2&lt;12,1,0),0)),1,0)</f>
        <v>0</v>
      </c>
      <c r="J80" s="86">
        <f t="shared" si="13"/>
        <v>0</v>
      </c>
      <c r="K80" s="86"/>
      <c r="L80" s="86"/>
      <c r="M80" s="88"/>
    </row>
    <row r="81" spans="1:13">
      <c r="A81" s="85">
        <f>'Annual Calculation'!B80</f>
        <v>0</v>
      </c>
      <c r="B81" s="86">
        <f>'Annual Calculation'!CC80</f>
        <v>0</v>
      </c>
      <c r="C81" s="86">
        <f>'Annual Calculation'!CE80</f>
        <v>0</v>
      </c>
      <c r="D81" s="89">
        <v>0.15</v>
      </c>
      <c r="E81" s="86">
        <f>IF(Table5[[#This Row],[YEAR]]&lt;&gt;0,C80+B81,0)</f>
        <v>0</v>
      </c>
      <c r="F81" s="86">
        <f t="shared" si="11"/>
        <v>1.1366838432126245</v>
      </c>
      <c r="G81" s="86">
        <f t="shared" si="12"/>
        <v>0</v>
      </c>
      <c r="H81" s="86">
        <f t="shared" si="7"/>
        <v>0</v>
      </c>
      <c r="I81" s="85">
        <f>IF($L$2=Table5[[#This Row],[YEAR]]-(IF($M$2&gt;0,IF($M$2&lt;12,1,0),0)),1,0)</f>
        <v>0</v>
      </c>
      <c r="J81" s="86">
        <f t="shared" si="13"/>
        <v>0</v>
      </c>
      <c r="K81" s="86"/>
      <c r="L81" s="86"/>
      <c r="M81" s="88"/>
    </row>
    <row r="82" spans="1:13">
      <c r="A82" s="85">
        <f>'Annual Calculation'!B81</f>
        <v>0</v>
      </c>
      <c r="B82" s="86">
        <f>'Annual Calculation'!CC81</f>
        <v>0</v>
      </c>
      <c r="C82" s="86">
        <f>'Annual Calculation'!CE81</f>
        <v>0</v>
      </c>
      <c r="D82" s="89">
        <v>0.15</v>
      </c>
      <c r="E82" s="86">
        <f>IF(Table5[[#This Row],[YEAR]]&lt;&gt;0,C81+B82,0)</f>
        <v>0</v>
      </c>
      <c r="F82" s="86">
        <f t="shared" si="11"/>
        <v>1.1366838432126245</v>
      </c>
      <c r="G82" s="86">
        <f t="shared" si="12"/>
        <v>0</v>
      </c>
      <c r="H82" s="86">
        <f t="shared" si="7"/>
        <v>0</v>
      </c>
      <c r="I82" s="85">
        <f>IF($L$2=Table5[[#This Row],[YEAR]]-(IF($M$2&gt;0,IF($M$2&lt;12,1,0),0)),1,0)</f>
        <v>0</v>
      </c>
      <c r="J82" s="86">
        <f t="shared" si="13"/>
        <v>0</v>
      </c>
      <c r="K82" s="86"/>
      <c r="L82" s="86"/>
      <c r="M82" s="88"/>
    </row>
    <row r="83" spans="1:13">
      <c r="A83" s="85">
        <f>'Annual Calculation'!B82</f>
        <v>0</v>
      </c>
      <c r="B83" s="86">
        <f>'Annual Calculation'!CC82</f>
        <v>0</v>
      </c>
      <c r="C83" s="86">
        <f>'Annual Calculation'!CE82</f>
        <v>0</v>
      </c>
      <c r="D83" s="89">
        <v>0.15</v>
      </c>
      <c r="E83" s="86">
        <f>IF(Table5[[#This Row],[YEAR]]&lt;&gt;0,C82+B83,0)</f>
        <v>0</v>
      </c>
      <c r="F83" s="86">
        <f t="shared" si="11"/>
        <v>1.1366838432126245</v>
      </c>
      <c r="G83" s="86">
        <f t="shared" si="12"/>
        <v>0</v>
      </c>
      <c r="H83" s="86">
        <f t="shared" si="7"/>
        <v>0</v>
      </c>
      <c r="I83" s="85">
        <f>IF($L$2=Table5[[#This Row],[YEAR]]-(IF($M$2&gt;0,IF($M$2&lt;12,1,0),0)),1,0)</f>
        <v>0</v>
      </c>
      <c r="J83" s="86">
        <f t="shared" si="13"/>
        <v>0</v>
      </c>
      <c r="K83" s="86"/>
      <c r="L83" s="86"/>
      <c r="M83" s="88"/>
    </row>
    <row r="84" spans="1:13">
      <c r="A84" s="85">
        <f>'Annual Calculation'!B83</f>
        <v>0</v>
      </c>
      <c r="B84" s="86">
        <f>'Annual Calculation'!CC83</f>
        <v>0</v>
      </c>
      <c r="C84" s="86">
        <f>'Annual Calculation'!CE83</f>
        <v>0</v>
      </c>
      <c r="D84" s="89">
        <v>0.15</v>
      </c>
      <c r="E84" s="86">
        <f>IF(Table5[[#This Row],[YEAR]]&lt;&gt;0,C83+B84,0)</f>
        <v>0</v>
      </c>
      <c r="F84" s="86">
        <f t="shared" si="11"/>
        <v>1.1366838432126245</v>
      </c>
      <c r="G84" s="86">
        <f t="shared" si="12"/>
        <v>0</v>
      </c>
      <c r="H84" s="86">
        <f t="shared" si="7"/>
        <v>0</v>
      </c>
      <c r="I84" s="85">
        <f>IF($L$2=Table5[[#This Row],[YEAR]]-(IF($M$2&gt;0,IF($M$2&lt;12,1,0),0)),1,0)</f>
        <v>0</v>
      </c>
      <c r="J84" s="86">
        <f t="shared" si="13"/>
        <v>0</v>
      </c>
      <c r="K84" s="86"/>
      <c r="L84" s="86"/>
      <c r="M84" s="88"/>
    </row>
    <row r="85" spans="1:13">
      <c r="A85" s="85">
        <f>'Annual Calculation'!B84</f>
        <v>0</v>
      </c>
      <c r="B85" s="86">
        <f>'Annual Calculation'!CC84</f>
        <v>0</v>
      </c>
      <c r="C85" s="86">
        <f>'Annual Calculation'!CE84</f>
        <v>0</v>
      </c>
      <c r="D85" s="89">
        <v>0.15</v>
      </c>
      <c r="E85" s="86">
        <f>IF(Table5[[#This Row],[YEAR]]&lt;&gt;0,C84+B85,0)</f>
        <v>0</v>
      </c>
      <c r="F85" s="86">
        <f t="shared" si="11"/>
        <v>1.1366838432126245</v>
      </c>
      <c r="G85" s="86">
        <f t="shared" si="12"/>
        <v>0</v>
      </c>
      <c r="H85" s="86">
        <f t="shared" si="7"/>
        <v>0</v>
      </c>
      <c r="I85" s="85">
        <f>IF($L$2=Table5[[#This Row],[YEAR]]-(IF($M$2&gt;0,IF($M$2&lt;12,1,0),0)),1,0)</f>
        <v>0</v>
      </c>
      <c r="J85" s="86">
        <f t="shared" si="13"/>
        <v>0</v>
      </c>
      <c r="K85" s="86"/>
      <c r="L85" s="86"/>
      <c r="M85" s="88"/>
    </row>
    <row r="86" spans="1:13">
      <c r="A86" s="85">
        <f>'Annual Calculation'!B85</f>
        <v>0</v>
      </c>
      <c r="B86" s="86">
        <f>'Annual Calculation'!CC85</f>
        <v>0</v>
      </c>
      <c r="C86" s="86">
        <f>'Annual Calculation'!CE85</f>
        <v>0</v>
      </c>
      <c r="D86" s="89">
        <v>0.15</v>
      </c>
      <c r="E86" s="86">
        <f>IF(Table5[[#This Row],[YEAR]]&lt;&gt;0,C85+B86,0)</f>
        <v>0</v>
      </c>
      <c r="F86" s="86">
        <f t="shared" si="11"/>
        <v>1.1366838432126245</v>
      </c>
      <c r="G86" s="86">
        <f t="shared" si="12"/>
        <v>0</v>
      </c>
      <c r="H86" s="86">
        <f t="shared" si="7"/>
        <v>0</v>
      </c>
      <c r="I86" s="85">
        <f>IF($L$2=Table5[[#This Row],[YEAR]]-(IF($M$2&gt;0,IF($M$2&lt;12,1,0),0)),1,0)</f>
        <v>0</v>
      </c>
      <c r="J86" s="86">
        <f t="shared" si="13"/>
        <v>0</v>
      </c>
      <c r="K86" s="86"/>
      <c r="L86" s="86"/>
      <c r="M86" s="88"/>
    </row>
    <row r="87" spans="1:13">
      <c r="A87" s="85">
        <f>'Annual Calculation'!B86</f>
        <v>0</v>
      </c>
      <c r="B87" s="86">
        <f>'Annual Calculation'!CC86</f>
        <v>0</v>
      </c>
      <c r="C87" s="86">
        <f>'Annual Calculation'!CE86</f>
        <v>0</v>
      </c>
      <c r="D87" s="89">
        <v>0.15</v>
      </c>
      <c r="E87" s="86">
        <f>IF(Table5[[#This Row],[YEAR]]&lt;&gt;0,C86+B87,0)</f>
        <v>0</v>
      </c>
      <c r="F87" s="86">
        <f t="shared" si="11"/>
        <v>1.1366838432126245</v>
      </c>
      <c r="G87" s="86">
        <f t="shared" si="12"/>
        <v>0</v>
      </c>
      <c r="H87" s="86">
        <f t="shared" si="7"/>
        <v>0</v>
      </c>
      <c r="I87" s="85">
        <f>IF($L$2=Table5[[#This Row],[YEAR]]-(IF($M$2&gt;0,IF($M$2&lt;12,1,0),0)),1,0)</f>
        <v>0</v>
      </c>
      <c r="J87" s="86">
        <f t="shared" si="13"/>
        <v>0</v>
      </c>
      <c r="K87" s="86"/>
      <c r="L87" s="86"/>
      <c r="M87" s="88"/>
    </row>
    <row r="88" spans="1:13">
      <c r="A88" s="85">
        <f>'Annual Calculation'!B87</f>
        <v>0</v>
      </c>
      <c r="B88" s="86">
        <f>'Annual Calculation'!CC87</f>
        <v>0</v>
      </c>
      <c r="C88" s="86">
        <f>'Annual Calculation'!CE87</f>
        <v>0</v>
      </c>
      <c r="D88" s="89">
        <v>0.15</v>
      </c>
      <c r="E88" s="86">
        <f>IF(Table5[[#This Row],[YEAR]]&lt;&gt;0,C87+B88,0)</f>
        <v>0</v>
      </c>
      <c r="F88" s="86">
        <f t="shared" si="11"/>
        <v>1.1366838432126245</v>
      </c>
      <c r="G88" s="86">
        <f t="shared" si="12"/>
        <v>0</v>
      </c>
      <c r="H88" s="86">
        <f t="shared" si="7"/>
        <v>0</v>
      </c>
      <c r="I88" s="85">
        <f>IF($L$2=Table5[[#This Row],[YEAR]]-(IF($M$2&gt;0,IF($M$2&lt;12,1,0),0)),1,0)</f>
        <v>0</v>
      </c>
      <c r="J88" s="86">
        <f t="shared" si="13"/>
        <v>0</v>
      </c>
      <c r="K88" s="86"/>
      <c r="L88" s="86"/>
      <c r="M88" s="88"/>
    </row>
    <row r="89" spans="1:13">
      <c r="A89" s="85">
        <f>'Annual Calculation'!B88</f>
        <v>0</v>
      </c>
      <c r="B89" s="86">
        <f>'Annual Calculation'!CC88</f>
        <v>0</v>
      </c>
      <c r="C89" s="86">
        <f>'Annual Calculation'!CE88</f>
        <v>0</v>
      </c>
      <c r="D89" s="89">
        <v>0.15</v>
      </c>
      <c r="E89" s="86">
        <f>IF(Table5[[#This Row],[YEAR]]&lt;&gt;0,C88+B89,0)</f>
        <v>0</v>
      </c>
      <c r="F89" s="86">
        <f t="shared" si="11"/>
        <v>1.1366838432126245</v>
      </c>
      <c r="G89" s="86">
        <f t="shared" si="12"/>
        <v>0</v>
      </c>
      <c r="H89" s="86">
        <f t="shared" ref="H89:H109" si="14">IF(A89=0,0,IF(A89&gt;5,0,(5-A89+((12-$M$2)/12))*$K$2))</f>
        <v>0</v>
      </c>
      <c r="I89" s="85">
        <f>IF($L$2=Table5[[#This Row],[YEAR]]-(IF($M$2&gt;0,IF($M$2&lt;12,1,0),0)),1,0)</f>
        <v>0</v>
      </c>
      <c r="J89" s="86">
        <f t="shared" si="13"/>
        <v>0</v>
      </c>
      <c r="K89" s="86"/>
      <c r="L89" s="86"/>
      <c r="M89" s="88"/>
    </row>
    <row r="90" spans="1:13">
      <c r="A90" s="85">
        <f>'Annual Calculation'!B89</f>
        <v>0</v>
      </c>
      <c r="B90" s="86">
        <f>'Annual Calculation'!CC89</f>
        <v>0</v>
      </c>
      <c r="C90" s="86">
        <f>'Annual Calculation'!CE89</f>
        <v>0</v>
      </c>
      <c r="D90" s="89">
        <v>0.15</v>
      </c>
      <c r="E90" s="86">
        <f>IF(Table5[[#This Row],[YEAR]]&lt;&gt;0,C89+B90,0)</f>
        <v>0</v>
      </c>
      <c r="F90" s="86">
        <f t="shared" si="11"/>
        <v>1.1366838432126245</v>
      </c>
      <c r="G90" s="86">
        <f t="shared" si="12"/>
        <v>0</v>
      </c>
      <c r="H90" s="86">
        <f t="shared" si="14"/>
        <v>0</v>
      </c>
      <c r="I90" s="85">
        <f>IF($L$2=Table5[[#This Row],[YEAR]]-(IF($M$2&gt;0,IF($M$2&lt;12,1,0),0)),1,0)</f>
        <v>0</v>
      </c>
      <c r="J90" s="86">
        <f t="shared" si="13"/>
        <v>0</v>
      </c>
      <c r="K90" s="86"/>
      <c r="L90" s="86"/>
      <c r="M90" s="88"/>
    </row>
    <row r="91" spans="1:13">
      <c r="A91" s="85">
        <f>'Annual Calculation'!B90</f>
        <v>0</v>
      </c>
      <c r="B91" s="86">
        <f>'Annual Calculation'!CC90</f>
        <v>0</v>
      </c>
      <c r="C91" s="86">
        <f>'Annual Calculation'!CE90</f>
        <v>0</v>
      </c>
      <c r="D91" s="89">
        <v>0.15</v>
      </c>
      <c r="E91" s="86">
        <f>IF(Table5[[#This Row],[YEAR]]&lt;&gt;0,C90+B91,0)</f>
        <v>0</v>
      </c>
      <c r="F91" s="86">
        <f t="shared" si="11"/>
        <v>1.1366838432126245</v>
      </c>
      <c r="G91" s="86">
        <f t="shared" si="12"/>
        <v>0</v>
      </c>
      <c r="H91" s="86">
        <f t="shared" si="14"/>
        <v>0</v>
      </c>
      <c r="I91" s="85">
        <f>IF($L$2=Table5[[#This Row],[YEAR]]-(IF($M$2&gt;0,IF($M$2&lt;12,1,0),0)),1,0)</f>
        <v>0</v>
      </c>
      <c r="J91" s="86">
        <f t="shared" si="13"/>
        <v>0</v>
      </c>
      <c r="K91" s="86"/>
      <c r="L91" s="86"/>
      <c r="M91" s="88"/>
    </row>
    <row r="92" spans="1:13">
      <c r="A92" s="85">
        <f>'Annual Calculation'!B91</f>
        <v>0</v>
      </c>
      <c r="B92" s="86">
        <f>'Annual Calculation'!CC91</f>
        <v>0</v>
      </c>
      <c r="C92" s="86">
        <f>'Annual Calculation'!CE91</f>
        <v>0</v>
      </c>
      <c r="D92" s="89">
        <v>0.15</v>
      </c>
      <c r="E92" s="86">
        <f>IF(Table5[[#This Row],[YEAR]]&lt;&gt;0,C91+B92,0)</f>
        <v>0</v>
      </c>
      <c r="F92" s="86">
        <f t="shared" si="11"/>
        <v>1.1366838432126245</v>
      </c>
      <c r="G92" s="86">
        <f t="shared" si="12"/>
        <v>0</v>
      </c>
      <c r="H92" s="86">
        <f t="shared" si="14"/>
        <v>0</v>
      </c>
      <c r="I92" s="85">
        <f>IF($L$2=Table5[[#This Row],[YEAR]]-(IF($M$2&gt;0,IF($M$2&lt;12,1,0),0)),1,0)</f>
        <v>0</v>
      </c>
      <c r="J92" s="86">
        <f t="shared" si="13"/>
        <v>0</v>
      </c>
      <c r="K92" s="86"/>
      <c r="L92" s="86"/>
      <c r="M92" s="88"/>
    </row>
    <row r="93" spans="1:13">
      <c r="A93" s="85">
        <f>'Annual Calculation'!B92</f>
        <v>0</v>
      </c>
      <c r="B93" s="86">
        <f>'Annual Calculation'!CC92</f>
        <v>0</v>
      </c>
      <c r="C93" s="86">
        <f>'Annual Calculation'!CE92</f>
        <v>0</v>
      </c>
      <c r="D93" s="89">
        <v>0.15</v>
      </c>
      <c r="E93" s="86">
        <f>IF(Table5[[#This Row],[YEAR]]&lt;&gt;0,C92+B93,0)</f>
        <v>0</v>
      </c>
      <c r="F93" s="86">
        <f t="shared" si="11"/>
        <v>1.1366838432126245</v>
      </c>
      <c r="G93" s="86">
        <f t="shared" si="12"/>
        <v>0</v>
      </c>
      <c r="H93" s="86">
        <f t="shared" si="14"/>
        <v>0</v>
      </c>
      <c r="I93" s="85">
        <f>IF($L$2=Table5[[#This Row],[YEAR]]-(IF($M$2&gt;0,IF($M$2&lt;12,1,0),0)),1,0)</f>
        <v>0</v>
      </c>
      <c r="J93" s="86">
        <f t="shared" si="13"/>
        <v>0</v>
      </c>
      <c r="K93" s="86"/>
      <c r="L93" s="86"/>
      <c r="M93" s="88"/>
    </row>
    <row r="94" spans="1:13">
      <c r="A94" s="85">
        <f>'Annual Calculation'!B93</f>
        <v>0</v>
      </c>
      <c r="B94" s="86">
        <f>'Annual Calculation'!CC93</f>
        <v>0</v>
      </c>
      <c r="C94" s="86">
        <f>'Annual Calculation'!CE93</f>
        <v>0</v>
      </c>
      <c r="D94" s="89">
        <v>0.15</v>
      </c>
      <c r="E94" s="86">
        <f>IF(Table5[[#This Row],[YEAR]]&lt;&gt;0,C93+B94,0)</f>
        <v>0</v>
      </c>
      <c r="F94" s="86">
        <f t="shared" si="11"/>
        <v>1.1366838432126245</v>
      </c>
      <c r="G94" s="86">
        <f t="shared" si="12"/>
        <v>0</v>
      </c>
      <c r="H94" s="86">
        <f t="shared" si="14"/>
        <v>0</v>
      </c>
      <c r="I94" s="85">
        <f>IF($L$2=Table5[[#This Row],[YEAR]]-(IF($M$2&gt;0,IF($M$2&lt;12,1,0),0)),1,0)</f>
        <v>0</v>
      </c>
      <c r="J94" s="86">
        <f t="shared" si="13"/>
        <v>0</v>
      </c>
      <c r="K94" s="86"/>
      <c r="L94" s="86"/>
      <c r="M94" s="88"/>
    </row>
    <row r="95" spans="1:13">
      <c r="A95" s="85">
        <f>'Annual Calculation'!B94</f>
        <v>0</v>
      </c>
      <c r="B95" s="86">
        <f>'Annual Calculation'!CC94</f>
        <v>0</v>
      </c>
      <c r="C95" s="86">
        <f>'Annual Calculation'!CE94</f>
        <v>0</v>
      </c>
      <c r="D95" s="89">
        <v>0.15</v>
      </c>
      <c r="E95" s="86">
        <f>IF(Table5[[#This Row],[YEAR]]&lt;&gt;0,C94+B95,0)</f>
        <v>0</v>
      </c>
      <c r="F95" s="86">
        <f t="shared" si="11"/>
        <v>1.1366838432126245</v>
      </c>
      <c r="G95" s="86">
        <f t="shared" si="12"/>
        <v>0</v>
      </c>
      <c r="H95" s="86">
        <f t="shared" si="14"/>
        <v>0</v>
      </c>
      <c r="I95" s="85">
        <f>IF($L$2=Table5[[#This Row],[YEAR]]-(IF($M$2&gt;0,IF($M$2&lt;12,1,0),0)),1,0)</f>
        <v>0</v>
      </c>
      <c r="J95" s="86">
        <f t="shared" si="13"/>
        <v>0</v>
      </c>
      <c r="K95" s="86"/>
      <c r="L95" s="86"/>
      <c r="M95" s="88"/>
    </row>
    <row r="96" spans="1:13">
      <c r="A96" s="85">
        <f>'Annual Calculation'!B95</f>
        <v>0</v>
      </c>
      <c r="B96" s="86">
        <f>'Annual Calculation'!CC95</f>
        <v>0</v>
      </c>
      <c r="C96" s="86">
        <f>'Annual Calculation'!CE95</f>
        <v>0</v>
      </c>
      <c r="D96" s="89">
        <v>0.15</v>
      </c>
      <c r="E96" s="86">
        <f>IF(Table5[[#This Row],[YEAR]]&lt;&gt;0,C95+B96,0)</f>
        <v>0</v>
      </c>
      <c r="F96" s="86">
        <f t="shared" si="11"/>
        <v>1.1366838432126245</v>
      </c>
      <c r="G96" s="86">
        <f t="shared" si="12"/>
        <v>0</v>
      </c>
      <c r="H96" s="86">
        <f t="shared" si="14"/>
        <v>0</v>
      </c>
      <c r="I96" s="85">
        <f>IF($L$2=Table5[[#This Row],[YEAR]]-(IF($M$2&gt;0,IF($M$2&lt;12,1,0),0)),1,0)</f>
        <v>0</v>
      </c>
      <c r="J96" s="86">
        <f t="shared" si="13"/>
        <v>0</v>
      </c>
      <c r="K96" s="86"/>
      <c r="L96" s="86"/>
      <c r="M96" s="88"/>
    </row>
    <row r="97" spans="1:13">
      <c r="A97" s="85">
        <f>'Annual Calculation'!B96</f>
        <v>0</v>
      </c>
      <c r="B97" s="86">
        <f>'Annual Calculation'!CC96</f>
        <v>0</v>
      </c>
      <c r="C97" s="86">
        <f>'Annual Calculation'!CE96</f>
        <v>0</v>
      </c>
      <c r="D97" s="89">
        <v>0.15</v>
      </c>
      <c r="E97" s="86">
        <f>IF(Table5[[#This Row],[YEAR]]&lt;&gt;0,C96+B97,0)</f>
        <v>0</v>
      </c>
      <c r="F97" s="86">
        <f t="shared" si="11"/>
        <v>1.1366838432126245</v>
      </c>
      <c r="G97" s="86">
        <f t="shared" si="12"/>
        <v>0</v>
      </c>
      <c r="H97" s="86">
        <f t="shared" si="14"/>
        <v>0</v>
      </c>
      <c r="I97" s="85">
        <f>IF($L$2=Table5[[#This Row],[YEAR]]-(IF($M$2&gt;0,IF($M$2&lt;12,1,0),0)),1,0)</f>
        <v>0</v>
      </c>
      <c r="J97" s="86">
        <f t="shared" si="13"/>
        <v>0</v>
      </c>
      <c r="K97" s="86"/>
      <c r="L97" s="86"/>
      <c r="M97" s="88"/>
    </row>
    <row r="98" spans="1:13">
      <c r="A98" s="85">
        <f>'Annual Calculation'!B97</f>
        <v>0</v>
      </c>
      <c r="B98" s="86">
        <f>'Annual Calculation'!CC97</f>
        <v>0</v>
      </c>
      <c r="C98" s="86">
        <f>'Annual Calculation'!CE97</f>
        <v>0</v>
      </c>
      <c r="D98" s="89">
        <v>0.15</v>
      </c>
      <c r="E98" s="86">
        <f>IF(Table5[[#This Row],[YEAR]]&lt;&gt;0,C97+B98,0)</f>
        <v>0</v>
      </c>
      <c r="F98" s="86">
        <f t="shared" si="11"/>
        <v>1.1366838432126245</v>
      </c>
      <c r="G98" s="86">
        <f t="shared" si="12"/>
        <v>0</v>
      </c>
      <c r="H98" s="86">
        <f t="shared" si="14"/>
        <v>0</v>
      </c>
      <c r="I98" s="85">
        <f>IF($L$2=Table5[[#This Row],[YEAR]]-(IF($M$2&gt;0,IF($M$2&lt;12,1,0),0)),1,0)</f>
        <v>0</v>
      </c>
      <c r="J98" s="86">
        <f t="shared" si="13"/>
        <v>0</v>
      </c>
      <c r="K98" s="86"/>
      <c r="L98" s="86"/>
      <c r="M98" s="88"/>
    </row>
    <row r="99" spans="1:13">
      <c r="A99" s="85">
        <f>'Annual Calculation'!B98</f>
        <v>0</v>
      </c>
      <c r="B99" s="86">
        <f>'Annual Calculation'!CC98</f>
        <v>0</v>
      </c>
      <c r="C99" s="86">
        <f>'Annual Calculation'!CE98</f>
        <v>0</v>
      </c>
      <c r="D99" s="89">
        <v>0.15</v>
      </c>
      <c r="E99" s="86">
        <f>IF(Table5[[#This Row],[YEAR]]&lt;&gt;0,C98+B99,0)</f>
        <v>0</v>
      </c>
      <c r="F99" s="86">
        <f t="shared" si="11"/>
        <v>1.1366838432126245</v>
      </c>
      <c r="G99" s="86">
        <f t="shared" si="12"/>
        <v>0</v>
      </c>
      <c r="H99" s="86">
        <f t="shared" si="14"/>
        <v>0</v>
      </c>
      <c r="I99" s="85">
        <f>IF($L$2=Table5[[#This Row],[YEAR]]-(IF($M$2&gt;0,IF($M$2&lt;12,1,0),0)),1,0)</f>
        <v>0</v>
      </c>
      <c r="J99" s="86">
        <f t="shared" si="13"/>
        <v>0</v>
      </c>
      <c r="K99" s="86"/>
      <c r="L99" s="86"/>
      <c r="M99" s="88"/>
    </row>
    <row r="100" spans="1:13">
      <c r="A100" s="85">
        <f>'Annual Calculation'!B99</f>
        <v>0</v>
      </c>
      <c r="B100" s="86">
        <f>'Annual Calculation'!CC99</f>
        <v>0</v>
      </c>
      <c r="C100" s="86">
        <f>'Annual Calculation'!CE99</f>
        <v>0</v>
      </c>
      <c r="D100" s="89">
        <v>0.15</v>
      </c>
      <c r="E100" s="86">
        <f>IF(Table5[[#This Row],[YEAR]]&lt;&gt;0,C99+B100,0)</f>
        <v>0</v>
      </c>
      <c r="F100" s="86">
        <f t="shared" si="11"/>
        <v>1.1366838432126245</v>
      </c>
      <c r="G100" s="86">
        <f t="shared" si="12"/>
        <v>0</v>
      </c>
      <c r="H100" s="86">
        <f t="shared" si="14"/>
        <v>0</v>
      </c>
      <c r="I100" s="85">
        <f>IF($L$2=Table5[[#This Row],[YEAR]]-(IF($M$2&gt;0,IF($M$2&lt;12,1,0),0)),1,0)</f>
        <v>0</v>
      </c>
      <c r="J100" s="86">
        <f t="shared" si="13"/>
        <v>0</v>
      </c>
      <c r="K100" s="86"/>
      <c r="L100" s="86"/>
      <c r="M100" s="88"/>
    </row>
    <row r="101" spans="1:13">
      <c r="A101" s="85">
        <f>'Annual Calculation'!B100</f>
        <v>0</v>
      </c>
      <c r="B101" s="86">
        <f>'Annual Calculation'!CC100</f>
        <v>0</v>
      </c>
      <c r="C101" s="86">
        <f>'Annual Calculation'!CE100</f>
        <v>0</v>
      </c>
      <c r="D101" s="89">
        <v>0.15</v>
      </c>
      <c r="E101" s="86">
        <f>IF(Table5[[#This Row],[YEAR]]&lt;&gt;0,C100+B101,0)</f>
        <v>0</v>
      </c>
      <c r="F101" s="86">
        <f t="shared" si="11"/>
        <v>1.1366838432126245</v>
      </c>
      <c r="G101" s="86">
        <f t="shared" si="12"/>
        <v>0</v>
      </c>
      <c r="H101" s="86">
        <f t="shared" si="14"/>
        <v>0</v>
      </c>
      <c r="I101" s="85">
        <f>IF($L$2=Table5[[#This Row],[YEAR]]-(IF($M$2&gt;0,IF($M$2&lt;12,1,0),0)),1,0)</f>
        <v>0</v>
      </c>
      <c r="J101" s="86">
        <f t="shared" si="13"/>
        <v>0</v>
      </c>
      <c r="K101" s="86"/>
      <c r="L101" s="86"/>
      <c r="M101" s="88"/>
    </row>
    <row r="102" spans="1:13">
      <c r="A102" s="85">
        <f>'Annual Calculation'!B101</f>
        <v>0</v>
      </c>
      <c r="B102" s="86">
        <f>'Annual Calculation'!CC101</f>
        <v>0</v>
      </c>
      <c r="C102" s="86">
        <f>'Annual Calculation'!CE101</f>
        <v>0</v>
      </c>
      <c r="D102" s="89">
        <v>0.15</v>
      </c>
      <c r="E102" s="86">
        <f>IF(Table5[[#This Row],[YEAR]]&lt;&gt;0,C101+B102,0)</f>
        <v>0</v>
      </c>
      <c r="F102" s="86">
        <f t="shared" si="11"/>
        <v>1.1366838432126245</v>
      </c>
      <c r="G102" s="86">
        <f t="shared" si="12"/>
        <v>0</v>
      </c>
      <c r="H102" s="86">
        <f t="shared" si="14"/>
        <v>0</v>
      </c>
      <c r="I102" s="85">
        <f>IF($L$2=Table5[[#This Row],[YEAR]]-(IF($M$2&gt;0,IF($M$2&lt;12,1,0),0)),1,0)</f>
        <v>0</v>
      </c>
      <c r="J102" s="86">
        <f t="shared" si="13"/>
        <v>0</v>
      </c>
      <c r="K102" s="86"/>
      <c r="L102" s="86"/>
      <c r="M102" s="88"/>
    </row>
    <row r="103" spans="1:13">
      <c r="A103" s="85">
        <f>'Annual Calculation'!B102</f>
        <v>0</v>
      </c>
      <c r="B103" s="86">
        <f>'Annual Calculation'!CC102</f>
        <v>0</v>
      </c>
      <c r="C103" s="86">
        <f>'Annual Calculation'!CE102</f>
        <v>0</v>
      </c>
      <c r="D103" s="89">
        <v>0.15</v>
      </c>
      <c r="E103" s="86">
        <f>IF(Table5[[#This Row],[YEAR]]&lt;&gt;0,C102+B103,0)</f>
        <v>0</v>
      </c>
      <c r="F103" s="86">
        <f t="shared" si="11"/>
        <v>1.1366838432126245</v>
      </c>
      <c r="G103" s="86">
        <f t="shared" si="12"/>
        <v>0</v>
      </c>
      <c r="H103" s="86">
        <f t="shared" si="14"/>
        <v>0</v>
      </c>
      <c r="I103" s="85">
        <f>IF($L$2=Table5[[#This Row],[YEAR]]-(IF($M$2&gt;0,IF($M$2&lt;12,1,0),0)),1,0)</f>
        <v>0</v>
      </c>
      <c r="J103" s="86">
        <f t="shared" si="13"/>
        <v>0</v>
      </c>
      <c r="K103" s="86"/>
      <c r="L103" s="86"/>
      <c r="M103" s="88"/>
    </row>
    <row r="104" spans="1:13">
      <c r="A104" s="85">
        <f>'Annual Calculation'!B103</f>
        <v>0</v>
      </c>
      <c r="B104" s="86">
        <f>'Annual Calculation'!CC103</f>
        <v>0</v>
      </c>
      <c r="C104" s="86">
        <f>'Annual Calculation'!CE103</f>
        <v>0</v>
      </c>
      <c r="D104" s="89">
        <v>0.15</v>
      </c>
      <c r="E104" s="86">
        <f>IF(Table5[[#This Row],[YEAR]]&lt;&gt;0,C103+B104,0)</f>
        <v>0</v>
      </c>
      <c r="F104" s="86">
        <f t="shared" si="11"/>
        <v>1.1366838432126245</v>
      </c>
      <c r="G104" s="86">
        <f t="shared" si="12"/>
        <v>0</v>
      </c>
      <c r="H104" s="86">
        <f t="shared" si="14"/>
        <v>0</v>
      </c>
      <c r="I104" s="85">
        <f>IF($L$2=Table5[[#This Row],[YEAR]]-(IF($M$2&gt;0,IF($M$2&lt;12,1,0),0)),1,0)</f>
        <v>0</v>
      </c>
      <c r="J104" s="86">
        <f t="shared" si="13"/>
        <v>0</v>
      </c>
      <c r="K104" s="86"/>
      <c r="L104" s="86"/>
      <c r="M104" s="88"/>
    </row>
    <row r="105" spans="1:13">
      <c r="A105" s="85">
        <f>'Annual Calculation'!B104</f>
        <v>0</v>
      </c>
      <c r="B105" s="86">
        <f>'Annual Calculation'!CC104</f>
        <v>0</v>
      </c>
      <c r="C105" s="86">
        <f>'Annual Calculation'!CE104</f>
        <v>0</v>
      </c>
      <c r="D105" s="89">
        <v>0.15</v>
      </c>
      <c r="E105" s="86">
        <f>IF(Table5[[#This Row],[YEAR]]&lt;&gt;0,C104+B105,0)</f>
        <v>0</v>
      </c>
      <c r="F105" s="86">
        <f t="shared" si="11"/>
        <v>1.1366838432126245</v>
      </c>
      <c r="G105" s="86">
        <f t="shared" si="12"/>
        <v>0</v>
      </c>
      <c r="H105" s="86">
        <f t="shared" si="14"/>
        <v>0</v>
      </c>
      <c r="I105" s="85">
        <f>IF($L$2=Table5[[#This Row],[YEAR]]-(IF($M$2&gt;0,IF($M$2&lt;12,1,0),0)),1,0)</f>
        <v>0</v>
      </c>
      <c r="J105" s="86">
        <f t="shared" si="13"/>
        <v>0</v>
      </c>
      <c r="K105" s="86"/>
      <c r="L105" s="86"/>
      <c r="M105" s="88"/>
    </row>
    <row r="106" spans="1:13">
      <c r="A106" s="85">
        <f>'Annual Calculation'!B105</f>
        <v>0</v>
      </c>
      <c r="B106" s="86">
        <f>'Annual Calculation'!CC105</f>
        <v>0</v>
      </c>
      <c r="C106" s="86">
        <f>'Annual Calculation'!CE105</f>
        <v>0</v>
      </c>
      <c r="D106" s="89">
        <v>0.15</v>
      </c>
      <c r="E106" s="86">
        <f>IF(Table5[[#This Row],[YEAR]]&lt;&gt;0,C105+B106,0)</f>
        <v>0</v>
      </c>
      <c r="F106" s="86">
        <f t="shared" si="11"/>
        <v>1.1366838432126245</v>
      </c>
      <c r="G106" s="86">
        <f t="shared" si="12"/>
        <v>0</v>
      </c>
      <c r="H106" s="86">
        <f t="shared" si="14"/>
        <v>0</v>
      </c>
      <c r="I106" s="85">
        <f>IF($L$2=Table5[[#This Row],[YEAR]]-(IF($M$2&gt;0,IF($M$2&lt;12,1,0),0)),1,0)</f>
        <v>0</v>
      </c>
      <c r="J106" s="86">
        <f t="shared" si="13"/>
        <v>0</v>
      </c>
      <c r="K106" s="86"/>
      <c r="L106" s="86"/>
      <c r="M106" s="88"/>
    </row>
    <row r="107" spans="1:13">
      <c r="A107" s="85">
        <f>'Annual Calculation'!B106</f>
        <v>0</v>
      </c>
      <c r="B107" s="86">
        <f>'Annual Calculation'!CC106</f>
        <v>0</v>
      </c>
      <c r="C107" s="86">
        <f>'Annual Calculation'!CE106</f>
        <v>0</v>
      </c>
      <c r="D107" s="89">
        <v>0.15</v>
      </c>
      <c r="E107" s="86">
        <f>IF(Table5[[#This Row],[YEAR]]&lt;&gt;0,C106+B107,0)</f>
        <v>0</v>
      </c>
      <c r="F107" s="86">
        <f t="shared" si="11"/>
        <v>1.1366838432126245</v>
      </c>
      <c r="G107" s="86">
        <f t="shared" si="12"/>
        <v>0</v>
      </c>
      <c r="H107" s="86">
        <f t="shared" si="14"/>
        <v>0</v>
      </c>
      <c r="I107" s="85">
        <f>IF($L$2=Table5[[#This Row],[YEAR]]-(IF($M$2&gt;0,IF($M$2&lt;12,1,0),0)),1,0)</f>
        <v>0</v>
      </c>
      <c r="J107" s="86">
        <f t="shared" si="13"/>
        <v>0</v>
      </c>
      <c r="K107" s="86"/>
      <c r="L107" s="86"/>
      <c r="M107" s="88"/>
    </row>
    <row r="108" spans="1:13">
      <c r="A108" s="85">
        <f>'Annual Calculation'!B107</f>
        <v>0</v>
      </c>
      <c r="B108" s="86">
        <f>'Annual Calculation'!CC107</f>
        <v>0</v>
      </c>
      <c r="C108" s="86">
        <f>'Annual Calculation'!CE107</f>
        <v>0</v>
      </c>
      <c r="D108" s="89">
        <v>0.15</v>
      </c>
      <c r="E108" s="86">
        <f>IF(Table5[[#This Row],[YEAR]]&lt;&gt;0,C107+B108,0)</f>
        <v>0</v>
      </c>
      <c r="F108" s="86">
        <f t="shared" si="11"/>
        <v>1.1366838432126245</v>
      </c>
      <c r="G108" s="86">
        <f t="shared" si="12"/>
        <v>0</v>
      </c>
      <c r="H108" s="86">
        <f t="shared" si="14"/>
        <v>0</v>
      </c>
      <c r="I108" s="85">
        <f>IF($L$2=Table5[[#This Row],[YEAR]]-(IF($M$2&gt;0,IF($M$2&lt;12,1,0),0)),1,0)</f>
        <v>0</v>
      </c>
      <c r="J108" s="86">
        <f t="shared" si="13"/>
        <v>0</v>
      </c>
      <c r="K108" s="86"/>
      <c r="L108" s="86"/>
      <c r="M108" s="88"/>
    </row>
    <row r="109" spans="1:13">
      <c r="A109" s="85">
        <f>'Annual Calculation'!B108</f>
        <v>0</v>
      </c>
      <c r="B109" s="86">
        <f>'Annual Calculation'!CC108</f>
        <v>0</v>
      </c>
      <c r="C109" s="86">
        <f>'Annual Calculation'!CE108</f>
        <v>0</v>
      </c>
      <c r="D109" s="89">
        <v>0.15</v>
      </c>
      <c r="E109" s="86">
        <f>IF(Table5[[#This Row],[YEAR]]&lt;&gt;0,C108+B109,0)</f>
        <v>0</v>
      </c>
      <c r="F109" s="86">
        <f t="shared" si="11"/>
        <v>1.1366838432126245</v>
      </c>
      <c r="G109" s="86">
        <f t="shared" si="12"/>
        <v>0</v>
      </c>
      <c r="H109" s="86">
        <f t="shared" si="14"/>
        <v>0</v>
      </c>
      <c r="I109" s="85">
        <f>IF($L$2=Table5[[#This Row],[YEAR]]-(IF($M$2&gt;0,IF($M$2&lt;12,1,0),0)),1,0)</f>
        <v>0</v>
      </c>
      <c r="J109" s="86">
        <f t="shared" si="13"/>
        <v>0</v>
      </c>
      <c r="K109" s="86"/>
      <c r="L109" s="86"/>
      <c r="M109" s="88"/>
    </row>
    <row r="204" spans="1:1">
      <c r="A204" s="84">
        <v>0</v>
      </c>
    </row>
  </sheetData>
  <conditionalFormatting sqref="J2:J109">
    <cfRule type="expression" dxfId="277" priority="2">
      <formula>I2&gt;0</formula>
    </cfRule>
  </conditionalFormatting>
  <conditionalFormatting sqref="G2:G109">
    <cfRule type="expression" dxfId="276" priority="1">
      <formula>I2&gt;0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  <pageSetUpPr fitToPage="1"/>
  </sheetPr>
  <dimension ref="A1:M123"/>
  <sheetViews>
    <sheetView zoomScaleNormal="100" workbookViewId="0">
      <selection activeCell="G5" sqref="G5"/>
    </sheetView>
  </sheetViews>
  <sheetFormatPr defaultColWidth="9.140625" defaultRowHeight="22.5" customHeight="1"/>
  <cols>
    <col min="1" max="1" width="6.140625" style="49" bestFit="1" customWidth="1"/>
    <col min="2" max="2" width="4.7109375" style="49" bestFit="1" customWidth="1"/>
    <col min="3" max="3" width="27" style="49" bestFit="1" customWidth="1"/>
    <col min="4" max="4" width="29" style="50" bestFit="1" customWidth="1"/>
    <col min="5" max="6" width="19.28515625" style="49" bestFit="1" customWidth="1"/>
    <col min="7" max="7" width="18.5703125" style="49" bestFit="1" customWidth="1"/>
    <col min="8" max="8" width="15" style="49" bestFit="1" customWidth="1"/>
    <col min="9" max="9" width="18.5703125" style="49" customWidth="1"/>
    <col min="10" max="10" width="17.28515625" style="49" bestFit="1" customWidth="1"/>
    <col min="11" max="11" width="28.7109375" style="49" bestFit="1" customWidth="1"/>
    <col min="12" max="12" width="30.42578125" style="48" bestFit="1" customWidth="1"/>
    <col min="13" max="13" width="31.140625" style="48" bestFit="1" customWidth="1"/>
    <col min="14" max="14" width="9" style="48" customWidth="1"/>
    <col min="15" max="15" width="9.85546875" style="48" customWidth="1"/>
    <col min="16" max="16" width="10.7109375" style="48" customWidth="1"/>
    <col min="17" max="17" width="15" style="48" customWidth="1"/>
    <col min="18" max="16384" width="9.140625" style="48"/>
  </cols>
  <sheetData>
    <row r="1" spans="1:13" ht="73.5" thickBot="1">
      <c r="A1" s="419" t="s">
        <v>54</v>
      </c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1"/>
    </row>
    <row r="2" spans="1:13" ht="22.5" customHeight="1">
      <c r="A2" s="70" t="s">
        <v>7</v>
      </c>
      <c r="B2" s="71">
        <f>IF('Application Annually'!G14="بله",'Application Annually'!C14,0)</f>
        <v>0</v>
      </c>
      <c r="C2" s="424" t="s">
        <v>41</v>
      </c>
      <c r="D2" s="425"/>
      <c r="E2" s="51"/>
      <c r="F2" s="69" t="s">
        <v>16</v>
      </c>
      <c r="G2" s="67">
        <f>'Application Annually'!H7</f>
        <v>100000000</v>
      </c>
      <c r="H2" s="412" t="s">
        <v>34</v>
      </c>
      <c r="I2" s="413"/>
      <c r="J2" s="51"/>
      <c r="K2" s="422" t="str">
        <f>'Application Annually'!$G$3</f>
        <v>Percent</v>
      </c>
      <c r="L2" s="423"/>
      <c r="M2" s="77" t="s">
        <v>53</v>
      </c>
    </row>
    <row r="3" spans="1:13" ht="22.5" customHeight="1">
      <c r="A3" s="69" t="s">
        <v>9</v>
      </c>
      <c r="B3" s="67">
        <f>IF('Application Annually'!G16="بله",'Application Annually'!C16,0)</f>
        <v>0</v>
      </c>
      <c r="C3" s="411" t="s">
        <v>42</v>
      </c>
      <c r="D3" s="414"/>
      <c r="E3" s="51"/>
      <c r="F3" s="69" t="s">
        <v>9</v>
      </c>
      <c r="G3" s="67">
        <f>'Application Annually'!C7</f>
        <v>20</v>
      </c>
      <c r="H3" s="412" t="s">
        <v>40</v>
      </c>
      <c r="I3" s="413"/>
      <c r="J3" s="51"/>
      <c r="K3" s="76" t="s">
        <v>5</v>
      </c>
      <c r="L3" s="72">
        <f>'Application Annually'!H5</f>
        <v>28</v>
      </c>
      <c r="M3" s="74" t="s">
        <v>35</v>
      </c>
    </row>
    <row r="4" spans="1:13" ht="22.5" customHeight="1">
      <c r="A4" s="69" t="s">
        <v>9</v>
      </c>
      <c r="B4" s="67">
        <f>IF('Application Annually'!G18="بله",'Application Annually'!C18,0)</f>
        <v>0</v>
      </c>
      <c r="C4" s="411" t="s">
        <v>43</v>
      </c>
      <c r="D4" s="414"/>
      <c r="E4" s="51"/>
      <c r="F4" s="76"/>
      <c r="G4" s="72"/>
      <c r="H4" s="412"/>
      <c r="I4" s="413"/>
      <c r="J4" s="51"/>
      <c r="K4" s="76" t="s">
        <v>5</v>
      </c>
      <c r="L4" s="72">
        <f>'Application Annually'!C5</f>
        <v>15</v>
      </c>
      <c r="M4" s="74" t="s">
        <v>33</v>
      </c>
    </row>
    <row r="5" spans="1:13" ht="22.5" customHeight="1">
      <c r="A5" s="410" t="str">
        <f>'Application Annually'!G20</f>
        <v>Yes</v>
      </c>
      <c r="B5" s="411"/>
      <c r="C5" s="411" t="s">
        <v>48</v>
      </c>
      <c r="D5" s="414"/>
      <c r="E5" s="51"/>
      <c r="F5" s="69" t="s">
        <v>18</v>
      </c>
      <c r="G5" s="67">
        <f>'Application Annually'!H9</f>
        <v>0</v>
      </c>
      <c r="H5" s="412" t="s">
        <v>19</v>
      </c>
      <c r="I5" s="413"/>
      <c r="J5" s="51"/>
      <c r="K5" s="76"/>
      <c r="L5" s="72">
        <f>'Application Annually'!B20</f>
        <v>1</v>
      </c>
      <c r="M5" s="74" t="s">
        <v>36</v>
      </c>
    </row>
    <row r="6" spans="1:13" ht="22.5" customHeight="1">
      <c r="A6" s="69" t="s">
        <v>7</v>
      </c>
      <c r="B6" s="67">
        <f>IF('Application Annually'!G22="بله",'Application Annually'!C22,0)</f>
        <v>0</v>
      </c>
      <c r="C6" s="411" t="s">
        <v>52</v>
      </c>
      <c r="D6" s="414"/>
      <c r="E6" s="51"/>
      <c r="F6" s="76"/>
      <c r="G6" s="72"/>
      <c r="H6" s="412"/>
      <c r="I6" s="413"/>
      <c r="J6" s="51"/>
      <c r="K6" s="410" t="str">
        <f>'Application Annually'!C3</f>
        <v>Annually</v>
      </c>
      <c r="L6" s="411"/>
      <c r="M6" s="74" t="s">
        <v>55</v>
      </c>
    </row>
    <row r="7" spans="1:13" ht="22.5" customHeight="1">
      <c r="A7" s="69" t="s">
        <v>9</v>
      </c>
      <c r="B7" s="67">
        <f>IF('Application Annually'!G25="بله",'Application Annually'!C25,0)</f>
        <v>0</v>
      </c>
      <c r="C7" s="411" t="s">
        <v>44</v>
      </c>
      <c r="D7" s="414"/>
      <c r="E7" s="51"/>
      <c r="F7" s="69" t="s">
        <v>16</v>
      </c>
      <c r="G7" s="67">
        <f>'Application Annually'!H11</f>
        <v>1000000000</v>
      </c>
      <c r="H7" s="412" t="s">
        <v>39</v>
      </c>
      <c r="I7" s="413"/>
      <c r="J7" s="51"/>
      <c r="K7" s="76" t="s">
        <v>16</v>
      </c>
      <c r="L7" s="72">
        <f>'Application Annually'!$C$9</f>
        <v>10000000</v>
      </c>
      <c r="M7" s="74" t="s">
        <v>38</v>
      </c>
    </row>
    <row r="8" spans="1:13" ht="22.5" customHeight="1" thickBot="1">
      <c r="A8" s="63" t="s">
        <v>9</v>
      </c>
      <c r="B8" s="68">
        <f>IF('Application Annually'!G27="بله",'Application Annually'!C27,0)</f>
        <v>0</v>
      </c>
      <c r="C8" s="415" t="s">
        <v>45</v>
      </c>
      <c r="D8" s="416"/>
      <c r="E8" s="51"/>
      <c r="F8" s="63" t="s">
        <v>9</v>
      </c>
      <c r="G8" s="68">
        <f>'Application Annually'!C11</f>
        <v>15</v>
      </c>
      <c r="H8" s="417" t="s">
        <v>37</v>
      </c>
      <c r="I8" s="418"/>
      <c r="J8" s="52"/>
      <c r="K8" s="63"/>
      <c r="L8" s="73"/>
      <c r="M8" s="75"/>
    </row>
    <row r="9" spans="1:13" s="47" customFormat="1" ht="22.5" customHeight="1" thickBot="1">
      <c r="A9" s="59" t="s">
        <v>5</v>
      </c>
      <c r="B9" s="60" t="s">
        <v>4</v>
      </c>
      <c r="C9" s="60" t="s">
        <v>27</v>
      </c>
      <c r="D9" s="60" t="s">
        <v>32</v>
      </c>
      <c r="E9" s="60" t="s">
        <v>15</v>
      </c>
      <c r="F9" s="60" t="s">
        <v>25</v>
      </c>
      <c r="G9" s="60" t="s">
        <v>28</v>
      </c>
      <c r="H9" s="60" t="s">
        <v>14</v>
      </c>
      <c r="I9" s="60" t="s">
        <v>51</v>
      </c>
      <c r="J9" s="60" t="s">
        <v>26</v>
      </c>
      <c r="K9" s="61" t="s">
        <v>12</v>
      </c>
      <c r="L9" s="61" t="s">
        <v>46</v>
      </c>
      <c r="M9" s="62" t="s">
        <v>47</v>
      </c>
    </row>
    <row r="10" spans="1:13" ht="22.5" customHeight="1">
      <c r="A10" s="53">
        <f>'Annual Calculation'!B2</f>
        <v>1</v>
      </c>
      <c r="B10" s="54">
        <f>'Annual Calculation'!C2</f>
        <v>28</v>
      </c>
      <c r="C10" s="54">
        <f>'Annual Calculation'!L2</f>
        <v>100000000</v>
      </c>
      <c r="D10" s="54">
        <f>IF(A10=0,0,SUM($C$10:C10))</f>
        <v>100000000</v>
      </c>
      <c r="E10" s="54">
        <f>'Annual Calculation'!T2</f>
        <v>1000000000</v>
      </c>
      <c r="F10" s="54">
        <f>'Annual Calculation'!W2</f>
        <v>1000000000</v>
      </c>
      <c r="G10" s="54">
        <f>'Annual Calculation'!Y2</f>
        <v>500000000</v>
      </c>
      <c r="H10" s="54">
        <f>'Annual Calculation'!AA2</f>
        <v>50000000</v>
      </c>
      <c r="I10" s="54">
        <f>'Annual Calculation'!AJ2</f>
        <v>150000000</v>
      </c>
      <c r="J10" s="54">
        <f>'Annual Calculation'!AL2</f>
        <v>250000000</v>
      </c>
      <c r="K10" s="54">
        <f>'Annual Calculation'!CF2</f>
        <v>100651000</v>
      </c>
      <c r="L10" s="54">
        <f>'Annual Calculation'!CI2</f>
        <v>102459106.8</v>
      </c>
      <c r="M10" s="55">
        <f>'Annual Calculation'!CK2</f>
        <v>104266758.58</v>
      </c>
    </row>
    <row r="11" spans="1:13" ht="22.5" customHeight="1">
      <c r="A11" s="56">
        <f>'Annual Calculation'!B3</f>
        <v>2</v>
      </c>
      <c r="B11" s="57">
        <f>'Annual Calculation'!C3</f>
        <v>29</v>
      </c>
      <c r="C11" s="57">
        <f>'Annual Calculation'!L3</f>
        <v>120000000</v>
      </c>
      <c r="D11" s="57">
        <f>IF(A11=0,0,SUM($C$10:C11))</f>
        <v>220000000</v>
      </c>
      <c r="E11" s="57">
        <f>'Annual Calculation'!T3</f>
        <v>1150000000</v>
      </c>
      <c r="F11" s="57">
        <f>'Annual Calculation'!W3</f>
        <v>1150000000</v>
      </c>
      <c r="G11" s="57">
        <f>'Annual Calculation'!Y3</f>
        <v>575000000</v>
      </c>
      <c r="H11" s="57">
        <f>'Annual Calculation'!AA3</f>
        <v>50000000</v>
      </c>
      <c r="I11" s="57">
        <f>'Annual Calculation'!AJ3</f>
        <v>172500000</v>
      </c>
      <c r="J11" s="57">
        <f>'Annual Calculation'!AL3</f>
        <v>287500000</v>
      </c>
      <c r="K11" s="57">
        <f>'Annual Calculation'!CF3</f>
        <v>242445000</v>
      </c>
      <c r="L11" s="57">
        <f>'Annual Calculation'!CI3</f>
        <v>248799784.56</v>
      </c>
      <c r="M11" s="58">
        <f>'Annual Calculation'!CK3</f>
        <v>255226782.80759999</v>
      </c>
    </row>
    <row r="12" spans="1:13" ht="22.5" customHeight="1">
      <c r="A12" s="56">
        <f>'Annual Calculation'!B4</f>
        <v>3</v>
      </c>
      <c r="B12" s="57">
        <f>'Annual Calculation'!C4</f>
        <v>30</v>
      </c>
      <c r="C12" s="57">
        <f>'Annual Calculation'!L4</f>
        <v>144000000</v>
      </c>
      <c r="D12" s="57">
        <f>IF(A12=0,0,SUM($C$10:C12))</f>
        <v>364000000</v>
      </c>
      <c r="E12" s="57">
        <f>'Annual Calculation'!T4</f>
        <v>1322500000</v>
      </c>
      <c r="F12" s="57">
        <f>'Annual Calculation'!W4</f>
        <v>1322500000</v>
      </c>
      <c r="G12" s="57">
        <f>'Annual Calculation'!Y4</f>
        <v>661250000</v>
      </c>
      <c r="H12" s="57">
        <f>'Annual Calculation'!AA4</f>
        <v>50000000</v>
      </c>
      <c r="I12" s="57">
        <f>'Annual Calculation'!AJ4</f>
        <v>198375000</v>
      </c>
      <c r="J12" s="57">
        <f>'Annual Calculation'!AL4</f>
        <v>300000000</v>
      </c>
      <c r="K12" s="57">
        <f>'Annual Calculation'!CF4</f>
        <v>435606000</v>
      </c>
      <c r="L12" s="57">
        <f>'Annual Calculation'!CI4</f>
        <v>450665969.472</v>
      </c>
      <c r="M12" s="58">
        <f>'Annual Calculation'!CK4</f>
        <v>466068006.82527196</v>
      </c>
    </row>
    <row r="13" spans="1:13" ht="22.5" customHeight="1">
      <c r="A13" s="56">
        <f>'Annual Calculation'!B5</f>
        <v>4</v>
      </c>
      <c r="B13" s="57">
        <f>'Annual Calculation'!C5</f>
        <v>31</v>
      </c>
      <c r="C13" s="57">
        <f>'Annual Calculation'!L5</f>
        <v>172800000</v>
      </c>
      <c r="D13" s="57">
        <f>IF(A13=0,0,SUM($C$10:C13))</f>
        <v>536800000</v>
      </c>
      <c r="E13" s="57">
        <f>'Annual Calculation'!T5</f>
        <v>1520875000</v>
      </c>
      <c r="F13" s="57">
        <f>'Annual Calculation'!W5</f>
        <v>1520875000</v>
      </c>
      <c r="G13" s="57">
        <f>'Annual Calculation'!Y5</f>
        <v>760437500</v>
      </c>
      <c r="H13" s="57">
        <f>'Annual Calculation'!AA5</f>
        <v>50000000</v>
      </c>
      <c r="I13" s="57">
        <f>'Annual Calculation'!AJ5</f>
        <v>200000000</v>
      </c>
      <c r="J13" s="57">
        <f>'Annual Calculation'!AL5</f>
        <v>300000000</v>
      </c>
      <c r="K13" s="57">
        <f>'Annual Calculation'!CF5</f>
        <v>694218000</v>
      </c>
      <c r="L13" s="57">
        <f>'Annual Calculation'!CI5</f>
        <v>724080983.3664</v>
      </c>
      <c r="M13" s="58">
        <f>'Annual Calculation'!CK5</f>
        <v>754964485.32683182</v>
      </c>
    </row>
    <row r="14" spans="1:13" ht="22.5" customHeight="1">
      <c r="A14" s="56">
        <f>'Annual Calculation'!B6</f>
        <v>5</v>
      </c>
      <c r="B14" s="57">
        <f>'Annual Calculation'!C6</f>
        <v>32</v>
      </c>
      <c r="C14" s="57">
        <f>'Annual Calculation'!L6</f>
        <v>207360000</v>
      </c>
      <c r="D14" s="57">
        <f>IF(A14=0,0,SUM($C$10:C14))</f>
        <v>744160000</v>
      </c>
      <c r="E14" s="57">
        <f>'Annual Calculation'!T6</f>
        <v>1749006249.9999998</v>
      </c>
      <c r="F14" s="57">
        <f>'Annual Calculation'!W6</f>
        <v>1749006249.9999998</v>
      </c>
      <c r="G14" s="57">
        <f>'Annual Calculation'!Y6</f>
        <v>874503124.99999988</v>
      </c>
      <c r="H14" s="57">
        <f>'Annual Calculation'!AA6</f>
        <v>50000000</v>
      </c>
      <c r="I14" s="57">
        <f>'Annual Calculation'!AJ6</f>
        <v>200000000</v>
      </c>
      <c r="J14" s="57">
        <f>'Annual Calculation'!AL6</f>
        <v>300000000</v>
      </c>
      <c r="K14" s="57">
        <f>'Annual Calculation'!CF6</f>
        <v>1037028000</v>
      </c>
      <c r="L14" s="57">
        <f>'Annual Calculation'!CI6</f>
        <v>1090440682.03968</v>
      </c>
      <c r="M14" s="58">
        <f>'Annual Calculation'!CK6</f>
        <v>1146292565.7987349</v>
      </c>
    </row>
    <row r="15" spans="1:13" ht="22.5" customHeight="1">
      <c r="A15" s="56">
        <f>'Annual Calculation'!B7</f>
        <v>6</v>
      </c>
      <c r="B15" s="57">
        <f>'Annual Calculation'!C7</f>
        <v>33</v>
      </c>
      <c r="C15" s="57">
        <f>'Annual Calculation'!L7</f>
        <v>248832000</v>
      </c>
      <c r="D15" s="57">
        <f>IF(A15=0,0,SUM($C$10:C15))</f>
        <v>992992000</v>
      </c>
      <c r="E15" s="57">
        <f>'Annual Calculation'!T7</f>
        <v>2000000000</v>
      </c>
      <c r="F15" s="57">
        <f>'Annual Calculation'!W7</f>
        <v>2000000000</v>
      </c>
      <c r="G15" s="57">
        <f>'Annual Calculation'!Y7</f>
        <v>1000000000</v>
      </c>
      <c r="H15" s="57">
        <f>'Annual Calculation'!AA7</f>
        <v>50000000</v>
      </c>
      <c r="I15" s="57">
        <f>'Annual Calculation'!AJ7</f>
        <v>200000000</v>
      </c>
      <c r="J15" s="57">
        <f>'Annual Calculation'!AL7</f>
        <v>300000000</v>
      </c>
      <c r="K15" s="57">
        <f>'Annual Calculation'!CF7</f>
        <v>1453628000</v>
      </c>
      <c r="L15" s="57">
        <f>'Annual Calculation'!CI7</f>
        <v>1580924200.8476157</v>
      </c>
      <c r="M15" s="58">
        <f>'Annual Calculation'!CK7</f>
        <v>1675412235.7144566</v>
      </c>
    </row>
    <row r="16" spans="1:13" ht="22.5" customHeight="1">
      <c r="A16" s="56">
        <f>'Annual Calculation'!B8</f>
        <v>7</v>
      </c>
      <c r="B16" s="57">
        <f>'Annual Calculation'!C8</f>
        <v>34</v>
      </c>
      <c r="C16" s="57">
        <f>'Annual Calculation'!L8</f>
        <v>298598400</v>
      </c>
      <c r="D16" s="57">
        <f>IF(A16=0,0,SUM($C$10:C16))</f>
        <v>1291590400</v>
      </c>
      <c r="E16" s="57">
        <f>'Annual Calculation'!T8</f>
        <v>2000000000</v>
      </c>
      <c r="F16" s="57">
        <f>'Annual Calculation'!W8</f>
        <v>2000000000</v>
      </c>
      <c r="G16" s="57">
        <f>'Annual Calculation'!Y8</f>
        <v>1000000000</v>
      </c>
      <c r="H16" s="57">
        <f>'Annual Calculation'!AA8</f>
        <v>50000000</v>
      </c>
      <c r="I16" s="57">
        <f>'Annual Calculation'!AJ8</f>
        <v>200000000</v>
      </c>
      <c r="J16" s="57">
        <f>'Annual Calculation'!AL8</f>
        <v>300000000</v>
      </c>
      <c r="K16" s="57">
        <f>'Annual Calculation'!CF8</f>
        <v>1986553000</v>
      </c>
      <c r="L16" s="57">
        <f>'Annual Calculation'!CI8</f>
        <v>2225680552.6171389</v>
      </c>
      <c r="M16" s="58">
        <f>'Annual Calculation'!CK8</f>
        <v>2378050631.0316367</v>
      </c>
    </row>
    <row r="17" spans="1:13" ht="22.5" customHeight="1">
      <c r="A17" s="56">
        <f>'Annual Calculation'!B9</f>
        <v>8</v>
      </c>
      <c r="B17" s="57">
        <f>'Annual Calculation'!C9</f>
        <v>35</v>
      </c>
      <c r="C17" s="57">
        <f>'Annual Calculation'!L9</f>
        <v>358318080</v>
      </c>
      <c r="D17" s="57">
        <f>IF(A17=0,0,SUM($C$10:C17))</f>
        <v>1649908480</v>
      </c>
      <c r="E17" s="57">
        <f>'Annual Calculation'!T9</f>
        <v>2000000000</v>
      </c>
      <c r="F17" s="57">
        <f>'Annual Calculation'!W9</f>
        <v>2000000000</v>
      </c>
      <c r="G17" s="57">
        <f>'Annual Calculation'!Y9</f>
        <v>1000000000</v>
      </c>
      <c r="H17" s="57">
        <f>'Annual Calculation'!AA9</f>
        <v>50000000</v>
      </c>
      <c r="I17" s="57">
        <f>'Annual Calculation'!AJ9</f>
        <v>200000000</v>
      </c>
      <c r="J17" s="57">
        <f>'Annual Calculation'!AL9</f>
        <v>300000000</v>
      </c>
      <c r="K17" s="57">
        <f>'Annual Calculation'!CF9</f>
        <v>2664194000</v>
      </c>
      <c r="L17" s="57">
        <f>'Annual Calculation'!CI9</f>
        <v>3066982199.5405664</v>
      </c>
      <c r="M17" s="58">
        <f>'Annual Calculation'!CK9</f>
        <v>3303990065.198597</v>
      </c>
    </row>
    <row r="18" spans="1:13" ht="22.5" customHeight="1">
      <c r="A18" s="56">
        <f>'Annual Calculation'!B10</f>
        <v>9</v>
      </c>
      <c r="B18" s="57">
        <f>'Annual Calculation'!C10</f>
        <v>36</v>
      </c>
      <c r="C18" s="57">
        <f>'Annual Calculation'!L10</f>
        <v>429981696</v>
      </c>
      <c r="D18" s="57">
        <f>IF(A18=0,0,SUM($C$10:C18))</f>
        <v>2079890176</v>
      </c>
      <c r="E18" s="57">
        <f>'Annual Calculation'!T10</f>
        <v>2000000000</v>
      </c>
      <c r="F18" s="57">
        <f>'Annual Calculation'!W10</f>
        <v>2000000000</v>
      </c>
      <c r="G18" s="57">
        <f>'Annual Calculation'!Y10</f>
        <v>1000000000</v>
      </c>
      <c r="H18" s="57">
        <f>'Annual Calculation'!AA10</f>
        <v>50000000</v>
      </c>
      <c r="I18" s="57">
        <f>'Annual Calculation'!AJ10</f>
        <v>200000000</v>
      </c>
      <c r="J18" s="57">
        <f>'Annual Calculation'!AL10</f>
        <v>300000000</v>
      </c>
      <c r="K18" s="57">
        <f>'Annual Calculation'!CF10</f>
        <v>3521136000</v>
      </c>
      <c r="L18" s="57">
        <f>'Annual Calculation'!CI10</f>
        <v>4157574009.0486794</v>
      </c>
      <c r="M18" s="58">
        <f>'Annual Calculation'!CK10</f>
        <v>4516016505.3022881</v>
      </c>
    </row>
    <row r="19" spans="1:13" ht="22.5" customHeight="1">
      <c r="A19" s="56">
        <f>'Annual Calculation'!B11</f>
        <v>10</v>
      </c>
      <c r="B19" s="57">
        <f>'Annual Calculation'!C11</f>
        <v>37</v>
      </c>
      <c r="C19" s="57">
        <f>'Annual Calculation'!L11</f>
        <v>515978035</v>
      </c>
      <c r="D19" s="57">
        <f>IF(A19=0,0,SUM($C$10:C19))</f>
        <v>2595868211</v>
      </c>
      <c r="E19" s="57">
        <f>'Annual Calculation'!T11</f>
        <v>2000000000</v>
      </c>
      <c r="F19" s="57">
        <f>'Annual Calculation'!W11</f>
        <v>2000000000</v>
      </c>
      <c r="G19" s="57">
        <f>'Annual Calculation'!Y11</f>
        <v>1000000000</v>
      </c>
      <c r="H19" s="57">
        <f>'Annual Calculation'!AA11</f>
        <v>50000000</v>
      </c>
      <c r="I19" s="57">
        <f>'Annual Calculation'!AJ11</f>
        <v>200000000</v>
      </c>
      <c r="J19" s="57">
        <f>'Annual Calculation'!AL11</f>
        <v>300000000</v>
      </c>
      <c r="K19" s="57">
        <f>'Annual Calculation'!CF11</f>
        <v>4600396000</v>
      </c>
      <c r="L19" s="57">
        <f>'Annual Calculation'!CI11</f>
        <v>5564138959.2584143</v>
      </c>
      <c r="M19" s="58">
        <f>'Annual Calculation'!CK11</f>
        <v>6094174454.008791</v>
      </c>
    </row>
    <row r="20" spans="1:13" ht="22.5" customHeight="1">
      <c r="A20" s="56">
        <f>'Annual Calculation'!B12</f>
        <v>11</v>
      </c>
      <c r="B20" s="57">
        <f>'Annual Calculation'!C12</f>
        <v>38</v>
      </c>
      <c r="C20" s="57">
        <f>'Annual Calculation'!L12</f>
        <v>619173642</v>
      </c>
      <c r="D20" s="57">
        <f>IF(A20=0,0,SUM($C$10:C20))</f>
        <v>3215041853</v>
      </c>
      <c r="E20" s="57">
        <f>'Annual Calculation'!T12</f>
        <v>2000000000</v>
      </c>
      <c r="F20" s="57">
        <f>'Annual Calculation'!W12</f>
        <v>2000000000</v>
      </c>
      <c r="G20" s="57">
        <f>'Annual Calculation'!Y12</f>
        <v>1000000000</v>
      </c>
      <c r="H20" s="57">
        <f>'Annual Calculation'!AA12</f>
        <v>50000000</v>
      </c>
      <c r="I20" s="57">
        <f>'Annual Calculation'!AJ12</f>
        <v>200000000</v>
      </c>
      <c r="J20" s="57">
        <f>'Annual Calculation'!AL12</f>
        <v>300000000</v>
      </c>
      <c r="K20" s="57">
        <f>'Annual Calculation'!CF12</f>
        <v>5952720000</v>
      </c>
      <c r="L20" s="57">
        <f>'Annual Calculation'!CI12</f>
        <v>7368025610.7100973</v>
      </c>
      <c r="M20" s="58">
        <f>'Annual Calculation'!CK12</f>
        <v>8137469341.1507254</v>
      </c>
    </row>
    <row r="21" spans="1:13" ht="22.5" customHeight="1">
      <c r="A21" s="56">
        <f>'Annual Calculation'!B13</f>
        <v>12</v>
      </c>
      <c r="B21" s="57">
        <f>'Annual Calculation'!C13</f>
        <v>39</v>
      </c>
      <c r="C21" s="57">
        <f>'Annual Calculation'!L13</f>
        <v>743008370</v>
      </c>
      <c r="D21" s="57">
        <f>IF(A21=0,0,SUM($C$10:C21))</f>
        <v>3958050223</v>
      </c>
      <c r="E21" s="57">
        <f>'Annual Calculation'!T13</f>
        <v>2000000000</v>
      </c>
      <c r="F21" s="57">
        <f>'Annual Calculation'!W13</f>
        <v>2000000000</v>
      </c>
      <c r="G21" s="57">
        <f>'Annual Calculation'!Y13</f>
        <v>1000000000</v>
      </c>
      <c r="H21" s="57">
        <f>'Annual Calculation'!AA13</f>
        <v>50000000</v>
      </c>
      <c r="I21" s="57">
        <f>'Annual Calculation'!AJ13</f>
        <v>200000000</v>
      </c>
      <c r="J21" s="57">
        <f>'Annual Calculation'!AL13</f>
        <v>300000000</v>
      </c>
      <c r="K21" s="57">
        <f>'Annual Calculation'!CF13</f>
        <v>7642707000</v>
      </c>
      <c r="L21" s="57">
        <f>'Annual Calculation'!CI13</f>
        <v>9673365916.452116</v>
      </c>
      <c r="M21" s="58">
        <f>'Annual Calculation'!CK13</f>
        <v>10773310032.863884</v>
      </c>
    </row>
    <row r="22" spans="1:13" ht="22.5" customHeight="1">
      <c r="A22" s="56">
        <f>'Annual Calculation'!B14</f>
        <v>13</v>
      </c>
      <c r="B22" s="57">
        <f>'Annual Calculation'!C14</f>
        <v>40</v>
      </c>
      <c r="C22" s="57">
        <f>'Annual Calculation'!L14</f>
        <v>891610044</v>
      </c>
      <c r="D22" s="57">
        <f>IF(A22=0,0,SUM($C$10:C22))</f>
        <v>4849660267</v>
      </c>
      <c r="E22" s="57">
        <f>'Annual Calculation'!T14</f>
        <v>2000000000</v>
      </c>
      <c r="F22" s="57">
        <f>'Annual Calculation'!W14</f>
        <v>2000000000</v>
      </c>
      <c r="G22" s="57">
        <f>'Annual Calculation'!Y14</f>
        <v>1000000000</v>
      </c>
      <c r="H22" s="57">
        <f>'Annual Calculation'!AA14</f>
        <v>50000000</v>
      </c>
      <c r="I22" s="57">
        <f>'Annual Calculation'!AJ14</f>
        <v>200000000</v>
      </c>
      <c r="J22" s="57">
        <f>'Annual Calculation'!AL14</f>
        <v>300000000</v>
      </c>
      <c r="K22" s="57">
        <f>'Annual Calculation'!CF14</f>
        <v>9747693000</v>
      </c>
      <c r="L22" s="57">
        <f>'Annual Calculation'!CI14</f>
        <v>12608295653.342539</v>
      </c>
      <c r="M22" s="58">
        <f>'Annual Calculation'!CK14</f>
        <v>14160365736.253939</v>
      </c>
    </row>
    <row r="23" spans="1:13" ht="22.5" customHeight="1">
      <c r="A23" s="56">
        <f>'Annual Calculation'!B15</f>
        <v>14</v>
      </c>
      <c r="B23" s="57">
        <f>'Annual Calculation'!C15</f>
        <v>41</v>
      </c>
      <c r="C23" s="57">
        <f>'Annual Calculation'!L15</f>
        <v>1069932053</v>
      </c>
      <c r="D23" s="57">
        <f>IF(A23=0,0,SUM($C$10:C23))</f>
        <v>5919592320</v>
      </c>
      <c r="E23" s="57">
        <f>'Annual Calculation'!T15</f>
        <v>2000000000</v>
      </c>
      <c r="F23" s="57">
        <f>'Annual Calculation'!W15</f>
        <v>2000000000</v>
      </c>
      <c r="G23" s="57">
        <f>'Annual Calculation'!Y15</f>
        <v>1000000000</v>
      </c>
      <c r="H23" s="57">
        <f>'Annual Calculation'!AA15</f>
        <v>50000000</v>
      </c>
      <c r="I23" s="57">
        <f>'Annual Calculation'!AJ15</f>
        <v>200000000</v>
      </c>
      <c r="J23" s="57">
        <f>'Annual Calculation'!AL15</f>
        <v>300000000</v>
      </c>
      <c r="K23" s="57">
        <f>'Annual Calculation'!CF15</f>
        <v>12363429000</v>
      </c>
      <c r="L23" s="57">
        <f>'Annual Calculation'!CI15</f>
        <v>16333692739.611046</v>
      </c>
      <c r="M23" s="58">
        <f>'Annual Calculation'!CK15</f>
        <v>18499446453.089806</v>
      </c>
    </row>
    <row r="24" spans="1:13" ht="22.5" customHeight="1">
      <c r="A24" s="56">
        <f>'Annual Calculation'!B16</f>
        <v>15</v>
      </c>
      <c r="B24" s="57">
        <f>'Annual Calculation'!C16</f>
        <v>42</v>
      </c>
      <c r="C24" s="57">
        <f>'Annual Calculation'!L16</f>
        <v>1283918464</v>
      </c>
      <c r="D24" s="57">
        <f>IF(A24=0,0,SUM($C$10:C24))</f>
        <v>7203510784</v>
      </c>
      <c r="E24" s="57">
        <f>'Annual Calculation'!T16</f>
        <v>2000000000</v>
      </c>
      <c r="F24" s="57">
        <f>'Annual Calculation'!W16</f>
        <v>2000000000</v>
      </c>
      <c r="G24" s="57">
        <f>'Annual Calculation'!Y16</f>
        <v>1000000000</v>
      </c>
      <c r="H24" s="57">
        <f>'Annual Calculation'!AA16</f>
        <v>50000000</v>
      </c>
      <c r="I24" s="57">
        <f>'Annual Calculation'!AJ16</f>
        <v>200000000</v>
      </c>
      <c r="J24" s="57">
        <f>'Annual Calculation'!AL16</f>
        <v>300000000</v>
      </c>
      <c r="K24" s="57">
        <f>'Annual Calculation'!CF16</f>
        <v>15604908000</v>
      </c>
      <c r="L24" s="57">
        <f>'Annual Calculation'!CI16</f>
        <v>21047698348.333252</v>
      </c>
      <c r="M24" s="58">
        <f>'Annual Calculation'!CK16</f>
        <v>24040712851.249561</v>
      </c>
    </row>
    <row r="25" spans="1:13" ht="22.5" customHeight="1">
      <c r="A25" s="56">
        <f>'Annual Calculation'!B17</f>
        <v>0</v>
      </c>
      <c r="B25" s="57">
        <f>'Annual Calculation'!C17</f>
        <v>0</v>
      </c>
      <c r="C25" s="57">
        <f>'Annual Calculation'!L17</f>
        <v>0</v>
      </c>
      <c r="D25" s="57">
        <f>IF(A25=0,0,SUM($C$10:C25))</f>
        <v>0</v>
      </c>
      <c r="E25" s="57">
        <f>'Annual Calculation'!T17</f>
        <v>0</v>
      </c>
      <c r="F25" s="57">
        <f>'Annual Calculation'!W17</f>
        <v>0</v>
      </c>
      <c r="G25" s="57">
        <f>'Annual Calculation'!Y17</f>
        <v>0</v>
      </c>
      <c r="H25" s="57">
        <f>'Annual Calculation'!AA17</f>
        <v>0</v>
      </c>
      <c r="I25" s="57">
        <f>'Annual Calculation'!AJ17</f>
        <v>0</v>
      </c>
      <c r="J25" s="57">
        <f>'Annual Calculation'!AL17</f>
        <v>0</v>
      </c>
      <c r="K25" s="57">
        <f>'Annual Calculation'!CF17</f>
        <v>0</v>
      </c>
      <c r="L25" s="57">
        <f>'Annual Calculation'!CI17</f>
        <v>0</v>
      </c>
      <c r="M25" s="58">
        <f>'Annual Calculation'!CK17</f>
        <v>0</v>
      </c>
    </row>
    <row r="26" spans="1:13" ht="22.5" customHeight="1">
      <c r="A26" s="56">
        <f>'Annual Calculation'!B18</f>
        <v>0</v>
      </c>
      <c r="B26" s="57">
        <f>'Annual Calculation'!C18</f>
        <v>0</v>
      </c>
      <c r="C26" s="57">
        <f>'Annual Calculation'!L18</f>
        <v>0</v>
      </c>
      <c r="D26" s="57">
        <f>IF(A26=0,0,SUM($C$10:C26))</f>
        <v>0</v>
      </c>
      <c r="E26" s="57">
        <f>'Annual Calculation'!T18</f>
        <v>0</v>
      </c>
      <c r="F26" s="57">
        <f>'Annual Calculation'!W18</f>
        <v>0</v>
      </c>
      <c r="G26" s="57">
        <f>'Annual Calculation'!Y18</f>
        <v>0</v>
      </c>
      <c r="H26" s="57">
        <f>'Annual Calculation'!AA18</f>
        <v>0</v>
      </c>
      <c r="I26" s="57">
        <f>'Annual Calculation'!AJ18</f>
        <v>0</v>
      </c>
      <c r="J26" s="57">
        <f>'Annual Calculation'!AL18</f>
        <v>0</v>
      </c>
      <c r="K26" s="57">
        <f>'Annual Calculation'!CF18</f>
        <v>0</v>
      </c>
      <c r="L26" s="57">
        <f>'Annual Calculation'!CI18</f>
        <v>0</v>
      </c>
      <c r="M26" s="58">
        <f>'Annual Calculation'!CK18</f>
        <v>0</v>
      </c>
    </row>
    <row r="27" spans="1:13" ht="22.5" customHeight="1">
      <c r="A27" s="56">
        <f>'Annual Calculation'!B19</f>
        <v>0</v>
      </c>
      <c r="B27" s="57">
        <f>'Annual Calculation'!C19</f>
        <v>0</v>
      </c>
      <c r="C27" s="57">
        <f>'Annual Calculation'!L19</f>
        <v>0</v>
      </c>
      <c r="D27" s="57">
        <f>IF(A27=0,0,SUM($C$10:C27))</f>
        <v>0</v>
      </c>
      <c r="E27" s="57">
        <f>'Annual Calculation'!T19</f>
        <v>0</v>
      </c>
      <c r="F27" s="57">
        <f>'Annual Calculation'!W19</f>
        <v>0</v>
      </c>
      <c r="G27" s="57">
        <f>'Annual Calculation'!Y19</f>
        <v>0</v>
      </c>
      <c r="H27" s="57">
        <f>'Annual Calculation'!AA19</f>
        <v>0</v>
      </c>
      <c r="I27" s="57">
        <f>'Annual Calculation'!AJ19</f>
        <v>0</v>
      </c>
      <c r="J27" s="57">
        <f>'Annual Calculation'!AL19</f>
        <v>0</v>
      </c>
      <c r="K27" s="57">
        <f>'Annual Calculation'!CF19</f>
        <v>0</v>
      </c>
      <c r="L27" s="57">
        <f>'Annual Calculation'!CI19</f>
        <v>0</v>
      </c>
      <c r="M27" s="58">
        <f>'Annual Calculation'!CK19</f>
        <v>0</v>
      </c>
    </row>
    <row r="28" spans="1:13" ht="22.5" customHeight="1">
      <c r="A28" s="56">
        <f>'Annual Calculation'!B20</f>
        <v>0</v>
      </c>
      <c r="B28" s="57">
        <f>'Annual Calculation'!C20</f>
        <v>0</v>
      </c>
      <c r="C28" s="57">
        <f>'Annual Calculation'!L20</f>
        <v>0</v>
      </c>
      <c r="D28" s="57">
        <f>IF(A28=0,0,SUM($C$10:C28))</f>
        <v>0</v>
      </c>
      <c r="E28" s="57">
        <f>'Annual Calculation'!T20</f>
        <v>0</v>
      </c>
      <c r="F28" s="57">
        <f>'Annual Calculation'!W20</f>
        <v>0</v>
      </c>
      <c r="G28" s="57">
        <f>'Annual Calculation'!Y20</f>
        <v>0</v>
      </c>
      <c r="H28" s="57">
        <f>'Annual Calculation'!AA20</f>
        <v>0</v>
      </c>
      <c r="I28" s="57">
        <f>'Annual Calculation'!AJ20</f>
        <v>0</v>
      </c>
      <c r="J28" s="57">
        <f>'Annual Calculation'!AL20</f>
        <v>0</v>
      </c>
      <c r="K28" s="57">
        <f>'Annual Calculation'!CF20</f>
        <v>0</v>
      </c>
      <c r="L28" s="57">
        <f>'Annual Calculation'!CI20</f>
        <v>0</v>
      </c>
      <c r="M28" s="58">
        <f>'Annual Calculation'!CK20</f>
        <v>0</v>
      </c>
    </row>
    <row r="29" spans="1:13" ht="22.5" customHeight="1">
      <c r="A29" s="56">
        <f>'Annual Calculation'!B21</f>
        <v>0</v>
      </c>
      <c r="B29" s="57">
        <f>'Annual Calculation'!C21</f>
        <v>0</v>
      </c>
      <c r="C29" s="57">
        <f>'Annual Calculation'!L21</f>
        <v>0</v>
      </c>
      <c r="D29" s="57">
        <f>IF(A29=0,0,SUM($C$10:C29))</f>
        <v>0</v>
      </c>
      <c r="E29" s="57">
        <f>'Annual Calculation'!T21</f>
        <v>0</v>
      </c>
      <c r="F29" s="57">
        <f>'Annual Calculation'!W21</f>
        <v>0</v>
      </c>
      <c r="G29" s="57">
        <f>'Annual Calculation'!Y21</f>
        <v>0</v>
      </c>
      <c r="H29" s="57">
        <f>'Annual Calculation'!AA21</f>
        <v>0</v>
      </c>
      <c r="I29" s="57">
        <f>'Annual Calculation'!AJ21</f>
        <v>0</v>
      </c>
      <c r="J29" s="57">
        <f>'Annual Calculation'!AL21</f>
        <v>0</v>
      </c>
      <c r="K29" s="57">
        <f>'Annual Calculation'!CF21</f>
        <v>0</v>
      </c>
      <c r="L29" s="57">
        <f>'Annual Calculation'!CI21</f>
        <v>0</v>
      </c>
      <c r="M29" s="58">
        <f>'Annual Calculation'!CK21</f>
        <v>0</v>
      </c>
    </row>
    <row r="30" spans="1:13" ht="22.5" customHeight="1">
      <c r="A30" s="56">
        <f>'Annual Calculation'!B22</f>
        <v>0</v>
      </c>
      <c r="B30" s="57">
        <f>'Annual Calculation'!C22</f>
        <v>0</v>
      </c>
      <c r="C30" s="57">
        <f>'Annual Calculation'!L22</f>
        <v>0</v>
      </c>
      <c r="D30" s="57">
        <f>IF(A30=0,0,SUM($C$10:C30))</f>
        <v>0</v>
      </c>
      <c r="E30" s="57">
        <f>'Annual Calculation'!T22</f>
        <v>0</v>
      </c>
      <c r="F30" s="57">
        <f>'Annual Calculation'!W22</f>
        <v>0</v>
      </c>
      <c r="G30" s="57">
        <f>'Annual Calculation'!Y22</f>
        <v>0</v>
      </c>
      <c r="H30" s="57">
        <f>'Annual Calculation'!AA22</f>
        <v>0</v>
      </c>
      <c r="I30" s="57">
        <f>'Annual Calculation'!AJ22</f>
        <v>0</v>
      </c>
      <c r="J30" s="57">
        <f>'Annual Calculation'!AL22</f>
        <v>0</v>
      </c>
      <c r="K30" s="57">
        <f>'Annual Calculation'!CF22</f>
        <v>0</v>
      </c>
      <c r="L30" s="57">
        <f>'Annual Calculation'!CI22</f>
        <v>0</v>
      </c>
      <c r="M30" s="58">
        <f>'Annual Calculation'!CK22</f>
        <v>0</v>
      </c>
    </row>
    <row r="31" spans="1:13" ht="22.5" customHeight="1">
      <c r="A31" s="56">
        <f>'Annual Calculation'!B23</f>
        <v>0</v>
      </c>
      <c r="B31" s="57">
        <f>'Annual Calculation'!C23</f>
        <v>0</v>
      </c>
      <c r="C31" s="57">
        <f>'Annual Calculation'!L23</f>
        <v>0</v>
      </c>
      <c r="D31" s="57">
        <f>IF(A31=0,0,SUM($C$10:C31))</f>
        <v>0</v>
      </c>
      <c r="E31" s="57">
        <f>'Annual Calculation'!T23</f>
        <v>0</v>
      </c>
      <c r="F31" s="57">
        <f>'Annual Calculation'!W23</f>
        <v>0</v>
      </c>
      <c r="G31" s="57">
        <f>'Annual Calculation'!Y23</f>
        <v>0</v>
      </c>
      <c r="H31" s="57">
        <f>'Annual Calculation'!AA23</f>
        <v>0</v>
      </c>
      <c r="I31" s="57">
        <f>'Annual Calculation'!AJ23</f>
        <v>0</v>
      </c>
      <c r="J31" s="57">
        <f>'Annual Calculation'!AL23</f>
        <v>0</v>
      </c>
      <c r="K31" s="57">
        <f>'Annual Calculation'!CF23</f>
        <v>0</v>
      </c>
      <c r="L31" s="57">
        <f>'Annual Calculation'!CI23</f>
        <v>0</v>
      </c>
      <c r="M31" s="58">
        <f>'Annual Calculation'!CK23</f>
        <v>0</v>
      </c>
    </row>
    <row r="32" spans="1:13" ht="22.5" customHeight="1">
      <c r="A32" s="56">
        <f>'Annual Calculation'!B24</f>
        <v>0</v>
      </c>
      <c r="B32" s="57">
        <f>'Annual Calculation'!C24</f>
        <v>0</v>
      </c>
      <c r="C32" s="57">
        <f>'Annual Calculation'!L24</f>
        <v>0</v>
      </c>
      <c r="D32" s="57">
        <f>IF(A32=0,0,SUM($C$10:C32))</f>
        <v>0</v>
      </c>
      <c r="E32" s="57">
        <f>'Annual Calculation'!T24</f>
        <v>0</v>
      </c>
      <c r="F32" s="57">
        <f>'Annual Calculation'!W24</f>
        <v>0</v>
      </c>
      <c r="G32" s="57">
        <f>'Annual Calculation'!Y24</f>
        <v>0</v>
      </c>
      <c r="H32" s="57">
        <f>'Annual Calculation'!AA24</f>
        <v>0</v>
      </c>
      <c r="I32" s="57">
        <f>'Annual Calculation'!AJ24</f>
        <v>0</v>
      </c>
      <c r="J32" s="57">
        <f>'Annual Calculation'!AL24</f>
        <v>0</v>
      </c>
      <c r="K32" s="57">
        <f>'Annual Calculation'!CF24</f>
        <v>0</v>
      </c>
      <c r="L32" s="57">
        <f>'Annual Calculation'!CI24</f>
        <v>0</v>
      </c>
      <c r="M32" s="58">
        <f>'Annual Calculation'!CK24</f>
        <v>0</v>
      </c>
    </row>
    <row r="33" spans="1:13" ht="22.5" customHeight="1">
      <c r="A33" s="56">
        <f>'Annual Calculation'!B25</f>
        <v>0</v>
      </c>
      <c r="B33" s="57">
        <f>'Annual Calculation'!C25</f>
        <v>0</v>
      </c>
      <c r="C33" s="57">
        <f>'Annual Calculation'!L25</f>
        <v>0</v>
      </c>
      <c r="D33" s="57">
        <f>IF(A33=0,0,SUM($C$10:C33))</f>
        <v>0</v>
      </c>
      <c r="E33" s="57">
        <f>'Annual Calculation'!T25</f>
        <v>0</v>
      </c>
      <c r="F33" s="57">
        <f>'Annual Calculation'!W25</f>
        <v>0</v>
      </c>
      <c r="G33" s="57">
        <f>'Annual Calculation'!Y25</f>
        <v>0</v>
      </c>
      <c r="H33" s="57">
        <f>'Annual Calculation'!AA25</f>
        <v>0</v>
      </c>
      <c r="I33" s="57">
        <f>'Annual Calculation'!AJ25</f>
        <v>0</v>
      </c>
      <c r="J33" s="57">
        <f>'Annual Calculation'!AL25</f>
        <v>0</v>
      </c>
      <c r="K33" s="57">
        <f>'Annual Calculation'!CF25</f>
        <v>0</v>
      </c>
      <c r="L33" s="57">
        <f>'Annual Calculation'!CI25</f>
        <v>0</v>
      </c>
      <c r="M33" s="58">
        <f>'Annual Calculation'!CK25</f>
        <v>0</v>
      </c>
    </row>
    <row r="34" spans="1:13" ht="22.5" customHeight="1">
      <c r="A34" s="56">
        <f>'Annual Calculation'!B26</f>
        <v>0</v>
      </c>
      <c r="B34" s="57">
        <f>'Annual Calculation'!C26</f>
        <v>0</v>
      </c>
      <c r="C34" s="57">
        <f>'Annual Calculation'!L26</f>
        <v>0</v>
      </c>
      <c r="D34" s="57">
        <f>IF(A34=0,0,SUM($C$10:C34))</f>
        <v>0</v>
      </c>
      <c r="E34" s="57">
        <f>'Annual Calculation'!T26</f>
        <v>0</v>
      </c>
      <c r="F34" s="57">
        <f>'Annual Calculation'!W26</f>
        <v>0</v>
      </c>
      <c r="G34" s="57">
        <f>'Annual Calculation'!Y26</f>
        <v>0</v>
      </c>
      <c r="H34" s="57">
        <f>'Annual Calculation'!AA26</f>
        <v>0</v>
      </c>
      <c r="I34" s="57">
        <f>'Annual Calculation'!AJ26</f>
        <v>0</v>
      </c>
      <c r="J34" s="57">
        <f>'Annual Calculation'!AL26</f>
        <v>0</v>
      </c>
      <c r="K34" s="57">
        <f>'Annual Calculation'!CF26</f>
        <v>0</v>
      </c>
      <c r="L34" s="57">
        <f>'Annual Calculation'!CI26</f>
        <v>0</v>
      </c>
      <c r="M34" s="58">
        <f>'Annual Calculation'!CK26</f>
        <v>0</v>
      </c>
    </row>
    <row r="35" spans="1:13" ht="22.5" customHeight="1">
      <c r="A35" s="56">
        <f>'Annual Calculation'!B27</f>
        <v>0</v>
      </c>
      <c r="B35" s="57">
        <f>'Annual Calculation'!C27</f>
        <v>0</v>
      </c>
      <c r="C35" s="57">
        <f>'Annual Calculation'!L27</f>
        <v>0</v>
      </c>
      <c r="D35" s="57">
        <f>IF(A35=0,0,SUM($C$10:C35))</f>
        <v>0</v>
      </c>
      <c r="E35" s="57">
        <f>'Annual Calculation'!T27</f>
        <v>0</v>
      </c>
      <c r="F35" s="57">
        <f>'Annual Calculation'!W27</f>
        <v>0</v>
      </c>
      <c r="G35" s="57">
        <f>'Annual Calculation'!Y27</f>
        <v>0</v>
      </c>
      <c r="H35" s="57">
        <f>'Annual Calculation'!AA27</f>
        <v>0</v>
      </c>
      <c r="I35" s="57">
        <f>'Annual Calculation'!AJ27</f>
        <v>0</v>
      </c>
      <c r="J35" s="57">
        <f>'Annual Calculation'!AL27</f>
        <v>0</v>
      </c>
      <c r="K35" s="57">
        <f>'Annual Calculation'!CF27</f>
        <v>0</v>
      </c>
      <c r="L35" s="57">
        <f>'Annual Calculation'!CI27</f>
        <v>0</v>
      </c>
      <c r="M35" s="58">
        <f>'Annual Calculation'!CK27</f>
        <v>0</v>
      </c>
    </row>
    <row r="36" spans="1:13" ht="22.5" customHeight="1">
      <c r="A36" s="56">
        <f>'Annual Calculation'!B28</f>
        <v>0</v>
      </c>
      <c r="B36" s="57">
        <f>'Annual Calculation'!C28</f>
        <v>0</v>
      </c>
      <c r="C36" s="57">
        <f>'Annual Calculation'!L28</f>
        <v>0</v>
      </c>
      <c r="D36" s="57">
        <f>IF(A36=0,0,SUM($C$10:C36))</f>
        <v>0</v>
      </c>
      <c r="E36" s="57">
        <f>'Annual Calculation'!T28</f>
        <v>0</v>
      </c>
      <c r="F36" s="57">
        <f>'Annual Calculation'!W28</f>
        <v>0</v>
      </c>
      <c r="G36" s="57">
        <f>'Annual Calculation'!Y28</f>
        <v>0</v>
      </c>
      <c r="H36" s="57">
        <f>'Annual Calculation'!AA28</f>
        <v>0</v>
      </c>
      <c r="I36" s="57">
        <f>'Annual Calculation'!AJ28</f>
        <v>0</v>
      </c>
      <c r="J36" s="57">
        <f>'Annual Calculation'!AL28</f>
        <v>0</v>
      </c>
      <c r="K36" s="57">
        <f>'Annual Calculation'!CF28</f>
        <v>0</v>
      </c>
      <c r="L36" s="57">
        <f>'Annual Calculation'!CI28</f>
        <v>0</v>
      </c>
      <c r="M36" s="58">
        <f>'Annual Calculation'!CK28</f>
        <v>0</v>
      </c>
    </row>
    <row r="37" spans="1:13" ht="22.5" customHeight="1">
      <c r="A37" s="56">
        <f>'Annual Calculation'!B29</f>
        <v>0</v>
      </c>
      <c r="B37" s="57">
        <f>'Annual Calculation'!C29</f>
        <v>0</v>
      </c>
      <c r="C37" s="57">
        <f>'Annual Calculation'!L29</f>
        <v>0</v>
      </c>
      <c r="D37" s="57">
        <f>IF(A37=0,0,SUM($C$10:C37))</f>
        <v>0</v>
      </c>
      <c r="E37" s="57">
        <f>'Annual Calculation'!T29</f>
        <v>0</v>
      </c>
      <c r="F37" s="57">
        <f>'Annual Calculation'!W29</f>
        <v>0</v>
      </c>
      <c r="G37" s="57">
        <f>'Annual Calculation'!Y29</f>
        <v>0</v>
      </c>
      <c r="H37" s="57">
        <f>'Annual Calculation'!AA29</f>
        <v>0</v>
      </c>
      <c r="I37" s="57">
        <f>'Annual Calculation'!AJ29</f>
        <v>0</v>
      </c>
      <c r="J37" s="57">
        <f>'Annual Calculation'!AL29</f>
        <v>0</v>
      </c>
      <c r="K37" s="57">
        <f>'Annual Calculation'!CF29</f>
        <v>0</v>
      </c>
      <c r="L37" s="57">
        <f>'Annual Calculation'!CI29</f>
        <v>0</v>
      </c>
      <c r="M37" s="58">
        <f>'Annual Calculation'!CK29</f>
        <v>0</v>
      </c>
    </row>
    <row r="38" spans="1:13" ht="22.5" customHeight="1">
      <c r="A38" s="56">
        <f>'Annual Calculation'!B30</f>
        <v>0</v>
      </c>
      <c r="B38" s="57">
        <f>'Annual Calculation'!C30</f>
        <v>0</v>
      </c>
      <c r="C38" s="57">
        <f>'Annual Calculation'!L30</f>
        <v>0</v>
      </c>
      <c r="D38" s="57">
        <f>IF(A38=0,0,SUM($C$10:C38))</f>
        <v>0</v>
      </c>
      <c r="E38" s="57">
        <f>'Annual Calculation'!T30</f>
        <v>0</v>
      </c>
      <c r="F38" s="57">
        <f>'Annual Calculation'!W30</f>
        <v>0</v>
      </c>
      <c r="G38" s="57">
        <f>'Annual Calculation'!Y30</f>
        <v>0</v>
      </c>
      <c r="H38" s="57">
        <f>'Annual Calculation'!AA30</f>
        <v>0</v>
      </c>
      <c r="I38" s="57">
        <f>'Annual Calculation'!AJ30</f>
        <v>0</v>
      </c>
      <c r="J38" s="57">
        <f>'Annual Calculation'!AL30</f>
        <v>0</v>
      </c>
      <c r="K38" s="57">
        <f>'Annual Calculation'!CF30</f>
        <v>0</v>
      </c>
      <c r="L38" s="57">
        <f>'Annual Calculation'!CI30</f>
        <v>0</v>
      </c>
      <c r="M38" s="58">
        <f>'Annual Calculation'!CK30</f>
        <v>0</v>
      </c>
    </row>
    <row r="39" spans="1:13" ht="22.5" customHeight="1">
      <c r="A39" s="56">
        <f>'Annual Calculation'!B31</f>
        <v>0</v>
      </c>
      <c r="B39" s="57">
        <f>'Annual Calculation'!C31</f>
        <v>0</v>
      </c>
      <c r="C39" s="57">
        <f>'Annual Calculation'!L31</f>
        <v>0</v>
      </c>
      <c r="D39" s="57">
        <f>IF(A39=0,0,SUM($C$10:C39))</f>
        <v>0</v>
      </c>
      <c r="E39" s="57">
        <f>'Annual Calculation'!T31</f>
        <v>0</v>
      </c>
      <c r="F39" s="57">
        <f>'Annual Calculation'!W31</f>
        <v>0</v>
      </c>
      <c r="G39" s="57">
        <f>'Annual Calculation'!Y31</f>
        <v>0</v>
      </c>
      <c r="H39" s="57">
        <f>'Annual Calculation'!AA31</f>
        <v>0</v>
      </c>
      <c r="I39" s="57">
        <f>'Annual Calculation'!AJ31</f>
        <v>0</v>
      </c>
      <c r="J39" s="57">
        <f>'Annual Calculation'!AL31</f>
        <v>0</v>
      </c>
      <c r="K39" s="57">
        <f>'Annual Calculation'!CF31</f>
        <v>0</v>
      </c>
      <c r="L39" s="57">
        <f>'Annual Calculation'!CI31</f>
        <v>0</v>
      </c>
      <c r="M39" s="58">
        <f>'Annual Calculation'!CK31</f>
        <v>0</v>
      </c>
    </row>
    <row r="40" spans="1:13" ht="22.5" customHeight="1">
      <c r="A40" s="56">
        <f>'Annual Calculation'!B32</f>
        <v>0</v>
      </c>
      <c r="B40" s="57">
        <f>'Annual Calculation'!C32</f>
        <v>0</v>
      </c>
      <c r="C40" s="57">
        <f>'Annual Calculation'!L32</f>
        <v>0</v>
      </c>
      <c r="D40" s="57">
        <f>IF(A40=0,0,SUM($C$10:C40))</f>
        <v>0</v>
      </c>
      <c r="E40" s="57">
        <f>'Annual Calculation'!T32</f>
        <v>0</v>
      </c>
      <c r="F40" s="57">
        <f>'Annual Calculation'!W32</f>
        <v>0</v>
      </c>
      <c r="G40" s="57">
        <f>'Annual Calculation'!Y32</f>
        <v>0</v>
      </c>
      <c r="H40" s="57">
        <f>'Annual Calculation'!AA32</f>
        <v>0</v>
      </c>
      <c r="I40" s="57">
        <f>'Annual Calculation'!AJ32</f>
        <v>0</v>
      </c>
      <c r="J40" s="57">
        <f>'Annual Calculation'!AL32</f>
        <v>0</v>
      </c>
      <c r="K40" s="57">
        <f>'Annual Calculation'!CF32</f>
        <v>0</v>
      </c>
      <c r="L40" s="57">
        <f>'Annual Calculation'!CI32</f>
        <v>0</v>
      </c>
      <c r="M40" s="58">
        <f>'Annual Calculation'!CK32</f>
        <v>0</v>
      </c>
    </row>
    <row r="41" spans="1:13" ht="22.5" customHeight="1">
      <c r="A41" s="56">
        <f>'Annual Calculation'!B33</f>
        <v>0</v>
      </c>
      <c r="B41" s="57">
        <f>'Annual Calculation'!C33</f>
        <v>0</v>
      </c>
      <c r="C41" s="57">
        <f>'Annual Calculation'!L33</f>
        <v>0</v>
      </c>
      <c r="D41" s="57">
        <f>IF(A41=0,0,SUM($C$10:C41))</f>
        <v>0</v>
      </c>
      <c r="E41" s="57">
        <f>'Annual Calculation'!T33</f>
        <v>0</v>
      </c>
      <c r="F41" s="57">
        <f>'Annual Calculation'!W33</f>
        <v>0</v>
      </c>
      <c r="G41" s="57">
        <f>'Annual Calculation'!Y33</f>
        <v>0</v>
      </c>
      <c r="H41" s="57">
        <f>'Annual Calculation'!AA33</f>
        <v>0</v>
      </c>
      <c r="I41" s="57">
        <f>'Annual Calculation'!AJ33</f>
        <v>0</v>
      </c>
      <c r="J41" s="57">
        <f>'Annual Calculation'!AL33</f>
        <v>0</v>
      </c>
      <c r="K41" s="57">
        <f>'Annual Calculation'!CF33</f>
        <v>0</v>
      </c>
      <c r="L41" s="57">
        <f>'Annual Calculation'!CI33</f>
        <v>0</v>
      </c>
      <c r="M41" s="58">
        <f>'Annual Calculation'!CK33</f>
        <v>0</v>
      </c>
    </row>
    <row r="42" spans="1:13" ht="22.5" customHeight="1">
      <c r="A42" s="56">
        <f>'Annual Calculation'!B34</f>
        <v>0</v>
      </c>
      <c r="B42" s="57">
        <f>'Annual Calculation'!C34</f>
        <v>0</v>
      </c>
      <c r="C42" s="57">
        <f>'Annual Calculation'!L34</f>
        <v>0</v>
      </c>
      <c r="D42" s="57">
        <f>IF(A42=0,0,SUM($C$10:C42))</f>
        <v>0</v>
      </c>
      <c r="E42" s="57">
        <f>'Annual Calculation'!T34</f>
        <v>0</v>
      </c>
      <c r="F42" s="57">
        <f>'Annual Calculation'!W34</f>
        <v>0</v>
      </c>
      <c r="G42" s="57">
        <f>'Annual Calculation'!Y34</f>
        <v>0</v>
      </c>
      <c r="H42" s="57">
        <f>'Annual Calculation'!AA34</f>
        <v>0</v>
      </c>
      <c r="I42" s="57">
        <f>'Annual Calculation'!AJ34</f>
        <v>0</v>
      </c>
      <c r="J42" s="57">
        <f>'Annual Calculation'!AL34</f>
        <v>0</v>
      </c>
      <c r="K42" s="57">
        <f>'Annual Calculation'!CF34</f>
        <v>0</v>
      </c>
      <c r="L42" s="57">
        <f>'Annual Calculation'!CI34</f>
        <v>0</v>
      </c>
      <c r="M42" s="58">
        <f>'Annual Calculation'!CK34</f>
        <v>0</v>
      </c>
    </row>
    <row r="43" spans="1:13" ht="22.5" customHeight="1">
      <c r="A43" s="56">
        <f>'Annual Calculation'!B35</f>
        <v>0</v>
      </c>
      <c r="B43" s="57">
        <f>'Annual Calculation'!C35</f>
        <v>0</v>
      </c>
      <c r="C43" s="57">
        <f>'Annual Calculation'!L35</f>
        <v>0</v>
      </c>
      <c r="D43" s="57">
        <f>IF(A43=0,0,SUM($C$10:C43))</f>
        <v>0</v>
      </c>
      <c r="E43" s="57">
        <f>'Annual Calculation'!T35</f>
        <v>0</v>
      </c>
      <c r="F43" s="57">
        <f>'Annual Calculation'!W35</f>
        <v>0</v>
      </c>
      <c r="G43" s="57">
        <f>'Annual Calculation'!Y35</f>
        <v>0</v>
      </c>
      <c r="H43" s="57">
        <f>'Annual Calculation'!AA35</f>
        <v>0</v>
      </c>
      <c r="I43" s="57">
        <f>'Annual Calculation'!AJ35</f>
        <v>0</v>
      </c>
      <c r="J43" s="57">
        <f>'Annual Calculation'!AL35</f>
        <v>0</v>
      </c>
      <c r="K43" s="57">
        <f>'Annual Calculation'!CF35</f>
        <v>0</v>
      </c>
      <c r="L43" s="57">
        <f>'Annual Calculation'!CI35</f>
        <v>0</v>
      </c>
      <c r="M43" s="58">
        <f>'Annual Calculation'!CK35</f>
        <v>0</v>
      </c>
    </row>
    <row r="44" spans="1:13" ht="22.5" customHeight="1">
      <c r="A44" s="56">
        <f>'Annual Calculation'!B36</f>
        <v>0</v>
      </c>
      <c r="B44" s="57">
        <f>'Annual Calculation'!C36</f>
        <v>0</v>
      </c>
      <c r="C44" s="57">
        <f>'Annual Calculation'!L36</f>
        <v>0</v>
      </c>
      <c r="D44" s="57">
        <f>IF(A44=0,0,SUM($C$10:C44))</f>
        <v>0</v>
      </c>
      <c r="E44" s="57">
        <f>'Annual Calculation'!T36</f>
        <v>0</v>
      </c>
      <c r="F44" s="57">
        <f>'Annual Calculation'!W36</f>
        <v>0</v>
      </c>
      <c r="G44" s="57">
        <f>'Annual Calculation'!Y36</f>
        <v>0</v>
      </c>
      <c r="H44" s="57">
        <f>'Annual Calculation'!AA36</f>
        <v>0</v>
      </c>
      <c r="I44" s="57">
        <f>'Annual Calculation'!AJ36</f>
        <v>0</v>
      </c>
      <c r="J44" s="57">
        <f>'Annual Calculation'!AL36</f>
        <v>0</v>
      </c>
      <c r="K44" s="57">
        <f>'Annual Calculation'!CF36</f>
        <v>0</v>
      </c>
      <c r="L44" s="57">
        <f>'Annual Calculation'!CI36</f>
        <v>0</v>
      </c>
      <c r="M44" s="58">
        <f>'Annual Calculation'!CK36</f>
        <v>0</v>
      </c>
    </row>
    <row r="45" spans="1:13" ht="22.5" customHeight="1">
      <c r="A45" s="56">
        <f>'Annual Calculation'!B37</f>
        <v>0</v>
      </c>
      <c r="B45" s="57">
        <f>'Annual Calculation'!C37</f>
        <v>0</v>
      </c>
      <c r="C45" s="57">
        <f>'Annual Calculation'!L37</f>
        <v>0</v>
      </c>
      <c r="D45" s="57">
        <f>IF(A45=0,0,SUM($C$10:C45))</f>
        <v>0</v>
      </c>
      <c r="E45" s="57">
        <f>'Annual Calculation'!T37</f>
        <v>0</v>
      </c>
      <c r="F45" s="57">
        <f>'Annual Calculation'!W37</f>
        <v>0</v>
      </c>
      <c r="G45" s="57">
        <f>'Annual Calculation'!Y37</f>
        <v>0</v>
      </c>
      <c r="H45" s="57">
        <f>'Annual Calculation'!AA37</f>
        <v>0</v>
      </c>
      <c r="I45" s="57">
        <f>'Annual Calculation'!AJ37</f>
        <v>0</v>
      </c>
      <c r="J45" s="57">
        <f>'Annual Calculation'!AL37</f>
        <v>0</v>
      </c>
      <c r="K45" s="57">
        <f>'Annual Calculation'!CF37</f>
        <v>0</v>
      </c>
      <c r="L45" s="57">
        <f>'Annual Calculation'!CI37</f>
        <v>0</v>
      </c>
      <c r="M45" s="58">
        <f>'Annual Calculation'!CK37</f>
        <v>0</v>
      </c>
    </row>
    <row r="46" spans="1:13" ht="22.5" customHeight="1">
      <c r="A46" s="56">
        <f>'Annual Calculation'!B38</f>
        <v>0</v>
      </c>
      <c r="B46" s="57">
        <f>'Annual Calculation'!C38</f>
        <v>0</v>
      </c>
      <c r="C46" s="57">
        <f>'Annual Calculation'!L38</f>
        <v>0</v>
      </c>
      <c r="D46" s="57">
        <f>IF(A46=0,0,SUM($C$10:C46))</f>
        <v>0</v>
      </c>
      <c r="E46" s="57">
        <f>'Annual Calculation'!T38</f>
        <v>0</v>
      </c>
      <c r="F46" s="57">
        <f>'Annual Calculation'!W38</f>
        <v>0</v>
      </c>
      <c r="G46" s="57">
        <f>'Annual Calculation'!Y38</f>
        <v>0</v>
      </c>
      <c r="H46" s="57">
        <f>'Annual Calculation'!AA38</f>
        <v>0</v>
      </c>
      <c r="I46" s="57">
        <f>'Annual Calculation'!AJ38</f>
        <v>0</v>
      </c>
      <c r="J46" s="57">
        <f>'Annual Calculation'!AL38</f>
        <v>0</v>
      </c>
      <c r="K46" s="57">
        <f>'Annual Calculation'!CF38</f>
        <v>0</v>
      </c>
      <c r="L46" s="57">
        <f>'Annual Calculation'!CI38</f>
        <v>0</v>
      </c>
      <c r="M46" s="58">
        <f>'Annual Calculation'!CK38</f>
        <v>0</v>
      </c>
    </row>
    <row r="47" spans="1:13" ht="22.5" customHeight="1">
      <c r="A47" s="56">
        <f>'Annual Calculation'!B39</f>
        <v>0</v>
      </c>
      <c r="B47" s="57">
        <f>'Annual Calculation'!C39</f>
        <v>0</v>
      </c>
      <c r="C47" s="57">
        <f>'Annual Calculation'!L39</f>
        <v>0</v>
      </c>
      <c r="D47" s="57">
        <f>IF(A47=0,0,SUM($C$10:C47))</f>
        <v>0</v>
      </c>
      <c r="E47" s="57">
        <f>'Annual Calculation'!T39</f>
        <v>0</v>
      </c>
      <c r="F47" s="57">
        <f>'Annual Calculation'!W39</f>
        <v>0</v>
      </c>
      <c r="G47" s="57">
        <f>'Annual Calculation'!Y39</f>
        <v>0</v>
      </c>
      <c r="H47" s="57">
        <f>'Annual Calculation'!AA39</f>
        <v>0</v>
      </c>
      <c r="I47" s="57">
        <f>'Annual Calculation'!AJ39</f>
        <v>0</v>
      </c>
      <c r="J47" s="57">
        <f>'Annual Calculation'!AL39</f>
        <v>0</v>
      </c>
      <c r="K47" s="57">
        <f>'Annual Calculation'!CF39</f>
        <v>0</v>
      </c>
      <c r="L47" s="57">
        <f>'Annual Calculation'!CI39</f>
        <v>0</v>
      </c>
      <c r="M47" s="58">
        <f>'Annual Calculation'!CK39</f>
        <v>0</v>
      </c>
    </row>
    <row r="48" spans="1:13" ht="22.5" customHeight="1">
      <c r="A48" s="56">
        <f>'Annual Calculation'!B40</f>
        <v>0</v>
      </c>
      <c r="B48" s="57">
        <f>'Annual Calculation'!C40</f>
        <v>0</v>
      </c>
      <c r="C48" s="57">
        <f>'Annual Calculation'!L40</f>
        <v>0</v>
      </c>
      <c r="D48" s="57">
        <f>IF(A48=0,0,SUM($C$10:C48))</f>
        <v>0</v>
      </c>
      <c r="E48" s="57">
        <f>'Annual Calculation'!T40</f>
        <v>0</v>
      </c>
      <c r="F48" s="57">
        <f>'Annual Calculation'!W40</f>
        <v>0</v>
      </c>
      <c r="G48" s="57">
        <f>'Annual Calculation'!Y40</f>
        <v>0</v>
      </c>
      <c r="H48" s="57">
        <f>'Annual Calculation'!AA40</f>
        <v>0</v>
      </c>
      <c r="I48" s="57">
        <f>'Annual Calculation'!AJ40</f>
        <v>0</v>
      </c>
      <c r="J48" s="57">
        <f>'Annual Calculation'!AL40</f>
        <v>0</v>
      </c>
      <c r="K48" s="57">
        <f>'Annual Calculation'!CF40</f>
        <v>0</v>
      </c>
      <c r="L48" s="57">
        <f>'Annual Calculation'!CI40</f>
        <v>0</v>
      </c>
      <c r="M48" s="58">
        <f>'Annual Calculation'!CK40</f>
        <v>0</v>
      </c>
    </row>
    <row r="49" spans="1:13" ht="22.5" customHeight="1">
      <c r="A49" s="56">
        <f>'Annual Calculation'!B41</f>
        <v>0</v>
      </c>
      <c r="B49" s="57">
        <f>'Annual Calculation'!C41</f>
        <v>0</v>
      </c>
      <c r="C49" s="57">
        <f>'Annual Calculation'!L41</f>
        <v>0</v>
      </c>
      <c r="D49" s="57">
        <f>IF(A49=0,0,SUM($C$10:C49))</f>
        <v>0</v>
      </c>
      <c r="E49" s="57">
        <f>'Annual Calculation'!T41</f>
        <v>0</v>
      </c>
      <c r="F49" s="57">
        <f>'Annual Calculation'!W41</f>
        <v>0</v>
      </c>
      <c r="G49" s="57">
        <f>'Annual Calculation'!Y41</f>
        <v>0</v>
      </c>
      <c r="H49" s="57">
        <f>'Annual Calculation'!AA41</f>
        <v>0</v>
      </c>
      <c r="I49" s="57">
        <f>'Annual Calculation'!AJ41</f>
        <v>0</v>
      </c>
      <c r="J49" s="57">
        <f>'Annual Calculation'!AL41</f>
        <v>0</v>
      </c>
      <c r="K49" s="57">
        <f>'Annual Calculation'!CF41</f>
        <v>0</v>
      </c>
      <c r="L49" s="57">
        <f>'Annual Calculation'!CI41</f>
        <v>0</v>
      </c>
      <c r="M49" s="58">
        <f>'Annual Calculation'!CK41</f>
        <v>0</v>
      </c>
    </row>
    <row r="50" spans="1:13" ht="22.5" customHeight="1">
      <c r="A50" s="56">
        <f>'Annual Calculation'!B42</f>
        <v>0</v>
      </c>
      <c r="B50" s="57">
        <f>'Annual Calculation'!C42</f>
        <v>0</v>
      </c>
      <c r="C50" s="57">
        <f>'Annual Calculation'!L42</f>
        <v>0</v>
      </c>
      <c r="D50" s="57">
        <f>IF(A50=0,0,SUM($C$10:C50))</f>
        <v>0</v>
      </c>
      <c r="E50" s="57">
        <f>'Annual Calculation'!T42</f>
        <v>0</v>
      </c>
      <c r="F50" s="57">
        <f>'Annual Calculation'!W42</f>
        <v>0</v>
      </c>
      <c r="G50" s="57">
        <f>'Annual Calculation'!Y42</f>
        <v>0</v>
      </c>
      <c r="H50" s="57">
        <f>'Annual Calculation'!AA42</f>
        <v>0</v>
      </c>
      <c r="I50" s="57">
        <f>'Annual Calculation'!AJ42</f>
        <v>0</v>
      </c>
      <c r="J50" s="57">
        <f>'Annual Calculation'!AL42</f>
        <v>0</v>
      </c>
      <c r="K50" s="57">
        <f>'Annual Calculation'!CF42</f>
        <v>0</v>
      </c>
      <c r="L50" s="57">
        <f>'Annual Calculation'!CI42</f>
        <v>0</v>
      </c>
      <c r="M50" s="58">
        <f>'Annual Calculation'!CK42</f>
        <v>0</v>
      </c>
    </row>
    <row r="51" spans="1:13" ht="22.5" customHeight="1">
      <c r="A51" s="56">
        <f>'Annual Calculation'!B43</f>
        <v>0</v>
      </c>
      <c r="B51" s="57">
        <f>'Annual Calculation'!C43</f>
        <v>0</v>
      </c>
      <c r="C51" s="57">
        <f>'Annual Calculation'!L43</f>
        <v>0</v>
      </c>
      <c r="D51" s="57">
        <f>IF(A51=0,0,SUM($C$10:C51))</f>
        <v>0</v>
      </c>
      <c r="E51" s="57">
        <f>'Annual Calculation'!T43</f>
        <v>0</v>
      </c>
      <c r="F51" s="57">
        <f>'Annual Calculation'!W43</f>
        <v>0</v>
      </c>
      <c r="G51" s="57">
        <f>'Annual Calculation'!Y43</f>
        <v>0</v>
      </c>
      <c r="H51" s="57">
        <f>'Annual Calculation'!AA43</f>
        <v>0</v>
      </c>
      <c r="I51" s="57">
        <f>'Annual Calculation'!AJ43</f>
        <v>0</v>
      </c>
      <c r="J51" s="57">
        <f>'Annual Calculation'!AL43</f>
        <v>0</v>
      </c>
      <c r="K51" s="57">
        <f>'Annual Calculation'!CF43</f>
        <v>0</v>
      </c>
      <c r="L51" s="57">
        <f>'Annual Calculation'!CI43</f>
        <v>0</v>
      </c>
      <c r="M51" s="58">
        <f>'Annual Calculation'!CK43</f>
        <v>0</v>
      </c>
    </row>
    <row r="52" spans="1:13" ht="22.5" customHeight="1">
      <c r="A52" s="56">
        <f>'Annual Calculation'!B44</f>
        <v>0</v>
      </c>
      <c r="B52" s="57">
        <f>'Annual Calculation'!C44</f>
        <v>0</v>
      </c>
      <c r="C52" s="57">
        <f>'Annual Calculation'!L44</f>
        <v>0</v>
      </c>
      <c r="D52" s="57">
        <f>IF(A52=0,0,SUM($C$10:C52))</f>
        <v>0</v>
      </c>
      <c r="E52" s="57">
        <f>'Annual Calculation'!T44</f>
        <v>0</v>
      </c>
      <c r="F52" s="57">
        <f>'Annual Calculation'!W44</f>
        <v>0</v>
      </c>
      <c r="G52" s="57">
        <f>'Annual Calculation'!Y44</f>
        <v>0</v>
      </c>
      <c r="H52" s="57">
        <f>'Annual Calculation'!AA44</f>
        <v>0</v>
      </c>
      <c r="I52" s="57">
        <f>'Annual Calculation'!AJ44</f>
        <v>0</v>
      </c>
      <c r="J52" s="57">
        <f>'Annual Calculation'!AL44</f>
        <v>0</v>
      </c>
      <c r="K52" s="57">
        <f>'Annual Calculation'!CF44</f>
        <v>0</v>
      </c>
      <c r="L52" s="57">
        <f>'Annual Calculation'!CI44</f>
        <v>0</v>
      </c>
      <c r="M52" s="58">
        <f>'Annual Calculation'!CK44</f>
        <v>0</v>
      </c>
    </row>
    <row r="53" spans="1:13" ht="22.5" customHeight="1">
      <c r="A53" s="56">
        <f>'Annual Calculation'!B45</f>
        <v>0</v>
      </c>
      <c r="B53" s="57">
        <f>'Annual Calculation'!C45</f>
        <v>0</v>
      </c>
      <c r="C53" s="57">
        <f>'Annual Calculation'!L45</f>
        <v>0</v>
      </c>
      <c r="D53" s="57">
        <f>IF(A53=0,0,SUM($C$10:C53))</f>
        <v>0</v>
      </c>
      <c r="E53" s="57">
        <f>'Annual Calculation'!T45</f>
        <v>0</v>
      </c>
      <c r="F53" s="57">
        <f>'Annual Calculation'!W45</f>
        <v>0</v>
      </c>
      <c r="G53" s="57">
        <f>'Annual Calculation'!Y45</f>
        <v>0</v>
      </c>
      <c r="H53" s="57">
        <f>'Annual Calculation'!AA45</f>
        <v>0</v>
      </c>
      <c r="I53" s="57">
        <f>'Annual Calculation'!AJ45</f>
        <v>0</v>
      </c>
      <c r="J53" s="57">
        <f>'Annual Calculation'!AL45</f>
        <v>0</v>
      </c>
      <c r="K53" s="57">
        <f>'Annual Calculation'!CF45</f>
        <v>0</v>
      </c>
      <c r="L53" s="57">
        <f>'Annual Calculation'!CI45</f>
        <v>0</v>
      </c>
      <c r="M53" s="58">
        <f>'Annual Calculation'!CK45</f>
        <v>0</v>
      </c>
    </row>
    <row r="54" spans="1:13" ht="22.5" customHeight="1">
      <c r="A54" s="56">
        <f>'Annual Calculation'!B46</f>
        <v>0</v>
      </c>
      <c r="B54" s="57">
        <f>'Annual Calculation'!C46</f>
        <v>0</v>
      </c>
      <c r="C54" s="57">
        <f>'Annual Calculation'!L46</f>
        <v>0</v>
      </c>
      <c r="D54" s="57">
        <f>IF(A54=0,0,SUM($C$10:C54))</f>
        <v>0</v>
      </c>
      <c r="E54" s="57">
        <f>'Annual Calculation'!T46</f>
        <v>0</v>
      </c>
      <c r="F54" s="57">
        <f>'Annual Calculation'!W46</f>
        <v>0</v>
      </c>
      <c r="G54" s="57">
        <f>'Annual Calculation'!Y46</f>
        <v>0</v>
      </c>
      <c r="H54" s="57">
        <f>'Annual Calculation'!AA46</f>
        <v>0</v>
      </c>
      <c r="I54" s="57">
        <f>'Annual Calculation'!AJ46</f>
        <v>0</v>
      </c>
      <c r="J54" s="57">
        <f>'Annual Calculation'!AL46</f>
        <v>0</v>
      </c>
      <c r="K54" s="57">
        <f>'Annual Calculation'!CF46</f>
        <v>0</v>
      </c>
      <c r="L54" s="57">
        <f>'Annual Calculation'!CI46</f>
        <v>0</v>
      </c>
      <c r="M54" s="58">
        <f>'Annual Calculation'!CK46</f>
        <v>0</v>
      </c>
    </row>
    <row r="55" spans="1:13" ht="22.5" customHeight="1">
      <c r="A55" s="56">
        <f>'Annual Calculation'!B47</f>
        <v>0</v>
      </c>
      <c r="B55" s="57">
        <f>'Annual Calculation'!C47</f>
        <v>0</v>
      </c>
      <c r="C55" s="57">
        <f>'Annual Calculation'!L47</f>
        <v>0</v>
      </c>
      <c r="D55" s="57">
        <f>IF(A55=0,0,SUM($C$10:C55))</f>
        <v>0</v>
      </c>
      <c r="E55" s="57">
        <f>'Annual Calculation'!T47</f>
        <v>0</v>
      </c>
      <c r="F55" s="57">
        <f>'Annual Calculation'!W47</f>
        <v>0</v>
      </c>
      <c r="G55" s="57">
        <f>'Annual Calculation'!Y47</f>
        <v>0</v>
      </c>
      <c r="H55" s="57">
        <f>'Annual Calculation'!AA47</f>
        <v>0</v>
      </c>
      <c r="I55" s="57">
        <f>'Annual Calculation'!AJ47</f>
        <v>0</v>
      </c>
      <c r="J55" s="57">
        <f>'Annual Calculation'!AL47</f>
        <v>0</v>
      </c>
      <c r="K55" s="57">
        <f>'Annual Calculation'!CF47</f>
        <v>0</v>
      </c>
      <c r="L55" s="57">
        <f>'Annual Calculation'!CI47</f>
        <v>0</v>
      </c>
      <c r="M55" s="58">
        <f>'Annual Calculation'!CK47</f>
        <v>0</v>
      </c>
    </row>
    <row r="56" spans="1:13" ht="22.5" customHeight="1">
      <c r="A56" s="56">
        <f>'Annual Calculation'!B48</f>
        <v>0</v>
      </c>
      <c r="B56" s="57">
        <f>'Annual Calculation'!C48</f>
        <v>0</v>
      </c>
      <c r="C56" s="57">
        <f>'Annual Calculation'!L48</f>
        <v>0</v>
      </c>
      <c r="D56" s="57">
        <f>IF(A56=0,0,SUM($C$10:C56))</f>
        <v>0</v>
      </c>
      <c r="E56" s="57">
        <f>'Annual Calculation'!T48</f>
        <v>0</v>
      </c>
      <c r="F56" s="57">
        <f>'Annual Calculation'!W48</f>
        <v>0</v>
      </c>
      <c r="G56" s="57">
        <f>'Annual Calculation'!Y48</f>
        <v>0</v>
      </c>
      <c r="H56" s="57">
        <f>'Annual Calculation'!AA48</f>
        <v>0</v>
      </c>
      <c r="I56" s="57">
        <f>'Annual Calculation'!AJ48</f>
        <v>0</v>
      </c>
      <c r="J56" s="57">
        <f>'Annual Calculation'!AL48</f>
        <v>0</v>
      </c>
      <c r="K56" s="57">
        <f>'Annual Calculation'!CF48</f>
        <v>0</v>
      </c>
      <c r="L56" s="57">
        <f>'Annual Calculation'!CI48</f>
        <v>0</v>
      </c>
      <c r="M56" s="58">
        <f>'Annual Calculation'!CK48</f>
        <v>0</v>
      </c>
    </row>
    <row r="57" spans="1:13" ht="22.5" customHeight="1">
      <c r="A57" s="56">
        <f>'Annual Calculation'!B49</f>
        <v>0</v>
      </c>
      <c r="B57" s="57">
        <f>'Annual Calculation'!C49</f>
        <v>0</v>
      </c>
      <c r="C57" s="57">
        <f>'Annual Calculation'!L49</f>
        <v>0</v>
      </c>
      <c r="D57" s="57">
        <f>IF(A57=0,0,SUM($C$10:C57))</f>
        <v>0</v>
      </c>
      <c r="E57" s="57">
        <f>'Annual Calculation'!T49</f>
        <v>0</v>
      </c>
      <c r="F57" s="57">
        <f>'Annual Calculation'!W49</f>
        <v>0</v>
      </c>
      <c r="G57" s="57">
        <f>'Annual Calculation'!Y49</f>
        <v>0</v>
      </c>
      <c r="H57" s="57">
        <f>'Annual Calculation'!AA49</f>
        <v>0</v>
      </c>
      <c r="I57" s="57">
        <f>'Annual Calculation'!AJ49</f>
        <v>0</v>
      </c>
      <c r="J57" s="57">
        <f>'Annual Calculation'!AL49</f>
        <v>0</v>
      </c>
      <c r="K57" s="57">
        <f>'Annual Calculation'!CF49</f>
        <v>0</v>
      </c>
      <c r="L57" s="57">
        <f>'Annual Calculation'!CI49</f>
        <v>0</v>
      </c>
      <c r="M57" s="58">
        <f>'Annual Calculation'!CK49</f>
        <v>0</v>
      </c>
    </row>
    <row r="58" spans="1:13" ht="22.5" customHeight="1">
      <c r="A58" s="56">
        <f>'Annual Calculation'!B50</f>
        <v>0</v>
      </c>
      <c r="B58" s="57">
        <f>'Annual Calculation'!C50</f>
        <v>0</v>
      </c>
      <c r="C58" s="57">
        <f>'Annual Calculation'!L50</f>
        <v>0</v>
      </c>
      <c r="D58" s="57">
        <f>IF(A58=0,0,SUM($C$10:C58))</f>
        <v>0</v>
      </c>
      <c r="E58" s="57">
        <f>'Annual Calculation'!T50</f>
        <v>0</v>
      </c>
      <c r="F58" s="57">
        <f>'Annual Calculation'!W50</f>
        <v>0</v>
      </c>
      <c r="G58" s="57">
        <f>'Annual Calculation'!Y50</f>
        <v>0</v>
      </c>
      <c r="H58" s="57">
        <f>'Annual Calculation'!AA50</f>
        <v>0</v>
      </c>
      <c r="I58" s="57">
        <f>'Annual Calculation'!AJ50</f>
        <v>0</v>
      </c>
      <c r="J58" s="57">
        <f>'Annual Calculation'!AL50</f>
        <v>0</v>
      </c>
      <c r="K58" s="57">
        <f>'Annual Calculation'!CF50</f>
        <v>0</v>
      </c>
      <c r="L58" s="57">
        <f>'Annual Calculation'!CI50</f>
        <v>0</v>
      </c>
      <c r="M58" s="58">
        <f>'Annual Calculation'!CK50</f>
        <v>0</v>
      </c>
    </row>
    <row r="59" spans="1:13" ht="22.5" customHeight="1">
      <c r="A59" s="56">
        <f>'Annual Calculation'!B51</f>
        <v>0</v>
      </c>
      <c r="B59" s="57">
        <f>'Annual Calculation'!C51</f>
        <v>0</v>
      </c>
      <c r="C59" s="57">
        <f>'Annual Calculation'!L51</f>
        <v>0</v>
      </c>
      <c r="D59" s="57">
        <f>IF(A59=0,0,SUM($C$10:C59))</f>
        <v>0</v>
      </c>
      <c r="E59" s="57">
        <f>'Annual Calculation'!T51</f>
        <v>0</v>
      </c>
      <c r="F59" s="57">
        <f>'Annual Calculation'!W51</f>
        <v>0</v>
      </c>
      <c r="G59" s="57">
        <f>'Annual Calculation'!Y51</f>
        <v>0</v>
      </c>
      <c r="H59" s="57">
        <f>'Annual Calculation'!AA51</f>
        <v>0</v>
      </c>
      <c r="I59" s="57">
        <f>'Annual Calculation'!AJ51</f>
        <v>0</v>
      </c>
      <c r="J59" s="57">
        <f>'Annual Calculation'!AL51</f>
        <v>0</v>
      </c>
      <c r="K59" s="57">
        <f>'Annual Calculation'!CF51</f>
        <v>0</v>
      </c>
      <c r="L59" s="57">
        <f>'Annual Calculation'!CI51</f>
        <v>0</v>
      </c>
      <c r="M59" s="58">
        <f>'Annual Calculation'!CK51</f>
        <v>0</v>
      </c>
    </row>
    <row r="60" spans="1:13" ht="22.5" customHeight="1">
      <c r="A60" s="56">
        <f>'Annual Calculation'!B52</f>
        <v>0</v>
      </c>
      <c r="B60" s="57">
        <f>'Annual Calculation'!C52</f>
        <v>0</v>
      </c>
      <c r="C60" s="57">
        <f>'Annual Calculation'!L52</f>
        <v>0</v>
      </c>
      <c r="D60" s="57">
        <f>IF(A60=0,0,SUM($C$10:C60))</f>
        <v>0</v>
      </c>
      <c r="E60" s="57">
        <f>'Annual Calculation'!T52</f>
        <v>0</v>
      </c>
      <c r="F60" s="57">
        <f>'Annual Calculation'!W52</f>
        <v>0</v>
      </c>
      <c r="G60" s="57">
        <f>'Annual Calculation'!Y52</f>
        <v>0</v>
      </c>
      <c r="H60" s="57">
        <f>'Annual Calculation'!AA52</f>
        <v>0</v>
      </c>
      <c r="I60" s="57">
        <f>'Annual Calculation'!AJ52</f>
        <v>0</v>
      </c>
      <c r="J60" s="57">
        <f>'Annual Calculation'!AL52</f>
        <v>0</v>
      </c>
      <c r="K60" s="57">
        <f>'Annual Calculation'!CF52</f>
        <v>0</v>
      </c>
      <c r="L60" s="57">
        <f>'Annual Calculation'!CI52</f>
        <v>0</v>
      </c>
      <c r="M60" s="58">
        <f>'Annual Calculation'!CK52</f>
        <v>0</v>
      </c>
    </row>
    <row r="61" spans="1:13" ht="22.5" customHeight="1">
      <c r="A61" s="56">
        <f>'Annual Calculation'!B53</f>
        <v>0</v>
      </c>
      <c r="B61" s="57">
        <f>'Annual Calculation'!C53</f>
        <v>0</v>
      </c>
      <c r="C61" s="57">
        <f>'Annual Calculation'!L53</f>
        <v>0</v>
      </c>
      <c r="D61" s="57">
        <f>IF(A61=0,0,SUM($C$10:C61))</f>
        <v>0</v>
      </c>
      <c r="E61" s="57">
        <f>'Annual Calculation'!T53</f>
        <v>0</v>
      </c>
      <c r="F61" s="57">
        <f>'Annual Calculation'!W53</f>
        <v>0</v>
      </c>
      <c r="G61" s="57">
        <f>'Annual Calculation'!Y53</f>
        <v>0</v>
      </c>
      <c r="H61" s="57">
        <f>'Annual Calculation'!AA53</f>
        <v>0</v>
      </c>
      <c r="I61" s="57">
        <f>'Annual Calculation'!AJ53</f>
        <v>0</v>
      </c>
      <c r="J61" s="57">
        <f>'Annual Calculation'!AL53</f>
        <v>0</v>
      </c>
      <c r="K61" s="57">
        <f>'Annual Calculation'!CF53</f>
        <v>0</v>
      </c>
      <c r="L61" s="57">
        <f>'Annual Calculation'!CI53</f>
        <v>0</v>
      </c>
      <c r="M61" s="58">
        <f>'Annual Calculation'!CK53</f>
        <v>0</v>
      </c>
    </row>
    <row r="62" spans="1:13" ht="22.5" customHeight="1">
      <c r="A62" s="56">
        <f>'Annual Calculation'!B54</f>
        <v>0</v>
      </c>
      <c r="B62" s="57">
        <f>'Annual Calculation'!C54</f>
        <v>0</v>
      </c>
      <c r="C62" s="57">
        <f>'Annual Calculation'!L54</f>
        <v>0</v>
      </c>
      <c r="D62" s="57">
        <f>IF(A62=0,0,SUM($C$10:C62))</f>
        <v>0</v>
      </c>
      <c r="E62" s="57">
        <f>'Annual Calculation'!T54</f>
        <v>0</v>
      </c>
      <c r="F62" s="57">
        <f>'Annual Calculation'!W54</f>
        <v>0</v>
      </c>
      <c r="G62" s="57">
        <f>'Annual Calculation'!Y54</f>
        <v>0</v>
      </c>
      <c r="H62" s="57">
        <f>'Annual Calculation'!AA54</f>
        <v>0</v>
      </c>
      <c r="I62" s="57">
        <f>'Annual Calculation'!AJ54</f>
        <v>0</v>
      </c>
      <c r="J62" s="57">
        <f>'Annual Calculation'!AL54</f>
        <v>0</v>
      </c>
      <c r="K62" s="57">
        <f>'Annual Calculation'!CF54</f>
        <v>0</v>
      </c>
      <c r="L62" s="57">
        <f>'Annual Calculation'!CI54</f>
        <v>0</v>
      </c>
      <c r="M62" s="58">
        <f>'Annual Calculation'!CK54</f>
        <v>0</v>
      </c>
    </row>
    <row r="63" spans="1:13" ht="22.5" customHeight="1">
      <c r="A63" s="56">
        <f>'Annual Calculation'!B55</f>
        <v>0</v>
      </c>
      <c r="B63" s="57">
        <f>'Annual Calculation'!C55</f>
        <v>0</v>
      </c>
      <c r="C63" s="57">
        <f>'Annual Calculation'!L55</f>
        <v>0</v>
      </c>
      <c r="D63" s="57">
        <f>IF(A63=0,0,SUM($C$10:C63))</f>
        <v>0</v>
      </c>
      <c r="E63" s="57">
        <f>'Annual Calculation'!T55</f>
        <v>0</v>
      </c>
      <c r="F63" s="57">
        <f>'Annual Calculation'!W55</f>
        <v>0</v>
      </c>
      <c r="G63" s="57">
        <f>'Annual Calculation'!Y55</f>
        <v>0</v>
      </c>
      <c r="H63" s="57">
        <f>'Annual Calculation'!AA55</f>
        <v>0</v>
      </c>
      <c r="I63" s="57">
        <f>'Annual Calculation'!AJ55</f>
        <v>0</v>
      </c>
      <c r="J63" s="57">
        <f>'Annual Calculation'!AL55</f>
        <v>0</v>
      </c>
      <c r="K63" s="57">
        <f>'Annual Calculation'!CF55</f>
        <v>0</v>
      </c>
      <c r="L63" s="57">
        <f>'Annual Calculation'!CI55</f>
        <v>0</v>
      </c>
      <c r="M63" s="58">
        <f>'Annual Calculation'!CK55</f>
        <v>0</v>
      </c>
    </row>
    <row r="64" spans="1:13" ht="22.5" customHeight="1">
      <c r="A64" s="56">
        <f>'Annual Calculation'!B56</f>
        <v>0</v>
      </c>
      <c r="B64" s="57">
        <f>'Annual Calculation'!C56</f>
        <v>0</v>
      </c>
      <c r="C64" s="57">
        <f>'Annual Calculation'!L56</f>
        <v>0</v>
      </c>
      <c r="D64" s="57">
        <f>IF(A64=0,0,SUM($C$10:C64))</f>
        <v>0</v>
      </c>
      <c r="E64" s="57">
        <f>'Annual Calculation'!T56</f>
        <v>0</v>
      </c>
      <c r="F64" s="57">
        <f>'Annual Calculation'!W56</f>
        <v>0</v>
      </c>
      <c r="G64" s="57">
        <f>'Annual Calculation'!Y56</f>
        <v>0</v>
      </c>
      <c r="H64" s="57">
        <f>'Annual Calculation'!AA56</f>
        <v>0</v>
      </c>
      <c r="I64" s="57">
        <f>'Annual Calculation'!AJ56</f>
        <v>0</v>
      </c>
      <c r="J64" s="57">
        <f>'Annual Calculation'!AL56</f>
        <v>0</v>
      </c>
      <c r="K64" s="57">
        <f>'Annual Calculation'!CF56</f>
        <v>0</v>
      </c>
      <c r="L64" s="57">
        <f>'Annual Calculation'!CI56</f>
        <v>0</v>
      </c>
      <c r="M64" s="58">
        <f>'Annual Calculation'!CK56</f>
        <v>0</v>
      </c>
    </row>
    <row r="65" spans="1:13" ht="22.5" customHeight="1">
      <c r="A65" s="56">
        <f>'Annual Calculation'!B57</f>
        <v>0</v>
      </c>
      <c r="B65" s="57">
        <f>'Annual Calculation'!C57</f>
        <v>0</v>
      </c>
      <c r="C65" s="57">
        <f>'Annual Calculation'!L57</f>
        <v>0</v>
      </c>
      <c r="D65" s="57">
        <f>IF(A65=0,0,SUM($C$10:C65))</f>
        <v>0</v>
      </c>
      <c r="E65" s="57">
        <f>'Annual Calculation'!T57</f>
        <v>0</v>
      </c>
      <c r="F65" s="57">
        <f>'Annual Calculation'!W57</f>
        <v>0</v>
      </c>
      <c r="G65" s="57">
        <f>'Annual Calculation'!Y57</f>
        <v>0</v>
      </c>
      <c r="H65" s="57">
        <f>'Annual Calculation'!AA57</f>
        <v>0</v>
      </c>
      <c r="I65" s="57">
        <f>'Annual Calculation'!AJ57</f>
        <v>0</v>
      </c>
      <c r="J65" s="57">
        <f>'Annual Calculation'!AL57</f>
        <v>0</v>
      </c>
      <c r="K65" s="57">
        <f>'Annual Calculation'!CF57</f>
        <v>0</v>
      </c>
      <c r="L65" s="57">
        <f>'Annual Calculation'!CI57</f>
        <v>0</v>
      </c>
      <c r="M65" s="58">
        <f>'Annual Calculation'!CK57</f>
        <v>0</v>
      </c>
    </row>
    <row r="66" spans="1:13" ht="22.5" customHeight="1">
      <c r="A66" s="56">
        <f>'Annual Calculation'!B58</f>
        <v>0</v>
      </c>
      <c r="B66" s="57">
        <f>'Annual Calculation'!C58</f>
        <v>0</v>
      </c>
      <c r="C66" s="57">
        <f>'Annual Calculation'!L58</f>
        <v>0</v>
      </c>
      <c r="D66" s="57">
        <f>IF(A66=0,0,SUM($C$10:C66))</f>
        <v>0</v>
      </c>
      <c r="E66" s="57">
        <f>'Annual Calculation'!T58</f>
        <v>0</v>
      </c>
      <c r="F66" s="57">
        <f>'Annual Calculation'!W58</f>
        <v>0</v>
      </c>
      <c r="G66" s="57">
        <f>'Annual Calculation'!Y58</f>
        <v>0</v>
      </c>
      <c r="H66" s="57">
        <f>'Annual Calculation'!AA58</f>
        <v>0</v>
      </c>
      <c r="I66" s="57">
        <f>'Annual Calculation'!AJ58</f>
        <v>0</v>
      </c>
      <c r="J66" s="57">
        <f>'Annual Calculation'!AL58</f>
        <v>0</v>
      </c>
      <c r="K66" s="57">
        <f>'Annual Calculation'!CF58</f>
        <v>0</v>
      </c>
      <c r="L66" s="57">
        <f>'Annual Calculation'!CI58</f>
        <v>0</v>
      </c>
      <c r="M66" s="58">
        <f>'Annual Calculation'!CK58</f>
        <v>0</v>
      </c>
    </row>
    <row r="67" spans="1:13" ht="22.5" customHeight="1">
      <c r="A67" s="56">
        <f>'Annual Calculation'!B59</f>
        <v>0</v>
      </c>
      <c r="B67" s="57">
        <f>'Annual Calculation'!C59</f>
        <v>0</v>
      </c>
      <c r="C67" s="57">
        <f>'Annual Calculation'!L59</f>
        <v>0</v>
      </c>
      <c r="D67" s="57">
        <f>IF(A67=0,0,SUM($C$10:C67))</f>
        <v>0</v>
      </c>
      <c r="E67" s="57">
        <f>'Annual Calculation'!T59</f>
        <v>0</v>
      </c>
      <c r="F67" s="57">
        <f>'Annual Calculation'!W59</f>
        <v>0</v>
      </c>
      <c r="G67" s="57">
        <f>'Annual Calculation'!Y59</f>
        <v>0</v>
      </c>
      <c r="H67" s="57">
        <f>'Annual Calculation'!AA59</f>
        <v>0</v>
      </c>
      <c r="I67" s="57">
        <f>'Annual Calculation'!AJ59</f>
        <v>0</v>
      </c>
      <c r="J67" s="57">
        <f>'Annual Calculation'!AL59</f>
        <v>0</v>
      </c>
      <c r="K67" s="57">
        <f>'Annual Calculation'!CF59</f>
        <v>0</v>
      </c>
      <c r="L67" s="57">
        <f>'Annual Calculation'!CI59</f>
        <v>0</v>
      </c>
      <c r="M67" s="58">
        <f>'Annual Calculation'!CK59</f>
        <v>0</v>
      </c>
    </row>
    <row r="68" spans="1:13" ht="22.5" customHeight="1">
      <c r="A68" s="56">
        <f>'Annual Calculation'!B60</f>
        <v>0</v>
      </c>
      <c r="B68" s="57">
        <f>'Annual Calculation'!C60</f>
        <v>0</v>
      </c>
      <c r="C68" s="57">
        <f>'Annual Calculation'!L60</f>
        <v>0</v>
      </c>
      <c r="D68" s="57">
        <f>IF(A68=0,0,SUM($C$10:C68))</f>
        <v>0</v>
      </c>
      <c r="E68" s="57">
        <f>'Annual Calculation'!T60</f>
        <v>0</v>
      </c>
      <c r="F68" s="57">
        <f>'Annual Calculation'!W60</f>
        <v>0</v>
      </c>
      <c r="G68" s="57">
        <f>'Annual Calculation'!Y60</f>
        <v>0</v>
      </c>
      <c r="H68" s="57">
        <f>'Annual Calculation'!AA60</f>
        <v>0</v>
      </c>
      <c r="I68" s="57">
        <f>'Annual Calculation'!AJ60</f>
        <v>0</v>
      </c>
      <c r="J68" s="57">
        <f>'Annual Calculation'!AL60</f>
        <v>0</v>
      </c>
      <c r="K68" s="57">
        <f>'Annual Calculation'!CF60</f>
        <v>0</v>
      </c>
      <c r="L68" s="57">
        <f>'Annual Calculation'!CI60</f>
        <v>0</v>
      </c>
      <c r="M68" s="58">
        <f>'Annual Calculation'!CK60</f>
        <v>0</v>
      </c>
    </row>
    <row r="69" spans="1:13" ht="22.5" customHeight="1">
      <c r="A69" s="56">
        <f>'Annual Calculation'!B61</f>
        <v>0</v>
      </c>
      <c r="B69" s="57">
        <f>'Annual Calculation'!C61</f>
        <v>0</v>
      </c>
      <c r="C69" s="57">
        <f>'Annual Calculation'!L61</f>
        <v>0</v>
      </c>
      <c r="D69" s="57">
        <f>IF(A69=0,0,SUM($C$10:C69))</f>
        <v>0</v>
      </c>
      <c r="E69" s="57">
        <f>'Annual Calculation'!T61</f>
        <v>0</v>
      </c>
      <c r="F69" s="57">
        <f>'Annual Calculation'!W61</f>
        <v>0</v>
      </c>
      <c r="G69" s="57">
        <f>'Annual Calculation'!Y61</f>
        <v>0</v>
      </c>
      <c r="H69" s="57">
        <f>'Annual Calculation'!AA61</f>
        <v>0</v>
      </c>
      <c r="I69" s="57">
        <f>'Annual Calculation'!AJ61</f>
        <v>0</v>
      </c>
      <c r="J69" s="57">
        <f>'Annual Calculation'!AL61</f>
        <v>0</v>
      </c>
      <c r="K69" s="57">
        <f>'Annual Calculation'!CF61</f>
        <v>0</v>
      </c>
      <c r="L69" s="57">
        <f>'Annual Calculation'!CI61</f>
        <v>0</v>
      </c>
      <c r="M69" s="58">
        <f>'Annual Calculation'!CK61</f>
        <v>0</v>
      </c>
    </row>
    <row r="70" spans="1:13" ht="22.5" customHeight="1">
      <c r="A70" s="56">
        <f>'Annual Calculation'!B62</f>
        <v>0</v>
      </c>
      <c r="B70" s="57">
        <f>'Annual Calculation'!C62</f>
        <v>0</v>
      </c>
      <c r="C70" s="57">
        <f>'Annual Calculation'!L62</f>
        <v>0</v>
      </c>
      <c r="D70" s="57">
        <f>IF(A70=0,0,SUM($C$10:C70))</f>
        <v>0</v>
      </c>
      <c r="E70" s="57">
        <f>'Annual Calculation'!T62</f>
        <v>0</v>
      </c>
      <c r="F70" s="57">
        <f>'Annual Calculation'!W62</f>
        <v>0</v>
      </c>
      <c r="G70" s="57">
        <f>'Annual Calculation'!Y62</f>
        <v>0</v>
      </c>
      <c r="H70" s="57">
        <f>'Annual Calculation'!AA62</f>
        <v>0</v>
      </c>
      <c r="I70" s="57">
        <f>'Annual Calculation'!AJ62</f>
        <v>0</v>
      </c>
      <c r="J70" s="57">
        <f>'Annual Calculation'!AL62</f>
        <v>0</v>
      </c>
      <c r="K70" s="57">
        <f>'Annual Calculation'!CF62</f>
        <v>0</v>
      </c>
      <c r="L70" s="57">
        <f>'Annual Calculation'!CI62</f>
        <v>0</v>
      </c>
      <c r="M70" s="58">
        <f>'Annual Calculation'!CK62</f>
        <v>0</v>
      </c>
    </row>
    <row r="71" spans="1:13" ht="22.5" customHeight="1">
      <c r="A71" s="56">
        <f>'Annual Calculation'!B63</f>
        <v>0</v>
      </c>
      <c r="B71" s="57">
        <f>'Annual Calculation'!C63</f>
        <v>0</v>
      </c>
      <c r="C71" s="57">
        <f>'Annual Calculation'!L63</f>
        <v>0</v>
      </c>
      <c r="D71" s="57">
        <f>IF(A71=0,0,SUM($C$10:C71))</f>
        <v>0</v>
      </c>
      <c r="E71" s="57">
        <f>'Annual Calculation'!T63</f>
        <v>0</v>
      </c>
      <c r="F71" s="57">
        <f>'Annual Calculation'!W63</f>
        <v>0</v>
      </c>
      <c r="G71" s="57">
        <f>'Annual Calculation'!Y63</f>
        <v>0</v>
      </c>
      <c r="H71" s="57">
        <f>'Annual Calculation'!AA63</f>
        <v>0</v>
      </c>
      <c r="I71" s="57">
        <f>'Annual Calculation'!AJ63</f>
        <v>0</v>
      </c>
      <c r="J71" s="57">
        <f>'Annual Calculation'!AL63</f>
        <v>0</v>
      </c>
      <c r="K71" s="57">
        <f>'Annual Calculation'!CF63</f>
        <v>0</v>
      </c>
      <c r="L71" s="57">
        <f>'Annual Calculation'!CI63</f>
        <v>0</v>
      </c>
      <c r="M71" s="58">
        <f>'Annual Calculation'!CK63</f>
        <v>0</v>
      </c>
    </row>
    <row r="72" spans="1:13" ht="22.5" customHeight="1">
      <c r="A72" s="56">
        <f>'Annual Calculation'!B64</f>
        <v>0</v>
      </c>
      <c r="B72" s="57">
        <f>'Annual Calculation'!C64</f>
        <v>0</v>
      </c>
      <c r="C72" s="57">
        <f>'Annual Calculation'!L64</f>
        <v>0</v>
      </c>
      <c r="D72" s="57">
        <f>IF(A72=0,0,SUM($C$10:C72))</f>
        <v>0</v>
      </c>
      <c r="E72" s="57">
        <f>'Annual Calculation'!T64</f>
        <v>0</v>
      </c>
      <c r="F72" s="57">
        <f>'Annual Calculation'!W64</f>
        <v>0</v>
      </c>
      <c r="G72" s="57">
        <f>'Annual Calculation'!Y64</f>
        <v>0</v>
      </c>
      <c r="H72" s="57">
        <f>'Annual Calculation'!AA64</f>
        <v>0</v>
      </c>
      <c r="I72" s="57">
        <f>'Annual Calculation'!AJ64</f>
        <v>0</v>
      </c>
      <c r="J72" s="57">
        <f>'Annual Calculation'!AL64</f>
        <v>0</v>
      </c>
      <c r="K72" s="57">
        <f>'Annual Calculation'!CF64</f>
        <v>0</v>
      </c>
      <c r="L72" s="57">
        <f>'Annual Calculation'!CI64</f>
        <v>0</v>
      </c>
      <c r="M72" s="58">
        <f>'Annual Calculation'!CK64</f>
        <v>0</v>
      </c>
    </row>
    <row r="73" spans="1:13" ht="22.5" customHeight="1">
      <c r="A73" s="56">
        <f>'Annual Calculation'!B65</f>
        <v>0</v>
      </c>
      <c r="B73" s="57">
        <f>'Annual Calculation'!C65</f>
        <v>0</v>
      </c>
      <c r="C73" s="57">
        <f>'Annual Calculation'!L65</f>
        <v>0</v>
      </c>
      <c r="D73" s="57">
        <f>IF(A73=0,0,SUM($C$10:C73))</f>
        <v>0</v>
      </c>
      <c r="E73" s="57">
        <f>'Annual Calculation'!T65</f>
        <v>0</v>
      </c>
      <c r="F73" s="57">
        <f>'Annual Calculation'!W65</f>
        <v>0</v>
      </c>
      <c r="G73" s="57">
        <f>'Annual Calculation'!Y65</f>
        <v>0</v>
      </c>
      <c r="H73" s="57">
        <f>'Annual Calculation'!AA65</f>
        <v>0</v>
      </c>
      <c r="I73" s="57">
        <f>'Annual Calculation'!AJ65</f>
        <v>0</v>
      </c>
      <c r="J73" s="57">
        <f>'Annual Calculation'!AL65</f>
        <v>0</v>
      </c>
      <c r="K73" s="57">
        <f>'Annual Calculation'!CF65</f>
        <v>0</v>
      </c>
      <c r="L73" s="57">
        <f>'Annual Calculation'!CI65</f>
        <v>0</v>
      </c>
      <c r="M73" s="58">
        <f>'Annual Calculation'!CK65</f>
        <v>0</v>
      </c>
    </row>
    <row r="74" spans="1:13" ht="22.5" customHeight="1">
      <c r="A74" s="56">
        <f>'Annual Calculation'!B66</f>
        <v>0</v>
      </c>
      <c r="B74" s="57">
        <f>'Annual Calculation'!C66</f>
        <v>0</v>
      </c>
      <c r="C74" s="57">
        <f>'Annual Calculation'!L66</f>
        <v>0</v>
      </c>
      <c r="D74" s="57">
        <f>IF(A74=0,0,SUM($C$10:C74))</f>
        <v>0</v>
      </c>
      <c r="E74" s="57">
        <f>'Annual Calculation'!T66</f>
        <v>0</v>
      </c>
      <c r="F74" s="57">
        <f>'Annual Calculation'!W66</f>
        <v>0</v>
      </c>
      <c r="G74" s="57">
        <f>'Annual Calculation'!Y66</f>
        <v>0</v>
      </c>
      <c r="H74" s="57">
        <f>'Annual Calculation'!AA66</f>
        <v>0</v>
      </c>
      <c r="I74" s="57">
        <f>'Annual Calculation'!AJ66</f>
        <v>0</v>
      </c>
      <c r="J74" s="57">
        <f>'Annual Calculation'!AL66</f>
        <v>0</v>
      </c>
      <c r="K74" s="57">
        <f>'Annual Calculation'!CF66</f>
        <v>0</v>
      </c>
      <c r="L74" s="57">
        <f>'Annual Calculation'!CI66</f>
        <v>0</v>
      </c>
      <c r="M74" s="58">
        <f>'Annual Calculation'!CK66</f>
        <v>0</v>
      </c>
    </row>
    <row r="75" spans="1:13" ht="22.5" customHeight="1">
      <c r="A75" s="56">
        <f>'Annual Calculation'!B67</f>
        <v>0</v>
      </c>
      <c r="B75" s="57">
        <f>'Annual Calculation'!C67</f>
        <v>0</v>
      </c>
      <c r="C75" s="57">
        <f>'Annual Calculation'!L67</f>
        <v>0</v>
      </c>
      <c r="D75" s="57">
        <f>IF(A75=0,0,SUM($C$10:C75))</f>
        <v>0</v>
      </c>
      <c r="E75" s="57">
        <f>'Annual Calculation'!T67</f>
        <v>0</v>
      </c>
      <c r="F75" s="57">
        <f>'Annual Calculation'!W67</f>
        <v>0</v>
      </c>
      <c r="G75" s="57">
        <f>'Annual Calculation'!Y67</f>
        <v>0</v>
      </c>
      <c r="H75" s="57">
        <f>'Annual Calculation'!AA67</f>
        <v>0</v>
      </c>
      <c r="I75" s="57">
        <f>'Annual Calculation'!AJ67</f>
        <v>0</v>
      </c>
      <c r="J75" s="57">
        <f>'Annual Calculation'!AL67</f>
        <v>0</v>
      </c>
      <c r="K75" s="57">
        <f>'Annual Calculation'!CF67</f>
        <v>0</v>
      </c>
      <c r="L75" s="57">
        <f>'Annual Calculation'!CI67</f>
        <v>0</v>
      </c>
      <c r="M75" s="58">
        <f>'Annual Calculation'!CK67</f>
        <v>0</v>
      </c>
    </row>
    <row r="76" spans="1:13" ht="22.5" customHeight="1">
      <c r="A76" s="56">
        <f>'Annual Calculation'!B68</f>
        <v>0</v>
      </c>
      <c r="B76" s="57">
        <f>'Annual Calculation'!C68</f>
        <v>0</v>
      </c>
      <c r="C76" s="57">
        <f>'Annual Calculation'!L68</f>
        <v>0</v>
      </c>
      <c r="D76" s="57">
        <f>IF(A76=0,0,SUM($C$10:C76))</f>
        <v>0</v>
      </c>
      <c r="E76" s="57">
        <f>'Annual Calculation'!T68</f>
        <v>0</v>
      </c>
      <c r="F76" s="57">
        <f>'Annual Calculation'!W68</f>
        <v>0</v>
      </c>
      <c r="G76" s="57">
        <f>'Annual Calculation'!Y68</f>
        <v>0</v>
      </c>
      <c r="H76" s="57">
        <f>'Annual Calculation'!AA68</f>
        <v>0</v>
      </c>
      <c r="I76" s="57">
        <f>'Annual Calculation'!AJ68</f>
        <v>0</v>
      </c>
      <c r="J76" s="57">
        <f>'Annual Calculation'!AL68</f>
        <v>0</v>
      </c>
      <c r="K76" s="57">
        <f>'Annual Calculation'!CF68</f>
        <v>0</v>
      </c>
      <c r="L76" s="57">
        <f>'Annual Calculation'!CI68</f>
        <v>0</v>
      </c>
      <c r="M76" s="58">
        <f>'Annual Calculation'!CK68</f>
        <v>0</v>
      </c>
    </row>
    <row r="77" spans="1:13" ht="22.5" customHeight="1">
      <c r="A77" s="56">
        <f>'Annual Calculation'!B69</f>
        <v>0</v>
      </c>
      <c r="B77" s="57">
        <f>'Annual Calculation'!C69</f>
        <v>0</v>
      </c>
      <c r="C77" s="57">
        <f>'Annual Calculation'!L69</f>
        <v>0</v>
      </c>
      <c r="D77" s="57">
        <f>IF(A77=0,0,SUM($C$10:C77))</f>
        <v>0</v>
      </c>
      <c r="E77" s="57">
        <f>'Annual Calculation'!T69</f>
        <v>0</v>
      </c>
      <c r="F77" s="57">
        <f>'Annual Calculation'!W69</f>
        <v>0</v>
      </c>
      <c r="G77" s="57">
        <f>'Annual Calculation'!Y69</f>
        <v>0</v>
      </c>
      <c r="H77" s="57">
        <f>'Annual Calculation'!AA69</f>
        <v>0</v>
      </c>
      <c r="I77" s="57">
        <f>'Annual Calculation'!AJ69</f>
        <v>0</v>
      </c>
      <c r="J77" s="57">
        <f>'Annual Calculation'!AL69</f>
        <v>0</v>
      </c>
      <c r="K77" s="57">
        <f>'Annual Calculation'!CF69</f>
        <v>0</v>
      </c>
      <c r="L77" s="57">
        <f>'Annual Calculation'!CI69</f>
        <v>0</v>
      </c>
      <c r="M77" s="58">
        <f>'Annual Calculation'!CK69</f>
        <v>0</v>
      </c>
    </row>
    <row r="78" spans="1:13" ht="22.5" customHeight="1">
      <c r="A78" s="56">
        <f>'Annual Calculation'!B70</f>
        <v>0</v>
      </c>
      <c r="B78" s="57">
        <f>'Annual Calculation'!C70</f>
        <v>0</v>
      </c>
      <c r="C78" s="57">
        <f>'Annual Calculation'!L70</f>
        <v>0</v>
      </c>
      <c r="D78" s="57">
        <f>IF(A78=0,0,SUM($C$10:C78))</f>
        <v>0</v>
      </c>
      <c r="E78" s="57">
        <f>'Annual Calculation'!T70</f>
        <v>0</v>
      </c>
      <c r="F78" s="57">
        <f>'Annual Calculation'!W70</f>
        <v>0</v>
      </c>
      <c r="G78" s="57">
        <f>'Annual Calculation'!Y70</f>
        <v>0</v>
      </c>
      <c r="H78" s="57">
        <f>'Annual Calculation'!AA70</f>
        <v>0</v>
      </c>
      <c r="I78" s="57">
        <f>'Annual Calculation'!AJ70</f>
        <v>0</v>
      </c>
      <c r="J78" s="57">
        <f>'Annual Calculation'!AL70</f>
        <v>0</v>
      </c>
      <c r="K78" s="57">
        <f>'Annual Calculation'!CF70</f>
        <v>0</v>
      </c>
      <c r="L78" s="57">
        <f>'Annual Calculation'!CI70</f>
        <v>0</v>
      </c>
      <c r="M78" s="58">
        <f>'Annual Calculation'!CK70</f>
        <v>0</v>
      </c>
    </row>
    <row r="79" spans="1:13" ht="22.5" customHeight="1" thickBot="1">
      <c r="A79" s="64">
        <f>'Annual Calculation'!B71</f>
        <v>0</v>
      </c>
      <c r="B79" s="65">
        <f>'Annual Calculation'!C71</f>
        <v>0</v>
      </c>
      <c r="C79" s="65">
        <f>'Annual Calculation'!L71</f>
        <v>0</v>
      </c>
      <c r="D79" s="65">
        <f>IF(A79=0,0,SUM($C$10:C79))</f>
        <v>0</v>
      </c>
      <c r="E79" s="65">
        <f>'Annual Calculation'!T71</f>
        <v>0</v>
      </c>
      <c r="F79" s="65">
        <f>'Annual Calculation'!W71</f>
        <v>0</v>
      </c>
      <c r="G79" s="65">
        <f>'Annual Calculation'!Y71</f>
        <v>0</v>
      </c>
      <c r="H79" s="65">
        <f>'Annual Calculation'!AA71</f>
        <v>0</v>
      </c>
      <c r="I79" s="65">
        <f>'Annual Calculation'!AJ71</f>
        <v>0</v>
      </c>
      <c r="J79" s="65">
        <f>'Annual Calculation'!AL71</f>
        <v>0</v>
      </c>
      <c r="K79" s="65">
        <f>'Annual Calculation'!CF71</f>
        <v>0</v>
      </c>
      <c r="L79" s="65">
        <f>'Annual Calculation'!CI71</f>
        <v>0</v>
      </c>
      <c r="M79" s="66">
        <f>'Annual Calculation'!CK71</f>
        <v>0</v>
      </c>
    </row>
    <row r="80" spans="1:13" ht="22.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</row>
    <row r="81" spans="1:11" ht="22.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</row>
    <row r="82" spans="1:11" ht="22.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</row>
    <row r="83" spans="1:11" ht="22.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</row>
    <row r="84" spans="1:11" ht="22.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</row>
    <row r="85" spans="1:11" ht="22.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</row>
    <row r="86" spans="1:11" ht="22.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</row>
    <row r="87" spans="1:11" ht="22.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</row>
    <row r="88" spans="1:11" ht="22.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</row>
    <row r="89" spans="1:11" ht="22.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</row>
    <row r="90" spans="1:11" ht="22.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</row>
    <row r="91" spans="1:11" ht="22.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</row>
    <row r="92" spans="1:11" ht="22.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</row>
    <row r="93" spans="1:11" ht="22.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</row>
    <row r="94" spans="1:11" ht="22.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</row>
    <row r="95" spans="1:11" ht="22.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</row>
    <row r="96" spans="1:11" ht="22.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</row>
    <row r="97" spans="1:11" ht="22.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</row>
    <row r="98" spans="1:11" ht="22.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</row>
    <row r="99" spans="1:11" ht="22.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</row>
    <row r="100" spans="1:11" ht="22.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</row>
    <row r="101" spans="1:11" ht="22.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</row>
    <row r="102" spans="1:11" ht="22.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</row>
    <row r="103" spans="1:11" ht="22.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</row>
    <row r="104" spans="1:11" ht="22.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</row>
    <row r="105" spans="1:11" ht="22.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</row>
    <row r="106" spans="1:11" ht="22.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</row>
    <row r="107" spans="1:11" ht="22.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</row>
    <row r="108" spans="1:11" ht="22.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</row>
    <row r="109" spans="1:11" ht="22.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</row>
    <row r="110" spans="1:11" ht="22.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</row>
    <row r="111" spans="1:11" ht="22.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</row>
    <row r="112" spans="1:11" ht="22.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</row>
    <row r="113" spans="1:11" ht="22.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</row>
    <row r="114" spans="1:11" ht="22.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</row>
    <row r="115" spans="1:11" ht="22.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</row>
    <row r="116" spans="1:11" ht="22.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</row>
    <row r="117" spans="1:11" ht="22.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</row>
    <row r="118" spans="1:11" ht="22.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</row>
    <row r="119" spans="1:11" ht="22.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</row>
    <row r="120" spans="1:11" ht="22.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</row>
    <row r="121" spans="1:11" ht="7.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</row>
    <row r="123" spans="1:11" ht="6.75" customHeight="1"/>
  </sheetData>
  <sheetProtection selectLockedCells="1" selectUnlockedCells="1"/>
  <mergeCells count="18">
    <mergeCell ref="A1:M1"/>
    <mergeCell ref="A5:B5"/>
    <mergeCell ref="K2:L2"/>
    <mergeCell ref="C2:D2"/>
    <mergeCell ref="C3:D3"/>
    <mergeCell ref="H2:I2"/>
    <mergeCell ref="H3:I3"/>
    <mergeCell ref="H5:I5"/>
    <mergeCell ref="C4:D4"/>
    <mergeCell ref="C5:D5"/>
    <mergeCell ref="K6:L6"/>
    <mergeCell ref="H6:I6"/>
    <mergeCell ref="H4:I4"/>
    <mergeCell ref="C7:D7"/>
    <mergeCell ref="C8:D8"/>
    <mergeCell ref="H7:I7"/>
    <mergeCell ref="H8:I8"/>
    <mergeCell ref="C6:D6"/>
  </mergeCells>
  <pageMargins left="0.23622047244094491" right="0.23622047244094491" top="0.74803149606299213" bottom="0.74803149606299213" header="0.31496062992125984" footer="0.31496062992125984"/>
  <pageSetup paperSize="9" scale="53" fitToHeight="0" orientation="landscape" r:id="rId1"/>
  <headerFooter>
    <oddFooter>&amp;L&amp;"B Titr,Bold"محاسب و طراح : حامد حرفت&amp;R&amp;P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70"/>
  <sheetViews>
    <sheetView workbookViewId="0">
      <selection activeCell="C13" sqref="C13"/>
    </sheetView>
  </sheetViews>
  <sheetFormatPr defaultRowHeight="15"/>
  <cols>
    <col min="1" max="1" width="5.28515625" bestFit="1" customWidth="1"/>
    <col min="2" max="2" width="27" bestFit="1" customWidth="1"/>
    <col min="3" max="3" width="30.140625" bestFit="1" customWidth="1"/>
    <col min="4" max="4" width="23.28515625" bestFit="1" customWidth="1"/>
    <col min="5" max="5" width="15.85546875" bestFit="1" customWidth="1"/>
  </cols>
  <sheetData>
    <row r="1" spans="1:6" ht="29.25" thickBot="1">
      <c r="A1" s="79" t="s">
        <v>5</v>
      </c>
      <c r="B1" s="79" t="s">
        <v>56</v>
      </c>
      <c r="C1" s="79" t="s">
        <v>57</v>
      </c>
      <c r="D1" s="79" t="s">
        <v>58</v>
      </c>
      <c r="E1" s="79" t="s">
        <v>59</v>
      </c>
    </row>
    <row r="2" spans="1:6" ht="28.5">
      <c r="A2" s="57">
        <f>'Annual Calculation'!B2</f>
        <v>1</v>
      </c>
      <c r="B2" s="57">
        <f>'Annual Calculation'!L2</f>
        <v>100000000</v>
      </c>
      <c r="C2" s="57">
        <f>B2-D2-E2</f>
        <v>97386323.127788186</v>
      </c>
      <c r="D2" s="57">
        <f>'Annual Calculation'!BP2</f>
        <v>2343676.8722118195</v>
      </c>
      <c r="E2" s="57">
        <f>'Annual Calculation'!BR2</f>
        <v>270000</v>
      </c>
      <c r="F2" s="78"/>
    </row>
    <row r="3" spans="1:6" ht="28.5">
      <c r="A3" s="57">
        <f>'Annual Calculation'!B3</f>
        <v>2</v>
      </c>
      <c r="B3" s="57">
        <f>'Annual Calculation'!L3</f>
        <v>120000000</v>
      </c>
      <c r="C3" s="57">
        <f t="shared" ref="C3:C66" si="0">B3-D3-E3</f>
        <v>117040726.99777311</v>
      </c>
      <c r="D3" s="57">
        <f>'Annual Calculation'!BP3</f>
        <v>2648773.0022268854</v>
      </c>
      <c r="E3" s="57">
        <f>'Annual Calculation'!BR3</f>
        <v>310500</v>
      </c>
    </row>
    <row r="4" spans="1:6" ht="28.5">
      <c r="A4" s="57">
        <f>'Annual Calculation'!B4</f>
        <v>3</v>
      </c>
      <c r="B4" s="57">
        <f>'Annual Calculation'!L4</f>
        <v>144000000</v>
      </c>
      <c r="C4" s="57">
        <f t="shared" si="0"/>
        <v>140666418.15220505</v>
      </c>
      <c r="D4" s="57">
        <f>'Annual Calculation'!BP4</f>
        <v>2997178.72279495</v>
      </c>
      <c r="E4" s="57">
        <f>'Annual Calculation'!BR4</f>
        <v>336403.125</v>
      </c>
    </row>
    <row r="5" spans="1:6" ht="28.5">
      <c r="A5" s="57">
        <f>'Annual Calculation'!B5</f>
        <v>4</v>
      </c>
      <c r="B5" s="57">
        <f>'Annual Calculation'!L5</f>
        <v>172800000</v>
      </c>
      <c r="C5" s="57">
        <f t="shared" si="0"/>
        <v>168730483.53730136</v>
      </c>
      <c r="D5" s="57">
        <f>'Annual Calculation'!BP5</f>
        <v>3394516.4626986426</v>
      </c>
      <c r="E5" s="57">
        <f>'Annual Calculation'!BR5</f>
        <v>675000</v>
      </c>
    </row>
    <row r="6" spans="1:6" ht="28.5">
      <c r="A6" s="57">
        <f>'Annual Calculation'!B6</f>
        <v>5</v>
      </c>
      <c r="B6" s="57">
        <f>'Annual Calculation'!L6</f>
        <v>207360000</v>
      </c>
      <c r="C6" s="57">
        <f t="shared" si="0"/>
        <v>202838016.15195501</v>
      </c>
      <c r="D6" s="57">
        <f>'Annual Calculation'!BP6</f>
        <v>3846983.8480449812</v>
      </c>
      <c r="E6" s="57">
        <f>'Annual Calculation'!BR6</f>
        <v>675000</v>
      </c>
    </row>
    <row r="7" spans="1:6" ht="28.5">
      <c r="A7" s="57">
        <f>'Annual Calculation'!B7</f>
        <v>6</v>
      </c>
      <c r="B7" s="57">
        <f>'Annual Calculation'!L7</f>
        <v>248832000</v>
      </c>
      <c r="C7" s="57">
        <f t="shared" si="0"/>
        <v>243803363.945283</v>
      </c>
      <c r="D7" s="57">
        <f>'Annual Calculation'!BP7</f>
        <v>4353636.0547169931</v>
      </c>
      <c r="E7" s="57">
        <f>'Annual Calculation'!BR7</f>
        <v>675000</v>
      </c>
    </row>
    <row r="8" spans="1:6" ht="28.5">
      <c r="A8" s="57">
        <f>'Annual Calculation'!B8</f>
        <v>7</v>
      </c>
      <c r="B8" s="57">
        <f>'Annual Calculation'!L8</f>
        <v>298598400</v>
      </c>
      <c r="C8" s="57">
        <f t="shared" si="0"/>
        <v>293230738.4315595</v>
      </c>
      <c r="D8" s="57">
        <f>'Annual Calculation'!BP8</f>
        <v>4692661.5684404923</v>
      </c>
      <c r="E8" s="57">
        <f>'Annual Calculation'!BR8</f>
        <v>675000</v>
      </c>
    </row>
    <row r="9" spans="1:6" ht="28.5">
      <c r="A9" s="57">
        <f>'Annual Calculation'!B9</f>
        <v>8</v>
      </c>
      <c r="B9" s="57">
        <f>'Annual Calculation'!L9</f>
        <v>358318080</v>
      </c>
      <c r="C9" s="57">
        <f t="shared" si="0"/>
        <v>352574017.13367391</v>
      </c>
      <c r="D9" s="57">
        <f>'Annual Calculation'!BP9</f>
        <v>5069062.866326089</v>
      </c>
      <c r="E9" s="57">
        <f>'Annual Calculation'!BR9</f>
        <v>675000</v>
      </c>
    </row>
    <row r="10" spans="1:6" ht="28.5">
      <c r="A10" s="57">
        <f>'Annual Calculation'!B10</f>
        <v>9</v>
      </c>
      <c r="B10" s="57">
        <f>'Annual Calculation'!L10</f>
        <v>429981696</v>
      </c>
      <c r="C10" s="57">
        <f t="shared" si="0"/>
        <v>423821128.6695177</v>
      </c>
      <c r="D10" s="57">
        <f>'Annual Calculation'!BP10</f>
        <v>5485567.3304822855</v>
      </c>
      <c r="E10" s="57">
        <f>'Annual Calculation'!BR10</f>
        <v>675000</v>
      </c>
    </row>
    <row r="11" spans="1:6" ht="28.5">
      <c r="A11" s="57">
        <f>'Annual Calculation'!B11</f>
        <v>10</v>
      </c>
      <c r="B11" s="57">
        <f>'Annual Calculation'!L11</f>
        <v>515978035</v>
      </c>
      <c r="C11" s="57">
        <f t="shared" si="0"/>
        <v>509358257.81224865</v>
      </c>
      <c r="D11" s="57">
        <f>'Annual Calculation'!BP11</f>
        <v>5944777.187751364</v>
      </c>
      <c r="E11" s="57">
        <f>'Annual Calculation'!BR11</f>
        <v>675000</v>
      </c>
    </row>
    <row r="12" spans="1:6" ht="28.5">
      <c r="A12" s="57">
        <f>'Annual Calculation'!B12</f>
        <v>11</v>
      </c>
      <c r="B12" s="57">
        <f>'Annual Calculation'!L12</f>
        <v>619173642</v>
      </c>
      <c r="C12" s="57">
        <f t="shared" si="0"/>
        <v>611464691.6610738</v>
      </c>
      <c r="D12" s="57">
        <f>'Annual Calculation'!BP12</f>
        <v>6448950.3389262352</v>
      </c>
      <c r="E12" s="57">
        <f>'Annual Calculation'!BR12</f>
        <v>1260000</v>
      </c>
    </row>
    <row r="13" spans="1:6" ht="28.5">
      <c r="A13" s="57">
        <f>'Annual Calculation'!B13</f>
        <v>12</v>
      </c>
      <c r="B13" s="57">
        <f>'Annual Calculation'!L13</f>
        <v>743008370</v>
      </c>
      <c r="C13" s="57">
        <f t="shared" si="0"/>
        <v>734818412.37236834</v>
      </c>
      <c r="D13" s="57">
        <f>'Annual Calculation'!BP13</f>
        <v>6929957.6276316373</v>
      </c>
      <c r="E13" s="57">
        <f>'Annual Calculation'!BR13</f>
        <v>1260000</v>
      </c>
    </row>
    <row r="14" spans="1:6" ht="28.5">
      <c r="A14" s="57">
        <f>'Annual Calculation'!B14</f>
        <v>13</v>
      </c>
      <c r="B14" s="57">
        <f>'Annual Calculation'!L14</f>
        <v>891610044</v>
      </c>
      <c r="C14" s="57">
        <f t="shared" si="0"/>
        <v>882893109.42390406</v>
      </c>
      <c r="D14" s="57">
        <f>'Annual Calculation'!BP14</f>
        <v>7456934.576095894</v>
      </c>
      <c r="E14" s="57">
        <f>'Annual Calculation'!BR14</f>
        <v>1260000</v>
      </c>
    </row>
    <row r="15" spans="1:6" ht="28.5">
      <c r="A15" s="57">
        <f>'Annual Calculation'!B15</f>
        <v>14</v>
      </c>
      <c r="B15" s="57">
        <f>'Annual Calculation'!L15</f>
        <v>1069932053</v>
      </c>
      <c r="C15" s="57">
        <f t="shared" si="0"/>
        <v>1060638247.6166354</v>
      </c>
      <c r="D15" s="57">
        <f>'Annual Calculation'!BP15</f>
        <v>8033805.3833645191</v>
      </c>
      <c r="E15" s="57">
        <f>'Annual Calculation'!BR15</f>
        <v>1260000</v>
      </c>
    </row>
    <row r="16" spans="1:6" ht="28.5">
      <c r="A16" s="57">
        <f>'Annual Calculation'!B16</f>
        <v>15</v>
      </c>
      <c r="B16" s="57">
        <f>'Annual Calculation'!L16</f>
        <v>1283918464</v>
      </c>
      <c r="C16" s="57">
        <f t="shared" si="0"/>
        <v>1273994036.5286911</v>
      </c>
      <c r="D16" s="57">
        <f>'Annual Calculation'!BP16</f>
        <v>8664427.4713090509</v>
      </c>
      <c r="E16" s="57">
        <f>'Annual Calculation'!BR16</f>
        <v>1260000</v>
      </c>
    </row>
    <row r="17" spans="1:5" ht="28.5">
      <c r="A17" s="57">
        <f>'Annual Calculation'!B17</f>
        <v>0</v>
      </c>
      <c r="B17" s="57">
        <f>'Annual Calculation'!L17</f>
        <v>0</v>
      </c>
      <c r="C17" s="57">
        <f t="shared" si="0"/>
        <v>0</v>
      </c>
      <c r="D17" s="57">
        <f>'Annual Calculation'!BP17</f>
        <v>0</v>
      </c>
      <c r="E17" s="57">
        <f>'Annual Calculation'!BR17</f>
        <v>0</v>
      </c>
    </row>
    <row r="18" spans="1:5" ht="28.5">
      <c r="A18" s="57">
        <f>'Annual Calculation'!B18</f>
        <v>0</v>
      </c>
      <c r="B18" s="57">
        <f>'Annual Calculation'!L18</f>
        <v>0</v>
      </c>
      <c r="C18" s="57">
        <f t="shared" si="0"/>
        <v>0</v>
      </c>
      <c r="D18" s="57">
        <f>'Annual Calculation'!BP18</f>
        <v>0</v>
      </c>
      <c r="E18" s="57">
        <f>'Annual Calculation'!BR18</f>
        <v>0</v>
      </c>
    </row>
    <row r="19" spans="1:5" ht="28.5">
      <c r="A19" s="57">
        <f>'Annual Calculation'!B19</f>
        <v>0</v>
      </c>
      <c r="B19" s="57">
        <f>'Annual Calculation'!L19</f>
        <v>0</v>
      </c>
      <c r="C19" s="57">
        <f t="shared" si="0"/>
        <v>0</v>
      </c>
      <c r="D19" s="57">
        <f>'Annual Calculation'!BP19</f>
        <v>0</v>
      </c>
      <c r="E19" s="57">
        <f>'Annual Calculation'!BR19</f>
        <v>0</v>
      </c>
    </row>
    <row r="20" spans="1:5" ht="28.5">
      <c r="A20" s="57">
        <f>'Annual Calculation'!B20</f>
        <v>0</v>
      </c>
      <c r="B20" s="57">
        <f>'Annual Calculation'!L20</f>
        <v>0</v>
      </c>
      <c r="C20" s="57">
        <f t="shared" si="0"/>
        <v>0</v>
      </c>
      <c r="D20" s="57">
        <f>'Annual Calculation'!BP20</f>
        <v>0</v>
      </c>
      <c r="E20" s="57">
        <f>'Annual Calculation'!BR20</f>
        <v>0</v>
      </c>
    </row>
    <row r="21" spans="1:5" ht="28.5">
      <c r="A21" s="57">
        <f>'Annual Calculation'!B21</f>
        <v>0</v>
      </c>
      <c r="B21" s="57">
        <f>'Annual Calculation'!L21</f>
        <v>0</v>
      </c>
      <c r="C21" s="57">
        <f t="shared" si="0"/>
        <v>0</v>
      </c>
      <c r="D21" s="57">
        <f>'Annual Calculation'!BP21</f>
        <v>0</v>
      </c>
      <c r="E21" s="57">
        <f>'Annual Calculation'!BR21</f>
        <v>0</v>
      </c>
    </row>
    <row r="22" spans="1:5" ht="28.5">
      <c r="A22" s="57">
        <f>'Annual Calculation'!B22</f>
        <v>0</v>
      </c>
      <c r="B22" s="57">
        <f>'Annual Calculation'!L22</f>
        <v>0</v>
      </c>
      <c r="C22" s="57">
        <f t="shared" si="0"/>
        <v>0</v>
      </c>
      <c r="D22" s="57">
        <f>'Annual Calculation'!BP22</f>
        <v>0</v>
      </c>
      <c r="E22" s="57">
        <f>'Annual Calculation'!BR22</f>
        <v>0</v>
      </c>
    </row>
    <row r="23" spans="1:5" ht="28.5">
      <c r="A23" s="57">
        <f>'Annual Calculation'!B23</f>
        <v>0</v>
      </c>
      <c r="B23" s="57">
        <f>'Annual Calculation'!L23</f>
        <v>0</v>
      </c>
      <c r="C23" s="57">
        <f t="shared" si="0"/>
        <v>0</v>
      </c>
      <c r="D23" s="57">
        <f>'Annual Calculation'!BP23</f>
        <v>0</v>
      </c>
      <c r="E23" s="57">
        <f>'Annual Calculation'!BR23</f>
        <v>0</v>
      </c>
    </row>
    <row r="24" spans="1:5" ht="28.5">
      <c r="A24" s="57">
        <f>'Annual Calculation'!B24</f>
        <v>0</v>
      </c>
      <c r="B24" s="57">
        <f>'Annual Calculation'!L24</f>
        <v>0</v>
      </c>
      <c r="C24" s="57">
        <f t="shared" si="0"/>
        <v>0</v>
      </c>
      <c r="D24" s="57">
        <f>'Annual Calculation'!BP24</f>
        <v>0</v>
      </c>
      <c r="E24" s="57">
        <f>'Annual Calculation'!BR24</f>
        <v>0</v>
      </c>
    </row>
    <row r="25" spans="1:5" ht="28.5">
      <c r="A25" s="57">
        <f>'Annual Calculation'!B25</f>
        <v>0</v>
      </c>
      <c r="B25" s="57">
        <f>'Annual Calculation'!L25</f>
        <v>0</v>
      </c>
      <c r="C25" s="57">
        <f t="shared" si="0"/>
        <v>0</v>
      </c>
      <c r="D25" s="57">
        <f>'Annual Calculation'!BP25</f>
        <v>0</v>
      </c>
      <c r="E25" s="57">
        <f>'Annual Calculation'!BR25</f>
        <v>0</v>
      </c>
    </row>
    <row r="26" spans="1:5" ht="28.5">
      <c r="A26" s="57">
        <f>'Annual Calculation'!B26</f>
        <v>0</v>
      </c>
      <c r="B26" s="57">
        <f>'Annual Calculation'!L26</f>
        <v>0</v>
      </c>
      <c r="C26" s="57">
        <f t="shared" si="0"/>
        <v>0</v>
      </c>
      <c r="D26" s="57">
        <f>'Annual Calculation'!BP26</f>
        <v>0</v>
      </c>
      <c r="E26" s="57">
        <f>'Annual Calculation'!BR26</f>
        <v>0</v>
      </c>
    </row>
    <row r="27" spans="1:5" ht="28.5">
      <c r="A27" s="57">
        <f>'Annual Calculation'!B27</f>
        <v>0</v>
      </c>
      <c r="B27" s="57">
        <f>'Annual Calculation'!L27</f>
        <v>0</v>
      </c>
      <c r="C27" s="57">
        <f t="shared" si="0"/>
        <v>0</v>
      </c>
      <c r="D27" s="57">
        <f>'Annual Calculation'!BP27</f>
        <v>0</v>
      </c>
      <c r="E27" s="57">
        <f>'Annual Calculation'!BR27</f>
        <v>0</v>
      </c>
    </row>
    <row r="28" spans="1:5" ht="28.5">
      <c r="A28" s="57">
        <f>'Annual Calculation'!B28</f>
        <v>0</v>
      </c>
      <c r="B28" s="57">
        <f>'Annual Calculation'!L28</f>
        <v>0</v>
      </c>
      <c r="C28" s="57">
        <f t="shared" si="0"/>
        <v>0</v>
      </c>
      <c r="D28" s="57">
        <f>'Annual Calculation'!BP28</f>
        <v>0</v>
      </c>
      <c r="E28" s="57">
        <f>'Annual Calculation'!BR28</f>
        <v>0</v>
      </c>
    </row>
    <row r="29" spans="1:5" ht="28.5">
      <c r="A29" s="57">
        <f>'Annual Calculation'!B29</f>
        <v>0</v>
      </c>
      <c r="B29" s="57">
        <f>'Annual Calculation'!L29</f>
        <v>0</v>
      </c>
      <c r="C29" s="57">
        <f t="shared" si="0"/>
        <v>0</v>
      </c>
      <c r="D29" s="57">
        <f>'Annual Calculation'!BP29</f>
        <v>0</v>
      </c>
      <c r="E29" s="57">
        <f>'Annual Calculation'!BR29</f>
        <v>0</v>
      </c>
    </row>
    <row r="30" spans="1:5" ht="28.5">
      <c r="A30" s="57">
        <f>'Annual Calculation'!B30</f>
        <v>0</v>
      </c>
      <c r="B30" s="57">
        <f>'Annual Calculation'!L30</f>
        <v>0</v>
      </c>
      <c r="C30" s="57">
        <f t="shared" si="0"/>
        <v>0</v>
      </c>
      <c r="D30" s="57">
        <f>'Annual Calculation'!BP30</f>
        <v>0</v>
      </c>
      <c r="E30" s="57">
        <f>'Annual Calculation'!BR30</f>
        <v>0</v>
      </c>
    </row>
    <row r="31" spans="1:5" ht="28.5">
      <c r="A31" s="57">
        <f>'Annual Calculation'!B31</f>
        <v>0</v>
      </c>
      <c r="B31" s="57">
        <f>'Annual Calculation'!L31</f>
        <v>0</v>
      </c>
      <c r="C31" s="57">
        <f t="shared" si="0"/>
        <v>0</v>
      </c>
      <c r="D31" s="57">
        <f>'Annual Calculation'!BP31</f>
        <v>0</v>
      </c>
      <c r="E31" s="57">
        <f>'Annual Calculation'!BR31</f>
        <v>0</v>
      </c>
    </row>
    <row r="32" spans="1:5" ht="28.5">
      <c r="A32" s="57">
        <f>'Annual Calculation'!B32</f>
        <v>0</v>
      </c>
      <c r="B32" s="57">
        <f>'Annual Calculation'!L32</f>
        <v>0</v>
      </c>
      <c r="C32" s="57">
        <f t="shared" si="0"/>
        <v>0</v>
      </c>
      <c r="D32" s="57">
        <f>'Annual Calculation'!BP32</f>
        <v>0</v>
      </c>
      <c r="E32" s="57">
        <f>'Annual Calculation'!BR32</f>
        <v>0</v>
      </c>
    </row>
    <row r="33" spans="1:5" ht="28.5">
      <c r="A33" s="57">
        <f>'Annual Calculation'!B33</f>
        <v>0</v>
      </c>
      <c r="B33" s="57">
        <f>'Annual Calculation'!L33</f>
        <v>0</v>
      </c>
      <c r="C33" s="57">
        <f t="shared" si="0"/>
        <v>0</v>
      </c>
      <c r="D33" s="57">
        <f>'Annual Calculation'!BP33</f>
        <v>0</v>
      </c>
      <c r="E33" s="57">
        <f>'Annual Calculation'!BR33</f>
        <v>0</v>
      </c>
    </row>
    <row r="34" spans="1:5" ht="28.5">
      <c r="A34" s="57">
        <f>'Annual Calculation'!B34</f>
        <v>0</v>
      </c>
      <c r="B34" s="57">
        <f>'Annual Calculation'!L34</f>
        <v>0</v>
      </c>
      <c r="C34" s="57">
        <f t="shared" si="0"/>
        <v>0</v>
      </c>
      <c r="D34" s="57">
        <f>'Annual Calculation'!BP34</f>
        <v>0</v>
      </c>
      <c r="E34" s="57">
        <f>'Annual Calculation'!BR34</f>
        <v>0</v>
      </c>
    </row>
    <row r="35" spans="1:5" ht="28.5">
      <c r="A35" s="57">
        <f>'Annual Calculation'!B35</f>
        <v>0</v>
      </c>
      <c r="B35" s="57">
        <f>'Annual Calculation'!L35</f>
        <v>0</v>
      </c>
      <c r="C35" s="57">
        <f t="shared" si="0"/>
        <v>0</v>
      </c>
      <c r="D35" s="57">
        <f>'Annual Calculation'!BP35</f>
        <v>0</v>
      </c>
      <c r="E35" s="57">
        <f>'Annual Calculation'!BR35</f>
        <v>0</v>
      </c>
    </row>
    <row r="36" spans="1:5" ht="28.5">
      <c r="A36" s="57">
        <f>'Annual Calculation'!B36</f>
        <v>0</v>
      </c>
      <c r="B36" s="57">
        <f>'Annual Calculation'!L36</f>
        <v>0</v>
      </c>
      <c r="C36" s="57">
        <f t="shared" si="0"/>
        <v>0</v>
      </c>
      <c r="D36" s="57">
        <f>'Annual Calculation'!BP36</f>
        <v>0</v>
      </c>
      <c r="E36" s="57">
        <f>'Annual Calculation'!BR36</f>
        <v>0</v>
      </c>
    </row>
    <row r="37" spans="1:5" ht="28.5">
      <c r="A37" s="57">
        <f>'Annual Calculation'!B37</f>
        <v>0</v>
      </c>
      <c r="B37" s="57">
        <f>'Annual Calculation'!L37</f>
        <v>0</v>
      </c>
      <c r="C37" s="57">
        <f t="shared" si="0"/>
        <v>0</v>
      </c>
      <c r="D37" s="57">
        <f>'Annual Calculation'!BP37</f>
        <v>0</v>
      </c>
      <c r="E37" s="57">
        <f>'Annual Calculation'!BR37</f>
        <v>0</v>
      </c>
    </row>
    <row r="38" spans="1:5" ht="28.5">
      <c r="A38" s="57">
        <f>'Annual Calculation'!B38</f>
        <v>0</v>
      </c>
      <c r="B38" s="57">
        <f>'Annual Calculation'!L38</f>
        <v>0</v>
      </c>
      <c r="C38" s="57">
        <f t="shared" si="0"/>
        <v>0</v>
      </c>
      <c r="D38" s="57">
        <f>'Annual Calculation'!BP38</f>
        <v>0</v>
      </c>
      <c r="E38" s="57">
        <f>'Annual Calculation'!BR38</f>
        <v>0</v>
      </c>
    </row>
    <row r="39" spans="1:5" ht="28.5">
      <c r="A39" s="57">
        <f>'Annual Calculation'!B39</f>
        <v>0</v>
      </c>
      <c r="B39" s="57">
        <f>'Annual Calculation'!L39</f>
        <v>0</v>
      </c>
      <c r="C39" s="57">
        <f t="shared" si="0"/>
        <v>0</v>
      </c>
      <c r="D39" s="57">
        <f>'Annual Calculation'!BP39</f>
        <v>0</v>
      </c>
      <c r="E39" s="57">
        <f>'Annual Calculation'!BR39</f>
        <v>0</v>
      </c>
    </row>
    <row r="40" spans="1:5" ht="28.5">
      <c r="A40" s="57">
        <f>'Annual Calculation'!B40</f>
        <v>0</v>
      </c>
      <c r="B40" s="57">
        <f>'Annual Calculation'!L40</f>
        <v>0</v>
      </c>
      <c r="C40" s="57">
        <f t="shared" si="0"/>
        <v>0</v>
      </c>
      <c r="D40" s="57">
        <f>'Annual Calculation'!BP40</f>
        <v>0</v>
      </c>
      <c r="E40" s="57">
        <f>'Annual Calculation'!BR40</f>
        <v>0</v>
      </c>
    </row>
    <row r="41" spans="1:5" ht="28.5">
      <c r="A41" s="57">
        <f>'Annual Calculation'!B41</f>
        <v>0</v>
      </c>
      <c r="B41" s="57">
        <f>'Annual Calculation'!L41</f>
        <v>0</v>
      </c>
      <c r="C41" s="57">
        <f t="shared" si="0"/>
        <v>0</v>
      </c>
      <c r="D41" s="57">
        <f>'Annual Calculation'!BP41</f>
        <v>0</v>
      </c>
      <c r="E41" s="57">
        <f>'Annual Calculation'!BR41</f>
        <v>0</v>
      </c>
    </row>
    <row r="42" spans="1:5" ht="28.5">
      <c r="A42" s="57">
        <f>'Annual Calculation'!B42</f>
        <v>0</v>
      </c>
      <c r="B42" s="57">
        <f>'Annual Calculation'!L42</f>
        <v>0</v>
      </c>
      <c r="C42" s="57">
        <f t="shared" si="0"/>
        <v>0</v>
      </c>
      <c r="D42" s="57">
        <f>'Annual Calculation'!BP42</f>
        <v>0</v>
      </c>
      <c r="E42" s="57">
        <f>'Annual Calculation'!BR42</f>
        <v>0</v>
      </c>
    </row>
    <row r="43" spans="1:5" ht="28.5">
      <c r="A43" s="57">
        <f>'Annual Calculation'!B43</f>
        <v>0</v>
      </c>
      <c r="B43" s="57">
        <f>'Annual Calculation'!L43</f>
        <v>0</v>
      </c>
      <c r="C43" s="57">
        <f t="shared" si="0"/>
        <v>0</v>
      </c>
      <c r="D43" s="57">
        <f>'Annual Calculation'!BP43</f>
        <v>0</v>
      </c>
      <c r="E43" s="57">
        <f>'Annual Calculation'!BR43</f>
        <v>0</v>
      </c>
    </row>
    <row r="44" spans="1:5" ht="28.5">
      <c r="A44" s="57">
        <f>'Annual Calculation'!B44</f>
        <v>0</v>
      </c>
      <c r="B44" s="57">
        <f>'Annual Calculation'!L44</f>
        <v>0</v>
      </c>
      <c r="C44" s="57">
        <f t="shared" si="0"/>
        <v>0</v>
      </c>
      <c r="D44" s="57">
        <f>'Annual Calculation'!BP44</f>
        <v>0</v>
      </c>
      <c r="E44" s="57">
        <f>'Annual Calculation'!BR44</f>
        <v>0</v>
      </c>
    </row>
    <row r="45" spans="1:5" ht="28.5">
      <c r="A45" s="57">
        <f>'Annual Calculation'!B45</f>
        <v>0</v>
      </c>
      <c r="B45" s="57">
        <f>'Annual Calculation'!L45</f>
        <v>0</v>
      </c>
      <c r="C45" s="57">
        <f t="shared" si="0"/>
        <v>0</v>
      </c>
      <c r="D45" s="57">
        <f>'Annual Calculation'!BP45</f>
        <v>0</v>
      </c>
      <c r="E45" s="57">
        <f>'Annual Calculation'!BR45</f>
        <v>0</v>
      </c>
    </row>
    <row r="46" spans="1:5" ht="28.5">
      <c r="A46" s="57">
        <f>'Annual Calculation'!B46</f>
        <v>0</v>
      </c>
      <c r="B46" s="57">
        <f>'Annual Calculation'!L46</f>
        <v>0</v>
      </c>
      <c r="C46" s="57">
        <f t="shared" si="0"/>
        <v>0</v>
      </c>
      <c r="D46" s="57">
        <f>'Annual Calculation'!BP46</f>
        <v>0</v>
      </c>
      <c r="E46" s="57">
        <f>'Annual Calculation'!BR46</f>
        <v>0</v>
      </c>
    </row>
    <row r="47" spans="1:5" ht="28.5">
      <c r="A47" s="57">
        <f>'Annual Calculation'!B47</f>
        <v>0</v>
      </c>
      <c r="B47" s="57">
        <f>'Annual Calculation'!L47</f>
        <v>0</v>
      </c>
      <c r="C47" s="57">
        <f t="shared" si="0"/>
        <v>0</v>
      </c>
      <c r="D47" s="57">
        <f>'Annual Calculation'!BP47</f>
        <v>0</v>
      </c>
      <c r="E47" s="57">
        <f>'Annual Calculation'!BR47</f>
        <v>0</v>
      </c>
    </row>
    <row r="48" spans="1:5" ht="28.5">
      <c r="A48" s="57">
        <f>'Annual Calculation'!B48</f>
        <v>0</v>
      </c>
      <c r="B48" s="57">
        <f>'Annual Calculation'!L48</f>
        <v>0</v>
      </c>
      <c r="C48" s="57">
        <f t="shared" si="0"/>
        <v>0</v>
      </c>
      <c r="D48" s="57">
        <f>'Annual Calculation'!BP48</f>
        <v>0</v>
      </c>
      <c r="E48" s="57">
        <f>'Annual Calculation'!BR48</f>
        <v>0</v>
      </c>
    </row>
    <row r="49" spans="1:5" ht="28.5">
      <c r="A49" s="57">
        <f>'Annual Calculation'!B49</f>
        <v>0</v>
      </c>
      <c r="B49" s="57">
        <f>'Annual Calculation'!L49</f>
        <v>0</v>
      </c>
      <c r="C49" s="57">
        <f t="shared" si="0"/>
        <v>0</v>
      </c>
      <c r="D49" s="57">
        <f>'Annual Calculation'!BP49</f>
        <v>0</v>
      </c>
      <c r="E49" s="57">
        <f>'Annual Calculation'!BR49</f>
        <v>0</v>
      </c>
    </row>
    <row r="50" spans="1:5" ht="28.5">
      <c r="A50" s="57">
        <f>'Annual Calculation'!B50</f>
        <v>0</v>
      </c>
      <c r="B50" s="57">
        <f>'Annual Calculation'!L50</f>
        <v>0</v>
      </c>
      <c r="C50" s="57">
        <f t="shared" si="0"/>
        <v>0</v>
      </c>
      <c r="D50" s="57">
        <f>'Annual Calculation'!BP50</f>
        <v>0</v>
      </c>
      <c r="E50" s="57">
        <f>'Annual Calculation'!BR50</f>
        <v>0</v>
      </c>
    </row>
    <row r="51" spans="1:5" ht="28.5">
      <c r="A51" s="57">
        <f>'Annual Calculation'!B51</f>
        <v>0</v>
      </c>
      <c r="B51" s="57">
        <f>'Annual Calculation'!L51</f>
        <v>0</v>
      </c>
      <c r="C51" s="57">
        <f t="shared" si="0"/>
        <v>0</v>
      </c>
      <c r="D51" s="57">
        <f>'Annual Calculation'!BP51</f>
        <v>0</v>
      </c>
      <c r="E51" s="57">
        <f>'Annual Calculation'!BR51</f>
        <v>0</v>
      </c>
    </row>
    <row r="52" spans="1:5" ht="28.5">
      <c r="A52" s="57">
        <f>'Annual Calculation'!B52</f>
        <v>0</v>
      </c>
      <c r="B52" s="57">
        <f>'Annual Calculation'!L52</f>
        <v>0</v>
      </c>
      <c r="C52" s="57">
        <f t="shared" si="0"/>
        <v>0</v>
      </c>
      <c r="D52" s="57">
        <f>'Annual Calculation'!BP52</f>
        <v>0</v>
      </c>
      <c r="E52" s="57">
        <f>'Annual Calculation'!BR52</f>
        <v>0</v>
      </c>
    </row>
    <row r="53" spans="1:5" ht="28.5">
      <c r="A53" s="57">
        <f>'Annual Calculation'!B53</f>
        <v>0</v>
      </c>
      <c r="B53" s="57">
        <f>'Annual Calculation'!L53</f>
        <v>0</v>
      </c>
      <c r="C53" s="57">
        <f t="shared" si="0"/>
        <v>0</v>
      </c>
      <c r="D53" s="57">
        <f>'Annual Calculation'!BP53</f>
        <v>0</v>
      </c>
      <c r="E53" s="57">
        <f>'Annual Calculation'!BR53</f>
        <v>0</v>
      </c>
    </row>
    <row r="54" spans="1:5" ht="28.5">
      <c r="A54" s="57">
        <f>'Annual Calculation'!B54</f>
        <v>0</v>
      </c>
      <c r="B54" s="57">
        <f>'Annual Calculation'!L54</f>
        <v>0</v>
      </c>
      <c r="C54" s="57">
        <f t="shared" si="0"/>
        <v>0</v>
      </c>
      <c r="D54" s="57">
        <f>'Annual Calculation'!BP54</f>
        <v>0</v>
      </c>
      <c r="E54" s="57">
        <f>'Annual Calculation'!BR54</f>
        <v>0</v>
      </c>
    </row>
    <row r="55" spans="1:5" ht="28.5">
      <c r="A55" s="57">
        <f>'Annual Calculation'!B55</f>
        <v>0</v>
      </c>
      <c r="B55" s="57">
        <f>'Annual Calculation'!L55</f>
        <v>0</v>
      </c>
      <c r="C55" s="57">
        <f t="shared" si="0"/>
        <v>0</v>
      </c>
      <c r="D55" s="57">
        <f>'Annual Calculation'!BP55</f>
        <v>0</v>
      </c>
      <c r="E55" s="57">
        <f>'Annual Calculation'!BR55</f>
        <v>0</v>
      </c>
    </row>
    <row r="56" spans="1:5" ht="28.5">
      <c r="A56" s="57">
        <f>'Annual Calculation'!B56</f>
        <v>0</v>
      </c>
      <c r="B56" s="57">
        <f>'Annual Calculation'!L56</f>
        <v>0</v>
      </c>
      <c r="C56" s="57">
        <f t="shared" si="0"/>
        <v>0</v>
      </c>
      <c r="D56" s="57">
        <f>'Annual Calculation'!BP56</f>
        <v>0</v>
      </c>
      <c r="E56" s="57">
        <f>'Annual Calculation'!BR56</f>
        <v>0</v>
      </c>
    </row>
    <row r="57" spans="1:5" ht="28.5">
      <c r="A57" s="57">
        <f>'Annual Calculation'!B57</f>
        <v>0</v>
      </c>
      <c r="B57" s="57">
        <f>'Annual Calculation'!L57</f>
        <v>0</v>
      </c>
      <c r="C57" s="57">
        <f t="shared" si="0"/>
        <v>0</v>
      </c>
      <c r="D57" s="57">
        <f>'Annual Calculation'!BP57</f>
        <v>0</v>
      </c>
      <c r="E57" s="57">
        <f>'Annual Calculation'!BR57</f>
        <v>0</v>
      </c>
    </row>
    <row r="58" spans="1:5" ht="28.5">
      <c r="A58" s="57">
        <f>'Annual Calculation'!B58</f>
        <v>0</v>
      </c>
      <c r="B58" s="57">
        <f>'Annual Calculation'!L58</f>
        <v>0</v>
      </c>
      <c r="C58" s="57">
        <f t="shared" si="0"/>
        <v>0</v>
      </c>
      <c r="D58" s="57">
        <f>'Annual Calculation'!BP58</f>
        <v>0</v>
      </c>
      <c r="E58" s="57">
        <f>'Annual Calculation'!BR58</f>
        <v>0</v>
      </c>
    </row>
    <row r="59" spans="1:5" ht="28.5">
      <c r="A59" s="57">
        <f>'Annual Calculation'!B59</f>
        <v>0</v>
      </c>
      <c r="B59" s="57">
        <f>'Annual Calculation'!L59</f>
        <v>0</v>
      </c>
      <c r="C59" s="57">
        <f t="shared" si="0"/>
        <v>0</v>
      </c>
      <c r="D59" s="57">
        <f>'Annual Calculation'!BP59</f>
        <v>0</v>
      </c>
      <c r="E59" s="57">
        <f>'Annual Calculation'!BR59</f>
        <v>0</v>
      </c>
    </row>
    <row r="60" spans="1:5" ht="28.5">
      <c r="A60" s="57">
        <f>'Annual Calculation'!B60</f>
        <v>0</v>
      </c>
      <c r="B60" s="57">
        <f>'Annual Calculation'!L60</f>
        <v>0</v>
      </c>
      <c r="C60" s="57">
        <f t="shared" si="0"/>
        <v>0</v>
      </c>
      <c r="D60" s="57">
        <f>'Annual Calculation'!BP60</f>
        <v>0</v>
      </c>
      <c r="E60" s="57">
        <f>'Annual Calculation'!BR60</f>
        <v>0</v>
      </c>
    </row>
    <row r="61" spans="1:5" ht="28.5">
      <c r="A61" s="57">
        <f>'Annual Calculation'!B61</f>
        <v>0</v>
      </c>
      <c r="B61" s="57">
        <f>'Annual Calculation'!L61</f>
        <v>0</v>
      </c>
      <c r="C61" s="57">
        <f t="shared" si="0"/>
        <v>0</v>
      </c>
      <c r="D61" s="57">
        <f>'Annual Calculation'!BP61</f>
        <v>0</v>
      </c>
      <c r="E61" s="57">
        <f>'Annual Calculation'!BR61</f>
        <v>0</v>
      </c>
    </row>
    <row r="62" spans="1:5" ht="28.5">
      <c r="A62" s="57">
        <f>'Annual Calculation'!B62</f>
        <v>0</v>
      </c>
      <c r="B62" s="57">
        <f>'Annual Calculation'!L62</f>
        <v>0</v>
      </c>
      <c r="C62" s="57">
        <f t="shared" si="0"/>
        <v>0</v>
      </c>
      <c r="D62" s="57">
        <f>'Annual Calculation'!BP62</f>
        <v>0</v>
      </c>
      <c r="E62" s="57">
        <f>'Annual Calculation'!BR62</f>
        <v>0</v>
      </c>
    </row>
    <row r="63" spans="1:5" ht="28.5">
      <c r="A63" s="57">
        <f>'Annual Calculation'!B63</f>
        <v>0</v>
      </c>
      <c r="B63" s="57">
        <f>'Annual Calculation'!L63</f>
        <v>0</v>
      </c>
      <c r="C63" s="57">
        <f t="shared" si="0"/>
        <v>0</v>
      </c>
      <c r="D63" s="57">
        <f>'Annual Calculation'!BP63</f>
        <v>0</v>
      </c>
      <c r="E63" s="57">
        <f>'Annual Calculation'!BR63</f>
        <v>0</v>
      </c>
    </row>
    <row r="64" spans="1:5" ht="28.5">
      <c r="A64" s="57">
        <f>'Annual Calculation'!B64</f>
        <v>0</v>
      </c>
      <c r="B64" s="57">
        <f>'Annual Calculation'!L64</f>
        <v>0</v>
      </c>
      <c r="C64" s="57">
        <f t="shared" si="0"/>
        <v>0</v>
      </c>
      <c r="D64" s="57">
        <f>'Annual Calculation'!BP64</f>
        <v>0</v>
      </c>
      <c r="E64" s="57">
        <f>'Annual Calculation'!BR64</f>
        <v>0</v>
      </c>
    </row>
    <row r="65" spans="1:5" ht="28.5">
      <c r="A65" s="57">
        <f>'Annual Calculation'!B65</f>
        <v>0</v>
      </c>
      <c r="B65" s="57">
        <f>'Annual Calculation'!L65</f>
        <v>0</v>
      </c>
      <c r="C65" s="57">
        <f t="shared" si="0"/>
        <v>0</v>
      </c>
      <c r="D65" s="57">
        <f>'Annual Calculation'!BP65</f>
        <v>0</v>
      </c>
      <c r="E65" s="57">
        <f>'Annual Calculation'!BR65</f>
        <v>0</v>
      </c>
    </row>
    <row r="66" spans="1:5" ht="28.5">
      <c r="A66" s="57">
        <f>'Annual Calculation'!B66</f>
        <v>0</v>
      </c>
      <c r="B66" s="57">
        <f>'Annual Calculation'!L66</f>
        <v>0</v>
      </c>
      <c r="C66" s="57">
        <f t="shared" si="0"/>
        <v>0</v>
      </c>
      <c r="D66" s="57">
        <f>'Annual Calculation'!BP66</f>
        <v>0</v>
      </c>
      <c r="E66" s="57">
        <f>'Annual Calculation'!BR66</f>
        <v>0</v>
      </c>
    </row>
    <row r="67" spans="1:5" ht="28.5">
      <c r="A67" s="57">
        <f>'Annual Calculation'!B67</f>
        <v>0</v>
      </c>
      <c r="B67" s="57">
        <f>'Annual Calculation'!L67</f>
        <v>0</v>
      </c>
      <c r="C67" s="57">
        <f>B67-D67-E67</f>
        <v>0</v>
      </c>
      <c r="D67" s="57">
        <f>'Annual Calculation'!BP67</f>
        <v>0</v>
      </c>
      <c r="E67" s="57">
        <f>'Annual Calculation'!BR67</f>
        <v>0</v>
      </c>
    </row>
    <row r="68" spans="1:5" ht="28.5">
      <c r="A68" s="57">
        <f>'Annual Calculation'!B68</f>
        <v>0</v>
      </c>
      <c r="B68" s="57">
        <f>'Annual Calculation'!L68</f>
        <v>0</v>
      </c>
      <c r="C68" s="57">
        <f>B68-D68-E68</f>
        <v>0</v>
      </c>
      <c r="D68" s="57">
        <f>'Annual Calculation'!BP68</f>
        <v>0</v>
      </c>
      <c r="E68" s="57">
        <f>'Annual Calculation'!BR68</f>
        <v>0</v>
      </c>
    </row>
    <row r="69" spans="1:5" ht="28.5">
      <c r="A69" s="57">
        <f>'Annual Calculation'!B69</f>
        <v>0</v>
      </c>
      <c r="B69" s="57">
        <f>'Annual Calculation'!L69</f>
        <v>0</v>
      </c>
      <c r="C69" s="57">
        <f>B69-D69-E69</f>
        <v>0</v>
      </c>
      <c r="D69" s="57">
        <f>'Annual Calculation'!BP69</f>
        <v>0</v>
      </c>
      <c r="E69" s="57">
        <f>'Annual Calculation'!BR69</f>
        <v>0</v>
      </c>
    </row>
    <row r="70" spans="1:5" ht="28.5">
      <c r="A70" s="57">
        <f>'Annual Calculation'!B70</f>
        <v>0</v>
      </c>
      <c r="B70" s="57">
        <f>'Annual Calculation'!L70</f>
        <v>0</v>
      </c>
      <c r="C70" s="57">
        <f>B70-D70-E70</f>
        <v>0</v>
      </c>
      <c r="D70" s="57">
        <f>'Annual Calculation'!BP70</f>
        <v>0</v>
      </c>
      <c r="E70" s="57">
        <f>'Annual Calculation'!BR70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66"/>
  </sheetPr>
  <dimension ref="B1:Q41"/>
  <sheetViews>
    <sheetView zoomScaleNormal="100" workbookViewId="0">
      <selection activeCell="G33" sqref="G33"/>
    </sheetView>
  </sheetViews>
  <sheetFormatPr defaultRowHeight="12.75"/>
  <cols>
    <col min="1" max="1" width="32.5703125" style="322" customWidth="1"/>
    <col min="2" max="2" width="4.85546875" style="322" customWidth="1"/>
    <col min="3" max="3" width="11.42578125" style="322" customWidth="1"/>
    <col min="4" max="4" width="3.7109375" style="323" customWidth="1"/>
    <col min="5" max="5" width="3.5703125" style="322" customWidth="1"/>
    <col min="6" max="6" width="36" style="322" customWidth="1"/>
    <col min="7" max="7" width="27" style="322" customWidth="1"/>
    <col min="8" max="8" width="3.5703125" style="322" customWidth="1"/>
    <col min="9" max="9" width="3.7109375" style="322" customWidth="1"/>
    <col min="10" max="10" width="25.28515625" style="322" customWidth="1"/>
    <col min="11" max="12" width="9.140625" style="322"/>
    <col min="13" max="13" width="9.140625" style="322" customWidth="1"/>
    <col min="14" max="14" width="13.140625" style="322" customWidth="1"/>
    <col min="15" max="16" width="9.140625" style="322" customWidth="1"/>
    <col min="17" max="17" width="35.5703125" style="325" customWidth="1"/>
    <col min="18" max="16384" width="9.140625" style="322"/>
  </cols>
  <sheetData>
    <row r="1" spans="2:17">
      <c r="M1" s="324" t="s">
        <v>121</v>
      </c>
      <c r="N1" s="324" t="s">
        <v>260</v>
      </c>
      <c r="Q1" s="325" t="s">
        <v>261</v>
      </c>
    </row>
    <row r="2" spans="2:17">
      <c r="D2" s="326"/>
      <c r="M2" s="324" t="s">
        <v>213</v>
      </c>
      <c r="N2" s="324" t="s">
        <v>262</v>
      </c>
      <c r="Q2" s="325" t="s">
        <v>263</v>
      </c>
    </row>
    <row r="3" spans="2:17" ht="13.5" thickBot="1">
      <c r="N3" s="324" t="s">
        <v>264</v>
      </c>
      <c r="Q3" s="325" t="s">
        <v>265</v>
      </c>
    </row>
    <row r="4" spans="2:17" ht="12.75" customHeight="1">
      <c r="B4" s="327"/>
      <c r="C4" s="426" t="s">
        <v>270</v>
      </c>
      <c r="D4" s="427"/>
      <c r="E4" s="427"/>
      <c r="F4" s="427"/>
      <c r="G4" s="427"/>
      <c r="H4" s="427"/>
      <c r="I4" s="427"/>
      <c r="J4" s="428"/>
      <c r="N4" s="324" t="s">
        <v>266</v>
      </c>
      <c r="Q4" s="325" t="s">
        <v>267</v>
      </c>
    </row>
    <row r="5" spans="2:17" ht="12.75" customHeight="1">
      <c r="B5" s="327"/>
      <c r="C5" s="429"/>
      <c r="D5" s="430"/>
      <c r="E5" s="430"/>
      <c r="F5" s="430"/>
      <c r="G5" s="430"/>
      <c r="H5" s="430"/>
      <c r="I5" s="430"/>
      <c r="J5" s="431"/>
      <c r="N5" s="324" t="s">
        <v>268</v>
      </c>
      <c r="Q5" s="325" t="s">
        <v>257</v>
      </c>
    </row>
    <row r="6" spans="2:17" ht="13.5" customHeight="1" thickBot="1">
      <c r="B6" s="327"/>
      <c r="C6" s="432"/>
      <c r="D6" s="433"/>
      <c r="E6" s="433"/>
      <c r="F6" s="433"/>
      <c r="G6" s="433"/>
      <c r="H6" s="433"/>
      <c r="I6" s="433"/>
      <c r="J6" s="434"/>
      <c r="Q6" s="325" t="s">
        <v>269</v>
      </c>
    </row>
    <row r="7" spans="2:17">
      <c r="B7" s="327"/>
      <c r="Q7" s="325" t="s">
        <v>288</v>
      </c>
    </row>
    <row r="8" spans="2:17">
      <c r="D8" s="326"/>
      <c r="Q8" s="325" t="s">
        <v>295</v>
      </c>
    </row>
    <row r="9" spans="2:17">
      <c r="D9" s="326"/>
    </row>
    <row r="10" spans="2:17">
      <c r="D10" s="438"/>
      <c r="E10" s="435"/>
      <c r="F10" s="435"/>
      <c r="G10" s="435"/>
      <c r="H10" s="435"/>
      <c r="I10" s="437"/>
      <c r="Q10" s="325" t="s">
        <v>169</v>
      </c>
    </row>
    <row r="11" spans="2:17" ht="13.5" thickBot="1">
      <c r="D11" s="438"/>
      <c r="E11" s="436"/>
      <c r="F11" s="328"/>
      <c r="G11" s="328"/>
      <c r="H11" s="436"/>
      <c r="I11" s="437"/>
      <c r="Q11" s="325" t="s">
        <v>166</v>
      </c>
    </row>
    <row r="12" spans="2:17" ht="13.5" thickBot="1">
      <c r="D12" s="438"/>
      <c r="E12" s="436"/>
      <c r="F12" s="329" t="s">
        <v>255</v>
      </c>
      <c r="G12" s="330" t="s">
        <v>213</v>
      </c>
      <c r="H12" s="436"/>
      <c r="I12" s="437"/>
      <c r="Q12" s="325" t="s">
        <v>150</v>
      </c>
    </row>
    <row r="13" spans="2:17" ht="13.5" thickBot="1">
      <c r="D13" s="438"/>
      <c r="E13" s="436"/>
      <c r="F13" s="331"/>
      <c r="G13" s="332"/>
      <c r="H13" s="436"/>
      <c r="I13" s="437"/>
      <c r="Q13" s="325" t="s">
        <v>186</v>
      </c>
    </row>
    <row r="14" spans="2:17" ht="13.5" thickBot="1">
      <c r="D14" s="438"/>
      <c r="E14" s="436"/>
      <c r="F14" s="333" t="s">
        <v>256</v>
      </c>
      <c r="G14" s="334" t="s">
        <v>295</v>
      </c>
      <c r="H14" s="436"/>
      <c r="I14" s="437"/>
      <c r="Q14" s="325" t="s">
        <v>170</v>
      </c>
    </row>
    <row r="15" spans="2:17" ht="13.5" thickBot="1">
      <c r="D15" s="438"/>
      <c r="E15" s="436"/>
      <c r="F15" s="331"/>
      <c r="G15" s="331"/>
      <c r="H15" s="436"/>
      <c r="I15" s="437"/>
      <c r="Q15" s="325" t="s">
        <v>171</v>
      </c>
    </row>
    <row r="16" spans="2:17" ht="27.75" customHeight="1" thickBot="1">
      <c r="D16" s="438"/>
      <c r="E16" s="436"/>
      <c r="F16" s="336" t="s">
        <v>258</v>
      </c>
      <c r="G16" s="337" t="s">
        <v>150</v>
      </c>
      <c r="H16" s="436"/>
      <c r="I16" s="437"/>
      <c r="Q16" s="325" t="s">
        <v>120</v>
      </c>
    </row>
    <row r="17" spans="4:14" ht="13.5" thickBot="1">
      <c r="D17" s="438"/>
      <c r="E17" s="436"/>
      <c r="F17" s="338"/>
      <c r="G17" s="331" t="str">
        <f>IF(AND(Change="yes",ChangeType="Rider Inclusion/Exclusion",RiderType="WOP"),IF(WOP="Yes","Exclusion","Inclusion"),"")</f>
        <v/>
      </c>
      <c r="H17" s="436"/>
      <c r="I17" s="437"/>
    </row>
    <row r="18" spans="4:14" ht="13.5" thickBot="1">
      <c r="D18" s="438"/>
      <c r="E18" s="436"/>
      <c r="F18" s="329" t="str">
        <f>IF(ChangeType = "Change Death Capital", "New Death Capital", IF(ChangeType = "Change Premium", "New Premium Rate", IF(ChangeType = "Change Risk Loading", "New Medical Risk Loading Percentage", IF(ChangeType = "Change Contract Duration", "New Insurance Period in Years",IF(ChangeType = "Change Job Class", "New Occupational Class", IF(RiderType = "Accident Death","New Accident Death Factor",IF(RiderType = "Dread Disease", "New Dread Disease Factor", IF(RiderType = "Cancer", "New Cancer Factor", IF(RiderType = "Accident Disability", "New Accident Disability Factor", IF(RiderType = "Accident Medical Cost", "New Accident Medical Cost Factor", IF(RiderType = "Disability Annuity", "New Annuity Factor", N22)))))))))))</f>
        <v>Includes WOP</v>
      </c>
      <c r="G18" s="334">
        <v>3</v>
      </c>
      <c r="H18" s="436"/>
      <c r="I18" s="437"/>
    </row>
    <row r="19" spans="4:14" ht="13.5" thickBot="1">
      <c r="D19" s="438"/>
      <c r="E19" s="436"/>
      <c r="F19" s="339"/>
      <c r="G19" s="339"/>
      <c r="H19" s="436"/>
      <c r="I19" s="437"/>
    </row>
    <row r="20" spans="4:14" ht="13.5" thickBot="1">
      <c r="D20" s="438"/>
      <c r="E20" s="436"/>
      <c r="F20" s="329" t="s">
        <v>259</v>
      </c>
      <c r="G20" s="334">
        <v>3</v>
      </c>
      <c r="H20" s="436"/>
      <c r="I20" s="437"/>
    </row>
    <row r="21" spans="4:14" ht="13.5" thickBot="1">
      <c r="D21" s="438"/>
      <c r="E21" s="436"/>
      <c r="F21" s="331"/>
      <c r="G21" s="331"/>
      <c r="H21" s="436"/>
      <c r="I21" s="437"/>
    </row>
    <row r="22" spans="4:14" ht="13.5" thickBot="1">
      <c r="D22" s="438"/>
      <c r="E22" s="338"/>
      <c r="F22" s="329" t="s">
        <v>289</v>
      </c>
      <c r="G22" s="342">
        <v>10</v>
      </c>
      <c r="H22" s="338"/>
      <c r="I22" s="437"/>
      <c r="N22" s="335" t="str">
        <f>IF(WOP = "Yes", "Includes WOP", "Does not have WOP")</f>
        <v>Includes WOP</v>
      </c>
    </row>
    <row r="23" spans="4:14" ht="13.5" thickBot="1">
      <c r="D23" s="438"/>
      <c r="E23" s="338"/>
      <c r="F23" s="338"/>
      <c r="G23" s="338"/>
      <c r="H23" s="338"/>
      <c r="I23" s="437"/>
    </row>
    <row r="24" spans="4:14" ht="13.5" thickBot="1">
      <c r="D24" s="438"/>
      <c r="E24" s="338"/>
      <c r="F24" s="329" t="s">
        <v>290</v>
      </c>
      <c r="G24" s="342">
        <v>20</v>
      </c>
      <c r="H24" s="338"/>
      <c r="I24" s="437"/>
    </row>
    <row r="25" spans="4:14" ht="13.5" thickBot="1">
      <c r="D25" s="438"/>
      <c r="E25" s="338"/>
      <c r="F25" s="338"/>
      <c r="G25" s="338"/>
      <c r="H25" s="338"/>
      <c r="I25" s="437"/>
    </row>
    <row r="26" spans="4:14" ht="13.5" thickBot="1">
      <c r="D26" s="438"/>
      <c r="E26" s="338"/>
      <c r="F26" s="329" t="s">
        <v>296</v>
      </c>
      <c r="G26" s="334" t="s">
        <v>302</v>
      </c>
      <c r="H26" s="338"/>
      <c r="I26" s="437"/>
    </row>
    <row r="27" spans="4:14">
      <c r="D27" s="438"/>
      <c r="E27" s="338"/>
      <c r="F27" s="338"/>
      <c r="G27" s="338"/>
      <c r="H27" s="338"/>
      <c r="I27" s="437"/>
    </row>
    <row r="28" spans="4:14">
      <c r="D28" s="438"/>
      <c r="E28" s="435"/>
      <c r="F28" s="435"/>
      <c r="G28" s="435"/>
      <c r="H28" s="435"/>
      <c r="I28" s="437"/>
    </row>
    <row r="29" spans="4:14">
      <c r="D29" s="326"/>
    </row>
    <row r="30" spans="4:14" ht="13.5" thickBot="1">
      <c r="D30" s="326"/>
      <c r="E30" s="328"/>
      <c r="F30" s="328"/>
      <c r="G30" s="328"/>
      <c r="H30" s="328"/>
    </row>
    <row r="31" spans="4:14" ht="13.5" thickBot="1">
      <c r="D31" s="326"/>
      <c r="E31" s="328"/>
      <c r="F31" s="329" t="s">
        <v>299</v>
      </c>
      <c r="G31" s="330">
        <v>5</v>
      </c>
      <c r="H31" s="328"/>
    </row>
    <row r="32" spans="4:14" ht="13.5" thickBot="1">
      <c r="D32" s="326"/>
      <c r="E32" s="328"/>
      <c r="F32" s="328"/>
      <c r="G32" s="328"/>
      <c r="H32" s="328"/>
    </row>
    <row r="33" spans="4:8" ht="27.75" customHeight="1" thickBot="1">
      <c r="D33" s="326"/>
      <c r="E33" s="328"/>
      <c r="F33" s="329" t="s">
        <v>297</v>
      </c>
      <c r="G33" s="343">
        <f>LOOKUP(Annulment - 1,'Paid-up Penalty'!A2:A107,'Paid-up Penalty'!CD2:CD107) - LOOKUP(Annulment - 1,'Paid-up Penalty'!A2:A107,'Paid-up Penalty'!CE2:CE107)</f>
        <v>0</v>
      </c>
      <c r="H33" s="328"/>
    </row>
    <row r="34" spans="4:8" ht="13.5" thickBot="1">
      <c r="D34" s="326"/>
      <c r="E34" s="328"/>
      <c r="F34" s="328"/>
      <c r="G34" s="328"/>
      <c r="H34" s="328"/>
    </row>
    <row r="35" spans="4:8" ht="27.75" customHeight="1" thickBot="1">
      <c r="D35" s="326"/>
      <c r="E35" s="328"/>
      <c r="F35" s="329" t="s">
        <v>298</v>
      </c>
      <c r="G35" s="343">
        <f>(LOOKUP(ValidityYear,'Paid-up Penalty'!A2:A107,'Paid-up Penalty'!L2:L107) * 1.08) + G33</f>
        <v>155520000</v>
      </c>
      <c r="H35" s="328"/>
    </row>
    <row r="36" spans="4:8">
      <c r="D36" s="326"/>
      <c r="E36" s="328"/>
      <c r="F36" s="328"/>
      <c r="G36" s="328"/>
      <c r="H36" s="328"/>
    </row>
    <row r="37" spans="4:8">
      <c r="D37" s="326"/>
      <c r="E37" s="326"/>
    </row>
    <row r="38" spans="4:8">
      <c r="D38" s="326"/>
      <c r="E38" s="326"/>
    </row>
    <row r="39" spans="4:8">
      <c r="D39" s="326"/>
      <c r="E39" s="326"/>
    </row>
    <row r="40" spans="4:8">
      <c r="E40" s="326"/>
    </row>
    <row r="41" spans="4:8">
      <c r="E41" s="326"/>
    </row>
  </sheetData>
  <mergeCells count="7">
    <mergeCell ref="C4:J6"/>
    <mergeCell ref="E10:H10"/>
    <mergeCell ref="E11:E21"/>
    <mergeCell ref="H11:H21"/>
    <mergeCell ref="I10:I28"/>
    <mergeCell ref="D10:D28"/>
    <mergeCell ref="E28:H28"/>
  </mergeCells>
  <conditionalFormatting sqref="F16:G16">
    <cfRule type="expression" dxfId="257" priority="13">
      <formula>$G$14&lt;&gt;"Rider Inclusion/Exclusion"</formula>
    </cfRule>
  </conditionalFormatting>
  <conditionalFormatting sqref="F18:G18">
    <cfRule type="expression" dxfId="256" priority="12">
      <formula>AND($G$16="WOP",$G$14="Rider Inclusion/Exclusion")</formula>
    </cfRule>
  </conditionalFormatting>
  <conditionalFormatting sqref="G17">
    <cfRule type="expression" dxfId="255" priority="11">
      <formula>$G$17&lt;&gt;""</formula>
    </cfRule>
  </conditionalFormatting>
  <conditionalFormatting sqref="F22">
    <cfRule type="expression" dxfId="254" priority="10">
      <formula>AND($G$16="WOP",$G$14="Rider Inclusion/Exclusion")</formula>
    </cfRule>
  </conditionalFormatting>
  <conditionalFormatting sqref="F24">
    <cfRule type="expression" dxfId="253" priority="9">
      <formula>AND($G$16="WOP",$G$14="Rider Inclusion/Exclusion")</formula>
    </cfRule>
  </conditionalFormatting>
  <conditionalFormatting sqref="F18:G18">
    <cfRule type="expression" dxfId="252" priority="8">
      <formula>$G$14="Change Value Adjustment"</formula>
    </cfRule>
  </conditionalFormatting>
  <conditionalFormatting sqref="F22:G22 F24:G24">
    <cfRule type="expression" dxfId="251" priority="7">
      <formula>$G$14&lt;&gt;"Change Value Adjustment"</formula>
    </cfRule>
  </conditionalFormatting>
  <conditionalFormatting sqref="F26:G26">
    <cfRule type="expression" dxfId="250" priority="6">
      <formula>$G$14&lt;&gt;"Paid-Up"</formula>
    </cfRule>
  </conditionalFormatting>
  <conditionalFormatting sqref="F18:G18">
    <cfRule type="expression" dxfId="249" priority="5">
      <formula>$G$14="Paid-Up"</formula>
    </cfRule>
  </conditionalFormatting>
  <conditionalFormatting sqref="F31">
    <cfRule type="expression" dxfId="248" priority="4">
      <formula>$G$14&lt;&gt;"Paid-Up"</formula>
    </cfRule>
  </conditionalFormatting>
  <conditionalFormatting sqref="F33">
    <cfRule type="expression" dxfId="247" priority="3">
      <formula>$G$14&lt;&gt;"Paid-Up"</formula>
    </cfRule>
  </conditionalFormatting>
  <conditionalFormatting sqref="F35">
    <cfRule type="expression" dxfId="246" priority="2">
      <formula>$G$14&lt;&gt;"Paid-Up"</formula>
    </cfRule>
  </conditionalFormatting>
  <conditionalFormatting sqref="E30:H36">
    <cfRule type="expression" dxfId="245" priority="1">
      <formula>$G$14&lt;&gt;"Paid-Up"</formula>
    </cfRule>
  </conditionalFormatting>
  <dataValidations count="6">
    <dataValidation type="list" allowBlank="1" showInputMessage="1" showErrorMessage="1" sqref="G16">
      <formula1>$Q$10:$Q$16</formula1>
    </dataValidation>
    <dataValidation type="list" allowBlank="1" showInputMessage="1" showErrorMessage="1" sqref="G14">
      <formula1>$Q$1:$Q$8</formula1>
    </dataValidation>
    <dataValidation type="list" showInputMessage="1" showErrorMessage="1" sqref="G12">
      <formula1>$M$1:$M$2</formula1>
    </dataValidation>
    <dataValidation type="decimal" allowBlank="1" showInputMessage="1" showErrorMessage="1" sqref="G24">
      <formula1>0</formula1>
      <formula2>20</formula2>
    </dataValidation>
    <dataValidation type="decimal" operator="lessThanOrEqual" allowBlank="1" showInputMessage="1" showErrorMessage="1" sqref="G22">
      <formula1>G24</formula1>
    </dataValidation>
    <dataValidation type="list" allowBlank="1" showInputMessage="1" showErrorMessage="1" sqref="G26">
      <formula1>"Paid-up with no coverage,Paid-up with main coverage,Paid-up with all coverages"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whole" showInputMessage="1" showErrorMessage="1">
          <x14:formula1>
            <xm:f>2</xm:f>
          </x14:formula1>
          <x14:formula2>
            <xm:f>'Application Annually'!C5</xm:f>
          </x14:formula2>
          <xm:sqref>G20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5E040"/>
  </sheetPr>
  <dimension ref="A1:CL950"/>
  <sheetViews>
    <sheetView topLeftCell="W1" zoomScale="85" zoomScaleNormal="85" workbookViewId="0">
      <selection activeCell="W1" sqref="W1"/>
    </sheetView>
  </sheetViews>
  <sheetFormatPr defaultColWidth="9" defaultRowHeight="18.75"/>
  <cols>
    <col min="1" max="1" width="9" style="24"/>
    <col min="2" max="2" width="13.85546875" style="24" bestFit="1" customWidth="1"/>
    <col min="3" max="3" width="7.28515625" style="24" customWidth="1"/>
    <col min="4" max="4" width="9.5703125" style="24" customWidth="1"/>
    <col min="5" max="5" width="11.140625" style="24" customWidth="1"/>
    <col min="6" max="6" width="14.28515625" style="25" hidden="1" customWidth="1"/>
    <col min="7" max="9" width="14.42578125" style="25" bestFit="1" customWidth="1"/>
    <col min="10" max="10" width="14.140625" style="25" bestFit="1" customWidth="1"/>
    <col min="11" max="11" width="15.85546875" style="25" bestFit="1" customWidth="1"/>
    <col min="12" max="12" width="14.42578125" style="25" bestFit="1" customWidth="1"/>
    <col min="13" max="13" width="18" style="25" bestFit="1" customWidth="1"/>
    <col min="14" max="14" width="19" style="25" bestFit="1" customWidth="1"/>
    <col min="15" max="15" width="17.28515625" style="25" bestFit="1" customWidth="1"/>
    <col min="16" max="16" width="15.5703125" style="25" customWidth="1"/>
    <col min="17" max="17" width="20" style="24" customWidth="1"/>
    <col min="18" max="18" width="27.42578125" style="24" customWidth="1"/>
    <col min="19" max="19" width="23.7109375" style="24" customWidth="1"/>
    <col min="20" max="20" width="20.5703125" style="24" customWidth="1"/>
    <col min="21" max="21" width="18.42578125" style="27" customWidth="1"/>
    <col min="22" max="22" width="17.28515625" style="27" customWidth="1"/>
    <col min="23" max="23" width="23.42578125" style="24" customWidth="1"/>
    <col min="24" max="24" width="10.28515625" style="24" customWidth="1"/>
    <col min="25" max="25" width="15.5703125" style="24" customWidth="1"/>
    <col min="26" max="26" width="12" style="24" customWidth="1"/>
    <col min="27" max="27" width="30" style="24" customWidth="1"/>
    <col min="28" max="28" width="12.7109375" style="24" customWidth="1"/>
    <col min="29" max="29" width="14.28515625" style="24" customWidth="1"/>
    <col min="30" max="30" width="19.7109375" style="24" customWidth="1"/>
    <col min="31" max="31" width="17.7109375" style="24" customWidth="1"/>
    <col min="32" max="32" width="20" style="24" customWidth="1"/>
    <col min="33" max="33" width="29.140625" style="24" customWidth="1"/>
    <col min="34" max="34" width="33.85546875" style="24" bestFit="1" customWidth="1"/>
    <col min="35" max="35" width="13.42578125" style="24" customWidth="1"/>
    <col min="36" max="36" width="20.28515625" style="24" customWidth="1"/>
    <col min="37" max="37" width="17" style="24" customWidth="1"/>
    <col min="38" max="38" width="25.28515625" style="24" bestFit="1" customWidth="1"/>
    <col min="39" max="39" width="0.85546875" style="24" customWidth="1"/>
    <col min="40" max="40" width="20" style="24" customWidth="1"/>
    <col min="41" max="41" width="24.85546875" style="34" customWidth="1"/>
    <col min="42" max="42" width="24.140625" style="34" customWidth="1"/>
    <col min="43" max="43" width="34" style="24" bestFit="1" customWidth="1"/>
    <col min="44" max="44" width="36.7109375" style="24" bestFit="1" customWidth="1"/>
    <col min="45" max="45" width="27.7109375" style="34" customWidth="1"/>
    <col min="46" max="46" width="37.28515625" style="24" customWidth="1"/>
    <col min="47" max="47" width="39.85546875" style="24" customWidth="1"/>
    <col min="48" max="48" width="30.85546875" style="34" customWidth="1"/>
    <col min="49" max="49" width="41" style="24" customWidth="1"/>
    <col min="50" max="50" width="43.5703125" style="24" customWidth="1"/>
    <col min="51" max="51" width="29.7109375" style="34" bestFit="1" customWidth="1"/>
    <col min="52" max="52" width="34.42578125" style="25" bestFit="1" customWidth="1"/>
    <col min="53" max="53" width="34.42578125" style="25" customWidth="1"/>
    <col min="54" max="54" width="29" style="24" bestFit="1" customWidth="1"/>
    <col min="55" max="55" width="36.42578125" style="25" customWidth="1"/>
    <col min="56" max="56" width="39" style="25" customWidth="1"/>
    <col min="57" max="57" width="23.28515625" style="34" customWidth="1"/>
    <col min="58" max="58" width="35.28515625" style="34" customWidth="1"/>
    <col min="59" max="59" width="13.42578125" style="24" customWidth="1"/>
    <col min="60" max="60" width="32.7109375" style="24" customWidth="1"/>
    <col min="61" max="61" width="19" style="26" bestFit="1" customWidth="1"/>
    <col min="62" max="62" width="25" style="24" customWidth="1"/>
    <col min="63" max="63" width="27.5703125" style="24" customWidth="1"/>
    <col min="64" max="64" width="24.140625" style="34" customWidth="1"/>
    <col min="65" max="65" width="23.5703125" style="24" customWidth="1"/>
    <col min="66" max="66" width="0.85546875" style="34" customWidth="1"/>
    <col min="67" max="67" width="23.42578125" style="24" customWidth="1"/>
    <col min="68" max="68" width="28.28515625" style="24" bestFit="1" customWidth="1"/>
    <col min="69" max="69" width="30.5703125" style="24" customWidth="1"/>
    <col min="70" max="70" width="27.42578125" style="24" bestFit="1" customWidth="1"/>
    <col min="71" max="71" width="28.42578125" style="24" customWidth="1"/>
    <col min="72" max="72" width="28.42578125" style="34" bestFit="1" customWidth="1"/>
    <col min="73" max="73" width="28.42578125" style="34" customWidth="1"/>
    <col min="74" max="74" width="31.5703125" style="34" customWidth="1"/>
    <col min="75" max="75" width="20" style="34" customWidth="1"/>
    <col min="76" max="76" width="17.140625" style="25" customWidth="1"/>
    <col min="77" max="78" width="24.140625" style="25" customWidth="1"/>
    <col min="79" max="79" width="20.28515625" style="24" bestFit="1" customWidth="1"/>
    <col min="80" max="80" width="0.85546875" style="24" customWidth="1"/>
    <col min="81" max="81" width="28" style="25" bestFit="1" customWidth="1"/>
    <col min="82" max="82" width="28" style="25" customWidth="1"/>
    <col min="83" max="83" width="27" style="25" customWidth="1"/>
    <col min="84" max="84" width="26.28515625" style="24" customWidth="1"/>
    <col min="85" max="85" width="13.42578125" style="11" hidden="1" customWidth="1"/>
    <col min="86" max="86" width="23.85546875" style="11" hidden="1" customWidth="1"/>
    <col min="87" max="87" width="21.7109375" style="26" hidden="1" customWidth="1"/>
    <col min="88" max="88" width="20.28515625" style="26" hidden="1" customWidth="1"/>
    <col min="89" max="89" width="0.5703125" style="26" hidden="1" customWidth="1"/>
    <col min="90" max="90" width="27" style="26" customWidth="1"/>
    <col min="91" max="16384" width="9" style="24"/>
  </cols>
  <sheetData>
    <row r="1" spans="1:90" s="165" customFormat="1" ht="69.75" customHeight="1" thickTop="1" thickBot="1">
      <c r="A1" s="165" t="s">
        <v>331</v>
      </c>
      <c r="B1" s="158" t="s">
        <v>98</v>
      </c>
      <c r="C1" s="158" t="s">
        <v>99</v>
      </c>
      <c r="D1" s="158" t="s">
        <v>278</v>
      </c>
      <c r="E1" s="158" t="s">
        <v>239</v>
      </c>
      <c r="F1" s="159" t="s">
        <v>70</v>
      </c>
      <c r="G1" s="159" t="s">
        <v>71</v>
      </c>
      <c r="H1" s="159" t="s">
        <v>74</v>
      </c>
      <c r="I1" s="159" t="s">
        <v>103</v>
      </c>
      <c r="J1" s="159" t="s">
        <v>112</v>
      </c>
      <c r="K1" s="159" t="s">
        <v>294</v>
      </c>
      <c r="L1" s="158" t="s">
        <v>100</v>
      </c>
      <c r="M1" s="158" t="s">
        <v>284</v>
      </c>
      <c r="N1" s="158" t="s">
        <v>285</v>
      </c>
      <c r="O1" s="158" t="s">
        <v>274</v>
      </c>
      <c r="P1" s="158" t="s">
        <v>130</v>
      </c>
      <c r="Q1" s="159" t="s">
        <v>72</v>
      </c>
      <c r="R1" s="159" t="s">
        <v>245</v>
      </c>
      <c r="S1" s="158" t="s">
        <v>142</v>
      </c>
      <c r="T1" s="158" t="s">
        <v>143</v>
      </c>
      <c r="U1" s="159" t="s">
        <v>73</v>
      </c>
      <c r="V1" s="158" t="s">
        <v>144</v>
      </c>
      <c r="W1" s="158" t="s">
        <v>145</v>
      </c>
      <c r="X1" s="158" t="s">
        <v>146</v>
      </c>
      <c r="Y1" s="158" t="s">
        <v>147</v>
      </c>
      <c r="Z1" s="158" t="s">
        <v>148</v>
      </c>
      <c r="AA1" s="158" t="s">
        <v>149</v>
      </c>
      <c r="AB1" s="158" t="s">
        <v>150</v>
      </c>
      <c r="AC1" s="158" t="s">
        <v>293</v>
      </c>
      <c r="AD1" s="158" t="s">
        <v>151</v>
      </c>
      <c r="AE1" s="158" t="s">
        <v>275</v>
      </c>
      <c r="AF1" s="158" t="s">
        <v>276</v>
      </c>
      <c r="AG1" s="158" t="s">
        <v>281</v>
      </c>
      <c r="AH1" s="158" t="s">
        <v>152</v>
      </c>
      <c r="AI1" s="158" t="s">
        <v>196</v>
      </c>
      <c r="AJ1" s="158" t="s">
        <v>197</v>
      </c>
      <c r="AK1" s="158" t="s">
        <v>140</v>
      </c>
      <c r="AL1" s="158" t="s">
        <v>141</v>
      </c>
      <c r="AM1" s="160" t="s">
        <v>233</v>
      </c>
      <c r="AN1" s="80" t="s">
        <v>139</v>
      </c>
      <c r="AO1" s="161" t="s">
        <v>138</v>
      </c>
      <c r="AP1" s="80" t="s">
        <v>153</v>
      </c>
      <c r="AQ1" s="80" t="s">
        <v>64</v>
      </c>
      <c r="AR1" s="80" t="s">
        <v>65</v>
      </c>
      <c r="AS1" s="161" t="s">
        <v>154</v>
      </c>
      <c r="AT1" s="80" t="s">
        <v>155</v>
      </c>
      <c r="AU1" s="80" t="s">
        <v>198</v>
      </c>
      <c r="AV1" s="161" t="s">
        <v>156</v>
      </c>
      <c r="AW1" s="80" t="s">
        <v>157</v>
      </c>
      <c r="AX1" s="80" t="s">
        <v>199</v>
      </c>
      <c r="AY1" s="161" t="s">
        <v>158</v>
      </c>
      <c r="AZ1" s="80" t="s">
        <v>159</v>
      </c>
      <c r="BA1" s="80" t="s">
        <v>200</v>
      </c>
      <c r="BB1" s="80" t="s">
        <v>160</v>
      </c>
      <c r="BC1" s="80" t="s">
        <v>161</v>
      </c>
      <c r="BD1" s="80" t="s">
        <v>201</v>
      </c>
      <c r="BE1" s="80" t="s">
        <v>94</v>
      </c>
      <c r="BF1" s="80" t="s">
        <v>95</v>
      </c>
      <c r="BG1" s="80" t="s">
        <v>96</v>
      </c>
      <c r="BH1" s="80" t="s">
        <v>93</v>
      </c>
      <c r="BI1" s="80" t="s">
        <v>137</v>
      </c>
      <c r="BJ1" s="80" t="s">
        <v>135</v>
      </c>
      <c r="BK1" s="80" t="s">
        <v>136</v>
      </c>
      <c r="BL1" s="80" t="s">
        <v>231</v>
      </c>
      <c r="BM1" s="80" t="s">
        <v>232</v>
      </c>
      <c r="BN1" s="162" t="s">
        <v>234</v>
      </c>
      <c r="BO1" s="81" t="s">
        <v>162</v>
      </c>
      <c r="BP1" s="81" t="s">
        <v>60</v>
      </c>
      <c r="BQ1" s="81" t="s">
        <v>62</v>
      </c>
      <c r="BR1" s="81" t="s">
        <v>61</v>
      </c>
      <c r="BS1" s="81" t="s">
        <v>63</v>
      </c>
      <c r="BT1" s="81" t="s">
        <v>163</v>
      </c>
      <c r="BU1" s="81" t="s">
        <v>66</v>
      </c>
      <c r="BV1" s="81" t="s">
        <v>97</v>
      </c>
      <c r="BW1" s="81" t="s">
        <v>134</v>
      </c>
      <c r="BX1" s="81" t="s">
        <v>133</v>
      </c>
      <c r="BY1" s="81" t="s">
        <v>131</v>
      </c>
      <c r="BZ1" s="81" t="s">
        <v>132</v>
      </c>
      <c r="CA1" s="81" t="s">
        <v>164</v>
      </c>
      <c r="CB1" s="163" t="s">
        <v>235</v>
      </c>
      <c r="CC1" s="82" t="s">
        <v>67</v>
      </c>
      <c r="CD1" s="82" t="s">
        <v>305</v>
      </c>
      <c r="CE1" s="82" t="s">
        <v>69</v>
      </c>
      <c r="CF1" s="82" t="s">
        <v>68</v>
      </c>
      <c r="CG1" s="164" t="s">
        <v>17</v>
      </c>
      <c r="CH1" s="439" t="s">
        <v>46</v>
      </c>
      <c r="CI1" s="440"/>
      <c r="CJ1" s="439" t="s">
        <v>47</v>
      </c>
      <c r="CK1" s="440"/>
    </row>
    <row r="2" spans="1:90" ht="21" customHeight="1">
      <c r="A2" s="24">
        <v>1</v>
      </c>
      <c r="B2" s="16">
        <f>IF(db!$E$5=0,0,1)</f>
        <v>1</v>
      </c>
      <c r="C2" s="15">
        <f>IF(B2=0,0,db!E2)</f>
        <v>28</v>
      </c>
      <c r="D2" s="312">
        <f>IF(B2=0,0,db!E2)</f>
        <v>28</v>
      </c>
      <c r="E2" s="312">
        <f>IF(Table1[[#This Row],[Year]]=0,0,LOOKUP(Table1[[#This Row],[Age]],RiskLoading!A$3:A$109,RiskLoading!DG$3:DG$109))</f>
        <v>34</v>
      </c>
      <c r="F2" s="29">
        <f>ROUND(L2,-3)</f>
        <v>100000000</v>
      </c>
      <c r="G2" s="29">
        <f>ROUND(PremiumLst,-3)</f>
        <v>100000000</v>
      </c>
      <c r="H2" s="29">
        <f t="shared" ref="H2:H33" si="0" xml:space="preserve"> ROUND(L2 * (1 + SumOfTAX),-3)</f>
        <v>108000000</v>
      </c>
      <c r="I2" s="29">
        <f>IF(B2&gt;0,IF(AND(Table1[[#This Row],[Year]]&gt;Changes!ValidityYear,Changes!Change="Yes",Changes!ChangeType="Change Value Adjustment"),Changes!$G$22,'Application Annually'!$C$11),0)</f>
        <v>15</v>
      </c>
      <c r="J2" s="29">
        <f>IF(B2&gt;0,IF(AND(Table1[[#This Row],[Year]]&gt;Changes!ValidityYear,Changes!Change="Yes",Changes!ChangeType="Change Value Adjustment"),Changes!$G$24,'Application Annually'!$C$7),0)</f>
        <v>20</v>
      </c>
      <c r="K2" s="29">
        <f>IF(B2=0,0,db!E3)</f>
        <v>100000000</v>
      </c>
      <c r="L2" s="29">
        <f>IF(B2=0,0,db!E3)</f>
        <v>100000000</v>
      </c>
      <c r="M2" s="29">
        <f>IF(Table1[[#This Row],[Year]]=1,ROUND(MIN($L$2 -( Table1[[#This Row],[Riders Risk Premiums]] + Table1[[#This Row],[Acquisition Cost]]) *0.75,Table1[[#This Row],[Death Capital (1)]]* 0.03),0),0)</f>
        <v>30000000</v>
      </c>
      <c r="N2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96595792</v>
      </c>
      <c r="O2" s="29">
        <f>IF(ROW()-1&gt;InsurancePeriod,0,db!E3)</f>
        <v>100000000</v>
      </c>
      <c r="P2" s="29">
        <f>IF(Table1[Year] = 0, 0, SUM(L$2:L2))</f>
        <v>100000000</v>
      </c>
      <c r="Q2" s="17">
        <f t="shared" ref="Q2:Q33" si="1">ROUND(T2,-3)</f>
        <v>1000000000</v>
      </c>
      <c r="R2" s="17">
        <f>IF(Table1[[#This Row],[Year]]=0,0,IF($C$2&lt;=50,LOOKUP(Table1[[#This Row],[Age]],db!BG3:BG109,db!BH3:BH109),LOOKUP(Table1[[#This Row],[Age]],db!BJ3:BJ109,db!BK3:BK109)))</f>
        <v>2000000000</v>
      </c>
      <c r="S2" s="17">
        <f>MIN(IF(B2=0,0,db!$E$4*((1+db!$B$4)^(B2-1))),Table1[[#This Row],[Max Sum Insured For Death]])</f>
        <v>1000000000</v>
      </c>
      <c r="T2" s="17">
        <f>MIN(IF(B2=0,0,Table1[[#This Row],[Death Capital (1)]]),Table1[[#This Row],[Max Sum Insured For Death]])</f>
        <v>1000000000</v>
      </c>
      <c r="U2" s="29">
        <f>ROUND(V2,-3)</f>
        <v>1000000000</v>
      </c>
      <c r="V2" s="29">
        <f>IF(B2=0,0,IF(db!$D$6="Yes",(db!$B$6)*T2,0))</f>
        <v>1000000000</v>
      </c>
      <c r="W2" s="29">
        <f>MIN(IF(V2&lt;=db!$L$2,V2,db!$L$2),MAX_ACC_CAPITAL)</f>
        <v>1000000000</v>
      </c>
      <c r="X2" s="17">
        <f>IF(OR(B2=0,Table1[[#This Row],[Accident Capital (2)]]=0),0,IF(db!$D$7="Yes",(db!$B$7)*T2,0))</f>
        <v>500000000</v>
      </c>
      <c r="Y2" s="42">
        <f>IF(C2&gt;69,0,IF(C2=0,0,IF(X2&lt;=db!$L$3,X2,db!$L$3)))</f>
        <v>500000000</v>
      </c>
      <c r="Z2" s="29">
        <f>IF(OR(B2=0,Table1[[#This Row],[Accident Capital (2)]]=0),0,IF(db!$D$9="Yes",(db!$B$9)*T2,0))</f>
        <v>200000000</v>
      </c>
      <c r="AA2" s="29">
        <f>ROUND(IF(C2&gt;69,0,IF(C2=0,0,IF(Z2&lt;=db!$L$4,Z2,db!$L$4))),0)</f>
        <v>50000000</v>
      </c>
      <c r="AB2" s="38">
        <f>IF(AND(db!$D$8="Yes",C2&lt;=69,ROW()-1&lt;=InsurancePeriod),1,0)</f>
        <v>1</v>
      </c>
      <c r="AC2" s="17">
        <f>(AC3+K3)*AB2*((1)/(1+db!AA4))*(LOOKUP(C2,'Mortality Table'!$A$2:$A$108,'Mortality Table'!$E$2:$E$108))</f>
        <v>1788216756.47036</v>
      </c>
      <c r="AD2" s="340">
        <f>Table1[[#This Row],[WOP Before Adj. BT]]</f>
        <v>1788216756.47036</v>
      </c>
      <c r="AE2" s="341">
        <f>IF(AND(Changes!Change="Yes", Changes!ChangeType="Change Value Adjustment"),Table1[[#This Row],[WOP Capital]],(AE3+O3)*AB2*((1)/(1+db!AA4))*(LOOKUP(D2,'Mortality Table'!$A$2:$A$108,'Mortality Table'!$E$2:$E$108)))</f>
        <v>1788216756.47036</v>
      </c>
      <c r="AF2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1788216756.47036</v>
      </c>
      <c r="AG2" s="42">
        <f>IF(AND(Changes!Change="Yes", Changes!ValidityYear&lt;=Table1[[#This Row],[Year]], Changes!ChangeType="Rider Inclusion/Exclusion", Changes!RiderType="Disability Annuity"), L2*Changes!NewChangedValue,L2*db!B$10*IF(db!$D$10="Yes",1,0))</f>
        <v>200000000</v>
      </c>
      <c r="AH2" s="29">
        <f>IF(AND(Changes!Change="Yes",Changes!ValidityYear&lt;=Table1[[#This Row],[Year]],Changes!ChangeType="Paid-Up"),0,Table1[[#This Row],[Code Annuity Capital]]*IF('Annual Calculation'!C2&gt;69,0,(LOOKUP('Annual Calculation'!C2+1,'Mortality Table'!$A$2:$A$108,'Mortality Table'!$O$2:$O$108)-LOOKUP('Annual Calculation'!C2+11,'Mortality Table'!$A$2:$A$108,'Mortality Table'!$O$2:$O$108))/LOOKUP('Annual Calculation'!C2,'Mortality Table'!$A$2:$A$108,'Mortality Table'!$M$2:$M$108)))</f>
        <v>1218796206.4696395</v>
      </c>
      <c r="AI2" s="17">
        <f>IF(B2=0,0,IF(db!$D$11="Yes",(db!$B$11)*T2,0))</f>
        <v>150000000</v>
      </c>
      <c r="AJ2" s="42">
        <f>ROUND(IF(C2&gt;59,0,IF(C2=0,0,IF(AI2&lt;=db!$L$5,AI2,db!$L$5))),0)</f>
        <v>150000000</v>
      </c>
      <c r="AK2" s="29">
        <f>IF(B2=0,0,IF(db!$D$12="Yes",(db!$B$12)*T2,0))</f>
        <v>250000000</v>
      </c>
      <c r="AL2" s="29">
        <f>ROUND(IF(C2&gt;59,0,IF(C2=0,0,IF(AK2&lt;=db!$L$6,AK2,db!$L$6))),0)</f>
        <v>250000000</v>
      </c>
      <c r="AM2" s="30"/>
      <c r="AN2" s="18">
        <f>IF(B2=0,0,IF(C2&lt;(db!$E$2+5),LOOKUP(C2,'Mortality Table'!$A$2:$A$108,'Mortality Table'!$P$2:$P$108),IF((C2&gt;=db!$E$2+10),LOOKUP(C2,'Mortality Table'!$A$2:$A$108,'Mortality Table'!$R$2:$R$108),LOOKUP(C2,'Mortality Table'!$A$2:$A$108,'Mortality Table'!$Q$2:$Q$108))))</f>
        <v>1.4604768842726064E-3</v>
      </c>
      <c r="AO2" s="22">
        <f t="shared" ref="AO2:AO33" si="2">ROUND(AN2*T2,0)</f>
        <v>1460477</v>
      </c>
      <c r="AP2" s="19">
        <f>IF(B2=0,0,LOOKUP(db!$A$8,db!$AX$4:$AX$8,db!$AY$4:$AY$8))</f>
        <v>0.6</v>
      </c>
      <c r="AQ2" s="20">
        <f>ROUND((AP2/1000)*W2 * (1-db!$AS$9),0)</f>
        <v>453000</v>
      </c>
      <c r="AR2" s="20">
        <f>(AP2/1000)*W2 * db!$AS$9</f>
        <v>147000</v>
      </c>
      <c r="AS2" s="21">
        <f>IF(B2=0,0,LOOKUP(db!$A$8,db!$AX$4:$AX$8,db!$AZ$4:$AZ$8))</f>
        <v>0.6</v>
      </c>
      <c r="AT2" s="22">
        <f>(AS2/1000)*Y2*(1-db!$AS$9)</f>
        <v>226500</v>
      </c>
      <c r="AU2" s="22">
        <f>(AS2/1000)*Y2*(db!$AS$9)</f>
        <v>73500</v>
      </c>
      <c r="AV2" s="23">
        <f>IF(B2=0,0,LOOKUP(db!$A$8,db!$AX$4:$AX$8,db!$BA$4:$BA$8))</f>
        <v>0.8</v>
      </c>
      <c r="AW2" s="20">
        <f>ROUND((AV2/(100))*AA2*(1-db!$AS$9),0)</f>
        <v>302000</v>
      </c>
      <c r="AX2" s="20">
        <f>ROUND((AV2/(100))*AA2*(db!$AS$9),0)</f>
        <v>98000</v>
      </c>
      <c r="AY2" s="21">
        <f>IF(db!$D$8="Yes",AS2,0)</f>
        <v>0.6</v>
      </c>
      <c r="AZ2" s="22">
        <f>(AY2*AF2)/1000*(1-db!$AS$9)</f>
        <v>810062.190681073</v>
      </c>
      <c r="BA2" s="22">
        <f>(AY2*AF2)/1000*(db!$AS$9)</f>
        <v>262867.86320114287</v>
      </c>
      <c r="BB2" s="23">
        <f t="shared" ref="BB2:BB33" si="3">AS2</f>
        <v>0.6</v>
      </c>
      <c r="BC2" s="20">
        <f>(BB2*AH2/1000)*(1-db!$AS$9)</f>
        <v>552114.68153074675</v>
      </c>
      <c r="BD2" s="20">
        <f>(BB2*AH2/1000)*(db!$AS$9)</f>
        <v>179163.04235103703</v>
      </c>
      <c r="BE2" s="22">
        <f>IF(B2=0,0,IF(C2&gt;60,0,LOOKUP(Table1[[#This Row],[Medical
Age]],db!$BC$3:$BC$63,db!$BD$3:$BD$63)))</f>
        <v>750</v>
      </c>
      <c r="BF2" s="22">
        <f>BG2*db!$AS$10</f>
        <v>11250</v>
      </c>
      <c r="BG2" s="22">
        <f t="shared" ref="BG2:BG33" si="4">(BE2/1000000)*AJ2</f>
        <v>112500</v>
      </c>
      <c r="BH2" s="22">
        <f>(BE2/1000000)*AJ2*(1-db!$AS$10)</f>
        <v>101250</v>
      </c>
      <c r="BI2" s="20">
        <f>IF(B2=0,0,IF(C2&gt;59,0,LOOKUP(Table1[[#This Row],[Medical
Age]],db!$BC$3:$BC$63,db!$BE$3:$BE$63)))</f>
        <v>750</v>
      </c>
      <c r="BJ2" s="20">
        <f>(BI2/1000000)*AL2*(1-db!$AS$11)</f>
        <v>168750</v>
      </c>
      <c r="BK2" s="20">
        <f>(BI2/1000000)*AL2*(db!$AS$11)</f>
        <v>18750</v>
      </c>
      <c r="BL2" s="19">
        <f>IF(Table1[Year]=0,0,LOOKUP(Table1[Age],RiskLoading!A$3:A$109,RiskLoading!DL$3:DL$109))</f>
        <v>3.8889390664636385E-4</v>
      </c>
      <c r="BM2" s="20">
        <f>Table1[[#This Row],[RiskLoading
Rate]]*Table1[[#This Row],[Death Capital (2)]]</f>
        <v>388893.90664636384</v>
      </c>
      <c r="BN2" s="36"/>
      <c r="BO2" s="37">
        <f t="shared" ref="BO2:BO33" si="5">AO2</f>
        <v>1460477</v>
      </c>
      <c r="BP2" s="35">
        <f t="shared" ref="BP2:BP33" si="6">(BC2+AZ2+AW2+AT2+AQ2)</f>
        <v>2343676.8722118195</v>
      </c>
      <c r="BQ2" s="35">
        <f t="shared" ref="BQ2:BQ33" si="7">AR2+AU2+AX2+BA2+BD2</f>
        <v>760530.9055521799</v>
      </c>
      <c r="BR2" s="37">
        <f>(BJ2+BH2)</f>
        <v>270000</v>
      </c>
      <c r="BS2" s="37">
        <f>BF2+BK2</f>
        <v>30000</v>
      </c>
      <c r="BT2" s="35">
        <f>ROUND(BR2+BP2,0)</f>
        <v>2613677</v>
      </c>
      <c r="BU2" s="35">
        <f>ROUND(BQ2+BS2,0)</f>
        <v>790531</v>
      </c>
      <c r="BV2" s="37">
        <f>(db!$AS$2/100)*(L2-BT2-BU2)</f>
        <v>3863831.68</v>
      </c>
      <c r="BW2" s="37">
        <f>ROUND((db!$AS$6/100)*(L2-BT2-BU2),0)</f>
        <v>0</v>
      </c>
      <c r="BX2" s="35">
        <f>IF(B2&gt;5,0,$T$2*(db!AS$5/1000))</f>
        <v>1500000</v>
      </c>
      <c r="BY2" s="37">
        <f>IF(B2=0,0,MIN(($L$2-$BT$2-$BU$2)*0.75,0.03*db!$E$4))</f>
        <v>30000000</v>
      </c>
      <c r="BZ2" s="37">
        <f>0.3*$BY$2</f>
        <v>9000000</v>
      </c>
      <c r="CA2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19617411</v>
      </c>
      <c r="CB2" s="31"/>
      <c r="CC2" s="39">
        <f>(Table1[[#This Row],[Premium]]+InitialFund)-Table1[[#This Row],[All Deductions]]</f>
        <v>90382589</v>
      </c>
      <c r="CD2" s="39">
        <f>IF(B2=0,0,Table1[[#This Row],[Initial Reserve]]+0)</f>
        <v>90382589</v>
      </c>
      <c r="CE2" s="40">
        <f>CC2*(1+db!Y4)</f>
        <v>106651455.02</v>
      </c>
      <c r="CF2" s="40">
        <f>ROUND(CE2-SUM(BX3:$BX$7),-3)</f>
        <v>100651000</v>
      </c>
      <c r="CG2" s="15">
        <f>IF(db!$E$5=0,0,1)</f>
        <v>1</v>
      </c>
      <c r="CH2" s="39">
        <f>CC2*(1+db!AH4)</f>
        <v>108459106.8</v>
      </c>
      <c r="CI2" s="39">
        <f>CH2-(SUM(BX3:$BX$7))</f>
        <v>102459106.8</v>
      </c>
      <c r="CJ2" s="40">
        <f>CC2*(1+db!AO4)</f>
        <v>110266758.58</v>
      </c>
      <c r="CK2" s="40">
        <f>CJ2-(SUM(BX3:$BX$7))</f>
        <v>104266758.58</v>
      </c>
      <c r="CL2" s="46"/>
    </row>
    <row r="3" spans="1:90">
      <c r="A3" s="24">
        <f>A2+1</f>
        <v>2</v>
      </c>
      <c r="B3" s="16">
        <f>IF(AND(Changes!Change="Yes", Changes!ChangeType="Change Contract Duration"),IF(B2=0,0,IF(Changes!NewChangedValue&lt;B2+1,0,B2+1)),IF(B2=0,0,IF('Application Annually'!$C$5&lt;B2+1,0,B2+1)))</f>
        <v>2</v>
      </c>
      <c r="C3" s="15">
        <f>IF(B3=0,0,(C2+1))</f>
        <v>29</v>
      </c>
      <c r="D3" s="312">
        <f>D2+1</f>
        <v>29</v>
      </c>
      <c r="E3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34</v>
      </c>
      <c r="F3" s="29">
        <f t="shared" ref="F3:F66" si="8">ROUND(L3,-3)</f>
        <v>120000000</v>
      </c>
      <c r="G3" s="29">
        <f t="shared" ref="G3:G66" si="9">ROUND(L3,-3)</f>
        <v>120000000</v>
      </c>
      <c r="H3" s="29">
        <f t="shared" si="0"/>
        <v>129600000</v>
      </c>
      <c r="I3" s="29">
        <f>IF(B3&gt;0,IF(AND(Table1[[#This Row],[Year]]&gt;Changes!ValidityYear,Changes!Change="Yes",Changes!ChangeType="Change Value Adjustment"),Changes!$G$22,'Application Annually'!$C$11),0)</f>
        <v>15</v>
      </c>
      <c r="J3" s="29">
        <f>IF(B3&gt;0,IF(AND(Table1[[#This Row],[Year]]&gt;Changes!ValidityYear,Changes!Change="Yes",Changes!ChangeType="Change Value Adjustment"),Changes!$G$24,'Application Annually'!$C$7),0)</f>
        <v>20</v>
      </c>
      <c r="K3" s="29">
        <f>ROUND(IF(B3=0,0,IF(AND(Changes!Change="Yes", Changes!ValidityYear=Table1[[#This Row],[Year]], Changes!ChangeType="Change Premium"), Changes!NewChangedValue, (K2*(1+db!$B$3)))),0)</f>
        <v>120000000</v>
      </c>
      <c r="L3" s="29">
        <f>ROUND(IF(AND(Changes!Change="Yes",Changes!ValidityYear&lt;=Table1[[#This Row],[Year]],Changes!ChangeType="Paid-Up"),0,IF(B3=0,0,IF(AND(Changes!Change="Yes", Changes!ValidityYear=Table1[[#This Row],[Year]], Changes!ChangeType="Change Premium"), Changes!NewChangedValue, (L2*(1+Table1[[#This Row],[Adjustment Factor of Premium]]/100))))),0)</f>
        <v>120000000</v>
      </c>
      <c r="M3" s="29">
        <f>IF(Table1[[#This Row],[Year]]=1,ROUND(MIN($L$2 -( Table1[[#This Row],[Riders Risk Premiums]] + Table1[[#This Row],[Acquisition Cost]]) *0.75,Table1[[#This Row],[Death Capital (1)]]* 0.03),0),0)</f>
        <v>0</v>
      </c>
      <c r="N3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3" s="29">
        <f>ROUND(IF(ROW()-1&gt;InsurancePeriod,0,(O2*(1+(Table1[[#This Row],[Adjustment Factor of Premium]]/100)))),0)</f>
        <v>120000000</v>
      </c>
      <c r="P3" s="29">
        <f>IF(Table1[Year] = 0, 0, SUM(L$2:L3))</f>
        <v>220000000</v>
      </c>
      <c r="Q3" s="17">
        <f t="shared" si="1"/>
        <v>1150000000</v>
      </c>
      <c r="R3" s="17">
        <f>IF(Table1[[#This Row],[Year]]=0,0,IF($C$2&lt;=50,LOOKUP(Table1[[#This Row],[Age]],db!BG4:BG110,db!BH4:BH110),LOOKUP(Table1[[#This Row],[Age]],db!BJ4:BJ110,db!BK4:BK110)))</f>
        <v>2000000000</v>
      </c>
      <c r="S3" s="17">
        <f>IF(AND(Changes!Change="Yes",Changes!ValidityYear&lt;=Table1[[#This Row],[Year]],Changes!ChangeType="Paid-Up",PaidUpOption="Paid-up with no coverage"),0,IF(B3=0,0, IF(AND(Changes!Change="Yes", Changes!ValidityYear=Table1[[#This Row],[Year]], Changes!ChangeType="Change Death Capital"), Changes!NewChangedValue, S2*(1+(Table1[[#This Row],[Adjustment Factor of Death Capital]]/100)))))</f>
        <v>1150000000</v>
      </c>
      <c r="T3" s="17">
        <f>MIN(IF(B3=0,0,Table1[[#This Row],[Death Capital (1)]]),Table1[[#This Row],[Max Sum Insured For Death]])</f>
        <v>1150000000</v>
      </c>
      <c r="U3" s="29">
        <f t="shared" ref="U3:U66" si="10">ROUND(V3,-3)</f>
        <v>1150000000</v>
      </c>
      <c r="V3" s="29">
        <f>IF(AND(Changes!Change="Yes",Changes!ValidityYear&lt;=Table1[[#This Row],[Year]],Changes!ChangeType="Paid-Up",OR(PaidUpOption="Paid-up with no coverage",PaidUpOption="Paid-up with main coverage")),0,IF(B3=0,0,IF(AND(Changes!Change="Yes", Changes!ValidityYear&lt;=Table1[[#This Row],[Year]], Changes!ChangeType="Rider Inclusion/Exclusion", Changes!RiderType="Accident Death"), T3*Changes!NewChangedValue,IF(db!$D$6="Yes",(db!$B$6)*T3,0))))</f>
        <v>1150000000</v>
      </c>
      <c r="W3" s="29">
        <f>MIN(IF(V3&lt;=db!$L$2,V3,db!$L$2),MAX_ACC_CAPITAL)</f>
        <v>1150000000</v>
      </c>
      <c r="X3" s="17">
        <f>IF(AND(Changes!Change="Yes",Changes!ValidityYear&lt;=Table1[[#This Row],[Year]],Changes!ChangeType="Paid-Up",OR(PaidUpOption="Paid-up with no coverage",PaidUpOption="Paid-up with main coverage")),0,IF(OR(B3=0,Table1[[#This Row],[Accident Capital (2)]]=0),0,IF(AND(Changes!Change="Yes", Changes!ValidityYear&lt;=Table1[[#This Row],[Year]], Changes!ChangeType="Rider Inclusion/Exclusion", Changes!RiderType="Accident Disability"), T3*Changes!NewChangedValue,IF(db!$D$7="Yes",(db!$B$7)*T3,0))))</f>
        <v>575000000</v>
      </c>
      <c r="Y3" s="42">
        <f>IF(C3&gt;69,0,IF(C3=0,0,IF(X3&lt;=db!$L$3,X3,db!$L$3)))</f>
        <v>575000000</v>
      </c>
      <c r="Z3" s="29">
        <f>IF(AND(Changes!Change="Yes",Changes!ValidityYear&lt;=Table1[[#This Row],[Year]],Changes!ChangeType="Paid-Up",OR(PaidUpOption="Paid-up with no coverage",PaidUpOption="Paid-up with main coverage")),0,IF(OR(B3=0,Table1[[#This Row],[Accident Capital (2)]]=0),0,IF(AND(Changes!Change="Yes", Changes!ValidityYear&lt;=Table1[[#This Row],[Year]], Changes!ChangeType="Rider Inclusion/Exclusion", Changes!RiderType="Accident Medical Cost"), T3*Changes!NewChangedValue,IF(db!$D$9="Yes",(db!$B$9)*T3,0))))</f>
        <v>230000000</v>
      </c>
      <c r="AA3" s="29">
        <f>ROUND(IF(C3&gt;69,0,IF(C3=0,0,IF(Z3&lt;=db!$L$4,Z3,db!$L$4))),0)</f>
        <v>50000000</v>
      </c>
      <c r="AB3" s="38">
        <f>IF(AND(Changes!Change = "Yes", Changes!ChangeType = "Rider Inclusion/Exclusion", Changes!RiderType = "WOP"), IF( Changes!ValidityYear &lt;= Table1[[#This Row],[Year]], IF(WOP = "Yes", 0, 1),  IF(WOP = "Yes", 1, 0)), IF(AND(db!$D$8="Yes",C3&lt;=69,ROW()-1&lt;=InsurancePeriod), 1, 0))</f>
        <v>1</v>
      </c>
      <c r="AC3" s="17">
        <f>(AC4+K4)*AB3*((1)/(1+db!AA5))*(LOOKUP(C3,'Mortality Table'!$A$2:$A$108,'Mortality Table'!$E$2:$E$108))</f>
        <v>1993448725.1814132</v>
      </c>
      <c r="AD3" s="340">
        <f>IF(AND(Changes!ValidityYear&lt;= Table1[[#This Row],[Year]],Changes!ChangeType="Change Value Adjustment",Changes!Change="Yes"), (AD4+L4)*AB3*((1)/(1+db!AA5))*(LOOKUP(C3,'Mortality Table'!$A$2:$A$108,'Mortality Table'!$E$2:$E$108)),Table1[[#This Row],[WOP Before Adj. BT]])</f>
        <v>1993448725.1814132</v>
      </c>
      <c r="AE3" s="341">
        <f>IF(AND(Changes!Change="Yes", Changes!ChangeType="Change Value Adjustment"),Table1[[#This Row],[WOP Capital]],(AE4+O4)*AB3*((1)/(1+db!AA5))*(LOOKUP(D3,'Mortality Table'!$A$2:$A$108,'Mortality Table'!$E$2:$E$108)))</f>
        <v>1993448725.1814132</v>
      </c>
      <c r="AF3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1993448725.1814132</v>
      </c>
      <c r="AG3" s="42">
        <f>IF(AND(Changes!Change="Yes", Changes!ValidityYear&lt;=Table1[[#This Row],[Year]], Changes!ChangeType="Rider Inclusion/Exclusion", Changes!RiderType="Disability Annuity"), L3*Changes!NewChangedValue,L3*db!B$10*IF(db!$D$10="Yes",1,0))</f>
        <v>240000000</v>
      </c>
      <c r="AH3" s="29">
        <f>IF(AND(Changes!Change="Yes",Changes!ValidityYear&lt;=Table1[[#This Row],[Year]],Changes!ChangeType="Paid-Up"),0,Table1[[#This Row],[Code Annuity Capital]]*IF('Annual Calculation'!C3&gt;69,0,(LOOKUP('Annual Calculation'!C3+1,'Mortality Table'!$A$2:$A$108,'Mortality Table'!$O$2:$O$108)-LOOKUP('Annual Calculation'!C3+11,'Mortality Table'!$A$2:$A$108,'Mortality Table'!$O$2:$O$108))/LOOKUP('Annual Calculation'!C3,'Mortality Table'!$A$2:$A$108,'Mortality Table'!$M$2:$M$108)))</f>
        <v>1462065628.5203204</v>
      </c>
      <c r="AI3" s="17">
        <f>IF(AND(Changes!Change="Yes",Changes!ValidityYear&lt;=Table1[[#This Row],[Year]],Changes!ChangeType="Paid-Up",OR(PaidUpOption="Paid-up with no coverage",PaidUpOption="Paid-up with main coverage")),0,IF(B3=0,0,IF(AND(Changes!Change="Yes", Changes!ValidityYear&lt;=Table1[[#This Row],[Year]], Changes!ChangeType="Rider Inclusion/Exclusion", Changes!RiderType="Dread Disease"), T3*Changes!NewChangedValue,IF(db!$D$11="Yes",(db!$B$11)*T3,0))))</f>
        <v>172500000</v>
      </c>
      <c r="AJ3" s="42">
        <f>ROUND(IF(C3&gt;59,0,IF(C3=0,0,IF(AI3&lt;=db!$L$5,AI3,db!$L$5))),0)</f>
        <v>172500000</v>
      </c>
      <c r="AK3" s="29">
        <f>IF(AND(Changes!Change="Yes",Changes!ValidityYear&lt;=Table1[[#This Row],[Year]],Changes!ChangeType="Paid-Up",OR(PaidUpOption="Paid-up with no coverage",PaidUpOption="Paid-up with main coverage")),0,IF(B3=0,0,IF(AND(Changes!Change="Yes", Changes!ValidityYear&lt;=Table1[[#This Row],[Year]], Changes!ChangeType="Rider Inclusion/Exclusion", Changes!RiderType="Cancer"), T3*Changes!NewChangedValue,IF(db!$D$12="Yes",(db!$B$12)*T3,0))))</f>
        <v>287500000</v>
      </c>
      <c r="AL3" s="29">
        <f>ROUND(IF(C3&gt;59,0,IF(C3=0,0,IF(AK3&lt;=db!$L$6,AK3,db!$L$6))),0)</f>
        <v>287500000</v>
      </c>
      <c r="AM3" s="32"/>
      <c r="AN3" s="18">
        <f>IF(B3=0,0,IF(C3&lt;(db!$E$2+5),LOOKUP(C3,'Mortality Table'!$A$2:$A$108,'Mortality Table'!$P$2:$P$108),IF((C3&gt;=db!$E$2+10),LOOKUP(C3,'Mortality Table'!$A$2:$A$108,'Mortality Table'!$R$2:$R$108),LOOKUP(C3,'Mortality Table'!$A$2:$A$108,'Mortality Table'!$Q$2:$Q$108))))</f>
        <v>1.4912936461475596E-3</v>
      </c>
      <c r="AO3" s="22">
        <f t="shared" si="2"/>
        <v>1714988</v>
      </c>
      <c r="AP3" s="19">
        <f>IF(B3=0,0, LOOKUP(IF(AND(Changes!Change="Yes", Changes!ValidityYear&lt;=Table1[[#This Row],[Year]], Changes!ChangeType="Change Job Class"),Changes!NewChangedValue, db!$A$8),db!$AX$4:$AX$8,db!$AY$4:$AY$8))</f>
        <v>0.6</v>
      </c>
      <c r="AQ3" s="20">
        <f>ROUND((AP3/1000)*W3 * (1-db!$AS$9),0)</f>
        <v>520950</v>
      </c>
      <c r="AR3" s="20">
        <f>(AP3/1000)*W3 * db!$AS$9</f>
        <v>169049.99999999997</v>
      </c>
      <c r="AS3" s="21">
        <f>IF(B3=0,0, LOOKUP(IF(AND(Changes!Change="Yes", Changes!ValidityYear&lt;=Table1[[#This Row],[Year]], Changes!ChangeType="Change Job Class"),Changes!NewChangedValue, db!$A$8),db!$AX$4:$AX$8,db!$AZ$4:$AZ$8))</f>
        <v>0.6</v>
      </c>
      <c r="AT3" s="22">
        <f>(AS3/1000)*Y3*(1-db!$AS$9)</f>
        <v>260474.99999999997</v>
      </c>
      <c r="AU3" s="22">
        <f>(AS3/1000)*Y3*(db!$AS$9)</f>
        <v>84524.999999999985</v>
      </c>
      <c r="AV3" s="23">
        <f>IF(B3=0,0, LOOKUP(IF(AND(Changes!Change="Yes", Changes!ValidityYear&lt;=Table1[[#This Row],[Year]], Changes!ChangeType="Change Job Class"),Changes!NewChangedValue, db!$A$8),db!$AX$4:$AX$8,db!$BA$4:$BA$8))</f>
        <v>0.8</v>
      </c>
      <c r="AW3" s="20">
        <f>ROUND((AV3/(100))*AA3*(1-db!$AS$9),0)</f>
        <v>302000</v>
      </c>
      <c r="AX3" s="20">
        <f>ROUND((AV3/(100))*AA3*(db!$AS$9),0)</f>
        <v>98000</v>
      </c>
      <c r="AY3" s="21">
        <f>IF(db!$D$8="Yes",AS3,0)</f>
        <v>0.6</v>
      </c>
      <c r="AZ3" s="22">
        <f>(AY3*AF3)/1000*(1-db!$AS$9)</f>
        <v>903032.27250718023</v>
      </c>
      <c r="BA3" s="22">
        <f>(AY3*AF3)/1000*(db!$AS$9)</f>
        <v>293036.96260166774</v>
      </c>
      <c r="BB3" s="23">
        <f t="shared" si="3"/>
        <v>0.6</v>
      </c>
      <c r="BC3" s="20">
        <f>(BB3*AH3/1000)*(1-db!$AS$9)</f>
        <v>662315.72971970518</v>
      </c>
      <c r="BD3" s="20">
        <f>(BB3*AH3/1000)*(db!$AS$9)</f>
        <v>214923.6473924871</v>
      </c>
      <c r="BE3" s="22">
        <f>IF(B3=0,0,IF(C3&gt;60,0,LOOKUP(Table1[[#This Row],[Medical
Age]],db!$BC$3:$BC$63,db!$BD$3:$BD$63)))</f>
        <v>750</v>
      </c>
      <c r="BF3" s="22">
        <f>BG3*db!$AS$10</f>
        <v>12937.5</v>
      </c>
      <c r="BG3" s="22">
        <f t="shared" si="4"/>
        <v>129375</v>
      </c>
      <c r="BH3" s="22">
        <f>(BE3/1000000)*AJ3*(1-db!$AS$10)</f>
        <v>116437.5</v>
      </c>
      <c r="BI3" s="20">
        <f>IF(B3=0,0,IF(C3&gt;59,0,LOOKUP(Table1[[#This Row],[Medical
Age]],db!$BC$3:$BC$63,db!$BE$3:$BE$63)))</f>
        <v>750</v>
      </c>
      <c r="BJ3" s="20">
        <f>(BI3/1000000)*AL3*(1-db!$AS$11)</f>
        <v>194062.5</v>
      </c>
      <c r="BK3" s="20">
        <f>(BI3/1000000)*AL3*(db!$AS$11)</f>
        <v>21562.5</v>
      </c>
      <c r="BL3" s="19">
        <f>IF(Table1[Year]=0,0,IF(AND(Changes!Change="Yes", Changes!ValidityYear&lt;=Table1[[#This Row],[Year]], Changes!ChangeType="Change Risk Loading"), LOOKUP(Table1[Age],RiskLoadingChange!A$3:A$109,RiskLoadingChange!DL$3:DL$109), LOOKUP(Table1[Age],RiskLoading!A$3:A$109,RiskLoading!DL$3:DL$109)))</f>
        <v>3.5807714477141062E-4</v>
      </c>
      <c r="BM3" s="20">
        <f>Table1[[#This Row],[RiskLoading
Rate]]*Table1[[#This Row],[Death Capital (2)]]</f>
        <v>411788.71648712223</v>
      </c>
      <c r="BN3" s="36"/>
      <c r="BO3" s="37">
        <f t="shared" si="5"/>
        <v>1714988</v>
      </c>
      <c r="BP3" s="35">
        <f t="shared" si="6"/>
        <v>2648773.0022268854</v>
      </c>
      <c r="BQ3" s="35">
        <f t="shared" si="7"/>
        <v>859535.60999415489</v>
      </c>
      <c r="BR3" s="37">
        <f t="shared" ref="BR3:BR66" si="11">(BJ3+BH3)</f>
        <v>310500</v>
      </c>
      <c r="BS3" s="37">
        <f t="shared" ref="BS3:BS66" si="12">BF3+BK3</f>
        <v>34500</v>
      </c>
      <c r="BT3" s="35">
        <f t="shared" ref="BT3:BT66" si="13">ROUND(BR3+BP3,0)</f>
        <v>2959273</v>
      </c>
      <c r="BU3" s="35">
        <f t="shared" ref="BU3:BU66" si="14">ROUND(BQ3+BS3,0)</f>
        <v>894036</v>
      </c>
      <c r="BV3" s="37">
        <f>(db!$AS$3/100)*(L3-BT3-BU3)</f>
        <v>2322933.8199999998</v>
      </c>
      <c r="BW3" s="37">
        <f>(db!$AS$7/100)*(L3-BT3-BU3)</f>
        <v>2322933.8199999998</v>
      </c>
      <c r="BX3" s="35">
        <f>IF(AND(Changes!Change="Yes",Changes!ValidityYear&lt;=Table1[[#This Row],[Year]],Changes!ChangeType="Paid-Up",PaidUpOption="Paid-up with no coverage"),0,IF(B3&gt;5,0,$T$2*(db!AS$5/1000)))</f>
        <v>1500000</v>
      </c>
      <c r="BY3" s="37"/>
      <c r="BZ3" s="37">
        <f>IF(AND(Changes!Change="Yes",Changes!ValidityYear&lt;=Table1[[#This Row],[Year]],Changes!ChangeType="Paid-Up",PaidUpOption="Paid-up with no coverage"),0,0.175*$BY$2)</f>
        <v>5250000</v>
      </c>
      <c r="CA3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17375953</v>
      </c>
      <c r="CB3" s="33"/>
      <c r="CC3" s="39">
        <f>ROUND((Table1[[#This Row],[Premium]]-Table1[[#This Row],[All Deductions]]),0)</f>
        <v>102624047</v>
      </c>
      <c r="CD3" s="39">
        <f>IF(B3=0,0,Table1[[#This Row],[Initial Reserve]]+CE2)</f>
        <v>209275502.01999998</v>
      </c>
      <c r="CE3" s="40">
        <f>ROUND(IF(B3=0,0,((CC3)*(1+db!Y5))+((CE2)*(1+db!U5))),0)</f>
        <v>246945092</v>
      </c>
      <c r="CF3" s="40">
        <f>ROUND(CE3-SUM(BX4:$BX$7),-3)</f>
        <v>242445000</v>
      </c>
      <c r="CG3" s="15">
        <f t="shared" ref="CG3:CG66" si="15">1+CG2</f>
        <v>2</v>
      </c>
      <c r="CH3" s="39">
        <f>IF(B3=0,0,((CC3)*(1+db!AH5))+((CH2)*(1+db!AD5)))</f>
        <v>253299784.56</v>
      </c>
      <c r="CI3" s="39">
        <f>CH3-(SUM(BX4:$BX$7))</f>
        <v>248799784.56</v>
      </c>
      <c r="CJ3" s="40">
        <f>IF(B3=0,0,((CC3)*(1+db!AO5))+((CJ2)*(1+db!AK5)))</f>
        <v>259726782.80759999</v>
      </c>
      <c r="CK3" s="40">
        <f>CJ3-(SUM(BX4:$BX$7))</f>
        <v>255226782.80759999</v>
      </c>
      <c r="CL3" s="46"/>
    </row>
    <row r="4" spans="1:90">
      <c r="A4" s="24">
        <f t="shared" ref="A4:A67" si="16">A3+1</f>
        <v>3</v>
      </c>
      <c r="B4" s="16">
        <f>IF(AND(Changes!Change="Yes", Changes!ChangeType="Change Contract Duration"),IF(B3=0,0,IF(Changes!NewChangedValue&lt;B3+1,0,B3+1)),IF(B3=0,0,IF('Application Annually'!$C$5&lt;B3+1,0,B3+1)))</f>
        <v>3</v>
      </c>
      <c r="C4" s="15">
        <f t="shared" ref="C4:C67" si="17">IF(B4=0,0,(C3+1))</f>
        <v>30</v>
      </c>
      <c r="D4" s="312">
        <f t="shared" ref="D4:D67" si="18">D3+1</f>
        <v>30</v>
      </c>
      <c r="E4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35</v>
      </c>
      <c r="F4" s="29">
        <f t="shared" si="8"/>
        <v>144000000</v>
      </c>
      <c r="G4" s="29">
        <f t="shared" si="9"/>
        <v>144000000</v>
      </c>
      <c r="H4" s="29">
        <f t="shared" si="0"/>
        <v>155520000</v>
      </c>
      <c r="I4" s="29">
        <f>IF(B4&gt;0,IF(AND(Table1[[#This Row],[Year]]&gt;Changes!ValidityYear,Changes!Change="Yes",Changes!ChangeType="Change Value Adjustment"),Changes!$G$22,'Application Annually'!$C$11),0)</f>
        <v>15</v>
      </c>
      <c r="J4" s="29">
        <f>IF(B4&gt;0,IF(AND(Table1[[#This Row],[Year]]&gt;Changes!ValidityYear,Changes!Change="Yes",Changes!ChangeType="Change Value Adjustment"),Changes!$G$24,'Application Annually'!$C$7),0)</f>
        <v>20</v>
      </c>
      <c r="K4" s="29">
        <f>ROUND(IF(B4=0,0,IF(AND(Changes!Change="Yes", Changes!ValidityYear=Table1[[#This Row],[Year]], Changes!ChangeType="Change Premium"), Changes!NewChangedValue, (K3*(1+db!$B$3)))),0)</f>
        <v>144000000</v>
      </c>
      <c r="L4" s="29">
        <f>ROUND(IF(AND(Changes!Change="Yes",Changes!ValidityYear&lt;=Table1[[#This Row],[Year]],Changes!ChangeType="Paid-Up"),0,IF(B4=0,0,IF(AND(Changes!Change="Yes", Changes!ValidityYear=Table1[[#This Row],[Year]], Changes!ChangeType="Change Premium"), Changes!NewChangedValue, (L3*(1+Table1[[#This Row],[Adjustment Factor of Premium]]/100))))),0)</f>
        <v>144000000</v>
      </c>
      <c r="M4" s="29">
        <f>IF(Table1[[#This Row],[Year]]=1,ROUND(MIN($L$2 -( Table1[[#This Row],[Riders Risk Premiums]] + Table1[[#This Row],[Acquisition Cost]]) *0.75,Table1[[#This Row],[Death Capital (1)]]* 0.03),0),0)</f>
        <v>0</v>
      </c>
      <c r="N4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4" s="29">
        <f>ROUND(IF(ROW()-1&gt;InsurancePeriod,0,(O3*(1+(Table1[[#This Row],[Adjustment Factor of Premium]]/100)))),0)</f>
        <v>144000000</v>
      </c>
      <c r="P4" s="29">
        <f>IF(Table1[Year] = 0, 0, SUM(L$2:L4))</f>
        <v>364000000</v>
      </c>
      <c r="Q4" s="17">
        <f t="shared" si="1"/>
        <v>1322500000</v>
      </c>
      <c r="R4" s="17">
        <f>IF(Table1[[#This Row],[Year]]=0,0,IF($C$2&lt;=50,LOOKUP(Table1[[#This Row],[Age]],db!BG5:BG111,db!BH5:BH111),LOOKUP(Table1[[#This Row],[Age]],db!BJ5:BJ111,db!BK5:BK111)))</f>
        <v>2000000000</v>
      </c>
      <c r="S4" s="17">
        <f>IF(AND(Changes!Change="Yes",Changes!ValidityYear&lt;=Table1[[#This Row],[Year]],Changes!ChangeType="Paid-Up",PaidUpOption="Paid-up with no coverage"),0,IF(B4=0,0, IF(AND(Changes!Change="Yes", Changes!ValidityYear=Table1[[#This Row],[Year]], Changes!ChangeType="Change Death Capital"), Changes!NewChangedValue, S3*(1+(Table1[[#This Row],[Adjustment Factor of Death Capital]]/100)))))</f>
        <v>1322500000</v>
      </c>
      <c r="T4" s="17">
        <f>MIN(IF(B4=0,0,Table1[[#This Row],[Death Capital (1)]]),Table1[[#This Row],[Max Sum Insured For Death]])</f>
        <v>1322500000</v>
      </c>
      <c r="U4" s="29">
        <f t="shared" si="10"/>
        <v>1322500000</v>
      </c>
      <c r="V4" s="29">
        <f>IF(AND(Changes!Change="Yes",Changes!ValidityYear&lt;=Table1[[#This Row],[Year]],Changes!ChangeType="Paid-Up",OR(PaidUpOption="Paid-up with no coverage",PaidUpOption="Paid-up with main coverage")),0,IF(B4=0,0,IF(AND(Changes!Change="Yes", Changes!ValidityYear&lt;=Table1[[#This Row],[Year]], Changes!ChangeType="Rider Inclusion/Exclusion", Changes!RiderType="Accident Death"), T4*Changes!NewChangedValue,IF(db!$D$6="Yes",(db!$B$6)*T4,0))))</f>
        <v>1322500000</v>
      </c>
      <c r="W4" s="29">
        <f>MIN(IF(V4&lt;=db!$L$2,V4,db!$L$2),MAX_ACC_CAPITAL)</f>
        <v>1322500000</v>
      </c>
      <c r="X4" s="17">
        <f>IF(AND(Changes!Change="Yes",Changes!ValidityYear&lt;=Table1[[#This Row],[Year]],Changes!ChangeType="Paid-Up",OR(PaidUpOption="Paid-up with no coverage",PaidUpOption="Paid-up with main coverage")),0,IF(OR(B4=0,Table1[[#This Row],[Accident Capital (2)]]=0),0,IF(AND(Changes!Change="Yes", Changes!ValidityYear&lt;=Table1[[#This Row],[Year]], Changes!ChangeType="Rider Inclusion/Exclusion", Changes!RiderType="Accident Disability"), T4*Changes!NewChangedValue,IF(db!$D$7="Yes",(db!$B$7)*T4,0))))</f>
        <v>661250000</v>
      </c>
      <c r="Y4" s="42">
        <f>IF(C4&gt;69,0,IF(C4=0,0,IF(X4&lt;=db!$L$3,X4,db!$L$3)))</f>
        <v>661250000</v>
      </c>
      <c r="Z4" s="29">
        <f>IF(AND(Changes!Change="Yes",Changes!ValidityYear&lt;=Table1[[#This Row],[Year]],Changes!ChangeType="Paid-Up",OR(PaidUpOption="Paid-up with no coverage",PaidUpOption="Paid-up with main coverage")),0,IF(OR(B4=0,Table1[[#This Row],[Accident Capital (2)]]=0),0,IF(AND(Changes!Change="Yes", Changes!ValidityYear&lt;=Table1[[#This Row],[Year]], Changes!ChangeType="Rider Inclusion/Exclusion", Changes!RiderType="Accident Medical Cost"), T4*Changes!NewChangedValue,IF(db!$D$9="Yes",(db!$B$9)*T4,0))))</f>
        <v>264500000</v>
      </c>
      <c r="AA4" s="29">
        <f>ROUND(IF(C4&gt;69,0,IF(C4=0,0,IF(Z4&lt;=db!$L$4,Z4,db!$L$4))),0)</f>
        <v>50000000</v>
      </c>
      <c r="AB4" s="38">
        <f>IF(AND(Changes!Change = "Yes", Changes!ChangeType = "Rider Inclusion/Exclusion", Changes!RiderType = "WOP"), IF( Changes!ValidityYear &lt;= Table1[[#This Row],[Year]], IF(WOP = "Yes", 0, 1),  IF(WOP = "Yes", 1, 0)), IF(AND(db!$D$8="Yes",C4&lt;=69,ROW()-1&lt;=InsurancePeriod), 1, 0))</f>
        <v>1</v>
      </c>
      <c r="AC4" s="17">
        <f>(AC5+K5)*AB4*((1)/(1+db!AA6))*(LOOKUP(C4,'Mortality Table'!$A$2:$A$108,'Mortality Table'!$E$2:$E$108))</f>
        <v>2212086260.1579652</v>
      </c>
      <c r="AD4" s="340">
        <f>IF(AND(Changes!ValidityYear&lt;= Table1[[#This Row],[Year]],Changes!ChangeType="Change Value Adjustment",Changes!Change="Yes"), (AD5+L5)*AB4*((1)/(1+db!AA6))*(LOOKUP(C4,'Mortality Table'!$A$2:$A$108,'Mortality Table'!$E$2:$E$108)),Table1[[#This Row],[WOP Before Adj. BT]])</f>
        <v>2212086260.1579652</v>
      </c>
      <c r="AE4" s="341">
        <f>IF(AND(Changes!Change="Yes", Changes!ChangeType="Change Value Adjustment"),Table1[[#This Row],[WOP Capital]],(AE5+O5)*AB4*((1)/(1+db!AA6))*(LOOKUP(D4,'Mortality Table'!$A$2:$A$108,'Mortality Table'!$E$2:$E$108)))</f>
        <v>2212086260.1579652</v>
      </c>
      <c r="AF4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2212086260.1579652</v>
      </c>
      <c r="AG4" s="42">
        <f>IF(AND(Changes!Change="Yes", Changes!ValidityYear&lt;=Table1[[#This Row],[Year]], Changes!ChangeType="Rider Inclusion/Exclusion", Changes!RiderType="Disability Annuity"), L4*Changes!NewChangedValue,L4*db!B$10*IF(db!$D$10="Yes",1,0))</f>
        <v>288000000</v>
      </c>
      <c r="AH4" s="29">
        <f>IF(AND(Changes!Change="Yes",Changes!ValidityYear&lt;=Table1[[#This Row],[Year]],Changes!ChangeType="Paid-Up"),0,Table1[[#This Row],[Code Annuity Capital]]*IF('Annual Calculation'!C4&gt;69,0,(LOOKUP('Annual Calculation'!C4+1,'Mortality Table'!$A$2:$A$108,'Mortality Table'!$O$2:$O$108)-LOOKUP('Annual Calculation'!C4+11,'Mortality Table'!$A$2:$A$108,'Mortality Table'!$O$2:$O$108))/LOOKUP('Annual Calculation'!C4,'Mortality Table'!$A$2:$A$108,'Mortality Table'!$M$2:$M$108)))</f>
        <v>1753784540.7138898</v>
      </c>
      <c r="AI4" s="17">
        <f>IF(AND(Changes!Change="Yes",Changes!ValidityYear&lt;=Table1[[#This Row],[Year]],Changes!ChangeType="Paid-Up",OR(PaidUpOption="Paid-up with no coverage",PaidUpOption="Paid-up with main coverage")),0,IF(B4=0,0,IF(AND(Changes!Change="Yes", Changes!ValidityYear&lt;=Table1[[#This Row],[Year]], Changes!ChangeType="Rider Inclusion/Exclusion", Changes!RiderType="Dread Disease"), T4*Changes!NewChangedValue,IF(db!$D$11="Yes",(db!$B$11)*T4,0))))</f>
        <v>198375000</v>
      </c>
      <c r="AJ4" s="42">
        <f>ROUND(IF(C4&gt;59,0,IF(C4=0,0,IF(AI4&lt;=db!$L$5,AI4,db!$L$5))),0)</f>
        <v>198375000</v>
      </c>
      <c r="AK4" s="29">
        <f>IF(AND(Changes!Change="Yes",Changes!ValidityYear&lt;=Table1[[#This Row],[Year]],Changes!ChangeType="Paid-Up",OR(PaidUpOption="Paid-up with no coverage",PaidUpOption="Paid-up with main coverage")),0,IF(B4=0,0,IF(AND(Changes!Change="Yes", Changes!ValidityYear&lt;=Table1[[#This Row],[Year]], Changes!ChangeType="Rider Inclusion/Exclusion", Changes!RiderType="Cancer"), T4*Changes!NewChangedValue,IF(db!$D$12="Yes",(db!$B$12)*T4,0))))</f>
        <v>330625000</v>
      </c>
      <c r="AL4" s="29">
        <f>ROUND(IF(C4&gt;59,0,IF(C4=0,0,IF(AK4&lt;=db!$L$6,AK4,db!$L$6))),0)</f>
        <v>300000000</v>
      </c>
      <c r="AM4" s="32"/>
      <c r="AN4" s="18">
        <f>IF(B4=0,0,IF(C4&lt;(db!$E$2+5),LOOKUP(C4,'Mortality Table'!$A$2:$A$108,'Mortality Table'!$P$2:$P$108),IF((C4&gt;=db!$E$2+10),LOOKUP(C4,'Mortality Table'!$A$2:$A$108,'Mortality Table'!$R$2:$R$108),LOOKUP(C4,'Mortality Table'!$A$2:$A$108,'Mortality Table'!$Q$2:$Q$108))))</f>
        <v>1.5412838919328282E-3</v>
      </c>
      <c r="AO4" s="22">
        <f t="shared" si="2"/>
        <v>2038348</v>
      </c>
      <c r="AP4" s="19">
        <f>IF(B4=0,0, LOOKUP(IF(AND(Changes!Change="Yes", Changes!ValidityYear&lt;=Table1[[#This Row],[Year]], Changes!ChangeType="Change Job Class"),Changes!NewChangedValue, db!$A$8),db!$AX$4:$AX$8,db!$AY$4:$AY$8))</f>
        <v>0.6</v>
      </c>
      <c r="AQ4" s="20">
        <f>ROUND((AP4/1000)*W4 * (1-db!$AS$9),0)</f>
        <v>599093</v>
      </c>
      <c r="AR4" s="20">
        <f>(AP4/1000)*W4 * db!$AS$9</f>
        <v>194407.49999999997</v>
      </c>
      <c r="AS4" s="21">
        <f>IF(B4=0,0, LOOKUP(IF(AND(Changes!Change="Yes", Changes!ValidityYear&lt;=Table1[[#This Row],[Year]], Changes!ChangeType="Change Job Class"),Changes!NewChangedValue, db!$A$8),db!$AX$4:$AX$8,db!$AZ$4:$AZ$8))</f>
        <v>0.6</v>
      </c>
      <c r="AT4" s="22">
        <f>(AS4/1000)*Y4*(1-db!$AS$9)</f>
        <v>299546.24999999994</v>
      </c>
      <c r="AU4" s="22">
        <f>(AS4/1000)*Y4*(db!$AS$9)</f>
        <v>97203.749999999985</v>
      </c>
      <c r="AV4" s="23">
        <f>IF(B4=0,0, LOOKUP(IF(AND(Changes!Change="Yes", Changes!ValidityYear&lt;=Table1[[#This Row],[Year]], Changes!ChangeType="Change Job Class"),Changes!NewChangedValue, db!$A$8),db!$AX$4:$AX$8,db!$BA$4:$BA$8))</f>
        <v>0.8</v>
      </c>
      <c r="AW4" s="20">
        <f>ROUND((AV4/(100))*AA4*(1-db!$AS$9),0)</f>
        <v>302000</v>
      </c>
      <c r="AX4" s="20">
        <f>ROUND((AV4/(100))*AA4*(db!$AS$9),0)</f>
        <v>98000</v>
      </c>
      <c r="AY4" s="21">
        <f>IF(db!$D$8="Yes",AS4,0)</f>
        <v>0.6</v>
      </c>
      <c r="AZ4" s="22">
        <f>(AY4*AF4)/1000*(1-db!$AS$9)</f>
        <v>1002075.0758515582</v>
      </c>
      <c r="BA4" s="22">
        <f>(AY4*AF4)/1000*(db!$AS$9)</f>
        <v>325176.68024322088</v>
      </c>
      <c r="BB4" s="23">
        <f t="shared" si="3"/>
        <v>0.6</v>
      </c>
      <c r="BC4" s="20">
        <f>(BB4*AH4/1000)*(1-db!$AS$9)</f>
        <v>794464.396943392</v>
      </c>
      <c r="BD4" s="20">
        <f>(BB4*AH4/1000)*(db!$AS$9)</f>
        <v>257806.32748494178</v>
      </c>
      <c r="BE4" s="22">
        <f>IF(B4=0,0,IF(C4&gt;60,0,LOOKUP(Table1[[#This Row],[Medical
Age]],db!$BC$3:$BC$63,db!$BD$3:$BD$63)))</f>
        <v>750</v>
      </c>
      <c r="BF4" s="22">
        <f>BG4*db!$AS$10</f>
        <v>14878.125</v>
      </c>
      <c r="BG4" s="22">
        <f t="shared" si="4"/>
        <v>148781.25</v>
      </c>
      <c r="BH4" s="22">
        <f>(BE4/1000000)*AJ4*(1-db!$AS$10)</f>
        <v>133903.125</v>
      </c>
      <c r="BI4" s="20">
        <f>IF(B4=0,0,IF(C4&gt;59,0,LOOKUP(Table1[[#This Row],[Medical
Age]],db!$BC$3:$BC$63,db!$BE$3:$BE$63)))</f>
        <v>750</v>
      </c>
      <c r="BJ4" s="20">
        <f>(BI4/1000000)*AL4*(1-db!$AS$11)</f>
        <v>202500</v>
      </c>
      <c r="BK4" s="20">
        <f>(BI4/1000000)*AL4*(db!$AS$11)</f>
        <v>22500</v>
      </c>
      <c r="BL4" s="19">
        <f>IF(Table1[Year]=0,0,IF(AND(Changes!Change="Yes", Changes!ValidityYear&lt;=Table1[[#This Row],[Year]], Changes!ChangeType="Change Risk Loading"), LOOKUP(Table1[Age],RiskLoadingChange!A$3:A$109,RiskLoadingChange!DL$3:DL$109), LOOKUP(Table1[Age],RiskLoading!A$3:A$109,RiskLoading!DL$3:DL$109)))</f>
        <v>3.9822332364802793E-4</v>
      </c>
      <c r="BM4" s="20">
        <f>Table1[[#This Row],[RiskLoading
Rate]]*Table1[[#This Row],[Death Capital (2)]]</f>
        <v>526650.34552451689</v>
      </c>
      <c r="BN4" s="36"/>
      <c r="BO4" s="37">
        <f t="shared" si="5"/>
        <v>2038348</v>
      </c>
      <c r="BP4" s="35">
        <f t="shared" si="6"/>
        <v>2997178.72279495</v>
      </c>
      <c r="BQ4" s="35">
        <f t="shared" si="7"/>
        <v>972594.25772816269</v>
      </c>
      <c r="BR4" s="37">
        <f t="shared" si="11"/>
        <v>336403.125</v>
      </c>
      <c r="BS4" s="37">
        <f t="shared" si="12"/>
        <v>37378.125</v>
      </c>
      <c r="BT4" s="35">
        <f t="shared" si="13"/>
        <v>3333582</v>
      </c>
      <c r="BU4" s="35">
        <f t="shared" si="14"/>
        <v>1009972</v>
      </c>
      <c r="BV4" s="37">
        <f>(db!$AS$3/100)*(L4-BT4-BU4)</f>
        <v>2793128.92</v>
      </c>
      <c r="BW4" s="37">
        <f>(db!$AS$7/100)*(L4-BT4-BU4)</f>
        <v>2793128.92</v>
      </c>
      <c r="BX4" s="35">
        <f>IF(AND(Changes!Change="Yes",Changes!ValidityYear&lt;=Table1[[#This Row],[Year]],Changes!ChangeType="Paid-Up",PaidUpOption="Paid-up with no coverage"),0,IF(B4&gt;5,0,$T$2*(db!AS$5/1000)))</f>
        <v>1500000</v>
      </c>
      <c r="BY4" s="37"/>
      <c r="BZ4" s="37">
        <f>IF(AND(Changes!Change="Yes",Changes!ValidityYear&lt;=Table1[[#This Row],[Year]],Changes!ChangeType="Paid-Up",PaidUpOption="Paid-up with no coverage"),0,0.175*$BY$2)</f>
        <v>5250000</v>
      </c>
      <c r="CA4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19244810</v>
      </c>
      <c r="CB4" s="33"/>
      <c r="CC4" s="39">
        <f>ROUND((Table1[[#This Row],[Premium]]-Table1[[#This Row],[All Deductions]]),0)</f>
        <v>124755190</v>
      </c>
      <c r="CD4" s="39">
        <f>IF(B4=0,0,Table1[[#This Row],[Initial Reserve]]+CE3)</f>
        <v>371700282</v>
      </c>
      <c r="CE4" s="40">
        <f>ROUND(IF(B4=0,0,((CC4)*(1+db!Y6))+((CE3)*(1+db!U6))),0)</f>
        <v>438606333</v>
      </c>
      <c r="CF4" s="40">
        <f>ROUND(CE4-SUM(BX5:$BX$7),-3)</f>
        <v>435606000</v>
      </c>
      <c r="CG4" s="15">
        <f t="shared" si="15"/>
        <v>3</v>
      </c>
      <c r="CH4" s="39">
        <f>IF(B4=0,0,((CC4)*(1+db!AH6))+((CH3)*(1+db!AD6)))</f>
        <v>453665969.472</v>
      </c>
      <c r="CI4" s="39">
        <f>CH4-(SUM(BX5:$BX$7))</f>
        <v>450665969.472</v>
      </c>
      <c r="CJ4" s="40">
        <f>IF(B4=0,0,((CC4)*(1+db!AO6))+((CJ3)*(1+db!AK6)))</f>
        <v>469068006.82527196</v>
      </c>
      <c r="CK4" s="40">
        <f>CJ4-(SUM(BX5:$BX$7))</f>
        <v>466068006.82527196</v>
      </c>
      <c r="CL4" s="46"/>
    </row>
    <row r="5" spans="1:90">
      <c r="A5" s="24">
        <f t="shared" si="16"/>
        <v>4</v>
      </c>
      <c r="B5" s="16">
        <f>IF(AND(Changes!Change="Yes", Changes!ChangeType="Change Contract Duration"),IF(B4=0,0,IF(Changes!NewChangedValue&lt;B4+1,0,B4+1)),IF(B4=0,0,IF('Application Annually'!$C$5&lt;B4+1,0,B4+1)))</f>
        <v>4</v>
      </c>
      <c r="C5" s="15">
        <f t="shared" si="17"/>
        <v>31</v>
      </c>
      <c r="D5" s="312">
        <f t="shared" si="18"/>
        <v>31</v>
      </c>
      <c r="E5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36</v>
      </c>
      <c r="F5" s="29">
        <f t="shared" si="8"/>
        <v>172800000</v>
      </c>
      <c r="G5" s="29">
        <f t="shared" si="9"/>
        <v>172800000</v>
      </c>
      <c r="H5" s="29">
        <f t="shared" si="0"/>
        <v>186624000</v>
      </c>
      <c r="I5" s="29">
        <f>IF(B5&gt;0,IF(AND(Table1[[#This Row],[Year]]&gt;Changes!ValidityYear,Changes!Change="Yes",Changes!ChangeType="Change Value Adjustment"),Changes!$G$22,'Application Annually'!$C$11),0)</f>
        <v>15</v>
      </c>
      <c r="J5" s="29">
        <f>IF(B5&gt;0,IF(AND(Table1[[#This Row],[Year]]&gt;Changes!ValidityYear,Changes!Change="Yes",Changes!ChangeType="Change Value Adjustment"),Changes!$G$24,'Application Annually'!$C$7),0)</f>
        <v>20</v>
      </c>
      <c r="K5" s="29">
        <f>ROUND(IF(B5=0,0,IF(AND(Changes!Change="Yes", Changes!ValidityYear=Table1[[#This Row],[Year]], Changes!ChangeType="Change Premium"), Changes!NewChangedValue, (K4*(1+db!$B$3)))),0)</f>
        <v>172800000</v>
      </c>
      <c r="L5" s="29">
        <f>ROUND(IF(AND(Changes!Change="Yes",Changes!ValidityYear&lt;=Table1[[#This Row],[Year]],Changes!ChangeType="Paid-Up"),0,IF(B5=0,0,IF(AND(Changes!Change="Yes", Changes!ValidityYear=Table1[[#This Row],[Year]], Changes!ChangeType="Change Premium"), Changes!NewChangedValue, (L4*(1+Table1[[#This Row],[Adjustment Factor of Premium]]/100))))),0)</f>
        <v>172800000</v>
      </c>
      <c r="M5" s="29">
        <f>IF(Table1[[#This Row],[Year]]=1,ROUND(MIN($L$2 -( Table1[[#This Row],[Riders Risk Premiums]] + Table1[[#This Row],[Acquisition Cost]]) *0.75,Table1[[#This Row],[Death Capital (1)]]* 0.03),0),0)</f>
        <v>0</v>
      </c>
      <c r="N5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5" s="29">
        <f>ROUND(IF(ROW()-1&gt;InsurancePeriod,0,(O4*(1+(Table1[[#This Row],[Adjustment Factor of Premium]]/100)))),0)</f>
        <v>172800000</v>
      </c>
      <c r="P5" s="29">
        <f>IF(Table1[Year] = 0, 0, SUM(L$2:L5))</f>
        <v>536800000</v>
      </c>
      <c r="Q5" s="17">
        <f t="shared" si="1"/>
        <v>1520875000</v>
      </c>
      <c r="R5" s="17">
        <f>IF(Table1[[#This Row],[Year]]=0,0,IF($C$2&lt;=50,LOOKUP(Table1[[#This Row],[Age]],db!BG6:BG112,db!BH6:BH112),LOOKUP(Table1[[#This Row],[Age]],db!BJ6:BJ112,db!BK6:BK112)))</f>
        <v>2000000000</v>
      </c>
      <c r="S5" s="17">
        <f>IF(AND(Changes!Change="Yes",Changes!ValidityYear&lt;=Table1[[#This Row],[Year]],Changes!ChangeType="Paid-Up",PaidUpOption="Paid-up with no coverage"),0,IF(B5=0,0, IF(AND(Changes!Change="Yes", Changes!ValidityYear=Table1[[#This Row],[Year]], Changes!ChangeType="Change Death Capital"), Changes!NewChangedValue, S4*(1+(Table1[[#This Row],[Adjustment Factor of Death Capital]]/100)))))</f>
        <v>1520875000</v>
      </c>
      <c r="T5" s="17">
        <f>MIN(IF(B5=0,0,Table1[[#This Row],[Death Capital (1)]]),Table1[[#This Row],[Max Sum Insured For Death]])</f>
        <v>1520875000</v>
      </c>
      <c r="U5" s="29">
        <f t="shared" si="10"/>
        <v>1520875000</v>
      </c>
      <c r="V5" s="29">
        <f>IF(AND(Changes!Change="Yes",Changes!ValidityYear&lt;=Table1[[#This Row],[Year]],Changes!ChangeType="Paid-Up",OR(PaidUpOption="Paid-up with no coverage",PaidUpOption="Paid-up with main coverage")),0,IF(B5=0,0,IF(AND(Changes!Change="Yes", Changes!ValidityYear&lt;=Table1[[#This Row],[Year]], Changes!ChangeType="Rider Inclusion/Exclusion", Changes!RiderType="Accident Death"), T5*Changes!NewChangedValue,IF(db!$D$6="Yes",(db!$B$6)*T5,0))))</f>
        <v>1520875000</v>
      </c>
      <c r="W5" s="29">
        <f>MIN(IF(V5&lt;=db!$L$2,V5,db!$L$2),MAX_ACC_CAPITAL)</f>
        <v>1520875000</v>
      </c>
      <c r="X5" s="17">
        <f>IF(AND(Changes!Change="Yes",Changes!ValidityYear&lt;=Table1[[#This Row],[Year]],Changes!ChangeType="Paid-Up",OR(PaidUpOption="Paid-up with no coverage",PaidUpOption="Paid-up with main coverage")),0,IF(OR(B5=0,Table1[[#This Row],[Accident Capital (2)]]=0),0,IF(AND(Changes!Change="Yes", Changes!ValidityYear&lt;=Table1[[#This Row],[Year]], Changes!ChangeType="Rider Inclusion/Exclusion", Changes!RiderType="Accident Disability"), T5*Changes!NewChangedValue,IF(db!$D$7="Yes",(db!$B$7)*T5,0))))</f>
        <v>760437500</v>
      </c>
      <c r="Y5" s="42">
        <f>IF(C5&gt;69,0,IF(C5=0,0,IF(X5&lt;=db!$L$3,X5,db!$L$3)))</f>
        <v>760437500</v>
      </c>
      <c r="Z5" s="29">
        <f>IF(AND(Changes!Change="Yes",Changes!ValidityYear&lt;=Table1[[#This Row],[Year]],Changes!ChangeType="Paid-Up",OR(PaidUpOption="Paid-up with no coverage",PaidUpOption="Paid-up with main coverage")),0,IF(OR(B5=0,Table1[[#This Row],[Accident Capital (2)]]=0),0,IF(AND(Changes!Change="Yes", Changes!ValidityYear&lt;=Table1[[#This Row],[Year]], Changes!ChangeType="Rider Inclusion/Exclusion", Changes!RiderType="Accident Medical Cost"), T5*Changes!NewChangedValue,IF(db!$D$9="Yes",(db!$B$9)*T5,0))))</f>
        <v>304175000</v>
      </c>
      <c r="AA5" s="29">
        <f>ROUND(IF(C5&gt;69,0,IF(C5=0,0,IF(Z5&lt;=db!$L$4,Z5,db!$L$4))),0)</f>
        <v>50000000</v>
      </c>
      <c r="AB5" s="38">
        <f>IF(AND(Changes!Change = "Yes", Changes!ChangeType = "Rider Inclusion/Exclusion", Changes!RiderType = "WOP"), IF( Changes!ValidityYear &lt;= Table1[[#This Row],[Year]], IF(WOP = "Yes", 0, 1),  IF(WOP = "Yes", 1, 0)), IF(AND(db!$D$8="Yes",C5&lt;=69,ROW()-1&lt;=InsurancePeriod), 1, 0))</f>
        <v>1</v>
      </c>
      <c r="AC5" s="17">
        <f>(AC6+K6)*AB5*((1)/(1+db!AA7))*(LOOKUP(C5,'Mortality Table'!$A$2:$A$108,'Mortality Table'!$E$2:$E$108))</f>
        <v>2441839380.5917053</v>
      </c>
      <c r="AD5" s="340">
        <f>IF(AND(Changes!ValidityYear&lt;= Table1[[#This Row],[Year]],Changes!ChangeType="Change Value Adjustment",Changes!Change="Yes"), (AD6+L6)*AB5*((1)/(1+db!AA7))*(LOOKUP(C5,'Mortality Table'!$A$2:$A$108,'Mortality Table'!$E$2:$E$108)),Table1[[#This Row],[WOP Before Adj. BT]])</f>
        <v>2441839380.5917053</v>
      </c>
      <c r="AE5" s="341">
        <f>IF(AND(Changes!Change="Yes", Changes!ChangeType="Change Value Adjustment"),Table1[[#This Row],[WOP Capital]],(AE6+O6)*AB5*((1)/(1+db!AA7))*(LOOKUP(D5,'Mortality Table'!$A$2:$A$108,'Mortality Table'!$E$2:$E$108)))</f>
        <v>2441839380.5917053</v>
      </c>
      <c r="AF5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2441839380.5917053</v>
      </c>
      <c r="AG5" s="42">
        <f>IF(AND(Changes!Change="Yes", Changes!ValidityYear&lt;=Table1[[#This Row],[Year]], Changes!ChangeType="Rider Inclusion/Exclusion", Changes!RiderType="Disability Annuity"), L5*Changes!NewChangedValue,L5*db!B$10*IF(db!$D$10="Yes",1,0))</f>
        <v>345600000</v>
      </c>
      <c r="AH5" s="29">
        <f>IF(AND(Changes!Change="Yes",Changes!ValidityYear&lt;=Table1[[#This Row],[Year]],Changes!ChangeType="Paid-Up"),0,Table1[[#This Row],[Code Annuity Capital]]*IF('Annual Calculation'!C5&gt;69,0,(LOOKUP('Annual Calculation'!C5+1,'Mortality Table'!$A$2:$A$108,'Mortality Table'!$O$2:$O$108)-LOOKUP('Annual Calculation'!C5+11,'Mortality Table'!$A$2:$A$108,'Mortality Table'!$O$2:$O$108))/LOOKUP('Annual Calculation'!C5,'Mortality Table'!$A$2:$A$108,'Mortality Table'!$M$2:$M$108)))</f>
        <v>2103596105.4980135</v>
      </c>
      <c r="AI5" s="17">
        <f>IF(AND(Changes!Change="Yes",Changes!ValidityYear&lt;=Table1[[#This Row],[Year]],Changes!ChangeType="Paid-Up",OR(PaidUpOption="Paid-up with no coverage",PaidUpOption="Paid-up with main coverage")),0,IF(B5=0,0,IF(AND(Changes!Change="Yes", Changes!ValidityYear&lt;=Table1[[#This Row],[Year]], Changes!ChangeType="Rider Inclusion/Exclusion", Changes!RiderType="Dread Disease"), T5*Changes!NewChangedValue,IF(db!$D$11="Yes",(db!$B$11)*T5,0))))</f>
        <v>228131250</v>
      </c>
      <c r="AJ5" s="42">
        <f>ROUND(IF(C5&gt;59,0,IF(C5=0,0,IF(AI5&lt;=db!$L$5,AI5,db!$L$5))),0)</f>
        <v>200000000</v>
      </c>
      <c r="AK5" s="29">
        <f>IF(AND(Changes!Change="Yes",Changes!ValidityYear&lt;=Table1[[#This Row],[Year]],Changes!ChangeType="Paid-Up",OR(PaidUpOption="Paid-up with no coverage",PaidUpOption="Paid-up with main coverage")),0,IF(B5=0,0,IF(AND(Changes!Change="Yes", Changes!ValidityYear&lt;=Table1[[#This Row],[Year]], Changes!ChangeType="Rider Inclusion/Exclusion", Changes!RiderType="Cancer"), T5*Changes!NewChangedValue,IF(db!$D$12="Yes",(db!$B$12)*T5,0))))</f>
        <v>380218750</v>
      </c>
      <c r="AL5" s="29">
        <f>ROUND(IF(C5&gt;59,0,IF(C5=0,0,IF(AK5&lt;=db!$L$6,AK5,db!$L$6))),0)</f>
        <v>300000000</v>
      </c>
      <c r="AM5" s="32"/>
      <c r="AN5" s="18">
        <f>IF(B5=0,0,IF(C5&lt;(db!$E$2+5),LOOKUP(C5,'Mortality Table'!$A$2:$A$108,'Mortality Table'!$P$2:$P$108),IF((C5&gt;=db!$E$2+10),LOOKUP(C5,'Mortality Table'!$A$2:$A$108,'Mortality Table'!$R$2:$R$108),LOOKUP(C5,'Mortality Table'!$A$2:$A$108,'Mortality Table'!$Q$2:$Q$108))))</f>
        <v>1.6010490574957655E-3</v>
      </c>
      <c r="AO5" s="22">
        <f t="shared" si="2"/>
        <v>2434995</v>
      </c>
      <c r="AP5" s="19">
        <f>IF(B5=0,0, LOOKUP(IF(AND(Changes!Change="Yes", Changes!ValidityYear&lt;=Table1[[#This Row],[Year]], Changes!ChangeType="Change Job Class"),Changes!NewChangedValue, db!$A$8),db!$AX$4:$AX$8,db!$AY$4:$AY$8))</f>
        <v>0.6</v>
      </c>
      <c r="AQ5" s="20">
        <f>ROUND((AP5/1000)*W5 * (1-db!$AS$9),0)</f>
        <v>688956</v>
      </c>
      <c r="AR5" s="20">
        <f>(AP5/1000)*W5 * db!$AS$9</f>
        <v>223568.62499999997</v>
      </c>
      <c r="AS5" s="21">
        <f>IF(B5=0,0, LOOKUP(IF(AND(Changes!Change="Yes", Changes!ValidityYear&lt;=Table1[[#This Row],[Year]], Changes!ChangeType="Change Job Class"),Changes!NewChangedValue, db!$A$8),db!$AX$4:$AX$8,db!$AZ$4:$AZ$8))</f>
        <v>0.6</v>
      </c>
      <c r="AT5" s="22">
        <f>(AS5/1000)*Y5*(1-db!$AS$9)</f>
        <v>344478.18749999994</v>
      </c>
      <c r="AU5" s="22">
        <f>(AS5/1000)*Y5*(db!$AS$9)</f>
        <v>111784.31249999999</v>
      </c>
      <c r="AV5" s="23">
        <f>IF(B5=0,0, LOOKUP(IF(AND(Changes!Change="Yes", Changes!ValidityYear&lt;=Table1[[#This Row],[Year]], Changes!ChangeType="Change Job Class"),Changes!NewChangedValue, db!$A$8),db!$AX$4:$AX$8,db!$BA$4:$BA$8))</f>
        <v>0.8</v>
      </c>
      <c r="AW5" s="20">
        <f>ROUND((AV5/(100))*AA5*(1-db!$AS$9),0)</f>
        <v>302000</v>
      </c>
      <c r="AX5" s="20">
        <f>ROUND((AV5/(100))*AA5*(db!$AS$9),0)</f>
        <v>98000</v>
      </c>
      <c r="AY5" s="21">
        <f>IF(db!$D$8="Yes",AS5,0)</f>
        <v>0.6</v>
      </c>
      <c r="AZ5" s="22">
        <f>(AY5*AF5)/1000*(1-db!$AS$9)</f>
        <v>1106153.2394080425</v>
      </c>
      <c r="BA5" s="22">
        <f>(AY5*AF5)/1000*(db!$AS$9)</f>
        <v>358950.3889469807</v>
      </c>
      <c r="BB5" s="23">
        <f t="shared" si="3"/>
        <v>0.6</v>
      </c>
      <c r="BC5" s="20">
        <f>(BB5*AH5/1000)*(1-db!$AS$9)</f>
        <v>952929.03579060012</v>
      </c>
      <c r="BD5" s="20">
        <f>(BB5*AH5/1000)*(db!$AS$9)</f>
        <v>309228.62750820798</v>
      </c>
      <c r="BE5" s="22">
        <f>IF(B5=0,0,IF(C5&gt;60,0,LOOKUP(Table1[[#This Row],[Medical
Age]],db!$BC$3:$BC$63,db!$BD$3:$BD$63)))</f>
        <v>1500</v>
      </c>
      <c r="BF5" s="22">
        <f>BG5*db!$AS$10</f>
        <v>30000</v>
      </c>
      <c r="BG5" s="22">
        <f t="shared" si="4"/>
        <v>300000</v>
      </c>
      <c r="BH5" s="22">
        <f>(BE5/1000000)*AJ5*(1-db!$AS$10)</f>
        <v>270000</v>
      </c>
      <c r="BI5" s="20">
        <f>IF(B5=0,0,IF(C5&gt;59,0,LOOKUP(Table1[[#This Row],[Medical
Age]],db!$BC$3:$BC$63,db!$BE$3:$BE$63)))</f>
        <v>1500</v>
      </c>
      <c r="BJ5" s="20">
        <f>(BI5/1000000)*AL5*(1-db!$AS$11)</f>
        <v>405000</v>
      </c>
      <c r="BK5" s="20">
        <f>(BI5/1000000)*AL5*(db!$AS$11)</f>
        <v>45000</v>
      </c>
      <c r="BL5" s="19">
        <f>IF(Table1[Year]=0,0,IF(AND(Changes!Change="Yes", Changes!ValidityYear&lt;=Table1[[#This Row],[Year]], Changes!ChangeType="Change Risk Loading"), LOOKUP(Table1[Age],RiskLoadingChange!A$3:A$109,RiskLoadingChange!DL$3:DL$109), LOOKUP(Table1[Age],RiskLoading!A$3:A$109,RiskLoading!DL$3:DL$109)))</f>
        <v>4.4839274203957121E-4</v>
      </c>
      <c r="BM5" s="20">
        <f>Table1[[#This Row],[RiskLoading
Rate]]*Table1[[#This Row],[Death Capital (2)]]</f>
        <v>681949.31154943292</v>
      </c>
      <c r="BN5" s="36"/>
      <c r="BO5" s="37">
        <f t="shared" si="5"/>
        <v>2434995</v>
      </c>
      <c r="BP5" s="35">
        <f t="shared" si="6"/>
        <v>3394516.4626986426</v>
      </c>
      <c r="BQ5" s="35">
        <f t="shared" si="7"/>
        <v>1101531.9539551886</v>
      </c>
      <c r="BR5" s="37">
        <f t="shared" si="11"/>
        <v>675000</v>
      </c>
      <c r="BS5" s="37">
        <f t="shared" si="12"/>
        <v>75000</v>
      </c>
      <c r="BT5" s="35">
        <f t="shared" si="13"/>
        <v>4069516</v>
      </c>
      <c r="BU5" s="35">
        <f t="shared" si="14"/>
        <v>1176532</v>
      </c>
      <c r="BV5" s="37">
        <f>(db!$AS$3/100)*(L5-BT5-BU5)</f>
        <v>3351079.04</v>
      </c>
      <c r="BW5" s="37">
        <f>(db!$AS$7/100)*(L5-BT5-BU5)</f>
        <v>3351079.04</v>
      </c>
      <c r="BX5" s="35">
        <f>IF(AND(Changes!Change="Yes",Changes!ValidityYear&lt;=Table1[[#This Row],[Year]],Changes!ChangeType="Paid-Up",PaidUpOption="Paid-up with no coverage"),0,IF(B5&gt;5,0,$T$2*(db!AS$5/1000)))</f>
        <v>1500000</v>
      </c>
      <c r="BY5" s="37"/>
      <c r="BZ5" s="37">
        <f>IF(AND(Changes!Change="Yes",Changes!ValidityYear&lt;=Table1[[#This Row],[Year]],Changes!ChangeType="Paid-Up",PaidUpOption="Paid-up with no coverage"),0,0.175*$BY$2)</f>
        <v>5250000</v>
      </c>
      <c r="CA5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21815150</v>
      </c>
      <c r="CB5" s="33"/>
      <c r="CC5" s="39">
        <f>ROUND((Table1[[#This Row],[Premium]]-Table1[[#This Row],[All Deductions]]),0)</f>
        <v>150984850</v>
      </c>
      <c r="CD5" s="39">
        <f>IF(B5=0,0,Table1[[#This Row],[Initial Reserve]]+CE4)</f>
        <v>589591183</v>
      </c>
      <c r="CE5" s="40">
        <f>ROUND(IF(B5=0,0,((CC5)*(1+db!Y7))+((CE4)*(1+db!U7))),0)</f>
        <v>695717596</v>
      </c>
      <c r="CF5" s="40">
        <f>ROUND(CE5-SUM(BX6:$BX$7),-3)</f>
        <v>694218000</v>
      </c>
      <c r="CG5" s="15">
        <f t="shared" si="15"/>
        <v>4</v>
      </c>
      <c r="CH5" s="39">
        <f>IF(B5=0,0,((CC5)*(1+db!AH7))+((CH4)*(1+db!AD7)))</f>
        <v>725580983.3664</v>
      </c>
      <c r="CI5" s="39">
        <f>CH5-(SUM(BX6:$BX$7))</f>
        <v>724080983.3664</v>
      </c>
      <c r="CJ5" s="40">
        <f>IF(B5=0,0,((CC5)*(1+db!AO7))+((CJ4)*(1+db!AK7)))</f>
        <v>756464485.32683182</v>
      </c>
      <c r="CK5" s="40">
        <f>CJ5-(SUM(BX6:$BX$7))</f>
        <v>754964485.32683182</v>
      </c>
      <c r="CL5" s="46"/>
    </row>
    <row r="6" spans="1:90">
      <c r="A6" s="24">
        <f t="shared" si="16"/>
        <v>5</v>
      </c>
      <c r="B6" s="16">
        <f>IF(AND(Changes!Change="Yes", Changes!ChangeType="Change Contract Duration"),IF(B5=0,0,IF(Changes!NewChangedValue&lt;B5+1,0,B5+1)),IF(B5=0,0,IF('Application Annually'!$C$5&lt;B5+1,0,B5+1)))</f>
        <v>5</v>
      </c>
      <c r="C6" s="15">
        <f t="shared" si="17"/>
        <v>32</v>
      </c>
      <c r="D6" s="312">
        <f t="shared" si="18"/>
        <v>32</v>
      </c>
      <c r="E6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36</v>
      </c>
      <c r="F6" s="29">
        <f t="shared" si="8"/>
        <v>207360000</v>
      </c>
      <c r="G6" s="29">
        <f t="shared" si="9"/>
        <v>207360000</v>
      </c>
      <c r="H6" s="29">
        <f t="shared" si="0"/>
        <v>223949000</v>
      </c>
      <c r="I6" s="29">
        <f>IF(B6&gt;0,IF(AND(Table1[[#This Row],[Year]]&gt;Changes!ValidityYear,Changes!Change="Yes",Changes!ChangeType="Change Value Adjustment"),Changes!$G$22,'Application Annually'!$C$11),0)</f>
        <v>15</v>
      </c>
      <c r="J6" s="29">
        <f>IF(B6&gt;0,IF(AND(Table1[[#This Row],[Year]]&gt;Changes!ValidityYear,Changes!Change="Yes",Changes!ChangeType="Change Value Adjustment"),Changes!$G$24,'Application Annually'!$C$7),0)</f>
        <v>20</v>
      </c>
      <c r="K6" s="29">
        <f>ROUND(IF(B6=0,0,IF(AND(Changes!Change="Yes", Changes!ValidityYear=Table1[[#This Row],[Year]], Changes!ChangeType="Change Premium"), Changes!NewChangedValue, (K5*(1+db!$B$3)))),0)</f>
        <v>207360000</v>
      </c>
      <c r="L6" s="29">
        <f>ROUND(IF(AND(Changes!Change="Yes",Changes!ValidityYear&lt;=Table1[[#This Row],[Year]],Changes!ChangeType="Paid-Up"),0,IF(B6=0,0,IF(AND(Changes!Change="Yes", Changes!ValidityYear=Table1[[#This Row],[Year]], Changes!ChangeType="Change Premium"), Changes!NewChangedValue, (L5*(1+Table1[[#This Row],[Adjustment Factor of Premium]]/100))))),0)</f>
        <v>207360000</v>
      </c>
      <c r="M6" s="29">
        <f>IF(Table1[[#This Row],[Year]]=1,ROUND(MIN($L$2 -( Table1[[#This Row],[Riders Risk Premiums]] + Table1[[#This Row],[Acquisition Cost]]) *0.75,Table1[[#This Row],[Death Capital (1)]]* 0.03),0),0)</f>
        <v>0</v>
      </c>
      <c r="N6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6" s="29">
        <f>ROUND(IF(ROW()-1&gt;InsurancePeriod,0,(O5*(1+(Table1[[#This Row],[Adjustment Factor of Premium]]/100)))),0)</f>
        <v>207360000</v>
      </c>
      <c r="P6" s="29">
        <f>IF(Table1[Year] = 0, 0, SUM(L$2:L6))</f>
        <v>744160000</v>
      </c>
      <c r="Q6" s="17">
        <f t="shared" si="1"/>
        <v>1749006000</v>
      </c>
      <c r="R6" s="17">
        <f>IF(Table1[[#This Row],[Year]]=0,0,IF($C$2&lt;=50,LOOKUP(Table1[[#This Row],[Age]],db!BG7:BG113,db!BH7:BH113),LOOKUP(Table1[[#This Row],[Age]],db!BJ7:BJ113,db!BK7:BK113)))</f>
        <v>2000000000</v>
      </c>
      <c r="S6" s="17">
        <f>IF(AND(Changes!Change="Yes",Changes!ValidityYear&lt;=Table1[[#This Row],[Year]],Changes!ChangeType="Paid-Up",PaidUpOption="Paid-up with no coverage"),0,IF(B6=0,0, IF(AND(Changes!Change="Yes", Changes!ValidityYear=Table1[[#This Row],[Year]], Changes!ChangeType="Change Death Capital"), Changes!NewChangedValue, S5*(1+(Table1[[#This Row],[Adjustment Factor of Death Capital]]/100)))))</f>
        <v>1749006249.9999998</v>
      </c>
      <c r="T6" s="17">
        <f>MIN(IF(B6=0,0,Table1[[#This Row],[Death Capital (1)]]),Table1[[#This Row],[Max Sum Insured For Death]])</f>
        <v>1749006249.9999998</v>
      </c>
      <c r="U6" s="29">
        <f t="shared" si="10"/>
        <v>1749006000</v>
      </c>
      <c r="V6" s="29">
        <f>IF(AND(Changes!Change="Yes",Changes!ValidityYear&lt;=Table1[[#This Row],[Year]],Changes!ChangeType="Paid-Up",OR(PaidUpOption="Paid-up with no coverage",PaidUpOption="Paid-up with main coverage")),0,IF(B6=0,0,IF(AND(Changes!Change="Yes", Changes!ValidityYear&lt;=Table1[[#This Row],[Year]], Changes!ChangeType="Rider Inclusion/Exclusion", Changes!RiderType="Accident Death"), T6*Changes!NewChangedValue,IF(db!$D$6="Yes",(db!$B$6)*T6,0))))</f>
        <v>1749006249.9999998</v>
      </c>
      <c r="W6" s="29">
        <f>MIN(IF(V6&lt;=db!$L$2,V6,db!$L$2),MAX_ACC_CAPITAL)</f>
        <v>1749006249.9999998</v>
      </c>
      <c r="X6" s="17">
        <f>IF(AND(Changes!Change="Yes",Changes!ValidityYear&lt;=Table1[[#This Row],[Year]],Changes!ChangeType="Paid-Up",OR(PaidUpOption="Paid-up with no coverage",PaidUpOption="Paid-up with main coverage")),0,IF(OR(B6=0,Table1[[#This Row],[Accident Capital (2)]]=0),0,IF(AND(Changes!Change="Yes", Changes!ValidityYear&lt;=Table1[[#This Row],[Year]], Changes!ChangeType="Rider Inclusion/Exclusion", Changes!RiderType="Accident Disability"), T6*Changes!NewChangedValue,IF(db!$D$7="Yes",(db!$B$7)*T6,0))))</f>
        <v>874503124.99999988</v>
      </c>
      <c r="Y6" s="42">
        <f>IF(C6&gt;69,0,IF(C6=0,0,IF(X6&lt;=db!$L$3,X6,db!$L$3)))</f>
        <v>874503124.99999988</v>
      </c>
      <c r="Z6" s="29">
        <f>IF(AND(Changes!Change="Yes",Changes!ValidityYear&lt;=Table1[[#This Row],[Year]],Changes!ChangeType="Paid-Up",OR(PaidUpOption="Paid-up with no coverage",PaidUpOption="Paid-up with main coverage")),0,IF(OR(B6=0,Table1[[#This Row],[Accident Capital (2)]]=0),0,IF(AND(Changes!Change="Yes", Changes!ValidityYear&lt;=Table1[[#This Row],[Year]], Changes!ChangeType="Rider Inclusion/Exclusion", Changes!RiderType="Accident Medical Cost"), T6*Changes!NewChangedValue,IF(db!$D$9="Yes",(db!$B$9)*T6,0))))</f>
        <v>349801250</v>
      </c>
      <c r="AA6" s="29">
        <f>ROUND(IF(C6&gt;69,0,IF(C6=0,0,IF(Z6&lt;=db!$L$4,Z6,db!$L$4))),0)</f>
        <v>50000000</v>
      </c>
      <c r="AB6" s="38">
        <f>IF(AND(Changes!Change = "Yes", Changes!ChangeType = "Rider Inclusion/Exclusion", Changes!RiderType = "WOP"), IF( Changes!ValidityYear &lt;= Table1[[#This Row],[Year]], IF(WOP = "Yes", 0, 1),  IF(WOP = "Yes", 1, 0)), IF(AND(db!$D$8="Yes",C6&lt;=69,ROW()-1&lt;=InsurancePeriod), 1, 0))</f>
        <v>1</v>
      </c>
      <c r="AC6" s="17">
        <f>(AC7+K7)*AB6*((1)/(1+db!AA8))*(LOOKUP(C6,'Mortality Table'!$A$2:$A$108,'Mortality Table'!$E$2:$E$108))</f>
        <v>2679030434.4489727</v>
      </c>
      <c r="AD6" s="340">
        <f>IF(AND(Changes!ValidityYear&lt;= Table1[[#This Row],[Year]],Changes!ChangeType="Change Value Adjustment",Changes!Change="Yes"), (AD7+L7)*AB6*((1)/(1+db!AA8))*(LOOKUP(C6,'Mortality Table'!$A$2:$A$108,'Mortality Table'!$E$2:$E$108)),Table1[[#This Row],[WOP Before Adj. BT]])</f>
        <v>2679030434.4489727</v>
      </c>
      <c r="AE6" s="341">
        <f>IF(AND(Changes!Change="Yes", Changes!ChangeType="Change Value Adjustment"),Table1[[#This Row],[WOP Capital]],(AE7+O7)*AB6*((1)/(1+db!AA8))*(LOOKUP(D6,'Mortality Table'!$A$2:$A$108,'Mortality Table'!$E$2:$E$108)))</f>
        <v>2679030434.4489727</v>
      </c>
      <c r="AF6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2679030434.4489727</v>
      </c>
      <c r="AG6" s="42">
        <f>IF(AND(Changes!Change="Yes", Changes!ValidityYear&lt;=Table1[[#This Row],[Year]], Changes!ChangeType="Rider Inclusion/Exclusion", Changes!RiderType="Disability Annuity"), L6*Changes!NewChangedValue,L6*db!B$10*IF(db!$D$10="Yes",1,0))</f>
        <v>414720000</v>
      </c>
      <c r="AH6" s="29">
        <f>IF(AND(Changes!Change="Yes",Changes!ValidityYear&lt;=Table1[[#This Row],[Year]],Changes!ChangeType="Paid-Up"),0,Table1[[#This Row],[Code Annuity Capital]]*IF('Annual Calculation'!C6&gt;69,0,(LOOKUP('Annual Calculation'!C6+1,'Mortality Table'!$A$2:$A$108,'Mortality Table'!$O$2:$O$108)-LOOKUP('Annual Calculation'!C6+11,'Mortality Table'!$A$2:$A$108,'Mortality Table'!$O$2:$O$108))/LOOKUP('Annual Calculation'!C6,'Mortality Table'!$A$2:$A$108,'Mortality Table'!$M$2:$M$108)))</f>
        <v>2523031226.5222888</v>
      </c>
      <c r="AI6" s="17">
        <f>IF(AND(Changes!Change="Yes",Changes!ValidityYear&lt;=Table1[[#This Row],[Year]],Changes!ChangeType="Paid-Up",OR(PaidUpOption="Paid-up with no coverage",PaidUpOption="Paid-up with main coverage")),0,IF(B6=0,0,IF(AND(Changes!Change="Yes", Changes!ValidityYear&lt;=Table1[[#This Row],[Year]], Changes!ChangeType="Rider Inclusion/Exclusion", Changes!RiderType="Dread Disease"), T6*Changes!NewChangedValue,IF(db!$D$11="Yes",(db!$B$11)*T6,0))))</f>
        <v>262350937.49999994</v>
      </c>
      <c r="AJ6" s="42">
        <f>ROUND(IF(C6&gt;59,0,IF(C6=0,0,IF(AI6&lt;=db!$L$5,AI6,db!$L$5))),0)</f>
        <v>200000000</v>
      </c>
      <c r="AK6" s="29">
        <f>IF(AND(Changes!Change="Yes",Changes!ValidityYear&lt;=Table1[[#This Row],[Year]],Changes!ChangeType="Paid-Up",OR(PaidUpOption="Paid-up with no coverage",PaidUpOption="Paid-up with main coverage")),0,IF(B6=0,0,IF(AND(Changes!Change="Yes", Changes!ValidityYear&lt;=Table1[[#This Row],[Year]], Changes!ChangeType="Rider Inclusion/Exclusion", Changes!RiderType="Cancer"), T6*Changes!NewChangedValue,IF(db!$D$12="Yes",(db!$B$12)*T6,0))))</f>
        <v>437251562.49999994</v>
      </c>
      <c r="AL6" s="29">
        <f>ROUND(IF(C6&gt;59,0,IF(C6=0,0,IF(AK6&lt;=db!$L$6,AK6,db!$L$6))),0)</f>
        <v>300000000</v>
      </c>
      <c r="AM6" s="32"/>
      <c r="AN6" s="18">
        <f>IF(B6=0,0,IF(C6&lt;(db!$E$2+5),LOOKUP(C6,'Mortality Table'!$A$2:$A$108,'Mortality Table'!$P$2:$P$108),IF((C6&gt;=db!$E$2+10),LOOKUP(C6,'Mortality Table'!$A$2:$A$108,'Mortality Table'!$R$2:$R$108),LOOKUP(C6,'Mortality Table'!$A$2:$A$108,'Mortality Table'!$Q$2:$Q$108))))</f>
        <v>1.6611183722148757E-3</v>
      </c>
      <c r="AO6" s="22">
        <f t="shared" si="2"/>
        <v>2905306</v>
      </c>
      <c r="AP6" s="19">
        <f>IF(B6=0,0, LOOKUP(IF(AND(Changes!Change="Yes", Changes!ValidityYear&lt;=Table1[[#This Row],[Year]], Changes!ChangeType="Change Job Class"),Changes!NewChangedValue, db!$A$8),db!$AX$4:$AX$8,db!$AY$4:$AY$8))</f>
        <v>0.6</v>
      </c>
      <c r="AQ6" s="20">
        <f>ROUND((AP6/1000)*W6 * (1-db!$AS$9),0)</f>
        <v>792300</v>
      </c>
      <c r="AR6" s="20">
        <f>(AP6/1000)*W6 * db!$AS$9</f>
        <v>257103.91874999992</v>
      </c>
      <c r="AS6" s="21">
        <f>IF(B6=0,0, LOOKUP(IF(AND(Changes!Change="Yes", Changes!ValidityYear&lt;=Table1[[#This Row],[Year]], Changes!ChangeType="Change Job Class"),Changes!NewChangedValue, db!$A$8),db!$AX$4:$AX$8,db!$AZ$4:$AZ$8))</f>
        <v>0.6</v>
      </c>
      <c r="AT6" s="22">
        <f>(AS6/1000)*Y6*(1-db!$AS$9)</f>
        <v>396149.91562499991</v>
      </c>
      <c r="AU6" s="22">
        <f>(AS6/1000)*Y6*(db!$AS$9)</f>
        <v>128551.95937499996</v>
      </c>
      <c r="AV6" s="23">
        <f>IF(B6=0,0, LOOKUP(IF(AND(Changes!Change="Yes", Changes!ValidityYear&lt;=Table1[[#This Row],[Year]], Changes!ChangeType="Change Job Class"),Changes!NewChangedValue, db!$A$8),db!$AX$4:$AX$8,db!$BA$4:$BA$8))</f>
        <v>0.8</v>
      </c>
      <c r="AW6" s="20">
        <f>ROUND((AV6/(100))*AA6*(1-db!$AS$9),0)</f>
        <v>302000</v>
      </c>
      <c r="AX6" s="20">
        <f>ROUND((AV6/(100))*AA6*(db!$AS$9),0)</f>
        <v>98000</v>
      </c>
      <c r="AY6" s="21">
        <f>IF(db!$D$8="Yes",AS6,0)</f>
        <v>0.6</v>
      </c>
      <c r="AZ6" s="22">
        <f>(AY6*AF6)/1000*(1-db!$AS$9)</f>
        <v>1213600.7868053846</v>
      </c>
      <c r="BA6" s="22">
        <f>(AY6*AF6)/1000*(db!$AS$9)</f>
        <v>393817.47386399895</v>
      </c>
      <c r="BB6" s="23">
        <f t="shared" si="3"/>
        <v>0.6</v>
      </c>
      <c r="BC6" s="20">
        <f>(BB6*AH6/1000)*(1-db!$AS$9)</f>
        <v>1142933.1456145968</v>
      </c>
      <c r="BD6" s="20">
        <f>(BB6*AH6/1000)*(db!$AS$9)</f>
        <v>370885.59029877646</v>
      </c>
      <c r="BE6" s="22">
        <f>IF(B6=0,0,IF(C6&gt;60,0,LOOKUP(Table1[[#This Row],[Medical
Age]],db!$BC$3:$BC$63,db!$BD$3:$BD$63)))</f>
        <v>1500</v>
      </c>
      <c r="BF6" s="22">
        <f>BG6*db!$AS$10</f>
        <v>30000</v>
      </c>
      <c r="BG6" s="22">
        <f t="shared" si="4"/>
        <v>300000</v>
      </c>
      <c r="BH6" s="22">
        <f>(BE6/1000000)*AJ6*(1-db!$AS$10)</f>
        <v>270000</v>
      </c>
      <c r="BI6" s="20">
        <f>IF(B6=0,0,IF(C6&gt;59,0,LOOKUP(Table1[[#This Row],[Medical
Age]],db!$BC$3:$BC$63,db!$BE$3:$BE$63)))</f>
        <v>1500</v>
      </c>
      <c r="BJ6" s="20">
        <f>(BI6/1000000)*AL6*(1-db!$AS$11)</f>
        <v>405000</v>
      </c>
      <c r="BK6" s="20">
        <f>(BI6/1000000)*AL6*(db!$AS$11)</f>
        <v>45000</v>
      </c>
      <c r="BL6" s="19">
        <f>IF(Table1[Year]=0,0,IF(AND(Changes!Change="Yes", Changes!ValidityYear&lt;=Table1[[#This Row],[Year]], Changes!ChangeType="Change Risk Loading"), LOOKUP(Table1[Age],RiskLoadingChange!A$3:A$109,RiskLoadingChange!DL$3:DL$109), LOOKUP(Table1[Age],RiskLoading!A$3:A$109,RiskLoading!DL$3:DL$109)))</f>
        <v>3.8832342732046101E-4</v>
      </c>
      <c r="BM6" s="20">
        <f>Table1[[#This Row],[RiskLoading
Rate]]*Table1[[#This Row],[Death Capital (2)]]</f>
        <v>679180.10140490695</v>
      </c>
      <c r="BN6" s="36"/>
      <c r="BO6" s="37">
        <f t="shared" si="5"/>
        <v>2905306</v>
      </c>
      <c r="BP6" s="35">
        <f t="shared" si="6"/>
        <v>3846983.8480449812</v>
      </c>
      <c r="BQ6" s="35">
        <f t="shared" si="7"/>
        <v>1248358.9422877752</v>
      </c>
      <c r="BR6" s="37">
        <f t="shared" si="11"/>
        <v>675000</v>
      </c>
      <c r="BS6" s="37">
        <f t="shared" si="12"/>
        <v>75000</v>
      </c>
      <c r="BT6" s="35">
        <f t="shared" si="13"/>
        <v>4521984</v>
      </c>
      <c r="BU6" s="35">
        <f t="shared" si="14"/>
        <v>1323359</v>
      </c>
      <c r="BV6" s="37">
        <f>(db!$AS$3/100)*(L6-BT6-BU6)</f>
        <v>4030293.14</v>
      </c>
      <c r="BW6" s="37">
        <f>(db!$AS$7/100)*(L6-BT6-BU6)</f>
        <v>4030293.14</v>
      </c>
      <c r="BX6" s="35">
        <f>IF(AND(Changes!Change="Yes",Changes!ValidityYear&lt;=Table1[[#This Row],[Year]],Changes!ChangeType="Paid-Up",PaidUpOption="Paid-up with no coverage"),0,IF(B6&gt;5,0,$T$2*(db!AS$5/1000)))</f>
        <v>1500000</v>
      </c>
      <c r="BY6" s="37"/>
      <c r="BZ6" s="37">
        <f>IF(AND(Changes!Change="Yes",Changes!ValidityYear&lt;=Table1[[#This Row],[Year]],Changes!ChangeType="Paid-Up",PaidUpOption="Paid-up with no coverage"),0,0.175*$BY$2)</f>
        <v>5250000</v>
      </c>
      <c r="CA6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24240415</v>
      </c>
      <c r="CB6" s="33"/>
      <c r="CC6" s="39">
        <f>ROUND((Table1[[#This Row],[Premium]]-Table1[[#This Row],[All Deductions]]),0)</f>
        <v>183119585</v>
      </c>
      <c r="CD6" s="39">
        <f>IF(B6=0,0,Table1[[#This Row],[Initial Reserve]]+CE5)</f>
        <v>878837181</v>
      </c>
      <c r="CE6" s="40">
        <f>ROUND(IF(B6=0,0,((CC6)*(1+db!Y8))+((CE5)*(1+db!U8))),0)</f>
        <v>1037027874</v>
      </c>
      <c r="CF6" s="40">
        <f>ROUND(CE6-SUM(BX7:$BX$7),-3)</f>
        <v>1037028000</v>
      </c>
      <c r="CG6" s="15">
        <f t="shared" si="15"/>
        <v>5</v>
      </c>
      <c r="CH6" s="39">
        <f>IF(B6=0,0,((CC6)*(1+db!AH8))+((CH5)*(1+db!AD8)))</f>
        <v>1090440682.03968</v>
      </c>
      <c r="CI6" s="39">
        <f>CH6-(SUM(BX7:$BX$7))</f>
        <v>1090440682.03968</v>
      </c>
      <c r="CJ6" s="40">
        <f>IF(B6=0,0,((CC6)*(1+db!AO8))+((CJ5)*(1+db!AK8)))</f>
        <v>1146292565.7987349</v>
      </c>
      <c r="CK6" s="40">
        <f>CJ6-(SUM(BX7:$BX$7))</f>
        <v>1146292565.7987349</v>
      </c>
      <c r="CL6" s="46"/>
    </row>
    <row r="7" spans="1:90">
      <c r="A7" s="24">
        <f t="shared" si="16"/>
        <v>6</v>
      </c>
      <c r="B7" s="16">
        <f>IF(AND(Changes!Change="Yes", Changes!ChangeType="Change Contract Duration"),IF(B6=0,0,IF(Changes!NewChangedValue&lt;B6+1,0,B6+1)),IF(B6=0,0,IF('Application Annually'!$C$5&lt;B6+1,0,B6+1)))</f>
        <v>6</v>
      </c>
      <c r="C7" s="15">
        <f t="shared" si="17"/>
        <v>33</v>
      </c>
      <c r="D7" s="312">
        <f t="shared" si="18"/>
        <v>33</v>
      </c>
      <c r="E7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37</v>
      </c>
      <c r="F7" s="29">
        <f t="shared" si="8"/>
        <v>248832000</v>
      </c>
      <c r="G7" s="29">
        <f t="shared" si="9"/>
        <v>248832000</v>
      </c>
      <c r="H7" s="29">
        <f t="shared" si="0"/>
        <v>268739000</v>
      </c>
      <c r="I7" s="29">
        <f>IF(B7&gt;0,IF(AND(Table1[[#This Row],[Year]]&gt;Changes!ValidityYear,Changes!Change="Yes",Changes!ChangeType="Change Value Adjustment"),Changes!$G$22,'Application Annually'!$C$11),0)</f>
        <v>15</v>
      </c>
      <c r="J7" s="29">
        <f>IF(B7&gt;0,IF(AND(Table1[[#This Row],[Year]]&gt;Changes!ValidityYear,Changes!Change="Yes",Changes!ChangeType="Change Value Adjustment"),Changes!$G$24,'Application Annually'!$C$7),0)</f>
        <v>20</v>
      </c>
      <c r="K7" s="29">
        <f>ROUND(IF(B7=0,0,IF(AND(Changes!Change="Yes", Changes!ValidityYear=Table1[[#This Row],[Year]], Changes!ChangeType="Change Premium"), Changes!NewChangedValue, (K6*(1+db!$B$3)))),0)</f>
        <v>248832000</v>
      </c>
      <c r="L7" s="29">
        <f>ROUND(IF(AND(Changes!Change="Yes",Changes!ValidityYear&lt;=Table1[[#This Row],[Year]],Changes!ChangeType="Paid-Up"),0,IF(B7=0,0,IF(AND(Changes!Change="Yes", Changes!ValidityYear=Table1[[#This Row],[Year]], Changes!ChangeType="Change Premium"), Changes!NewChangedValue, (L6*(1+Table1[[#This Row],[Adjustment Factor of Premium]]/100))))),0)</f>
        <v>248832000</v>
      </c>
      <c r="M7" s="29">
        <f>IF(Table1[[#This Row],[Year]]=1,ROUND(MIN($L$2 -( Table1[[#This Row],[Riders Risk Premiums]] + Table1[[#This Row],[Acquisition Cost]]) *0.75,Table1[[#This Row],[Death Capital (1)]]* 0.03),0),0)</f>
        <v>0</v>
      </c>
      <c r="N7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7" s="29">
        <f>ROUND(IF(ROW()-1&gt;InsurancePeriod,0,(O6*(1+(Table1[[#This Row],[Adjustment Factor of Premium]]/100)))),0)</f>
        <v>248832000</v>
      </c>
      <c r="P7" s="29">
        <f>IF(Table1[Year] = 0, 0, SUM(L$2:L7))</f>
        <v>992992000</v>
      </c>
      <c r="Q7" s="17">
        <f t="shared" si="1"/>
        <v>2000000000</v>
      </c>
      <c r="R7" s="17">
        <f>IF(Table1[[#This Row],[Year]]=0,0,IF($C$2&lt;=50,LOOKUP(Table1[[#This Row],[Age]],db!BG8:BG114,db!BH8:BH114),LOOKUP(Table1[[#This Row],[Age]],db!BJ8:BJ114,db!BK8:BK114)))</f>
        <v>2000000000</v>
      </c>
      <c r="S7" s="17">
        <f>IF(AND(Changes!Change="Yes",Changes!ValidityYear&lt;=Table1[[#This Row],[Year]],Changes!ChangeType="Paid-Up",PaidUpOption="Paid-up with no coverage"),0,IF(B7=0,0, IF(AND(Changes!Change="Yes", Changes!ValidityYear=Table1[[#This Row],[Year]], Changes!ChangeType="Change Death Capital"), Changes!NewChangedValue, S6*(1+(Table1[[#This Row],[Adjustment Factor of Death Capital]]/100)))))</f>
        <v>2011357187.4999995</v>
      </c>
      <c r="T7" s="17">
        <f>MIN(IF(B7=0,0,Table1[[#This Row],[Death Capital (1)]]),Table1[[#This Row],[Max Sum Insured For Death]])</f>
        <v>2000000000</v>
      </c>
      <c r="U7" s="29">
        <f t="shared" si="10"/>
        <v>2000000000</v>
      </c>
      <c r="V7" s="29">
        <f>IF(AND(Changes!Change="Yes",Changes!ValidityYear&lt;=Table1[[#This Row],[Year]],Changes!ChangeType="Paid-Up",OR(PaidUpOption="Paid-up with no coverage",PaidUpOption="Paid-up with main coverage")),0,IF(B7=0,0,IF(AND(Changes!Change="Yes", Changes!ValidityYear&lt;=Table1[[#This Row],[Year]], Changes!ChangeType="Rider Inclusion/Exclusion", Changes!RiderType="Accident Death"), T7*Changes!NewChangedValue,IF(db!$D$6="Yes",(db!$B$6)*T7,0))))</f>
        <v>2000000000</v>
      </c>
      <c r="W7" s="29">
        <f>MIN(IF(V7&lt;=db!$L$2,V7,db!$L$2),MAX_ACC_CAPITAL)</f>
        <v>2000000000</v>
      </c>
      <c r="X7" s="17">
        <f>IF(AND(Changes!Change="Yes",Changes!ValidityYear&lt;=Table1[[#This Row],[Year]],Changes!ChangeType="Paid-Up",OR(PaidUpOption="Paid-up with no coverage",PaidUpOption="Paid-up with main coverage")),0,IF(OR(B7=0,Table1[[#This Row],[Accident Capital (2)]]=0),0,IF(AND(Changes!Change="Yes", Changes!ValidityYear&lt;=Table1[[#This Row],[Year]], Changes!ChangeType="Rider Inclusion/Exclusion", Changes!RiderType="Accident Disability"), T7*Changes!NewChangedValue,IF(db!$D$7="Yes",(db!$B$7)*T7,0))))</f>
        <v>1000000000</v>
      </c>
      <c r="Y7" s="42">
        <f>IF(C7&gt;69,0,IF(C7=0,0,IF(X7&lt;=db!$L$3,X7,db!$L$3)))</f>
        <v>1000000000</v>
      </c>
      <c r="Z7" s="29">
        <f>IF(AND(Changes!Change="Yes",Changes!ValidityYear&lt;=Table1[[#This Row],[Year]],Changes!ChangeType="Paid-Up",OR(PaidUpOption="Paid-up with no coverage",PaidUpOption="Paid-up with main coverage")),0,IF(OR(B7=0,Table1[[#This Row],[Accident Capital (2)]]=0),0,IF(AND(Changes!Change="Yes", Changes!ValidityYear&lt;=Table1[[#This Row],[Year]], Changes!ChangeType="Rider Inclusion/Exclusion", Changes!RiderType="Accident Medical Cost"), T7*Changes!NewChangedValue,IF(db!$D$9="Yes",(db!$B$9)*T7,0))))</f>
        <v>400000000</v>
      </c>
      <c r="AA7" s="29">
        <f>ROUND(IF(C7&gt;69,0,IF(C7=0,0,IF(Z7&lt;=db!$L$4,Z7,db!$L$4))),0)</f>
        <v>50000000</v>
      </c>
      <c r="AB7" s="38">
        <f>IF(AND(Changes!Change = "Yes", Changes!ChangeType = "Rider Inclusion/Exclusion", Changes!RiderType = "WOP"), IF( Changes!ValidityYear &lt;= Table1[[#This Row],[Year]], IF(WOP = "Yes", 0, 1),  IF(WOP = "Yes", 1, 0)), IF(AND(db!$D$8="Yes",C7&lt;=69,ROW()-1&lt;=InsurancePeriod), 1, 0))</f>
        <v>1</v>
      </c>
      <c r="AC7" s="17">
        <f>(AC8+K8)*AB7*((1)/(1+db!AA9))*(LOOKUP(C7,'Mortality Table'!$A$2:$A$108,'Mortality Table'!$E$2:$E$108))</f>
        <v>2918138509.5933342</v>
      </c>
      <c r="AD7" s="340">
        <f>IF(AND(Changes!ValidityYear&lt;= Table1[[#This Row],[Year]],Changes!ChangeType="Change Value Adjustment",Changes!Change="Yes"), (AD8+L8)*AB7*((1)/(1+db!AA9))*(LOOKUP(C7,'Mortality Table'!$A$2:$A$108,'Mortality Table'!$E$2:$E$108)),Table1[[#This Row],[WOP Before Adj. BT]])</f>
        <v>2918138509.5933342</v>
      </c>
      <c r="AE7" s="341">
        <f>IF(AND(Changes!Change="Yes", Changes!ChangeType="Change Value Adjustment"),Table1[[#This Row],[WOP Capital]],(AE8+O8)*AB7*((1)/(1+db!AA9))*(LOOKUP(D7,'Mortality Table'!$A$2:$A$108,'Mortality Table'!$E$2:$E$108)))</f>
        <v>2918138509.5933342</v>
      </c>
      <c r="AF7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2918138509.5933342</v>
      </c>
      <c r="AG7" s="42">
        <f>IF(AND(Changes!Change="Yes", Changes!ValidityYear&lt;=Table1[[#This Row],[Year]], Changes!ChangeType="Rider Inclusion/Exclusion", Changes!RiderType="Disability Annuity"), L7*Changes!NewChangedValue,L7*db!B$10*IF(db!$D$10="Yes",1,0))</f>
        <v>497664000</v>
      </c>
      <c r="AH7" s="29">
        <f>IF(AND(Changes!Change="Yes",Changes!ValidityYear&lt;=Table1[[#This Row],[Year]],Changes!ChangeType="Paid-Up"),0,Table1[[#This Row],[Code Annuity Capital]]*IF('Annual Calculation'!C7&gt;69,0,(LOOKUP('Annual Calculation'!C7+1,'Mortality Table'!$A$2:$A$108,'Mortality Table'!$O$2:$O$108)-LOOKUP('Annual Calculation'!C7+11,'Mortality Table'!$A$2:$A$108,'Mortality Table'!$O$2:$O$108))/LOOKUP('Annual Calculation'!C7,'Mortality Table'!$A$2:$A$108,'Mortality Table'!$M$2:$M$108)))</f>
        <v>3025870441.216804</v>
      </c>
      <c r="AI7" s="17">
        <f>IF(AND(Changes!Change="Yes",Changes!ValidityYear&lt;=Table1[[#This Row],[Year]],Changes!ChangeType="Paid-Up",OR(PaidUpOption="Paid-up with no coverage",PaidUpOption="Paid-up with main coverage")),0,IF(B7=0,0,IF(AND(Changes!Change="Yes", Changes!ValidityYear&lt;=Table1[[#This Row],[Year]], Changes!ChangeType="Rider Inclusion/Exclusion", Changes!RiderType="Dread Disease"), T7*Changes!NewChangedValue,IF(db!$D$11="Yes",(db!$B$11)*T7,0))))</f>
        <v>300000000</v>
      </c>
      <c r="AJ7" s="42">
        <f>ROUND(IF(C7&gt;59,0,IF(C7=0,0,IF(AI7&lt;=db!$L$5,AI7,db!$L$5))),0)</f>
        <v>200000000</v>
      </c>
      <c r="AK7" s="29">
        <f>IF(AND(Changes!Change="Yes",Changes!ValidityYear&lt;=Table1[[#This Row],[Year]],Changes!ChangeType="Paid-Up",OR(PaidUpOption="Paid-up with no coverage",PaidUpOption="Paid-up with main coverage")),0,IF(B7=0,0,IF(AND(Changes!Change="Yes", Changes!ValidityYear&lt;=Table1[[#This Row],[Year]], Changes!ChangeType="Rider Inclusion/Exclusion", Changes!RiderType="Cancer"), T7*Changes!NewChangedValue,IF(db!$D$12="Yes",(db!$B$12)*T7,0))))</f>
        <v>500000000</v>
      </c>
      <c r="AL7" s="29">
        <f>ROUND(IF(C7&gt;59,0,IF(C7=0,0,IF(AK7&lt;=db!$L$6,AK7,db!$L$6))),0)</f>
        <v>300000000</v>
      </c>
      <c r="AM7" s="32"/>
      <c r="AN7" s="18">
        <f>IF(B7=0,0,IF(C7&lt;(db!$E$2+5),LOOKUP(C7,'Mortality Table'!$A$2:$A$108,'Mortality Table'!$P$2:$P$108),IF((C7&gt;=db!$E$2+10),LOOKUP(C7,'Mortality Table'!$A$2:$A$108,'Mortality Table'!$R$2:$R$108),LOOKUP(C7,'Mortality Table'!$A$2:$A$108,'Mortality Table'!$Q$2:$Q$108))))</f>
        <v>1.7825659416780175E-3</v>
      </c>
      <c r="AO7" s="22">
        <f t="shared" si="2"/>
        <v>3565132</v>
      </c>
      <c r="AP7" s="19">
        <f>IF(B7=0,0, LOOKUP(IF(AND(Changes!Change="Yes", Changes!ValidityYear&lt;=Table1[[#This Row],[Year]], Changes!ChangeType="Change Job Class"),Changes!NewChangedValue, db!$A$8),db!$AX$4:$AX$8,db!$AY$4:$AY$8))</f>
        <v>0.6</v>
      </c>
      <c r="AQ7" s="20">
        <f>ROUND((AP7/1000)*W7 * (1-db!$AS$9),0)</f>
        <v>906000</v>
      </c>
      <c r="AR7" s="20">
        <f>(AP7/1000)*W7 * db!$AS$9</f>
        <v>294000</v>
      </c>
      <c r="AS7" s="21">
        <f>IF(B7=0,0, LOOKUP(IF(AND(Changes!Change="Yes", Changes!ValidityYear&lt;=Table1[[#This Row],[Year]], Changes!ChangeType="Change Job Class"),Changes!NewChangedValue, db!$A$8),db!$AX$4:$AX$8,db!$AZ$4:$AZ$8))</f>
        <v>0.6</v>
      </c>
      <c r="AT7" s="22">
        <f>(AS7/1000)*Y7*(1-db!$AS$9)</f>
        <v>453000</v>
      </c>
      <c r="AU7" s="22">
        <f>(AS7/1000)*Y7*(db!$AS$9)</f>
        <v>147000</v>
      </c>
      <c r="AV7" s="23">
        <f>IF(B7=0,0, LOOKUP(IF(AND(Changes!Change="Yes", Changes!ValidityYear&lt;=Table1[[#This Row],[Year]], Changes!ChangeType="Change Job Class"),Changes!NewChangedValue, db!$A$8),db!$AX$4:$AX$8,db!$BA$4:$BA$8))</f>
        <v>0.8</v>
      </c>
      <c r="AW7" s="20">
        <f>ROUND((AV7/(100))*AA7*(1-db!$AS$9),0)</f>
        <v>302000</v>
      </c>
      <c r="AX7" s="20">
        <f>ROUND((AV7/(100))*AA7*(db!$AS$9),0)</f>
        <v>98000</v>
      </c>
      <c r="AY7" s="21">
        <f>IF(db!$D$8="Yes",AS7,0)</f>
        <v>0.6</v>
      </c>
      <c r="AZ7" s="22">
        <f>(AY7*AF7)/1000*(1-db!$AS$9)</f>
        <v>1321916.7448457805</v>
      </c>
      <c r="BA7" s="22">
        <f>(AY7*AF7)/1000*(db!$AS$9)</f>
        <v>428966.36091022013</v>
      </c>
      <c r="BB7" s="23">
        <f t="shared" si="3"/>
        <v>0.6</v>
      </c>
      <c r="BC7" s="20">
        <f>(BB7*AH7/1000)*(1-db!$AS$9)</f>
        <v>1370719.3098712121</v>
      </c>
      <c r="BD7" s="20">
        <f>(BB7*AH7/1000)*(db!$AS$9)</f>
        <v>444802.95485887019</v>
      </c>
      <c r="BE7" s="22">
        <f>IF(B7=0,0,IF(C7&gt;60,0,LOOKUP(Table1[[#This Row],[Medical
Age]],db!$BC$3:$BC$63,db!$BD$3:$BD$63)))</f>
        <v>1500</v>
      </c>
      <c r="BF7" s="22">
        <f>BG7*db!$AS$10</f>
        <v>30000</v>
      </c>
      <c r="BG7" s="22">
        <f t="shared" si="4"/>
        <v>300000</v>
      </c>
      <c r="BH7" s="22">
        <f>(BE7/1000000)*AJ7*(1-db!$AS$10)</f>
        <v>270000</v>
      </c>
      <c r="BI7" s="20">
        <f>IF(B7=0,0,IF(C7&gt;59,0,LOOKUP(Table1[[#This Row],[Medical
Age]],db!$BC$3:$BC$63,db!$BE$3:$BE$63)))</f>
        <v>1500</v>
      </c>
      <c r="BJ7" s="20">
        <f>(BI7/1000000)*AL7*(1-db!$AS$11)</f>
        <v>405000</v>
      </c>
      <c r="BK7" s="20">
        <f>(BI7/1000000)*AL7*(db!$AS$11)</f>
        <v>45000</v>
      </c>
      <c r="BL7" s="19">
        <f>IF(Table1[Year]=0,0,IF(AND(Changes!Change="Yes", Changes!ValidityYear&lt;=Table1[[#This Row],[Year]], Changes!ChangeType="Change Risk Loading"), LOOKUP(Table1[Age],RiskLoadingChange!A$3:A$109,RiskLoadingChange!DP$3:DP$109), LOOKUP(Table1[Age],RiskLoading!A$3:A$109,RiskLoading!DP$3:DP$109)))</f>
        <v>4.2505467219658075E-4</v>
      </c>
      <c r="BM7" s="20">
        <f>Table1[[#This Row],[RiskLoading
Rate]]*Table1[[#This Row],[Death Capital (2)]]</f>
        <v>850109.34439316147</v>
      </c>
      <c r="BN7" s="36"/>
      <c r="BO7" s="37">
        <f t="shared" si="5"/>
        <v>3565132</v>
      </c>
      <c r="BP7" s="35">
        <f t="shared" si="6"/>
        <v>4353636.0547169931</v>
      </c>
      <c r="BQ7" s="35">
        <f t="shared" si="7"/>
        <v>1412769.3157690903</v>
      </c>
      <c r="BR7" s="37">
        <f t="shared" si="11"/>
        <v>675000</v>
      </c>
      <c r="BS7" s="37">
        <f t="shared" si="12"/>
        <v>75000</v>
      </c>
      <c r="BT7" s="35">
        <f t="shared" si="13"/>
        <v>5028636</v>
      </c>
      <c r="BU7" s="35">
        <f t="shared" si="14"/>
        <v>1487769</v>
      </c>
      <c r="BV7" s="37">
        <f>(db!$AS$4/100)*(L7-BT7-BU7)</f>
        <v>3634733.9249999998</v>
      </c>
      <c r="BW7" s="37">
        <f>(db!$AS$8/100)*(L7-BT7-BU7)</f>
        <v>7269467.8499999996</v>
      </c>
      <c r="BX7" s="35"/>
      <c r="BY7" s="37"/>
      <c r="BZ7" s="37"/>
      <c r="CA7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21835848</v>
      </c>
      <c r="CB7" s="33"/>
      <c r="CC7" s="39">
        <f>ROUND((Table1[[#This Row],[Premium]]-Table1[[#This Row],[All Deductions]]),0)</f>
        <v>226996152</v>
      </c>
      <c r="CD7" s="39">
        <f>IF(B7=0,0,Table1[[#This Row],[Initial Reserve]]+CE6)</f>
        <v>1264024026</v>
      </c>
      <c r="CE7" s="40">
        <f>ROUND(IF(B7=0,0,((CC7)*(1+db!Y9))+((CE6)*(1+db!U9))),0)</f>
        <v>1453627630</v>
      </c>
      <c r="CF7" s="40">
        <f t="shared" ref="CF7:CF38" si="19">ROUND(CE7,-3)</f>
        <v>1453628000</v>
      </c>
      <c r="CG7" s="15">
        <f t="shared" si="15"/>
        <v>6</v>
      </c>
      <c r="CH7" s="39">
        <f>IF(B7=0,0,((CC7)*(1+db!AH9))+((CH6)*(1+db!AD9)))</f>
        <v>1580924200.8476157</v>
      </c>
      <c r="CI7" s="39">
        <f>IF(B7=0,0,((CC7)*(1+db!AH9))+((CI6)*(1+db!AD9)))</f>
        <v>1580924200.8476157</v>
      </c>
      <c r="CJ7" s="40">
        <f>IF(B7=0,0,((CC7)*(1+db!AO9))+((CJ6)*(1+db!AK9)))</f>
        <v>1675412235.7144566</v>
      </c>
      <c r="CK7" s="40">
        <f>CJ7-(SUM(BX$7:$BX8))</f>
        <v>1675412235.7144566</v>
      </c>
      <c r="CL7" s="46"/>
    </row>
    <row r="8" spans="1:90">
      <c r="A8" s="24">
        <f t="shared" si="16"/>
        <v>7</v>
      </c>
      <c r="B8" s="16">
        <f>IF(AND(Changes!Change="Yes", Changes!ChangeType="Change Contract Duration"),IF(B7=0,0,IF(Changes!NewChangedValue&lt;B7+1,0,B7+1)),IF(B7=0,0,IF('Application Annually'!$C$5&lt;B7+1,0,B7+1)))</f>
        <v>7</v>
      </c>
      <c r="C8" s="15">
        <f t="shared" si="17"/>
        <v>34</v>
      </c>
      <c r="D8" s="312">
        <f t="shared" si="18"/>
        <v>34</v>
      </c>
      <c r="E8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38</v>
      </c>
      <c r="F8" s="29">
        <f t="shared" si="8"/>
        <v>298598000</v>
      </c>
      <c r="G8" s="29">
        <f t="shared" si="9"/>
        <v>298598000</v>
      </c>
      <c r="H8" s="29">
        <f t="shared" si="0"/>
        <v>322486000</v>
      </c>
      <c r="I8" s="29">
        <f>IF(B8&gt;0,IF(AND(Table1[[#This Row],[Year]]&gt;Changes!ValidityYear,Changes!Change="Yes",Changes!ChangeType="Change Value Adjustment"),Changes!$G$22,'Application Annually'!$C$11),0)</f>
        <v>15</v>
      </c>
      <c r="J8" s="29">
        <f>IF(B8&gt;0,IF(AND(Table1[[#This Row],[Year]]&gt;Changes!ValidityYear,Changes!Change="Yes",Changes!ChangeType="Change Value Adjustment"),Changes!$G$24,'Application Annually'!$C$7),0)</f>
        <v>20</v>
      </c>
      <c r="K8" s="29">
        <f>ROUND(IF(B8=0,0,IF(AND(Changes!Change="Yes", Changes!ValidityYear=Table1[[#This Row],[Year]], Changes!ChangeType="Change Premium"), Changes!NewChangedValue, (K7*(1+db!$B$3)))),0)</f>
        <v>298598400</v>
      </c>
      <c r="L8" s="29">
        <f>ROUND(IF(AND(Changes!Change="Yes",Changes!ValidityYear&lt;=Table1[[#This Row],[Year]],Changes!ChangeType="Paid-Up"),0,IF(B8=0,0,IF(AND(Changes!Change="Yes", Changes!ValidityYear=Table1[[#This Row],[Year]], Changes!ChangeType="Change Premium"), Changes!NewChangedValue, (L7*(1+Table1[[#This Row],[Adjustment Factor of Premium]]/100))))),0)</f>
        <v>298598400</v>
      </c>
      <c r="M8" s="29">
        <f>IF(Table1[[#This Row],[Year]]=1,ROUND(MIN($L$2 -( Table1[[#This Row],[Riders Risk Premiums]] + Table1[[#This Row],[Acquisition Cost]]) *0.75,Table1[[#This Row],[Death Capital (1)]]* 0.03),0),0)</f>
        <v>0</v>
      </c>
      <c r="N8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8" s="29">
        <f>ROUND(IF(ROW()-1&gt;InsurancePeriod,0,(O7*(1+(Table1[[#This Row],[Adjustment Factor of Premium]]/100)))),0)</f>
        <v>298598400</v>
      </c>
      <c r="P8" s="29">
        <f>IF(Table1[Year] = 0, 0, SUM(L$2:L8))</f>
        <v>1291590400</v>
      </c>
      <c r="Q8" s="17">
        <f t="shared" si="1"/>
        <v>2000000000</v>
      </c>
      <c r="R8" s="17">
        <f>IF(Table1[[#This Row],[Year]]=0,0,IF($C$2&lt;=50,LOOKUP(Table1[[#This Row],[Age]],db!BG9:BG115,db!BH9:BH115),LOOKUP(Table1[[#This Row],[Age]],db!BJ9:BJ115,db!BK9:BK115)))</f>
        <v>2000000000</v>
      </c>
      <c r="S8" s="17">
        <f>IF(AND(Changes!Change="Yes",Changes!ValidityYear&lt;=Table1[[#This Row],[Year]],Changes!ChangeType="Paid-Up",PaidUpOption="Paid-up with no coverage"),0,IF(B8=0,0, IF(AND(Changes!Change="Yes", Changes!ValidityYear=Table1[[#This Row],[Year]], Changes!ChangeType="Change Death Capital"), Changes!NewChangedValue, S7*(1+(Table1[[#This Row],[Adjustment Factor of Death Capital]]/100)))))</f>
        <v>2313060765.624999</v>
      </c>
      <c r="T8" s="17">
        <f>MIN(IF(B8=0,0,Table1[[#This Row],[Death Capital (1)]]),Table1[[#This Row],[Max Sum Insured For Death]])</f>
        <v>2000000000</v>
      </c>
      <c r="U8" s="29">
        <f t="shared" si="10"/>
        <v>2000000000</v>
      </c>
      <c r="V8" s="29">
        <f>IF(AND(Changes!Change="Yes",Changes!ValidityYear&lt;=Table1[[#This Row],[Year]],Changes!ChangeType="Paid-Up",OR(PaidUpOption="Paid-up with no coverage",PaidUpOption="Paid-up with main coverage")),0,IF(B8=0,0,IF(AND(Changes!Change="Yes", Changes!ValidityYear&lt;=Table1[[#This Row],[Year]], Changes!ChangeType="Rider Inclusion/Exclusion", Changes!RiderType="Accident Death"), T8*Changes!NewChangedValue,IF(db!$D$6="Yes",(db!$B$6)*T8,0))))</f>
        <v>2000000000</v>
      </c>
      <c r="W8" s="29">
        <f>MIN(IF(V8&lt;=db!$L$2,V8,db!$L$2),MAX_ACC_CAPITAL)</f>
        <v>2000000000</v>
      </c>
      <c r="X8" s="17">
        <f>IF(AND(Changes!Change="Yes",Changes!ValidityYear&lt;=Table1[[#This Row],[Year]],Changes!ChangeType="Paid-Up",OR(PaidUpOption="Paid-up with no coverage",PaidUpOption="Paid-up with main coverage")),0,IF(OR(B8=0,Table1[[#This Row],[Accident Capital (2)]]=0),0,IF(AND(Changes!Change="Yes", Changes!ValidityYear&lt;=Table1[[#This Row],[Year]], Changes!ChangeType="Rider Inclusion/Exclusion", Changes!RiderType="Accident Disability"), T8*Changes!NewChangedValue,IF(db!$D$7="Yes",(db!$B$7)*T8,0))))</f>
        <v>1000000000</v>
      </c>
      <c r="Y8" s="42">
        <f>IF(C8&gt;69,0,IF(C8=0,0,IF(X8&lt;=db!$L$3,X8,db!$L$3)))</f>
        <v>1000000000</v>
      </c>
      <c r="Z8" s="29">
        <f>IF(AND(Changes!Change="Yes",Changes!ValidityYear&lt;=Table1[[#This Row],[Year]],Changes!ChangeType="Paid-Up",OR(PaidUpOption="Paid-up with no coverage",PaidUpOption="Paid-up with main coverage")),0,IF(OR(B8=0,Table1[[#This Row],[Accident Capital (2)]]=0),0,IF(AND(Changes!Change="Yes", Changes!ValidityYear&lt;=Table1[[#This Row],[Year]], Changes!ChangeType="Rider Inclusion/Exclusion", Changes!RiderType="Accident Medical Cost"), T8*Changes!NewChangedValue,IF(db!$D$9="Yes",(db!$B$9)*T8,0))))</f>
        <v>400000000</v>
      </c>
      <c r="AA8" s="29">
        <f>ROUND(IF(C8&gt;69,0,IF(C8=0,0,IF(Z8&lt;=db!$L$4,Z8,db!$L$4))),0)</f>
        <v>50000000</v>
      </c>
      <c r="AB8" s="38">
        <f>IF(AND(Changes!Change = "Yes", Changes!ChangeType = "Rider Inclusion/Exclusion", Changes!RiderType = "WOP"), IF( Changes!ValidityYear &lt;= Table1[[#This Row],[Year]], IF(WOP = "Yes", 0, 1),  IF(WOP = "Yes", 1, 0)), IF(AND(db!$D$8="Yes",C8&lt;=69,ROW()-1&lt;=InsurancePeriod), 1, 0))</f>
        <v>1</v>
      </c>
      <c r="AC8" s="17">
        <f>(AC9+K9)*AB8*((1)/(1+db!AA10))*(LOOKUP(C8,'Mortality Table'!$A$2:$A$108,'Mortality Table'!$E$2:$E$108))</f>
        <v>3063688196.1324673</v>
      </c>
      <c r="AD8" s="340">
        <f>IF(AND(Changes!ValidityYear&lt;= Table1[[#This Row],[Year]],Changes!ChangeType="Change Value Adjustment",Changes!Change="Yes"), (AD9+L9)*AB8*((1)/(1+db!AA10))*(LOOKUP(C8,'Mortality Table'!$A$2:$A$108,'Mortality Table'!$E$2:$E$108)),Table1[[#This Row],[WOP Before Adj. BT]])</f>
        <v>3063688196.1324673</v>
      </c>
      <c r="AE8" s="341">
        <f>IF(AND(Changes!Change="Yes", Changes!ChangeType="Change Value Adjustment"),Table1[[#This Row],[WOP Capital]],(AE9+O9)*AB8*((1)/(1+db!AA10))*(LOOKUP(D8,'Mortality Table'!$A$2:$A$108,'Mortality Table'!$E$2:$E$108)))</f>
        <v>3063688196.1324673</v>
      </c>
      <c r="AF8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3063688196.1324673</v>
      </c>
      <c r="AG8" s="42">
        <f>IF(AND(Changes!Change="Yes", Changes!ValidityYear&lt;=Table1[[#This Row],[Year]], Changes!ChangeType="Rider Inclusion/Exclusion", Changes!RiderType="Disability Annuity"), L8*Changes!NewChangedValue,L8*db!B$10*IF(db!$D$10="Yes",1,0))</f>
        <v>597196800</v>
      </c>
      <c r="AH8" s="29">
        <f>IF(AND(Changes!Change="Yes",Changes!ValidityYear&lt;=Table1[[#This Row],[Year]],Changes!ChangeType="Paid-Up"),0,Table1[[#This Row],[Code Annuity Capital]]*IF('Annual Calculation'!C8&gt;69,0,(LOOKUP('Annual Calculation'!C8+1,'Mortality Table'!$A$2:$A$108,'Mortality Table'!$O$2:$O$108)-LOOKUP('Annual Calculation'!C8+11,'Mortality Table'!$A$2:$A$108,'Mortality Table'!$O$2:$O$108))/LOOKUP('Annual Calculation'!C8,'Mortality Table'!$A$2:$A$108,'Mortality Table'!$M$2:$M$108)))</f>
        <v>3628721447.2240276</v>
      </c>
      <c r="AI8" s="17">
        <f>IF(AND(Changes!Change="Yes",Changes!ValidityYear&lt;=Table1[[#This Row],[Year]],Changes!ChangeType="Paid-Up",OR(PaidUpOption="Paid-up with no coverage",PaidUpOption="Paid-up with main coverage")),0,IF(B8=0,0,IF(AND(Changes!Change="Yes", Changes!ValidityYear&lt;=Table1[[#This Row],[Year]], Changes!ChangeType="Rider Inclusion/Exclusion", Changes!RiderType="Dread Disease"), T8*Changes!NewChangedValue,IF(db!$D$11="Yes",(db!$B$11)*T8,0))))</f>
        <v>300000000</v>
      </c>
      <c r="AJ8" s="42">
        <f>ROUND(IF(C8&gt;59,0,IF(C8=0,0,IF(AI8&lt;=db!$L$5,AI8,db!$L$5))),0)</f>
        <v>200000000</v>
      </c>
      <c r="AK8" s="29">
        <f>IF(AND(Changes!Change="Yes",Changes!ValidityYear&lt;=Table1[[#This Row],[Year]],Changes!ChangeType="Paid-Up",OR(PaidUpOption="Paid-up with no coverage",PaidUpOption="Paid-up with main coverage")),0,IF(B8=0,0,IF(AND(Changes!Change="Yes", Changes!ValidityYear&lt;=Table1[[#This Row],[Year]], Changes!ChangeType="Rider Inclusion/Exclusion", Changes!RiderType="Cancer"), T8*Changes!NewChangedValue,IF(db!$D$12="Yes",(db!$B$12)*T8,0))))</f>
        <v>500000000</v>
      </c>
      <c r="AL8" s="29">
        <f>ROUND(IF(C8&gt;59,0,IF(C8=0,0,IF(AK8&lt;=db!$L$6,AK8,db!$L$6))),0)</f>
        <v>300000000</v>
      </c>
      <c r="AM8" s="32"/>
      <c r="AN8" s="18">
        <f>IF(B8=0,0,IF(C8&lt;(db!$E$2+5),LOOKUP(C8,'Mortality Table'!$A$2:$A$108,'Mortality Table'!$P$2:$P$108),IF((C8&gt;=db!$E$2+10),LOOKUP(C8,'Mortality Table'!$A$2:$A$108,'Mortality Table'!$R$2:$R$108),LOOKUP(C8,'Mortality Table'!$A$2:$A$108,'Mortality Table'!$Q$2:$Q$108))))</f>
        <v>1.8733377188785425E-3</v>
      </c>
      <c r="AO8" s="22">
        <f t="shared" si="2"/>
        <v>3746675</v>
      </c>
      <c r="AP8" s="19">
        <f>IF(B8=0,0, LOOKUP(IF(AND(Changes!Change="Yes", Changes!ValidityYear&lt;=Table1[[#This Row],[Year]], Changes!ChangeType="Change Job Class"),Changes!NewChangedValue, db!$A$8),db!$AX$4:$AX$8,db!$AY$4:$AY$8))</f>
        <v>0.6</v>
      </c>
      <c r="AQ8" s="20">
        <f>ROUND((AP8/1000)*W8 * (1-db!$AS$9),0)</f>
        <v>906000</v>
      </c>
      <c r="AR8" s="20">
        <f>(AP8/1000)*W8 * db!$AS$9</f>
        <v>294000</v>
      </c>
      <c r="AS8" s="21">
        <f>IF(B8=0,0, LOOKUP(IF(AND(Changes!Change="Yes", Changes!ValidityYear&lt;=Table1[[#This Row],[Year]], Changes!ChangeType="Change Job Class"),Changes!NewChangedValue, db!$A$8),db!$AX$4:$AX$8,db!$AZ$4:$AZ$8))</f>
        <v>0.6</v>
      </c>
      <c r="AT8" s="22">
        <f>(AS8/1000)*Y8*(1-db!$AS$9)</f>
        <v>453000</v>
      </c>
      <c r="AU8" s="22">
        <f>(AS8/1000)*Y8*(db!$AS$9)</f>
        <v>147000</v>
      </c>
      <c r="AV8" s="23">
        <f>IF(B8=0,0, LOOKUP(IF(AND(Changes!Change="Yes", Changes!ValidityYear&lt;=Table1[[#This Row],[Year]], Changes!ChangeType="Change Job Class"),Changes!NewChangedValue, db!$A$8),db!$AX$4:$AX$8,db!$BA$4:$BA$8))</f>
        <v>0.8</v>
      </c>
      <c r="AW8" s="20">
        <f>ROUND((AV8/(100))*AA8*(1-db!$AS$9),0)</f>
        <v>302000</v>
      </c>
      <c r="AX8" s="20">
        <f>ROUND((AV8/(100))*AA8*(db!$AS$9),0)</f>
        <v>98000</v>
      </c>
      <c r="AY8" s="21">
        <f>IF(db!$D$8="Yes",AS8,0)</f>
        <v>0.6</v>
      </c>
      <c r="AZ8" s="22">
        <f>(AY8*AF8)/1000*(1-db!$AS$9)</f>
        <v>1387850.7528480077</v>
      </c>
      <c r="BA8" s="22">
        <f>(AY8*AF8)/1000*(db!$AS$9)</f>
        <v>450362.16483147268</v>
      </c>
      <c r="BB8" s="23">
        <f t="shared" si="3"/>
        <v>0.6</v>
      </c>
      <c r="BC8" s="20">
        <f>(BB8*AH8/1000)*(1-db!$AS$9)</f>
        <v>1643810.8155924843</v>
      </c>
      <c r="BD8" s="20">
        <f>(BB8*AH8/1000)*(db!$AS$9)</f>
        <v>533422.05274193198</v>
      </c>
      <c r="BE8" s="22">
        <f>IF(B8=0,0,IF(C8&gt;60,0,LOOKUP(Table1[[#This Row],[Medical
Age]],db!$BC$3:$BC$63,db!$BD$3:$BD$63)))</f>
        <v>1500</v>
      </c>
      <c r="BF8" s="22">
        <f>BG8*db!$AS$10</f>
        <v>30000</v>
      </c>
      <c r="BG8" s="22">
        <f t="shared" si="4"/>
        <v>300000</v>
      </c>
      <c r="BH8" s="22">
        <f>(BE8/1000000)*AJ8*(1-db!$AS$10)</f>
        <v>270000</v>
      </c>
      <c r="BI8" s="20">
        <f>IF(B8=0,0,IF(C8&gt;59,0,LOOKUP(Table1[[#This Row],[Medical
Age]],db!$BC$3:$BC$63,db!$BE$3:$BE$63)))</f>
        <v>1500</v>
      </c>
      <c r="BJ8" s="20">
        <f>(BI8/1000000)*AL8*(1-db!$AS$11)</f>
        <v>405000</v>
      </c>
      <c r="BK8" s="20">
        <f>(BI8/1000000)*AL8*(db!$AS$11)</f>
        <v>45000</v>
      </c>
      <c r="BL8" s="19">
        <f>IF(Table1[Year]=0,0,IF(AND(Changes!Change="Yes", Changes!ValidityYear&lt;=Table1[[#This Row],[Year]], Changes!ChangeType="Change Risk Loading"), LOOKUP(Table1[Age],RiskLoadingChange!A$3:A$109,RiskLoadingChange!DP$3:DP$109), LOOKUP(Table1[Age],RiskLoading!A$3:A$109,RiskLoading!DP$3:DP$109)))</f>
        <v>4.7660142218716966E-4</v>
      </c>
      <c r="BM8" s="20">
        <f>Table1[[#This Row],[RiskLoading
Rate]]*Table1[[#This Row],[Death Capital (2)]]</f>
        <v>953202.84437433933</v>
      </c>
      <c r="BN8" s="36"/>
      <c r="BO8" s="37">
        <f t="shared" si="5"/>
        <v>3746675</v>
      </c>
      <c r="BP8" s="35">
        <f t="shared" si="6"/>
        <v>4692661.5684404923</v>
      </c>
      <c r="BQ8" s="35">
        <f t="shared" si="7"/>
        <v>1522784.2175734048</v>
      </c>
      <c r="BR8" s="37">
        <f t="shared" si="11"/>
        <v>675000</v>
      </c>
      <c r="BS8" s="37">
        <f t="shared" si="12"/>
        <v>75000</v>
      </c>
      <c r="BT8" s="35">
        <f t="shared" si="13"/>
        <v>5367662</v>
      </c>
      <c r="BU8" s="35">
        <f t="shared" si="14"/>
        <v>1597784</v>
      </c>
      <c r="BV8" s="37">
        <f>(db!$AS$4/100)*(L8-BT8-BU8)</f>
        <v>4374494.3099999996</v>
      </c>
      <c r="BW8" s="37">
        <f>(db!$AS$8/100)*(L8-BT8-BU8)</f>
        <v>8748988.6199999992</v>
      </c>
      <c r="BX8" s="35"/>
      <c r="BY8" s="37"/>
      <c r="BZ8" s="37"/>
      <c r="CA8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24788807</v>
      </c>
      <c r="CB8" s="33"/>
      <c r="CC8" s="39">
        <f>ROUND((Table1[[#This Row],[Premium]]-Table1[[#This Row],[All Deductions]]),0)</f>
        <v>273809593</v>
      </c>
      <c r="CD8" s="39">
        <f>IF(B8=0,0,Table1[[#This Row],[Initial Reserve]]+CE7)</f>
        <v>1727437223</v>
      </c>
      <c r="CE8" s="40">
        <f>ROUND(IF(B8=0,0,((CC8)*(1+db!Y10))+((CE7)*(1+db!U10))),0)</f>
        <v>1986552806</v>
      </c>
      <c r="CF8" s="40">
        <f t="shared" si="19"/>
        <v>1986553000</v>
      </c>
      <c r="CG8" s="15">
        <f t="shared" si="15"/>
        <v>7</v>
      </c>
      <c r="CH8" s="39">
        <f>IF(B8=0,0,((CC8)*(1+db!AH10))+((CH7)*(1+db!AD10)))</f>
        <v>2225680552.6171389</v>
      </c>
      <c r="CI8" s="39">
        <f>IF(B8=0,0,((CC8)*(1+db!AH10))+((CI7)*(1+db!AD10)))</f>
        <v>2225680552.6171389</v>
      </c>
      <c r="CJ8" s="40">
        <f>IF(B8=0,0,((CC8)*(1+db!AO10))+((CJ7)*(1+db!AK10)))</f>
        <v>2378050631.0316367</v>
      </c>
      <c r="CK8" s="40">
        <f>CJ8-(SUM(BX$7:$BX9))</f>
        <v>2378050631.0316367</v>
      </c>
      <c r="CL8" s="46"/>
    </row>
    <row r="9" spans="1:90">
      <c r="A9" s="24">
        <f t="shared" si="16"/>
        <v>8</v>
      </c>
      <c r="B9" s="16">
        <f>IF(AND(Changes!Change="Yes", Changes!ChangeType="Change Contract Duration"),IF(B8=0,0,IF(Changes!NewChangedValue&lt;B8+1,0,B8+1)),IF(B8=0,0,IF('Application Annually'!$C$5&lt;B8+1,0,B8+1)))</f>
        <v>8</v>
      </c>
      <c r="C9" s="15">
        <f t="shared" si="17"/>
        <v>35</v>
      </c>
      <c r="D9" s="312">
        <f t="shared" si="18"/>
        <v>35</v>
      </c>
      <c r="E9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39</v>
      </c>
      <c r="F9" s="29">
        <f t="shared" si="8"/>
        <v>358318000</v>
      </c>
      <c r="G9" s="29">
        <f t="shared" si="9"/>
        <v>358318000</v>
      </c>
      <c r="H9" s="29">
        <f t="shared" si="0"/>
        <v>386984000</v>
      </c>
      <c r="I9" s="29">
        <f>IF(B9&gt;0,IF(AND(Table1[[#This Row],[Year]]&gt;Changes!ValidityYear,Changes!Change="Yes",Changes!ChangeType="Change Value Adjustment"),Changes!$G$22,'Application Annually'!$C$11),0)</f>
        <v>15</v>
      </c>
      <c r="J9" s="29">
        <f>IF(B9&gt;0,IF(AND(Table1[[#This Row],[Year]]&gt;Changes!ValidityYear,Changes!Change="Yes",Changes!ChangeType="Change Value Adjustment"),Changes!$G$24,'Application Annually'!$C$7),0)</f>
        <v>20</v>
      </c>
      <c r="K9" s="29">
        <f>ROUND(IF(B9=0,0,IF(AND(Changes!Change="Yes", Changes!ValidityYear=Table1[[#This Row],[Year]], Changes!ChangeType="Change Premium"), Changes!NewChangedValue, (K8*(1+db!$B$3)))),0)</f>
        <v>358318080</v>
      </c>
      <c r="L9" s="29">
        <f>ROUND(IF(AND(Changes!Change="Yes",Changes!ValidityYear&lt;=Table1[[#This Row],[Year]],Changes!ChangeType="Paid-Up"),0,IF(B9=0,0,IF(AND(Changes!Change="Yes", Changes!ValidityYear=Table1[[#This Row],[Year]], Changes!ChangeType="Change Premium"), Changes!NewChangedValue, (L8*(1+Table1[[#This Row],[Adjustment Factor of Premium]]/100))))),0)</f>
        <v>358318080</v>
      </c>
      <c r="M9" s="29">
        <f>IF(Table1[[#This Row],[Year]]=1,ROUND(MIN($L$2 -( Table1[[#This Row],[Riders Risk Premiums]] + Table1[[#This Row],[Acquisition Cost]]) *0.75,Table1[[#This Row],[Death Capital (1)]]* 0.03),0),0)</f>
        <v>0</v>
      </c>
      <c r="N9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9" s="29">
        <f>ROUND(IF(ROW()-1&gt;InsurancePeriod,0,(O8*(1+(Table1[[#This Row],[Adjustment Factor of Premium]]/100)))),0)</f>
        <v>358318080</v>
      </c>
      <c r="P9" s="29">
        <f>IF(Table1[Year] = 0, 0, SUM(L$2:L9))</f>
        <v>1649908480</v>
      </c>
      <c r="Q9" s="17">
        <f t="shared" si="1"/>
        <v>2000000000</v>
      </c>
      <c r="R9" s="17">
        <f>IF(Table1[[#This Row],[Year]]=0,0,IF($C$2&lt;=50,LOOKUP(Table1[[#This Row],[Age]],db!BG10:BG116,db!BH10:BH116),LOOKUP(Table1[[#This Row],[Age]],db!BJ10:BJ116,db!BK10:BK116)))</f>
        <v>2000000000</v>
      </c>
      <c r="S9" s="17">
        <f>IF(AND(Changes!Change="Yes",Changes!ValidityYear&lt;=Table1[[#This Row],[Year]],Changes!ChangeType="Paid-Up",PaidUpOption="Paid-up with no coverage"),0,IF(B9=0,0, IF(AND(Changes!Change="Yes", Changes!ValidityYear=Table1[[#This Row],[Year]], Changes!ChangeType="Change Death Capital"), Changes!NewChangedValue, S8*(1+(Table1[[#This Row],[Adjustment Factor of Death Capital]]/100)))))</f>
        <v>2660019880.4687486</v>
      </c>
      <c r="T9" s="17">
        <f>MIN(IF(B9=0,0,Table1[[#This Row],[Death Capital (1)]]),Table1[[#This Row],[Max Sum Insured For Death]])</f>
        <v>2000000000</v>
      </c>
      <c r="U9" s="29">
        <f t="shared" si="10"/>
        <v>2000000000</v>
      </c>
      <c r="V9" s="29">
        <f>IF(AND(Changes!Change="Yes",Changes!ValidityYear&lt;=Table1[[#This Row],[Year]],Changes!ChangeType="Paid-Up",OR(PaidUpOption="Paid-up with no coverage",PaidUpOption="Paid-up with main coverage")),0,IF(B9=0,0,IF(AND(Changes!Change="Yes", Changes!ValidityYear&lt;=Table1[[#This Row],[Year]], Changes!ChangeType="Rider Inclusion/Exclusion", Changes!RiderType="Accident Death"), T9*Changes!NewChangedValue,IF(db!$D$6="Yes",(db!$B$6)*T9,0))))</f>
        <v>2000000000</v>
      </c>
      <c r="W9" s="29">
        <f>MIN(IF(V9&lt;=db!$L$2,V9,db!$L$2),MAX_ACC_CAPITAL)</f>
        <v>2000000000</v>
      </c>
      <c r="X9" s="17">
        <f>IF(AND(Changes!Change="Yes",Changes!ValidityYear&lt;=Table1[[#This Row],[Year]],Changes!ChangeType="Paid-Up",OR(PaidUpOption="Paid-up with no coverage",PaidUpOption="Paid-up with main coverage")),0,IF(OR(B9=0,Table1[[#This Row],[Accident Capital (2)]]=0),0,IF(AND(Changes!Change="Yes", Changes!ValidityYear&lt;=Table1[[#This Row],[Year]], Changes!ChangeType="Rider Inclusion/Exclusion", Changes!RiderType="Accident Disability"), T9*Changes!NewChangedValue,IF(db!$D$7="Yes",(db!$B$7)*T9,0))))</f>
        <v>1000000000</v>
      </c>
      <c r="Y9" s="42">
        <f>IF(C9&gt;69,0,IF(C9=0,0,IF(X9&lt;=db!$L$3,X9,db!$L$3)))</f>
        <v>1000000000</v>
      </c>
      <c r="Z9" s="29">
        <f>IF(AND(Changes!Change="Yes",Changes!ValidityYear&lt;=Table1[[#This Row],[Year]],Changes!ChangeType="Paid-Up",OR(PaidUpOption="Paid-up with no coverage",PaidUpOption="Paid-up with main coverage")),0,IF(OR(B9=0,Table1[[#This Row],[Accident Capital (2)]]=0),0,IF(AND(Changes!Change="Yes", Changes!ValidityYear&lt;=Table1[[#This Row],[Year]], Changes!ChangeType="Rider Inclusion/Exclusion", Changes!RiderType="Accident Medical Cost"), T9*Changes!NewChangedValue,IF(db!$D$9="Yes",(db!$B$9)*T9,0))))</f>
        <v>400000000</v>
      </c>
      <c r="AA9" s="29">
        <f>ROUND(IF(C9&gt;69,0,IF(C9=0,0,IF(Z9&lt;=db!$L$4,Z9,db!$L$4))),0)</f>
        <v>50000000</v>
      </c>
      <c r="AB9" s="38">
        <f>IF(AND(Changes!Change = "Yes", Changes!ChangeType = "Rider Inclusion/Exclusion", Changes!RiderType = "WOP"), IF( Changes!ValidityYear &lt;= Table1[[#This Row],[Year]], IF(WOP = "Yes", 0, 1),  IF(WOP = "Yes", 1, 0)), IF(AND(db!$D$8="Yes",C9&lt;=69,ROW()-1&lt;=InsurancePeriod), 1, 0))</f>
        <v>1</v>
      </c>
      <c r="AC9" s="17">
        <f>(AC10+K10)*AB9*((1)/(1+db!AA11))*(LOOKUP(C9,'Mortality Table'!$A$2:$A$108,'Mortality Table'!$E$2:$E$108))</f>
        <v>3172015541.8343997</v>
      </c>
      <c r="AD9" s="340">
        <f>IF(AND(Changes!ValidityYear&lt;= Table1[[#This Row],[Year]],Changes!ChangeType="Change Value Adjustment",Changes!Change="Yes"), (AD10+L10)*AB9*((1)/(1+db!AA11))*(LOOKUP(C9,'Mortality Table'!$A$2:$A$108,'Mortality Table'!$E$2:$E$108)),Table1[[#This Row],[WOP Before Adj. BT]])</f>
        <v>3172015541.8343997</v>
      </c>
      <c r="AE9" s="341">
        <f>IF(AND(Changes!Change="Yes", Changes!ChangeType="Change Value Adjustment"),Table1[[#This Row],[WOP Capital]],(AE10+O10)*AB9*((1)/(1+db!AA11))*(LOOKUP(D9,'Mortality Table'!$A$2:$A$108,'Mortality Table'!$E$2:$E$108)))</f>
        <v>3172015541.8343997</v>
      </c>
      <c r="AF9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3172015541.8343997</v>
      </c>
      <c r="AG9" s="42">
        <f>IF(AND(Changes!Change="Yes", Changes!ValidityYear&lt;=Table1[[#This Row],[Year]], Changes!ChangeType="Rider Inclusion/Exclusion", Changes!RiderType="Disability Annuity"), L9*Changes!NewChangedValue,L9*db!B$10*IF(db!$D$10="Yes",1,0))</f>
        <v>716636160</v>
      </c>
      <c r="AH9" s="29">
        <f>IF(AND(Changes!Change="Yes",Changes!ValidityYear&lt;=Table1[[#This Row],[Year]],Changes!ChangeType="Paid-Up"),0,Table1[[#This Row],[Code Annuity Capital]]*IF('Annual Calculation'!C9&gt;69,0,(LOOKUP('Annual Calculation'!C9+1,'Mortality Table'!$A$2:$A$108,'Mortality Table'!$O$2:$O$108)-LOOKUP('Annual Calculation'!C9+11,'Mortality Table'!$A$2:$A$108,'Mortality Table'!$O$2:$O$108))/LOOKUP('Annual Calculation'!C9,'Mortality Table'!$A$2:$A$108,'Mortality Table'!$M$2:$M$108)))</f>
        <v>4351302043.8744068</v>
      </c>
      <c r="AI9" s="17">
        <f>IF(AND(Changes!Change="Yes",Changes!ValidityYear&lt;=Table1[[#This Row],[Year]],Changes!ChangeType="Paid-Up",OR(PaidUpOption="Paid-up with no coverage",PaidUpOption="Paid-up with main coverage")),0,IF(B9=0,0,IF(AND(Changes!Change="Yes", Changes!ValidityYear&lt;=Table1[[#This Row],[Year]], Changes!ChangeType="Rider Inclusion/Exclusion", Changes!RiderType="Dread Disease"), T9*Changes!NewChangedValue,IF(db!$D$11="Yes",(db!$B$11)*T9,0))))</f>
        <v>300000000</v>
      </c>
      <c r="AJ9" s="42">
        <f>ROUND(IF(C9&gt;59,0,IF(C9=0,0,IF(AI9&lt;=db!$L$5,AI9,db!$L$5))),0)</f>
        <v>200000000</v>
      </c>
      <c r="AK9" s="29">
        <f>IF(AND(Changes!Change="Yes",Changes!ValidityYear&lt;=Table1[[#This Row],[Year]],Changes!ChangeType="Paid-Up",OR(PaidUpOption="Paid-up with no coverage",PaidUpOption="Paid-up with main coverage")),0,IF(B9=0,0,IF(AND(Changes!Change="Yes", Changes!ValidityYear&lt;=Table1[[#This Row],[Year]], Changes!ChangeType="Rider Inclusion/Exclusion", Changes!RiderType="Cancer"), T9*Changes!NewChangedValue,IF(db!$D$12="Yes",(db!$B$12)*T9,0))))</f>
        <v>500000000</v>
      </c>
      <c r="AL9" s="29">
        <f>ROUND(IF(C9&gt;59,0,IF(C9=0,0,IF(AK9&lt;=db!$L$6,AK9,db!$L$6))),0)</f>
        <v>300000000</v>
      </c>
      <c r="AM9" s="32"/>
      <c r="AN9" s="18">
        <f>IF(B9=0,0,IF(C9&lt;(db!$E$2+5),LOOKUP(C9,'Mortality Table'!$A$2:$A$108,'Mortality Table'!$P$2:$P$108),IF((C9&gt;=db!$E$2+10),LOOKUP(C9,'Mortality Table'!$A$2:$A$108,'Mortality Table'!$R$2:$R$108),LOOKUP(C9,'Mortality Table'!$A$2:$A$108,'Mortality Table'!$Q$2:$Q$108))))</f>
        <v>1.9646422668864942E-3</v>
      </c>
      <c r="AO9" s="22">
        <f t="shared" si="2"/>
        <v>3929285</v>
      </c>
      <c r="AP9" s="19">
        <f>IF(B9=0,0, LOOKUP(IF(AND(Changes!Change="Yes", Changes!ValidityYear&lt;=Table1[[#This Row],[Year]], Changes!ChangeType="Change Job Class"),Changes!NewChangedValue, db!$A$8),db!$AX$4:$AX$8,db!$AY$4:$AY$8))</f>
        <v>0.6</v>
      </c>
      <c r="AQ9" s="20">
        <f>ROUND((AP9/1000)*W9 * (1-db!$AS$9),0)</f>
        <v>906000</v>
      </c>
      <c r="AR9" s="20">
        <f>(AP9/1000)*W9 * db!$AS$9</f>
        <v>294000</v>
      </c>
      <c r="AS9" s="21">
        <f>IF(B9=0,0, LOOKUP(IF(AND(Changes!Change="Yes", Changes!ValidityYear&lt;=Table1[[#This Row],[Year]], Changes!ChangeType="Change Job Class"),Changes!NewChangedValue, db!$A$8),db!$AX$4:$AX$8,db!$AZ$4:$AZ$8))</f>
        <v>0.6</v>
      </c>
      <c r="AT9" s="22">
        <f>(AS9/1000)*Y9*(1-db!$AS$9)</f>
        <v>453000</v>
      </c>
      <c r="AU9" s="22">
        <f>(AS9/1000)*Y9*(db!$AS$9)</f>
        <v>147000</v>
      </c>
      <c r="AV9" s="23">
        <f>IF(B9=0,0, LOOKUP(IF(AND(Changes!Change="Yes", Changes!ValidityYear&lt;=Table1[[#This Row],[Year]], Changes!ChangeType="Change Job Class"),Changes!NewChangedValue, db!$A$8),db!$AX$4:$AX$8,db!$BA$4:$BA$8))</f>
        <v>0.8</v>
      </c>
      <c r="AW9" s="20">
        <f>ROUND((AV9/(100))*AA9*(1-db!$AS$9),0)</f>
        <v>302000</v>
      </c>
      <c r="AX9" s="20">
        <f>ROUND((AV9/(100))*AA9*(db!$AS$9),0)</f>
        <v>98000</v>
      </c>
      <c r="AY9" s="21">
        <f>IF(db!$D$8="Yes",AS9,0)</f>
        <v>0.6</v>
      </c>
      <c r="AZ9" s="22">
        <f>(AY9*AF9)/1000*(1-db!$AS$9)</f>
        <v>1436923.040450983</v>
      </c>
      <c r="BA9" s="22">
        <f>(AY9*AF9)/1000*(db!$AS$9)</f>
        <v>466286.28464965674</v>
      </c>
      <c r="BB9" s="23">
        <f t="shared" si="3"/>
        <v>0.6</v>
      </c>
      <c r="BC9" s="20">
        <f>(BB9*AH9/1000)*(1-db!$AS$9)</f>
        <v>1971139.8258751063</v>
      </c>
      <c r="BD9" s="20">
        <f>(BB9*AH9/1000)*(db!$AS$9)</f>
        <v>639641.40044953779</v>
      </c>
      <c r="BE9" s="22">
        <f>IF(B9=0,0,IF(C9&gt;60,0,LOOKUP(Table1[[#This Row],[Medical
Age]],db!$BC$3:$BC$63,db!$BD$3:$BD$63)))</f>
        <v>1500</v>
      </c>
      <c r="BF9" s="22">
        <f>BG9*db!$AS$10</f>
        <v>30000</v>
      </c>
      <c r="BG9" s="22">
        <f t="shared" si="4"/>
        <v>300000</v>
      </c>
      <c r="BH9" s="22">
        <f>(BE9/1000000)*AJ9*(1-db!$AS$10)</f>
        <v>270000</v>
      </c>
      <c r="BI9" s="20">
        <f>IF(B9=0,0,IF(C9&gt;59,0,LOOKUP(Table1[[#This Row],[Medical
Age]],db!$BC$3:$BC$63,db!$BE$3:$BE$63)))</f>
        <v>1500</v>
      </c>
      <c r="BJ9" s="20">
        <f>(BI9/1000000)*AL9*(1-db!$AS$11)</f>
        <v>405000</v>
      </c>
      <c r="BK9" s="20">
        <f>(BI9/1000000)*AL9*(db!$AS$11)</f>
        <v>45000</v>
      </c>
      <c r="BL9" s="19">
        <f>IF(Table1[Year]=0,0,IF(AND(Changes!Change="Yes", Changes!ValidityYear&lt;=Table1[[#This Row],[Year]], Changes!ChangeType="Change Risk Loading"), LOOKUP(Table1[Age],RiskLoadingChange!A$3:A$109,RiskLoadingChange!DP$3:DP$109), LOOKUP(Table1[Age],RiskLoading!A$3:A$109,RiskLoading!DP$3:DP$109)))</f>
        <v>4.9921140079057418E-4</v>
      </c>
      <c r="BM9" s="20">
        <f>Table1[[#This Row],[RiskLoading
Rate]]*Table1[[#This Row],[Death Capital (2)]]</f>
        <v>998422.80158114841</v>
      </c>
      <c r="BN9" s="36"/>
      <c r="BO9" s="37">
        <f t="shared" si="5"/>
        <v>3929285</v>
      </c>
      <c r="BP9" s="35">
        <f t="shared" si="6"/>
        <v>5069062.866326089</v>
      </c>
      <c r="BQ9" s="35">
        <f t="shared" si="7"/>
        <v>1644927.6850991945</v>
      </c>
      <c r="BR9" s="37">
        <f t="shared" si="11"/>
        <v>675000</v>
      </c>
      <c r="BS9" s="37">
        <f t="shared" si="12"/>
        <v>75000</v>
      </c>
      <c r="BT9" s="35">
        <f t="shared" si="13"/>
        <v>5744063</v>
      </c>
      <c r="BU9" s="35">
        <f t="shared" si="14"/>
        <v>1719928</v>
      </c>
      <c r="BV9" s="37">
        <f>(db!$AS$4/100)*(L9-BT9-BU9)</f>
        <v>5262811.335</v>
      </c>
      <c r="BW9" s="37">
        <f>(db!$AS$8/100)*(L9-BT9-BU9)</f>
        <v>10525622.67</v>
      </c>
      <c r="BX9" s="35"/>
      <c r="BY9" s="37"/>
      <c r="BZ9" s="37"/>
      <c r="CA9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28180133</v>
      </c>
      <c r="CB9" s="33"/>
      <c r="CC9" s="39">
        <f>ROUND((Table1[[#This Row],[Premium]]-Table1[[#This Row],[All Deductions]]),0)</f>
        <v>330137947</v>
      </c>
      <c r="CD9" s="39">
        <f>IF(B9=0,0,Table1[[#This Row],[Initial Reserve]]+CE8)</f>
        <v>2316690753</v>
      </c>
      <c r="CE9" s="40">
        <f>ROUND(IF(B9=0,0,((CC9)*(1+db!Y11))+((CE8)*(1+db!U11))),0)</f>
        <v>2664194366</v>
      </c>
      <c r="CF9" s="40">
        <f t="shared" si="19"/>
        <v>2664194000</v>
      </c>
      <c r="CG9" s="15">
        <f t="shared" si="15"/>
        <v>8</v>
      </c>
      <c r="CH9" s="39">
        <f>IF(B9=0,0,((CC9)*(1+db!AH11))+((CH8)*(1+db!AD11)))</f>
        <v>3066982199.5405664</v>
      </c>
      <c r="CI9" s="39">
        <f>IF(B9=0,0,((CC9)*(1+db!AH11))+((CI8)*(1+db!AD11)))</f>
        <v>3066982199.5405664</v>
      </c>
      <c r="CJ9" s="40">
        <f>IF(B9=0,0,((CC9)*(1+db!AO11))+((CJ8)*(1+db!AK11)))</f>
        <v>3303990065.198597</v>
      </c>
      <c r="CK9" s="40">
        <f>CJ9-(SUM(BX$7:$BX10))</f>
        <v>3303990065.198597</v>
      </c>
      <c r="CL9" s="46"/>
    </row>
    <row r="10" spans="1:90">
      <c r="A10" s="24">
        <f t="shared" si="16"/>
        <v>9</v>
      </c>
      <c r="B10" s="16">
        <f>IF(AND(Changes!Change="Yes", Changes!ChangeType="Change Contract Duration"),IF(B9=0,0,IF(Changes!NewChangedValue&lt;B9+1,0,B9+1)),IF(B9=0,0,IF('Application Annually'!$C$5&lt;B9+1,0,B9+1)))</f>
        <v>9</v>
      </c>
      <c r="C10" s="15">
        <f t="shared" si="17"/>
        <v>36</v>
      </c>
      <c r="D10" s="312">
        <f t="shared" si="18"/>
        <v>36</v>
      </c>
      <c r="E10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40</v>
      </c>
      <c r="F10" s="29">
        <f t="shared" si="8"/>
        <v>429982000</v>
      </c>
      <c r="G10" s="29">
        <f t="shared" si="9"/>
        <v>429982000</v>
      </c>
      <c r="H10" s="29">
        <f t="shared" si="0"/>
        <v>464380000</v>
      </c>
      <c r="I10" s="29">
        <f>IF(B10&gt;0,IF(AND(Table1[[#This Row],[Year]]&gt;Changes!ValidityYear,Changes!Change="Yes",Changes!ChangeType="Change Value Adjustment"),Changes!$G$22,'Application Annually'!$C$11),0)</f>
        <v>15</v>
      </c>
      <c r="J10" s="29">
        <f>IF(B10&gt;0,IF(AND(Table1[[#This Row],[Year]]&gt;Changes!ValidityYear,Changes!Change="Yes",Changes!ChangeType="Change Value Adjustment"),Changes!$G$24,'Application Annually'!$C$7),0)</f>
        <v>20</v>
      </c>
      <c r="K10" s="29">
        <f>ROUND(IF(B10=0,0,IF(AND(Changes!Change="Yes", Changes!ValidityYear=Table1[[#This Row],[Year]], Changes!ChangeType="Change Premium"), Changes!NewChangedValue, (K9*(1+db!$B$3)))),0)</f>
        <v>429981696</v>
      </c>
      <c r="L10" s="29">
        <f>ROUND(IF(AND(Changes!Change="Yes",Changes!ValidityYear&lt;=Table1[[#This Row],[Year]],Changes!ChangeType="Paid-Up"),0,IF(B10=0,0,IF(AND(Changes!Change="Yes", Changes!ValidityYear=Table1[[#This Row],[Year]], Changes!ChangeType="Change Premium"), Changes!NewChangedValue, (L9*(1+Table1[[#This Row],[Adjustment Factor of Premium]]/100))))),0)</f>
        <v>429981696</v>
      </c>
      <c r="M10" s="29">
        <f>IF(Table1[[#This Row],[Year]]=1,ROUND(MIN($L$2 -( Table1[[#This Row],[Riders Risk Premiums]] + Table1[[#This Row],[Acquisition Cost]]) *0.75,Table1[[#This Row],[Death Capital (1)]]* 0.03),0),0)</f>
        <v>0</v>
      </c>
      <c r="N10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0" s="29">
        <f>ROUND(IF(ROW()-1&gt;InsurancePeriod,0,(O9*(1+(Table1[[#This Row],[Adjustment Factor of Premium]]/100)))),0)</f>
        <v>429981696</v>
      </c>
      <c r="P10" s="29">
        <f>IF(Table1[Year] = 0, 0, SUM(L$2:L10))</f>
        <v>2079890176</v>
      </c>
      <c r="Q10" s="17">
        <f t="shared" si="1"/>
        <v>2000000000</v>
      </c>
      <c r="R10" s="17">
        <f>IF(Table1[[#This Row],[Year]]=0,0,IF($C$2&lt;=50,LOOKUP(Table1[[#This Row],[Age]],db!BG11:BG117,db!BH11:BH117),LOOKUP(Table1[[#This Row],[Age]],db!BJ11:BJ117,db!BK11:BK117)))</f>
        <v>2000000000</v>
      </c>
      <c r="S10" s="17">
        <f>IF(AND(Changes!Change="Yes",Changes!ValidityYear&lt;=Table1[[#This Row],[Year]],Changes!ChangeType="Paid-Up",PaidUpOption="Paid-up with no coverage"),0,IF(B10=0,0, IF(AND(Changes!Change="Yes", Changes!ValidityYear=Table1[[#This Row],[Year]], Changes!ChangeType="Change Death Capital"), Changes!NewChangedValue, S9*(1+(Table1[[#This Row],[Adjustment Factor of Death Capital]]/100)))))</f>
        <v>3059022862.5390606</v>
      </c>
      <c r="T10" s="17">
        <f>MIN(IF(B10=0,0,Table1[[#This Row],[Death Capital (1)]]),Table1[[#This Row],[Max Sum Insured For Death]])</f>
        <v>2000000000</v>
      </c>
      <c r="U10" s="29">
        <f t="shared" si="10"/>
        <v>2000000000</v>
      </c>
      <c r="V10" s="29">
        <f>IF(AND(Changes!Change="Yes",Changes!ValidityYear&lt;=Table1[[#This Row],[Year]],Changes!ChangeType="Paid-Up",OR(PaidUpOption="Paid-up with no coverage",PaidUpOption="Paid-up with main coverage")),0,IF(B10=0,0,IF(AND(Changes!Change="Yes", Changes!ValidityYear&lt;=Table1[[#This Row],[Year]], Changes!ChangeType="Rider Inclusion/Exclusion", Changes!RiderType="Accident Death"), T10*Changes!NewChangedValue,IF(db!$D$6="Yes",(db!$B$6)*T10,0))))</f>
        <v>2000000000</v>
      </c>
      <c r="W10" s="29">
        <f>MIN(IF(V10&lt;=db!$L$2,V10,db!$L$2),MAX_ACC_CAPITAL)</f>
        <v>2000000000</v>
      </c>
      <c r="X10" s="17">
        <f>IF(AND(Changes!Change="Yes",Changes!ValidityYear&lt;=Table1[[#This Row],[Year]],Changes!ChangeType="Paid-Up",OR(PaidUpOption="Paid-up with no coverage",PaidUpOption="Paid-up with main coverage")),0,IF(OR(B10=0,Table1[[#This Row],[Accident Capital (2)]]=0),0,IF(AND(Changes!Change="Yes", Changes!ValidityYear&lt;=Table1[[#This Row],[Year]], Changes!ChangeType="Rider Inclusion/Exclusion", Changes!RiderType="Accident Disability"), T10*Changes!NewChangedValue,IF(db!$D$7="Yes",(db!$B$7)*T10,0))))</f>
        <v>1000000000</v>
      </c>
      <c r="Y10" s="42">
        <f>IF(C10&gt;69,0,IF(C10=0,0,IF(X10&lt;=db!$L$3,X10,db!$L$3)))</f>
        <v>1000000000</v>
      </c>
      <c r="Z10" s="29">
        <f>IF(AND(Changes!Change="Yes",Changes!ValidityYear&lt;=Table1[[#This Row],[Year]],Changes!ChangeType="Paid-Up",OR(PaidUpOption="Paid-up with no coverage",PaidUpOption="Paid-up with main coverage")),0,IF(OR(B10=0,Table1[[#This Row],[Accident Capital (2)]]=0),0,IF(AND(Changes!Change="Yes", Changes!ValidityYear&lt;=Table1[[#This Row],[Year]], Changes!ChangeType="Rider Inclusion/Exclusion", Changes!RiderType="Accident Medical Cost"), T10*Changes!NewChangedValue,IF(db!$D$9="Yes",(db!$B$9)*T10,0))))</f>
        <v>400000000</v>
      </c>
      <c r="AA10" s="29">
        <f>ROUND(IF(C10&gt;69,0,IF(C10=0,0,IF(Z10&lt;=db!$L$4,Z10,db!$L$4))),0)</f>
        <v>50000000</v>
      </c>
      <c r="AB10" s="38">
        <f>IF(AND(Changes!Change = "Yes", Changes!ChangeType = "Rider Inclusion/Exclusion", Changes!RiderType = "WOP"), IF( Changes!ValidityYear &lt;= Table1[[#This Row],[Year]], IF(WOP = "Yes", 0, 1),  IF(WOP = "Yes", 1, 0)), IF(AND(db!$D$8="Yes",C10&lt;=69,ROW()-1&lt;=InsurancePeriod), 1, 0))</f>
        <v>1</v>
      </c>
      <c r="AC10" s="17">
        <f>(AC11+K11)*AB10*((1)/(1+db!AA12))*(LOOKUP(C10,'Mortality Table'!$A$2:$A$108,'Mortality Table'!$E$2:$E$108))</f>
        <v>3225537786.8169899</v>
      </c>
      <c r="AD10" s="340">
        <f>IF(AND(Changes!ValidityYear&lt;= Table1[[#This Row],[Year]],Changes!ChangeType="Change Value Adjustment",Changes!Change="Yes"), (AD11+L11)*AB10*((1)/(1+db!AA12))*(LOOKUP(C10,'Mortality Table'!$A$2:$A$108,'Mortality Table'!$E$2:$E$108)),Table1[[#This Row],[WOP Before Adj. BT]])</f>
        <v>3225537786.8169899</v>
      </c>
      <c r="AE10" s="341">
        <f>IF(AND(Changes!Change="Yes", Changes!ChangeType="Change Value Adjustment"),Table1[[#This Row],[WOP Capital]],(AE11+O11)*AB10*((1)/(1+db!AA12))*(LOOKUP(D10,'Mortality Table'!$A$2:$A$108,'Mortality Table'!$E$2:$E$108)))</f>
        <v>3225537786.8169899</v>
      </c>
      <c r="AF10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3225537786.8169899</v>
      </c>
      <c r="AG10" s="42">
        <f>IF(AND(Changes!Change="Yes", Changes!ValidityYear&lt;=Table1[[#This Row],[Year]], Changes!ChangeType="Rider Inclusion/Exclusion", Changes!RiderType="Disability Annuity"), L10*Changes!NewChangedValue,L10*db!B$10*IF(db!$D$10="Yes",1,0))</f>
        <v>859963392</v>
      </c>
      <c r="AH10" s="29">
        <f>IF(AND(Changes!Change="Yes",Changes!ValidityYear&lt;=Table1[[#This Row],[Year]],Changes!ChangeType="Paid-Up"),0,Table1[[#This Row],[Code Annuity Capital]]*IF('Annual Calculation'!C10&gt;69,0,(LOOKUP('Annual Calculation'!C10+1,'Mortality Table'!$A$2:$A$108,'Mortality Table'!$O$2:$O$108)-LOOKUP('Annual Calculation'!C10+11,'Mortality Table'!$A$2:$A$108,'Mortality Table'!$O$2:$O$108))/LOOKUP('Annual Calculation'!C10,'Mortality Table'!$A$2:$A$108,'Mortality Table'!$M$2:$M$108)))</f>
        <v>5217215702.1063786</v>
      </c>
      <c r="AI10" s="17">
        <f>IF(AND(Changes!Change="Yes",Changes!ValidityYear&lt;=Table1[[#This Row],[Year]],Changes!ChangeType="Paid-Up",OR(PaidUpOption="Paid-up with no coverage",PaidUpOption="Paid-up with main coverage")),0,IF(B10=0,0,IF(AND(Changes!Change="Yes", Changes!ValidityYear&lt;=Table1[[#This Row],[Year]], Changes!ChangeType="Rider Inclusion/Exclusion", Changes!RiderType="Dread Disease"), T10*Changes!NewChangedValue,IF(db!$D$11="Yes",(db!$B$11)*T10,0))))</f>
        <v>300000000</v>
      </c>
      <c r="AJ10" s="42">
        <f>ROUND(IF(C10&gt;59,0,IF(C10=0,0,IF(AI10&lt;=db!$L$5,AI10,db!$L$5))),0)</f>
        <v>200000000</v>
      </c>
      <c r="AK10" s="29">
        <f>IF(AND(Changes!Change="Yes",Changes!ValidityYear&lt;=Table1[[#This Row],[Year]],Changes!ChangeType="Paid-Up",OR(PaidUpOption="Paid-up with no coverage",PaidUpOption="Paid-up with main coverage")),0,IF(B10=0,0,IF(AND(Changes!Change="Yes", Changes!ValidityYear&lt;=Table1[[#This Row],[Year]], Changes!ChangeType="Rider Inclusion/Exclusion", Changes!RiderType="Cancer"), T10*Changes!NewChangedValue,IF(db!$D$12="Yes",(db!$B$12)*T10,0))))</f>
        <v>500000000</v>
      </c>
      <c r="AL10" s="29">
        <f>ROUND(IF(C10&gt;59,0,IF(C10=0,0,IF(AK10&lt;=db!$L$6,AK10,db!$L$6))),0)</f>
        <v>300000000</v>
      </c>
      <c r="AM10" s="32"/>
      <c r="AN10" s="18">
        <f>IF(B10=0,0,IF(C10&lt;(db!$E$2+5),LOOKUP(C10,'Mortality Table'!$A$2:$A$108,'Mortality Table'!$P$2:$P$108),IF((C10&gt;=db!$E$2+10),LOOKUP(C10,'Mortality Table'!$A$2:$A$108,'Mortality Table'!$R$2:$R$108),LOOKUP(C10,'Mortality Table'!$A$2:$A$108,'Mortality Table'!$Q$2:$Q$108))))</f>
        <v>2.0760015485094137E-3</v>
      </c>
      <c r="AO10" s="22">
        <f t="shared" si="2"/>
        <v>4152003</v>
      </c>
      <c r="AP10" s="19">
        <f>IF(B10=0,0, LOOKUP(IF(AND(Changes!Change="Yes", Changes!ValidityYear&lt;=Table1[[#This Row],[Year]], Changes!ChangeType="Change Job Class"),Changes!NewChangedValue, db!$A$8),db!$AX$4:$AX$8,db!$AY$4:$AY$8))</f>
        <v>0.6</v>
      </c>
      <c r="AQ10" s="20">
        <f>ROUND((AP10/1000)*W10 * (1-db!$AS$9),0)</f>
        <v>906000</v>
      </c>
      <c r="AR10" s="20">
        <f>(AP10/1000)*W10 * db!$AS$9</f>
        <v>294000</v>
      </c>
      <c r="AS10" s="21">
        <f>IF(B10=0,0, LOOKUP(IF(AND(Changes!Change="Yes", Changes!ValidityYear&lt;=Table1[[#This Row],[Year]], Changes!ChangeType="Change Job Class"),Changes!NewChangedValue, db!$A$8),db!$AX$4:$AX$8,db!$AZ$4:$AZ$8))</f>
        <v>0.6</v>
      </c>
      <c r="AT10" s="22">
        <f>(AS10/1000)*Y10*(1-db!$AS$9)</f>
        <v>453000</v>
      </c>
      <c r="AU10" s="22">
        <f>(AS10/1000)*Y10*(db!$AS$9)</f>
        <v>147000</v>
      </c>
      <c r="AV10" s="23">
        <f>IF(B10=0,0, LOOKUP(IF(AND(Changes!Change="Yes", Changes!ValidityYear&lt;=Table1[[#This Row],[Year]], Changes!ChangeType="Change Job Class"),Changes!NewChangedValue, db!$A$8),db!$AX$4:$AX$8,db!$BA$4:$BA$8))</f>
        <v>0.8</v>
      </c>
      <c r="AW10" s="20">
        <f>ROUND((AV10/(100))*AA10*(1-db!$AS$9),0)</f>
        <v>302000</v>
      </c>
      <c r="AX10" s="20">
        <f>ROUND((AV10/(100))*AA10*(db!$AS$9),0)</f>
        <v>98000</v>
      </c>
      <c r="AY10" s="21">
        <f>IF(db!$D$8="Yes",AS10,0)</f>
        <v>0.6</v>
      </c>
      <c r="AZ10" s="22">
        <f>(AY10*AF10)/1000*(1-db!$AS$9)</f>
        <v>1461168.6174280962</v>
      </c>
      <c r="BA10" s="22">
        <f>(AY10*AF10)/1000*(db!$AS$9)</f>
        <v>474154.05466209748</v>
      </c>
      <c r="BB10" s="23">
        <f t="shared" si="3"/>
        <v>0.6</v>
      </c>
      <c r="BC10" s="20">
        <f>(BB10*AH10/1000)*(1-db!$AS$9)</f>
        <v>2363398.7130541895</v>
      </c>
      <c r="BD10" s="20">
        <f>(BB10*AH10/1000)*(db!$AS$9)</f>
        <v>766930.70820963755</v>
      </c>
      <c r="BE10" s="22">
        <f>IF(B10=0,0,IF(C10&gt;60,0,LOOKUP(Table1[[#This Row],[Medical
Age]],db!$BC$3:$BC$63,db!$BD$3:$BD$63)))</f>
        <v>1500</v>
      </c>
      <c r="BF10" s="22">
        <f>BG10*db!$AS$10</f>
        <v>30000</v>
      </c>
      <c r="BG10" s="22">
        <f t="shared" si="4"/>
        <v>300000</v>
      </c>
      <c r="BH10" s="22">
        <f>(BE10/1000000)*AJ10*(1-db!$AS$10)</f>
        <v>270000</v>
      </c>
      <c r="BI10" s="20">
        <f>IF(B10=0,0,IF(C10&gt;59,0,LOOKUP(Table1[[#This Row],[Medical
Age]],db!$BC$3:$BC$63,db!$BE$3:$BE$63)))</f>
        <v>1500</v>
      </c>
      <c r="BJ10" s="20">
        <f>(BI10/1000000)*AL10*(1-db!$AS$11)</f>
        <v>405000</v>
      </c>
      <c r="BK10" s="20">
        <f>(BI10/1000000)*AL10*(db!$AS$11)</f>
        <v>45000</v>
      </c>
      <c r="BL10" s="19">
        <f>IF(Table1[Year]=0,0,IF(AND(Changes!Change="Yes", Changes!ValidityYear&lt;=Table1[[#This Row],[Year]], Changes!ChangeType="Change Risk Loading"), LOOKUP(Table1[Age],RiskLoadingChange!A$3:A$109,RiskLoadingChange!DP$3:DP$109), LOOKUP(Table1[Age],RiskLoading!A$3:A$109,RiskLoading!DP$3:DP$109)))</f>
        <v>5.8138027473256509E-4</v>
      </c>
      <c r="BM10" s="20">
        <f>Table1[[#This Row],[RiskLoading
Rate]]*Table1[[#This Row],[Death Capital (2)]]</f>
        <v>1162760.5494651301</v>
      </c>
      <c r="BN10" s="36"/>
      <c r="BO10" s="37">
        <f t="shared" si="5"/>
        <v>4152003</v>
      </c>
      <c r="BP10" s="35">
        <f t="shared" si="6"/>
        <v>5485567.3304822855</v>
      </c>
      <c r="BQ10" s="35">
        <f t="shared" si="7"/>
        <v>1780084.762871735</v>
      </c>
      <c r="BR10" s="37">
        <f t="shared" si="11"/>
        <v>675000</v>
      </c>
      <c r="BS10" s="37">
        <f t="shared" si="12"/>
        <v>75000</v>
      </c>
      <c r="BT10" s="35">
        <f t="shared" si="13"/>
        <v>6160567</v>
      </c>
      <c r="BU10" s="35">
        <f t="shared" si="14"/>
        <v>1855085</v>
      </c>
      <c r="BV10" s="37">
        <f>(db!$AS$4/100)*(L10-BT10-BU10)</f>
        <v>6329490.6600000001</v>
      </c>
      <c r="BW10" s="37">
        <f>(db!$AS$8/100)*(L10-BT10-BU10)</f>
        <v>12658981.32</v>
      </c>
      <c r="BX10" s="35"/>
      <c r="BY10" s="37"/>
      <c r="BZ10" s="37"/>
      <c r="CA10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32318888</v>
      </c>
      <c r="CB10" s="33"/>
      <c r="CC10" s="39">
        <f>ROUND((Table1[[#This Row],[Premium]]-Table1[[#This Row],[All Deductions]]),0)</f>
        <v>397662808</v>
      </c>
      <c r="CD10" s="39">
        <f>IF(B10=0,0,Table1[[#This Row],[Initial Reserve]]+CE9)</f>
        <v>3061857174</v>
      </c>
      <c r="CE10" s="40">
        <f>ROUND(IF(B10=0,0,((CC10)*(1+db!Y12))+((CE9)*(1+db!U12))),0)</f>
        <v>3521135750</v>
      </c>
      <c r="CF10" s="40">
        <f t="shared" si="19"/>
        <v>3521136000</v>
      </c>
      <c r="CG10" s="15">
        <f t="shared" si="15"/>
        <v>9</v>
      </c>
      <c r="CH10" s="39">
        <f>IF(B10=0,0,((CC10)*(1+db!AH12))+((CH9)*(1+db!AD12)))</f>
        <v>4157574009.0486794</v>
      </c>
      <c r="CI10" s="39">
        <f>IF(B10=0,0,((CC10)*(1+db!AH12))+((CI9)*(1+db!AD12)))</f>
        <v>4157574009.0486794</v>
      </c>
      <c r="CJ10" s="40">
        <f>IF(B10=0,0,((CC10)*(1+db!AO12))+((CJ9)*(1+db!AK12)))</f>
        <v>4516016505.3022881</v>
      </c>
      <c r="CK10" s="40">
        <f>CJ10-(SUM(BX$7:$BX11))</f>
        <v>4516016505.3022881</v>
      </c>
      <c r="CL10" s="46"/>
    </row>
    <row r="11" spans="1:90">
      <c r="A11" s="24">
        <f t="shared" si="16"/>
        <v>10</v>
      </c>
      <c r="B11" s="16">
        <f>IF(AND(Changes!Change="Yes", Changes!ChangeType="Change Contract Duration"),IF(B10=0,0,IF(Changes!NewChangedValue&lt;B10+1,0,B10+1)),IF(B10=0,0,IF('Application Annually'!$C$5&lt;B10+1,0,B10+1)))</f>
        <v>10</v>
      </c>
      <c r="C11" s="15">
        <f t="shared" si="17"/>
        <v>37</v>
      </c>
      <c r="D11" s="312">
        <f t="shared" si="18"/>
        <v>37</v>
      </c>
      <c r="E11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40</v>
      </c>
      <c r="F11" s="29">
        <f t="shared" si="8"/>
        <v>515978000</v>
      </c>
      <c r="G11" s="29">
        <f t="shared" si="9"/>
        <v>515978000</v>
      </c>
      <c r="H11" s="29">
        <f t="shared" si="0"/>
        <v>557256000</v>
      </c>
      <c r="I11" s="29">
        <f>IF(B11&gt;0,IF(AND(Table1[[#This Row],[Year]]&gt;Changes!ValidityYear,Changes!Change="Yes",Changes!ChangeType="Change Value Adjustment"),Changes!$G$22,'Application Annually'!$C$11),0)</f>
        <v>15</v>
      </c>
      <c r="J11" s="29">
        <f>IF(B11&gt;0,IF(AND(Table1[[#This Row],[Year]]&gt;Changes!ValidityYear,Changes!Change="Yes",Changes!ChangeType="Change Value Adjustment"),Changes!$G$24,'Application Annually'!$C$7),0)</f>
        <v>20</v>
      </c>
      <c r="K11" s="29">
        <f>ROUND(IF(B11=0,0,IF(AND(Changes!Change="Yes", Changes!ValidityYear=Table1[[#This Row],[Year]], Changes!ChangeType="Change Premium"), Changes!NewChangedValue, (K10*(1+db!$B$3)))),0)</f>
        <v>515978035</v>
      </c>
      <c r="L11" s="29">
        <f>ROUND(IF(AND(Changes!Change="Yes",Changes!ValidityYear&lt;=Table1[[#This Row],[Year]],Changes!ChangeType="Paid-Up"),0,IF(B11=0,0,IF(AND(Changes!Change="Yes", Changes!ValidityYear=Table1[[#This Row],[Year]], Changes!ChangeType="Change Premium"), Changes!NewChangedValue, (L10*(1+Table1[[#This Row],[Adjustment Factor of Premium]]/100))))),0)</f>
        <v>515978035</v>
      </c>
      <c r="M11" s="29">
        <f>IF(Table1[[#This Row],[Year]]=1,ROUND(MIN($L$2 -( Table1[[#This Row],[Riders Risk Premiums]] + Table1[[#This Row],[Acquisition Cost]]) *0.75,Table1[[#This Row],[Death Capital (1)]]* 0.03),0),0)</f>
        <v>0</v>
      </c>
      <c r="N11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1" s="29">
        <f>ROUND(IF(ROW()-1&gt;InsurancePeriod,0,(O10*(1+(Table1[[#This Row],[Adjustment Factor of Premium]]/100)))),0)</f>
        <v>515978035</v>
      </c>
      <c r="P11" s="29">
        <f>IF(Table1[Year] = 0, 0, SUM(L$2:L11))</f>
        <v>2595868211</v>
      </c>
      <c r="Q11" s="17">
        <f t="shared" si="1"/>
        <v>2000000000</v>
      </c>
      <c r="R11" s="17">
        <f>IF(Table1[[#This Row],[Year]]=0,0,IF($C$2&lt;=50,LOOKUP(Table1[[#This Row],[Age]],db!BG12:BG118,db!BH12:BH118),LOOKUP(Table1[[#This Row],[Age]],db!BJ12:BJ118,db!BK12:BK118)))</f>
        <v>2000000000</v>
      </c>
      <c r="S11" s="17">
        <f>IF(AND(Changes!Change="Yes",Changes!ValidityYear&lt;=Table1[[#This Row],[Year]],Changes!ChangeType="Paid-Up",PaidUpOption="Paid-up with no coverage"),0,IF(B11=0,0, IF(AND(Changes!Change="Yes", Changes!ValidityYear=Table1[[#This Row],[Year]], Changes!ChangeType="Change Death Capital"), Changes!NewChangedValue, S10*(1+(Table1[[#This Row],[Adjustment Factor of Death Capital]]/100)))))</f>
        <v>3517876291.9199195</v>
      </c>
      <c r="T11" s="17">
        <f>MIN(IF(B11=0,0,Table1[[#This Row],[Death Capital (1)]]),Table1[[#This Row],[Max Sum Insured For Death]])</f>
        <v>2000000000</v>
      </c>
      <c r="U11" s="29">
        <f t="shared" si="10"/>
        <v>2000000000</v>
      </c>
      <c r="V11" s="29">
        <f>IF(AND(Changes!Change="Yes",Changes!ValidityYear&lt;=Table1[[#This Row],[Year]],Changes!ChangeType="Paid-Up",OR(PaidUpOption="Paid-up with no coverage",PaidUpOption="Paid-up with main coverage")),0,IF(B11=0,0,IF(AND(Changes!Change="Yes", Changes!ValidityYear&lt;=Table1[[#This Row],[Year]], Changes!ChangeType="Rider Inclusion/Exclusion", Changes!RiderType="Accident Death"), T11*Changes!NewChangedValue,IF(db!$D$6="Yes",(db!$B$6)*T11,0))))</f>
        <v>2000000000</v>
      </c>
      <c r="W11" s="29">
        <f>MIN(IF(V11&lt;=db!$L$2,V11,db!$L$2),MAX_ACC_CAPITAL)</f>
        <v>2000000000</v>
      </c>
      <c r="X11" s="17">
        <f>IF(AND(Changes!Change="Yes",Changes!ValidityYear&lt;=Table1[[#This Row],[Year]],Changes!ChangeType="Paid-Up",OR(PaidUpOption="Paid-up with no coverage",PaidUpOption="Paid-up with main coverage")),0,IF(OR(B11=0,Table1[[#This Row],[Accident Capital (2)]]=0),0,IF(AND(Changes!Change="Yes", Changes!ValidityYear&lt;=Table1[[#This Row],[Year]], Changes!ChangeType="Rider Inclusion/Exclusion", Changes!RiderType="Accident Disability"), T11*Changes!NewChangedValue,IF(db!$D$7="Yes",(db!$B$7)*T11,0))))</f>
        <v>1000000000</v>
      </c>
      <c r="Y11" s="42">
        <f>IF(C11&gt;69,0,IF(C11=0,0,IF(X11&lt;=db!$L$3,X11,db!$L$3)))</f>
        <v>1000000000</v>
      </c>
      <c r="Z11" s="29">
        <f>IF(AND(Changes!Change="Yes",Changes!ValidityYear&lt;=Table1[[#This Row],[Year]],Changes!ChangeType="Paid-Up",OR(PaidUpOption="Paid-up with no coverage",PaidUpOption="Paid-up with main coverage")),0,IF(OR(B11=0,Table1[[#This Row],[Accident Capital (2)]]=0),0,IF(AND(Changes!Change="Yes", Changes!ValidityYear&lt;=Table1[[#This Row],[Year]], Changes!ChangeType="Rider Inclusion/Exclusion", Changes!RiderType="Accident Medical Cost"), T11*Changes!NewChangedValue,IF(db!$D$9="Yes",(db!$B$9)*T11,0))))</f>
        <v>400000000</v>
      </c>
      <c r="AA11" s="29">
        <f>ROUND(IF(C11&gt;69,0,IF(C11=0,0,IF(Z11&lt;=db!$L$4,Z11,db!$L$4))),0)</f>
        <v>50000000</v>
      </c>
      <c r="AB11" s="38">
        <f>IF(AND(Changes!Change = "Yes", Changes!ChangeType = "Rider Inclusion/Exclusion", Changes!RiderType = "WOP"), IF( Changes!ValidityYear &lt;= Table1[[#This Row],[Year]], IF(WOP = "Yes", 0, 1),  IF(WOP = "Yes", 1, 0)), IF(AND(db!$D$8="Yes",C11&lt;=69,ROW()-1&lt;=InsurancePeriod), 1, 0))</f>
        <v>1</v>
      </c>
      <c r="AC11" s="17">
        <f>(AC12+K12)*AB11*((1)/(1+db!AA13))*(LOOKUP(C11,'Mortality Table'!$A$2:$A$108,'Mortality Table'!$E$2:$E$108))</f>
        <v>3201666877.5339417</v>
      </c>
      <c r="AD11" s="340">
        <f>IF(AND(Changes!ValidityYear&lt;= Table1[[#This Row],[Year]],Changes!ChangeType="Change Value Adjustment",Changes!Change="Yes"), (AD12+L12)*AB11*((1)/(1+db!AA13))*(LOOKUP(C11,'Mortality Table'!$A$2:$A$108,'Mortality Table'!$E$2:$E$108)),Table1[[#This Row],[WOP Before Adj. BT]])</f>
        <v>3201666877.5339417</v>
      </c>
      <c r="AE11" s="341">
        <f>IF(AND(Changes!Change="Yes", Changes!ChangeType="Change Value Adjustment"),Table1[[#This Row],[WOP Capital]],(AE12+O12)*AB11*((1)/(1+db!AA13))*(LOOKUP(D11,'Mortality Table'!$A$2:$A$108,'Mortality Table'!$E$2:$E$108)))</f>
        <v>3201666877.5339417</v>
      </c>
      <c r="AF11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3201666877.5339417</v>
      </c>
      <c r="AG11" s="42">
        <f>IF(AND(Changes!Change="Yes", Changes!ValidityYear&lt;=Table1[[#This Row],[Year]], Changes!ChangeType="Rider Inclusion/Exclusion", Changes!RiderType="Disability Annuity"), L11*Changes!NewChangedValue,L11*db!B$10*IF(db!$D$10="Yes",1,0))</f>
        <v>1031956070</v>
      </c>
      <c r="AH11" s="29">
        <f>IF(AND(Changes!Change="Yes",Changes!ValidityYear&lt;=Table1[[#This Row],[Year]],Changes!ChangeType="Paid-Up"),0,Table1[[#This Row],[Code Annuity Capital]]*IF('Annual Calculation'!C11&gt;69,0,(LOOKUP('Annual Calculation'!C11+1,'Mortality Table'!$A$2:$A$108,'Mortality Table'!$O$2:$O$108)-LOOKUP('Annual Calculation'!C11+11,'Mortality Table'!$A$2:$A$108,'Mortality Table'!$O$2:$O$108))/LOOKUP('Annual Calculation'!C11,'Mortality Table'!$A$2:$A$108,'Mortality Table'!$M$2:$M$108)))</f>
        <v>6254794905.5816526</v>
      </c>
      <c r="AI11" s="17">
        <f>IF(AND(Changes!Change="Yes",Changes!ValidityYear&lt;=Table1[[#This Row],[Year]],Changes!ChangeType="Paid-Up",OR(PaidUpOption="Paid-up with no coverage",PaidUpOption="Paid-up with main coverage")),0,IF(B11=0,0,IF(AND(Changes!Change="Yes", Changes!ValidityYear&lt;=Table1[[#This Row],[Year]], Changes!ChangeType="Rider Inclusion/Exclusion", Changes!RiderType="Dread Disease"), T11*Changes!NewChangedValue,IF(db!$D$11="Yes",(db!$B$11)*T11,0))))</f>
        <v>300000000</v>
      </c>
      <c r="AJ11" s="42">
        <f>ROUND(IF(C11&gt;59,0,IF(C11=0,0,IF(AI11&lt;=db!$L$5,AI11,db!$L$5))),0)</f>
        <v>200000000</v>
      </c>
      <c r="AK11" s="29">
        <f>IF(AND(Changes!Change="Yes",Changes!ValidityYear&lt;=Table1[[#This Row],[Year]],Changes!ChangeType="Paid-Up",OR(PaidUpOption="Paid-up with no coverage",PaidUpOption="Paid-up with main coverage")),0,IF(B11=0,0,IF(AND(Changes!Change="Yes", Changes!ValidityYear&lt;=Table1[[#This Row],[Year]], Changes!ChangeType="Rider Inclusion/Exclusion", Changes!RiderType="Cancer"), T11*Changes!NewChangedValue,IF(db!$D$12="Yes",(db!$B$12)*T11,0))))</f>
        <v>500000000</v>
      </c>
      <c r="AL11" s="29">
        <f>ROUND(IF(C11&gt;59,0,IF(C11=0,0,IF(AK11&lt;=db!$L$6,AK11,db!$L$6))),0)</f>
        <v>300000000</v>
      </c>
      <c r="AM11" s="32"/>
      <c r="AN11" s="18">
        <f>IF(B11=0,0,IF(C11&lt;(db!$E$2+5),LOOKUP(C11,'Mortality Table'!$A$2:$A$108,'Mortality Table'!$P$2:$P$108),IF((C11&gt;=db!$E$2+10),LOOKUP(C11,'Mortality Table'!$A$2:$A$108,'Mortality Table'!$R$2:$R$108),LOOKUP(C11,'Mortality Table'!$A$2:$A$108,'Mortality Table'!$Q$2:$Q$108))))</f>
        <v>2.2076206138745983E-3</v>
      </c>
      <c r="AO11" s="22">
        <f t="shared" si="2"/>
        <v>4415241</v>
      </c>
      <c r="AP11" s="19">
        <f>IF(B11=0,0, LOOKUP(IF(AND(Changes!Change="Yes", Changes!ValidityYear&lt;=Table1[[#This Row],[Year]], Changes!ChangeType="Change Job Class"),Changes!NewChangedValue, db!$A$8),db!$AX$4:$AX$8,db!$AY$4:$AY$8))</f>
        <v>0.6</v>
      </c>
      <c r="AQ11" s="20">
        <f>ROUND((AP11/1000)*W11 * (1-db!$AS$9),0)</f>
        <v>906000</v>
      </c>
      <c r="AR11" s="20">
        <f>(AP11/1000)*W11 * db!$AS$9</f>
        <v>294000</v>
      </c>
      <c r="AS11" s="21">
        <f>IF(B11=0,0, LOOKUP(IF(AND(Changes!Change="Yes", Changes!ValidityYear&lt;=Table1[[#This Row],[Year]], Changes!ChangeType="Change Job Class"),Changes!NewChangedValue, db!$A$8),db!$AX$4:$AX$8,db!$AZ$4:$AZ$8))</f>
        <v>0.6</v>
      </c>
      <c r="AT11" s="22">
        <f>(AS11/1000)*Y11*(1-db!$AS$9)</f>
        <v>453000</v>
      </c>
      <c r="AU11" s="22">
        <f>(AS11/1000)*Y11*(db!$AS$9)</f>
        <v>147000</v>
      </c>
      <c r="AV11" s="23">
        <f>IF(B11=0,0, LOOKUP(IF(AND(Changes!Change="Yes", Changes!ValidityYear&lt;=Table1[[#This Row],[Year]], Changes!ChangeType="Change Job Class"),Changes!NewChangedValue, db!$A$8),db!$AX$4:$AX$8,db!$BA$4:$BA$8))</f>
        <v>0.8</v>
      </c>
      <c r="AW11" s="20">
        <f>ROUND((AV11/(100))*AA11*(1-db!$AS$9),0)</f>
        <v>302000</v>
      </c>
      <c r="AX11" s="20">
        <f>ROUND((AV11/(100))*AA11*(db!$AS$9),0)</f>
        <v>98000</v>
      </c>
      <c r="AY11" s="21">
        <f>IF(db!$D$8="Yes",AS11,0)</f>
        <v>0.6</v>
      </c>
      <c r="AZ11" s="22">
        <f>(AY11*AF11)/1000*(1-db!$AS$9)</f>
        <v>1450355.0955228757</v>
      </c>
      <c r="BA11" s="22">
        <f>(AY11*AF11)/1000*(db!$AS$9)</f>
        <v>470645.0309974894</v>
      </c>
      <c r="BB11" s="23">
        <f t="shared" si="3"/>
        <v>0.6</v>
      </c>
      <c r="BC11" s="20">
        <f>(BB11*AH11/1000)*(1-db!$AS$9)</f>
        <v>2833422.0922284885</v>
      </c>
      <c r="BD11" s="20">
        <f>(BB11*AH11/1000)*(db!$AS$9)</f>
        <v>919454.8511205028</v>
      </c>
      <c r="BE11" s="22">
        <f>IF(B11=0,0,IF(C11&gt;60,0,LOOKUP(Table1[[#This Row],[Medical
Age]],db!$BC$3:$BC$63,db!$BD$3:$BD$63)))</f>
        <v>1500</v>
      </c>
      <c r="BF11" s="22">
        <f>BG11*db!$AS$10</f>
        <v>30000</v>
      </c>
      <c r="BG11" s="22">
        <f t="shared" si="4"/>
        <v>300000</v>
      </c>
      <c r="BH11" s="22">
        <f>(BE11/1000000)*AJ11*(1-db!$AS$10)</f>
        <v>270000</v>
      </c>
      <c r="BI11" s="20">
        <f>IF(B11=0,0,IF(C11&gt;59,0,LOOKUP(Table1[[#This Row],[Medical
Age]],db!$BC$3:$BC$63,db!$BE$3:$BE$63)))</f>
        <v>1500</v>
      </c>
      <c r="BJ11" s="20">
        <f>(BI11/1000000)*AL11*(1-db!$AS$11)</f>
        <v>405000</v>
      </c>
      <c r="BK11" s="20">
        <f>(BI11/1000000)*AL11*(db!$AS$11)</f>
        <v>45000</v>
      </c>
      <c r="BL11" s="19">
        <f>IF(Table1[Year]=0,0,IF(AND(Changes!Change="Yes", Changes!ValidityYear&lt;=Table1[[#This Row],[Year]], Changes!ChangeType="Change Risk Loading"), LOOKUP(Table1[Age],RiskLoadingChange!A$3:A$109,RiskLoadingChange!DP$3:DP$109), LOOKUP(Table1[Age],RiskLoading!A$3:A$109,RiskLoading!DP$3:DP$109)))</f>
        <v>4.4976120936738055E-4</v>
      </c>
      <c r="BM11" s="20">
        <f>Table1[[#This Row],[RiskLoading
Rate]]*Table1[[#This Row],[Death Capital (2)]]</f>
        <v>899522.41873476107</v>
      </c>
      <c r="BN11" s="36"/>
      <c r="BO11" s="37">
        <f t="shared" si="5"/>
        <v>4415241</v>
      </c>
      <c r="BP11" s="35">
        <f t="shared" si="6"/>
        <v>5944777.187751364</v>
      </c>
      <c r="BQ11" s="35">
        <f t="shared" si="7"/>
        <v>1929099.8821179923</v>
      </c>
      <c r="BR11" s="37">
        <f t="shared" si="11"/>
        <v>675000</v>
      </c>
      <c r="BS11" s="37">
        <f t="shared" si="12"/>
        <v>75000</v>
      </c>
      <c r="BT11" s="35">
        <f t="shared" si="13"/>
        <v>6619777</v>
      </c>
      <c r="BU11" s="35">
        <f t="shared" si="14"/>
        <v>2004100</v>
      </c>
      <c r="BV11" s="37">
        <f>(db!$AS$4/100)*(L11-BT11-BU11)</f>
        <v>7610312.3700000001</v>
      </c>
      <c r="BW11" s="37">
        <f>(db!$AS$8/100)*(L11-BT11-BU11)</f>
        <v>15220624.74</v>
      </c>
      <c r="BX11" s="35"/>
      <c r="BY11" s="37"/>
      <c r="BZ11" s="37"/>
      <c r="CA11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36769578</v>
      </c>
      <c r="CB11" s="33"/>
      <c r="CC11" s="39">
        <f>ROUND((Table1[[#This Row],[Premium]]-Table1[[#This Row],[All Deductions]]),0)</f>
        <v>479208457</v>
      </c>
      <c r="CD11" s="39">
        <f>IF(B11=0,0,Table1[[#This Row],[Initial Reserve]]+CE10)</f>
        <v>4000344207</v>
      </c>
      <c r="CE11" s="40">
        <f>ROUND(IF(B11=0,0,((CC11)*(1+db!Y13))+((CE10)*(1+db!U13))),0)</f>
        <v>4600395838</v>
      </c>
      <c r="CF11" s="40">
        <f t="shared" si="19"/>
        <v>4600396000</v>
      </c>
      <c r="CG11" s="15">
        <f t="shared" si="15"/>
        <v>10</v>
      </c>
      <c r="CH11" s="39">
        <f>IF(B11=0,0,((CC11)*(1+db!AH13))+((CH10)*(1+db!AD13)))</f>
        <v>5564138959.2584143</v>
      </c>
      <c r="CI11" s="39">
        <f>IF(B11=0,0,((CC11)*(1+db!AH13))+((CI10)*(1+db!AD13)))</f>
        <v>5564138959.2584143</v>
      </c>
      <c r="CJ11" s="40">
        <f>IF(B11=0,0,((CC11)*(1+db!AO13))+((CJ10)*(1+db!AK13)))</f>
        <v>6094174454.008791</v>
      </c>
      <c r="CK11" s="40">
        <f>CJ11-(SUM(BX$7:$BX12))</f>
        <v>6094174454.008791</v>
      </c>
      <c r="CL11" s="46"/>
    </row>
    <row r="12" spans="1:90">
      <c r="A12" s="24">
        <f t="shared" si="16"/>
        <v>11</v>
      </c>
      <c r="B12" s="16">
        <f>IF(AND(Changes!Change="Yes", Changes!ChangeType="Change Contract Duration"),IF(B11=0,0,IF(Changes!NewChangedValue&lt;B11+1,0,B11+1)),IF(B11=0,0,IF('Application Annually'!$C$5&lt;B11+1,0,B11+1)))</f>
        <v>11</v>
      </c>
      <c r="C12" s="15">
        <f t="shared" si="17"/>
        <v>38</v>
      </c>
      <c r="D12" s="312">
        <f t="shared" si="18"/>
        <v>38</v>
      </c>
      <c r="E12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41</v>
      </c>
      <c r="F12" s="29">
        <f t="shared" si="8"/>
        <v>619174000</v>
      </c>
      <c r="G12" s="29">
        <f t="shared" si="9"/>
        <v>619174000</v>
      </c>
      <c r="H12" s="29">
        <f t="shared" si="0"/>
        <v>668708000</v>
      </c>
      <c r="I12" s="29">
        <f>IF(B12&gt;0,IF(AND(Table1[[#This Row],[Year]]&gt;Changes!ValidityYear,Changes!Change="Yes",Changes!ChangeType="Change Value Adjustment"),Changes!$G$22,'Application Annually'!$C$11),0)</f>
        <v>15</v>
      </c>
      <c r="J12" s="29">
        <f>IF(B12&gt;0,IF(AND(Table1[[#This Row],[Year]]&gt;Changes!ValidityYear,Changes!Change="Yes",Changes!ChangeType="Change Value Adjustment"),Changes!$G$24,'Application Annually'!$C$7),0)</f>
        <v>20</v>
      </c>
      <c r="K12" s="29">
        <f>ROUND(IF(B12=0,0,IF(AND(Changes!Change="Yes", Changes!ValidityYear=Table1[[#This Row],[Year]], Changes!ChangeType="Change Premium"), Changes!NewChangedValue, (K11*(1+db!$B$3)))),0)</f>
        <v>619173642</v>
      </c>
      <c r="L12" s="29">
        <f>ROUND(IF(AND(Changes!Change="Yes",Changes!ValidityYear&lt;=Table1[[#This Row],[Year]],Changes!ChangeType="Paid-Up"),0,IF(B12=0,0,IF(AND(Changes!Change="Yes", Changes!ValidityYear=Table1[[#This Row],[Year]], Changes!ChangeType="Change Premium"), Changes!NewChangedValue, (L11*(1+Table1[[#This Row],[Adjustment Factor of Premium]]/100))))),0)</f>
        <v>619173642</v>
      </c>
      <c r="M12" s="29">
        <f>IF(Table1[[#This Row],[Year]]=1,ROUND(MIN($L$2 -( Table1[[#This Row],[Riders Risk Premiums]] + Table1[[#This Row],[Acquisition Cost]]) *0.75,Table1[[#This Row],[Death Capital (1)]]* 0.03),0),0)</f>
        <v>0</v>
      </c>
      <c r="N12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2" s="29">
        <f>ROUND(IF(ROW()-1&gt;InsurancePeriod,0,(O11*(1+(Table1[[#This Row],[Adjustment Factor of Premium]]/100)))),0)</f>
        <v>619173642</v>
      </c>
      <c r="P12" s="29">
        <f>IF(Table1[Year] = 0, 0, SUM(L$2:L12))</f>
        <v>3215041853</v>
      </c>
      <c r="Q12" s="17">
        <f t="shared" si="1"/>
        <v>2000000000</v>
      </c>
      <c r="R12" s="17">
        <f>IF(Table1[[#This Row],[Year]]=0,0,IF($C$2&lt;=50,LOOKUP(Table1[[#This Row],[Age]],db!BG13:BG119,db!BH13:BH119),LOOKUP(Table1[[#This Row],[Age]],db!BJ13:BJ119,db!BK13:BK119)))</f>
        <v>2000000000</v>
      </c>
      <c r="S12" s="17">
        <f>IF(AND(Changes!Change="Yes",Changes!ValidityYear&lt;=Table1[[#This Row],[Year]],Changes!ChangeType="Paid-Up",PaidUpOption="Paid-up with no coverage"),0,IF(B12=0,0, IF(AND(Changes!Change="Yes", Changes!ValidityYear=Table1[[#This Row],[Year]], Changes!ChangeType="Change Death Capital"), Changes!NewChangedValue, S11*(1+(Table1[[#This Row],[Adjustment Factor of Death Capital]]/100)))))</f>
        <v>4045557735.7079072</v>
      </c>
      <c r="T12" s="17">
        <f>MIN(IF(B12=0,0,Table1[[#This Row],[Death Capital (1)]]),Table1[[#This Row],[Max Sum Insured For Death]])</f>
        <v>2000000000</v>
      </c>
      <c r="U12" s="29">
        <f t="shared" si="10"/>
        <v>2000000000</v>
      </c>
      <c r="V12" s="29">
        <f>IF(AND(Changes!Change="Yes",Changes!ValidityYear&lt;=Table1[[#This Row],[Year]],Changes!ChangeType="Paid-Up",OR(PaidUpOption="Paid-up with no coverage",PaidUpOption="Paid-up with main coverage")),0,IF(B12=0,0,IF(AND(Changes!Change="Yes", Changes!ValidityYear&lt;=Table1[[#This Row],[Year]], Changes!ChangeType="Rider Inclusion/Exclusion", Changes!RiderType="Accident Death"), T12*Changes!NewChangedValue,IF(db!$D$6="Yes",(db!$B$6)*T12,0))))</f>
        <v>2000000000</v>
      </c>
      <c r="W12" s="29">
        <f>MIN(IF(V12&lt;=db!$L$2,V12,db!$L$2),MAX_ACC_CAPITAL)</f>
        <v>2000000000</v>
      </c>
      <c r="X12" s="17">
        <f>IF(AND(Changes!Change="Yes",Changes!ValidityYear&lt;=Table1[[#This Row],[Year]],Changes!ChangeType="Paid-Up",OR(PaidUpOption="Paid-up with no coverage",PaidUpOption="Paid-up with main coverage")),0,IF(OR(B12=0,Table1[[#This Row],[Accident Capital (2)]]=0),0,IF(AND(Changes!Change="Yes", Changes!ValidityYear&lt;=Table1[[#This Row],[Year]], Changes!ChangeType="Rider Inclusion/Exclusion", Changes!RiderType="Accident Disability"), T12*Changes!NewChangedValue,IF(db!$D$7="Yes",(db!$B$7)*T12,0))))</f>
        <v>1000000000</v>
      </c>
      <c r="Y12" s="42">
        <f>IF(C12&gt;69,0,IF(C12=0,0,IF(X12&lt;=db!$L$3,X12,db!$L$3)))</f>
        <v>1000000000</v>
      </c>
      <c r="Z12" s="29">
        <f>IF(AND(Changes!Change="Yes",Changes!ValidityYear&lt;=Table1[[#This Row],[Year]],Changes!ChangeType="Paid-Up",OR(PaidUpOption="Paid-up with no coverage",PaidUpOption="Paid-up with main coverage")),0,IF(OR(B12=0,Table1[[#This Row],[Accident Capital (2)]]=0),0,IF(AND(Changes!Change="Yes", Changes!ValidityYear&lt;=Table1[[#This Row],[Year]], Changes!ChangeType="Rider Inclusion/Exclusion", Changes!RiderType="Accident Medical Cost"), T12*Changes!NewChangedValue,IF(db!$D$9="Yes",(db!$B$9)*T12,0))))</f>
        <v>400000000</v>
      </c>
      <c r="AA12" s="29">
        <f>ROUND(IF(C12&gt;69,0,IF(C12=0,0,IF(Z12&lt;=db!$L$4,Z12,db!$L$4))),0)</f>
        <v>50000000</v>
      </c>
      <c r="AB12" s="38">
        <f>IF(AND(Changes!Change = "Yes", Changes!ChangeType = "Rider Inclusion/Exclusion", Changes!RiderType = "WOP"), IF( Changes!ValidityYear &lt;= Table1[[#This Row],[Year]], IF(WOP = "Yes", 0, 1),  IF(WOP = "Yes", 1, 0)), IF(AND(db!$D$8="Yes",C12&lt;=69,ROW()-1&lt;=InsurancePeriod), 1, 0))</f>
        <v>1</v>
      </c>
      <c r="AC12" s="17">
        <f>(AC13+K13)*AB12*((1)/(1+db!AA14))*(LOOKUP(C12,'Mortality Table'!$A$2:$A$108,'Mortality Table'!$E$2:$E$108))</f>
        <v>3071480556.4683061</v>
      </c>
      <c r="AD12" s="340">
        <f>IF(AND(Changes!ValidityYear&lt;= Table1[[#This Row],[Year]],Changes!ChangeType="Change Value Adjustment",Changes!Change="Yes"), (AD13+L13)*AB12*((1)/(1+db!AA14))*(LOOKUP(C12,'Mortality Table'!$A$2:$A$108,'Mortality Table'!$E$2:$E$108)),Table1[[#This Row],[WOP Before Adj. BT]])</f>
        <v>3071480556.4683061</v>
      </c>
      <c r="AE12" s="341">
        <f>IF(AND(Changes!Change="Yes", Changes!ChangeType="Change Value Adjustment"),Table1[[#This Row],[WOP Capital]],(AE13+O13)*AB12*((1)/(1+db!AA14))*(LOOKUP(D12,'Mortality Table'!$A$2:$A$108,'Mortality Table'!$E$2:$E$108)))</f>
        <v>3071480556.4683061</v>
      </c>
      <c r="AF12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3071480556.4683061</v>
      </c>
      <c r="AG12" s="42">
        <f>IF(AND(Changes!Change="Yes", Changes!ValidityYear&lt;=Table1[[#This Row],[Year]], Changes!ChangeType="Rider Inclusion/Exclusion", Changes!RiderType="Disability Annuity"), L12*Changes!NewChangedValue,L12*db!B$10*IF(db!$D$10="Yes",1,0))</f>
        <v>1238347284</v>
      </c>
      <c r="AH12" s="29">
        <f>IF(AND(Changes!Change="Yes",Changes!ValidityYear&lt;=Table1[[#This Row],[Year]],Changes!ChangeType="Paid-Up"),0,Table1[[#This Row],[Code Annuity Capital]]*IF('Annual Calculation'!C12&gt;69,0,(LOOKUP('Annual Calculation'!C12+1,'Mortality Table'!$A$2:$A$108,'Mortality Table'!$O$2:$O$108)-LOOKUP('Annual Calculation'!C12+11,'Mortality Table'!$A$2:$A$108,'Mortality Table'!$O$2:$O$108))/LOOKUP('Annual Calculation'!C12,'Mortality Table'!$A$2:$A$108,'Mortality Table'!$M$2:$M$108)))</f>
        <v>7497946240.2783499</v>
      </c>
      <c r="AI12" s="17">
        <f>IF(AND(Changes!Change="Yes",Changes!ValidityYear&lt;=Table1[[#This Row],[Year]],Changes!ChangeType="Paid-Up",OR(PaidUpOption="Paid-up with no coverage",PaidUpOption="Paid-up with main coverage")),0,IF(B12=0,0,IF(AND(Changes!Change="Yes", Changes!ValidityYear&lt;=Table1[[#This Row],[Year]], Changes!ChangeType="Rider Inclusion/Exclusion", Changes!RiderType="Dread Disease"), T12*Changes!NewChangedValue,IF(db!$D$11="Yes",(db!$B$11)*T12,0))))</f>
        <v>300000000</v>
      </c>
      <c r="AJ12" s="42">
        <f>ROUND(IF(C12&gt;59,0,IF(C12=0,0,IF(AI12&lt;=db!$L$5,AI12,db!$L$5))),0)</f>
        <v>200000000</v>
      </c>
      <c r="AK12" s="29">
        <f>IF(AND(Changes!Change="Yes",Changes!ValidityYear&lt;=Table1[[#This Row],[Year]],Changes!ChangeType="Paid-Up",OR(PaidUpOption="Paid-up with no coverage",PaidUpOption="Paid-up with main coverage")),0,IF(B12=0,0,IF(AND(Changes!Change="Yes", Changes!ValidityYear&lt;=Table1[[#This Row],[Year]], Changes!ChangeType="Rider Inclusion/Exclusion", Changes!RiderType="Cancer"), T12*Changes!NewChangedValue,IF(db!$D$12="Yes",(db!$B$12)*T12,0))))</f>
        <v>500000000</v>
      </c>
      <c r="AL12" s="29">
        <f>ROUND(IF(C12&gt;59,0,IF(C12=0,0,IF(AK12&lt;=db!$L$6,AK12,db!$L$6))),0)</f>
        <v>300000000</v>
      </c>
      <c r="AM12" s="32"/>
      <c r="AN12" s="18">
        <f>IF(B12=0,0,IF(C12&lt;(db!$E$2+5),LOOKUP(C12,'Mortality Table'!$A$2:$A$108,'Mortality Table'!$P$2:$P$108),IF((C12&gt;=db!$E$2+10),LOOKUP(C12,'Mortality Table'!$A$2:$A$108,'Mortality Table'!$R$2:$R$108),LOOKUP(C12,'Mortality Table'!$A$2:$A$108,'Mortality Table'!$Q$2:$Q$108))))</f>
        <v>2.4027533565624936E-3</v>
      </c>
      <c r="AO12" s="22">
        <f t="shared" si="2"/>
        <v>4805507</v>
      </c>
      <c r="AP12" s="19">
        <f>IF(B12=0,0, LOOKUP(IF(AND(Changes!Change="Yes", Changes!ValidityYear&lt;=Table1[[#This Row],[Year]], Changes!ChangeType="Change Job Class"),Changes!NewChangedValue, db!$A$8),db!$AX$4:$AX$8,db!$AY$4:$AY$8))</f>
        <v>0.6</v>
      </c>
      <c r="AQ12" s="20">
        <f>ROUND((AP12/1000)*W12 * (1-db!$AS$9),0)</f>
        <v>906000</v>
      </c>
      <c r="AR12" s="20">
        <f>(AP12/1000)*W12 * db!$AS$9</f>
        <v>294000</v>
      </c>
      <c r="AS12" s="21">
        <f>IF(B12=0,0, LOOKUP(IF(AND(Changes!Change="Yes", Changes!ValidityYear&lt;=Table1[[#This Row],[Year]], Changes!ChangeType="Change Job Class"),Changes!NewChangedValue, db!$A$8),db!$AX$4:$AX$8,db!$AZ$4:$AZ$8))</f>
        <v>0.6</v>
      </c>
      <c r="AT12" s="22">
        <f>(AS12/1000)*Y12*(1-db!$AS$9)</f>
        <v>453000</v>
      </c>
      <c r="AU12" s="22">
        <f>(AS12/1000)*Y12*(db!$AS$9)</f>
        <v>147000</v>
      </c>
      <c r="AV12" s="23">
        <f>IF(B12=0,0, LOOKUP(IF(AND(Changes!Change="Yes", Changes!ValidityYear&lt;=Table1[[#This Row],[Year]], Changes!ChangeType="Change Job Class"),Changes!NewChangedValue, db!$A$8),db!$AX$4:$AX$8,db!$BA$4:$BA$8))</f>
        <v>0.8</v>
      </c>
      <c r="AW12" s="20">
        <f>ROUND((AV12/(100))*AA12*(1-db!$AS$9),0)</f>
        <v>302000</v>
      </c>
      <c r="AX12" s="20">
        <f>ROUND((AV12/(100))*AA12*(db!$AS$9),0)</f>
        <v>98000</v>
      </c>
      <c r="AY12" s="21">
        <f>IF(db!$D$8="Yes",AS12,0)</f>
        <v>0.6</v>
      </c>
      <c r="AZ12" s="22">
        <f>(AY12*AF12)/1000*(1-db!$AS$9)</f>
        <v>1391380.6920801427</v>
      </c>
      <c r="BA12" s="22">
        <f>(AY12*AF12)/1000*(db!$AS$9)</f>
        <v>451507.64180084097</v>
      </c>
      <c r="BB12" s="23">
        <f t="shared" si="3"/>
        <v>0.6</v>
      </c>
      <c r="BC12" s="20">
        <f>(BB12*AH12/1000)*(1-db!$AS$9)</f>
        <v>3396569.6468460923</v>
      </c>
      <c r="BD12" s="20">
        <f>(BB12*AH12/1000)*(db!$AS$9)</f>
        <v>1102198.0973209173</v>
      </c>
      <c r="BE12" s="22">
        <f>IF(B12=0,0,IF(C12&gt;60,0,LOOKUP(Table1[[#This Row],[Medical
Age]],db!$BC$3:$BC$63,db!$BD$3:$BD$63)))</f>
        <v>2800</v>
      </c>
      <c r="BF12" s="22">
        <f>BG12*db!$AS$10</f>
        <v>56000</v>
      </c>
      <c r="BG12" s="22">
        <f t="shared" si="4"/>
        <v>560000</v>
      </c>
      <c r="BH12" s="22">
        <f>(BE12/1000000)*AJ12*(1-db!$AS$10)</f>
        <v>504000</v>
      </c>
      <c r="BI12" s="20">
        <f>IF(B12=0,0,IF(C12&gt;59,0,LOOKUP(Table1[[#This Row],[Medical
Age]],db!$BC$3:$BC$63,db!$BE$3:$BE$63)))</f>
        <v>2800</v>
      </c>
      <c r="BJ12" s="20">
        <f>(BI12/1000000)*AL12*(1-db!$AS$11)</f>
        <v>756000</v>
      </c>
      <c r="BK12" s="20">
        <f>(BI12/1000000)*AL12*(db!$AS$11)</f>
        <v>84000</v>
      </c>
      <c r="BL12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5.6432824340156042E-4</v>
      </c>
      <c r="BM12" s="20">
        <f>Table1[[#This Row],[RiskLoading
Rate]]*Table1[[#This Row],[Death Capital (2)]]</f>
        <v>1128656.4868031209</v>
      </c>
      <c r="BN12" s="36"/>
      <c r="BO12" s="37">
        <f t="shared" si="5"/>
        <v>4805507</v>
      </c>
      <c r="BP12" s="35">
        <f t="shared" si="6"/>
        <v>6448950.3389262352</v>
      </c>
      <c r="BQ12" s="35">
        <f t="shared" si="7"/>
        <v>2092705.7391217584</v>
      </c>
      <c r="BR12" s="37">
        <f t="shared" si="11"/>
        <v>1260000</v>
      </c>
      <c r="BS12" s="37">
        <f t="shared" si="12"/>
        <v>140000</v>
      </c>
      <c r="BT12" s="35">
        <f t="shared" si="13"/>
        <v>7708950</v>
      </c>
      <c r="BU12" s="35">
        <f t="shared" si="14"/>
        <v>2232706</v>
      </c>
      <c r="BV12" s="37">
        <f>(db!$AS$4/100)*(L12-BT12-BU12)</f>
        <v>9138479.7899999991</v>
      </c>
      <c r="BW12" s="37">
        <f>(db!$AS$8/100)*(L12-BT12-BU12)</f>
        <v>18276959.579999998</v>
      </c>
      <c r="BX12" s="35"/>
      <c r="BY12" s="37"/>
      <c r="BZ12" s="37"/>
      <c r="CA12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43291259</v>
      </c>
      <c r="CB12" s="33"/>
      <c r="CC12" s="39">
        <f>ROUND((Table1[[#This Row],[Premium]]-Table1[[#This Row],[All Deductions]]),0)</f>
        <v>575882383</v>
      </c>
      <c r="CD12" s="39">
        <f>IF(B12=0,0,Table1[[#This Row],[Initial Reserve]]+CE11)</f>
        <v>5176278221</v>
      </c>
      <c r="CE12" s="40">
        <f>ROUND(IF(B12=0,0,((CC12)*(1+db!Y14))+((CE11)*(1+db!U14))),0)</f>
        <v>5952719954</v>
      </c>
      <c r="CF12" s="40">
        <f t="shared" si="19"/>
        <v>5952720000</v>
      </c>
      <c r="CG12" s="15">
        <f t="shared" si="15"/>
        <v>11</v>
      </c>
      <c r="CH12" s="39">
        <f>IF(B12=0,0,((CC12)*(1+db!AH14))+((CH11)*(1+db!AD14)))</f>
        <v>7368025610.7100973</v>
      </c>
      <c r="CI12" s="39">
        <f>IF(B12=0,0,((CC12)*(1+db!AH14))+((CI11)*(1+db!AD14)))</f>
        <v>7368025610.7100973</v>
      </c>
      <c r="CJ12" s="40">
        <f>IF(B12=0,0,((CC12)*(1+db!AO14))+((CJ11)*(1+db!AK14)))</f>
        <v>8137469341.1507254</v>
      </c>
      <c r="CK12" s="40">
        <f>CJ12-(SUM(BX$7:$BX13))</f>
        <v>8137469341.1507254</v>
      </c>
      <c r="CL12" s="46"/>
    </row>
    <row r="13" spans="1:90">
      <c r="A13" s="24">
        <f t="shared" si="16"/>
        <v>12</v>
      </c>
      <c r="B13" s="16">
        <f>IF(AND(Changes!Change="Yes", Changes!ChangeType="Change Contract Duration"),IF(B12=0,0,IF(Changes!NewChangedValue&lt;B12+1,0,B12+1)),IF(B12=0,0,IF('Application Annually'!$C$5&lt;B12+1,0,B12+1)))</f>
        <v>12</v>
      </c>
      <c r="C13" s="15">
        <f t="shared" si="17"/>
        <v>39</v>
      </c>
      <c r="D13" s="312">
        <f t="shared" si="18"/>
        <v>39</v>
      </c>
      <c r="E13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42</v>
      </c>
      <c r="F13" s="29">
        <f t="shared" si="8"/>
        <v>743008000</v>
      </c>
      <c r="G13" s="29">
        <f t="shared" si="9"/>
        <v>743008000</v>
      </c>
      <c r="H13" s="29">
        <f t="shared" si="0"/>
        <v>802449000</v>
      </c>
      <c r="I13" s="29">
        <f>IF(B13&gt;0,IF(AND(Table1[[#This Row],[Year]]&gt;Changes!ValidityYear,Changes!Change="Yes",Changes!ChangeType="Change Value Adjustment"),Changes!$G$22,'Application Annually'!$C$11),0)</f>
        <v>15</v>
      </c>
      <c r="J13" s="29">
        <f>IF(B13&gt;0,IF(AND(Table1[[#This Row],[Year]]&gt;Changes!ValidityYear,Changes!Change="Yes",Changes!ChangeType="Change Value Adjustment"),Changes!$G$24,'Application Annually'!$C$7),0)</f>
        <v>20</v>
      </c>
      <c r="K13" s="29">
        <f>ROUND(IF(B13=0,0,IF(AND(Changes!Change="Yes", Changes!ValidityYear=Table1[[#This Row],[Year]], Changes!ChangeType="Change Premium"), Changes!NewChangedValue, (K12*(1+db!$B$3)))),0)</f>
        <v>743008370</v>
      </c>
      <c r="L13" s="29">
        <f>ROUND(IF(AND(Changes!Change="Yes",Changes!ValidityYear&lt;=Table1[[#This Row],[Year]],Changes!ChangeType="Paid-Up"),0,IF(B13=0,0,IF(AND(Changes!Change="Yes", Changes!ValidityYear=Table1[[#This Row],[Year]], Changes!ChangeType="Change Premium"), Changes!NewChangedValue, (L12*(1+Table1[[#This Row],[Adjustment Factor of Premium]]/100))))),0)</f>
        <v>743008370</v>
      </c>
      <c r="M13" s="29">
        <f>IF(Table1[[#This Row],[Year]]=1,ROUND(MIN($L$2 -( Table1[[#This Row],[Riders Risk Premiums]] + Table1[[#This Row],[Acquisition Cost]]) *0.75,Table1[[#This Row],[Death Capital (1)]]* 0.03),0),0)</f>
        <v>0</v>
      </c>
      <c r="N13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3" s="29">
        <f>ROUND(IF(ROW()-1&gt;InsurancePeriod,0,(O12*(1+(Table1[[#This Row],[Adjustment Factor of Premium]]/100)))),0)</f>
        <v>743008370</v>
      </c>
      <c r="P13" s="29">
        <f>IF(Table1[Year] = 0, 0, SUM(L$2:L13))</f>
        <v>3958050223</v>
      </c>
      <c r="Q13" s="17">
        <f t="shared" si="1"/>
        <v>2000000000</v>
      </c>
      <c r="R13" s="17">
        <f>IF(Table1[[#This Row],[Year]]=0,0,IF($C$2&lt;=50,LOOKUP(Table1[[#This Row],[Age]],db!BG14:BG120,db!BH14:BH120),LOOKUP(Table1[[#This Row],[Age]],db!BJ14:BJ120,db!BK14:BK120)))</f>
        <v>2000000000</v>
      </c>
      <c r="S13" s="17">
        <f>IF(AND(Changes!Change="Yes",Changes!ValidityYear&lt;=Table1[[#This Row],[Year]],Changes!ChangeType="Paid-Up",PaidUpOption="Paid-up with no coverage"),0,IF(B13=0,0, IF(AND(Changes!Change="Yes", Changes!ValidityYear=Table1[[#This Row],[Year]], Changes!ChangeType="Change Death Capital"), Changes!NewChangedValue, S12*(1+(Table1[[#This Row],[Adjustment Factor of Death Capital]]/100)))))</f>
        <v>4652391396.0640926</v>
      </c>
      <c r="T13" s="17">
        <f>MIN(IF(B13=0,0,Table1[[#This Row],[Death Capital (1)]]),Table1[[#This Row],[Max Sum Insured For Death]])</f>
        <v>2000000000</v>
      </c>
      <c r="U13" s="29">
        <f t="shared" si="10"/>
        <v>2000000000</v>
      </c>
      <c r="V13" s="29">
        <f>IF(AND(Changes!Change="Yes",Changes!ValidityYear&lt;=Table1[[#This Row],[Year]],Changes!ChangeType="Paid-Up",OR(PaidUpOption="Paid-up with no coverage",PaidUpOption="Paid-up with main coverage")),0,IF(B13=0,0,IF(AND(Changes!Change="Yes", Changes!ValidityYear&lt;=Table1[[#This Row],[Year]], Changes!ChangeType="Rider Inclusion/Exclusion", Changes!RiderType="Accident Death"), T13*Changes!NewChangedValue,IF(db!$D$6="Yes",(db!$B$6)*T13,0))))</f>
        <v>2000000000</v>
      </c>
      <c r="W13" s="29">
        <f>MIN(IF(V13&lt;=db!$L$2,V13,db!$L$2),MAX_ACC_CAPITAL)</f>
        <v>2000000000</v>
      </c>
      <c r="X13" s="17">
        <f>IF(AND(Changes!Change="Yes",Changes!ValidityYear&lt;=Table1[[#This Row],[Year]],Changes!ChangeType="Paid-Up",OR(PaidUpOption="Paid-up with no coverage",PaidUpOption="Paid-up with main coverage")),0,IF(OR(B13=0,Table1[[#This Row],[Accident Capital (2)]]=0),0,IF(AND(Changes!Change="Yes", Changes!ValidityYear&lt;=Table1[[#This Row],[Year]], Changes!ChangeType="Rider Inclusion/Exclusion", Changes!RiderType="Accident Disability"), T13*Changes!NewChangedValue,IF(db!$D$7="Yes",(db!$B$7)*T13,0))))</f>
        <v>1000000000</v>
      </c>
      <c r="Y13" s="42">
        <f>IF(C13&gt;69,0,IF(C13=0,0,IF(X13&lt;=db!$L$3,X13,db!$L$3)))</f>
        <v>1000000000</v>
      </c>
      <c r="Z13" s="29">
        <f>IF(AND(Changes!Change="Yes",Changes!ValidityYear&lt;=Table1[[#This Row],[Year]],Changes!ChangeType="Paid-Up",OR(PaidUpOption="Paid-up with no coverage",PaidUpOption="Paid-up with main coverage")),0,IF(OR(B13=0,Table1[[#This Row],[Accident Capital (2)]]=0),0,IF(AND(Changes!Change="Yes", Changes!ValidityYear&lt;=Table1[[#This Row],[Year]], Changes!ChangeType="Rider Inclusion/Exclusion", Changes!RiderType="Accident Medical Cost"), T13*Changes!NewChangedValue,IF(db!$D$9="Yes",(db!$B$9)*T13,0))))</f>
        <v>400000000</v>
      </c>
      <c r="AA13" s="29">
        <f>ROUND(IF(C13&gt;69,0,IF(C13=0,0,IF(Z13&lt;=db!$L$4,Z13,db!$L$4))),0)</f>
        <v>50000000</v>
      </c>
      <c r="AB13" s="38">
        <f>IF(AND(Changes!Change = "Yes", Changes!ChangeType = "Rider Inclusion/Exclusion", Changes!RiderType = "WOP"), IF( Changes!ValidityYear &lt;= Table1[[#This Row],[Year]], IF(WOP = "Yes", 0, 1),  IF(WOP = "Yes", 1, 0)), IF(AND(db!$D$8="Yes",C13&lt;=69,ROW()-1&lt;=InsurancePeriod), 1, 0))</f>
        <v>1</v>
      </c>
      <c r="AC13" s="17">
        <f>(AC14+K14)*AB13*((1)/(1+db!AA15))*(LOOKUP(C13,'Mortality Table'!$A$2:$A$108,'Mortality Table'!$E$2:$E$108))</f>
        <v>2644155994.4747658</v>
      </c>
      <c r="AD13" s="340">
        <f>IF(AND(Changes!ValidityYear&lt;= Table1[[#This Row],[Year]],Changes!ChangeType="Change Value Adjustment",Changes!Change="Yes"), (AD14+L14)*AB13*((1)/(1+db!AA15))*(LOOKUP(C13,'Mortality Table'!$A$2:$A$108,'Mortality Table'!$E$2:$E$108)),Table1[[#This Row],[WOP Before Adj. BT]])</f>
        <v>2644155994.4747658</v>
      </c>
      <c r="AE13" s="341">
        <f>IF(AND(Changes!Change="Yes", Changes!ChangeType="Change Value Adjustment"),Table1[[#This Row],[WOP Capital]],(AE14+O14)*AB13*((1)/(1+db!AA15))*(LOOKUP(D13,'Mortality Table'!$A$2:$A$108,'Mortality Table'!$E$2:$E$108)))</f>
        <v>2644155994.4747658</v>
      </c>
      <c r="AF13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2644155994.4747658</v>
      </c>
      <c r="AG13" s="42">
        <f>IF(AND(Changes!Change="Yes", Changes!ValidityYear&lt;=Table1[[#This Row],[Year]], Changes!ChangeType="Rider Inclusion/Exclusion", Changes!RiderType="Disability Annuity"), L13*Changes!NewChangedValue,L13*db!B$10*IF(db!$D$10="Yes",1,0))</f>
        <v>1486016740</v>
      </c>
      <c r="AH13" s="29">
        <f>IF(AND(Changes!Change="Yes",Changes!ValidityYear&lt;=Table1[[#This Row],[Year]],Changes!ChangeType="Paid-Up"),0,Table1[[#This Row],[Code Annuity Capital]]*IF('Annual Calculation'!C13&gt;69,0,(LOOKUP('Annual Calculation'!C13+1,'Mortality Table'!$A$2:$A$108,'Mortality Table'!$O$2:$O$108)-LOOKUP('Annual Calculation'!C13+11,'Mortality Table'!$A$2:$A$108,'Mortality Table'!$O$2:$O$108))/LOOKUP('Annual Calculation'!C13,'Mortality Table'!$A$2:$A$108,'Mortality Table'!$M$2:$M$108)))</f>
        <v>8987097046.6546764</v>
      </c>
      <c r="AI13" s="17">
        <f>IF(AND(Changes!Change="Yes",Changes!ValidityYear&lt;=Table1[[#This Row],[Year]],Changes!ChangeType="Paid-Up",OR(PaidUpOption="Paid-up with no coverage",PaidUpOption="Paid-up with main coverage")),0,IF(B13=0,0,IF(AND(Changes!Change="Yes", Changes!ValidityYear&lt;=Table1[[#This Row],[Year]], Changes!ChangeType="Rider Inclusion/Exclusion", Changes!RiderType="Dread Disease"), T13*Changes!NewChangedValue,IF(db!$D$11="Yes",(db!$B$11)*T13,0))))</f>
        <v>300000000</v>
      </c>
      <c r="AJ13" s="42">
        <f>ROUND(IF(C13&gt;59,0,IF(C13=0,0,IF(AI13&lt;=db!$L$5,AI13,db!$L$5))),0)</f>
        <v>200000000</v>
      </c>
      <c r="AK13" s="29">
        <f>IF(AND(Changes!Change="Yes",Changes!ValidityYear&lt;=Table1[[#This Row],[Year]],Changes!ChangeType="Paid-Up",OR(PaidUpOption="Paid-up with no coverage",PaidUpOption="Paid-up with main coverage")),0,IF(B13=0,0,IF(AND(Changes!Change="Yes", Changes!ValidityYear&lt;=Table1[[#This Row],[Year]], Changes!ChangeType="Rider Inclusion/Exclusion", Changes!RiderType="Cancer"), T13*Changes!NewChangedValue,IF(db!$D$12="Yes",(db!$B$12)*T13,0))))</f>
        <v>500000000</v>
      </c>
      <c r="AL13" s="29">
        <f>ROUND(IF(C13&gt;59,0,IF(C13=0,0,IF(AK13&lt;=db!$L$6,AK13,db!$L$6))),0)</f>
        <v>300000000</v>
      </c>
      <c r="AM13" s="32"/>
      <c r="AN13" s="18">
        <f>IF(B13=0,0,IF(C13&lt;(db!$E$2+5),LOOKUP(C13,'Mortality Table'!$A$2:$A$108,'Mortality Table'!$P$2:$P$108),IF((C13&gt;=db!$E$2+10),LOOKUP(C13,'Mortality Table'!$A$2:$A$108,'Mortality Table'!$R$2:$R$108),LOOKUP(C13,'Mortality Table'!$A$2:$A$108,'Mortality Table'!$Q$2:$Q$108))))</f>
        <v>2.5192280798408753E-3</v>
      </c>
      <c r="AO13" s="22">
        <f t="shared" si="2"/>
        <v>5038456</v>
      </c>
      <c r="AP13" s="19">
        <f>IF(B13=0,0, LOOKUP(IF(AND(Changes!Change="Yes", Changes!ValidityYear&lt;=Table1[[#This Row],[Year]], Changes!ChangeType="Change Job Class"),Changes!NewChangedValue, db!$A$8),db!$AX$4:$AX$8,db!$AY$4:$AY$8))</f>
        <v>0.6</v>
      </c>
      <c r="AQ13" s="20">
        <f>ROUND((AP13/1000)*W13 * (1-db!$AS$9),0)</f>
        <v>906000</v>
      </c>
      <c r="AR13" s="20">
        <f>(AP13/1000)*W13 * db!$AS$9</f>
        <v>294000</v>
      </c>
      <c r="AS13" s="21">
        <f>IF(B13=0,0, LOOKUP(IF(AND(Changes!Change="Yes", Changes!ValidityYear&lt;=Table1[[#This Row],[Year]], Changes!ChangeType="Change Job Class"),Changes!NewChangedValue, db!$A$8),db!$AX$4:$AX$8,db!$AZ$4:$AZ$8))</f>
        <v>0.6</v>
      </c>
      <c r="AT13" s="22">
        <f>(AS13/1000)*Y13*(1-db!$AS$9)</f>
        <v>453000</v>
      </c>
      <c r="AU13" s="22">
        <f>(AS13/1000)*Y13*(db!$AS$9)</f>
        <v>147000</v>
      </c>
      <c r="AV13" s="23">
        <f>IF(B13=0,0, LOOKUP(IF(AND(Changes!Change="Yes", Changes!ValidityYear&lt;=Table1[[#This Row],[Year]], Changes!ChangeType="Change Job Class"),Changes!NewChangedValue, db!$A$8),db!$AX$4:$AX$8,db!$BA$4:$BA$8))</f>
        <v>0.8</v>
      </c>
      <c r="AW13" s="20">
        <f>ROUND((AV13/(100))*AA13*(1-db!$AS$9),0)</f>
        <v>302000</v>
      </c>
      <c r="AX13" s="20">
        <f>ROUND((AV13/(100))*AA13*(db!$AS$9),0)</f>
        <v>98000</v>
      </c>
      <c r="AY13" s="21">
        <f>IF(db!$D$8="Yes",AS13,0)</f>
        <v>0.6</v>
      </c>
      <c r="AZ13" s="22">
        <f>(AY13*AF13)/1000*(1-db!$AS$9)</f>
        <v>1197802.665497069</v>
      </c>
      <c r="BA13" s="22">
        <f>(AY13*AF13)/1000*(db!$AS$9)</f>
        <v>388690.93118779059</v>
      </c>
      <c r="BB13" s="23">
        <f t="shared" si="3"/>
        <v>0.6</v>
      </c>
      <c r="BC13" s="20">
        <f>(BB13*AH13/1000)*(1-db!$AS$9)</f>
        <v>4071154.9621345685</v>
      </c>
      <c r="BD13" s="20">
        <f>(BB13*AH13/1000)*(db!$AS$9)</f>
        <v>1321103.2658582374</v>
      </c>
      <c r="BE13" s="22">
        <f>IF(B13=0,0,IF(C13&gt;60,0,LOOKUP(Table1[[#This Row],[Medical
Age]],db!$BC$3:$BC$63,db!$BD$3:$BD$63)))</f>
        <v>2800</v>
      </c>
      <c r="BF13" s="22">
        <f>BG13*db!$AS$10</f>
        <v>56000</v>
      </c>
      <c r="BG13" s="22">
        <f t="shared" si="4"/>
        <v>560000</v>
      </c>
      <c r="BH13" s="22">
        <f>(BE13/1000000)*AJ13*(1-db!$AS$10)</f>
        <v>504000</v>
      </c>
      <c r="BI13" s="20">
        <f>IF(B13=0,0,IF(C13&gt;59,0,LOOKUP(Table1[[#This Row],[Medical
Age]],db!$BC$3:$BC$63,db!$BE$3:$BE$63)))</f>
        <v>2800</v>
      </c>
      <c r="BJ13" s="20">
        <f>(BI13/1000000)*AL13*(1-db!$AS$11)</f>
        <v>756000</v>
      </c>
      <c r="BK13" s="20">
        <f>(BI13/1000000)*AL13*(db!$AS$11)</f>
        <v>84000</v>
      </c>
      <c r="BL13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6.5958796805698234E-4</v>
      </c>
      <c r="BM13" s="20">
        <f>Table1[[#This Row],[RiskLoading
Rate]]*Table1[[#This Row],[Death Capital (2)]]</f>
        <v>1319175.9361139648</v>
      </c>
      <c r="BN13" s="36"/>
      <c r="BO13" s="37">
        <f t="shared" si="5"/>
        <v>5038456</v>
      </c>
      <c r="BP13" s="35">
        <f t="shared" si="6"/>
        <v>6929957.6276316373</v>
      </c>
      <c r="BQ13" s="35">
        <f t="shared" si="7"/>
        <v>2248794.197046028</v>
      </c>
      <c r="BR13" s="37">
        <f t="shared" si="11"/>
        <v>1260000</v>
      </c>
      <c r="BS13" s="37">
        <f t="shared" si="12"/>
        <v>140000</v>
      </c>
      <c r="BT13" s="35">
        <f t="shared" si="13"/>
        <v>8189958</v>
      </c>
      <c r="BU13" s="35">
        <f t="shared" si="14"/>
        <v>2388794</v>
      </c>
      <c r="BV13" s="37">
        <f>(db!$AS$4/100)*(L13-BT13-BU13)</f>
        <v>10986444.27</v>
      </c>
      <c r="BW13" s="37">
        <f>(db!$AS$8/100)*(L13-BT13-BU13)</f>
        <v>21972888.539999999</v>
      </c>
      <c r="BX13" s="35"/>
      <c r="BY13" s="37"/>
      <c r="BZ13" s="37"/>
      <c r="CA13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49895717</v>
      </c>
      <c r="CB13" s="33"/>
      <c r="CC13" s="39">
        <f>ROUND((Table1[[#This Row],[Premium]]-Table1[[#This Row],[All Deductions]]),0)</f>
        <v>693112653</v>
      </c>
      <c r="CD13" s="39">
        <f>IF(B13=0,0,Table1[[#This Row],[Initial Reserve]]+CE12)</f>
        <v>6645832607</v>
      </c>
      <c r="CE13" s="40">
        <f>ROUND(IF(B13=0,0,((CC13)*(1+db!Y15))+((CE12)*(1+db!U15))),0)</f>
        <v>7642707498</v>
      </c>
      <c r="CF13" s="40">
        <f t="shared" si="19"/>
        <v>7642707000</v>
      </c>
      <c r="CG13" s="15">
        <f t="shared" si="15"/>
        <v>12</v>
      </c>
      <c r="CH13" s="39">
        <f>IF(B13=0,0,((CC13)*(1+db!AH15))+((CH12)*(1+db!AD15)))</f>
        <v>9673365916.452116</v>
      </c>
      <c r="CI13" s="39">
        <f>IF(B13=0,0,((CC13)*(1+db!AH15))+((CI12)*(1+db!AD15)))</f>
        <v>9673365916.452116</v>
      </c>
      <c r="CJ13" s="40">
        <f>IF(B13=0,0,((CC13)*(1+db!AO15))+((CJ12)*(1+db!AK15)))</f>
        <v>10773310032.863884</v>
      </c>
      <c r="CK13" s="40">
        <f>CJ13-(SUM(BX$7:$BX14))</f>
        <v>10773310032.863884</v>
      </c>
      <c r="CL13" s="46"/>
    </row>
    <row r="14" spans="1:90">
      <c r="A14" s="24">
        <f t="shared" si="16"/>
        <v>13</v>
      </c>
      <c r="B14" s="16">
        <f>IF(AND(Changes!Change="Yes", Changes!ChangeType="Change Contract Duration"),IF(B13=0,0,IF(Changes!NewChangedValue&lt;B13+1,0,B13+1)),IF(B13=0,0,IF('Application Annually'!$C$5&lt;B13+1,0,B13+1)))</f>
        <v>13</v>
      </c>
      <c r="C14" s="15">
        <f t="shared" si="17"/>
        <v>40</v>
      </c>
      <c r="D14" s="312">
        <f t="shared" si="18"/>
        <v>40</v>
      </c>
      <c r="E14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43</v>
      </c>
      <c r="F14" s="29">
        <f t="shared" si="8"/>
        <v>891610000</v>
      </c>
      <c r="G14" s="29">
        <f t="shared" si="9"/>
        <v>891610000</v>
      </c>
      <c r="H14" s="29">
        <f t="shared" si="0"/>
        <v>962939000</v>
      </c>
      <c r="I14" s="29">
        <f>IF(B14&gt;0,IF(AND(Table1[[#This Row],[Year]]&gt;Changes!ValidityYear,Changes!Change="Yes",Changes!ChangeType="Change Value Adjustment"),Changes!$G$22,'Application Annually'!$C$11),0)</f>
        <v>15</v>
      </c>
      <c r="J14" s="29">
        <f>IF(B14&gt;0,IF(AND(Table1[[#This Row],[Year]]&gt;Changes!ValidityYear,Changes!Change="Yes",Changes!ChangeType="Change Value Adjustment"),Changes!$G$24,'Application Annually'!$C$7),0)</f>
        <v>20</v>
      </c>
      <c r="K14" s="29">
        <f>ROUND(IF(B14=0,0,IF(AND(Changes!Change="Yes", Changes!ValidityYear=Table1[[#This Row],[Year]], Changes!ChangeType="Change Premium"), Changes!NewChangedValue, (K13*(1+db!$B$3)))),0)</f>
        <v>891610044</v>
      </c>
      <c r="L14" s="29">
        <f>ROUND(IF(AND(Changes!Change="Yes",Changes!ValidityYear&lt;=Table1[[#This Row],[Year]],Changes!ChangeType="Paid-Up"),0,IF(B14=0,0,IF(AND(Changes!Change="Yes", Changes!ValidityYear=Table1[[#This Row],[Year]], Changes!ChangeType="Change Premium"), Changes!NewChangedValue, (L13*(1+Table1[[#This Row],[Adjustment Factor of Premium]]/100))))),0)</f>
        <v>891610044</v>
      </c>
      <c r="M14" s="29">
        <f>IF(Table1[[#This Row],[Year]]=1,ROUND(MIN($L$2 -( Table1[[#This Row],[Riders Risk Premiums]] + Table1[[#This Row],[Acquisition Cost]]) *0.75,Table1[[#This Row],[Death Capital (1)]]* 0.03),0),0)</f>
        <v>0</v>
      </c>
      <c r="N14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4" s="29">
        <f>ROUND(IF(ROW()-1&gt;InsurancePeriod,0,(O13*(1+(Table1[[#This Row],[Adjustment Factor of Premium]]/100)))),0)</f>
        <v>891610044</v>
      </c>
      <c r="P14" s="29">
        <f>IF(Table1[Year] = 0, 0, SUM(L$2:L14))</f>
        <v>4849660267</v>
      </c>
      <c r="Q14" s="17">
        <f t="shared" si="1"/>
        <v>2000000000</v>
      </c>
      <c r="R14" s="17">
        <f>IF(Table1[[#This Row],[Year]]=0,0,IF($C$2&lt;=50,LOOKUP(Table1[[#This Row],[Age]],db!BG15:BG121,db!BH15:BH121),LOOKUP(Table1[[#This Row],[Age]],db!BJ15:BJ121,db!BK15:BK121)))</f>
        <v>2000000000</v>
      </c>
      <c r="S14" s="17">
        <f>IF(AND(Changes!Change="Yes",Changes!ValidityYear&lt;=Table1[[#This Row],[Year]],Changes!ChangeType="Paid-Up",PaidUpOption="Paid-up with no coverage"),0,IF(B14=0,0, IF(AND(Changes!Change="Yes", Changes!ValidityYear=Table1[[#This Row],[Year]], Changes!ChangeType="Change Death Capital"), Changes!NewChangedValue, S13*(1+(Table1[[#This Row],[Adjustment Factor of Death Capital]]/100)))))</f>
        <v>5350250105.4737062</v>
      </c>
      <c r="T14" s="17">
        <f>MIN(IF(B14=0,0,Table1[[#This Row],[Death Capital (1)]]),Table1[[#This Row],[Max Sum Insured For Death]])</f>
        <v>2000000000</v>
      </c>
      <c r="U14" s="29">
        <f t="shared" si="10"/>
        <v>2000000000</v>
      </c>
      <c r="V14" s="29">
        <f>IF(AND(Changes!Change="Yes",Changes!ValidityYear&lt;=Table1[[#This Row],[Year]],Changes!ChangeType="Paid-Up",OR(PaidUpOption="Paid-up with no coverage",PaidUpOption="Paid-up with main coverage")),0,IF(B14=0,0,IF(AND(Changes!Change="Yes", Changes!ValidityYear&lt;=Table1[[#This Row],[Year]], Changes!ChangeType="Rider Inclusion/Exclusion", Changes!RiderType="Accident Death"), T14*Changes!NewChangedValue,IF(db!$D$6="Yes",(db!$B$6)*T14,0))))</f>
        <v>2000000000</v>
      </c>
      <c r="W14" s="29">
        <f>MIN(IF(V14&lt;=db!$L$2,V14,db!$L$2),MAX_ACC_CAPITAL)</f>
        <v>2000000000</v>
      </c>
      <c r="X14" s="17">
        <f>IF(AND(Changes!Change="Yes",Changes!ValidityYear&lt;=Table1[[#This Row],[Year]],Changes!ChangeType="Paid-Up",OR(PaidUpOption="Paid-up with no coverage",PaidUpOption="Paid-up with main coverage")),0,IF(OR(B14=0,Table1[[#This Row],[Accident Capital (2)]]=0),0,IF(AND(Changes!Change="Yes", Changes!ValidityYear&lt;=Table1[[#This Row],[Year]], Changes!ChangeType="Rider Inclusion/Exclusion", Changes!RiderType="Accident Disability"), T14*Changes!NewChangedValue,IF(db!$D$7="Yes",(db!$B$7)*T14,0))))</f>
        <v>1000000000</v>
      </c>
      <c r="Y14" s="42">
        <f>IF(C14&gt;69,0,IF(C14=0,0,IF(X14&lt;=db!$L$3,X14,db!$L$3)))</f>
        <v>1000000000</v>
      </c>
      <c r="Z14" s="29">
        <f>IF(AND(Changes!Change="Yes",Changes!ValidityYear&lt;=Table1[[#This Row],[Year]],Changes!ChangeType="Paid-Up",OR(PaidUpOption="Paid-up with no coverage",PaidUpOption="Paid-up with main coverage")),0,IF(OR(B14=0,Table1[[#This Row],[Accident Capital (2)]]=0),0,IF(AND(Changes!Change="Yes", Changes!ValidityYear&lt;=Table1[[#This Row],[Year]], Changes!ChangeType="Rider Inclusion/Exclusion", Changes!RiderType="Accident Medical Cost"), T14*Changes!NewChangedValue,IF(db!$D$9="Yes",(db!$B$9)*T14,0))))</f>
        <v>400000000</v>
      </c>
      <c r="AA14" s="29">
        <f>ROUND(IF(C14&gt;69,0,IF(C14=0,0,IF(Z14&lt;=db!$L$4,Z14,db!$L$4))),0)</f>
        <v>50000000</v>
      </c>
      <c r="AB14" s="38">
        <f>IF(AND(Changes!Change = "Yes", Changes!ChangeType = "Rider Inclusion/Exclusion", Changes!RiderType = "WOP"), IF( Changes!ValidityYear &lt;= Table1[[#This Row],[Year]], IF(WOP = "Yes", 0, 1),  IF(WOP = "Yes", 1, 0)), IF(AND(db!$D$8="Yes",C14&lt;=69,ROW()-1&lt;=InsurancePeriod), 1, 0))</f>
        <v>1</v>
      </c>
      <c r="AC14" s="17">
        <f>(AC15+K15)*AB14*((1)/(1+db!AA16))*(LOOKUP(C14,'Mortality Table'!$A$2:$A$108,'Mortality Table'!$E$2:$E$108))</f>
        <v>2024666903.922142</v>
      </c>
      <c r="AD14" s="340">
        <f>IF(AND(Changes!ValidityYear&lt;= Table1[[#This Row],[Year]],Changes!ChangeType="Change Value Adjustment",Changes!Change="Yes"), (AD15+L15)*AB14*((1)/(1+db!AA16))*(LOOKUP(C14,'Mortality Table'!$A$2:$A$108,'Mortality Table'!$E$2:$E$108)),Table1[[#This Row],[WOP Before Adj. BT]])</f>
        <v>2024666903.922142</v>
      </c>
      <c r="AE14" s="341">
        <f>IF(AND(Changes!Change="Yes", Changes!ChangeType="Change Value Adjustment"),Table1[[#This Row],[WOP Capital]],(AE15+O15)*AB14*((1)/(1+db!AA16))*(LOOKUP(D14,'Mortality Table'!$A$2:$A$108,'Mortality Table'!$E$2:$E$108)))</f>
        <v>2024666903.922142</v>
      </c>
      <c r="AF14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2024666903.922142</v>
      </c>
      <c r="AG14" s="42">
        <f>IF(AND(Changes!Change="Yes", Changes!ValidityYear&lt;=Table1[[#This Row],[Year]], Changes!ChangeType="Rider Inclusion/Exclusion", Changes!RiderType="Disability Annuity"), L14*Changes!NewChangedValue,L14*db!B$10*IF(db!$D$10="Yes",1,0))</f>
        <v>1783220088</v>
      </c>
      <c r="AH14" s="29">
        <f>IF(AND(Changes!Change="Yes",Changes!ValidityYear&lt;=Table1[[#This Row],[Year]],Changes!ChangeType="Paid-Up"),0,Table1[[#This Row],[Code Annuity Capital]]*IF('Annual Calculation'!C14&gt;69,0,(LOOKUP('Annual Calculation'!C14+1,'Mortality Table'!$A$2:$A$108,'Mortality Table'!$O$2:$O$108)-LOOKUP('Annual Calculation'!C14+11,'Mortality Table'!$A$2:$A$108,'Mortality Table'!$O$2:$O$108))/LOOKUP('Annual Calculation'!C14,'Mortality Table'!$A$2:$A$108,'Mortality Table'!$M$2:$M$108)))</f>
        <v>10769890659.203453</v>
      </c>
      <c r="AI14" s="17">
        <f>IF(AND(Changes!Change="Yes",Changes!ValidityYear&lt;=Table1[[#This Row],[Year]],Changes!ChangeType="Paid-Up",OR(PaidUpOption="Paid-up with no coverage",PaidUpOption="Paid-up with main coverage")),0,IF(B14=0,0,IF(AND(Changes!Change="Yes", Changes!ValidityYear&lt;=Table1[[#This Row],[Year]], Changes!ChangeType="Rider Inclusion/Exclusion", Changes!RiderType="Dread Disease"), T14*Changes!NewChangedValue,IF(db!$D$11="Yes",(db!$B$11)*T14,0))))</f>
        <v>300000000</v>
      </c>
      <c r="AJ14" s="42">
        <f>ROUND(IF(C14&gt;59,0,IF(C14=0,0,IF(AI14&lt;=db!$L$5,AI14,db!$L$5))),0)</f>
        <v>200000000</v>
      </c>
      <c r="AK14" s="29">
        <f>IF(AND(Changes!Change="Yes",Changes!ValidityYear&lt;=Table1[[#This Row],[Year]],Changes!ChangeType="Paid-Up",OR(PaidUpOption="Paid-up with no coverage",PaidUpOption="Paid-up with main coverage")),0,IF(B14=0,0,IF(AND(Changes!Change="Yes", Changes!ValidityYear&lt;=Table1[[#This Row],[Year]], Changes!ChangeType="Rider Inclusion/Exclusion", Changes!RiderType="Cancer"), T14*Changes!NewChangedValue,IF(db!$D$12="Yes",(db!$B$12)*T14,0))))</f>
        <v>500000000</v>
      </c>
      <c r="AL14" s="29">
        <f>ROUND(IF(C14&gt;59,0,IF(C14=0,0,IF(AK14&lt;=db!$L$6,AK14,db!$L$6))),0)</f>
        <v>300000000</v>
      </c>
      <c r="AM14" s="32"/>
      <c r="AN14" s="18">
        <f>IF(B14=0,0,IF(C14&lt;(db!$E$2+5),LOOKUP(C14,'Mortality Table'!$A$2:$A$108,'Mortality Table'!$P$2:$P$108),IF((C14&gt;=db!$E$2+10),LOOKUP(C14,'Mortality Table'!$A$2:$A$108,'Mortality Table'!$R$2:$R$108),LOOKUP(C14,'Mortality Table'!$A$2:$A$108,'Mortality Table'!$Q$2:$Q$108))))</f>
        <v>2.7171057257964438E-3</v>
      </c>
      <c r="AO14" s="22">
        <f t="shared" si="2"/>
        <v>5434211</v>
      </c>
      <c r="AP14" s="19">
        <f>IF(B14=0,0, LOOKUP(IF(AND(Changes!Change="Yes", Changes!ValidityYear&lt;=Table1[[#This Row],[Year]], Changes!ChangeType="Change Job Class"),Changes!NewChangedValue, db!$A$8),db!$AX$4:$AX$8,db!$AY$4:$AY$8))</f>
        <v>0.6</v>
      </c>
      <c r="AQ14" s="20">
        <f>ROUND((AP14/1000)*W14 * (1-db!$AS$9),0)</f>
        <v>906000</v>
      </c>
      <c r="AR14" s="20">
        <f>(AP14/1000)*W14 * db!$AS$9</f>
        <v>294000</v>
      </c>
      <c r="AS14" s="21">
        <f>IF(B14=0,0, LOOKUP(IF(AND(Changes!Change="Yes", Changes!ValidityYear&lt;=Table1[[#This Row],[Year]], Changes!ChangeType="Change Job Class"),Changes!NewChangedValue, db!$A$8),db!$AX$4:$AX$8,db!$AZ$4:$AZ$8))</f>
        <v>0.6</v>
      </c>
      <c r="AT14" s="22">
        <f>(AS14/1000)*Y14*(1-db!$AS$9)</f>
        <v>453000</v>
      </c>
      <c r="AU14" s="22">
        <f>(AS14/1000)*Y14*(db!$AS$9)</f>
        <v>147000</v>
      </c>
      <c r="AV14" s="23">
        <f>IF(B14=0,0, LOOKUP(IF(AND(Changes!Change="Yes", Changes!ValidityYear&lt;=Table1[[#This Row],[Year]], Changes!ChangeType="Change Job Class"),Changes!NewChangedValue, db!$A$8),db!$AX$4:$AX$8,db!$BA$4:$BA$8))</f>
        <v>0.8</v>
      </c>
      <c r="AW14" s="20">
        <f>ROUND((AV14/(100))*AA14*(1-db!$AS$9),0)</f>
        <v>302000</v>
      </c>
      <c r="AX14" s="20">
        <f>ROUND((AV14/(100))*AA14*(db!$AS$9),0)</f>
        <v>98000</v>
      </c>
      <c r="AY14" s="21">
        <f>IF(db!$D$8="Yes",AS14,0)</f>
        <v>0.6</v>
      </c>
      <c r="AZ14" s="22">
        <f>(AY14*AF14)/1000*(1-db!$AS$9)</f>
        <v>917174.10747673025</v>
      </c>
      <c r="BA14" s="22">
        <f>(AY14*AF14)/1000*(db!$AS$9)</f>
        <v>297626.03487655486</v>
      </c>
      <c r="BB14" s="23">
        <f t="shared" si="3"/>
        <v>0.6</v>
      </c>
      <c r="BC14" s="20">
        <f>(BB14*AH14/1000)*(1-db!$AS$9)</f>
        <v>4878760.4686191641</v>
      </c>
      <c r="BD14" s="20">
        <f>(BB14*AH14/1000)*(db!$AS$9)</f>
        <v>1583173.9269029077</v>
      </c>
      <c r="BE14" s="22">
        <f>IF(B14=0,0,IF(C14&gt;60,0,LOOKUP(Table1[[#This Row],[Medical
Age]],db!$BC$3:$BC$63,db!$BD$3:$BD$63)))</f>
        <v>2800</v>
      </c>
      <c r="BF14" s="22">
        <f>BG14*db!$AS$10</f>
        <v>56000</v>
      </c>
      <c r="BG14" s="22">
        <f t="shared" si="4"/>
        <v>560000</v>
      </c>
      <c r="BH14" s="22">
        <f>(BE14/1000000)*AJ14*(1-db!$AS$10)</f>
        <v>504000</v>
      </c>
      <c r="BI14" s="20">
        <f>IF(B14=0,0,IF(C14&gt;59,0,LOOKUP(Table1[[#This Row],[Medical
Age]],db!$BC$3:$BC$63,db!$BE$3:$BE$63)))</f>
        <v>2800</v>
      </c>
      <c r="BJ14" s="20">
        <f>(BI14/1000000)*AL14*(1-db!$AS$11)</f>
        <v>756000</v>
      </c>
      <c r="BK14" s="20">
        <f>(BI14/1000000)*AL14*(db!$AS$11)</f>
        <v>84000</v>
      </c>
      <c r="BL14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8.6848567919454263E-4</v>
      </c>
      <c r="BM14" s="20">
        <f>Table1[[#This Row],[RiskLoading
Rate]]*Table1[[#This Row],[Death Capital (2)]]</f>
        <v>1736971.3583890852</v>
      </c>
      <c r="BN14" s="36"/>
      <c r="BO14" s="37">
        <f t="shared" si="5"/>
        <v>5434211</v>
      </c>
      <c r="BP14" s="35">
        <f t="shared" si="6"/>
        <v>7456934.576095894</v>
      </c>
      <c r="BQ14" s="35">
        <f t="shared" si="7"/>
        <v>2419799.9617794626</v>
      </c>
      <c r="BR14" s="37">
        <f t="shared" si="11"/>
        <v>1260000</v>
      </c>
      <c r="BS14" s="37">
        <f t="shared" si="12"/>
        <v>140000</v>
      </c>
      <c r="BT14" s="35">
        <f t="shared" si="13"/>
        <v>8716935</v>
      </c>
      <c r="BU14" s="35">
        <f t="shared" si="14"/>
        <v>2559800</v>
      </c>
      <c r="BV14" s="37">
        <f>(db!$AS$4/100)*(L14-BT14-BU14)</f>
        <v>13204999.635</v>
      </c>
      <c r="BW14" s="37">
        <f>(db!$AS$8/100)*(L14-BT14-BU14)</f>
        <v>26409999.27</v>
      </c>
      <c r="BX14" s="35"/>
      <c r="BY14" s="37"/>
      <c r="BZ14" s="37"/>
      <c r="CA14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58062916</v>
      </c>
      <c r="CB14" s="33"/>
      <c r="CC14" s="39">
        <f>ROUND((Table1[[#This Row],[Premium]]-Table1[[#This Row],[All Deductions]]),0)</f>
        <v>833547128</v>
      </c>
      <c r="CD14" s="39">
        <f>IF(B14=0,0,Table1[[#This Row],[Initial Reserve]]+CE13)</f>
        <v>8476254626</v>
      </c>
      <c r="CE14" s="40">
        <f>ROUND(IF(B14=0,0,((CC14)*(1+db!Y16))+((CE13)*(1+db!U16))),0)</f>
        <v>9747692820</v>
      </c>
      <c r="CF14" s="40">
        <f t="shared" si="19"/>
        <v>9747693000</v>
      </c>
      <c r="CG14" s="15">
        <f t="shared" si="15"/>
        <v>13</v>
      </c>
      <c r="CH14" s="39">
        <f>IF(B14=0,0,((CC14)*(1+db!AH16))+((CH13)*(1+db!AD16)))</f>
        <v>12608295653.342539</v>
      </c>
      <c r="CI14" s="39">
        <f>IF(B14=0,0,((CC14)*(1+db!AH16))+((CI13)*(1+db!AD16)))</f>
        <v>12608295653.342539</v>
      </c>
      <c r="CJ14" s="40">
        <f>IF(B14=0,0,((CC14)*(1+db!AO16))+((CJ13)*(1+db!AK16)))</f>
        <v>14160365736.253939</v>
      </c>
      <c r="CK14" s="40">
        <f>CJ14-(SUM(BX$7:$BX15))</f>
        <v>14160365736.253939</v>
      </c>
      <c r="CL14" s="46"/>
    </row>
    <row r="15" spans="1:90">
      <c r="A15" s="24">
        <f t="shared" si="16"/>
        <v>14</v>
      </c>
      <c r="B15" s="16">
        <f>IF(AND(Changes!Change="Yes", Changes!ChangeType="Change Contract Duration"),IF(B14=0,0,IF(Changes!NewChangedValue&lt;B14+1,0,B14+1)),IF(B14=0,0,IF('Application Annually'!$C$5&lt;B14+1,0,B14+1)))</f>
        <v>14</v>
      </c>
      <c r="C15" s="15">
        <f t="shared" si="17"/>
        <v>41</v>
      </c>
      <c r="D15" s="312">
        <f t="shared" si="18"/>
        <v>41</v>
      </c>
      <c r="E15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43</v>
      </c>
      <c r="F15" s="29">
        <f t="shared" si="8"/>
        <v>1069932000</v>
      </c>
      <c r="G15" s="29">
        <f t="shared" si="9"/>
        <v>1069932000</v>
      </c>
      <c r="H15" s="29">
        <f t="shared" si="0"/>
        <v>1155527000</v>
      </c>
      <c r="I15" s="29">
        <f>IF(B15&gt;0,IF(AND(Table1[[#This Row],[Year]]&gt;Changes!ValidityYear,Changes!Change="Yes",Changes!ChangeType="Change Value Adjustment"),Changes!$G$22,'Application Annually'!$C$11),0)</f>
        <v>15</v>
      </c>
      <c r="J15" s="29">
        <f>IF(B15&gt;0,IF(AND(Table1[[#This Row],[Year]]&gt;Changes!ValidityYear,Changes!Change="Yes",Changes!ChangeType="Change Value Adjustment"),Changes!$G$24,'Application Annually'!$C$7),0)</f>
        <v>20</v>
      </c>
      <c r="K15" s="29">
        <f>ROUND(IF(B15=0,0,IF(AND(Changes!Change="Yes", Changes!ValidityYear=Table1[[#This Row],[Year]], Changes!ChangeType="Change Premium"), Changes!NewChangedValue, (K14*(1+db!$B$3)))),0)</f>
        <v>1069932053</v>
      </c>
      <c r="L15" s="29">
        <f>ROUND(IF(AND(Changes!Change="Yes",Changes!ValidityYear&lt;=Table1[[#This Row],[Year]],Changes!ChangeType="Paid-Up"),0,IF(B15=0,0,IF(AND(Changes!Change="Yes", Changes!ValidityYear=Table1[[#This Row],[Year]], Changes!ChangeType="Change Premium"), Changes!NewChangedValue, (L14*(1+Table1[[#This Row],[Adjustment Factor of Premium]]/100))))),0)</f>
        <v>1069932053</v>
      </c>
      <c r="M15" s="29">
        <f>IF(Table1[[#This Row],[Year]]=1,ROUND(MIN($L$2 -( Table1[[#This Row],[Riders Risk Premiums]] + Table1[[#This Row],[Acquisition Cost]]) *0.75,Table1[[#This Row],[Death Capital (1)]]* 0.03),0),0)</f>
        <v>0</v>
      </c>
      <c r="N15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5" s="29">
        <f>ROUND(IF(ROW()-1&gt;InsurancePeriod,0,(O14*(1+(Table1[[#This Row],[Adjustment Factor of Premium]]/100)))),0)</f>
        <v>1069932053</v>
      </c>
      <c r="P15" s="29">
        <f>IF(Table1[Year] = 0, 0, SUM(L$2:L15))</f>
        <v>5919592320</v>
      </c>
      <c r="Q15" s="17">
        <f t="shared" si="1"/>
        <v>2000000000</v>
      </c>
      <c r="R15" s="17">
        <f>IF(Table1[[#This Row],[Year]]=0,0,IF($C$2&lt;=50,LOOKUP(Table1[[#This Row],[Age]],db!BG16:BG122,db!BH16:BH122),LOOKUP(Table1[[#This Row],[Age]],db!BJ16:BJ122,db!BK16:BK122)))</f>
        <v>2000000000</v>
      </c>
      <c r="S15" s="17">
        <f>IF(AND(Changes!Change="Yes",Changes!ValidityYear&lt;=Table1[[#This Row],[Year]],Changes!ChangeType="Paid-Up",PaidUpOption="Paid-up with no coverage"),0,IF(B15=0,0, IF(AND(Changes!Change="Yes", Changes!ValidityYear=Table1[[#This Row],[Year]], Changes!ChangeType="Change Death Capital"), Changes!NewChangedValue, S14*(1+(Table1[[#This Row],[Adjustment Factor of Death Capital]]/100)))))</f>
        <v>6152787621.2947617</v>
      </c>
      <c r="T15" s="17">
        <f>MIN(IF(B15=0,0,Table1[[#This Row],[Death Capital (1)]]),Table1[[#This Row],[Max Sum Insured For Death]])</f>
        <v>2000000000</v>
      </c>
      <c r="U15" s="29">
        <f t="shared" si="10"/>
        <v>2000000000</v>
      </c>
      <c r="V15" s="29">
        <f>IF(AND(Changes!Change="Yes",Changes!ValidityYear&lt;=Table1[[#This Row],[Year]],Changes!ChangeType="Paid-Up",OR(PaidUpOption="Paid-up with no coverage",PaidUpOption="Paid-up with main coverage")),0,IF(B15=0,0,IF(AND(Changes!Change="Yes", Changes!ValidityYear&lt;=Table1[[#This Row],[Year]], Changes!ChangeType="Rider Inclusion/Exclusion", Changes!RiderType="Accident Death"), T15*Changes!NewChangedValue,IF(db!$D$6="Yes",(db!$B$6)*T15,0))))</f>
        <v>2000000000</v>
      </c>
      <c r="W15" s="29">
        <f>MIN(IF(V15&lt;=db!$L$2,V15,db!$L$2),MAX_ACC_CAPITAL)</f>
        <v>2000000000</v>
      </c>
      <c r="X15" s="17">
        <f>IF(AND(Changes!Change="Yes",Changes!ValidityYear&lt;=Table1[[#This Row],[Year]],Changes!ChangeType="Paid-Up",OR(PaidUpOption="Paid-up with no coverage",PaidUpOption="Paid-up with main coverage")),0,IF(OR(B15=0,Table1[[#This Row],[Accident Capital (2)]]=0),0,IF(AND(Changes!Change="Yes", Changes!ValidityYear&lt;=Table1[[#This Row],[Year]], Changes!ChangeType="Rider Inclusion/Exclusion", Changes!RiderType="Accident Disability"), T15*Changes!NewChangedValue,IF(db!$D$7="Yes",(db!$B$7)*T15,0))))</f>
        <v>1000000000</v>
      </c>
      <c r="Y15" s="42">
        <f>IF(C15&gt;69,0,IF(C15=0,0,IF(X15&lt;=db!$L$3,X15,db!$L$3)))</f>
        <v>1000000000</v>
      </c>
      <c r="Z15" s="29">
        <f>IF(AND(Changes!Change="Yes",Changes!ValidityYear&lt;=Table1[[#This Row],[Year]],Changes!ChangeType="Paid-Up",OR(PaidUpOption="Paid-up with no coverage",PaidUpOption="Paid-up with main coverage")),0,IF(OR(B15=0,Table1[[#This Row],[Accident Capital (2)]]=0),0,IF(AND(Changes!Change="Yes", Changes!ValidityYear&lt;=Table1[[#This Row],[Year]], Changes!ChangeType="Rider Inclusion/Exclusion", Changes!RiderType="Accident Medical Cost"), T15*Changes!NewChangedValue,IF(db!$D$9="Yes",(db!$B$9)*T15,0))))</f>
        <v>400000000</v>
      </c>
      <c r="AA15" s="29">
        <f>ROUND(IF(C15&gt;69,0,IF(C15=0,0,IF(Z15&lt;=db!$L$4,Z15,db!$L$4))),0)</f>
        <v>50000000</v>
      </c>
      <c r="AB15" s="38">
        <f>IF(AND(Changes!Change = "Yes", Changes!ChangeType = "Rider Inclusion/Exclusion", Changes!RiderType = "WOP"), IF( Changes!ValidityYear &lt;= Table1[[#This Row],[Year]], IF(WOP = "Yes", 0, 1),  IF(WOP = "Yes", 1, 0)), IF(AND(db!$D$8="Yes",C15&lt;=69,ROW()-1&lt;=InsurancePeriod), 1, 0))</f>
        <v>1</v>
      </c>
      <c r="AC15" s="17">
        <f>(AC16+K16)*AB15*((1)/(1+db!AA17))*(LOOKUP(C15,'Mortality Table'!$A$2:$A$108,'Mortality Table'!$E$2:$E$108))</f>
        <v>1163566396.6264446</v>
      </c>
      <c r="AD15" s="340">
        <f>IF(AND(Changes!ValidityYear&lt;= Table1[[#This Row],[Year]],Changes!ChangeType="Change Value Adjustment",Changes!Change="Yes"), (AD16+L16)*AB15*((1)/(1+db!AA17))*(LOOKUP(C15,'Mortality Table'!$A$2:$A$108,'Mortality Table'!$E$2:$E$108)),Table1[[#This Row],[WOP Before Adj. BT]])</f>
        <v>1163566396.6264446</v>
      </c>
      <c r="AE15" s="341">
        <f>IF(AND(Changes!Change="Yes", Changes!ChangeType="Change Value Adjustment"),Table1[[#This Row],[WOP Capital]],(AE16+O16)*AB15*((1)/(1+db!AA17))*(LOOKUP(D15,'Mortality Table'!$A$2:$A$108,'Mortality Table'!$E$2:$E$108)))</f>
        <v>1163566396.6264446</v>
      </c>
      <c r="AF15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1163566396.6264446</v>
      </c>
      <c r="AG15" s="42">
        <f>IF(AND(Changes!Change="Yes", Changes!ValidityYear&lt;=Table1[[#This Row],[Year]], Changes!ChangeType="Rider Inclusion/Exclusion", Changes!RiderType="Disability Annuity"), L15*Changes!NewChangedValue,L15*db!B$10*IF(db!$D$10="Yes",1,0))</f>
        <v>2139864106</v>
      </c>
      <c r="AH15" s="29">
        <f>IF(AND(Changes!Change="Yes",Changes!ValidityYear&lt;=Table1[[#This Row],[Year]],Changes!ChangeType="Paid-Up"),0,Table1[[#This Row],[Code Annuity Capital]]*IF('Annual Calculation'!C15&gt;69,0,(LOOKUP('Annual Calculation'!C15+1,'Mortality Table'!$A$2:$A$108,'Mortality Table'!$O$2:$O$108)-LOOKUP('Annual Calculation'!C15+11,'Mortality Table'!$A$2:$A$108,'Mortality Table'!$O$2:$O$108))/LOOKUP('Annual Calculation'!C15,'Mortality Table'!$A$2:$A$108,'Mortality Table'!$M$2:$M$108)))</f>
        <v>12904436657.158367</v>
      </c>
      <c r="AI15" s="17">
        <f>IF(AND(Changes!Change="Yes",Changes!ValidityYear&lt;=Table1[[#This Row],[Year]],Changes!ChangeType="Paid-Up",OR(PaidUpOption="Paid-up with no coverage",PaidUpOption="Paid-up with main coverage")),0,IF(B15=0,0,IF(AND(Changes!Change="Yes", Changes!ValidityYear&lt;=Table1[[#This Row],[Year]], Changes!ChangeType="Rider Inclusion/Exclusion", Changes!RiderType="Dread Disease"), T15*Changes!NewChangedValue,IF(db!$D$11="Yes",(db!$B$11)*T15,0))))</f>
        <v>300000000</v>
      </c>
      <c r="AJ15" s="42">
        <f>ROUND(IF(C15&gt;59,0,IF(C15=0,0,IF(AI15&lt;=db!$L$5,AI15,db!$L$5))),0)</f>
        <v>200000000</v>
      </c>
      <c r="AK15" s="29">
        <f>IF(AND(Changes!Change="Yes",Changes!ValidityYear&lt;=Table1[[#This Row],[Year]],Changes!ChangeType="Paid-Up",OR(PaidUpOption="Paid-up with no coverage",PaidUpOption="Paid-up with main coverage")),0,IF(B15=0,0,IF(AND(Changes!Change="Yes", Changes!ValidityYear&lt;=Table1[[#This Row],[Year]], Changes!ChangeType="Rider Inclusion/Exclusion", Changes!RiderType="Cancer"), T15*Changes!NewChangedValue,IF(db!$D$12="Yes",(db!$B$12)*T15,0))))</f>
        <v>500000000</v>
      </c>
      <c r="AL15" s="29">
        <f>ROUND(IF(C15&gt;59,0,IF(C15=0,0,IF(AK15&lt;=db!$L$6,AK15,db!$L$6))),0)</f>
        <v>300000000</v>
      </c>
      <c r="AM15" s="32"/>
      <c r="AN15" s="18">
        <f>IF(B15=0,0,IF(C15&lt;(db!$E$2+5),LOOKUP(C15,'Mortality Table'!$A$2:$A$108,'Mortality Table'!$P$2:$P$108),IF((C15&gt;=db!$E$2+10),LOOKUP(C15,'Mortality Table'!$A$2:$A$108,'Mortality Table'!$R$2:$R$108),LOOKUP(C15,'Mortality Table'!$A$2:$A$108,'Mortality Table'!$Q$2:$Q$108))))</f>
        <v>2.967081599964054E-3</v>
      </c>
      <c r="AO15" s="22">
        <f t="shared" si="2"/>
        <v>5934163</v>
      </c>
      <c r="AP15" s="19">
        <f>IF(B15=0,0, LOOKUP(IF(AND(Changes!Change="Yes", Changes!ValidityYear&lt;=Table1[[#This Row],[Year]], Changes!ChangeType="Change Job Class"),Changes!NewChangedValue, db!$A$8),db!$AX$4:$AX$8,db!$AY$4:$AY$8))</f>
        <v>0.6</v>
      </c>
      <c r="AQ15" s="20">
        <f>ROUND((AP15/1000)*W15 * (1-db!$AS$9),0)</f>
        <v>906000</v>
      </c>
      <c r="AR15" s="20">
        <f>(AP15/1000)*W15 * db!$AS$9</f>
        <v>294000</v>
      </c>
      <c r="AS15" s="21">
        <f>IF(B15=0,0, LOOKUP(IF(AND(Changes!Change="Yes", Changes!ValidityYear&lt;=Table1[[#This Row],[Year]], Changes!ChangeType="Change Job Class"),Changes!NewChangedValue, db!$A$8),db!$AX$4:$AX$8,db!$AZ$4:$AZ$8))</f>
        <v>0.6</v>
      </c>
      <c r="AT15" s="22">
        <f>(AS15/1000)*Y15*(1-db!$AS$9)</f>
        <v>453000</v>
      </c>
      <c r="AU15" s="22">
        <f>(AS15/1000)*Y15*(db!$AS$9)</f>
        <v>147000</v>
      </c>
      <c r="AV15" s="23">
        <f>IF(B15=0,0, LOOKUP(IF(AND(Changes!Change="Yes", Changes!ValidityYear&lt;=Table1[[#This Row],[Year]], Changes!ChangeType="Change Job Class"),Changes!NewChangedValue, db!$A$8),db!$AX$4:$AX$8,db!$BA$4:$BA$8))</f>
        <v>0.8</v>
      </c>
      <c r="AW15" s="20">
        <f>ROUND((AV15/(100))*AA15*(1-db!$AS$9),0)</f>
        <v>302000</v>
      </c>
      <c r="AX15" s="20">
        <f>ROUND((AV15/(100))*AA15*(db!$AS$9),0)</f>
        <v>98000</v>
      </c>
      <c r="AY15" s="21">
        <f>IF(db!$D$8="Yes",AS15,0)</f>
        <v>0.6</v>
      </c>
      <c r="AZ15" s="22">
        <f>(AY15*AF15)/1000*(1-db!$AS$9)</f>
        <v>527095.57767177932</v>
      </c>
      <c r="BA15" s="22">
        <f>(AY15*AF15)/1000*(db!$AS$9)</f>
        <v>171044.26030408731</v>
      </c>
      <c r="BB15" s="23">
        <f t="shared" si="3"/>
        <v>0.6</v>
      </c>
      <c r="BC15" s="20">
        <f>(BB15*AH15/1000)*(1-db!$AS$9)</f>
        <v>5845709.8056927398</v>
      </c>
      <c r="BD15" s="20">
        <f>(BB15*AH15/1000)*(db!$AS$9)</f>
        <v>1896952.1886022799</v>
      </c>
      <c r="BE15" s="22">
        <f>IF(B15=0,0,IF(C15&gt;60,0,LOOKUP(Table1[[#This Row],[Medical
Age]],db!$BC$3:$BC$63,db!$BD$3:$BD$63)))</f>
        <v>2800</v>
      </c>
      <c r="BF15" s="22">
        <f>BG15*db!$AS$10</f>
        <v>56000</v>
      </c>
      <c r="BG15" s="22">
        <f t="shared" si="4"/>
        <v>560000</v>
      </c>
      <c r="BH15" s="22">
        <f>(BE15/1000000)*AJ15*(1-db!$AS$10)</f>
        <v>504000</v>
      </c>
      <c r="BI15" s="20">
        <f>IF(B15=0,0,IF(C15&gt;59,0,LOOKUP(Table1[[#This Row],[Medical
Age]],db!$BC$3:$BC$63,db!$BE$3:$BE$63)))</f>
        <v>2800</v>
      </c>
      <c r="BJ15" s="20">
        <f>(BI15/1000000)*AL15*(1-db!$AS$11)</f>
        <v>756000</v>
      </c>
      <c r="BK15" s="20">
        <f>(BI15/1000000)*AL15*(db!$AS$11)</f>
        <v>84000</v>
      </c>
      <c r="BL15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6.1850980502693243E-4</v>
      </c>
      <c r="BM15" s="20">
        <f>Table1[[#This Row],[RiskLoading
Rate]]*Table1[[#This Row],[Death Capital (2)]]</f>
        <v>1237019.6100538648</v>
      </c>
      <c r="BN15" s="36"/>
      <c r="BO15" s="37">
        <f t="shared" si="5"/>
        <v>5934163</v>
      </c>
      <c r="BP15" s="35">
        <f t="shared" si="6"/>
        <v>8033805.3833645191</v>
      </c>
      <c r="BQ15" s="35">
        <f t="shared" si="7"/>
        <v>2606996.4489063672</v>
      </c>
      <c r="BR15" s="37">
        <f t="shared" si="11"/>
        <v>1260000</v>
      </c>
      <c r="BS15" s="37">
        <f t="shared" si="12"/>
        <v>140000</v>
      </c>
      <c r="BT15" s="35">
        <f t="shared" si="13"/>
        <v>9293805</v>
      </c>
      <c r="BU15" s="35">
        <f t="shared" si="14"/>
        <v>2746996</v>
      </c>
      <c r="BV15" s="37">
        <f>(db!$AS$4/100)*(L15-BT15-BU15)</f>
        <v>15868368.779999999</v>
      </c>
      <c r="BW15" s="37">
        <f>(db!$AS$8/100)*(L15-BT15-BU15)</f>
        <v>31736737.559999999</v>
      </c>
      <c r="BX15" s="35"/>
      <c r="BY15" s="37"/>
      <c r="BZ15" s="37"/>
      <c r="CA15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66817090</v>
      </c>
      <c r="CB15" s="33"/>
      <c r="CC15" s="39">
        <f>ROUND((Table1[[#This Row],[Premium]]-Table1[[#This Row],[All Deductions]]),0)</f>
        <v>1003114963</v>
      </c>
      <c r="CD15" s="39">
        <f>IF(B15=0,0,Table1[[#This Row],[Initial Reserve]]+CE14)</f>
        <v>10750807783</v>
      </c>
      <c r="CE15" s="40">
        <f>ROUND(IF(B15=0,0,((CC15)*(1+db!Y17))+((CE14)*(1+db!U17))),0)</f>
        <v>12363428950</v>
      </c>
      <c r="CF15" s="40">
        <f t="shared" si="19"/>
        <v>12363429000</v>
      </c>
      <c r="CG15" s="15">
        <f t="shared" si="15"/>
        <v>14</v>
      </c>
      <c r="CH15" s="39">
        <f>IF(B15=0,0,((CC15)*(1+db!AH17))+((CH14)*(1+db!AD17)))</f>
        <v>16333692739.611046</v>
      </c>
      <c r="CI15" s="39">
        <f>IF(B15=0,0,((CC15)*(1+db!AH17))+((CI14)*(1+db!AD17)))</f>
        <v>16333692739.611046</v>
      </c>
      <c r="CJ15" s="40">
        <f>IF(B15=0,0,((CC15)*(1+db!AO17))+((CJ14)*(1+db!AK17)))</f>
        <v>18499446453.089806</v>
      </c>
      <c r="CK15" s="40">
        <f>CJ15-(SUM(BX$7:$BX16))</f>
        <v>18499446453.089806</v>
      </c>
      <c r="CL15" s="46"/>
    </row>
    <row r="16" spans="1:90">
      <c r="A16" s="24">
        <f t="shared" si="16"/>
        <v>15</v>
      </c>
      <c r="B16" s="16">
        <f>IF(AND(Changes!Change="Yes", Changes!ChangeType="Change Contract Duration"),IF(B15=0,0,IF(Changes!NewChangedValue&lt;B15+1,0,B15+1)),IF(B15=0,0,IF('Application Annually'!$C$5&lt;B15+1,0,B15+1)))</f>
        <v>15</v>
      </c>
      <c r="C16" s="15">
        <f t="shared" si="17"/>
        <v>42</v>
      </c>
      <c r="D16" s="312">
        <f t="shared" si="18"/>
        <v>42</v>
      </c>
      <c r="E16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44</v>
      </c>
      <c r="F16" s="29">
        <f t="shared" si="8"/>
        <v>1283918000</v>
      </c>
      <c r="G16" s="29">
        <f t="shared" si="9"/>
        <v>1283918000</v>
      </c>
      <c r="H16" s="29">
        <f t="shared" si="0"/>
        <v>1386632000</v>
      </c>
      <c r="I16" s="29">
        <f>IF(B16&gt;0,IF(AND(Table1[[#This Row],[Year]]&gt;Changes!ValidityYear,Changes!Change="Yes",Changes!ChangeType="Change Value Adjustment"),Changes!$G$22,'Application Annually'!$C$11),0)</f>
        <v>15</v>
      </c>
      <c r="J16" s="29">
        <f>IF(B16&gt;0,IF(AND(Table1[[#This Row],[Year]]&gt;Changes!ValidityYear,Changes!Change="Yes",Changes!ChangeType="Change Value Adjustment"),Changes!$G$24,'Application Annually'!$C$7),0)</f>
        <v>20</v>
      </c>
      <c r="K16" s="29">
        <f>ROUND(IF(B16=0,0,IF(AND(Changes!Change="Yes", Changes!ValidityYear=Table1[[#This Row],[Year]], Changes!ChangeType="Change Premium"), Changes!NewChangedValue, (K15*(1+db!$B$3)))),0)</f>
        <v>1283918464</v>
      </c>
      <c r="L16" s="29">
        <f>ROUND(IF(AND(Changes!Change="Yes",Changes!ValidityYear&lt;=Table1[[#This Row],[Year]],Changes!ChangeType="Paid-Up"),0,IF(B16=0,0,IF(AND(Changes!Change="Yes", Changes!ValidityYear=Table1[[#This Row],[Year]], Changes!ChangeType="Change Premium"), Changes!NewChangedValue, (L15*(1+Table1[[#This Row],[Adjustment Factor of Premium]]/100))))),0)</f>
        <v>1283918464</v>
      </c>
      <c r="M16" s="29">
        <f>IF(Table1[[#This Row],[Year]]=1,ROUND(MIN($L$2 -( Table1[[#This Row],[Riders Risk Premiums]] + Table1[[#This Row],[Acquisition Cost]]) *0.75,Table1[[#This Row],[Death Capital (1)]]* 0.03),0),0)</f>
        <v>0</v>
      </c>
      <c r="N16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6" s="29">
        <f>ROUND(IF(ROW()-1&gt;InsurancePeriod,0,(O15*(1+(Table1[[#This Row],[Adjustment Factor of Premium]]/100)))),0)</f>
        <v>1283918464</v>
      </c>
      <c r="P16" s="29">
        <f>IF(Table1[Year] = 0, 0, SUM(L$2:L16))</f>
        <v>7203510784</v>
      </c>
      <c r="Q16" s="17">
        <f t="shared" si="1"/>
        <v>2000000000</v>
      </c>
      <c r="R16" s="17">
        <f>IF(Table1[[#This Row],[Year]]=0,0,IF($C$2&lt;=50,LOOKUP(Table1[[#This Row],[Age]],db!BG17:BG123,db!BH17:BH123),LOOKUP(Table1[[#This Row],[Age]],db!BJ17:BJ123,db!BK17:BK123)))</f>
        <v>2000000000</v>
      </c>
      <c r="S16" s="17">
        <f>IF(AND(Changes!Change="Yes",Changes!ValidityYear&lt;=Table1[[#This Row],[Year]],Changes!ChangeType="Paid-Up",PaidUpOption="Paid-up with no coverage"),0,IF(B16=0,0, IF(AND(Changes!Change="Yes", Changes!ValidityYear=Table1[[#This Row],[Year]], Changes!ChangeType="Change Death Capital"), Changes!NewChangedValue, S15*(1+(Table1[[#This Row],[Adjustment Factor of Death Capital]]/100)))))</f>
        <v>7075705764.4889755</v>
      </c>
      <c r="T16" s="17">
        <f>MIN(IF(B16=0,0,Table1[[#This Row],[Death Capital (1)]]),Table1[[#This Row],[Max Sum Insured For Death]])</f>
        <v>2000000000</v>
      </c>
      <c r="U16" s="29">
        <f t="shared" si="10"/>
        <v>2000000000</v>
      </c>
      <c r="V16" s="29">
        <f>IF(AND(Changes!Change="Yes",Changes!ValidityYear&lt;=Table1[[#This Row],[Year]],Changes!ChangeType="Paid-Up",OR(PaidUpOption="Paid-up with no coverage",PaidUpOption="Paid-up with main coverage")),0,IF(B16=0,0,IF(AND(Changes!Change="Yes", Changes!ValidityYear&lt;=Table1[[#This Row],[Year]], Changes!ChangeType="Rider Inclusion/Exclusion", Changes!RiderType="Accident Death"), T16*Changes!NewChangedValue,IF(db!$D$6="Yes",(db!$B$6)*T16,0))))</f>
        <v>2000000000</v>
      </c>
      <c r="W16" s="29">
        <f>MIN(IF(V16&lt;=db!$L$2,V16,db!$L$2),MAX_ACC_CAPITAL)</f>
        <v>2000000000</v>
      </c>
      <c r="X16" s="17">
        <f>IF(AND(Changes!Change="Yes",Changes!ValidityYear&lt;=Table1[[#This Row],[Year]],Changes!ChangeType="Paid-Up",OR(PaidUpOption="Paid-up with no coverage",PaidUpOption="Paid-up with main coverage")),0,IF(OR(B16=0,Table1[[#This Row],[Accident Capital (2)]]=0),0,IF(AND(Changes!Change="Yes", Changes!ValidityYear&lt;=Table1[[#This Row],[Year]], Changes!ChangeType="Rider Inclusion/Exclusion", Changes!RiderType="Accident Disability"), T16*Changes!NewChangedValue,IF(db!$D$7="Yes",(db!$B$7)*T16,0))))</f>
        <v>1000000000</v>
      </c>
      <c r="Y16" s="42">
        <f>IF(C16&gt;69,0,IF(C16=0,0,IF(X16&lt;=db!$L$3,X16,db!$L$3)))</f>
        <v>1000000000</v>
      </c>
      <c r="Z16" s="29">
        <f>IF(AND(Changes!Change="Yes",Changes!ValidityYear&lt;=Table1[[#This Row],[Year]],Changes!ChangeType="Paid-Up",OR(PaidUpOption="Paid-up with no coverage",PaidUpOption="Paid-up with main coverage")),0,IF(OR(B16=0,Table1[[#This Row],[Accident Capital (2)]]=0),0,IF(AND(Changes!Change="Yes", Changes!ValidityYear&lt;=Table1[[#This Row],[Year]], Changes!ChangeType="Rider Inclusion/Exclusion", Changes!RiderType="Accident Medical Cost"), T16*Changes!NewChangedValue,IF(db!$D$9="Yes",(db!$B$9)*T16,0))))</f>
        <v>400000000</v>
      </c>
      <c r="AA16" s="29">
        <f>ROUND(IF(C16&gt;69,0,IF(C16=0,0,IF(Z16&lt;=db!$L$4,Z16,db!$L$4))),0)</f>
        <v>50000000</v>
      </c>
      <c r="AB16" s="38">
        <f>IF(AND(Changes!Change = "Yes", Changes!ChangeType = "Rider Inclusion/Exclusion", Changes!RiderType = "WOP"), IF( Changes!ValidityYear &lt;= Table1[[#This Row],[Year]], IF(WOP = "Yes", 0, 1),  IF(WOP = "Yes", 1, 0)), IF(AND(db!$D$8="Yes",C16&lt;=69,ROW()-1&lt;=InsurancePeriod), 1, 0))</f>
        <v>1</v>
      </c>
      <c r="AC16" s="17">
        <f>(AC17+K17)*AB16*((1)/(1+db!AA18))*(LOOKUP(C16,'Mortality Table'!$A$2:$A$108,'Mortality Table'!$E$2:$E$108))</f>
        <v>0</v>
      </c>
      <c r="AD16" s="340">
        <f>IF(AND(Changes!ValidityYear&lt;= Table1[[#This Row],[Year]],Changes!ChangeType="Change Value Adjustment",Changes!Change="Yes"), (AD17+L17)*AB16*((1)/(1+db!AA18))*(LOOKUP(C16,'Mortality Table'!$A$2:$A$108,'Mortality Table'!$E$2:$E$108)),Table1[[#This Row],[WOP Before Adj. BT]])</f>
        <v>0</v>
      </c>
      <c r="AE16" s="341">
        <f>IF(AND(Changes!Change="Yes", Changes!ChangeType="Change Value Adjustment"),Table1[[#This Row],[WOP Capital]],(AE17+O17)*AB16*((1)/(1+db!AA18))*(LOOKUP(D16,'Mortality Table'!$A$2:$A$108,'Mortality Table'!$E$2:$E$108)))</f>
        <v>0</v>
      </c>
      <c r="AF16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16" s="42">
        <f>IF(AND(Changes!Change="Yes", Changes!ValidityYear&lt;=Table1[[#This Row],[Year]], Changes!ChangeType="Rider Inclusion/Exclusion", Changes!RiderType="Disability Annuity"), L16*Changes!NewChangedValue,L16*db!B$10*IF(db!$D$10="Yes",1,0))</f>
        <v>2567836928</v>
      </c>
      <c r="AH16" s="29">
        <f>IF(AND(Changes!Change="Yes",Changes!ValidityYear&lt;=Table1[[#This Row],[Year]],Changes!ChangeType="Paid-Up"),0,Table1[[#This Row],[Code Annuity Capital]]*IF('Annual Calculation'!C16&gt;69,0,(LOOKUP('Annual Calculation'!C16+1,'Mortality Table'!$A$2:$A$108,'Mortality Table'!$O$2:$O$108)-LOOKUP('Annual Calculation'!C16+11,'Mortality Table'!$A$2:$A$108,'Mortality Table'!$O$2:$O$108))/LOOKUP('Annual Calculation'!C16,'Mortality Table'!$A$2:$A$108,'Mortality Table'!$M$2:$M$108)))</f>
        <v>15460104793.176714</v>
      </c>
      <c r="AI16" s="17">
        <f>IF(AND(Changes!Change="Yes",Changes!ValidityYear&lt;=Table1[[#This Row],[Year]],Changes!ChangeType="Paid-Up",OR(PaidUpOption="Paid-up with no coverage",PaidUpOption="Paid-up with main coverage")),0,IF(B16=0,0,IF(AND(Changes!Change="Yes", Changes!ValidityYear&lt;=Table1[[#This Row],[Year]], Changes!ChangeType="Rider Inclusion/Exclusion", Changes!RiderType="Dread Disease"), T16*Changes!NewChangedValue,IF(db!$D$11="Yes",(db!$B$11)*T16,0))))</f>
        <v>300000000</v>
      </c>
      <c r="AJ16" s="42">
        <f>ROUND(IF(C16&gt;59,0,IF(C16=0,0,IF(AI16&lt;=db!$L$5,AI16,db!$L$5))),0)</f>
        <v>200000000</v>
      </c>
      <c r="AK16" s="29">
        <f>IF(AND(Changes!Change="Yes",Changes!ValidityYear&lt;=Table1[[#This Row],[Year]],Changes!ChangeType="Paid-Up",OR(PaidUpOption="Paid-up with no coverage",PaidUpOption="Paid-up with main coverage")),0,IF(B16=0,0,IF(AND(Changes!Change="Yes", Changes!ValidityYear&lt;=Table1[[#This Row],[Year]], Changes!ChangeType="Rider Inclusion/Exclusion", Changes!RiderType="Cancer"), T16*Changes!NewChangedValue,IF(db!$D$12="Yes",(db!$B$12)*T16,0))))</f>
        <v>500000000</v>
      </c>
      <c r="AL16" s="29">
        <f>ROUND(IF(C16&gt;59,0,IF(C16=0,0,IF(AK16&lt;=db!$L$6,AK16,db!$L$6))),0)</f>
        <v>300000000</v>
      </c>
      <c r="AM16" s="32"/>
      <c r="AN16" s="18">
        <f>IF(B16=0,0,IF(C16&lt;(db!$E$2+5),LOOKUP(C16,'Mortality Table'!$A$2:$A$108,'Mortality Table'!$P$2:$P$108),IF((C16&gt;=db!$E$2+10),LOOKUP(C16,'Mortality Table'!$A$2:$A$108,'Mortality Table'!$R$2:$R$108),LOOKUP(C16,'Mortality Table'!$A$2:$A$108,'Mortality Table'!$Q$2:$Q$108))))</f>
        <v>3.1788160478978577E-3</v>
      </c>
      <c r="AO16" s="22">
        <f t="shared" si="2"/>
        <v>6357632</v>
      </c>
      <c r="AP16" s="19">
        <f>IF(B16=0,0, LOOKUP(IF(AND(Changes!Change="Yes", Changes!ValidityYear&lt;=Table1[[#This Row],[Year]], Changes!ChangeType="Change Job Class"),Changes!NewChangedValue, db!$A$8),db!$AX$4:$AX$8,db!$AY$4:$AY$8))</f>
        <v>0.6</v>
      </c>
      <c r="AQ16" s="20">
        <f>ROUND((AP16/1000)*W16 * (1-db!$AS$9),0)</f>
        <v>906000</v>
      </c>
      <c r="AR16" s="20">
        <f>(AP16/1000)*W16 * db!$AS$9</f>
        <v>294000</v>
      </c>
      <c r="AS16" s="21">
        <f>IF(B16=0,0, LOOKUP(IF(AND(Changes!Change="Yes", Changes!ValidityYear&lt;=Table1[[#This Row],[Year]], Changes!ChangeType="Change Job Class"),Changes!NewChangedValue, db!$A$8),db!$AX$4:$AX$8,db!$AZ$4:$AZ$8))</f>
        <v>0.6</v>
      </c>
      <c r="AT16" s="22">
        <f>(AS16/1000)*Y16*(1-db!$AS$9)</f>
        <v>453000</v>
      </c>
      <c r="AU16" s="22">
        <f>(AS16/1000)*Y16*(db!$AS$9)</f>
        <v>147000</v>
      </c>
      <c r="AV16" s="23">
        <f>IF(B16=0,0, LOOKUP(IF(AND(Changes!Change="Yes", Changes!ValidityYear&lt;=Table1[[#This Row],[Year]], Changes!ChangeType="Change Job Class"),Changes!NewChangedValue, db!$A$8),db!$AX$4:$AX$8,db!$BA$4:$BA$8))</f>
        <v>0.8</v>
      </c>
      <c r="AW16" s="20">
        <f>ROUND((AV16/(100))*AA16*(1-db!$AS$9),0)</f>
        <v>302000</v>
      </c>
      <c r="AX16" s="20">
        <f>ROUND((AV16/(100))*AA16*(db!$AS$9),0)</f>
        <v>98000</v>
      </c>
      <c r="AY16" s="21">
        <f>IF(db!$D$8="Yes",AS16,0)</f>
        <v>0.6</v>
      </c>
      <c r="AZ16" s="22">
        <f>(AY16*AF16)/1000*(1-db!$AS$9)</f>
        <v>0</v>
      </c>
      <c r="BA16" s="22">
        <f>(AY16*AF16)/1000*(db!$AS$9)</f>
        <v>0</v>
      </c>
      <c r="BB16" s="23">
        <f t="shared" si="3"/>
        <v>0.6</v>
      </c>
      <c r="BC16" s="20">
        <f>(BB16*AH16/1000)*(1-db!$AS$9)</f>
        <v>7003427.4713090509</v>
      </c>
      <c r="BD16" s="20">
        <f>(BB16*AH16/1000)*(db!$AS$9)</f>
        <v>2272635.4045969769</v>
      </c>
      <c r="BE16" s="22">
        <f>IF(B16=0,0,IF(C16&gt;60,0,LOOKUP(Table1[[#This Row],[Medical
Age]],db!$BC$3:$BC$63,db!$BD$3:$BD$63)))</f>
        <v>2800</v>
      </c>
      <c r="BF16" s="22">
        <f>BG16*db!$AS$10</f>
        <v>56000</v>
      </c>
      <c r="BG16" s="22">
        <f t="shared" si="4"/>
        <v>560000</v>
      </c>
      <c r="BH16" s="22">
        <f>(BE16/1000000)*AJ16*(1-db!$AS$10)</f>
        <v>504000</v>
      </c>
      <c r="BI16" s="20">
        <f>IF(B16=0,0,IF(C16&gt;59,0,LOOKUP(Table1[[#This Row],[Medical
Age]],db!$BC$3:$BC$63,db!$BE$3:$BE$63)))</f>
        <v>2800</v>
      </c>
      <c r="BJ16" s="20">
        <f>(BI16/1000000)*AL16*(1-db!$AS$11)</f>
        <v>756000</v>
      </c>
      <c r="BK16" s="20">
        <f>(BI16/1000000)*AL16*(db!$AS$11)</f>
        <v>84000</v>
      </c>
      <c r="BL16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7.1598916080466146E-4</v>
      </c>
      <c r="BM16" s="20">
        <f>Table1[[#This Row],[RiskLoading
Rate]]*Table1[[#This Row],[Death Capital (2)]]</f>
        <v>1431978.3216093229</v>
      </c>
      <c r="BN16" s="36"/>
      <c r="BO16" s="37">
        <f t="shared" si="5"/>
        <v>6357632</v>
      </c>
      <c r="BP16" s="35">
        <f t="shared" si="6"/>
        <v>8664427.4713090509</v>
      </c>
      <c r="BQ16" s="35">
        <f t="shared" si="7"/>
        <v>2811635.4045969769</v>
      </c>
      <c r="BR16" s="37">
        <f t="shared" si="11"/>
        <v>1260000</v>
      </c>
      <c r="BS16" s="37">
        <f t="shared" si="12"/>
        <v>140000</v>
      </c>
      <c r="BT16" s="35">
        <f t="shared" si="13"/>
        <v>9924427</v>
      </c>
      <c r="BU16" s="35">
        <f t="shared" si="14"/>
        <v>2951635</v>
      </c>
      <c r="BV16" s="37">
        <f>(db!$AS$4/100)*(L16-BT16-BU16)</f>
        <v>19065636.029999997</v>
      </c>
      <c r="BW16" s="37">
        <f>(db!$AS$8/100)*(L16-BT16-BU16)</f>
        <v>38131272.059999995</v>
      </c>
      <c r="BX16" s="35"/>
      <c r="BY16" s="37"/>
      <c r="BZ16" s="37"/>
      <c r="CA16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77862580</v>
      </c>
      <c r="CB16" s="33"/>
      <c r="CC16" s="39">
        <f>ROUND((Table1[[#This Row],[Premium]]-Table1[[#This Row],[All Deductions]]),0)</f>
        <v>1206055884</v>
      </c>
      <c r="CD16" s="39">
        <f>IF(B16=0,0,Table1[[#This Row],[Initial Reserve]]+CE15)</f>
        <v>13569484834</v>
      </c>
      <c r="CE16" s="40">
        <f>ROUND(IF(B16=0,0,((CC16)*(1+db!Y18))+((CE15)*(1+db!U18))),0)</f>
        <v>15604907559</v>
      </c>
      <c r="CF16" s="40">
        <f t="shared" si="19"/>
        <v>15604908000</v>
      </c>
      <c r="CG16" s="15">
        <f t="shared" si="15"/>
        <v>15</v>
      </c>
      <c r="CH16" s="39">
        <f>IF(B16=0,0,((CC16)*(1+db!AH18))+((CH15)*(1+db!AD18)))</f>
        <v>21047698348.333252</v>
      </c>
      <c r="CI16" s="39">
        <f>IF(B16=0,0,((CC16)*(1+db!AH18))+((CI15)*(1+db!AD18)))</f>
        <v>21047698348.333252</v>
      </c>
      <c r="CJ16" s="40">
        <f>IF(B16=0,0,((CC16)*(1+db!AO18))+((CJ15)*(1+db!AK18)))</f>
        <v>24040712851.249561</v>
      </c>
      <c r="CK16" s="40">
        <f>CJ16-(SUM(BX$7:$BX17))</f>
        <v>24040712851.249561</v>
      </c>
      <c r="CL16" s="46"/>
    </row>
    <row r="17" spans="1:90">
      <c r="A17" s="24">
        <f t="shared" si="16"/>
        <v>16</v>
      </c>
      <c r="B17" s="16">
        <f>IF(AND(Changes!Change="Yes", Changes!ChangeType="Change Contract Duration"),IF(B16=0,0,IF(Changes!NewChangedValue&lt;B16+1,0,B16+1)),IF(B16=0,0,IF('Application Annually'!$C$5&lt;B16+1,0,B16+1)))</f>
        <v>0</v>
      </c>
      <c r="C17" s="15">
        <f t="shared" si="17"/>
        <v>0</v>
      </c>
      <c r="D17" s="312">
        <f t="shared" si="18"/>
        <v>43</v>
      </c>
      <c r="E17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17" s="29">
        <f t="shared" si="8"/>
        <v>0</v>
      </c>
      <c r="G17" s="29">
        <f t="shared" si="9"/>
        <v>0</v>
      </c>
      <c r="H17" s="29">
        <f t="shared" si="0"/>
        <v>0</v>
      </c>
      <c r="I17" s="29">
        <f>IF(B17&gt;0,IF(AND(Table1[[#This Row],[Year]]&gt;Changes!ValidityYear,Changes!Change="Yes",Changes!ChangeType="Change Value Adjustment"),Changes!$G$22,'Application Annually'!$C$11),0)</f>
        <v>0</v>
      </c>
      <c r="J17" s="29">
        <f>IF(B17&gt;0,IF(AND(Table1[[#This Row],[Year]]&gt;Changes!ValidityYear,Changes!Change="Yes",Changes!ChangeType="Change Value Adjustment"),Changes!$G$24,'Application Annually'!$C$7),0)</f>
        <v>0</v>
      </c>
      <c r="K17" s="29">
        <f>ROUND(IF(B17=0,0,IF(AND(Changes!Change="Yes", Changes!ValidityYear=Table1[[#This Row],[Year]], Changes!ChangeType="Change Premium"), Changes!NewChangedValue, (K16*(1+db!$B$3)))),0)</f>
        <v>0</v>
      </c>
      <c r="L17" s="29">
        <f>ROUND(IF(AND(Changes!Change="Yes",Changes!ValidityYear&lt;=Table1[[#This Row],[Year]],Changes!ChangeType="Paid-Up"),0,IF(B17=0,0,IF(AND(Changes!Change="Yes", Changes!ValidityYear=Table1[[#This Row],[Year]], Changes!ChangeType="Change Premium"), Changes!NewChangedValue, (L16*(1+Table1[[#This Row],[Adjustment Factor of Premium]]/100))))),0)</f>
        <v>0</v>
      </c>
      <c r="M17" s="29">
        <f>IF(Table1[[#This Row],[Year]]=1,ROUND(MIN($L$2 -( Table1[[#This Row],[Riders Risk Premiums]] + Table1[[#This Row],[Acquisition Cost]]) *0.75,Table1[[#This Row],[Death Capital (1)]]* 0.03),0),0)</f>
        <v>0</v>
      </c>
      <c r="N17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7" s="29">
        <f>ROUND(IF(ROW()-1&gt;InsurancePeriod,0,(O16*(1+(Table1[[#This Row],[Adjustment Factor of Premium]]/100)))),0)</f>
        <v>0</v>
      </c>
      <c r="P17" s="29">
        <f>IF(Table1[Year] = 0, 0, SUM(L$2:L17))</f>
        <v>0</v>
      </c>
      <c r="Q17" s="17">
        <f t="shared" si="1"/>
        <v>0</v>
      </c>
      <c r="R17" s="17">
        <f>IF(Table1[[#This Row],[Year]]=0,0,IF($C$2&lt;=50,LOOKUP(Table1[[#This Row],[Age]],db!BG18:BG124,db!BH18:BH124),LOOKUP(Table1[[#This Row],[Age]],db!BJ18:BJ124,db!BK18:BK124)))</f>
        <v>0</v>
      </c>
      <c r="S17" s="17">
        <f>IF(AND(Changes!Change="Yes",Changes!ValidityYear&lt;=Table1[[#This Row],[Year]],Changes!ChangeType="Paid-Up",PaidUpOption="Paid-up with no coverage"),0,IF(B17=0,0, IF(AND(Changes!Change="Yes", Changes!ValidityYear=Table1[[#This Row],[Year]], Changes!ChangeType="Change Death Capital"), Changes!NewChangedValue, S16*(1+(Table1[[#This Row],[Adjustment Factor of Death Capital]]/100)))))</f>
        <v>0</v>
      </c>
      <c r="T17" s="17">
        <f>MIN(IF(B17=0,0,Table1[[#This Row],[Death Capital (1)]]),Table1[[#This Row],[Max Sum Insured For Death]])</f>
        <v>0</v>
      </c>
      <c r="U17" s="29">
        <f t="shared" si="10"/>
        <v>0</v>
      </c>
      <c r="V17" s="29">
        <f>IF(AND(Changes!Change="Yes",Changes!ValidityYear&lt;=Table1[[#This Row],[Year]],Changes!ChangeType="Paid-Up",OR(PaidUpOption="Paid-up with no coverage",PaidUpOption="Paid-up with main coverage")),0,IF(B17=0,0,IF(AND(Changes!Change="Yes", Changes!ValidityYear&lt;=Table1[[#This Row],[Year]], Changes!ChangeType="Rider Inclusion/Exclusion", Changes!RiderType="Accident Death"), T17*Changes!NewChangedValue,IF(db!$D$6="Yes",(db!$B$6)*T17,0))))</f>
        <v>0</v>
      </c>
      <c r="W17" s="29">
        <f>MIN(IF(V17&lt;=db!$L$2,V17,db!$L$2),MAX_ACC_CAPITAL)</f>
        <v>0</v>
      </c>
      <c r="X17" s="17">
        <f>IF(AND(Changes!Change="Yes",Changes!ValidityYear&lt;=Table1[[#This Row],[Year]],Changes!ChangeType="Paid-Up",OR(PaidUpOption="Paid-up with no coverage",PaidUpOption="Paid-up with main coverage")),0,IF(OR(B17=0,Table1[[#This Row],[Accident Capital (2)]]=0),0,IF(AND(Changes!Change="Yes", Changes!ValidityYear&lt;=Table1[[#This Row],[Year]], Changes!ChangeType="Rider Inclusion/Exclusion", Changes!RiderType="Accident Disability"), T17*Changes!NewChangedValue,IF(db!$D$7="Yes",(db!$B$7)*T17,0))))</f>
        <v>0</v>
      </c>
      <c r="Y17" s="42">
        <f>IF(C17&gt;69,0,IF(C17=0,0,IF(X17&lt;=db!$L$3,X17,db!$L$3)))</f>
        <v>0</v>
      </c>
      <c r="Z17" s="29">
        <f>IF(AND(Changes!Change="Yes",Changes!ValidityYear&lt;=Table1[[#This Row],[Year]],Changes!ChangeType="Paid-Up",OR(PaidUpOption="Paid-up with no coverage",PaidUpOption="Paid-up with main coverage")),0,IF(OR(B17=0,Table1[[#This Row],[Accident Capital (2)]]=0),0,IF(AND(Changes!Change="Yes", Changes!ValidityYear&lt;=Table1[[#This Row],[Year]], Changes!ChangeType="Rider Inclusion/Exclusion", Changes!RiderType="Accident Medical Cost"), T17*Changes!NewChangedValue,IF(db!$D$9="Yes",(db!$B$9)*T17,0))))</f>
        <v>0</v>
      </c>
      <c r="AA17" s="29">
        <f>ROUND(IF(C17&gt;69,0,IF(C17=0,0,IF(Z17&lt;=db!$L$4,Z17,db!$L$4))),0)</f>
        <v>0</v>
      </c>
      <c r="AB17" s="38">
        <f>IF(AND(Changes!Change = "Yes", Changes!ChangeType = "Rider Inclusion/Exclusion", Changes!RiderType = "WOP"), IF( Changes!ValidityYear &lt;= Table1[[#This Row],[Year]], IF(WOP = "Yes", 0, 1),  IF(WOP = "Yes", 1, 0)), IF(AND(db!$D$8="Yes",C17&lt;=69,ROW()-1&lt;=InsurancePeriod), 1, 0))</f>
        <v>0</v>
      </c>
      <c r="AC17" s="17">
        <f>(AC18+K18)*AB17*((1)/(1+db!AA19))*(LOOKUP(C17,'Mortality Table'!$A$2:$A$108,'Mortality Table'!$E$2:$E$108))</f>
        <v>0</v>
      </c>
      <c r="AD17" s="340">
        <f>IF(AND(Changes!ValidityYear&lt;= Table1[[#This Row],[Year]],Changes!ChangeType="Change Value Adjustment",Changes!Change="Yes"), (AD18+L18)*AB17*((1)/(1+db!AA19))*(LOOKUP(C17,'Mortality Table'!$A$2:$A$108,'Mortality Table'!$E$2:$E$108)),Table1[[#This Row],[WOP Before Adj. BT]])</f>
        <v>0</v>
      </c>
      <c r="AE17" s="341">
        <f>IF(AND(Changes!Change="Yes", Changes!ChangeType="Change Value Adjustment"),Table1[[#This Row],[WOP Capital]],(AE18+O18)*AB17*((1)/(1+db!AA19))*(LOOKUP(D17,'Mortality Table'!$A$2:$A$108,'Mortality Table'!$E$2:$E$108)))</f>
        <v>0</v>
      </c>
      <c r="AF17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17" s="42">
        <f>IF(AND(Changes!Change="Yes", Changes!ValidityYear&lt;=Table1[[#This Row],[Year]], Changes!ChangeType="Rider Inclusion/Exclusion", Changes!RiderType="Disability Annuity"), L17*Changes!NewChangedValue,L17*db!B$10*IF(db!$D$10="Yes",1,0))</f>
        <v>0</v>
      </c>
      <c r="AH17" s="29">
        <f>IF(AND(Changes!Change="Yes",Changes!ValidityYear&lt;=Table1[[#This Row],[Year]],Changes!ChangeType="Paid-Up"),0,Table1[[#This Row],[Code Annuity Capital]]*IF('Annual Calculation'!C17&gt;69,0,(LOOKUP('Annual Calculation'!C17+1,'Mortality Table'!$A$2:$A$108,'Mortality Table'!$O$2:$O$108)-LOOKUP('Annual Calculation'!C17+11,'Mortality Table'!$A$2:$A$108,'Mortality Table'!$O$2:$O$108))/LOOKUP('Annual Calculation'!C17,'Mortality Table'!$A$2:$A$108,'Mortality Table'!$M$2:$M$108)))</f>
        <v>0</v>
      </c>
      <c r="AI17" s="17">
        <f>IF(AND(Changes!Change="Yes",Changes!ValidityYear&lt;=Table1[[#This Row],[Year]],Changes!ChangeType="Paid-Up",OR(PaidUpOption="Paid-up with no coverage",PaidUpOption="Paid-up with main coverage")),0,IF(B17=0,0,IF(AND(Changes!Change="Yes", Changes!ValidityYear&lt;=Table1[[#This Row],[Year]], Changes!ChangeType="Rider Inclusion/Exclusion", Changes!RiderType="Dread Disease"), T17*Changes!NewChangedValue,IF(db!$D$11="Yes",(db!$B$11)*T17,0))))</f>
        <v>0</v>
      </c>
      <c r="AJ17" s="42">
        <f>ROUND(IF(C17&gt;59,0,IF(C17=0,0,IF(AI17&lt;=db!$L$5,AI17,db!$L$5))),0)</f>
        <v>0</v>
      </c>
      <c r="AK17" s="29">
        <f>IF(AND(Changes!Change="Yes",Changes!ValidityYear&lt;=Table1[[#This Row],[Year]],Changes!ChangeType="Paid-Up",OR(PaidUpOption="Paid-up with no coverage",PaidUpOption="Paid-up with main coverage")),0,IF(B17=0,0,IF(AND(Changes!Change="Yes", Changes!ValidityYear&lt;=Table1[[#This Row],[Year]], Changes!ChangeType="Rider Inclusion/Exclusion", Changes!RiderType="Cancer"), T17*Changes!NewChangedValue,IF(db!$D$12="Yes",(db!$B$12)*T17,0))))</f>
        <v>0</v>
      </c>
      <c r="AL17" s="29">
        <f>ROUND(IF(C17&gt;59,0,IF(C17=0,0,IF(AK17&lt;=db!$L$6,AK17,db!$L$6))),0)</f>
        <v>0</v>
      </c>
      <c r="AM17" s="32"/>
      <c r="AN17" s="18">
        <f>IF(B17=0,0,IF(C17&lt;(db!$E$2+5),LOOKUP(C17,'Mortality Table'!$A$2:$A$108,'Mortality Table'!$P$2:$P$108),IF((C17&gt;=db!$E$2+10),LOOKUP(C17,'Mortality Table'!$A$2:$A$108,'Mortality Table'!$R$2:$R$108),LOOKUP(C17,'Mortality Table'!$A$2:$A$108,'Mortality Table'!$Q$2:$Q$108))))</f>
        <v>0</v>
      </c>
      <c r="AO17" s="22">
        <f t="shared" si="2"/>
        <v>0</v>
      </c>
      <c r="AP17" s="19">
        <f>IF(B17=0,0, LOOKUP(IF(AND(Changes!Change="Yes", Changes!ValidityYear&lt;=Table1[[#This Row],[Year]], Changes!ChangeType="Change Job Class"),Changes!NewChangedValue, db!$A$8),db!$AX$4:$AX$8,db!$AY$4:$AY$8))</f>
        <v>0</v>
      </c>
      <c r="AQ17" s="20">
        <f>ROUND((AP17/1000)*W17 * (1-db!$AS$9),0)</f>
        <v>0</v>
      </c>
      <c r="AR17" s="20">
        <f>(AP17/1000)*W17 * db!$AS$9</f>
        <v>0</v>
      </c>
      <c r="AS17" s="21">
        <f>IF(B17=0,0, LOOKUP(IF(AND(Changes!Change="Yes", Changes!ValidityYear&lt;=Table1[[#This Row],[Year]], Changes!ChangeType="Change Job Class"),Changes!NewChangedValue, db!$A$8),db!$AX$4:$AX$8,db!$AZ$4:$AZ$8))</f>
        <v>0</v>
      </c>
      <c r="AT17" s="22">
        <f>(AS17/1000)*Y17*(1-db!$AS$9)</f>
        <v>0</v>
      </c>
      <c r="AU17" s="22">
        <f>(AS17/1000)*Y17*(db!$AS$9)</f>
        <v>0</v>
      </c>
      <c r="AV17" s="23">
        <f>IF(B17=0,0, LOOKUP(IF(AND(Changes!Change="Yes", Changes!ValidityYear&lt;=Table1[[#This Row],[Year]], Changes!ChangeType="Change Job Class"),Changes!NewChangedValue, db!$A$8),db!$AX$4:$AX$8,db!$BA$4:$BA$8))</f>
        <v>0</v>
      </c>
      <c r="AW17" s="20">
        <f>ROUND((AV17/(100))*AA17*(1-db!$AS$9),0)</f>
        <v>0</v>
      </c>
      <c r="AX17" s="20">
        <f>ROUND((AV17/(100))*AA17*(db!$AS$9),0)</f>
        <v>0</v>
      </c>
      <c r="AY17" s="21">
        <f>IF(db!$D$8="Yes",AS17,0)</f>
        <v>0</v>
      </c>
      <c r="AZ17" s="22">
        <f>(AY17*AF17)/1000*(1-db!$AS$9)</f>
        <v>0</v>
      </c>
      <c r="BA17" s="22">
        <f>(AY17*AF17)/1000*(db!$AS$9)</f>
        <v>0</v>
      </c>
      <c r="BB17" s="23">
        <f t="shared" si="3"/>
        <v>0</v>
      </c>
      <c r="BC17" s="20">
        <f>(BB17*AH17/1000)*(1-db!$AS$9)</f>
        <v>0</v>
      </c>
      <c r="BD17" s="20">
        <f>(BB17*AH17/1000)*(db!$AS$9)</f>
        <v>0</v>
      </c>
      <c r="BE17" s="22">
        <f>IF(B17=0,0,IF(C17&gt;60,0,LOOKUP(Table1[[#This Row],[Medical
Age]],db!$BC$3:$BC$63,db!$BD$3:$BD$63)))</f>
        <v>0</v>
      </c>
      <c r="BF17" s="22">
        <f>BG17*db!$AS$10</f>
        <v>0</v>
      </c>
      <c r="BG17" s="22">
        <f t="shared" si="4"/>
        <v>0</v>
      </c>
      <c r="BH17" s="22">
        <f>(BE17/1000000)*AJ17*(1-db!$AS$10)</f>
        <v>0</v>
      </c>
      <c r="BI17" s="20">
        <f>IF(B17=0,0,IF(C17&gt;59,0,LOOKUP(Table1[[#This Row],[Medical
Age]],db!$BC$3:$BC$63,db!$BE$3:$BE$63)))</f>
        <v>0</v>
      </c>
      <c r="BJ17" s="20">
        <f>(BI17/1000000)*AL17*(1-db!$AS$11)</f>
        <v>0</v>
      </c>
      <c r="BK17" s="20">
        <f>(BI17/1000000)*AL17*(db!$AS$11)</f>
        <v>0</v>
      </c>
      <c r="BL17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17" s="20">
        <f>Table1[[#This Row],[RiskLoading
Rate]]*Table1[[#This Row],[Death Capital (2)]]</f>
        <v>0</v>
      </c>
      <c r="BN17" s="36"/>
      <c r="BO17" s="37">
        <f t="shared" si="5"/>
        <v>0</v>
      </c>
      <c r="BP17" s="35">
        <f t="shared" si="6"/>
        <v>0</v>
      </c>
      <c r="BQ17" s="35">
        <f t="shared" si="7"/>
        <v>0</v>
      </c>
      <c r="BR17" s="37">
        <f t="shared" si="11"/>
        <v>0</v>
      </c>
      <c r="BS17" s="37">
        <f t="shared" si="12"/>
        <v>0</v>
      </c>
      <c r="BT17" s="35">
        <f t="shared" si="13"/>
        <v>0</v>
      </c>
      <c r="BU17" s="35">
        <f t="shared" si="14"/>
        <v>0</v>
      </c>
      <c r="BV17" s="37">
        <f>(db!$AS$4/100)*(L17-BT17-BU17)</f>
        <v>0</v>
      </c>
      <c r="BW17" s="37">
        <f>(db!$AS$8/100)*(L17-BT17-BU17)</f>
        <v>0</v>
      </c>
      <c r="BX17" s="35"/>
      <c r="BY17" s="37"/>
      <c r="BZ17" s="37"/>
      <c r="CA17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17" s="33"/>
      <c r="CC17" s="39">
        <f>ROUND((Table1[[#This Row],[Premium]]-Table1[[#This Row],[All Deductions]]),0)</f>
        <v>0</v>
      </c>
      <c r="CD17" s="39">
        <f>IF(B17=0,0,Table1[[#This Row],[Initial Reserve]]+CE16)</f>
        <v>0</v>
      </c>
      <c r="CE17" s="40">
        <f>ROUND(IF(B17=0,0,((CC17)*(1+db!Y19))+((CE16)*(1+db!U19))),0)</f>
        <v>0</v>
      </c>
      <c r="CF17" s="40">
        <f t="shared" si="19"/>
        <v>0</v>
      </c>
      <c r="CG17" s="15">
        <f t="shared" si="15"/>
        <v>16</v>
      </c>
      <c r="CH17" s="39">
        <f>IF(B17=0,0,((CC17)*(1+db!AH19))+((CH16)*(1+db!AD19)))</f>
        <v>0</v>
      </c>
      <c r="CI17" s="39">
        <f>IF(B17=0,0,((CC17)*(1+db!AH19))+((CI16)*(1+db!AD19)))</f>
        <v>0</v>
      </c>
      <c r="CJ17" s="40">
        <f>IF(B17=0,0,((CC17)*(1+db!AO19))+((CJ16)*(1+db!AK19)))</f>
        <v>0</v>
      </c>
      <c r="CK17" s="40">
        <f>CJ17-(SUM(BX$7:$BX18))</f>
        <v>0</v>
      </c>
      <c r="CL17" s="46"/>
    </row>
    <row r="18" spans="1:90">
      <c r="A18" s="24">
        <f t="shared" si="16"/>
        <v>17</v>
      </c>
      <c r="B18" s="16">
        <f>IF(AND(Changes!Change="Yes", Changes!ChangeType="Change Contract Duration"),IF(B17=0,0,IF(Changes!NewChangedValue&lt;B17+1,0,B17+1)),IF(B17=0,0,IF('Application Annually'!$C$5&lt;B17+1,0,B17+1)))</f>
        <v>0</v>
      </c>
      <c r="C18" s="15">
        <f t="shared" si="17"/>
        <v>0</v>
      </c>
      <c r="D18" s="312">
        <f t="shared" si="18"/>
        <v>44</v>
      </c>
      <c r="E18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18" s="29">
        <f t="shared" si="8"/>
        <v>0</v>
      </c>
      <c r="G18" s="29">
        <f t="shared" si="9"/>
        <v>0</v>
      </c>
      <c r="H18" s="29">
        <f t="shared" si="0"/>
        <v>0</v>
      </c>
      <c r="I18" s="29">
        <f>IF(B18&gt;0,IF(AND(Table1[[#This Row],[Year]]&gt;Changes!ValidityYear,Changes!Change="Yes",Changes!ChangeType="Change Value Adjustment"),Changes!$G$22,'Application Annually'!$C$11),0)</f>
        <v>0</v>
      </c>
      <c r="J18" s="29">
        <f>IF(B18&gt;0,IF(AND(Table1[[#This Row],[Year]]&gt;Changes!ValidityYear,Changes!Change="Yes",Changes!ChangeType="Change Value Adjustment"),Changes!$G$24,'Application Annually'!$C$7),0)</f>
        <v>0</v>
      </c>
      <c r="K18" s="29">
        <f>ROUND(IF(B18=0,0,IF(AND(Changes!Change="Yes", Changes!ValidityYear=Table1[[#This Row],[Year]], Changes!ChangeType="Change Premium"), Changes!NewChangedValue, (K17*(1+db!$B$3)))),0)</f>
        <v>0</v>
      </c>
      <c r="L18" s="29">
        <f>ROUND(IF(AND(Changes!Change="Yes",Changes!ValidityYear&lt;=Table1[[#This Row],[Year]],Changes!ChangeType="Paid-Up"),0,IF(B18=0,0,IF(AND(Changes!Change="Yes", Changes!ValidityYear=Table1[[#This Row],[Year]], Changes!ChangeType="Change Premium"), Changes!NewChangedValue, (L17*(1+Table1[[#This Row],[Adjustment Factor of Premium]]/100))))),0)</f>
        <v>0</v>
      </c>
      <c r="M18" s="29">
        <f>IF(Table1[[#This Row],[Year]]=1,ROUND(MIN($L$2 -( Table1[[#This Row],[Riders Risk Premiums]] + Table1[[#This Row],[Acquisition Cost]]) *0.75,Table1[[#This Row],[Death Capital (1)]]* 0.03),0),0)</f>
        <v>0</v>
      </c>
      <c r="N18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8" s="29">
        <f>ROUND(IF(ROW()-1&gt;InsurancePeriod,0,(O17*(1+(Table1[[#This Row],[Adjustment Factor of Premium]]/100)))),0)</f>
        <v>0</v>
      </c>
      <c r="P18" s="29">
        <f>IF(Table1[Year] = 0, 0, SUM(L$2:L18))</f>
        <v>0</v>
      </c>
      <c r="Q18" s="17">
        <f t="shared" si="1"/>
        <v>0</v>
      </c>
      <c r="R18" s="17">
        <f>IF(Table1[[#This Row],[Year]]=0,0,IF($C$2&lt;=50,LOOKUP(Table1[[#This Row],[Age]],db!BG19:BG125,db!BH19:BH125),LOOKUP(Table1[[#This Row],[Age]],db!BJ19:BJ125,db!BK19:BK125)))</f>
        <v>0</v>
      </c>
      <c r="S18" s="17">
        <f>IF(AND(Changes!Change="Yes",Changes!ValidityYear&lt;=Table1[[#This Row],[Year]],Changes!ChangeType="Paid-Up",PaidUpOption="Paid-up with no coverage"),0,IF(B18=0,0, IF(AND(Changes!Change="Yes", Changes!ValidityYear=Table1[[#This Row],[Year]], Changes!ChangeType="Change Death Capital"), Changes!NewChangedValue, S17*(1+(Table1[[#This Row],[Adjustment Factor of Death Capital]]/100)))))</f>
        <v>0</v>
      </c>
      <c r="T18" s="17">
        <f>MIN(IF(B18=0,0,Table1[[#This Row],[Death Capital (1)]]),Table1[[#This Row],[Max Sum Insured For Death]])</f>
        <v>0</v>
      </c>
      <c r="U18" s="29">
        <f t="shared" si="10"/>
        <v>0</v>
      </c>
      <c r="V18" s="29">
        <f>IF(AND(Changes!Change="Yes",Changes!ValidityYear&lt;=Table1[[#This Row],[Year]],Changes!ChangeType="Paid-Up",OR(PaidUpOption="Paid-up with no coverage",PaidUpOption="Paid-up with main coverage")),0,IF(B18=0,0,IF(AND(Changes!Change="Yes", Changes!ValidityYear&lt;=Table1[[#This Row],[Year]], Changes!ChangeType="Rider Inclusion/Exclusion", Changes!RiderType="Accident Death"), T18*Changes!NewChangedValue,IF(db!$D$6="Yes",(db!$B$6)*T18,0))))</f>
        <v>0</v>
      </c>
      <c r="W18" s="29">
        <f>MIN(IF(V18&lt;=db!$L$2,V18,db!$L$2),MAX_ACC_CAPITAL)</f>
        <v>0</v>
      </c>
      <c r="X18" s="17">
        <f>IF(AND(Changes!Change="Yes",Changes!ValidityYear&lt;=Table1[[#This Row],[Year]],Changes!ChangeType="Paid-Up",OR(PaidUpOption="Paid-up with no coverage",PaidUpOption="Paid-up with main coverage")),0,IF(OR(B18=0,Table1[[#This Row],[Accident Capital (2)]]=0),0,IF(AND(Changes!Change="Yes", Changes!ValidityYear&lt;=Table1[[#This Row],[Year]], Changes!ChangeType="Rider Inclusion/Exclusion", Changes!RiderType="Accident Disability"), T18*Changes!NewChangedValue,IF(db!$D$7="Yes",(db!$B$7)*T18,0))))</f>
        <v>0</v>
      </c>
      <c r="Y18" s="42">
        <f>IF(C18&gt;69,0,IF(C18=0,0,IF(X18&lt;=db!$L$3,X18,db!$L$3)))</f>
        <v>0</v>
      </c>
      <c r="Z18" s="29">
        <f>IF(AND(Changes!Change="Yes",Changes!ValidityYear&lt;=Table1[[#This Row],[Year]],Changes!ChangeType="Paid-Up",OR(PaidUpOption="Paid-up with no coverage",PaidUpOption="Paid-up with main coverage")),0,IF(OR(B18=0,Table1[[#This Row],[Accident Capital (2)]]=0),0,IF(AND(Changes!Change="Yes", Changes!ValidityYear&lt;=Table1[[#This Row],[Year]], Changes!ChangeType="Rider Inclusion/Exclusion", Changes!RiderType="Accident Medical Cost"), T18*Changes!NewChangedValue,IF(db!$D$9="Yes",(db!$B$9)*T18,0))))</f>
        <v>0</v>
      </c>
      <c r="AA18" s="29">
        <f>ROUND(IF(C18&gt;69,0,IF(C18=0,0,IF(Z18&lt;=db!$L$4,Z18,db!$L$4))),0)</f>
        <v>0</v>
      </c>
      <c r="AB18" s="38">
        <f>IF(AND(Changes!Change = "Yes", Changes!ChangeType = "Rider Inclusion/Exclusion", Changes!RiderType = "WOP"), IF( Changes!ValidityYear &lt;= Table1[[#This Row],[Year]], IF(WOP = "Yes", 0, 1),  IF(WOP = "Yes", 1, 0)), IF(AND(db!$D$8="Yes",C18&lt;=69,ROW()-1&lt;=InsurancePeriod), 1, 0))</f>
        <v>0</v>
      </c>
      <c r="AC18" s="17">
        <f>(AC19+K19)*AB18*((1)/(1+db!AA20))*(LOOKUP(C18,'Mortality Table'!$A$2:$A$108,'Mortality Table'!$E$2:$E$108))</f>
        <v>0</v>
      </c>
      <c r="AD18" s="340">
        <f>IF(AND(Changes!ValidityYear&lt;= Table1[[#This Row],[Year]],Changes!ChangeType="Change Value Adjustment",Changes!Change="Yes"), (AD19+L19)*AB18*((1)/(1+db!AA20))*(LOOKUP(C18,'Mortality Table'!$A$2:$A$108,'Mortality Table'!$E$2:$E$108)),Table1[[#This Row],[WOP Before Adj. BT]])</f>
        <v>0</v>
      </c>
      <c r="AE18" s="341">
        <f>IF(AND(Changes!Change="Yes", Changes!ChangeType="Change Value Adjustment"),Table1[[#This Row],[WOP Capital]],(AE19+O19)*AB18*((1)/(1+db!AA20))*(LOOKUP(D18,'Mortality Table'!$A$2:$A$108,'Mortality Table'!$E$2:$E$108)))</f>
        <v>0</v>
      </c>
      <c r="AF18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18" s="42">
        <f>IF(AND(Changes!Change="Yes", Changes!ValidityYear&lt;=Table1[[#This Row],[Year]], Changes!ChangeType="Rider Inclusion/Exclusion", Changes!RiderType="Disability Annuity"), L18*Changes!NewChangedValue,L18*db!B$10*IF(db!$D$10="Yes",1,0))</f>
        <v>0</v>
      </c>
      <c r="AH18" s="29">
        <f>IF(AND(Changes!Change="Yes",Changes!ValidityYear&lt;=Table1[[#This Row],[Year]],Changes!ChangeType="Paid-Up"),0,Table1[[#This Row],[Code Annuity Capital]]*IF('Annual Calculation'!C18&gt;69,0,(LOOKUP('Annual Calculation'!C18+1,'Mortality Table'!$A$2:$A$108,'Mortality Table'!$O$2:$O$108)-LOOKUP('Annual Calculation'!C18+11,'Mortality Table'!$A$2:$A$108,'Mortality Table'!$O$2:$O$108))/LOOKUP('Annual Calculation'!C18,'Mortality Table'!$A$2:$A$108,'Mortality Table'!$M$2:$M$108)))</f>
        <v>0</v>
      </c>
      <c r="AI18" s="17">
        <f>IF(AND(Changes!Change="Yes",Changes!ValidityYear&lt;=Table1[[#This Row],[Year]],Changes!ChangeType="Paid-Up",OR(PaidUpOption="Paid-up with no coverage",PaidUpOption="Paid-up with main coverage")),0,IF(B18=0,0,IF(AND(Changes!Change="Yes", Changes!ValidityYear&lt;=Table1[[#This Row],[Year]], Changes!ChangeType="Rider Inclusion/Exclusion", Changes!RiderType="Dread Disease"), T18*Changes!NewChangedValue,IF(db!$D$11="Yes",(db!$B$11)*T18,0))))</f>
        <v>0</v>
      </c>
      <c r="AJ18" s="42">
        <f>ROUND(IF(C18&gt;59,0,IF(C18=0,0,IF(AI18&lt;=db!$L$5,AI18,db!$L$5))),0)</f>
        <v>0</v>
      </c>
      <c r="AK18" s="29">
        <f>IF(AND(Changes!Change="Yes",Changes!ValidityYear&lt;=Table1[[#This Row],[Year]],Changes!ChangeType="Paid-Up",OR(PaidUpOption="Paid-up with no coverage",PaidUpOption="Paid-up with main coverage")),0,IF(B18=0,0,IF(AND(Changes!Change="Yes", Changes!ValidityYear&lt;=Table1[[#This Row],[Year]], Changes!ChangeType="Rider Inclusion/Exclusion", Changes!RiderType="Cancer"), T18*Changes!NewChangedValue,IF(db!$D$12="Yes",(db!$B$12)*T18,0))))</f>
        <v>0</v>
      </c>
      <c r="AL18" s="29">
        <f>ROUND(IF(C18&gt;59,0,IF(C18=0,0,IF(AK18&lt;=db!$L$6,AK18,db!$L$6))),0)</f>
        <v>0</v>
      </c>
      <c r="AM18" s="32"/>
      <c r="AN18" s="18">
        <f>IF(B18=0,0,IF(C18&lt;(db!$E$2+5),LOOKUP(C18,'Mortality Table'!$A$2:$A$108,'Mortality Table'!$P$2:$P$108),IF((C18&gt;=db!$E$2+10),LOOKUP(C18,'Mortality Table'!$A$2:$A$108,'Mortality Table'!$R$2:$R$108),LOOKUP(C18,'Mortality Table'!$A$2:$A$108,'Mortality Table'!$Q$2:$Q$108))))</f>
        <v>0</v>
      </c>
      <c r="AO18" s="22">
        <f t="shared" si="2"/>
        <v>0</v>
      </c>
      <c r="AP18" s="19">
        <f>IF(B18=0,0, LOOKUP(IF(AND(Changes!Change="Yes", Changes!ValidityYear&lt;=Table1[[#This Row],[Year]], Changes!ChangeType="Change Job Class"),Changes!NewChangedValue, db!$A$8),db!$AX$4:$AX$8,db!$AY$4:$AY$8))</f>
        <v>0</v>
      </c>
      <c r="AQ18" s="20">
        <f>ROUND((AP18/1000)*W18 * (1-db!$AS$9),0)</f>
        <v>0</v>
      </c>
      <c r="AR18" s="20">
        <f>(AP18/1000)*W18 * db!$AS$9</f>
        <v>0</v>
      </c>
      <c r="AS18" s="21">
        <f>IF(B18=0,0, LOOKUP(IF(AND(Changes!Change="Yes", Changes!ValidityYear&lt;=Table1[[#This Row],[Year]], Changes!ChangeType="Change Job Class"),Changes!NewChangedValue, db!$A$8),db!$AX$4:$AX$8,db!$AZ$4:$AZ$8))</f>
        <v>0</v>
      </c>
      <c r="AT18" s="22">
        <f>(AS18/1000)*Y18*(1-db!$AS$9)</f>
        <v>0</v>
      </c>
      <c r="AU18" s="22">
        <f>(AS18/1000)*Y18*(db!$AS$9)</f>
        <v>0</v>
      </c>
      <c r="AV18" s="23">
        <f>IF(B18=0,0, LOOKUP(IF(AND(Changes!Change="Yes", Changes!ValidityYear&lt;=Table1[[#This Row],[Year]], Changes!ChangeType="Change Job Class"),Changes!NewChangedValue, db!$A$8),db!$AX$4:$AX$8,db!$BA$4:$BA$8))</f>
        <v>0</v>
      </c>
      <c r="AW18" s="20">
        <f>ROUND((AV18/(100))*AA18*(1-db!$AS$9),0)</f>
        <v>0</v>
      </c>
      <c r="AX18" s="20">
        <f>ROUND((AV18/(100))*AA18*(db!$AS$9),0)</f>
        <v>0</v>
      </c>
      <c r="AY18" s="21">
        <f>IF(db!$D$8="Yes",AS18,0)</f>
        <v>0</v>
      </c>
      <c r="AZ18" s="22">
        <f>(AY18*AF18)/1000*(1-db!$AS$9)</f>
        <v>0</v>
      </c>
      <c r="BA18" s="22">
        <f>(AY18*AF18)/1000*(db!$AS$9)</f>
        <v>0</v>
      </c>
      <c r="BB18" s="23">
        <f t="shared" si="3"/>
        <v>0</v>
      </c>
      <c r="BC18" s="20">
        <f>(BB18*AH18/1000)*(1-db!$AS$9)</f>
        <v>0</v>
      </c>
      <c r="BD18" s="20">
        <f>(BB18*AH18/1000)*(db!$AS$9)</f>
        <v>0</v>
      </c>
      <c r="BE18" s="22">
        <f>IF(B18=0,0,IF(C18&gt;60,0,LOOKUP(Table1[[#This Row],[Medical
Age]],db!$BC$3:$BC$63,db!$BD$3:$BD$63)))</f>
        <v>0</v>
      </c>
      <c r="BF18" s="22">
        <f>BG18*db!$AS$10</f>
        <v>0</v>
      </c>
      <c r="BG18" s="22">
        <f t="shared" si="4"/>
        <v>0</v>
      </c>
      <c r="BH18" s="22">
        <f>(BE18/1000000)*AJ18*(1-db!$AS$10)</f>
        <v>0</v>
      </c>
      <c r="BI18" s="20">
        <f>IF(B18=0,0,IF(C18&gt;59,0,LOOKUP(Table1[[#This Row],[Medical
Age]],db!$BC$3:$BC$63,db!$BE$3:$BE$63)))</f>
        <v>0</v>
      </c>
      <c r="BJ18" s="20">
        <f>(BI18/1000000)*AL18*(1-db!$AS$11)</f>
        <v>0</v>
      </c>
      <c r="BK18" s="20">
        <f>(BI18/1000000)*AL18*(db!$AS$11)</f>
        <v>0</v>
      </c>
      <c r="BL18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18" s="20">
        <f>Table1[[#This Row],[RiskLoading
Rate]]*Table1[[#This Row],[Death Capital (2)]]</f>
        <v>0</v>
      </c>
      <c r="BN18" s="36"/>
      <c r="BO18" s="37">
        <f t="shared" si="5"/>
        <v>0</v>
      </c>
      <c r="BP18" s="35">
        <f t="shared" si="6"/>
        <v>0</v>
      </c>
      <c r="BQ18" s="35">
        <f t="shared" si="7"/>
        <v>0</v>
      </c>
      <c r="BR18" s="37">
        <f t="shared" si="11"/>
        <v>0</v>
      </c>
      <c r="BS18" s="37">
        <f t="shared" si="12"/>
        <v>0</v>
      </c>
      <c r="BT18" s="35">
        <f t="shared" si="13"/>
        <v>0</v>
      </c>
      <c r="BU18" s="35">
        <f t="shared" si="14"/>
        <v>0</v>
      </c>
      <c r="BV18" s="37">
        <f>(db!$AS$4/100)*(L18-BT18-BU18)</f>
        <v>0</v>
      </c>
      <c r="BW18" s="37">
        <f>(db!$AS$8/100)*(L18-BT18-BU18)</f>
        <v>0</v>
      </c>
      <c r="BX18" s="35"/>
      <c r="BY18" s="37"/>
      <c r="BZ18" s="37"/>
      <c r="CA18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18" s="33"/>
      <c r="CC18" s="39">
        <f>ROUND((Table1[[#This Row],[Premium]]-Table1[[#This Row],[All Deductions]]),0)</f>
        <v>0</v>
      </c>
      <c r="CD18" s="39">
        <f>IF(B18=0,0,Table1[[#This Row],[Initial Reserve]]+CE17)</f>
        <v>0</v>
      </c>
      <c r="CE18" s="40">
        <f>ROUND(IF(B18=0,0,((CC18)*(1+db!Y20))+((CE17)*(1+db!U20))),0)</f>
        <v>0</v>
      </c>
      <c r="CF18" s="40">
        <f t="shared" si="19"/>
        <v>0</v>
      </c>
      <c r="CG18" s="15">
        <f t="shared" si="15"/>
        <v>17</v>
      </c>
      <c r="CH18" s="39">
        <f>IF(B18=0,0,((CC18)*(1+db!AH20))+((CH17)*(1+db!AD20)))</f>
        <v>0</v>
      </c>
      <c r="CI18" s="39">
        <f>IF(B18=0,0,((CC18)*(1+db!AH20))+((CI17)*(1+db!AD20)))</f>
        <v>0</v>
      </c>
      <c r="CJ18" s="40">
        <f>IF(B18=0,0,((CC18)*(1+db!AO20))+((CJ17)*(1+db!AK20)))</f>
        <v>0</v>
      </c>
      <c r="CK18" s="40">
        <f>CJ18-(SUM(BX$7:$BX19))</f>
        <v>0</v>
      </c>
      <c r="CL18" s="46"/>
    </row>
    <row r="19" spans="1:90">
      <c r="A19" s="24">
        <f t="shared" si="16"/>
        <v>18</v>
      </c>
      <c r="B19" s="16">
        <f>IF(AND(Changes!Change="Yes", Changes!ChangeType="Change Contract Duration"),IF(B18=0,0,IF(Changes!NewChangedValue&lt;B18+1,0,B18+1)),IF(B18=0,0,IF('Application Annually'!$C$5&lt;B18+1,0,B18+1)))</f>
        <v>0</v>
      </c>
      <c r="C19" s="15">
        <f t="shared" si="17"/>
        <v>0</v>
      </c>
      <c r="D19" s="312">
        <f t="shared" si="18"/>
        <v>45</v>
      </c>
      <c r="E19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19" s="29">
        <f t="shared" si="8"/>
        <v>0</v>
      </c>
      <c r="G19" s="29">
        <f t="shared" si="9"/>
        <v>0</v>
      </c>
      <c r="H19" s="29">
        <f t="shared" si="0"/>
        <v>0</v>
      </c>
      <c r="I19" s="29">
        <f>IF(B19&gt;0,IF(AND(Table1[[#This Row],[Year]]&gt;Changes!ValidityYear,Changes!Change="Yes",Changes!ChangeType="Change Value Adjustment"),Changes!$G$22,'Application Annually'!$C$11),0)</f>
        <v>0</v>
      </c>
      <c r="J19" s="29">
        <f>IF(B19&gt;0,IF(AND(Table1[[#This Row],[Year]]&gt;Changes!ValidityYear,Changes!Change="Yes",Changes!ChangeType="Change Value Adjustment"),Changes!$G$24,'Application Annually'!$C$7),0)</f>
        <v>0</v>
      </c>
      <c r="K19" s="29">
        <f>ROUND(IF(B19=0,0,IF(AND(Changes!Change="Yes", Changes!ValidityYear=Table1[[#This Row],[Year]], Changes!ChangeType="Change Premium"), Changes!NewChangedValue, (K18*(1+db!$B$3)))),0)</f>
        <v>0</v>
      </c>
      <c r="L19" s="29">
        <f>ROUND(IF(AND(Changes!Change="Yes",Changes!ValidityYear&lt;=Table1[[#This Row],[Year]],Changes!ChangeType="Paid-Up"),0,IF(B19=0,0,IF(AND(Changes!Change="Yes", Changes!ValidityYear=Table1[[#This Row],[Year]], Changes!ChangeType="Change Premium"), Changes!NewChangedValue, (L18*(1+Table1[[#This Row],[Adjustment Factor of Premium]]/100))))),0)</f>
        <v>0</v>
      </c>
      <c r="M19" s="29">
        <f>IF(Table1[[#This Row],[Year]]=1,ROUND(MIN($L$2 -( Table1[[#This Row],[Riders Risk Premiums]] + Table1[[#This Row],[Acquisition Cost]]) *0.75,Table1[[#This Row],[Death Capital (1)]]* 0.03),0),0)</f>
        <v>0</v>
      </c>
      <c r="N19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9" s="29">
        <f>ROUND(IF(ROW()-1&gt;InsurancePeriod,0,(O18*(1+(Table1[[#This Row],[Adjustment Factor of Premium]]/100)))),0)</f>
        <v>0</v>
      </c>
      <c r="P19" s="29">
        <f>IF(Table1[Year] = 0, 0, SUM(L$2:L19))</f>
        <v>0</v>
      </c>
      <c r="Q19" s="17">
        <f t="shared" si="1"/>
        <v>0</v>
      </c>
      <c r="R19" s="17">
        <f>IF(Table1[[#This Row],[Year]]=0,0,IF($C$2&lt;=50,LOOKUP(Table1[[#This Row],[Age]],db!BG20:BG126,db!BH20:BH126),LOOKUP(Table1[[#This Row],[Age]],db!BJ20:BJ126,db!BK20:BK126)))</f>
        <v>0</v>
      </c>
      <c r="S19" s="17">
        <f>IF(AND(Changes!Change="Yes",Changes!ValidityYear&lt;=Table1[[#This Row],[Year]],Changes!ChangeType="Paid-Up",PaidUpOption="Paid-up with no coverage"),0,IF(B19=0,0, IF(AND(Changes!Change="Yes", Changes!ValidityYear=Table1[[#This Row],[Year]], Changes!ChangeType="Change Death Capital"), Changes!NewChangedValue, S18*(1+(Table1[[#This Row],[Adjustment Factor of Death Capital]]/100)))))</f>
        <v>0</v>
      </c>
      <c r="T19" s="17">
        <f>MIN(IF(B19=0,0,Table1[[#This Row],[Death Capital (1)]]),Table1[[#This Row],[Max Sum Insured For Death]])</f>
        <v>0</v>
      </c>
      <c r="U19" s="29">
        <f t="shared" si="10"/>
        <v>0</v>
      </c>
      <c r="V19" s="29">
        <f>IF(AND(Changes!Change="Yes",Changes!ValidityYear&lt;=Table1[[#This Row],[Year]],Changes!ChangeType="Paid-Up",OR(PaidUpOption="Paid-up with no coverage",PaidUpOption="Paid-up with main coverage")),0,IF(B19=0,0,IF(AND(Changes!Change="Yes", Changes!ValidityYear&lt;=Table1[[#This Row],[Year]], Changes!ChangeType="Rider Inclusion/Exclusion", Changes!RiderType="Accident Death"), T19*Changes!NewChangedValue,IF(db!$D$6="Yes",(db!$B$6)*T19,0))))</f>
        <v>0</v>
      </c>
      <c r="W19" s="29">
        <f>MIN(IF(V19&lt;=db!$L$2,V19,db!$L$2),MAX_ACC_CAPITAL)</f>
        <v>0</v>
      </c>
      <c r="X19" s="17">
        <f>IF(AND(Changes!Change="Yes",Changes!ValidityYear&lt;=Table1[[#This Row],[Year]],Changes!ChangeType="Paid-Up",OR(PaidUpOption="Paid-up with no coverage",PaidUpOption="Paid-up with main coverage")),0,IF(OR(B19=0,Table1[[#This Row],[Accident Capital (2)]]=0),0,IF(AND(Changes!Change="Yes", Changes!ValidityYear&lt;=Table1[[#This Row],[Year]], Changes!ChangeType="Rider Inclusion/Exclusion", Changes!RiderType="Accident Disability"), T19*Changes!NewChangedValue,IF(db!$D$7="Yes",(db!$B$7)*T19,0))))</f>
        <v>0</v>
      </c>
      <c r="Y19" s="42">
        <f>IF(C19&gt;69,0,IF(C19=0,0,IF(X19&lt;=db!$L$3,X19,db!$L$3)))</f>
        <v>0</v>
      </c>
      <c r="Z19" s="29">
        <f>IF(AND(Changes!Change="Yes",Changes!ValidityYear&lt;=Table1[[#This Row],[Year]],Changes!ChangeType="Paid-Up",OR(PaidUpOption="Paid-up with no coverage",PaidUpOption="Paid-up with main coverage")),0,IF(OR(B19=0,Table1[[#This Row],[Accident Capital (2)]]=0),0,IF(AND(Changes!Change="Yes", Changes!ValidityYear&lt;=Table1[[#This Row],[Year]], Changes!ChangeType="Rider Inclusion/Exclusion", Changes!RiderType="Accident Medical Cost"), T19*Changes!NewChangedValue,IF(db!$D$9="Yes",(db!$B$9)*T19,0))))</f>
        <v>0</v>
      </c>
      <c r="AA19" s="29">
        <f>ROUND(IF(C19&gt;69,0,IF(C19=0,0,IF(Z19&lt;=db!$L$4,Z19,db!$L$4))),0)</f>
        <v>0</v>
      </c>
      <c r="AB19" s="38">
        <f>IF(AND(Changes!Change = "Yes", Changes!ChangeType = "Rider Inclusion/Exclusion", Changes!RiderType = "WOP"), IF( Changes!ValidityYear &lt;= Table1[[#This Row],[Year]], IF(WOP = "Yes", 0, 1),  IF(WOP = "Yes", 1, 0)), IF(AND(db!$D$8="Yes",C19&lt;=69,ROW()-1&lt;=InsurancePeriod), 1, 0))</f>
        <v>0</v>
      </c>
      <c r="AC19" s="17">
        <f>(AC20+K20)*AB19*((1)/(1+db!AA21))*(LOOKUP(C19,'Mortality Table'!$A$2:$A$108,'Mortality Table'!$E$2:$E$108))</f>
        <v>0</v>
      </c>
      <c r="AD19" s="340">
        <f>IF(AND(Changes!ValidityYear&lt;= Table1[[#This Row],[Year]],Changes!ChangeType="Change Value Adjustment",Changes!Change="Yes"), (AD20+L20)*AB19*((1)/(1+db!AA21))*(LOOKUP(C19,'Mortality Table'!$A$2:$A$108,'Mortality Table'!$E$2:$E$108)),Table1[[#This Row],[WOP Before Adj. BT]])</f>
        <v>0</v>
      </c>
      <c r="AE19" s="341">
        <f>IF(AND(Changes!Change="Yes", Changes!ChangeType="Change Value Adjustment"),Table1[[#This Row],[WOP Capital]],(AE20+O20)*AB19*((1)/(1+db!AA21))*(LOOKUP(D19,'Mortality Table'!$A$2:$A$108,'Mortality Table'!$E$2:$E$108)))</f>
        <v>0</v>
      </c>
      <c r="AF19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19" s="42">
        <f>IF(AND(Changes!Change="Yes", Changes!ValidityYear&lt;=Table1[[#This Row],[Year]], Changes!ChangeType="Rider Inclusion/Exclusion", Changes!RiderType="Disability Annuity"), L19*Changes!NewChangedValue,L19*db!B$10*IF(db!$D$10="Yes",1,0))</f>
        <v>0</v>
      </c>
      <c r="AH19" s="29">
        <f>IF(AND(Changes!Change="Yes",Changes!ValidityYear&lt;=Table1[[#This Row],[Year]],Changes!ChangeType="Paid-Up"),0,Table1[[#This Row],[Code Annuity Capital]]*IF('Annual Calculation'!C19&gt;69,0,(LOOKUP('Annual Calculation'!C19+1,'Mortality Table'!$A$2:$A$108,'Mortality Table'!$O$2:$O$108)-LOOKUP('Annual Calculation'!C19+11,'Mortality Table'!$A$2:$A$108,'Mortality Table'!$O$2:$O$108))/LOOKUP('Annual Calculation'!C19,'Mortality Table'!$A$2:$A$108,'Mortality Table'!$M$2:$M$108)))</f>
        <v>0</v>
      </c>
      <c r="AI19" s="17">
        <f>IF(AND(Changes!Change="Yes",Changes!ValidityYear&lt;=Table1[[#This Row],[Year]],Changes!ChangeType="Paid-Up",OR(PaidUpOption="Paid-up with no coverage",PaidUpOption="Paid-up with main coverage")),0,IF(B19=0,0,IF(AND(Changes!Change="Yes", Changes!ValidityYear&lt;=Table1[[#This Row],[Year]], Changes!ChangeType="Rider Inclusion/Exclusion", Changes!RiderType="Dread Disease"), T19*Changes!NewChangedValue,IF(db!$D$11="Yes",(db!$B$11)*T19,0))))</f>
        <v>0</v>
      </c>
      <c r="AJ19" s="42">
        <f>ROUND(IF(C19&gt;59,0,IF(C19=0,0,IF(AI19&lt;=db!$L$5,AI19,db!$L$5))),0)</f>
        <v>0</v>
      </c>
      <c r="AK19" s="29">
        <f>IF(AND(Changes!Change="Yes",Changes!ValidityYear&lt;=Table1[[#This Row],[Year]],Changes!ChangeType="Paid-Up",OR(PaidUpOption="Paid-up with no coverage",PaidUpOption="Paid-up with main coverage")),0,IF(B19=0,0,IF(AND(Changes!Change="Yes", Changes!ValidityYear&lt;=Table1[[#This Row],[Year]], Changes!ChangeType="Rider Inclusion/Exclusion", Changes!RiderType="Cancer"), T19*Changes!NewChangedValue,IF(db!$D$12="Yes",(db!$B$12)*T19,0))))</f>
        <v>0</v>
      </c>
      <c r="AL19" s="29">
        <f>ROUND(IF(C19&gt;59,0,IF(C19=0,0,IF(AK19&lt;=db!$L$6,AK19,db!$L$6))),0)</f>
        <v>0</v>
      </c>
      <c r="AM19" s="32"/>
      <c r="AN19" s="18">
        <f>IF(B19=0,0,IF(C19&lt;(db!$E$2+5),LOOKUP(C19,'Mortality Table'!$A$2:$A$108,'Mortality Table'!$P$2:$P$108),IF((C19&gt;=db!$E$2+10),LOOKUP(C19,'Mortality Table'!$A$2:$A$108,'Mortality Table'!$R$2:$R$108),LOOKUP(C19,'Mortality Table'!$A$2:$A$108,'Mortality Table'!$Q$2:$Q$108))))</f>
        <v>0</v>
      </c>
      <c r="AO19" s="22">
        <f t="shared" si="2"/>
        <v>0</v>
      </c>
      <c r="AP19" s="19">
        <f>IF(B19=0,0, LOOKUP(IF(AND(Changes!Change="Yes", Changes!ValidityYear&lt;=Table1[[#This Row],[Year]], Changes!ChangeType="Change Job Class"),Changes!NewChangedValue, db!$A$8),db!$AX$4:$AX$8,db!$AY$4:$AY$8))</f>
        <v>0</v>
      </c>
      <c r="AQ19" s="20">
        <f>ROUND((AP19/1000)*W19 * (1-db!$AS$9),0)</f>
        <v>0</v>
      </c>
      <c r="AR19" s="20">
        <f>(AP19/1000)*W19 * db!$AS$9</f>
        <v>0</v>
      </c>
      <c r="AS19" s="21">
        <f>IF(B19=0,0, LOOKUP(IF(AND(Changes!Change="Yes", Changes!ValidityYear&lt;=Table1[[#This Row],[Year]], Changes!ChangeType="Change Job Class"),Changes!NewChangedValue, db!$A$8),db!$AX$4:$AX$8,db!$AZ$4:$AZ$8))</f>
        <v>0</v>
      </c>
      <c r="AT19" s="22">
        <f>(AS19/1000)*Y19*(1-db!$AS$9)</f>
        <v>0</v>
      </c>
      <c r="AU19" s="22">
        <f>(AS19/1000)*Y19*(db!$AS$9)</f>
        <v>0</v>
      </c>
      <c r="AV19" s="23">
        <f>IF(B19=0,0, LOOKUP(IF(AND(Changes!Change="Yes", Changes!ValidityYear&lt;=Table1[[#This Row],[Year]], Changes!ChangeType="Change Job Class"),Changes!NewChangedValue, db!$A$8),db!$AX$4:$AX$8,db!$BA$4:$BA$8))</f>
        <v>0</v>
      </c>
      <c r="AW19" s="20">
        <f>ROUND((AV19/(100))*AA19*(1-db!$AS$9),0)</f>
        <v>0</v>
      </c>
      <c r="AX19" s="20">
        <f>ROUND((AV19/(100))*AA19*(db!$AS$9),0)</f>
        <v>0</v>
      </c>
      <c r="AY19" s="21">
        <f>IF(db!$D$8="Yes",AS19,0)</f>
        <v>0</v>
      </c>
      <c r="AZ19" s="22">
        <f>(AY19*AF19)/1000*(1-db!$AS$9)</f>
        <v>0</v>
      </c>
      <c r="BA19" s="22">
        <f>(AY19*AF19)/1000*(db!$AS$9)</f>
        <v>0</v>
      </c>
      <c r="BB19" s="23">
        <f t="shared" si="3"/>
        <v>0</v>
      </c>
      <c r="BC19" s="20">
        <f>(BB19*AH19/1000)*(1-db!$AS$9)</f>
        <v>0</v>
      </c>
      <c r="BD19" s="20">
        <f>(BB19*AH19/1000)*(db!$AS$9)</f>
        <v>0</v>
      </c>
      <c r="BE19" s="22">
        <f>IF(B19=0,0,IF(C19&gt;60,0,LOOKUP(Table1[[#This Row],[Medical
Age]],db!$BC$3:$BC$63,db!$BD$3:$BD$63)))</f>
        <v>0</v>
      </c>
      <c r="BF19" s="22">
        <f>BG19*db!$AS$10</f>
        <v>0</v>
      </c>
      <c r="BG19" s="22">
        <f t="shared" si="4"/>
        <v>0</v>
      </c>
      <c r="BH19" s="22">
        <f>(BE19/1000000)*AJ19*(1-db!$AS$10)</f>
        <v>0</v>
      </c>
      <c r="BI19" s="20">
        <f>IF(B19=0,0,IF(C19&gt;59,0,LOOKUP(Table1[[#This Row],[Medical
Age]],db!$BC$3:$BC$63,db!$BE$3:$BE$63)))</f>
        <v>0</v>
      </c>
      <c r="BJ19" s="20">
        <f>(BI19/1000000)*AL19*(1-db!$AS$11)</f>
        <v>0</v>
      </c>
      <c r="BK19" s="20">
        <f>(BI19/1000000)*AL19*(db!$AS$11)</f>
        <v>0</v>
      </c>
      <c r="BL19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19" s="20">
        <f>Table1[[#This Row],[RiskLoading
Rate]]*Table1[[#This Row],[Death Capital (2)]]</f>
        <v>0</v>
      </c>
      <c r="BN19" s="36"/>
      <c r="BO19" s="37">
        <f t="shared" si="5"/>
        <v>0</v>
      </c>
      <c r="BP19" s="35">
        <f t="shared" si="6"/>
        <v>0</v>
      </c>
      <c r="BQ19" s="35">
        <f t="shared" si="7"/>
        <v>0</v>
      </c>
      <c r="BR19" s="37">
        <f t="shared" si="11"/>
        <v>0</v>
      </c>
      <c r="BS19" s="37">
        <f t="shared" si="12"/>
        <v>0</v>
      </c>
      <c r="BT19" s="35">
        <f t="shared" si="13"/>
        <v>0</v>
      </c>
      <c r="BU19" s="35">
        <f t="shared" si="14"/>
        <v>0</v>
      </c>
      <c r="BV19" s="37">
        <f>(db!$AS$4/100)*(L19-BT19-BU19)</f>
        <v>0</v>
      </c>
      <c r="BW19" s="37">
        <f>(db!$AS$8/100)*(L19-BT19-BU19)</f>
        <v>0</v>
      </c>
      <c r="BX19" s="35"/>
      <c r="BY19" s="37"/>
      <c r="BZ19" s="37"/>
      <c r="CA19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19" s="33"/>
      <c r="CC19" s="39">
        <f>ROUND((Table1[[#This Row],[Premium]]-Table1[[#This Row],[All Deductions]]),0)</f>
        <v>0</v>
      </c>
      <c r="CD19" s="39">
        <f>IF(B19=0,0,Table1[[#This Row],[Initial Reserve]]+CE18)</f>
        <v>0</v>
      </c>
      <c r="CE19" s="40">
        <f>ROUND(IF(B19=0,0,((CC19)*(1+db!Y21))+((CE18)*(1+db!U21))),0)</f>
        <v>0</v>
      </c>
      <c r="CF19" s="40">
        <f t="shared" si="19"/>
        <v>0</v>
      </c>
      <c r="CG19" s="15">
        <f t="shared" si="15"/>
        <v>18</v>
      </c>
      <c r="CH19" s="39">
        <f>IF(B19=0,0,((CC19)*(1+db!AH21))+((CH18)*(1+db!AD21)))</f>
        <v>0</v>
      </c>
      <c r="CI19" s="39">
        <f>IF(B19=0,0,((CC19)*(1+db!AH21))+((CI18)*(1+db!AD21)))</f>
        <v>0</v>
      </c>
      <c r="CJ19" s="40">
        <f>IF(B19=0,0,((CC19)*(1+db!AO21))+((CJ18)*(1+db!AK21)))</f>
        <v>0</v>
      </c>
      <c r="CK19" s="40">
        <f>CJ19-(SUM(BX$7:$BX20))</f>
        <v>0</v>
      </c>
      <c r="CL19" s="46"/>
    </row>
    <row r="20" spans="1:90">
      <c r="A20" s="24">
        <f t="shared" si="16"/>
        <v>19</v>
      </c>
      <c r="B20" s="16">
        <f>IF(AND(Changes!Change="Yes", Changes!ChangeType="Change Contract Duration"),IF(B19=0,0,IF(Changes!NewChangedValue&lt;B19+1,0,B19+1)),IF(B19=0,0,IF('Application Annually'!$C$5&lt;B19+1,0,B19+1)))</f>
        <v>0</v>
      </c>
      <c r="C20" s="15">
        <f t="shared" si="17"/>
        <v>0</v>
      </c>
      <c r="D20" s="312">
        <f t="shared" si="18"/>
        <v>46</v>
      </c>
      <c r="E20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20" s="29">
        <f t="shared" si="8"/>
        <v>0</v>
      </c>
      <c r="G20" s="29">
        <f t="shared" si="9"/>
        <v>0</v>
      </c>
      <c r="H20" s="29">
        <f t="shared" si="0"/>
        <v>0</v>
      </c>
      <c r="I20" s="29">
        <f>IF(B20&gt;0,IF(AND(Table1[[#This Row],[Year]]&gt;Changes!ValidityYear,Changes!Change="Yes",Changes!ChangeType="Change Value Adjustment"),Changes!$G$22,'Application Annually'!$C$11),0)</f>
        <v>0</v>
      </c>
      <c r="J20" s="29">
        <f>IF(B20&gt;0,IF(AND(Table1[[#This Row],[Year]]&gt;Changes!ValidityYear,Changes!Change="Yes",Changes!ChangeType="Change Value Adjustment"),Changes!$G$24,'Application Annually'!$C$7),0)</f>
        <v>0</v>
      </c>
      <c r="K20" s="29">
        <f>ROUND(IF(B20=0,0,IF(AND(Changes!Change="Yes", Changes!ValidityYear=Table1[[#This Row],[Year]], Changes!ChangeType="Change Premium"), Changes!NewChangedValue, (K19*(1+db!$B$3)))),0)</f>
        <v>0</v>
      </c>
      <c r="L20" s="29">
        <f>ROUND(IF(AND(Changes!Change="Yes",Changes!ValidityYear&lt;=Table1[[#This Row],[Year]],Changes!ChangeType="Paid-Up"),0,IF(B20=0,0,IF(AND(Changes!Change="Yes", Changes!ValidityYear=Table1[[#This Row],[Year]], Changes!ChangeType="Change Premium"), Changes!NewChangedValue, (L19*(1+Table1[[#This Row],[Adjustment Factor of Premium]]/100))))),0)</f>
        <v>0</v>
      </c>
      <c r="M20" s="29">
        <f>IF(Table1[[#This Row],[Year]]=1,ROUND(MIN($L$2 -( Table1[[#This Row],[Riders Risk Premiums]] + Table1[[#This Row],[Acquisition Cost]]) *0.75,Table1[[#This Row],[Death Capital (1)]]* 0.03),0),0)</f>
        <v>0</v>
      </c>
      <c r="N20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20" s="29">
        <f>ROUND(IF(ROW()-1&gt;InsurancePeriod,0,(O19*(1+(Table1[[#This Row],[Adjustment Factor of Premium]]/100)))),0)</f>
        <v>0</v>
      </c>
      <c r="P20" s="29">
        <f>IF(Table1[Year] = 0, 0, SUM(L$2:L20))</f>
        <v>0</v>
      </c>
      <c r="Q20" s="17">
        <f t="shared" si="1"/>
        <v>0</v>
      </c>
      <c r="R20" s="17">
        <f>IF(Table1[[#This Row],[Year]]=0,0,IF($C$2&lt;=50,LOOKUP(Table1[[#This Row],[Age]],db!BG21:BG127,db!BH21:BH127),LOOKUP(Table1[[#This Row],[Age]],db!BJ21:BJ127,db!BK21:BK127)))</f>
        <v>0</v>
      </c>
      <c r="S20" s="17">
        <f>IF(AND(Changes!Change="Yes",Changes!ValidityYear&lt;=Table1[[#This Row],[Year]],Changes!ChangeType="Paid-Up",PaidUpOption="Paid-up with no coverage"),0,IF(B20=0,0, IF(AND(Changes!Change="Yes", Changes!ValidityYear=Table1[[#This Row],[Year]], Changes!ChangeType="Change Death Capital"), Changes!NewChangedValue, S19*(1+(Table1[[#This Row],[Adjustment Factor of Death Capital]]/100)))))</f>
        <v>0</v>
      </c>
      <c r="T20" s="17">
        <f>MIN(IF(B20=0,0,Table1[[#This Row],[Death Capital (1)]]),Table1[[#This Row],[Max Sum Insured For Death]])</f>
        <v>0</v>
      </c>
      <c r="U20" s="29">
        <f t="shared" si="10"/>
        <v>0</v>
      </c>
      <c r="V20" s="29">
        <f>IF(AND(Changes!Change="Yes",Changes!ValidityYear&lt;=Table1[[#This Row],[Year]],Changes!ChangeType="Paid-Up",OR(PaidUpOption="Paid-up with no coverage",PaidUpOption="Paid-up with main coverage")),0,IF(B20=0,0,IF(AND(Changes!Change="Yes", Changes!ValidityYear&lt;=Table1[[#This Row],[Year]], Changes!ChangeType="Rider Inclusion/Exclusion", Changes!RiderType="Accident Death"), T20*Changes!NewChangedValue,IF(db!$D$6="Yes",(db!$B$6)*T20,0))))</f>
        <v>0</v>
      </c>
      <c r="W20" s="29">
        <f>MIN(IF(V20&lt;=db!$L$2,V20,db!$L$2),MAX_ACC_CAPITAL)</f>
        <v>0</v>
      </c>
      <c r="X20" s="17">
        <f>IF(AND(Changes!Change="Yes",Changes!ValidityYear&lt;=Table1[[#This Row],[Year]],Changes!ChangeType="Paid-Up",OR(PaidUpOption="Paid-up with no coverage",PaidUpOption="Paid-up with main coverage")),0,IF(OR(B20=0,Table1[[#This Row],[Accident Capital (2)]]=0),0,IF(AND(Changes!Change="Yes", Changes!ValidityYear&lt;=Table1[[#This Row],[Year]], Changes!ChangeType="Rider Inclusion/Exclusion", Changes!RiderType="Accident Disability"), T20*Changes!NewChangedValue,IF(db!$D$7="Yes",(db!$B$7)*T20,0))))</f>
        <v>0</v>
      </c>
      <c r="Y20" s="42">
        <f>IF(C20&gt;69,0,IF(C20=0,0,IF(X20&lt;=db!$L$3,X20,db!$L$3)))</f>
        <v>0</v>
      </c>
      <c r="Z20" s="29">
        <f>IF(AND(Changes!Change="Yes",Changes!ValidityYear&lt;=Table1[[#This Row],[Year]],Changes!ChangeType="Paid-Up",OR(PaidUpOption="Paid-up with no coverage",PaidUpOption="Paid-up with main coverage")),0,IF(OR(B20=0,Table1[[#This Row],[Accident Capital (2)]]=0),0,IF(AND(Changes!Change="Yes", Changes!ValidityYear&lt;=Table1[[#This Row],[Year]], Changes!ChangeType="Rider Inclusion/Exclusion", Changes!RiderType="Accident Medical Cost"), T20*Changes!NewChangedValue,IF(db!$D$9="Yes",(db!$B$9)*T20,0))))</f>
        <v>0</v>
      </c>
      <c r="AA20" s="29">
        <f>ROUND(IF(C20&gt;69,0,IF(C20=0,0,IF(Z20&lt;=db!$L$4,Z20,db!$L$4))),0)</f>
        <v>0</v>
      </c>
      <c r="AB20" s="38">
        <f>IF(AND(Changes!Change = "Yes", Changes!ChangeType = "Rider Inclusion/Exclusion", Changes!RiderType = "WOP"), IF( Changes!ValidityYear &lt;= Table1[[#This Row],[Year]], IF(WOP = "Yes", 0, 1),  IF(WOP = "Yes", 1, 0)), IF(AND(db!$D$8="Yes",C20&lt;=69,ROW()-1&lt;=InsurancePeriod), 1, 0))</f>
        <v>0</v>
      </c>
      <c r="AC20" s="17">
        <f>(AC21+K21)*AB20*((1)/(1+db!AA22))*(LOOKUP(C20,'Mortality Table'!$A$2:$A$108,'Mortality Table'!$E$2:$E$108))</f>
        <v>0</v>
      </c>
      <c r="AD20" s="340">
        <f>IF(AND(Changes!ValidityYear&lt;= Table1[[#This Row],[Year]],Changes!ChangeType="Change Value Adjustment",Changes!Change="Yes"), (AD21+L21)*AB20*((1)/(1+db!AA22))*(LOOKUP(C20,'Mortality Table'!$A$2:$A$108,'Mortality Table'!$E$2:$E$108)),Table1[[#This Row],[WOP Before Adj. BT]])</f>
        <v>0</v>
      </c>
      <c r="AE20" s="341">
        <f>IF(AND(Changes!Change="Yes", Changes!ChangeType="Change Value Adjustment"),Table1[[#This Row],[WOP Capital]],(AE21+O21)*AB20*((1)/(1+db!AA22))*(LOOKUP(D20,'Mortality Table'!$A$2:$A$108,'Mortality Table'!$E$2:$E$108)))</f>
        <v>0</v>
      </c>
      <c r="AF20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20" s="42">
        <f>IF(AND(Changes!Change="Yes", Changes!ValidityYear&lt;=Table1[[#This Row],[Year]], Changes!ChangeType="Rider Inclusion/Exclusion", Changes!RiderType="Disability Annuity"), L20*Changes!NewChangedValue,L20*db!B$10*IF(db!$D$10="Yes",1,0))</f>
        <v>0</v>
      </c>
      <c r="AH20" s="29">
        <f>IF(AND(Changes!Change="Yes",Changes!ValidityYear&lt;=Table1[[#This Row],[Year]],Changes!ChangeType="Paid-Up"),0,Table1[[#This Row],[Code Annuity Capital]]*IF('Annual Calculation'!C20&gt;69,0,(LOOKUP('Annual Calculation'!C20+1,'Mortality Table'!$A$2:$A$108,'Mortality Table'!$O$2:$O$108)-LOOKUP('Annual Calculation'!C20+11,'Mortality Table'!$A$2:$A$108,'Mortality Table'!$O$2:$O$108))/LOOKUP('Annual Calculation'!C20,'Mortality Table'!$A$2:$A$108,'Mortality Table'!$M$2:$M$108)))</f>
        <v>0</v>
      </c>
      <c r="AI20" s="17">
        <f>IF(AND(Changes!Change="Yes",Changes!ValidityYear&lt;=Table1[[#This Row],[Year]],Changes!ChangeType="Paid-Up",OR(PaidUpOption="Paid-up with no coverage",PaidUpOption="Paid-up with main coverage")),0,IF(B20=0,0,IF(AND(Changes!Change="Yes", Changes!ValidityYear&lt;=Table1[[#This Row],[Year]], Changes!ChangeType="Rider Inclusion/Exclusion", Changes!RiderType="Dread Disease"), T20*Changes!NewChangedValue,IF(db!$D$11="Yes",(db!$B$11)*T20,0))))</f>
        <v>0</v>
      </c>
      <c r="AJ20" s="42">
        <f>ROUND(IF(C20&gt;59,0,IF(C20=0,0,IF(AI20&lt;=db!$L$5,AI20,db!$L$5))),0)</f>
        <v>0</v>
      </c>
      <c r="AK20" s="29">
        <f>IF(AND(Changes!Change="Yes",Changes!ValidityYear&lt;=Table1[[#This Row],[Year]],Changes!ChangeType="Paid-Up",OR(PaidUpOption="Paid-up with no coverage",PaidUpOption="Paid-up with main coverage")),0,IF(B20=0,0,IF(AND(Changes!Change="Yes", Changes!ValidityYear&lt;=Table1[[#This Row],[Year]], Changes!ChangeType="Rider Inclusion/Exclusion", Changes!RiderType="Cancer"), T20*Changes!NewChangedValue,IF(db!$D$12="Yes",(db!$B$12)*T20,0))))</f>
        <v>0</v>
      </c>
      <c r="AL20" s="29">
        <f>ROUND(IF(C20&gt;59,0,IF(C20=0,0,IF(AK20&lt;=db!$L$6,AK20,db!$L$6))),0)</f>
        <v>0</v>
      </c>
      <c r="AM20" s="32"/>
      <c r="AN20" s="18">
        <f>IF(B20=0,0,IF(C20&lt;(db!$E$2+5),LOOKUP(C20,'Mortality Table'!$A$2:$A$108,'Mortality Table'!$P$2:$P$108),IF((C20&gt;=db!$E$2+10),LOOKUP(C20,'Mortality Table'!$A$2:$A$108,'Mortality Table'!$R$2:$R$108),LOOKUP(C20,'Mortality Table'!$A$2:$A$108,'Mortality Table'!$Q$2:$Q$108))))</f>
        <v>0</v>
      </c>
      <c r="AO20" s="22">
        <f t="shared" si="2"/>
        <v>0</v>
      </c>
      <c r="AP20" s="19">
        <f>IF(B20=0,0, LOOKUP(IF(AND(Changes!Change="Yes", Changes!ValidityYear&lt;=Table1[[#This Row],[Year]], Changes!ChangeType="Change Job Class"),Changes!NewChangedValue, db!$A$8),db!$AX$4:$AX$8,db!$AY$4:$AY$8))</f>
        <v>0</v>
      </c>
      <c r="AQ20" s="20">
        <f>ROUND((AP20/1000)*W20 * (1-db!$AS$9),0)</f>
        <v>0</v>
      </c>
      <c r="AR20" s="20">
        <f>(AP20/1000)*W20 * db!$AS$9</f>
        <v>0</v>
      </c>
      <c r="AS20" s="21">
        <f>IF(B20=0,0, LOOKUP(IF(AND(Changes!Change="Yes", Changes!ValidityYear&lt;=Table1[[#This Row],[Year]], Changes!ChangeType="Change Job Class"),Changes!NewChangedValue, db!$A$8),db!$AX$4:$AX$8,db!$AZ$4:$AZ$8))</f>
        <v>0</v>
      </c>
      <c r="AT20" s="22">
        <f>(AS20/1000)*Y20*(1-db!$AS$9)</f>
        <v>0</v>
      </c>
      <c r="AU20" s="22">
        <f>(AS20/1000)*Y20*(db!$AS$9)</f>
        <v>0</v>
      </c>
      <c r="AV20" s="23">
        <f>IF(B20=0,0, LOOKUP(IF(AND(Changes!Change="Yes", Changes!ValidityYear&lt;=Table1[[#This Row],[Year]], Changes!ChangeType="Change Job Class"),Changes!NewChangedValue, db!$A$8),db!$AX$4:$AX$8,db!$BA$4:$BA$8))</f>
        <v>0</v>
      </c>
      <c r="AW20" s="20">
        <f>ROUND((AV20/(100))*AA20*(1-db!$AS$9),0)</f>
        <v>0</v>
      </c>
      <c r="AX20" s="20">
        <f>ROUND((AV20/(100))*AA20*(db!$AS$9),0)</f>
        <v>0</v>
      </c>
      <c r="AY20" s="21">
        <f>IF(db!$D$8="Yes",AS20,0)</f>
        <v>0</v>
      </c>
      <c r="AZ20" s="22">
        <f>(AY20*AF20)/1000*(1-db!$AS$9)</f>
        <v>0</v>
      </c>
      <c r="BA20" s="22">
        <f>(AY20*AF20)/1000*(db!$AS$9)</f>
        <v>0</v>
      </c>
      <c r="BB20" s="23">
        <f t="shared" si="3"/>
        <v>0</v>
      </c>
      <c r="BC20" s="20">
        <f>(BB20*AH20/1000)*(1-db!$AS$9)</f>
        <v>0</v>
      </c>
      <c r="BD20" s="20">
        <f>(BB20*AH20/1000)*(db!$AS$9)</f>
        <v>0</v>
      </c>
      <c r="BE20" s="22">
        <f>IF(B20=0,0,IF(C20&gt;60,0,LOOKUP(Table1[[#This Row],[Medical
Age]],db!$BC$3:$BC$63,db!$BD$3:$BD$63)))</f>
        <v>0</v>
      </c>
      <c r="BF20" s="22">
        <f>BG20*db!$AS$10</f>
        <v>0</v>
      </c>
      <c r="BG20" s="22">
        <f t="shared" si="4"/>
        <v>0</v>
      </c>
      <c r="BH20" s="22">
        <f>(BE20/1000000)*AJ20*(1-db!$AS$10)</f>
        <v>0</v>
      </c>
      <c r="BI20" s="20">
        <f>IF(B20=0,0,IF(C20&gt;59,0,LOOKUP(Table1[[#This Row],[Medical
Age]],db!$BC$3:$BC$63,db!$BE$3:$BE$63)))</f>
        <v>0</v>
      </c>
      <c r="BJ20" s="20">
        <f>(BI20/1000000)*AL20*(1-db!$AS$11)</f>
        <v>0</v>
      </c>
      <c r="BK20" s="20">
        <f>(BI20/1000000)*AL20*(db!$AS$11)</f>
        <v>0</v>
      </c>
      <c r="BL20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20" s="20">
        <f>Table1[[#This Row],[RiskLoading
Rate]]*Table1[[#This Row],[Death Capital (2)]]</f>
        <v>0</v>
      </c>
      <c r="BN20" s="36"/>
      <c r="BO20" s="37">
        <f t="shared" si="5"/>
        <v>0</v>
      </c>
      <c r="BP20" s="35">
        <f t="shared" si="6"/>
        <v>0</v>
      </c>
      <c r="BQ20" s="35">
        <f t="shared" si="7"/>
        <v>0</v>
      </c>
      <c r="BR20" s="37">
        <f t="shared" si="11"/>
        <v>0</v>
      </c>
      <c r="BS20" s="37">
        <f t="shared" si="12"/>
        <v>0</v>
      </c>
      <c r="BT20" s="35">
        <f t="shared" si="13"/>
        <v>0</v>
      </c>
      <c r="BU20" s="35">
        <f t="shared" si="14"/>
        <v>0</v>
      </c>
      <c r="BV20" s="37">
        <f>(db!$AS$4/100)*(L20-BT20-BU20)</f>
        <v>0</v>
      </c>
      <c r="BW20" s="37">
        <f>(db!$AS$8/100)*(L20-BT20-BU20)</f>
        <v>0</v>
      </c>
      <c r="BX20" s="35"/>
      <c r="BY20" s="37"/>
      <c r="BZ20" s="37"/>
      <c r="CA20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20" s="33"/>
      <c r="CC20" s="39">
        <f>ROUND((Table1[[#This Row],[Premium]]-Table1[[#This Row],[All Deductions]]),0)</f>
        <v>0</v>
      </c>
      <c r="CD20" s="39">
        <f>IF(B20=0,0,Table1[[#This Row],[Initial Reserve]]+CE19)</f>
        <v>0</v>
      </c>
      <c r="CE20" s="40">
        <f>ROUND(IF(B20=0,0,((CC20)*(1+db!Y22))+((CE19)*(1+db!U22))),0)</f>
        <v>0</v>
      </c>
      <c r="CF20" s="40">
        <f t="shared" si="19"/>
        <v>0</v>
      </c>
      <c r="CG20" s="15">
        <f t="shared" si="15"/>
        <v>19</v>
      </c>
      <c r="CH20" s="39">
        <f>IF(B20=0,0,((CC20)*(1+db!AH22))+((CH19)*(1+db!AD22)))</f>
        <v>0</v>
      </c>
      <c r="CI20" s="39">
        <f>IF(B20=0,0,((CC20)*(1+db!AH22))+((CI19)*(1+db!AD22)))</f>
        <v>0</v>
      </c>
      <c r="CJ20" s="40">
        <f>IF(B20=0,0,((CC20)*(1+db!AO22))+((CJ19)*(1+db!AK22)))</f>
        <v>0</v>
      </c>
      <c r="CK20" s="40">
        <f>CJ20-(SUM(BX$7:$BX21))</f>
        <v>0</v>
      </c>
      <c r="CL20" s="46"/>
    </row>
    <row r="21" spans="1:90">
      <c r="A21" s="24">
        <f t="shared" si="16"/>
        <v>20</v>
      </c>
      <c r="B21" s="16">
        <f>IF(AND(Changes!Change="Yes", Changes!ChangeType="Change Contract Duration"),IF(B20=0,0,IF(Changes!NewChangedValue&lt;B20+1,0,B20+1)),IF(B20=0,0,IF('Application Annually'!$C$5&lt;B20+1,0,B20+1)))</f>
        <v>0</v>
      </c>
      <c r="C21" s="15">
        <f t="shared" si="17"/>
        <v>0</v>
      </c>
      <c r="D21" s="312">
        <f t="shared" si="18"/>
        <v>47</v>
      </c>
      <c r="E21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21" s="29">
        <f t="shared" si="8"/>
        <v>0</v>
      </c>
      <c r="G21" s="29">
        <f t="shared" si="9"/>
        <v>0</v>
      </c>
      <c r="H21" s="29">
        <f t="shared" si="0"/>
        <v>0</v>
      </c>
      <c r="I21" s="29">
        <f>IF(B21&gt;0,IF(AND(Table1[[#This Row],[Year]]&gt;Changes!ValidityYear,Changes!Change="Yes",Changes!ChangeType="Change Value Adjustment"),Changes!$G$22,'Application Annually'!$C$11),0)</f>
        <v>0</v>
      </c>
      <c r="J21" s="29">
        <f>IF(B21&gt;0,IF(AND(Table1[[#This Row],[Year]]&gt;Changes!ValidityYear,Changes!Change="Yes",Changes!ChangeType="Change Value Adjustment"),Changes!$G$24,'Application Annually'!$C$7),0)</f>
        <v>0</v>
      </c>
      <c r="K21" s="29">
        <f>ROUND(IF(B21=0,0,IF(AND(Changes!Change="Yes", Changes!ValidityYear=Table1[[#This Row],[Year]], Changes!ChangeType="Change Premium"), Changes!NewChangedValue, (K20*(1+db!$B$3)))),0)</f>
        <v>0</v>
      </c>
      <c r="L21" s="29">
        <f>ROUND(IF(AND(Changes!Change="Yes",Changes!ValidityYear&lt;=Table1[[#This Row],[Year]],Changes!ChangeType="Paid-Up"),0,IF(B21=0,0,IF(AND(Changes!Change="Yes", Changes!ValidityYear=Table1[[#This Row],[Year]], Changes!ChangeType="Change Premium"), Changes!NewChangedValue, (L20*(1+Table1[[#This Row],[Adjustment Factor of Premium]]/100))))),0)</f>
        <v>0</v>
      </c>
      <c r="M21" s="29">
        <f>IF(Table1[[#This Row],[Year]]=1,ROUND(MIN($L$2 -( Table1[[#This Row],[Riders Risk Premiums]] + Table1[[#This Row],[Acquisition Cost]]) *0.75,Table1[[#This Row],[Death Capital (1)]]* 0.03),0),0)</f>
        <v>0</v>
      </c>
      <c r="N21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21" s="29">
        <f>ROUND(IF(ROW()-1&gt;InsurancePeriod,0,(O20*(1+(Table1[[#This Row],[Adjustment Factor of Premium]]/100)))),0)</f>
        <v>0</v>
      </c>
      <c r="P21" s="29">
        <f>IF(Table1[Year] = 0, 0, SUM(L$2:L21))</f>
        <v>0</v>
      </c>
      <c r="Q21" s="17">
        <f t="shared" si="1"/>
        <v>0</v>
      </c>
      <c r="R21" s="17">
        <f>IF(Table1[[#This Row],[Year]]=0,0,IF($C$2&lt;=50,LOOKUP(Table1[[#This Row],[Age]],db!BG22:BG128,db!BH22:BH128),LOOKUP(Table1[[#This Row],[Age]],db!BJ22:BJ128,db!BK22:BK128)))</f>
        <v>0</v>
      </c>
      <c r="S21" s="17">
        <f>IF(AND(Changes!Change="Yes",Changes!ValidityYear&lt;=Table1[[#This Row],[Year]],Changes!ChangeType="Paid-Up",PaidUpOption="Paid-up with no coverage"),0,IF(B21=0,0, IF(AND(Changes!Change="Yes", Changes!ValidityYear=Table1[[#This Row],[Year]], Changes!ChangeType="Change Death Capital"), Changes!NewChangedValue, S20*(1+(Table1[[#This Row],[Adjustment Factor of Death Capital]]/100)))))</f>
        <v>0</v>
      </c>
      <c r="T21" s="17">
        <f>MIN(IF(B21=0,0,Table1[[#This Row],[Death Capital (1)]]),Table1[[#This Row],[Max Sum Insured For Death]])</f>
        <v>0</v>
      </c>
      <c r="U21" s="29">
        <f t="shared" si="10"/>
        <v>0</v>
      </c>
      <c r="V21" s="29">
        <f>IF(AND(Changes!Change="Yes",Changes!ValidityYear&lt;=Table1[[#This Row],[Year]],Changes!ChangeType="Paid-Up",OR(PaidUpOption="Paid-up with no coverage",PaidUpOption="Paid-up with main coverage")),0,IF(B21=0,0,IF(AND(Changes!Change="Yes", Changes!ValidityYear&lt;=Table1[[#This Row],[Year]], Changes!ChangeType="Rider Inclusion/Exclusion", Changes!RiderType="Accident Death"), T21*Changes!NewChangedValue,IF(db!$D$6="Yes",(db!$B$6)*T21,0))))</f>
        <v>0</v>
      </c>
      <c r="W21" s="29">
        <f>MIN(IF(V21&lt;=db!$L$2,V21,db!$L$2),MAX_ACC_CAPITAL)</f>
        <v>0</v>
      </c>
      <c r="X21" s="17">
        <f>IF(AND(Changes!Change="Yes",Changes!ValidityYear&lt;=Table1[[#This Row],[Year]],Changes!ChangeType="Paid-Up",OR(PaidUpOption="Paid-up with no coverage",PaidUpOption="Paid-up with main coverage")),0,IF(OR(B21=0,Table1[[#This Row],[Accident Capital (2)]]=0),0,IF(AND(Changes!Change="Yes", Changes!ValidityYear&lt;=Table1[[#This Row],[Year]], Changes!ChangeType="Rider Inclusion/Exclusion", Changes!RiderType="Accident Disability"), T21*Changes!NewChangedValue,IF(db!$D$7="Yes",(db!$B$7)*T21,0))))</f>
        <v>0</v>
      </c>
      <c r="Y21" s="42">
        <f>IF(C21&gt;69,0,IF(C21=0,0,IF(X21&lt;=db!$L$3,X21,db!$L$3)))</f>
        <v>0</v>
      </c>
      <c r="Z21" s="29">
        <f>IF(AND(Changes!Change="Yes",Changes!ValidityYear&lt;=Table1[[#This Row],[Year]],Changes!ChangeType="Paid-Up",OR(PaidUpOption="Paid-up with no coverage",PaidUpOption="Paid-up with main coverage")),0,IF(OR(B21=0,Table1[[#This Row],[Accident Capital (2)]]=0),0,IF(AND(Changes!Change="Yes", Changes!ValidityYear&lt;=Table1[[#This Row],[Year]], Changes!ChangeType="Rider Inclusion/Exclusion", Changes!RiderType="Accident Medical Cost"), T21*Changes!NewChangedValue,IF(db!$D$9="Yes",(db!$B$9)*T21,0))))</f>
        <v>0</v>
      </c>
      <c r="AA21" s="29">
        <f>ROUND(IF(C21&gt;69,0,IF(C21=0,0,IF(Z21&lt;=db!$L$4,Z21,db!$L$4))),0)</f>
        <v>0</v>
      </c>
      <c r="AB21" s="38">
        <f>IF(AND(Changes!Change = "Yes", Changes!ChangeType = "Rider Inclusion/Exclusion", Changes!RiderType = "WOP"), IF( Changes!ValidityYear &lt;= Table1[[#This Row],[Year]], IF(WOP = "Yes", 0, 1),  IF(WOP = "Yes", 1, 0)), IF(AND(db!$D$8="Yes",C21&lt;=69,ROW()-1&lt;=InsurancePeriod), 1, 0))</f>
        <v>0</v>
      </c>
      <c r="AC21" s="17">
        <f>(AC22+K22)*AB21*((1)/(1+db!AA23))*(LOOKUP(C21,'Mortality Table'!$A$2:$A$108,'Mortality Table'!$E$2:$E$108))</f>
        <v>0</v>
      </c>
      <c r="AD21" s="340">
        <f>IF(AND(Changes!ValidityYear&lt;= Table1[[#This Row],[Year]],Changes!ChangeType="Change Value Adjustment",Changes!Change="Yes"), (AD22+L22)*AB21*((1)/(1+db!AA23))*(LOOKUP(C21,'Mortality Table'!$A$2:$A$108,'Mortality Table'!$E$2:$E$108)),Table1[[#This Row],[WOP Before Adj. BT]])</f>
        <v>0</v>
      </c>
      <c r="AE21" s="341">
        <f>IF(AND(Changes!Change="Yes", Changes!ChangeType="Change Value Adjustment"),Table1[[#This Row],[WOP Capital]],(AE22+O22)*AB21*((1)/(1+db!AA23))*(LOOKUP(D21,'Mortality Table'!$A$2:$A$108,'Mortality Table'!$E$2:$E$108)))</f>
        <v>0</v>
      </c>
      <c r="AF21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21" s="42">
        <f>IF(AND(Changes!Change="Yes", Changes!ValidityYear&lt;=Table1[[#This Row],[Year]], Changes!ChangeType="Rider Inclusion/Exclusion", Changes!RiderType="Disability Annuity"), L21*Changes!NewChangedValue,L21*db!B$10*IF(db!$D$10="Yes",1,0))</f>
        <v>0</v>
      </c>
      <c r="AH21" s="29">
        <f>IF(AND(Changes!Change="Yes",Changes!ValidityYear&lt;=Table1[[#This Row],[Year]],Changes!ChangeType="Paid-Up"),0,Table1[[#This Row],[Code Annuity Capital]]*IF('Annual Calculation'!C21&gt;69,0,(LOOKUP('Annual Calculation'!C21+1,'Mortality Table'!$A$2:$A$108,'Mortality Table'!$O$2:$O$108)-LOOKUP('Annual Calculation'!C21+11,'Mortality Table'!$A$2:$A$108,'Mortality Table'!$O$2:$O$108))/LOOKUP('Annual Calculation'!C21,'Mortality Table'!$A$2:$A$108,'Mortality Table'!$M$2:$M$108)))</f>
        <v>0</v>
      </c>
      <c r="AI21" s="17">
        <f>IF(AND(Changes!Change="Yes",Changes!ValidityYear&lt;=Table1[[#This Row],[Year]],Changes!ChangeType="Paid-Up",OR(PaidUpOption="Paid-up with no coverage",PaidUpOption="Paid-up with main coverage")),0,IF(B21=0,0,IF(AND(Changes!Change="Yes", Changes!ValidityYear&lt;=Table1[[#This Row],[Year]], Changes!ChangeType="Rider Inclusion/Exclusion", Changes!RiderType="Dread Disease"), T21*Changes!NewChangedValue,IF(db!$D$11="Yes",(db!$B$11)*T21,0))))</f>
        <v>0</v>
      </c>
      <c r="AJ21" s="42">
        <f>ROUND(IF(C21&gt;59,0,IF(C21=0,0,IF(AI21&lt;=db!$L$5,AI21,db!$L$5))),0)</f>
        <v>0</v>
      </c>
      <c r="AK21" s="29">
        <f>IF(AND(Changes!Change="Yes",Changes!ValidityYear&lt;=Table1[[#This Row],[Year]],Changes!ChangeType="Paid-Up",OR(PaidUpOption="Paid-up with no coverage",PaidUpOption="Paid-up with main coverage")),0,IF(B21=0,0,IF(AND(Changes!Change="Yes", Changes!ValidityYear&lt;=Table1[[#This Row],[Year]], Changes!ChangeType="Rider Inclusion/Exclusion", Changes!RiderType="Cancer"), T21*Changes!NewChangedValue,IF(db!$D$12="Yes",(db!$B$12)*T21,0))))</f>
        <v>0</v>
      </c>
      <c r="AL21" s="29">
        <f>ROUND(IF(C21&gt;59,0,IF(C21=0,0,IF(AK21&lt;=db!$L$6,AK21,db!$L$6))),0)</f>
        <v>0</v>
      </c>
      <c r="AM21" s="32"/>
      <c r="AN21" s="18">
        <f>IF(B21=0,0,IF(C21&lt;(db!$E$2+5),LOOKUP(C21,'Mortality Table'!$A$2:$A$108,'Mortality Table'!$P$2:$P$108),IF((C21&gt;=db!$E$2+10),LOOKUP(C21,'Mortality Table'!$A$2:$A$108,'Mortality Table'!$R$2:$R$108),LOOKUP(C21,'Mortality Table'!$A$2:$A$108,'Mortality Table'!$Q$2:$Q$108))))</f>
        <v>0</v>
      </c>
      <c r="AO21" s="22">
        <f t="shared" si="2"/>
        <v>0</v>
      </c>
      <c r="AP21" s="19">
        <f>IF(B21=0,0, LOOKUP(IF(AND(Changes!Change="Yes", Changes!ValidityYear&lt;=Table1[[#This Row],[Year]], Changes!ChangeType="Change Job Class"),Changes!NewChangedValue, db!$A$8),db!$AX$4:$AX$8,db!$AY$4:$AY$8))</f>
        <v>0</v>
      </c>
      <c r="AQ21" s="20">
        <f>ROUND((AP21/1000)*W21 * (1-db!$AS$9),0)</f>
        <v>0</v>
      </c>
      <c r="AR21" s="20">
        <f>(AP21/1000)*W21 * db!$AS$9</f>
        <v>0</v>
      </c>
      <c r="AS21" s="21">
        <f>IF(B21=0,0, LOOKUP(IF(AND(Changes!Change="Yes", Changes!ValidityYear&lt;=Table1[[#This Row],[Year]], Changes!ChangeType="Change Job Class"),Changes!NewChangedValue, db!$A$8),db!$AX$4:$AX$8,db!$AZ$4:$AZ$8))</f>
        <v>0</v>
      </c>
      <c r="AT21" s="22">
        <f>(AS21/1000)*Y21*(1-db!$AS$9)</f>
        <v>0</v>
      </c>
      <c r="AU21" s="22">
        <f>(AS21/1000)*Y21*(db!$AS$9)</f>
        <v>0</v>
      </c>
      <c r="AV21" s="23">
        <f>IF(B21=0,0, LOOKUP(IF(AND(Changes!Change="Yes", Changes!ValidityYear&lt;=Table1[[#This Row],[Year]], Changes!ChangeType="Change Job Class"),Changes!NewChangedValue, db!$A$8),db!$AX$4:$AX$8,db!$BA$4:$BA$8))</f>
        <v>0</v>
      </c>
      <c r="AW21" s="20">
        <f>ROUND((AV21/(100))*AA21*(1-db!$AS$9),0)</f>
        <v>0</v>
      </c>
      <c r="AX21" s="20">
        <f>ROUND((AV21/(100))*AA21*(db!$AS$9),0)</f>
        <v>0</v>
      </c>
      <c r="AY21" s="21">
        <f>IF(db!$D$8="Yes",AS21,0)</f>
        <v>0</v>
      </c>
      <c r="AZ21" s="22">
        <f>(AY21*AF21)/1000*(1-db!$AS$9)</f>
        <v>0</v>
      </c>
      <c r="BA21" s="22">
        <f>(AY21*AF21)/1000*(db!$AS$9)</f>
        <v>0</v>
      </c>
      <c r="BB21" s="23">
        <f t="shared" si="3"/>
        <v>0</v>
      </c>
      <c r="BC21" s="20">
        <f>(BB21*AH21/1000)*(1-db!$AS$9)</f>
        <v>0</v>
      </c>
      <c r="BD21" s="20">
        <f>(BB21*AH21/1000)*(db!$AS$9)</f>
        <v>0</v>
      </c>
      <c r="BE21" s="22">
        <f>IF(B21=0,0,IF(C21&gt;60,0,LOOKUP(Table1[[#This Row],[Medical
Age]],db!$BC$3:$BC$63,db!$BD$3:$BD$63)))</f>
        <v>0</v>
      </c>
      <c r="BF21" s="22">
        <f>BG21*db!$AS$10</f>
        <v>0</v>
      </c>
      <c r="BG21" s="22">
        <f t="shared" si="4"/>
        <v>0</v>
      </c>
      <c r="BH21" s="22">
        <f>(BE21/1000000)*AJ21*(1-db!$AS$10)</f>
        <v>0</v>
      </c>
      <c r="BI21" s="20">
        <f>IF(B21=0,0,IF(C21&gt;59,0,LOOKUP(Table1[[#This Row],[Medical
Age]],db!$BC$3:$BC$63,db!$BE$3:$BE$63)))</f>
        <v>0</v>
      </c>
      <c r="BJ21" s="20">
        <f>(BI21/1000000)*AL21*(1-db!$AS$11)</f>
        <v>0</v>
      </c>
      <c r="BK21" s="20">
        <f>(BI21/1000000)*AL21*(db!$AS$11)</f>
        <v>0</v>
      </c>
      <c r="BL21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21" s="20">
        <f>Table1[[#This Row],[RiskLoading
Rate]]*Table1[[#This Row],[Death Capital (2)]]</f>
        <v>0</v>
      </c>
      <c r="BN21" s="36"/>
      <c r="BO21" s="37">
        <f t="shared" si="5"/>
        <v>0</v>
      </c>
      <c r="BP21" s="35">
        <f t="shared" si="6"/>
        <v>0</v>
      </c>
      <c r="BQ21" s="35">
        <f t="shared" si="7"/>
        <v>0</v>
      </c>
      <c r="BR21" s="37">
        <f t="shared" si="11"/>
        <v>0</v>
      </c>
      <c r="BS21" s="37">
        <f t="shared" si="12"/>
        <v>0</v>
      </c>
      <c r="BT21" s="35">
        <f t="shared" si="13"/>
        <v>0</v>
      </c>
      <c r="BU21" s="35">
        <f t="shared" si="14"/>
        <v>0</v>
      </c>
      <c r="BV21" s="37">
        <f>(db!$AS$4/100)*(L21-BT21-BU21)</f>
        <v>0</v>
      </c>
      <c r="BW21" s="37">
        <f>(db!$AS$8/100)*(L21-BT21-BU21)</f>
        <v>0</v>
      </c>
      <c r="BX21" s="35"/>
      <c r="BY21" s="37"/>
      <c r="BZ21" s="37"/>
      <c r="CA21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21" s="33"/>
      <c r="CC21" s="39">
        <f>ROUND((Table1[[#This Row],[Premium]]-Table1[[#This Row],[All Deductions]]),0)</f>
        <v>0</v>
      </c>
      <c r="CD21" s="39">
        <f>IF(B21=0,0,Table1[[#This Row],[Initial Reserve]]+CE20)</f>
        <v>0</v>
      </c>
      <c r="CE21" s="40">
        <f>ROUND(IF(B21=0,0,((CC21)*(1+db!Y23))+((CE20)*(1+db!U23))),0)</f>
        <v>0</v>
      </c>
      <c r="CF21" s="40">
        <f t="shared" si="19"/>
        <v>0</v>
      </c>
      <c r="CG21" s="15">
        <f t="shared" si="15"/>
        <v>20</v>
      </c>
      <c r="CH21" s="39">
        <f>IF(B21=0,0,((CC21)*(1+db!AH23))+((CH20)*(1+db!AD23)))</f>
        <v>0</v>
      </c>
      <c r="CI21" s="39">
        <f>IF(B21=0,0,((CC21)*(1+db!AH23))+((CI20)*(1+db!AD23)))</f>
        <v>0</v>
      </c>
      <c r="CJ21" s="40">
        <f>IF(B21=0,0,((CC21)*(1+db!AO23))+((CJ20)*(1+db!AK23)))</f>
        <v>0</v>
      </c>
      <c r="CK21" s="40">
        <f>CJ21-(SUM(BX$7:$BX22))</f>
        <v>0</v>
      </c>
      <c r="CL21" s="46"/>
    </row>
    <row r="22" spans="1:90">
      <c r="A22" s="24">
        <f t="shared" si="16"/>
        <v>21</v>
      </c>
      <c r="B22" s="16">
        <f>IF(AND(Changes!Change="Yes", Changes!ChangeType="Change Contract Duration"),IF(B21=0,0,IF(Changes!NewChangedValue&lt;B21+1,0,B21+1)),IF(B21=0,0,IF('Application Annually'!$C$5&lt;B21+1,0,B21+1)))</f>
        <v>0</v>
      </c>
      <c r="C22" s="15">
        <f t="shared" si="17"/>
        <v>0</v>
      </c>
      <c r="D22" s="312">
        <f t="shared" si="18"/>
        <v>48</v>
      </c>
      <c r="E22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22" s="29">
        <f t="shared" si="8"/>
        <v>0</v>
      </c>
      <c r="G22" s="29">
        <f t="shared" si="9"/>
        <v>0</v>
      </c>
      <c r="H22" s="29">
        <f t="shared" si="0"/>
        <v>0</v>
      </c>
      <c r="I22" s="29">
        <f>IF(B22&gt;0,IF(AND(Table1[[#This Row],[Year]]&gt;Changes!ValidityYear,Changes!Change="Yes",Changes!ChangeType="Change Value Adjustment"),Changes!$G$22,'Application Annually'!$C$11),0)</f>
        <v>0</v>
      </c>
      <c r="J22" s="29">
        <f>IF(B22&gt;0,IF(AND(Table1[[#This Row],[Year]]&gt;Changes!ValidityYear,Changes!Change="Yes",Changes!ChangeType="Change Value Adjustment"),Changes!$G$24,'Application Annually'!$C$7),0)</f>
        <v>0</v>
      </c>
      <c r="K22" s="29">
        <f>ROUND(IF(B22=0,0,IF(AND(Changes!Change="Yes", Changes!ValidityYear=Table1[[#This Row],[Year]], Changes!ChangeType="Change Premium"), Changes!NewChangedValue, (K21*(1+db!$B$3)))),0)</f>
        <v>0</v>
      </c>
      <c r="L22" s="29">
        <f>ROUND(IF(AND(Changes!Change="Yes",Changes!ValidityYear&lt;=Table1[[#This Row],[Year]],Changes!ChangeType="Paid-Up"),0,IF(B22=0,0,IF(AND(Changes!Change="Yes", Changes!ValidityYear=Table1[[#This Row],[Year]], Changes!ChangeType="Change Premium"), Changes!NewChangedValue, (L21*(1+Table1[[#This Row],[Adjustment Factor of Premium]]/100))))),0)</f>
        <v>0</v>
      </c>
      <c r="M22" s="29">
        <f>IF(Table1[[#This Row],[Year]]=1,ROUND(MIN($L$2 -( Table1[[#This Row],[Riders Risk Premiums]] + Table1[[#This Row],[Acquisition Cost]]) *0.75,Table1[[#This Row],[Death Capital (1)]]* 0.03),0),0)</f>
        <v>0</v>
      </c>
      <c r="N22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22" s="29">
        <f>ROUND(IF(ROW()-1&gt;InsurancePeriod,0,(O21*(1+(Table1[[#This Row],[Adjustment Factor of Premium]]/100)))),0)</f>
        <v>0</v>
      </c>
      <c r="P22" s="29">
        <f>IF(Table1[Year] = 0, 0, SUM(L$2:L22))</f>
        <v>0</v>
      </c>
      <c r="Q22" s="17">
        <f t="shared" si="1"/>
        <v>0</v>
      </c>
      <c r="R22" s="17">
        <f>IF(Table1[[#This Row],[Year]]=0,0,IF($C$2&lt;=50,LOOKUP(Table1[[#This Row],[Age]],db!BG23:BG129,db!BH23:BH129),LOOKUP(Table1[[#This Row],[Age]],db!BJ23:BJ129,db!BK23:BK129)))</f>
        <v>0</v>
      </c>
      <c r="S22" s="17">
        <f>IF(AND(Changes!Change="Yes",Changes!ValidityYear&lt;=Table1[[#This Row],[Year]],Changes!ChangeType="Paid-Up",PaidUpOption="Paid-up with no coverage"),0,IF(B22=0,0, IF(AND(Changes!Change="Yes", Changes!ValidityYear=Table1[[#This Row],[Year]], Changes!ChangeType="Change Death Capital"), Changes!NewChangedValue, S21*(1+(Table1[[#This Row],[Adjustment Factor of Death Capital]]/100)))))</f>
        <v>0</v>
      </c>
      <c r="T22" s="17">
        <f>MIN(IF(B22=0,0,Table1[[#This Row],[Death Capital (1)]]),Table1[[#This Row],[Max Sum Insured For Death]])</f>
        <v>0</v>
      </c>
      <c r="U22" s="29">
        <f t="shared" si="10"/>
        <v>0</v>
      </c>
      <c r="V22" s="29">
        <f>IF(AND(Changes!Change="Yes",Changes!ValidityYear&lt;=Table1[[#This Row],[Year]],Changes!ChangeType="Paid-Up",OR(PaidUpOption="Paid-up with no coverage",PaidUpOption="Paid-up with main coverage")),0,IF(B22=0,0,IF(AND(Changes!Change="Yes", Changes!ValidityYear&lt;=Table1[[#This Row],[Year]], Changes!ChangeType="Rider Inclusion/Exclusion", Changes!RiderType="Accident Death"), T22*Changes!NewChangedValue,IF(db!$D$6="Yes",(db!$B$6)*T22,0))))</f>
        <v>0</v>
      </c>
      <c r="W22" s="29">
        <f>MIN(IF(V22&lt;=db!$L$2,V22,db!$L$2),MAX_ACC_CAPITAL)</f>
        <v>0</v>
      </c>
      <c r="X22" s="17">
        <f>IF(AND(Changes!Change="Yes",Changes!ValidityYear&lt;=Table1[[#This Row],[Year]],Changes!ChangeType="Paid-Up",OR(PaidUpOption="Paid-up with no coverage",PaidUpOption="Paid-up with main coverage")),0,IF(OR(B22=0,Table1[[#This Row],[Accident Capital (2)]]=0),0,IF(AND(Changes!Change="Yes", Changes!ValidityYear&lt;=Table1[[#This Row],[Year]], Changes!ChangeType="Rider Inclusion/Exclusion", Changes!RiderType="Accident Disability"), T22*Changes!NewChangedValue,IF(db!$D$7="Yes",(db!$B$7)*T22,0))))</f>
        <v>0</v>
      </c>
      <c r="Y22" s="42">
        <f>IF(C22&gt;69,0,IF(C22=0,0,IF(X22&lt;=db!$L$3,X22,db!$L$3)))</f>
        <v>0</v>
      </c>
      <c r="Z22" s="29">
        <f>IF(AND(Changes!Change="Yes",Changes!ValidityYear&lt;=Table1[[#This Row],[Year]],Changes!ChangeType="Paid-Up",OR(PaidUpOption="Paid-up with no coverage",PaidUpOption="Paid-up with main coverage")),0,IF(OR(B22=0,Table1[[#This Row],[Accident Capital (2)]]=0),0,IF(AND(Changes!Change="Yes", Changes!ValidityYear&lt;=Table1[[#This Row],[Year]], Changes!ChangeType="Rider Inclusion/Exclusion", Changes!RiderType="Accident Medical Cost"), T22*Changes!NewChangedValue,IF(db!$D$9="Yes",(db!$B$9)*T22,0))))</f>
        <v>0</v>
      </c>
      <c r="AA22" s="29">
        <f>ROUND(IF(C22&gt;69,0,IF(C22=0,0,IF(Z22&lt;=db!$L$4,Z22,db!$L$4))),0)</f>
        <v>0</v>
      </c>
      <c r="AB22" s="38">
        <f>IF(AND(Changes!Change = "Yes", Changes!ChangeType = "Rider Inclusion/Exclusion", Changes!RiderType = "WOP"), IF( Changes!ValidityYear &lt;= Table1[[#This Row],[Year]], IF(WOP = "Yes", 0, 1),  IF(WOP = "Yes", 1, 0)), IF(AND(db!$D$8="Yes",C22&lt;=69,ROW()-1&lt;=InsurancePeriod), 1, 0))</f>
        <v>0</v>
      </c>
      <c r="AC22" s="17">
        <f>(AC23+K23)*AB22*((1)/(1+db!AA24))*(LOOKUP(C22,'Mortality Table'!$A$2:$A$108,'Mortality Table'!$E$2:$E$108))</f>
        <v>0</v>
      </c>
      <c r="AD22" s="340">
        <f>IF(AND(Changes!ValidityYear&lt;= Table1[[#This Row],[Year]],Changes!ChangeType="Change Value Adjustment",Changes!Change="Yes"), (AD23+L23)*AB22*((1)/(1+db!AA24))*(LOOKUP(C22,'Mortality Table'!$A$2:$A$108,'Mortality Table'!$E$2:$E$108)),Table1[[#This Row],[WOP Before Adj. BT]])</f>
        <v>0</v>
      </c>
      <c r="AE22" s="341">
        <f>IF(AND(Changes!Change="Yes", Changes!ChangeType="Change Value Adjustment"),Table1[[#This Row],[WOP Capital]],(AE23+O23)*AB22*((1)/(1+db!AA24))*(LOOKUP(D22,'Mortality Table'!$A$2:$A$108,'Mortality Table'!$E$2:$E$108)))</f>
        <v>0</v>
      </c>
      <c r="AF22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22" s="42">
        <f>IF(AND(Changes!Change="Yes", Changes!ValidityYear&lt;=Table1[[#This Row],[Year]], Changes!ChangeType="Rider Inclusion/Exclusion", Changes!RiderType="Disability Annuity"), L22*Changes!NewChangedValue,L22*db!B$10*IF(db!$D$10="Yes",1,0))</f>
        <v>0</v>
      </c>
      <c r="AH22" s="29">
        <f>IF(AND(Changes!Change="Yes",Changes!ValidityYear&lt;=Table1[[#This Row],[Year]],Changes!ChangeType="Paid-Up"),0,Table1[[#This Row],[Code Annuity Capital]]*IF('Annual Calculation'!C22&gt;69,0,(LOOKUP('Annual Calculation'!C22+1,'Mortality Table'!$A$2:$A$108,'Mortality Table'!$O$2:$O$108)-LOOKUP('Annual Calculation'!C22+11,'Mortality Table'!$A$2:$A$108,'Mortality Table'!$O$2:$O$108))/LOOKUP('Annual Calculation'!C22,'Mortality Table'!$A$2:$A$108,'Mortality Table'!$M$2:$M$108)))</f>
        <v>0</v>
      </c>
      <c r="AI22" s="17">
        <f>IF(AND(Changes!Change="Yes",Changes!ValidityYear&lt;=Table1[[#This Row],[Year]],Changes!ChangeType="Paid-Up",OR(PaidUpOption="Paid-up with no coverage",PaidUpOption="Paid-up with main coverage")),0,IF(B22=0,0,IF(AND(Changes!Change="Yes", Changes!ValidityYear&lt;=Table1[[#This Row],[Year]], Changes!ChangeType="Rider Inclusion/Exclusion", Changes!RiderType="Dread Disease"), T22*Changes!NewChangedValue,IF(db!$D$11="Yes",(db!$B$11)*T22,0))))</f>
        <v>0</v>
      </c>
      <c r="AJ22" s="42">
        <f>ROUND(IF(C22&gt;59,0,IF(C22=0,0,IF(AI22&lt;=db!$L$5,AI22,db!$L$5))),0)</f>
        <v>0</v>
      </c>
      <c r="AK22" s="29">
        <f>IF(AND(Changes!Change="Yes",Changes!ValidityYear&lt;=Table1[[#This Row],[Year]],Changes!ChangeType="Paid-Up",OR(PaidUpOption="Paid-up with no coverage",PaidUpOption="Paid-up with main coverage")),0,IF(B22=0,0,IF(AND(Changes!Change="Yes", Changes!ValidityYear&lt;=Table1[[#This Row],[Year]], Changes!ChangeType="Rider Inclusion/Exclusion", Changes!RiderType="Cancer"), T22*Changes!NewChangedValue,IF(db!$D$12="Yes",(db!$B$12)*T22,0))))</f>
        <v>0</v>
      </c>
      <c r="AL22" s="29">
        <f>ROUND(IF(C22&gt;59,0,IF(C22=0,0,IF(AK22&lt;=db!$L$6,AK22,db!$L$6))),0)</f>
        <v>0</v>
      </c>
      <c r="AM22" s="32"/>
      <c r="AN22" s="18">
        <f>IF(B22=0,0,IF(C22&lt;(db!$E$2+5),LOOKUP(C22,'Mortality Table'!$A$2:$A$108,'Mortality Table'!$P$2:$P$108),IF((C22&gt;=db!$E$2+10),LOOKUP(C22,'Mortality Table'!$A$2:$A$108,'Mortality Table'!$R$2:$R$108),LOOKUP(C22,'Mortality Table'!$A$2:$A$108,'Mortality Table'!$Q$2:$Q$108))))</f>
        <v>0</v>
      </c>
      <c r="AO22" s="22">
        <f t="shared" si="2"/>
        <v>0</v>
      </c>
      <c r="AP22" s="19">
        <f>IF(B22=0,0, LOOKUP(IF(AND(Changes!Change="Yes", Changes!ValidityYear&lt;=Table1[[#This Row],[Year]], Changes!ChangeType="Change Job Class"),Changes!NewChangedValue, db!$A$8),db!$AX$4:$AX$8,db!$AY$4:$AY$8))</f>
        <v>0</v>
      </c>
      <c r="AQ22" s="20">
        <f>ROUND((AP22/1000)*W22 * (1-db!$AS$9),0)</f>
        <v>0</v>
      </c>
      <c r="AR22" s="20">
        <f>(AP22/1000)*W22 * db!$AS$9</f>
        <v>0</v>
      </c>
      <c r="AS22" s="21">
        <f>IF(B22=0,0, LOOKUP(IF(AND(Changes!Change="Yes", Changes!ValidityYear&lt;=Table1[[#This Row],[Year]], Changes!ChangeType="Change Job Class"),Changes!NewChangedValue, db!$A$8),db!$AX$4:$AX$8,db!$AZ$4:$AZ$8))</f>
        <v>0</v>
      </c>
      <c r="AT22" s="22">
        <f>(AS22/1000)*Y22*(1-db!$AS$9)</f>
        <v>0</v>
      </c>
      <c r="AU22" s="22">
        <f>(AS22/1000)*Y22*(db!$AS$9)</f>
        <v>0</v>
      </c>
      <c r="AV22" s="23">
        <f>IF(B22=0,0, LOOKUP(IF(AND(Changes!Change="Yes", Changes!ValidityYear&lt;=Table1[[#This Row],[Year]], Changes!ChangeType="Change Job Class"),Changes!NewChangedValue, db!$A$8),db!$AX$4:$AX$8,db!$BA$4:$BA$8))</f>
        <v>0</v>
      </c>
      <c r="AW22" s="20">
        <f>ROUND((AV22/(100))*AA22*(1-db!$AS$9),0)</f>
        <v>0</v>
      </c>
      <c r="AX22" s="20">
        <f>ROUND((AV22/(100))*AA22*(db!$AS$9),0)</f>
        <v>0</v>
      </c>
      <c r="AY22" s="21">
        <f>IF(db!$D$8="Yes",AS22,0)</f>
        <v>0</v>
      </c>
      <c r="AZ22" s="22">
        <f>(AY22*AF22)/1000*(1-db!$AS$9)</f>
        <v>0</v>
      </c>
      <c r="BA22" s="22">
        <f>(AY22*AF22)/1000*(db!$AS$9)</f>
        <v>0</v>
      </c>
      <c r="BB22" s="23">
        <f t="shared" si="3"/>
        <v>0</v>
      </c>
      <c r="BC22" s="20">
        <f>(BB22*AH22/1000)*(1-db!$AS$9)</f>
        <v>0</v>
      </c>
      <c r="BD22" s="20">
        <f>(BB22*AH22/1000)*(db!$AS$9)</f>
        <v>0</v>
      </c>
      <c r="BE22" s="22">
        <f>IF(B22=0,0,IF(C22&gt;60,0,LOOKUP(Table1[[#This Row],[Medical
Age]],db!$BC$3:$BC$63,db!$BD$3:$BD$63)))</f>
        <v>0</v>
      </c>
      <c r="BF22" s="22">
        <f>BG22*db!$AS$10</f>
        <v>0</v>
      </c>
      <c r="BG22" s="22">
        <f t="shared" si="4"/>
        <v>0</v>
      </c>
      <c r="BH22" s="22">
        <f>(BE22/1000000)*AJ22*(1-db!$AS$10)</f>
        <v>0</v>
      </c>
      <c r="BI22" s="20">
        <f>IF(B22=0,0,IF(C22&gt;59,0,LOOKUP(Table1[[#This Row],[Medical
Age]],db!$BC$3:$BC$63,db!$BE$3:$BE$63)))</f>
        <v>0</v>
      </c>
      <c r="BJ22" s="20">
        <f>(BI22/1000000)*AL22*(1-db!$AS$11)</f>
        <v>0</v>
      </c>
      <c r="BK22" s="20">
        <f>(BI22/1000000)*AL22*(db!$AS$11)</f>
        <v>0</v>
      </c>
      <c r="BL22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22" s="20">
        <f>Table1[[#This Row],[RiskLoading
Rate]]*Table1[[#This Row],[Death Capital (2)]]</f>
        <v>0</v>
      </c>
      <c r="BN22" s="36"/>
      <c r="BO22" s="37">
        <f t="shared" si="5"/>
        <v>0</v>
      </c>
      <c r="BP22" s="35">
        <f t="shared" si="6"/>
        <v>0</v>
      </c>
      <c r="BQ22" s="35">
        <f t="shared" si="7"/>
        <v>0</v>
      </c>
      <c r="BR22" s="37">
        <f t="shared" si="11"/>
        <v>0</v>
      </c>
      <c r="BS22" s="37">
        <f t="shared" si="12"/>
        <v>0</v>
      </c>
      <c r="BT22" s="35">
        <f t="shared" si="13"/>
        <v>0</v>
      </c>
      <c r="BU22" s="35">
        <f t="shared" si="14"/>
        <v>0</v>
      </c>
      <c r="BV22" s="37">
        <f>(db!$AS$4/100)*(L22-BT22-BU22)</f>
        <v>0</v>
      </c>
      <c r="BW22" s="37">
        <f>(db!$AS$8/100)*(L22-BT22-BU22)</f>
        <v>0</v>
      </c>
      <c r="BX22" s="35"/>
      <c r="BY22" s="37"/>
      <c r="BZ22" s="37"/>
      <c r="CA22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22" s="33"/>
      <c r="CC22" s="39">
        <f>ROUND((Table1[[#This Row],[Premium]]-Table1[[#This Row],[All Deductions]]),0)</f>
        <v>0</v>
      </c>
      <c r="CD22" s="39">
        <f>IF(B22=0,0,Table1[[#This Row],[Initial Reserve]]+CE21)</f>
        <v>0</v>
      </c>
      <c r="CE22" s="40">
        <f>ROUND(IF(B22=0,0,((CC22)*(1+db!Y24))+((CE21)*(1+db!U24))),0)</f>
        <v>0</v>
      </c>
      <c r="CF22" s="40">
        <f t="shared" si="19"/>
        <v>0</v>
      </c>
      <c r="CG22" s="15">
        <f t="shared" si="15"/>
        <v>21</v>
      </c>
      <c r="CH22" s="39">
        <f>IF(B22=0,0,((CC22)*(1+db!AH24))+((CH21)*(1+db!AD24)))</f>
        <v>0</v>
      </c>
      <c r="CI22" s="39">
        <f>IF(B22=0,0,((CC22)*(1+db!AH24))+((CI21)*(1+db!AD24)))</f>
        <v>0</v>
      </c>
      <c r="CJ22" s="40">
        <f>IF(B22=0,0,((CC22)*(1+db!AO24))+((CJ21)*(1+db!AK24)))</f>
        <v>0</v>
      </c>
      <c r="CK22" s="40">
        <f>CJ22-(SUM(BX$7:$BX23))</f>
        <v>0</v>
      </c>
      <c r="CL22" s="46"/>
    </row>
    <row r="23" spans="1:90">
      <c r="A23" s="24">
        <f t="shared" si="16"/>
        <v>22</v>
      </c>
      <c r="B23" s="16">
        <f>IF(AND(Changes!Change="Yes", Changes!ChangeType="Change Contract Duration"),IF(B22=0,0,IF(Changes!NewChangedValue&lt;B22+1,0,B22+1)),IF(B22=0,0,IF('Application Annually'!$C$5&lt;B22+1,0,B22+1)))</f>
        <v>0</v>
      </c>
      <c r="C23" s="15">
        <f t="shared" si="17"/>
        <v>0</v>
      </c>
      <c r="D23" s="312">
        <f t="shared" si="18"/>
        <v>49</v>
      </c>
      <c r="E23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23" s="29">
        <f t="shared" si="8"/>
        <v>0</v>
      </c>
      <c r="G23" s="29">
        <f t="shared" si="9"/>
        <v>0</v>
      </c>
      <c r="H23" s="29">
        <f t="shared" si="0"/>
        <v>0</v>
      </c>
      <c r="I23" s="29">
        <f>IF(B23&gt;0,IF(AND(Table1[[#This Row],[Year]]&gt;Changes!ValidityYear,Changes!Change="Yes",Changes!ChangeType="Change Value Adjustment"),Changes!$G$22,'Application Annually'!$C$11),0)</f>
        <v>0</v>
      </c>
      <c r="J23" s="29">
        <f>IF(B23&gt;0,IF(AND(Table1[[#This Row],[Year]]&gt;Changes!ValidityYear,Changes!Change="Yes",Changes!ChangeType="Change Value Adjustment"),Changes!$G$24,'Application Annually'!$C$7),0)</f>
        <v>0</v>
      </c>
      <c r="K23" s="29">
        <f>ROUND(IF(B23=0,0,IF(AND(Changes!Change="Yes", Changes!ValidityYear=Table1[[#This Row],[Year]], Changes!ChangeType="Change Premium"), Changes!NewChangedValue, (K22*(1+db!$B$3)))),0)</f>
        <v>0</v>
      </c>
      <c r="L23" s="29">
        <f>ROUND(IF(AND(Changes!Change="Yes",Changes!ValidityYear&lt;=Table1[[#This Row],[Year]],Changes!ChangeType="Paid-Up"),0,IF(B23=0,0,IF(AND(Changes!Change="Yes", Changes!ValidityYear=Table1[[#This Row],[Year]], Changes!ChangeType="Change Premium"), Changes!NewChangedValue, (L22*(1+Table1[[#This Row],[Adjustment Factor of Premium]]/100))))),0)</f>
        <v>0</v>
      </c>
      <c r="M23" s="29">
        <f>IF(Table1[[#This Row],[Year]]=1,ROUND(MIN($L$2 -( Table1[[#This Row],[Riders Risk Premiums]] + Table1[[#This Row],[Acquisition Cost]]) *0.75,Table1[[#This Row],[Death Capital (1)]]* 0.03),0),0)</f>
        <v>0</v>
      </c>
      <c r="N23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23" s="29">
        <f>ROUND(IF(ROW()-1&gt;InsurancePeriod,0,(O22*(1+(Table1[[#This Row],[Adjustment Factor of Premium]]/100)))),0)</f>
        <v>0</v>
      </c>
      <c r="P23" s="29">
        <f>IF(Table1[Year] = 0, 0, SUM(L$2:L23))</f>
        <v>0</v>
      </c>
      <c r="Q23" s="17">
        <f t="shared" si="1"/>
        <v>0</v>
      </c>
      <c r="R23" s="17">
        <f>IF(Table1[[#This Row],[Year]]=0,0,IF($C$2&lt;=50,LOOKUP(Table1[[#This Row],[Age]],db!BG24:BG130,db!BH24:BH130),LOOKUP(Table1[[#This Row],[Age]],db!BJ24:BJ130,db!BK24:BK130)))</f>
        <v>0</v>
      </c>
      <c r="S23" s="17">
        <f>IF(AND(Changes!Change="Yes",Changes!ValidityYear&lt;=Table1[[#This Row],[Year]],Changes!ChangeType="Paid-Up",PaidUpOption="Paid-up with no coverage"),0,IF(B23=0,0, IF(AND(Changes!Change="Yes", Changes!ValidityYear=Table1[[#This Row],[Year]], Changes!ChangeType="Change Death Capital"), Changes!NewChangedValue, S22*(1+(Table1[[#This Row],[Adjustment Factor of Death Capital]]/100)))))</f>
        <v>0</v>
      </c>
      <c r="T23" s="17">
        <f>MIN(IF(B23=0,0,Table1[[#This Row],[Death Capital (1)]]),Table1[[#This Row],[Max Sum Insured For Death]])</f>
        <v>0</v>
      </c>
      <c r="U23" s="29">
        <f t="shared" si="10"/>
        <v>0</v>
      </c>
      <c r="V23" s="29">
        <f>IF(AND(Changes!Change="Yes",Changes!ValidityYear&lt;=Table1[[#This Row],[Year]],Changes!ChangeType="Paid-Up",OR(PaidUpOption="Paid-up with no coverage",PaidUpOption="Paid-up with main coverage")),0,IF(B23=0,0,IF(AND(Changes!Change="Yes", Changes!ValidityYear&lt;=Table1[[#This Row],[Year]], Changes!ChangeType="Rider Inclusion/Exclusion", Changes!RiderType="Accident Death"), T23*Changes!NewChangedValue,IF(db!$D$6="Yes",(db!$B$6)*T23,0))))</f>
        <v>0</v>
      </c>
      <c r="W23" s="29">
        <f>MIN(IF(V23&lt;=db!$L$2,V23,db!$L$2),MAX_ACC_CAPITAL)</f>
        <v>0</v>
      </c>
      <c r="X23" s="17">
        <f>IF(AND(Changes!Change="Yes",Changes!ValidityYear&lt;=Table1[[#This Row],[Year]],Changes!ChangeType="Paid-Up",OR(PaidUpOption="Paid-up with no coverage",PaidUpOption="Paid-up with main coverage")),0,IF(OR(B23=0,Table1[[#This Row],[Accident Capital (2)]]=0),0,IF(AND(Changes!Change="Yes", Changes!ValidityYear&lt;=Table1[[#This Row],[Year]], Changes!ChangeType="Rider Inclusion/Exclusion", Changes!RiderType="Accident Disability"), T23*Changes!NewChangedValue,IF(db!$D$7="Yes",(db!$B$7)*T23,0))))</f>
        <v>0</v>
      </c>
      <c r="Y23" s="42">
        <f>IF(C23&gt;69,0,IF(C23=0,0,IF(X23&lt;=db!$L$3,X23,db!$L$3)))</f>
        <v>0</v>
      </c>
      <c r="Z23" s="29">
        <f>IF(AND(Changes!Change="Yes",Changes!ValidityYear&lt;=Table1[[#This Row],[Year]],Changes!ChangeType="Paid-Up",OR(PaidUpOption="Paid-up with no coverage",PaidUpOption="Paid-up with main coverage")),0,IF(OR(B23=0,Table1[[#This Row],[Accident Capital (2)]]=0),0,IF(AND(Changes!Change="Yes", Changes!ValidityYear&lt;=Table1[[#This Row],[Year]], Changes!ChangeType="Rider Inclusion/Exclusion", Changes!RiderType="Accident Medical Cost"), T23*Changes!NewChangedValue,IF(db!$D$9="Yes",(db!$B$9)*T23,0))))</f>
        <v>0</v>
      </c>
      <c r="AA23" s="29">
        <f>ROUND(IF(C23&gt;69,0,IF(C23=0,0,IF(Z23&lt;=db!$L$4,Z23,db!$L$4))),0)</f>
        <v>0</v>
      </c>
      <c r="AB23" s="38">
        <f>IF(AND(Changes!Change = "Yes", Changes!ChangeType = "Rider Inclusion/Exclusion", Changes!RiderType = "WOP"), IF( Changes!ValidityYear &lt;= Table1[[#This Row],[Year]], IF(WOP = "Yes", 0, 1),  IF(WOP = "Yes", 1, 0)), IF(AND(db!$D$8="Yes",C23&lt;=69,ROW()-1&lt;=InsurancePeriod), 1, 0))</f>
        <v>0</v>
      </c>
      <c r="AC23" s="17">
        <f>(AC24+K24)*AB23*((1)/(1+db!AA25))*(LOOKUP(C23,'Mortality Table'!$A$2:$A$108,'Mortality Table'!$E$2:$E$108))</f>
        <v>0</v>
      </c>
      <c r="AD23" s="340">
        <f>IF(AND(Changes!ValidityYear&lt;= Table1[[#This Row],[Year]],Changes!ChangeType="Change Value Adjustment",Changes!Change="Yes"), (AD24+L24)*AB23*((1)/(1+db!AA25))*(LOOKUP(C23,'Mortality Table'!$A$2:$A$108,'Mortality Table'!$E$2:$E$108)),Table1[[#This Row],[WOP Before Adj. BT]])</f>
        <v>0</v>
      </c>
      <c r="AE23" s="341">
        <f>IF(AND(Changes!Change="Yes", Changes!ChangeType="Change Value Adjustment"),Table1[[#This Row],[WOP Capital]],(AE24+O24)*AB23*((1)/(1+db!AA25))*(LOOKUP(D23,'Mortality Table'!$A$2:$A$108,'Mortality Table'!$E$2:$E$108)))</f>
        <v>0</v>
      </c>
      <c r="AF23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23" s="42">
        <f>IF(AND(Changes!Change="Yes", Changes!ValidityYear&lt;=Table1[[#This Row],[Year]], Changes!ChangeType="Rider Inclusion/Exclusion", Changes!RiderType="Disability Annuity"), L23*Changes!NewChangedValue,L23*db!B$10*IF(db!$D$10="Yes",1,0))</f>
        <v>0</v>
      </c>
      <c r="AH23" s="29">
        <f>IF(AND(Changes!Change="Yes",Changes!ValidityYear&lt;=Table1[[#This Row],[Year]],Changes!ChangeType="Paid-Up"),0,Table1[[#This Row],[Code Annuity Capital]]*IF('Annual Calculation'!C23&gt;69,0,(LOOKUP('Annual Calculation'!C23+1,'Mortality Table'!$A$2:$A$108,'Mortality Table'!$O$2:$O$108)-LOOKUP('Annual Calculation'!C23+11,'Mortality Table'!$A$2:$A$108,'Mortality Table'!$O$2:$O$108))/LOOKUP('Annual Calculation'!C23,'Mortality Table'!$A$2:$A$108,'Mortality Table'!$M$2:$M$108)))</f>
        <v>0</v>
      </c>
      <c r="AI23" s="17">
        <f>IF(AND(Changes!Change="Yes",Changes!ValidityYear&lt;=Table1[[#This Row],[Year]],Changes!ChangeType="Paid-Up",OR(PaidUpOption="Paid-up with no coverage",PaidUpOption="Paid-up with main coverage")),0,IF(B23=0,0,IF(AND(Changes!Change="Yes", Changes!ValidityYear&lt;=Table1[[#This Row],[Year]], Changes!ChangeType="Rider Inclusion/Exclusion", Changes!RiderType="Dread Disease"), T23*Changes!NewChangedValue,IF(db!$D$11="Yes",(db!$B$11)*T23,0))))</f>
        <v>0</v>
      </c>
      <c r="AJ23" s="42">
        <f>ROUND(IF(C23&gt;59,0,IF(C23=0,0,IF(AI23&lt;=db!$L$5,AI23,db!$L$5))),0)</f>
        <v>0</v>
      </c>
      <c r="AK23" s="29">
        <f>IF(AND(Changes!Change="Yes",Changes!ValidityYear&lt;=Table1[[#This Row],[Year]],Changes!ChangeType="Paid-Up",OR(PaidUpOption="Paid-up with no coverage",PaidUpOption="Paid-up with main coverage")),0,IF(B23=0,0,IF(AND(Changes!Change="Yes", Changes!ValidityYear&lt;=Table1[[#This Row],[Year]], Changes!ChangeType="Rider Inclusion/Exclusion", Changes!RiderType="Cancer"), T23*Changes!NewChangedValue,IF(db!$D$12="Yes",(db!$B$12)*T23,0))))</f>
        <v>0</v>
      </c>
      <c r="AL23" s="29">
        <f>ROUND(IF(C23&gt;59,0,IF(C23=0,0,IF(AK23&lt;=db!$L$6,AK23,db!$L$6))),0)</f>
        <v>0</v>
      </c>
      <c r="AM23" s="32"/>
      <c r="AN23" s="18">
        <f>IF(B23=0,0,IF(C23&lt;(db!$E$2+5),LOOKUP(C23,'Mortality Table'!$A$2:$A$108,'Mortality Table'!$P$2:$P$108),IF((C23&gt;=db!$E$2+10),LOOKUP(C23,'Mortality Table'!$A$2:$A$108,'Mortality Table'!$R$2:$R$108),LOOKUP(C23,'Mortality Table'!$A$2:$A$108,'Mortality Table'!$Q$2:$Q$108))))</f>
        <v>0</v>
      </c>
      <c r="AO23" s="22">
        <f t="shared" si="2"/>
        <v>0</v>
      </c>
      <c r="AP23" s="19">
        <f>IF(B23=0,0, LOOKUP(IF(AND(Changes!Change="Yes", Changes!ValidityYear&lt;=Table1[[#This Row],[Year]], Changes!ChangeType="Change Job Class"),Changes!NewChangedValue, db!$A$8),db!$AX$4:$AX$8,db!$AY$4:$AY$8))</f>
        <v>0</v>
      </c>
      <c r="AQ23" s="20">
        <f>ROUND((AP23/1000)*W23 * (1-db!$AS$9),0)</f>
        <v>0</v>
      </c>
      <c r="AR23" s="20">
        <f>(AP23/1000)*W23 * db!$AS$9</f>
        <v>0</v>
      </c>
      <c r="AS23" s="21">
        <f>IF(B23=0,0, LOOKUP(IF(AND(Changes!Change="Yes", Changes!ValidityYear&lt;=Table1[[#This Row],[Year]], Changes!ChangeType="Change Job Class"),Changes!NewChangedValue, db!$A$8),db!$AX$4:$AX$8,db!$AZ$4:$AZ$8))</f>
        <v>0</v>
      </c>
      <c r="AT23" s="22">
        <f>(AS23/1000)*Y23*(1-db!$AS$9)</f>
        <v>0</v>
      </c>
      <c r="AU23" s="22">
        <f>(AS23/1000)*Y23*(db!$AS$9)</f>
        <v>0</v>
      </c>
      <c r="AV23" s="23">
        <f>IF(B23=0,0, LOOKUP(IF(AND(Changes!Change="Yes", Changes!ValidityYear&lt;=Table1[[#This Row],[Year]], Changes!ChangeType="Change Job Class"),Changes!NewChangedValue, db!$A$8),db!$AX$4:$AX$8,db!$BA$4:$BA$8))</f>
        <v>0</v>
      </c>
      <c r="AW23" s="20">
        <f>ROUND((AV23/(100))*AA23*(1-db!$AS$9),0)</f>
        <v>0</v>
      </c>
      <c r="AX23" s="20">
        <f>ROUND((AV23/(100))*AA23*(db!$AS$9),0)</f>
        <v>0</v>
      </c>
      <c r="AY23" s="21">
        <f>IF(db!$D$8="Yes",AS23,0)</f>
        <v>0</v>
      </c>
      <c r="AZ23" s="22">
        <f>(AY23*AF23)/1000*(1-db!$AS$9)</f>
        <v>0</v>
      </c>
      <c r="BA23" s="22">
        <f>(AY23*AF23)/1000*(db!$AS$9)</f>
        <v>0</v>
      </c>
      <c r="BB23" s="23">
        <f t="shared" si="3"/>
        <v>0</v>
      </c>
      <c r="BC23" s="20">
        <f>(BB23*AH23/1000)*(1-db!$AS$9)</f>
        <v>0</v>
      </c>
      <c r="BD23" s="20">
        <f>(BB23*AH23/1000)*(db!$AS$9)</f>
        <v>0</v>
      </c>
      <c r="BE23" s="22">
        <f>IF(B23=0,0,IF(C23&gt;60,0,LOOKUP(Table1[[#This Row],[Medical
Age]],db!$BC$3:$BC$63,db!$BD$3:$BD$63)))</f>
        <v>0</v>
      </c>
      <c r="BF23" s="22">
        <f>BG23*db!$AS$10</f>
        <v>0</v>
      </c>
      <c r="BG23" s="22">
        <f t="shared" si="4"/>
        <v>0</v>
      </c>
      <c r="BH23" s="22">
        <f>(BE23/1000000)*AJ23*(1-db!$AS$10)</f>
        <v>0</v>
      </c>
      <c r="BI23" s="20">
        <f>IF(B23=0,0,IF(C23&gt;59,0,LOOKUP(Table1[[#This Row],[Medical
Age]],db!$BC$3:$BC$63,db!$BE$3:$BE$63)))</f>
        <v>0</v>
      </c>
      <c r="BJ23" s="20">
        <f>(BI23/1000000)*AL23*(1-db!$AS$11)</f>
        <v>0</v>
      </c>
      <c r="BK23" s="20">
        <f>(BI23/1000000)*AL23*(db!$AS$11)</f>
        <v>0</v>
      </c>
      <c r="BL23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23" s="20">
        <f>Table1[[#This Row],[RiskLoading
Rate]]*Table1[[#This Row],[Death Capital (2)]]</f>
        <v>0</v>
      </c>
      <c r="BN23" s="36"/>
      <c r="BO23" s="37">
        <f t="shared" si="5"/>
        <v>0</v>
      </c>
      <c r="BP23" s="35">
        <f t="shared" si="6"/>
        <v>0</v>
      </c>
      <c r="BQ23" s="35">
        <f t="shared" si="7"/>
        <v>0</v>
      </c>
      <c r="BR23" s="37">
        <f t="shared" si="11"/>
        <v>0</v>
      </c>
      <c r="BS23" s="37">
        <f t="shared" si="12"/>
        <v>0</v>
      </c>
      <c r="BT23" s="35">
        <f t="shared" si="13"/>
        <v>0</v>
      </c>
      <c r="BU23" s="35">
        <f t="shared" si="14"/>
        <v>0</v>
      </c>
      <c r="BV23" s="37">
        <f>(db!$AS$4/100)*(L23-BT23-BU23)</f>
        <v>0</v>
      </c>
      <c r="BW23" s="37">
        <f>(db!$AS$8/100)*(L23-BT23-BU23)</f>
        <v>0</v>
      </c>
      <c r="BX23" s="35"/>
      <c r="BY23" s="37"/>
      <c r="BZ23" s="37"/>
      <c r="CA23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23" s="33"/>
      <c r="CC23" s="39">
        <f>ROUND((Table1[[#This Row],[Premium]]-Table1[[#This Row],[All Deductions]]),0)</f>
        <v>0</v>
      </c>
      <c r="CD23" s="39">
        <f>IF(B23=0,0,Table1[[#This Row],[Initial Reserve]]+CE22)</f>
        <v>0</v>
      </c>
      <c r="CE23" s="40">
        <f>ROUND(IF(B23=0,0,((CC23)*(1+db!Y25))+((CE22)*(1+db!U25))),0)</f>
        <v>0</v>
      </c>
      <c r="CF23" s="40">
        <f t="shared" si="19"/>
        <v>0</v>
      </c>
      <c r="CG23" s="15">
        <f t="shared" si="15"/>
        <v>22</v>
      </c>
      <c r="CH23" s="39">
        <f>IF(B23=0,0,((CC23)*(1+db!AH25))+((CH22)*(1+db!AD25)))</f>
        <v>0</v>
      </c>
      <c r="CI23" s="39">
        <f>IF(B23=0,0,((CC23)*(1+db!AH25))+((CI22)*(1+db!AD25)))</f>
        <v>0</v>
      </c>
      <c r="CJ23" s="40">
        <f>IF(B23=0,0,((CC23)*(1+db!AO25))+((CJ22)*(1+db!AK25)))</f>
        <v>0</v>
      </c>
      <c r="CK23" s="40">
        <f>CJ23-(SUM(BX$7:$BX24))</f>
        <v>0</v>
      </c>
      <c r="CL23" s="46"/>
    </row>
    <row r="24" spans="1:90">
      <c r="A24" s="24">
        <f t="shared" si="16"/>
        <v>23</v>
      </c>
      <c r="B24" s="16">
        <f>IF(AND(Changes!Change="Yes", Changes!ChangeType="Change Contract Duration"),IF(B23=0,0,IF(Changes!NewChangedValue&lt;B23+1,0,B23+1)),IF(B23=0,0,IF('Application Annually'!$C$5&lt;B23+1,0,B23+1)))</f>
        <v>0</v>
      </c>
      <c r="C24" s="15">
        <f t="shared" si="17"/>
        <v>0</v>
      </c>
      <c r="D24" s="312">
        <f t="shared" si="18"/>
        <v>50</v>
      </c>
      <c r="E24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24" s="29">
        <f t="shared" si="8"/>
        <v>0</v>
      </c>
      <c r="G24" s="29">
        <f t="shared" si="9"/>
        <v>0</v>
      </c>
      <c r="H24" s="29">
        <f t="shared" si="0"/>
        <v>0</v>
      </c>
      <c r="I24" s="29">
        <f>IF(B24&gt;0,IF(AND(Table1[[#This Row],[Year]]&gt;Changes!ValidityYear,Changes!Change="Yes",Changes!ChangeType="Change Value Adjustment"),Changes!$G$22,'Application Annually'!$C$11),0)</f>
        <v>0</v>
      </c>
      <c r="J24" s="29">
        <f>IF(B24&gt;0,IF(AND(Table1[[#This Row],[Year]]&gt;Changes!ValidityYear,Changes!Change="Yes",Changes!ChangeType="Change Value Adjustment"),Changes!$G$24,'Application Annually'!$C$7),0)</f>
        <v>0</v>
      </c>
      <c r="K24" s="29">
        <f>ROUND(IF(B24=0,0,IF(AND(Changes!Change="Yes", Changes!ValidityYear=Table1[[#This Row],[Year]], Changes!ChangeType="Change Premium"), Changes!NewChangedValue, (K23*(1+db!$B$3)))),0)</f>
        <v>0</v>
      </c>
      <c r="L24" s="29">
        <f>ROUND(IF(AND(Changes!Change="Yes",Changes!ValidityYear&lt;=Table1[[#This Row],[Year]],Changes!ChangeType="Paid-Up"),0,IF(B24=0,0,IF(AND(Changes!Change="Yes", Changes!ValidityYear=Table1[[#This Row],[Year]], Changes!ChangeType="Change Premium"), Changes!NewChangedValue, (L23*(1+Table1[[#This Row],[Adjustment Factor of Premium]]/100))))),0)</f>
        <v>0</v>
      </c>
      <c r="M24" s="29">
        <f>IF(Table1[[#This Row],[Year]]=1,ROUND(MIN($L$2 -( Table1[[#This Row],[Riders Risk Premiums]] + Table1[[#This Row],[Acquisition Cost]]) *0.75,Table1[[#This Row],[Death Capital (1)]]* 0.03),0),0)</f>
        <v>0</v>
      </c>
      <c r="N24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24" s="29">
        <f>ROUND(IF(ROW()-1&gt;InsurancePeriod,0,(O23*(1+(Table1[[#This Row],[Adjustment Factor of Premium]]/100)))),0)</f>
        <v>0</v>
      </c>
      <c r="P24" s="29">
        <f>IF(Table1[Year] = 0, 0, SUM(L$2:L24))</f>
        <v>0</v>
      </c>
      <c r="Q24" s="17">
        <f t="shared" si="1"/>
        <v>0</v>
      </c>
      <c r="R24" s="17">
        <f>IF(Table1[[#This Row],[Year]]=0,0,IF($C$2&lt;=50,LOOKUP(Table1[[#This Row],[Age]],db!BG25:BG131,db!BH25:BH131),LOOKUP(Table1[[#This Row],[Age]],db!BJ25:BJ131,db!BK25:BK131)))</f>
        <v>0</v>
      </c>
      <c r="S24" s="17">
        <f>IF(AND(Changes!Change="Yes",Changes!ValidityYear&lt;=Table1[[#This Row],[Year]],Changes!ChangeType="Paid-Up",PaidUpOption="Paid-up with no coverage"),0,IF(B24=0,0, IF(AND(Changes!Change="Yes", Changes!ValidityYear=Table1[[#This Row],[Year]], Changes!ChangeType="Change Death Capital"), Changes!NewChangedValue, S23*(1+(Table1[[#This Row],[Adjustment Factor of Death Capital]]/100)))))</f>
        <v>0</v>
      </c>
      <c r="T24" s="17">
        <f>MIN(IF(B24=0,0,Table1[[#This Row],[Death Capital (1)]]),Table1[[#This Row],[Max Sum Insured For Death]])</f>
        <v>0</v>
      </c>
      <c r="U24" s="29">
        <f t="shared" si="10"/>
        <v>0</v>
      </c>
      <c r="V24" s="29">
        <f>IF(AND(Changes!Change="Yes",Changes!ValidityYear&lt;=Table1[[#This Row],[Year]],Changes!ChangeType="Paid-Up",OR(PaidUpOption="Paid-up with no coverage",PaidUpOption="Paid-up with main coverage")),0,IF(B24=0,0,IF(AND(Changes!Change="Yes", Changes!ValidityYear&lt;=Table1[[#This Row],[Year]], Changes!ChangeType="Rider Inclusion/Exclusion", Changes!RiderType="Accident Death"), T24*Changes!NewChangedValue,IF(db!$D$6="Yes",(db!$B$6)*T24,0))))</f>
        <v>0</v>
      </c>
      <c r="W24" s="29">
        <f>MIN(IF(V24&lt;=db!$L$2,V24,db!$L$2),MAX_ACC_CAPITAL)</f>
        <v>0</v>
      </c>
      <c r="X24" s="17">
        <f>IF(AND(Changes!Change="Yes",Changes!ValidityYear&lt;=Table1[[#This Row],[Year]],Changes!ChangeType="Paid-Up",OR(PaidUpOption="Paid-up with no coverage",PaidUpOption="Paid-up with main coverage")),0,IF(OR(B24=0,Table1[[#This Row],[Accident Capital (2)]]=0),0,IF(AND(Changes!Change="Yes", Changes!ValidityYear&lt;=Table1[[#This Row],[Year]], Changes!ChangeType="Rider Inclusion/Exclusion", Changes!RiderType="Accident Disability"), T24*Changes!NewChangedValue,IF(db!$D$7="Yes",(db!$B$7)*T24,0))))</f>
        <v>0</v>
      </c>
      <c r="Y24" s="42">
        <f>IF(C24&gt;69,0,IF(C24=0,0,IF(X24&lt;=db!$L$3,X24,db!$L$3)))</f>
        <v>0</v>
      </c>
      <c r="Z24" s="29">
        <f>IF(AND(Changes!Change="Yes",Changes!ValidityYear&lt;=Table1[[#This Row],[Year]],Changes!ChangeType="Paid-Up",OR(PaidUpOption="Paid-up with no coverage",PaidUpOption="Paid-up with main coverage")),0,IF(OR(B24=0,Table1[[#This Row],[Accident Capital (2)]]=0),0,IF(AND(Changes!Change="Yes", Changes!ValidityYear&lt;=Table1[[#This Row],[Year]], Changes!ChangeType="Rider Inclusion/Exclusion", Changes!RiderType="Accident Medical Cost"), T24*Changes!NewChangedValue,IF(db!$D$9="Yes",(db!$B$9)*T24,0))))</f>
        <v>0</v>
      </c>
      <c r="AA24" s="29">
        <f>ROUND(IF(C24&gt;69,0,IF(C24=0,0,IF(Z24&lt;=db!$L$4,Z24,db!$L$4))),0)</f>
        <v>0</v>
      </c>
      <c r="AB24" s="38">
        <f>IF(AND(Changes!Change = "Yes", Changes!ChangeType = "Rider Inclusion/Exclusion", Changes!RiderType = "WOP"), IF( Changes!ValidityYear &lt;= Table1[[#This Row],[Year]], IF(WOP = "Yes", 0, 1),  IF(WOP = "Yes", 1, 0)), IF(AND(db!$D$8="Yes",C24&lt;=69,ROW()-1&lt;=InsurancePeriod), 1, 0))</f>
        <v>0</v>
      </c>
      <c r="AC24" s="17">
        <f>(AC25+K25)*AB24*((1)/(1+db!AA26))*(LOOKUP(C24,'Mortality Table'!$A$2:$A$108,'Mortality Table'!$E$2:$E$108))</f>
        <v>0</v>
      </c>
      <c r="AD24" s="340">
        <f>IF(AND(Changes!ValidityYear&lt;= Table1[[#This Row],[Year]],Changes!ChangeType="Change Value Adjustment",Changes!Change="Yes"), (AD25+L25)*AB24*((1)/(1+db!AA26))*(LOOKUP(C24,'Mortality Table'!$A$2:$A$108,'Mortality Table'!$E$2:$E$108)),Table1[[#This Row],[WOP Before Adj. BT]])</f>
        <v>0</v>
      </c>
      <c r="AE24" s="341">
        <f>IF(AND(Changes!Change="Yes", Changes!ChangeType="Change Value Adjustment"),Table1[[#This Row],[WOP Capital]],(AE25+O25)*AB24*((1)/(1+db!AA26))*(LOOKUP(D24,'Mortality Table'!$A$2:$A$108,'Mortality Table'!$E$2:$E$108)))</f>
        <v>0</v>
      </c>
      <c r="AF24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24" s="42">
        <f>IF(AND(Changes!Change="Yes", Changes!ValidityYear&lt;=Table1[[#This Row],[Year]], Changes!ChangeType="Rider Inclusion/Exclusion", Changes!RiderType="Disability Annuity"), L24*Changes!NewChangedValue,L24*db!B$10*IF(db!$D$10="Yes",1,0))</f>
        <v>0</v>
      </c>
      <c r="AH24" s="29">
        <f>IF(AND(Changes!Change="Yes",Changes!ValidityYear&lt;=Table1[[#This Row],[Year]],Changes!ChangeType="Paid-Up"),0,Table1[[#This Row],[Code Annuity Capital]]*IF('Annual Calculation'!C24&gt;69,0,(LOOKUP('Annual Calculation'!C24+1,'Mortality Table'!$A$2:$A$108,'Mortality Table'!$O$2:$O$108)-LOOKUP('Annual Calculation'!C24+11,'Mortality Table'!$A$2:$A$108,'Mortality Table'!$O$2:$O$108))/LOOKUP('Annual Calculation'!C24,'Mortality Table'!$A$2:$A$108,'Mortality Table'!$M$2:$M$108)))</f>
        <v>0</v>
      </c>
      <c r="AI24" s="17">
        <f>IF(AND(Changes!Change="Yes",Changes!ValidityYear&lt;=Table1[[#This Row],[Year]],Changes!ChangeType="Paid-Up",OR(PaidUpOption="Paid-up with no coverage",PaidUpOption="Paid-up with main coverage")),0,IF(B24=0,0,IF(AND(Changes!Change="Yes", Changes!ValidityYear&lt;=Table1[[#This Row],[Year]], Changes!ChangeType="Rider Inclusion/Exclusion", Changes!RiderType="Dread Disease"), T24*Changes!NewChangedValue,IF(db!$D$11="Yes",(db!$B$11)*T24,0))))</f>
        <v>0</v>
      </c>
      <c r="AJ24" s="42">
        <f>ROUND(IF(C24&gt;59,0,IF(C24=0,0,IF(AI24&lt;=db!$L$5,AI24,db!$L$5))),0)</f>
        <v>0</v>
      </c>
      <c r="AK24" s="29">
        <f>IF(AND(Changes!Change="Yes",Changes!ValidityYear&lt;=Table1[[#This Row],[Year]],Changes!ChangeType="Paid-Up",OR(PaidUpOption="Paid-up with no coverage",PaidUpOption="Paid-up with main coverage")),0,IF(B24=0,0,IF(AND(Changes!Change="Yes", Changes!ValidityYear&lt;=Table1[[#This Row],[Year]], Changes!ChangeType="Rider Inclusion/Exclusion", Changes!RiderType="Cancer"), T24*Changes!NewChangedValue,IF(db!$D$12="Yes",(db!$B$12)*T24,0))))</f>
        <v>0</v>
      </c>
      <c r="AL24" s="29">
        <f>ROUND(IF(C24&gt;59,0,IF(C24=0,0,IF(AK24&lt;=db!$L$6,AK24,db!$L$6))),0)</f>
        <v>0</v>
      </c>
      <c r="AM24" s="32"/>
      <c r="AN24" s="18">
        <f>IF(B24=0,0,IF(C24&lt;(db!$E$2+5),LOOKUP(C24,'Mortality Table'!$A$2:$A$108,'Mortality Table'!$P$2:$P$108),IF((C24&gt;=db!$E$2+10),LOOKUP(C24,'Mortality Table'!$A$2:$A$108,'Mortality Table'!$R$2:$R$108),LOOKUP(C24,'Mortality Table'!$A$2:$A$108,'Mortality Table'!$Q$2:$Q$108))))</f>
        <v>0</v>
      </c>
      <c r="AO24" s="22">
        <f t="shared" si="2"/>
        <v>0</v>
      </c>
      <c r="AP24" s="19">
        <f>IF(B24=0,0, LOOKUP(IF(AND(Changes!Change="Yes", Changes!ValidityYear&lt;=Table1[[#This Row],[Year]], Changes!ChangeType="Change Job Class"),Changes!NewChangedValue, db!$A$8),db!$AX$4:$AX$8,db!$AY$4:$AY$8))</f>
        <v>0</v>
      </c>
      <c r="AQ24" s="20">
        <f>ROUND((AP24/1000)*W24 * (1-db!$AS$9),0)</f>
        <v>0</v>
      </c>
      <c r="AR24" s="20">
        <f>(AP24/1000)*W24 * db!$AS$9</f>
        <v>0</v>
      </c>
      <c r="AS24" s="21">
        <f>IF(B24=0,0, LOOKUP(IF(AND(Changes!Change="Yes", Changes!ValidityYear&lt;=Table1[[#This Row],[Year]], Changes!ChangeType="Change Job Class"),Changes!NewChangedValue, db!$A$8),db!$AX$4:$AX$8,db!$AZ$4:$AZ$8))</f>
        <v>0</v>
      </c>
      <c r="AT24" s="22">
        <f>(AS24/1000)*Y24*(1-db!$AS$9)</f>
        <v>0</v>
      </c>
      <c r="AU24" s="22">
        <f>(AS24/1000)*Y24*(db!$AS$9)</f>
        <v>0</v>
      </c>
      <c r="AV24" s="23">
        <f>IF(B24=0,0, LOOKUP(IF(AND(Changes!Change="Yes", Changes!ValidityYear&lt;=Table1[[#This Row],[Year]], Changes!ChangeType="Change Job Class"),Changes!NewChangedValue, db!$A$8),db!$AX$4:$AX$8,db!$BA$4:$BA$8))</f>
        <v>0</v>
      </c>
      <c r="AW24" s="20">
        <f>ROUND((AV24/(100))*AA24*(1-db!$AS$9),0)</f>
        <v>0</v>
      </c>
      <c r="AX24" s="20">
        <f>ROUND((AV24/(100))*AA24*(db!$AS$9),0)</f>
        <v>0</v>
      </c>
      <c r="AY24" s="21">
        <f>IF(db!$D$8="Yes",AS24,0)</f>
        <v>0</v>
      </c>
      <c r="AZ24" s="22">
        <f>(AY24*AF24)/1000*(1-db!$AS$9)</f>
        <v>0</v>
      </c>
      <c r="BA24" s="22">
        <f>(AY24*AF24)/1000*(db!$AS$9)</f>
        <v>0</v>
      </c>
      <c r="BB24" s="23">
        <f t="shared" si="3"/>
        <v>0</v>
      </c>
      <c r="BC24" s="20">
        <f>(BB24*AH24/1000)*(1-db!$AS$9)</f>
        <v>0</v>
      </c>
      <c r="BD24" s="20">
        <f>(BB24*AH24/1000)*(db!$AS$9)</f>
        <v>0</v>
      </c>
      <c r="BE24" s="22">
        <f>IF(B24=0,0,IF(C24&gt;60,0,LOOKUP(Table1[[#This Row],[Medical
Age]],db!$BC$3:$BC$63,db!$BD$3:$BD$63)))</f>
        <v>0</v>
      </c>
      <c r="BF24" s="22">
        <f>BG24*db!$AS$10</f>
        <v>0</v>
      </c>
      <c r="BG24" s="22">
        <f t="shared" si="4"/>
        <v>0</v>
      </c>
      <c r="BH24" s="22">
        <f>(BE24/1000000)*AJ24*(1-db!$AS$10)</f>
        <v>0</v>
      </c>
      <c r="BI24" s="20">
        <f>IF(B24=0,0,IF(C24&gt;59,0,LOOKUP(Table1[[#This Row],[Medical
Age]],db!$BC$3:$BC$63,db!$BE$3:$BE$63)))</f>
        <v>0</v>
      </c>
      <c r="BJ24" s="20">
        <f>(BI24/1000000)*AL24*(1-db!$AS$11)</f>
        <v>0</v>
      </c>
      <c r="BK24" s="20">
        <f>(BI24/1000000)*AL24*(db!$AS$11)</f>
        <v>0</v>
      </c>
      <c r="BL24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24" s="20">
        <f>Table1[[#This Row],[RiskLoading
Rate]]*Table1[[#This Row],[Death Capital (2)]]</f>
        <v>0</v>
      </c>
      <c r="BN24" s="36"/>
      <c r="BO24" s="37">
        <f t="shared" si="5"/>
        <v>0</v>
      </c>
      <c r="BP24" s="35">
        <f t="shared" si="6"/>
        <v>0</v>
      </c>
      <c r="BQ24" s="35">
        <f t="shared" si="7"/>
        <v>0</v>
      </c>
      <c r="BR24" s="37">
        <f t="shared" si="11"/>
        <v>0</v>
      </c>
      <c r="BS24" s="37">
        <f t="shared" si="12"/>
        <v>0</v>
      </c>
      <c r="BT24" s="35">
        <f t="shared" si="13"/>
        <v>0</v>
      </c>
      <c r="BU24" s="35">
        <f t="shared" si="14"/>
        <v>0</v>
      </c>
      <c r="BV24" s="37">
        <f>(db!$AS$4/100)*(L24-BT24-BU24)</f>
        <v>0</v>
      </c>
      <c r="BW24" s="37">
        <f>(db!$AS$8/100)*(L24-BT24-BU24)</f>
        <v>0</v>
      </c>
      <c r="BX24" s="35"/>
      <c r="BY24" s="37"/>
      <c r="BZ24" s="37"/>
      <c r="CA24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24" s="33"/>
      <c r="CC24" s="39">
        <f>ROUND((Table1[[#This Row],[Premium]]-Table1[[#This Row],[All Deductions]]),0)</f>
        <v>0</v>
      </c>
      <c r="CD24" s="39">
        <f>IF(B24=0,0,Table1[[#This Row],[Initial Reserve]]+CE23)</f>
        <v>0</v>
      </c>
      <c r="CE24" s="40">
        <f>ROUND(IF(B24=0,0,((CC24)*(1+db!Y26))+((CE23)*(1+db!U26))),0)</f>
        <v>0</v>
      </c>
      <c r="CF24" s="40">
        <f t="shared" si="19"/>
        <v>0</v>
      </c>
      <c r="CG24" s="15">
        <f t="shared" si="15"/>
        <v>23</v>
      </c>
      <c r="CH24" s="39">
        <f>IF(B24=0,0,((CC24)*(1+db!AH26))+((CH23)*(1+db!AD26)))</f>
        <v>0</v>
      </c>
      <c r="CI24" s="39">
        <f>IF(B24=0,0,((CC24)*(1+db!AH26))+((CI23)*(1+db!AD26)))</f>
        <v>0</v>
      </c>
      <c r="CJ24" s="40">
        <f>IF(B24=0,0,((CC24)*(1+db!AO26))+((CJ23)*(1+db!AK26)))</f>
        <v>0</v>
      </c>
      <c r="CK24" s="40">
        <f>CJ24-(SUM(BX$7:$BX25))</f>
        <v>0</v>
      </c>
      <c r="CL24" s="46"/>
    </row>
    <row r="25" spans="1:90">
      <c r="A25" s="24">
        <f t="shared" si="16"/>
        <v>24</v>
      </c>
      <c r="B25" s="16">
        <f>IF(AND(Changes!Change="Yes", Changes!ChangeType="Change Contract Duration"),IF(B24=0,0,IF(Changes!NewChangedValue&lt;B24+1,0,B24+1)),IF(B24=0,0,IF('Application Annually'!$C$5&lt;B24+1,0,B24+1)))</f>
        <v>0</v>
      </c>
      <c r="C25" s="15">
        <f t="shared" si="17"/>
        <v>0</v>
      </c>
      <c r="D25" s="312">
        <f t="shared" si="18"/>
        <v>51</v>
      </c>
      <c r="E25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25" s="29">
        <f t="shared" si="8"/>
        <v>0</v>
      </c>
      <c r="G25" s="29">
        <f t="shared" si="9"/>
        <v>0</v>
      </c>
      <c r="H25" s="29">
        <f t="shared" si="0"/>
        <v>0</v>
      </c>
      <c r="I25" s="29">
        <f>IF(B25&gt;0,IF(AND(Table1[[#This Row],[Year]]&gt;Changes!ValidityYear,Changes!Change="Yes",Changes!ChangeType="Change Value Adjustment"),Changes!$G$22,'Application Annually'!$C$11),0)</f>
        <v>0</v>
      </c>
      <c r="J25" s="29">
        <f>IF(B25&gt;0,IF(AND(Table1[[#This Row],[Year]]&gt;Changes!ValidityYear,Changes!Change="Yes",Changes!ChangeType="Change Value Adjustment"),Changes!$G$24,'Application Annually'!$C$7),0)</f>
        <v>0</v>
      </c>
      <c r="K25" s="29">
        <f>ROUND(IF(B25=0,0,IF(AND(Changes!Change="Yes", Changes!ValidityYear=Table1[[#This Row],[Year]], Changes!ChangeType="Change Premium"), Changes!NewChangedValue, (K24*(1+db!$B$3)))),0)</f>
        <v>0</v>
      </c>
      <c r="L25" s="29">
        <f>ROUND(IF(AND(Changes!Change="Yes",Changes!ValidityYear&lt;=Table1[[#This Row],[Year]],Changes!ChangeType="Paid-Up"),0,IF(B25=0,0,IF(AND(Changes!Change="Yes", Changes!ValidityYear=Table1[[#This Row],[Year]], Changes!ChangeType="Change Premium"), Changes!NewChangedValue, (L24*(1+Table1[[#This Row],[Adjustment Factor of Premium]]/100))))),0)</f>
        <v>0</v>
      </c>
      <c r="M25" s="29">
        <f>IF(Table1[[#This Row],[Year]]=1,ROUND(MIN($L$2 -( Table1[[#This Row],[Riders Risk Premiums]] + Table1[[#This Row],[Acquisition Cost]]) *0.75,Table1[[#This Row],[Death Capital (1)]]* 0.03),0),0)</f>
        <v>0</v>
      </c>
      <c r="N25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25" s="29">
        <f>ROUND(IF(ROW()-1&gt;InsurancePeriod,0,(O24*(1+(Table1[[#This Row],[Adjustment Factor of Premium]]/100)))),0)</f>
        <v>0</v>
      </c>
      <c r="P25" s="29">
        <f>IF(Table1[Year] = 0, 0, SUM(L$2:L25))</f>
        <v>0</v>
      </c>
      <c r="Q25" s="17">
        <f t="shared" si="1"/>
        <v>0</v>
      </c>
      <c r="R25" s="17">
        <f>IF(Table1[[#This Row],[Year]]=0,0,IF($C$2&lt;=50,LOOKUP(Table1[[#This Row],[Age]],db!BG26:BG132,db!BH26:BH132),LOOKUP(Table1[[#This Row],[Age]],db!BJ26:BJ132,db!BK26:BK132)))</f>
        <v>0</v>
      </c>
      <c r="S25" s="17">
        <f>IF(AND(Changes!Change="Yes",Changes!ValidityYear&lt;=Table1[[#This Row],[Year]],Changes!ChangeType="Paid-Up",PaidUpOption="Paid-up with no coverage"),0,IF(B25=0,0, IF(AND(Changes!Change="Yes", Changes!ValidityYear=Table1[[#This Row],[Year]], Changes!ChangeType="Change Death Capital"), Changes!NewChangedValue, S24*(1+(Table1[[#This Row],[Adjustment Factor of Death Capital]]/100)))))</f>
        <v>0</v>
      </c>
      <c r="T25" s="17">
        <f>MIN(IF(B25=0,0,Table1[[#This Row],[Death Capital (1)]]),Table1[[#This Row],[Max Sum Insured For Death]])</f>
        <v>0</v>
      </c>
      <c r="U25" s="29">
        <f t="shared" si="10"/>
        <v>0</v>
      </c>
      <c r="V25" s="29">
        <f>IF(AND(Changes!Change="Yes",Changes!ValidityYear&lt;=Table1[[#This Row],[Year]],Changes!ChangeType="Paid-Up",OR(PaidUpOption="Paid-up with no coverage",PaidUpOption="Paid-up with main coverage")),0,IF(B25=0,0,IF(AND(Changes!Change="Yes", Changes!ValidityYear&lt;=Table1[[#This Row],[Year]], Changes!ChangeType="Rider Inclusion/Exclusion", Changes!RiderType="Accident Death"), T25*Changes!NewChangedValue,IF(db!$D$6="Yes",(db!$B$6)*T25,0))))</f>
        <v>0</v>
      </c>
      <c r="W25" s="29">
        <f>MIN(IF(V25&lt;=db!$L$2,V25,db!$L$2),MAX_ACC_CAPITAL)</f>
        <v>0</v>
      </c>
      <c r="X25" s="17">
        <f>IF(AND(Changes!Change="Yes",Changes!ValidityYear&lt;=Table1[[#This Row],[Year]],Changes!ChangeType="Paid-Up",OR(PaidUpOption="Paid-up with no coverage",PaidUpOption="Paid-up with main coverage")),0,IF(OR(B25=0,Table1[[#This Row],[Accident Capital (2)]]=0),0,IF(AND(Changes!Change="Yes", Changes!ValidityYear&lt;=Table1[[#This Row],[Year]], Changes!ChangeType="Rider Inclusion/Exclusion", Changes!RiderType="Accident Disability"), T25*Changes!NewChangedValue,IF(db!$D$7="Yes",(db!$B$7)*T25,0))))</f>
        <v>0</v>
      </c>
      <c r="Y25" s="42">
        <f>IF(C25&gt;69,0,IF(C25=0,0,IF(X25&lt;=db!$L$3,X25,db!$L$3)))</f>
        <v>0</v>
      </c>
      <c r="Z25" s="29">
        <f>IF(AND(Changes!Change="Yes",Changes!ValidityYear&lt;=Table1[[#This Row],[Year]],Changes!ChangeType="Paid-Up",OR(PaidUpOption="Paid-up with no coverage",PaidUpOption="Paid-up with main coverage")),0,IF(OR(B25=0,Table1[[#This Row],[Accident Capital (2)]]=0),0,IF(AND(Changes!Change="Yes", Changes!ValidityYear&lt;=Table1[[#This Row],[Year]], Changes!ChangeType="Rider Inclusion/Exclusion", Changes!RiderType="Accident Medical Cost"), T25*Changes!NewChangedValue,IF(db!$D$9="Yes",(db!$B$9)*T25,0))))</f>
        <v>0</v>
      </c>
      <c r="AA25" s="29">
        <f>ROUND(IF(C25&gt;69,0,IF(C25=0,0,IF(Z25&lt;=db!$L$4,Z25,db!$L$4))),0)</f>
        <v>0</v>
      </c>
      <c r="AB25" s="38">
        <f>IF(AND(Changes!Change = "Yes", Changes!ChangeType = "Rider Inclusion/Exclusion", Changes!RiderType = "WOP"), IF( Changes!ValidityYear &lt;= Table1[[#This Row],[Year]], IF(WOP = "Yes", 0, 1),  IF(WOP = "Yes", 1, 0)), IF(AND(db!$D$8="Yes",C25&lt;=69,ROW()-1&lt;=InsurancePeriod), 1, 0))</f>
        <v>0</v>
      </c>
      <c r="AC25" s="17">
        <f>(AC26+K26)*AB25*((1)/(1+db!AA27))*(LOOKUP(C25,'Mortality Table'!$A$2:$A$108,'Mortality Table'!$E$2:$E$108))</f>
        <v>0</v>
      </c>
      <c r="AD25" s="340">
        <f>IF(AND(Changes!ValidityYear&lt;= Table1[[#This Row],[Year]],Changes!ChangeType="Change Value Adjustment",Changes!Change="Yes"), (AD26+L26)*AB25*((1)/(1+db!AA27))*(LOOKUP(C25,'Mortality Table'!$A$2:$A$108,'Mortality Table'!$E$2:$E$108)),Table1[[#This Row],[WOP Before Adj. BT]])</f>
        <v>0</v>
      </c>
      <c r="AE25" s="341">
        <f>IF(AND(Changes!Change="Yes", Changes!ChangeType="Change Value Adjustment"),Table1[[#This Row],[WOP Capital]],(AE26+O26)*AB25*((1)/(1+db!AA27))*(LOOKUP(D25,'Mortality Table'!$A$2:$A$108,'Mortality Table'!$E$2:$E$108)))</f>
        <v>0</v>
      </c>
      <c r="AF25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25" s="42">
        <f>IF(AND(Changes!Change="Yes", Changes!ValidityYear&lt;=Table1[[#This Row],[Year]], Changes!ChangeType="Rider Inclusion/Exclusion", Changes!RiderType="Disability Annuity"), L25*Changes!NewChangedValue,L25*db!B$10*IF(db!$D$10="Yes",1,0))</f>
        <v>0</v>
      </c>
      <c r="AH25" s="29">
        <f>IF(AND(Changes!Change="Yes",Changes!ValidityYear&lt;=Table1[[#This Row],[Year]],Changes!ChangeType="Paid-Up"),0,Table1[[#This Row],[Code Annuity Capital]]*IF('Annual Calculation'!C25&gt;69,0,(LOOKUP('Annual Calculation'!C25+1,'Mortality Table'!$A$2:$A$108,'Mortality Table'!$O$2:$O$108)-LOOKUP('Annual Calculation'!C25+11,'Mortality Table'!$A$2:$A$108,'Mortality Table'!$O$2:$O$108))/LOOKUP('Annual Calculation'!C25,'Mortality Table'!$A$2:$A$108,'Mortality Table'!$M$2:$M$108)))</f>
        <v>0</v>
      </c>
      <c r="AI25" s="17">
        <f>IF(AND(Changes!Change="Yes",Changes!ValidityYear&lt;=Table1[[#This Row],[Year]],Changes!ChangeType="Paid-Up",OR(PaidUpOption="Paid-up with no coverage",PaidUpOption="Paid-up with main coverage")),0,IF(B25=0,0,IF(AND(Changes!Change="Yes", Changes!ValidityYear&lt;=Table1[[#This Row],[Year]], Changes!ChangeType="Rider Inclusion/Exclusion", Changes!RiderType="Dread Disease"), T25*Changes!NewChangedValue,IF(db!$D$11="Yes",(db!$B$11)*T25,0))))</f>
        <v>0</v>
      </c>
      <c r="AJ25" s="42">
        <f>ROUND(IF(C25&gt;59,0,IF(C25=0,0,IF(AI25&lt;=db!$L$5,AI25,db!$L$5))),0)</f>
        <v>0</v>
      </c>
      <c r="AK25" s="29">
        <f>IF(AND(Changes!Change="Yes",Changes!ValidityYear&lt;=Table1[[#This Row],[Year]],Changes!ChangeType="Paid-Up",OR(PaidUpOption="Paid-up with no coverage",PaidUpOption="Paid-up with main coverage")),0,IF(B25=0,0,IF(AND(Changes!Change="Yes", Changes!ValidityYear&lt;=Table1[[#This Row],[Year]], Changes!ChangeType="Rider Inclusion/Exclusion", Changes!RiderType="Cancer"), T25*Changes!NewChangedValue,IF(db!$D$12="Yes",(db!$B$12)*T25,0))))</f>
        <v>0</v>
      </c>
      <c r="AL25" s="29">
        <f>ROUND(IF(C25&gt;59,0,IF(C25=0,0,IF(AK25&lt;=db!$L$6,AK25,db!$L$6))),0)</f>
        <v>0</v>
      </c>
      <c r="AM25" s="32"/>
      <c r="AN25" s="18">
        <f>IF(B25=0,0,IF(C25&lt;(db!$E$2+5),LOOKUP(C25,'Mortality Table'!$A$2:$A$108,'Mortality Table'!$P$2:$P$108),IF((C25&gt;=db!$E$2+10),LOOKUP(C25,'Mortality Table'!$A$2:$A$108,'Mortality Table'!$R$2:$R$108),LOOKUP(C25,'Mortality Table'!$A$2:$A$108,'Mortality Table'!$Q$2:$Q$108))))</f>
        <v>0</v>
      </c>
      <c r="AO25" s="22">
        <f t="shared" si="2"/>
        <v>0</v>
      </c>
      <c r="AP25" s="19">
        <f>IF(B25=0,0, LOOKUP(IF(AND(Changes!Change="Yes", Changes!ValidityYear&lt;=Table1[[#This Row],[Year]], Changes!ChangeType="Change Job Class"),Changes!NewChangedValue, db!$A$8),db!$AX$4:$AX$8,db!$AY$4:$AY$8))</f>
        <v>0</v>
      </c>
      <c r="AQ25" s="20">
        <f>ROUND((AP25/1000)*W25 * (1-db!$AS$9),0)</f>
        <v>0</v>
      </c>
      <c r="AR25" s="20">
        <f>(AP25/1000)*W25 * db!$AS$9</f>
        <v>0</v>
      </c>
      <c r="AS25" s="21">
        <f>IF(B25=0,0, LOOKUP(IF(AND(Changes!Change="Yes", Changes!ValidityYear&lt;=Table1[[#This Row],[Year]], Changes!ChangeType="Change Job Class"),Changes!NewChangedValue, db!$A$8),db!$AX$4:$AX$8,db!$AZ$4:$AZ$8))</f>
        <v>0</v>
      </c>
      <c r="AT25" s="22">
        <f>(AS25/1000)*Y25*(1-db!$AS$9)</f>
        <v>0</v>
      </c>
      <c r="AU25" s="22">
        <f>(AS25/1000)*Y25*(db!$AS$9)</f>
        <v>0</v>
      </c>
      <c r="AV25" s="23">
        <f>IF(B25=0,0, LOOKUP(IF(AND(Changes!Change="Yes", Changes!ValidityYear&lt;=Table1[[#This Row],[Year]], Changes!ChangeType="Change Job Class"),Changes!NewChangedValue, db!$A$8),db!$AX$4:$AX$8,db!$BA$4:$BA$8))</f>
        <v>0</v>
      </c>
      <c r="AW25" s="20">
        <f>ROUND((AV25/(100))*AA25*(1-db!$AS$9),0)</f>
        <v>0</v>
      </c>
      <c r="AX25" s="20">
        <f>ROUND((AV25/(100))*AA25*(db!$AS$9),0)</f>
        <v>0</v>
      </c>
      <c r="AY25" s="21">
        <f>IF(db!$D$8="Yes",AS25,0)</f>
        <v>0</v>
      </c>
      <c r="AZ25" s="22">
        <f>(AY25*AF25)/1000*(1-db!$AS$9)</f>
        <v>0</v>
      </c>
      <c r="BA25" s="22">
        <f>(AY25*AF25)/1000*(db!$AS$9)</f>
        <v>0</v>
      </c>
      <c r="BB25" s="23">
        <f t="shared" si="3"/>
        <v>0</v>
      </c>
      <c r="BC25" s="20">
        <f>(BB25*AH25/1000)*(1-db!$AS$9)</f>
        <v>0</v>
      </c>
      <c r="BD25" s="20">
        <f>(BB25*AH25/1000)*(db!$AS$9)</f>
        <v>0</v>
      </c>
      <c r="BE25" s="22">
        <f>IF(B25=0,0,IF(C25&gt;60,0,LOOKUP(Table1[[#This Row],[Medical
Age]],db!$BC$3:$BC$63,db!$BD$3:$BD$63)))</f>
        <v>0</v>
      </c>
      <c r="BF25" s="22">
        <f>BG25*db!$AS$10</f>
        <v>0</v>
      </c>
      <c r="BG25" s="22">
        <f t="shared" si="4"/>
        <v>0</v>
      </c>
      <c r="BH25" s="22">
        <f>(BE25/1000000)*AJ25*(1-db!$AS$10)</f>
        <v>0</v>
      </c>
      <c r="BI25" s="20">
        <f>IF(B25=0,0,IF(C25&gt;59,0,LOOKUP(Table1[[#This Row],[Medical
Age]],db!$BC$3:$BC$63,db!$BE$3:$BE$63)))</f>
        <v>0</v>
      </c>
      <c r="BJ25" s="20">
        <f>(BI25/1000000)*AL25*(1-db!$AS$11)</f>
        <v>0</v>
      </c>
      <c r="BK25" s="20">
        <f>(BI25/1000000)*AL25*(db!$AS$11)</f>
        <v>0</v>
      </c>
      <c r="BL25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25" s="20">
        <f>Table1[[#This Row],[RiskLoading
Rate]]*Table1[[#This Row],[Death Capital (2)]]</f>
        <v>0</v>
      </c>
      <c r="BN25" s="36"/>
      <c r="BO25" s="37">
        <f t="shared" si="5"/>
        <v>0</v>
      </c>
      <c r="BP25" s="35">
        <f t="shared" si="6"/>
        <v>0</v>
      </c>
      <c r="BQ25" s="35">
        <f t="shared" si="7"/>
        <v>0</v>
      </c>
      <c r="BR25" s="37">
        <f t="shared" si="11"/>
        <v>0</v>
      </c>
      <c r="BS25" s="37">
        <f t="shared" si="12"/>
        <v>0</v>
      </c>
      <c r="BT25" s="35">
        <f t="shared" si="13"/>
        <v>0</v>
      </c>
      <c r="BU25" s="35">
        <f t="shared" si="14"/>
        <v>0</v>
      </c>
      <c r="BV25" s="37">
        <f>(db!$AS$4/100)*(L25-BT25-BU25)</f>
        <v>0</v>
      </c>
      <c r="BW25" s="37">
        <f>(db!$AS$8/100)*(L25-BT25-BU25)</f>
        <v>0</v>
      </c>
      <c r="BX25" s="35"/>
      <c r="BY25" s="37"/>
      <c r="BZ25" s="37"/>
      <c r="CA25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25" s="33"/>
      <c r="CC25" s="39">
        <f>ROUND((Table1[[#This Row],[Premium]]-Table1[[#This Row],[All Deductions]]),0)</f>
        <v>0</v>
      </c>
      <c r="CD25" s="39">
        <f>IF(B25=0,0,Table1[[#This Row],[Initial Reserve]]+CE24)</f>
        <v>0</v>
      </c>
      <c r="CE25" s="40">
        <f>ROUND(IF(B25=0,0,((CC25)*(1+db!Y27))+((CE24)*(1+db!U27))),0)</f>
        <v>0</v>
      </c>
      <c r="CF25" s="40">
        <f t="shared" si="19"/>
        <v>0</v>
      </c>
      <c r="CG25" s="15">
        <f t="shared" si="15"/>
        <v>24</v>
      </c>
      <c r="CH25" s="39">
        <f>IF(B25=0,0,((CC25)*(1+db!AH27))+((CH24)*(1+db!AD27)))</f>
        <v>0</v>
      </c>
      <c r="CI25" s="39">
        <f>IF(B25=0,0,((CC25)*(1+db!AH27))+((CI24)*(1+db!AD27)))</f>
        <v>0</v>
      </c>
      <c r="CJ25" s="40">
        <f>IF(B25=0,0,((CC25)*(1+db!AO27))+((CJ24)*(1+db!AK27)))</f>
        <v>0</v>
      </c>
      <c r="CK25" s="40">
        <f>CJ25-(SUM(BX$7:$BX26))</f>
        <v>0</v>
      </c>
      <c r="CL25" s="46"/>
    </row>
    <row r="26" spans="1:90">
      <c r="A26" s="24">
        <f t="shared" si="16"/>
        <v>25</v>
      </c>
      <c r="B26" s="16">
        <f>IF(AND(Changes!Change="Yes", Changes!ChangeType="Change Contract Duration"),IF(B25=0,0,IF(Changes!NewChangedValue&lt;B25+1,0,B25+1)),IF(B25=0,0,IF('Application Annually'!$C$5&lt;B25+1,0,B25+1)))</f>
        <v>0</v>
      </c>
      <c r="C26" s="15">
        <f t="shared" si="17"/>
        <v>0</v>
      </c>
      <c r="D26" s="312">
        <f t="shared" si="18"/>
        <v>52</v>
      </c>
      <c r="E26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26" s="29">
        <f t="shared" si="8"/>
        <v>0</v>
      </c>
      <c r="G26" s="29">
        <f t="shared" si="9"/>
        <v>0</v>
      </c>
      <c r="H26" s="29">
        <f t="shared" si="0"/>
        <v>0</v>
      </c>
      <c r="I26" s="29">
        <f>IF(B26&gt;0,IF(AND(Table1[[#This Row],[Year]]&gt;Changes!ValidityYear,Changes!Change="Yes",Changes!ChangeType="Change Value Adjustment"),Changes!$G$22,'Application Annually'!$C$11),0)</f>
        <v>0</v>
      </c>
      <c r="J26" s="29">
        <f>IF(B26&gt;0,IF(AND(Table1[[#This Row],[Year]]&gt;Changes!ValidityYear,Changes!Change="Yes",Changes!ChangeType="Change Value Adjustment"),Changes!$G$24,'Application Annually'!$C$7),0)</f>
        <v>0</v>
      </c>
      <c r="K26" s="29">
        <f>ROUND(IF(B26=0,0,IF(AND(Changes!Change="Yes", Changes!ValidityYear=Table1[[#This Row],[Year]], Changes!ChangeType="Change Premium"), Changes!NewChangedValue, (K25*(1+db!$B$3)))),0)</f>
        <v>0</v>
      </c>
      <c r="L26" s="29">
        <f>ROUND(IF(AND(Changes!Change="Yes",Changes!ValidityYear&lt;=Table1[[#This Row],[Year]],Changes!ChangeType="Paid-Up"),0,IF(B26=0,0,IF(AND(Changes!Change="Yes", Changes!ValidityYear=Table1[[#This Row],[Year]], Changes!ChangeType="Change Premium"), Changes!NewChangedValue, (L25*(1+Table1[[#This Row],[Adjustment Factor of Premium]]/100))))),0)</f>
        <v>0</v>
      </c>
      <c r="M26" s="29">
        <f>IF(Table1[[#This Row],[Year]]=1,ROUND(MIN($L$2 -( Table1[[#This Row],[Riders Risk Premiums]] + Table1[[#This Row],[Acquisition Cost]]) *0.75,Table1[[#This Row],[Death Capital (1)]]* 0.03),0),0)</f>
        <v>0</v>
      </c>
      <c r="N26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26" s="29">
        <f>ROUND(IF(ROW()-1&gt;InsurancePeriod,0,(O25*(1+(Table1[[#This Row],[Adjustment Factor of Premium]]/100)))),0)</f>
        <v>0</v>
      </c>
      <c r="P26" s="29">
        <f>IF(Table1[Year] = 0, 0, SUM(L$2:L26))</f>
        <v>0</v>
      </c>
      <c r="Q26" s="17">
        <f t="shared" si="1"/>
        <v>0</v>
      </c>
      <c r="R26" s="17">
        <f>IF(Table1[[#This Row],[Year]]=0,0,IF($C$2&lt;=50,LOOKUP(Table1[[#This Row],[Age]],db!BG27:BG133,db!BH27:BH133),LOOKUP(Table1[[#This Row],[Age]],db!BJ27:BJ133,db!BK27:BK133)))</f>
        <v>0</v>
      </c>
      <c r="S26" s="17">
        <f>IF(AND(Changes!Change="Yes",Changes!ValidityYear&lt;=Table1[[#This Row],[Year]],Changes!ChangeType="Paid-Up",PaidUpOption="Paid-up with no coverage"),0,IF(B26=0,0, IF(AND(Changes!Change="Yes", Changes!ValidityYear=Table1[[#This Row],[Year]], Changes!ChangeType="Change Death Capital"), Changes!NewChangedValue, S25*(1+(Table1[[#This Row],[Adjustment Factor of Death Capital]]/100)))))</f>
        <v>0</v>
      </c>
      <c r="T26" s="17">
        <f>MIN(IF(B26=0,0,Table1[[#This Row],[Death Capital (1)]]),Table1[[#This Row],[Max Sum Insured For Death]])</f>
        <v>0</v>
      </c>
      <c r="U26" s="29">
        <f t="shared" si="10"/>
        <v>0</v>
      </c>
      <c r="V26" s="29">
        <f>IF(AND(Changes!Change="Yes",Changes!ValidityYear&lt;=Table1[[#This Row],[Year]],Changes!ChangeType="Paid-Up",OR(PaidUpOption="Paid-up with no coverage",PaidUpOption="Paid-up with main coverage")),0,IF(B26=0,0,IF(AND(Changes!Change="Yes", Changes!ValidityYear&lt;=Table1[[#This Row],[Year]], Changes!ChangeType="Rider Inclusion/Exclusion", Changes!RiderType="Accident Death"), T26*Changes!NewChangedValue,IF(db!$D$6="Yes",(db!$B$6)*T26,0))))</f>
        <v>0</v>
      </c>
      <c r="W26" s="29">
        <f>MIN(IF(V26&lt;=db!$L$2,V26,db!$L$2),MAX_ACC_CAPITAL)</f>
        <v>0</v>
      </c>
      <c r="X26" s="17">
        <f>IF(AND(Changes!Change="Yes",Changes!ValidityYear&lt;=Table1[[#This Row],[Year]],Changes!ChangeType="Paid-Up",OR(PaidUpOption="Paid-up with no coverage",PaidUpOption="Paid-up with main coverage")),0,IF(OR(B26=0,Table1[[#This Row],[Accident Capital (2)]]=0),0,IF(AND(Changes!Change="Yes", Changes!ValidityYear&lt;=Table1[[#This Row],[Year]], Changes!ChangeType="Rider Inclusion/Exclusion", Changes!RiderType="Accident Disability"), T26*Changes!NewChangedValue,IF(db!$D$7="Yes",(db!$B$7)*T26,0))))</f>
        <v>0</v>
      </c>
      <c r="Y26" s="42">
        <f>IF(C26&gt;69,0,IF(C26=0,0,IF(X26&lt;=db!$L$3,X26,db!$L$3)))</f>
        <v>0</v>
      </c>
      <c r="Z26" s="29">
        <f>IF(AND(Changes!Change="Yes",Changes!ValidityYear&lt;=Table1[[#This Row],[Year]],Changes!ChangeType="Paid-Up",OR(PaidUpOption="Paid-up with no coverage",PaidUpOption="Paid-up with main coverage")),0,IF(OR(B26=0,Table1[[#This Row],[Accident Capital (2)]]=0),0,IF(AND(Changes!Change="Yes", Changes!ValidityYear&lt;=Table1[[#This Row],[Year]], Changes!ChangeType="Rider Inclusion/Exclusion", Changes!RiderType="Accident Medical Cost"), T26*Changes!NewChangedValue,IF(db!$D$9="Yes",(db!$B$9)*T26,0))))</f>
        <v>0</v>
      </c>
      <c r="AA26" s="29">
        <f>ROUND(IF(C26&gt;69,0,IF(C26=0,0,IF(Z26&lt;=db!$L$4,Z26,db!$L$4))),0)</f>
        <v>0</v>
      </c>
      <c r="AB26" s="38">
        <f>IF(AND(Changes!Change = "Yes", Changes!ChangeType = "Rider Inclusion/Exclusion", Changes!RiderType = "WOP"), IF( Changes!ValidityYear &lt;= Table1[[#This Row],[Year]], IF(WOP = "Yes", 0, 1),  IF(WOP = "Yes", 1, 0)), IF(AND(db!$D$8="Yes",C26&lt;=69,ROW()-1&lt;=InsurancePeriod), 1, 0))</f>
        <v>0</v>
      </c>
      <c r="AC26" s="17">
        <f>(AC27+K27)*AB26*((1)/(1+db!AA28))*(LOOKUP(C26,'Mortality Table'!$A$2:$A$108,'Mortality Table'!$E$2:$E$108))</f>
        <v>0</v>
      </c>
      <c r="AD26" s="340">
        <f>IF(AND(Changes!ValidityYear&lt;= Table1[[#This Row],[Year]],Changes!ChangeType="Change Value Adjustment",Changes!Change="Yes"), (AD27+L27)*AB26*((1)/(1+db!AA28))*(LOOKUP(C26,'Mortality Table'!$A$2:$A$108,'Mortality Table'!$E$2:$E$108)),Table1[[#This Row],[WOP Before Adj. BT]])</f>
        <v>0</v>
      </c>
      <c r="AE26" s="341">
        <f>IF(AND(Changes!Change="Yes", Changes!ChangeType="Change Value Adjustment"),Table1[[#This Row],[WOP Capital]],(AE27+O27)*AB26*((1)/(1+db!AA28))*(LOOKUP(D26,'Mortality Table'!$A$2:$A$108,'Mortality Table'!$E$2:$E$108)))</f>
        <v>0</v>
      </c>
      <c r="AF26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26" s="42">
        <f>IF(AND(Changes!Change="Yes", Changes!ValidityYear&lt;=Table1[[#This Row],[Year]], Changes!ChangeType="Rider Inclusion/Exclusion", Changes!RiderType="Disability Annuity"), L26*Changes!NewChangedValue,L26*db!B$10*IF(db!$D$10="Yes",1,0))</f>
        <v>0</v>
      </c>
      <c r="AH26" s="29">
        <f>IF(AND(Changes!Change="Yes",Changes!ValidityYear&lt;=Table1[[#This Row],[Year]],Changes!ChangeType="Paid-Up"),0,Table1[[#This Row],[Code Annuity Capital]]*IF('Annual Calculation'!C26&gt;69,0,(LOOKUP('Annual Calculation'!C26+1,'Mortality Table'!$A$2:$A$108,'Mortality Table'!$O$2:$O$108)-LOOKUP('Annual Calculation'!C26+11,'Mortality Table'!$A$2:$A$108,'Mortality Table'!$O$2:$O$108))/LOOKUP('Annual Calculation'!C26,'Mortality Table'!$A$2:$A$108,'Mortality Table'!$M$2:$M$108)))</f>
        <v>0</v>
      </c>
      <c r="AI26" s="17">
        <f>IF(AND(Changes!Change="Yes",Changes!ValidityYear&lt;=Table1[[#This Row],[Year]],Changes!ChangeType="Paid-Up",OR(PaidUpOption="Paid-up with no coverage",PaidUpOption="Paid-up with main coverage")),0,IF(B26=0,0,IF(AND(Changes!Change="Yes", Changes!ValidityYear&lt;=Table1[[#This Row],[Year]], Changes!ChangeType="Rider Inclusion/Exclusion", Changes!RiderType="Dread Disease"), T26*Changes!NewChangedValue,IF(db!$D$11="Yes",(db!$B$11)*T26,0))))</f>
        <v>0</v>
      </c>
      <c r="AJ26" s="42">
        <f>ROUND(IF(C26&gt;59,0,IF(C26=0,0,IF(AI26&lt;=db!$L$5,AI26,db!$L$5))),0)</f>
        <v>0</v>
      </c>
      <c r="AK26" s="29">
        <f>IF(AND(Changes!Change="Yes",Changes!ValidityYear&lt;=Table1[[#This Row],[Year]],Changes!ChangeType="Paid-Up",OR(PaidUpOption="Paid-up with no coverage",PaidUpOption="Paid-up with main coverage")),0,IF(B26=0,0,IF(AND(Changes!Change="Yes", Changes!ValidityYear&lt;=Table1[[#This Row],[Year]], Changes!ChangeType="Rider Inclusion/Exclusion", Changes!RiderType="Cancer"), T26*Changes!NewChangedValue,IF(db!$D$12="Yes",(db!$B$12)*T26,0))))</f>
        <v>0</v>
      </c>
      <c r="AL26" s="29">
        <f>ROUND(IF(C26&gt;59,0,IF(C26=0,0,IF(AK26&lt;=db!$L$6,AK26,db!$L$6))),0)</f>
        <v>0</v>
      </c>
      <c r="AM26" s="32"/>
      <c r="AN26" s="18">
        <f>IF(B26=0,0,IF(C26&lt;(db!$E$2+5),LOOKUP(C26,'Mortality Table'!$A$2:$A$108,'Mortality Table'!$P$2:$P$108),IF((C26&gt;=db!$E$2+10),LOOKUP(C26,'Mortality Table'!$A$2:$A$108,'Mortality Table'!$R$2:$R$108),LOOKUP(C26,'Mortality Table'!$A$2:$A$108,'Mortality Table'!$Q$2:$Q$108))))</f>
        <v>0</v>
      </c>
      <c r="AO26" s="22">
        <f t="shared" si="2"/>
        <v>0</v>
      </c>
      <c r="AP26" s="19">
        <f>IF(B26=0,0, LOOKUP(IF(AND(Changes!Change="Yes", Changes!ValidityYear&lt;=Table1[[#This Row],[Year]], Changes!ChangeType="Change Job Class"),Changes!NewChangedValue, db!$A$8),db!$AX$4:$AX$8,db!$AY$4:$AY$8))</f>
        <v>0</v>
      </c>
      <c r="AQ26" s="20">
        <f>ROUND((AP26/1000)*W26 * (1-db!$AS$9),0)</f>
        <v>0</v>
      </c>
      <c r="AR26" s="20">
        <f>(AP26/1000)*W26 * db!$AS$9</f>
        <v>0</v>
      </c>
      <c r="AS26" s="21">
        <f>IF(B26=0,0, LOOKUP(IF(AND(Changes!Change="Yes", Changes!ValidityYear&lt;=Table1[[#This Row],[Year]], Changes!ChangeType="Change Job Class"),Changes!NewChangedValue, db!$A$8),db!$AX$4:$AX$8,db!$AZ$4:$AZ$8))</f>
        <v>0</v>
      </c>
      <c r="AT26" s="22">
        <f>(AS26/1000)*Y26*(1-db!$AS$9)</f>
        <v>0</v>
      </c>
      <c r="AU26" s="22">
        <f>(AS26/1000)*Y26*(db!$AS$9)</f>
        <v>0</v>
      </c>
      <c r="AV26" s="23">
        <f>IF(B26=0,0, LOOKUP(IF(AND(Changes!Change="Yes", Changes!ValidityYear&lt;=Table1[[#This Row],[Year]], Changes!ChangeType="Change Job Class"),Changes!NewChangedValue, db!$A$8),db!$AX$4:$AX$8,db!$BA$4:$BA$8))</f>
        <v>0</v>
      </c>
      <c r="AW26" s="20">
        <f>ROUND((AV26/(100))*AA26*(1-db!$AS$9),0)</f>
        <v>0</v>
      </c>
      <c r="AX26" s="20">
        <f>ROUND((AV26/(100))*AA26*(db!$AS$9),0)</f>
        <v>0</v>
      </c>
      <c r="AY26" s="21">
        <f>IF(db!$D$8="Yes",AS26,0)</f>
        <v>0</v>
      </c>
      <c r="AZ26" s="22">
        <f>(AY26*AF26)/1000*(1-db!$AS$9)</f>
        <v>0</v>
      </c>
      <c r="BA26" s="22">
        <f>(AY26*AF26)/1000*(db!$AS$9)</f>
        <v>0</v>
      </c>
      <c r="BB26" s="23">
        <f t="shared" si="3"/>
        <v>0</v>
      </c>
      <c r="BC26" s="20">
        <f>(BB26*AH26/1000)*(1-db!$AS$9)</f>
        <v>0</v>
      </c>
      <c r="BD26" s="20">
        <f>(BB26*AH26/1000)*(db!$AS$9)</f>
        <v>0</v>
      </c>
      <c r="BE26" s="22">
        <f>IF(B26=0,0,IF(C26&gt;60,0,LOOKUP(Table1[[#This Row],[Medical
Age]],db!$BC$3:$BC$63,db!$BD$3:$BD$63)))</f>
        <v>0</v>
      </c>
      <c r="BF26" s="22">
        <f>BG26*db!$AS$10</f>
        <v>0</v>
      </c>
      <c r="BG26" s="22">
        <f t="shared" si="4"/>
        <v>0</v>
      </c>
      <c r="BH26" s="22">
        <f>(BE26/1000000)*AJ26*(1-db!$AS$10)</f>
        <v>0</v>
      </c>
      <c r="BI26" s="20">
        <f>IF(B26=0,0,IF(C26&gt;59,0,LOOKUP(Table1[[#This Row],[Medical
Age]],db!$BC$3:$BC$63,db!$BE$3:$BE$63)))</f>
        <v>0</v>
      </c>
      <c r="BJ26" s="20">
        <f>(BI26/1000000)*AL26*(1-db!$AS$11)</f>
        <v>0</v>
      </c>
      <c r="BK26" s="20">
        <f>(BI26/1000000)*AL26*(db!$AS$11)</f>
        <v>0</v>
      </c>
      <c r="BL26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26" s="20">
        <f>Table1[[#This Row],[RiskLoading
Rate]]*Table1[[#This Row],[Death Capital (2)]]</f>
        <v>0</v>
      </c>
      <c r="BN26" s="36"/>
      <c r="BO26" s="37">
        <f t="shared" si="5"/>
        <v>0</v>
      </c>
      <c r="BP26" s="35">
        <f t="shared" si="6"/>
        <v>0</v>
      </c>
      <c r="BQ26" s="35">
        <f t="shared" si="7"/>
        <v>0</v>
      </c>
      <c r="BR26" s="37">
        <f t="shared" si="11"/>
        <v>0</v>
      </c>
      <c r="BS26" s="37">
        <f t="shared" si="12"/>
        <v>0</v>
      </c>
      <c r="BT26" s="35">
        <f t="shared" si="13"/>
        <v>0</v>
      </c>
      <c r="BU26" s="35">
        <f t="shared" si="14"/>
        <v>0</v>
      </c>
      <c r="BV26" s="37">
        <f>(db!$AS$4/100)*(L26-BT26-BU26)</f>
        <v>0</v>
      </c>
      <c r="BW26" s="37">
        <f>(db!$AS$8/100)*(L26-BT26-BU26)</f>
        <v>0</v>
      </c>
      <c r="BX26" s="35"/>
      <c r="BY26" s="37"/>
      <c r="BZ26" s="37"/>
      <c r="CA26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26" s="33"/>
      <c r="CC26" s="39">
        <f>ROUND((Table1[[#This Row],[Premium]]-Table1[[#This Row],[All Deductions]]),0)</f>
        <v>0</v>
      </c>
      <c r="CD26" s="39">
        <f>IF(B26=0,0,Table1[[#This Row],[Initial Reserve]]+CE25)</f>
        <v>0</v>
      </c>
      <c r="CE26" s="40">
        <f>ROUND(IF(B26=0,0,((CC26)*(1+db!Y28))+((CE25)*(1+db!U28))),0)</f>
        <v>0</v>
      </c>
      <c r="CF26" s="40">
        <f t="shared" si="19"/>
        <v>0</v>
      </c>
      <c r="CG26" s="15">
        <f t="shared" si="15"/>
        <v>25</v>
      </c>
      <c r="CH26" s="39">
        <f>IF(B26=0,0,((CC26)*(1+db!AH28))+((CH25)*(1+db!AD28)))</f>
        <v>0</v>
      </c>
      <c r="CI26" s="39">
        <f>IF(B26=0,0,((CC26)*(1+db!AH28))+((CI25)*(1+db!AD28)))</f>
        <v>0</v>
      </c>
      <c r="CJ26" s="40">
        <f>IF(B26=0,0,((CC26)*(1+db!AO28))+((CJ25)*(1+db!AK28)))</f>
        <v>0</v>
      </c>
      <c r="CK26" s="40">
        <f>CJ26-(SUM(BX$7:$BX27))</f>
        <v>0</v>
      </c>
      <c r="CL26" s="46"/>
    </row>
    <row r="27" spans="1:90">
      <c r="A27" s="24">
        <f t="shared" si="16"/>
        <v>26</v>
      </c>
      <c r="B27" s="16">
        <f>IF(AND(Changes!Change="Yes", Changes!ChangeType="Change Contract Duration"),IF(B26=0,0,IF(Changes!NewChangedValue&lt;B26+1,0,B26+1)),IF(B26=0,0,IF('Application Annually'!$C$5&lt;B26+1,0,B26+1)))</f>
        <v>0</v>
      </c>
      <c r="C27" s="15">
        <f t="shared" si="17"/>
        <v>0</v>
      </c>
      <c r="D27" s="312">
        <f t="shared" si="18"/>
        <v>53</v>
      </c>
      <c r="E27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27" s="29">
        <f t="shared" si="8"/>
        <v>0</v>
      </c>
      <c r="G27" s="29">
        <f t="shared" si="9"/>
        <v>0</v>
      </c>
      <c r="H27" s="29">
        <f t="shared" si="0"/>
        <v>0</v>
      </c>
      <c r="I27" s="29">
        <f>IF(B27&gt;0,IF(AND(Table1[[#This Row],[Year]]&gt;Changes!ValidityYear,Changes!Change="Yes",Changes!ChangeType="Change Value Adjustment"),Changes!$G$22,'Application Annually'!$C$11),0)</f>
        <v>0</v>
      </c>
      <c r="J27" s="29">
        <f>IF(B27&gt;0,IF(AND(Table1[[#This Row],[Year]]&gt;Changes!ValidityYear,Changes!Change="Yes",Changes!ChangeType="Change Value Adjustment"),Changes!$G$24,'Application Annually'!$C$7),0)</f>
        <v>0</v>
      </c>
      <c r="K27" s="29">
        <f>ROUND(IF(B27=0,0,IF(AND(Changes!Change="Yes", Changes!ValidityYear=Table1[[#This Row],[Year]], Changes!ChangeType="Change Premium"), Changes!NewChangedValue, (K26*(1+db!$B$3)))),0)</f>
        <v>0</v>
      </c>
      <c r="L27" s="29">
        <f>ROUND(IF(AND(Changes!Change="Yes",Changes!ValidityYear&lt;=Table1[[#This Row],[Year]],Changes!ChangeType="Paid-Up"),0,IF(B27=0,0,IF(AND(Changes!Change="Yes", Changes!ValidityYear=Table1[[#This Row],[Year]], Changes!ChangeType="Change Premium"), Changes!NewChangedValue, (L26*(1+Table1[[#This Row],[Adjustment Factor of Premium]]/100))))),0)</f>
        <v>0</v>
      </c>
      <c r="M27" s="29">
        <f>IF(Table1[[#This Row],[Year]]=1,ROUND(MIN($L$2 -( Table1[[#This Row],[Riders Risk Premiums]] + Table1[[#This Row],[Acquisition Cost]]) *0.75,Table1[[#This Row],[Death Capital (1)]]* 0.03),0),0)</f>
        <v>0</v>
      </c>
      <c r="N27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27" s="29">
        <f>ROUND(IF(ROW()-1&gt;InsurancePeriod,0,(O26*(1+(Table1[[#This Row],[Adjustment Factor of Premium]]/100)))),0)</f>
        <v>0</v>
      </c>
      <c r="P27" s="29">
        <f>IF(Table1[Year] = 0, 0, SUM(L$2:L27))</f>
        <v>0</v>
      </c>
      <c r="Q27" s="17">
        <f t="shared" si="1"/>
        <v>0</v>
      </c>
      <c r="R27" s="17">
        <f>IF(Table1[[#This Row],[Year]]=0,0,IF($C$2&lt;=50,LOOKUP(Table1[[#This Row],[Age]],db!BG28:BG134,db!BH28:BH134),LOOKUP(Table1[[#This Row],[Age]],db!BJ28:BJ134,db!BK28:BK134)))</f>
        <v>0</v>
      </c>
      <c r="S27" s="17">
        <f>IF(AND(Changes!Change="Yes",Changes!ValidityYear&lt;=Table1[[#This Row],[Year]],Changes!ChangeType="Paid-Up",PaidUpOption="Paid-up with no coverage"),0,IF(B27=0,0, IF(AND(Changes!Change="Yes", Changes!ValidityYear=Table1[[#This Row],[Year]], Changes!ChangeType="Change Death Capital"), Changes!NewChangedValue, S26*(1+(Table1[[#This Row],[Adjustment Factor of Death Capital]]/100)))))</f>
        <v>0</v>
      </c>
      <c r="T27" s="17">
        <f>MIN(IF(B27=0,0,Table1[[#This Row],[Death Capital (1)]]),Table1[[#This Row],[Max Sum Insured For Death]])</f>
        <v>0</v>
      </c>
      <c r="U27" s="29">
        <f t="shared" si="10"/>
        <v>0</v>
      </c>
      <c r="V27" s="29">
        <f>IF(AND(Changes!Change="Yes",Changes!ValidityYear&lt;=Table1[[#This Row],[Year]],Changes!ChangeType="Paid-Up",OR(PaidUpOption="Paid-up with no coverage",PaidUpOption="Paid-up with main coverage")),0,IF(B27=0,0,IF(AND(Changes!Change="Yes", Changes!ValidityYear&lt;=Table1[[#This Row],[Year]], Changes!ChangeType="Rider Inclusion/Exclusion", Changes!RiderType="Accident Death"), T27*Changes!NewChangedValue,IF(db!$D$6="Yes",(db!$B$6)*T27,0))))</f>
        <v>0</v>
      </c>
      <c r="W27" s="29">
        <f>MIN(IF(V27&lt;=db!$L$2,V27,db!$L$2),MAX_ACC_CAPITAL)</f>
        <v>0</v>
      </c>
      <c r="X27" s="17">
        <f>IF(AND(Changes!Change="Yes",Changes!ValidityYear&lt;=Table1[[#This Row],[Year]],Changes!ChangeType="Paid-Up",OR(PaidUpOption="Paid-up with no coverage",PaidUpOption="Paid-up with main coverage")),0,IF(OR(B27=0,Table1[[#This Row],[Accident Capital (2)]]=0),0,IF(AND(Changes!Change="Yes", Changes!ValidityYear&lt;=Table1[[#This Row],[Year]], Changes!ChangeType="Rider Inclusion/Exclusion", Changes!RiderType="Accident Disability"), T27*Changes!NewChangedValue,IF(db!$D$7="Yes",(db!$B$7)*T27,0))))</f>
        <v>0</v>
      </c>
      <c r="Y27" s="42">
        <f>IF(C27&gt;69,0,IF(C27=0,0,IF(X27&lt;=db!$L$3,X27,db!$L$3)))</f>
        <v>0</v>
      </c>
      <c r="Z27" s="29">
        <f>IF(AND(Changes!Change="Yes",Changes!ValidityYear&lt;=Table1[[#This Row],[Year]],Changes!ChangeType="Paid-Up",OR(PaidUpOption="Paid-up with no coverage",PaidUpOption="Paid-up with main coverage")),0,IF(OR(B27=0,Table1[[#This Row],[Accident Capital (2)]]=0),0,IF(AND(Changes!Change="Yes", Changes!ValidityYear&lt;=Table1[[#This Row],[Year]], Changes!ChangeType="Rider Inclusion/Exclusion", Changes!RiderType="Accident Medical Cost"), T27*Changes!NewChangedValue,IF(db!$D$9="Yes",(db!$B$9)*T27,0))))</f>
        <v>0</v>
      </c>
      <c r="AA27" s="29">
        <f>ROUND(IF(C27&gt;69,0,IF(C27=0,0,IF(Z27&lt;=db!$L$4,Z27,db!$L$4))),0)</f>
        <v>0</v>
      </c>
      <c r="AB27" s="38">
        <f>IF(AND(Changes!Change = "Yes", Changes!ChangeType = "Rider Inclusion/Exclusion", Changes!RiderType = "WOP"), IF( Changes!ValidityYear &lt;= Table1[[#This Row],[Year]], IF(WOP = "Yes", 0, 1),  IF(WOP = "Yes", 1, 0)), IF(AND(db!$D$8="Yes",C27&lt;=69,ROW()-1&lt;=InsurancePeriod), 1, 0))</f>
        <v>0</v>
      </c>
      <c r="AC27" s="17">
        <f>(AC28+K28)*AB27*((1)/(1+db!AA29))*(LOOKUP(C27,'Mortality Table'!$A$2:$A$108,'Mortality Table'!$E$2:$E$108))</f>
        <v>0</v>
      </c>
      <c r="AD27" s="340">
        <f>IF(AND(Changes!ValidityYear&lt;= Table1[[#This Row],[Year]],Changes!ChangeType="Change Value Adjustment",Changes!Change="Yes"), (AD28+L28)*AB27*((1)/(1+db!AA29))*(LOOKUP(C27,'Mortality Table'!$A$2:$A$108,'Mortality Table'!$E$2:$E$108)),Table1[[#This Row],[WOP Before Adj. BT]])</f>
        <v>0</v>
      </c>
      <c r="AE27" s="341">
        <f>IF(AND(Changes!Change="Yes", Changes!ChangeType="Change Value Adjustment"),Table1[[#This Row],[WOP Capital]],(AE28+O28)*AB27*((1)/(1+db!AA29))*(LOOKUP(D27,'Mortality Table'!$A$2:$A$108,'Mortality Table'!$E$2:$E$108)))</f>
        <v>0</v>
      </c>
      <c r="AF27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27" s="42">
        <f>IF(AND(Changes!Change="Yes", Changes!ValidityYear&lt;=Table1[[#This Row],[Year]], Changes!ChangeType="Rider Inclusion/Exclusion", Changes!RiderType="Disability Annuity"), L27*Changes!NewChangedValue,L27*db!B$10*IF(db!$D$10="Yes",1,0))</f>
        <v>0</v>
      </c>
      <c r="AH27" s="29">
        <f>IF(AND(Changes!Change="Yes",Changes!ValidityYear&lt;=Table1[[#This Row],[Year]],Changes!ChangeType="Paid-Up"),0,Table1[[#This Row],[Code Annuity Capital]]*IF('Annual Calculation'!C27&gt;69,0,(LOOKUP('Annual Calculation'!C27+1,'Mortality Table'!$A$2:$A$108,'Mortality Table'!$O$2:$O$108)-LOOKUP('Annual Calculation'!C27+11,'Mortality Table'!$A$2:$A$108,'Mortality Table'!$O$2:$O$108))/LOOKUP('Annual Calculation'!C27,'Mortality Table'!$A$2:$A$108,'Mortality Table'!$M$2:$M$108)))</f>
        <v>0</v>
      </c>
      <c r="AI27" s="17">
        <f>IF(AND(Changes!Change="Yes",Changes!ValidityYear&lt;=Table1[[#This Row],[Year]],Changes!ChangeType="Paid-Up",OR(PaidUpOption="Paid-up with no coverage",PaidUpOption="Paid-up with main coverage")),0,IF(B27=0,0,IF(AND(Changes!Change="Yes", Changes!ValidityYear&lt;=Table1[[#This Row],[Year]], Changes!ChangeType="Rider Inclusion/Exclusion", Changes!RiderType="Dread Disease"), T27*Changes!NewChangedValue,IF(db!$D$11="Yes",(db!$B$11)*T27,0))))</f>
        <v>0</v>
      </c>
      <c r="AJ27" s="42">
        <f>ROUND(IF(C27&gt;59,0,IF(C27=0,0,IF(AI27&lt;=db!$L$5,AI27,db!$L$5))),0)</f>
        <v>0</v>
      </c>
      <c r="AK27" s="29">
        <f>IF(AND(Changes!Change="Yes",Changes!ValidityYear&lt;=Table1[[#This Row],[Year]],Changes!ChangeType="Paid-Up",OR(PaidUpOption="Paid-up with no coverage",PaidUpOption="Paid-up with main coverage")),0,IF(B27=0,0,IF(AND(Changes!Change="Yes", Changes!ValidityYear&lt;=Table1[[#This Row],[Year]], Changes!ChangeType="Rider Inclusion/Exclusion", Changes!RiderType="Cancer"), T27*Changes!NewChangedValue,IF(db!$D$12="Yes",(db!$B$12)*T27,0))))</f>
        <v>0</v>
      </c>
      <c r="AL27" s="29">
        <f>ROUND(IF(C27&gt;59,0,IF(C27=0,0,IF(AK27&lt;=db!$L$6,AK27,db!$L$6))),0)</f>
        <v>0</v>
      </c>
      <c r="AM27" s="32"/>
      <c r="AN27" s="18">
        <f>IF(B27=0,0,IF(C27&lt;(db!$E$2+5),LOOKUP(C27,'Mortality Table'!$A$2:$A$108,'Mortality Table'!$P$2:$P$108),IF((C27&gt;=db!$E$2+10),LOOKUP(C27,'Mortality Table'!$A$2:$A$108,'Mortality Table'!$R$2:$R$108),LOOKUP(C27,'Mortality Table'!$A$2:$A$108,'Mortality Table'!$Q$2:$Q$108))))</f>
        <v>0</v>
      </c>
      <c r="AO27" s="22">
        <f t="shared" si="2"/>
        <v>0</v>
      </c>
      <c r="AP27" s="19">
        <f>IF(B27=0,0, LOOKUP(IF(AND(Changes!Change="Yes", Changes!ValidityYear&lt;=Table1[[#This Row],[Year]], Changes!ChangeType="Change Job Class"),Changes!NewChangedValue, db!$A$8),db!$AX$4:$AX$8,db!$AY$4:$AY$8))</f>
        <v>0</v>
      </c>
      <c r="AQ27" s="20">
        <f>ROUND((AP27/1000)*W27 * (1-db!$AS$9),0)</f>
        <v>0</v>
      </c>
      <c r="AR27" s="20">
        <f>(AP27/1000)*W27 * db!$AS$9</f>
        <v>0</v>
      </c>
      <c r="AS27" s="21">
        <f>IF(B27=0,0, LOOKUP(IF(AND(Changes!Change="Yes", Changes!ValidityYear&lt;=Table1[[#This Row],[Year]], Changes!ChangeType="Change Job Class"),Changes!NewChangedValue, db!$A$8),db!$AX$4:$AX$8,db!$AZ$4:$AZ$8))</f>
        <v>0</v>
      </c>
      <c r="AT27" s="22">
        <f>(AS27/1000)*Y27*(1-db!$AS$9)</f>
        <v>0</v>
      </c>
      <c r="AU27" s="22">
        <f>(AS27/1000)*Y27*(db!$AS$9)</f>
        <v>0</v>
      </c>
      <c r="AV27" s="23">
        <f>IF(B27=0,0, LOOKUP(IF(AND(Changes!Change="Yes", Changes!ValidityYear&lt;=Table1[[#This Row],[Year]], Changes!ChangeType="Change Job Class"),Changes!NewChangedValue, db!$A$8),db!$AX$4:$AX$8,db!$BA$4:$BA$8))</f>
        <v>0</v>
      </c>
      <c r="AW27" s="20">
        <f>ROUND((AV27/(100))*AA27*(1-db!$AS$9),0)</f>
        <v>0</v>
      </c>
      <c r="AX27" s="20">
        <f>ROUND((AV27/(100))*AA27*(db!$AS$9),0)</f>
        <v>0</v>
      </c>
      <c r="AY27" s="21">
        <f>IF(db!$D$8="Yes",AS27,0)</f>
        <v>0</v>
      </c>
      <c r="AZ27" s="22">
        <f>(AY27*AF27)/1000*(1-db!$AS$9)</f>
        <v>0</v>
      </c>
      <c r="BA27" s="22">
        <f>(AY27*AF27)/1000*(db!$AS$9)</f>
        <v>0</v>
      </c>
      <c r="BB27" s="23">
        <f t="shared" si="3"/>
        <v>0</v>
      </c>
      <c r="BC27" s="20">
        <f>(BB27*AH27/1000)*(1-db!$AS$9)</f>
        <v>0</v>
      </c>
      <c r="BD27" s="20">
        <f>(BB27*AH27/1000)*(db!$AS$9)</f>
        <v>0</v>
      </c>
      <c r="BE27" s="22">
        <f>IF(B27=0,0,IF(C27&gt;60,0,LOOKUP(Table1[[#This Row],[Medical
Age]],db!$BC$3:$BC$63,db!$BD$3:$BD$63)))</f>
        <v>0</v>
      </c>
      <c r="BF27" s="22">
        <f>BG27*db!$AS$10</f>
        <v>0</v>
      </c>
      <c r="BG27" s="22">
        <f t="shared" si="4"/>
        <v>0</v>
      </c>
      <c r="BH27" s="22">
        <f>(BE27/1000000)*AJ27*(1-db!$AS$10)</f>
        <v>0</v>
      </c>
      <c r="BI27" s="20">
        <f>IF(B27=0,0,IF(C27&gt;59,0,LOOKUP(Table1[[#This Row],[Medical
Age]],db!$BC$3:$BC$63,db!$BE$3:$BE$63)))</f>
        <v>0</v>
      </c>
      <c r="BJ27" s="20">
        <f>(BI27/1000000)*AL27*(1-db!$AS$11)</f>
        <v>0</v>
      </c>
      <c r="BK27" s="20">
        <f>(BI27/1000000)*AL27*(db!$AS$11)</f>
        <v>0</v>
      </c>
      <c r="BL27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27" s="20">
        <f>Table1[[#This Row],[RiskLoading
Rate]]*Table1[[#This Row],[Death Capital (2)]]</f>
        <v>0</v>
      </c>
      <c r="BN27" s="36"/>
      <c r="BO27" s="37">
        <f t="shared" si="5"/>
        <v>0</v>
      </c>
      <c r="BP27" s="35">
        <f t="shared" si="6"/>
        <v>0</v>
      </c>
      <c r="BQ27" s="35">
        <f t="shared" si="7"/>
        <v>0</v>
      </c>
      <c r="BR27" s="37">
        <f t="shared" si="11"/>
        <v>0</v>
      </c>
      <c r="BS27" s="37">
        <f t="shared" si="12"/>
        <v>0</v>
      </c>
      <c r="BT27" s="35">
        <f t="shared" si="13"/>
        <v>0</v>
      </c>
      <c r="BU27" s="35">
        <f t="shared" si="14"/>
        <v>0</v>
      </c>
      <c r="BV27" s="37">
        <f>(db!$AS$4/100)*(L27-BT27-BU27)</f>
        <v>0</v>
      </c>
      <c r="BW27" s="37">
        <f>(db!$AS$8/100)*(L27-BT27-BU27)</f>
        <v>0</v>
      </c>
      <c r="BX27" s="35"/>
      <c r="BY27" s="37"/>
      <c r="BZ27" s="37"/>
      <c r="CA27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27" s="33"/>
      <c r="CC27" s="39">
        <f>ROUND((Table1[[#This Row],[Premium]]-Table1[[#This Row],[All Deductions]]),0)</f>
        <v>0</v>
      </c>
      <c r="CD27" s="39">
        <f>IF(B27=0,0,Table1[[#This Row],[Initial Reserve]]+CE26)</f>
        <v>0</v>
      </c>
      <c r="CE27" s="40">
        <f>ROUND(IF(B27=0,0,((CC27)*(1+db!Y29))+((CE26)*(1+db!U29))),0)</f>
        <v>0</v>
      </c>
      <c r="CF27" s="40">
        <f t="shared" si="19"/>
        <v>0</v>
      </c>
      <c r="CG27" s="15">
        <f t="shared" si="15"/>
        <v>26</v>
      </c>
      <c r="CH27" s="39">
        <f>IF(B27=0,0,((CC27)*(1+db!AH29))+((CH26)*(1+db!AD29)))</f>
        <v>0</v>
      </c>
      <c r="CI27" s="39">
        <f>IF(B27=0,0,((CC27)*(1+db!AH29))+((CI26)*(1+db!AD29)))</f>
        <v>0</v>
      </c>
      <c r="CJ27" s="40">
        <f>IF(B27=0,0,((CC27)*(1+db!AO29))+((CJ26)*(1+db!AK29)))</f>
        <v>0</v>
      </c>
      <c r="CK27" s="40">
        <f>CJ27-(SUM(BX$7:$BX28))</f>
        <v>0</v>
      </c>
      <c r="CL27" s="46"/>
    </row>
    <row r="28" spans="1:90">
      <c r="A28" s="24">
        <f t="shared" si="16"/>
        <v>27</v>
      </c>
      <c r="B28" s="16">
        <f>IF(AND(Changes!Change="Yes", Changes!ChangeType="Change Contract Duration"),IF(B27=0,0,IF(Changes!NewChangedValue&lt;B27+1,0,B27+1)),IF(B27=0,0,IF('Application Annually'!$C$5&lt;B27+1,0,B27+1)))</f>
        <v>0</v>
      </c>
      <c r="C28" s="15">
        <f t="shared" si="17"/>
        <v>0</v>
      </c>
      <c r="D28" s="312">
        <f t="shared" si="18"/>
        <v>54</v>
      </c>
      <c r="E28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28" s="29">
        <f t="shared" si="8"/>
        <v>0</v>
      </c>
      <c r="G28" s="29">
        <f t="shared" si="9"/>
        <v>0</v>
      </c>
      <c r="H28" s="29">
        <f t="shared" si="0"/>
        <v>0</v>
      </c>
      <c r="I28" s="29">
        <f>IF(B28&gt;0,IF(AND(Table1[[#This Row],[Year]]&gt;Changes!ValidityYear,Changes!Change="Yes",Changes!ChangeType="Change Value Adjustment"),Changes!$G$22,'Application Annually'!$C$11),0)</f>
        <v>0</v>
      </c>
      <c r="J28" s="29">
        <f>IF(B28&gt;0,IF(AND(Table1[[#This Row],[Year]]&gt;Changes!ValidityYear,Changes!Change="Yes",Changes!ChangeType="Change Value Adjustment"),Changes!$G$24,'Application Annually'!$C$7),0)</f>
        <v>0</v>
      </c>
      <c r="K28" s="29">
        <f>ROUND(IF(B28=0,0,IF(AND(Changes!Change="Yes", Changes!ValidityYear=Table1[[#This Row],[Year]], Changes!ChangeType="Change Premium"), Changes!NewChangedValue, (K27*(1+db!$B$3)))),0)</f>
        <v>0</v>
      </c>
      <c r="L28" s="29">
        <f>ROUND(IF(AND(Changes!Change="Yes",Changes!ValidityYear&lt;=Table1[[#This Row],[Year]],Changes!ChangeType="Paid-Up"),0,IF(B28=0,0,IF(AND(Changes!Change="Yes", Changes!ValidityYear=Table1[[#This Row],[Year]], Changes!ChangeType="Change Premium"), Changes!NewChangedValue, (L27*(1+Table1[[#This Row],[Adjustment Factor of Premium]]/100))))),0)</f>
        <v>0</v>
      </c>
      <c r="M28" s="29">
        <f>IF(Table1[[#This Row],[Year]]=1,ROUND(MIN($L$2 -( Table1[[#This Row],[Riders Risk Premiums]] + Table1[[#This Row],[Acquisition Cost]]) *0.75,Table1[[#This Row],[Death Capital (1)]]* 0.03),0),0)</f>
        <v>0</v>
      </c>
      <c r="N28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28" s="29">
        <f>ROUND(IF(ROW()-1&gt;InsurancePeriod,0,(O27*(1+(Table1[[#This Row],[Adjustment Factor of Premium]]/100)))),0)</f>
        <v>0</v>
      </c>
      <c r="P28" s="29">
        <f>IF(Table1[Year] = 0, 0, SUM(L$2:L28))</f>
        <v>0</v>
      </c>
      <c r="Q28" s="17">
        <f t="shared" si="1"/>
        <v>0</v>
      </c>
      <c r="R28" s="17">
        <f>IF(Table1[[#This Row],[Year]]=0,0,IF($C$2&lt;=50,LOOKUP(Table1[[#This Row],[Age]],db!BG29:BG135,db!BH29:BH135),LOOKUP(Table1[[#This Row],[Age]],db!BJ29:BJ135,db!BK29:BK135)))</f>
        <v>0</v>
      </c>
      <c r="S28" s="17">
        <f>IF(AND(Changes!Change="Yes",Changes!ValidityYear&lt;=Table1[[#This Row],[Year]],Changes!ChangeType="Paid-Up",PaidUpOption="Paid-up with no coverage"),0,IF(B28=0,0, IF(AND(Changes!Change="Yes", Changes!ValidityYear=Table1[[#This Row],[Year]], Changes!ChangeType="Change Death Capital"), Changes!NewChangedValue, S27*(1+(Table1[[#This Row],[Adjustment Factor of Death Capital]]/100)))))</f>
        <v>0</v>
      </c>
      <c r="T28" s="17">
        <f>MIN(IF(B28=0,0,Table1[[#This Row],[Death Capital (1)]]),Table1[[#This Row],[Max Sum Insured For Death]])</f>
        <v>0</v>
      </c>
      <c r="U28" s="29">
        <f t="shared" si="10"/>
        <v>0</v>
      </c>
      <c r="V28" s="29">
        <f>IF(AND(Changes!Change="Yes",Changes!ValidityYear&lt;=Table1[[#This Row],[Year]],Changes!ChangeType="Paid-Up",OR(PaidUpOption="Paid-up with no coverage",PaidUpOption="Paid-up with main coverage")),0,IF(B28=0,0,IF(AND(Changes!Change="Yes", Changes!ValidityYear&lt;=Table1[[#This Row],[Year]], Changes!ChangeType="Rider Inclusion/Exclusion", Changes!RiderType="Accident Death"), T28*Changes!NewChangedValue,IF(db!$D$6="Yes",(db!$B$6)*T28,0))))</f>
        <v>0</v>
      </c>
      <c r="W28" s="29">
        <f>MIN(IF(V28&lt;=db!$L$2,V28,db!$L$2),MAX_ACC_CAPITAL)</f>
        <v>0</v>
      </c>
      <c r="X28" s="17">
        <f>IF(AND(Changes!Change="Yes",Changes!ValidityYear&lt;=Table1[[#This Row],[Year]],Changes!ChangeType="Paid-Up",OR(PaidUpOption="Paid-up with no coverage",PaidUpOption="Paid-up with main coverage")),0,IF(OR(B28=0,Table1[[#This Row],[Accident Capital (2)]]=0),0,IF(AND(Changes!Change="Yes", Changes!ValidityYear&lt;=Table1[[#This Row],[Year]], Changes!ChangeType="Rider Inclusion/Exclusion", Changes!RiderType="Accident Disability"), T28*Changes!NewChangedValue,IF(db!$D$7="Yes",(db!$B$7)*T28,0))))</f>
        <v>0</v>
      </c>
      <c r="Y28" s="42">
        <f>IF(C28&gt;69,0,IF(C28=0,0,IF(X28&lt;=db!$L$3,X28,db!$L$3)))</f>
        <v>0</v>
      </c>
      <c r="Z28" s="29">
        <f>IF(AND(Changes!Change="Yes",Changes!ValidityYear&lt;=Table1[[#This Row],[Year]],Changes!ChangeType="Paid-Up",OR(PaidUpOption="Paid-up with no coverage",PaidUpOption="Paid-up with main coverage")),0,IF(OR(B28=0,Table1[[#This Row],[Accident Capital (2)]]=0),0,IF(AND(Changes!Change="Yes", Changes!ValidityYear&lt;=Table1[[#This Row],[Year]], Changes!ChangeType="Rider Inclusion/Exclusion", Changes!RiderType="Accident Medical Cost"), T28*Changes!NewChangedValue,IF(db!$D$9="Yes",(db!$B$9)*T28,0))))</f>
        <v>0</v>
      </c>
      <c r="AA28" s="29">
        <f>ROUND(IF(C28&gt;69,0,IF(C28=0,0,IF(Z28&lt;=db!$L$4,Z28,db!$L$4))),0)</f>
        <v>0</v>
      </c>
      <c r="AB28" s="38">
        <f>IF(AND(Changes!Change = "Yes", Changes!ChangeType = "Rider Inclusion/Exclusion", Changes!RiderType = "WOP"), IF( Changes!ValidityYear &lt;= Table1[[#This Row],[Year]], IF(WOP = "Yes", 0, 1),  IF(WOP = "Yes", 1, 0)), IF(AND(db!$D$8="Yes",C28&lt;=69,ROW()-1&lt;=InsurancePeriod), 1, 0))</f>
        <v>0</v>
      </c>
      <c r="AC28" s="17">
        <f>(AC29+K29)*AB28*((1)/(1+db!AA30))*(LOOKUP(C28,'Mortality Table'!$A$2:$A$108,'Mortality Table'!$E$2:$E$108))</f>
        <v>0</v>
      </c>
      <c r="AD28" s="340">
        <f>IF(AND(Changes!ValidityYear&lt;= Table1[[#This Row],[Year]],Changes!ChangeType="Change Value Adjustment",Changes!Change="Yes"), (AD29+L29)*AB28*((1)/(1+db!AA30))*(LOOKUP(C28,'Mortality Table'!$A$2:$A$108,'Mortality Table'!$E$2:$E$108)),Table1[[#This Row],[WOP Before Adj. BT]])</f>
        <v>0</v>
      </c>
      <c r="AE28" s="341">
        <f>IF(AND(Changes!Change="Yes", Changes!ChangeType="Change Value Adjustment"),Table1[[#This Row],[WOP Capital]],(AE29+O29)*AB28*((1)/(1+db!AA30))*(LOOKUP(D28,'Mortality Table'!$A$2:$A$108,'Mortality Table'!$E$2:$E$108)))</f>
        <v>0</v>
      </c>
      <c r="AF28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28" s="42">
        <f>IF(AND(Changes!Change="Yes", Changes!ValidityYear&lt;=Table1[[#This Row],[Year]], Changes!ChangeType="Rider Inclusion/Exclusion", Changes!RiderType="Disability Annuity"), L28*Changes!NewChangedValue,L28*db!B$10*IF(db!$D$10="Yes",1,0))</f>
        <v>0</v>
      </c>
      <c r="AH28" s="29">
        <f>IF(AND(Changes!Change="Yes",Changes!ValidityYear&lt;=Table1[[#This Row],[Year]],Changes!ChangeType="Paid-Up"),0,Table1[[#This Row],[Code Annuity Capital]]*IF('Annual Calculation'!C28&gt;69,0,(LOOKUP('Annual Calculation'!C28+1,'Mortality Table'!$A$2:$A$108,'Mortality Table'!$O$2:$O$108)-LOOKUP('Annual Calculation'!C28+11,'Mortality Table'!$A$2:$A$108,'Mortality Table'!$O$2:$O$108))/LOOKUP('Annual Calculation'!C28,'Mortality Table'!$A$2:$A$108,'Mortality Table'!$M$2:$M$108)))</f>
        <v>0</v>
      </c>
      <c r="AI28" s="17">
        <f>IF(AND(Changes!Change="Yes",Changes!ValidityYear&lt;=Table1[[#This Row],[Year]],Changes!ChangeType="Paid-Up",OR(PaidUpOption="Paid-up with no coverage",PaidUpOption="Paid-up with main coverage")),0,IF(B28=0,0,IF(AND(Changes!Change="Yes", Changes!ValidityYear&lt;=Table1[[#This Row],[Year]], Changes!ChangeType="Rider Inclusion/Exclusion", Changes!RiderType="Dread Disease"), T28*Changes!NewChangedValue,IF(db!$D$11="Yes",(db!$B$11)*T28,0))))</f>
        <v>0</v>
      </c>
      <c r="AJ28" s="42">
        <f>ROUND(IF(C28&gt;59,0,IF(C28=0,0,IF(AI28&lt;=db!$L$5,AI28,db!$L$5))),0)</f>
        <v>0</v>
      </c>
      <c r="AK28" s="29">
        <f>IF(AND(Changes!Change="Yes",Changes!ValidityYear&lt;=Table1[[#This Row],[Year]],Changes!ChangeType="Paid-Up",OR(PaidUpOption="Paid-up with no coverage",PaidUpOption="Paid-up with main coverage")),0,IF(B28=0,0,IF(AND(Changes!Change="Yes", Changes!ValidityYear&lt;=Table1[[#This Row],[Year]], Changes!ChangeType="Rider Inclusion/Exclusion", Changes!RiderType="Cancer"), T28*Changes!NewChangedValue,IF(db!$D$12="Yes",(db!$B$12)*T28,0))))</f>
        <v>0</v>
      </c>
      <c r="AL28" s="29">
        <f>ROUND(IF(C28&gt;59,0,IF(C28=0,0,IF(AK28&lt;=db!$L$6,AK28,db!$L$6))),0)</f>
        <v>0</v>
      </c>
      <c r="AM28" s="32"/>
      <c r="AN28" s="18">
        <f>IF(B28=0,0,IF(C28&lt;(db!$E$2+5),LOOKUP(C28,'Mortality Table'!$A$2:$A$108,'Mortality Table'!$P$2:$P$108),IF((C28&gt;=db!$E$2+10),LOOKUP(C28,'Mortality Table'!$A$2:$A$108,'Mortality Table'!$R$2:$R$108),LOOKUP(C28,'Mortality Table'!$A$2:$A$108,'Mortality Table'!$Q$2:$Q$108))))</f>
        <v>0</v>
      </c>
      <c r="AO28" s="22">
        <f t="shared" si="2"/>
        <v>0</v>
      </c>
      <c r="AP28" s="19">
        <f>IF(B28=0,0, LOOKUP(IF(AND(Changes!Change="Yes", Changes!ValidityYear&lt;=Table1[[#This Row],[Year]], Changes!ChangeType="Change Job Class"),Changes!NewChangedValue, db!$A$8),db!$AX$4:$AX$8,db!$AY$4:$AY$8))</f>
        <v>0</v>
      </c>
      <c r="AQ28" s="20">
        <f>ROUND((AP28/1000)*W28 * (1-db!$AS$9),0)</f>
        <v>0</v>
      </c>
      <c r="AR28" s="20">
        <f>(AP28/1000)*W28 * db!$AS$9</f>
        <v>0</v>
      </c>
      <c r="AS28" s="21">
        <f>IF(B28=0,0, LOOKUP(IF(AND(Changes!Change="Yes", Changes!ValidityYear&lt;=Table1[[#This Row],[Year]], Changes!ChangeType="Change Job Class"),Changes!NewChangedValue, db!$A$8),db!$AX$4:$AX$8,db!$AZ$4:$AZ$8))</f>
        <v>0</v>
      </c>
      <c r="AT28" s="22">
        <f>(AS28/1000)*Y28*(1-db!$AS$9)</f>
        <v>0</v>
      </c>
      <c r="AU28" s="22">
        <f>(AS28/1000)*Y28*(db!$AS$9)</f>
        <v>0</v>
      </c>
      <c r="AV28" s="23">
        <f>IF(B28=0,0, LOOKUP(IF(AND(Changes!Change="Yes", Changes!ValidityYear&lt;=Table1[[#This Row],[Year]], Changes!ChangeType="Change Job Class"),Changes!NewChangedValue, db!$A$8),db!$AX$4:$AX$8,db!$BA$4:$BA$8))</f>
        <v>0</v>
      </c>
      <c r="AW28" s="20">
        <f>ROUND((AV28/(100))*AA28*(1-db!$AS$9),0)</f>
        <v>0</v>
      </c>
      <c r="AX28" s="20">
        <f>ROUND((AV28/(100))*AA28*(db!$AS$9),0)</f>
        <v>0</v>
      </c>
      <c r="AY28" s="21">
        <f>IF(db!$D$8="Yes",AS28,0)</f>
        <v>0</v>
      </c>
      <c r="AZ28" s="22">
        <f>(AY28*AF28)/1000*(1-db!$AS$9)</f>
        <v>0</v>
      </c>
      <c r="BA28" s="22">
        <f>(AY28*AF28)/1000*(db!$AS$9)</f>
        <v>0</v>
      </c>
      <c r="BB28" s="23">
        <f t="shared" si="3"/>
        <v>0</v>
      </c>
      <c r="BC28" s="20">
        <f>(BB28*AH28/1000)*(1-db!$AS$9)</f>
        <v>0</v>
      </c>
      <c r="BD28" s="20">
        <f>(BB28*AH28/1000)*(db!$AS$9)</f>
        <v>0</v>
      </c>
      <c r="BE28" s="22">
        <f>IF(B28=0,0,IF(C28&gt;60,0,LOOKUP(Table1[[#This Row],[Medical
Age]],db!$BC$3:$BC$63,db!$BD$3:$BD$63)))</f>
        <v>0</v>
      </c>
      <c r="BF28" s="22">
        <f>BG28*db!$AS$10</f>
        <v>0</v>
      </c>
      <c r="BG28" s="22">
        <f t="shared" si="4"/>
        <v>0</v>
      </c>
      <c r="BH28" s="22">
        <f>(BE28/1000000)*AJ28*(1-db!$AS$10)</f>
        <v>0</v>
      </c>
      <c r="BI28" s="20">
        <f>IF(B28=0,0,IF(C28&gt;59,0,LOOKUP(Table1[[#This Row],[Medical
Age]],db!$BC$3:$BC$63,db!$BE$3:$BE$63)))</f>
        <v>0</v>
      </c>
      <c r="BJ28" s="20">
        <f>(BI28/1000000)*AL28*(1-db!$AS$11)</f>
        <v>0</v>
      </c>
      <c r="BK28" s="20">
        <f>(BI28/1000000)*AL28*(db!$AS$11)</f>
        <v>0</v>
      </c>
      <c r="BL28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28" s="20">
        <f>Table1[[#This Row],[RiskLoading
Rate]]*Table1[[#This Row],[Death Capital (2)]]</f>
        <v>0</v>
      </c>
      <c r="BN28" s="36"/>
      <c r="BO28" s="37">
        <f t="shared" si="5"/>
        <v>0</v>
      </c>
      <c r="BP28" s="35">
        <f t="shared" si="6"/>
        <v>0</v>
      </c>
      <c r="BQ28" s="35">
        <f t="shared" si="7"/>
        <v>0</v>
      </c>
      <c r="BR28" s="37">
        <f t="shared" si="11"/>
        <v>0</v>
      </c>
      <c r="BS28" s="37">
        <f t="shared" si="12"/>
        <v>0</v>
      </c>
      <c r="BT28" s="35">
        <f t="shared" si="13"/>
        <v>0</v>
      </c>
      <c r="BU28" s="35">
        <f t="shared" si="14"/>
        <v>0</v>
      </c>
      <c r="BV28" s="37">
        <f>(db!$AS$4/100)*(L28-BT28-BU28)</f>
        <v>0</v>
      </c>
      <c r="BW28" s="37">
        <f>(db!$AS$8/100)*(L28-BT28-BU28)</f>
        <v>0</v>
      </c>
      <c r="BX28" s="35"/>
      <c r="BY28" s="37"/>
      <c r="BZ28" s="37"/>
      <c r="CA28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28" s="33"/>
      <c r="CC28" s="39">
        <f>ROUND((Table1[[#This Row],[Premium]]-Table1[[#This Row],[All Deductions]]),0)</f>
        <v>0</v>
      </c>
      <c r="CD28" s="39">
        <f>IF(B28=0,0,Table1[[#This Row],[Initial Reserve]]+CE27)</f>
        <v>0</v>
      </c>
      <c r="CE28" s="40">
        <f>ROUND(IF(B28=0,0,((CC28)*(1+db!Y30))+((CE27)*(1+db!U30))),0)</f>
        <v>0</v>
      </c>
      <c r="CF28" s="40">
        <f t="shared" si="19"/>
        <v>0</v>
      </c>
      <c r="CG28" s="15">
        <f t="shared" si="15"/>
        <v>27</v>
      </c>
      <c r="CH28" s="39">
        <f>IF(B28=0,0,((CC28)*(1+db!AH30))+((CH27)*(1+db!AD30)))</f>
        <v>0</v>
      </c>
      <c r="CI28" s="39">
        <f>IF(B28=0,0,((CC28)*(1+db!AH30))+((CI27)*(1+db!AD30)))</f>
        <v>0</v>
      </c>
      <c r="CJ28" s="40">
        <f>IF(B28=0,0,((CC28)*(1+db!AO30))+((CJ27)*(1+db!AK30)))</f>
        <v>0</v>
      </c>
      <c r="CK28" s="40">
        <f>CJ28-(SUM(BX$7:$BX29))</f>
        <v>0</v>
      </c>
      <c r="CL28" s="46"/>
    </row>
    <row r="29" spans="1:90">
      <c r="A29" s="24">
        <f t="shared" si="16"/>
        <v>28</v>
      </c>
      <c r="B29" s="16">
        <f>IF(AND(Changes!Change="Yes", Changes!ChangeType="Change Contract Duration"),IF(B28=0,0,IF(Changes!NewChangedValue&lt;B28+1,0,B28+1)),IF(B28=0,0,IF('Application Annually'!$C$5&lt;B28+1,0,B28+1)))</f>
        <v>0</v>
      </c>
      <c r="C29" s="15">
        <f t="shared" si="17"/>
        <v>0</v>
      </c>
      <c r="D29" s="312">
        <f t="shared" si="18"/>
        <v>55</v>
      </c>
      <c r="E29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29" s="29">
        <f t="shared" si="8"/>
        <v>0</v>
      </c>
      <c r="G29" s="29">
        <f t="shared" si="9"/>
        <v>0</v>
      </c>
      <c r="H29" s="29">
        <f t="shared" si="0"/>
        <v>0</v>
      </c>
      <c r="I29" s="29">
        <f>IF(B29&gt;0,IF(AND(Table1[[#This Row],[Year]]&gt;Changes!ValidityYear,Changes!Change="Yes",Changes!ChangeType="Change Value Adjustment"),Changes!$G$22,'Application Annually'!$C$11),0)</f>
        <v>0</v>
      </c>
      <c r="J29" s="29">
        <f>IF(B29&gt;0,IF(AND(Table1[[#This Row],[Year]]&gt;Changes!ValidityYear,Changes!Change="Yes",Changes!ChangeType="Change Value Adjustment"),Changes!$G$24,'Application Annually'!$C$7),0)</f>
        <v>0</v>
      </c>
      <c r="K29" s="29">
        <f>ROUND(IF(B29=0,0,IF(AND(Changes!Change="Yes", Changes!ValidityYear=Table1[[#This Row],[Year]], Changes!ChangeType="Change Premium"), Changes!NewChangedValue, (K28*(1+db!$B$3)))),0)</f>
        <v>0</v>
      </c>
      <c r="L29" s="29">
        <f>ROUND(IF(AND(Changes!Change="Yes",Changes!ValidityYear&lt;=Table1[[#This Row],[Year]],Changes!ChangeType="Paid-Up"),0,IF(B29=0,0,IF(AND(Changes!Change="Yes", Changes!ValidityYear=Table1[[#This Row],[Year]], Changes!ChangeType="Change Premium"), Changes!NewChangedValue, (L28*(1+Table1[[#This Row],[Adjustment Factor of Premium]]/100))))),0)</f>
        <v>0</v>
      </c>
      <c r="M29" s="29">
        <f>IF(Table1[[#This Row],[Year]]=1,ROUND(MIN($L$2 -( Table1[[#This Row],[Riders Risk Premiums]] + Table1[[#This Row],[Acquisition Cost]]) *0.75,Table1[[#This Row],[Death Capital (1)]]* 0.03),0),0)</f>
        <v>0</v>
      </c>
      <c r="N29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29" s="29">
        <f>ROUND(IF(ROW()-1&gt;InsurancePeriod,0,(O28*(1+(Table1[[#This Row],[Adjustment Factor of Premium]]/100)))),0)</f>
        <v>0</v>
      </c>
      <c r="P29" s="29">
        <f>IF(Table1[Year] = 0, 0, SUM(L$2:L29))</f>
        <v>0</v>
      </c>
      <c r="Q29" s="17">
        <f t="shared" si="1"/>
        <v>0</v>
      </c>
      <c r="R29" s="17">
        <f>IF(Table1[[#This Row],[Year]]=0,0,IF($C$2&lt;=50,LOOKUP(Table1[[#This Row],[Age]],db!BG30:BG136,db!BH30:BH136),LOOKUP(Table1[[#This Row],[Age]],db!BJ30:BJ136,db!BK30:BK136)))</f>
        <v>0</v>
      </c>
      <c r="S29" s="17">
        <f>IF(AND(Changes!Change="Yes",Changes!ValidityYear&lt;=Table1[[#This Row],[Year]],Changes!ChangeType="Paid-Up",PaidUpOption="Paid-up with no coverage"),0,IF(B29=0,0, IF(AND(Changes!Change="Yes", Changes!ValidityYear=Table1[[#This Row],[Year]], Changes!ChangeType="Change Death Capital"), Changes!NewChangedValue, S28*(1+(Table1[[#This Row],[Adjustment Factor of Death Capital]]/100)))))</f>
        <v>0</v>
      </c>
      <c r="T29" s="17">
        <f>MIN(IF(B29=0,0,Table1[[#This Row],[Death Capital (1)]]),Table1[[#This Row],[Max Sum Insured For Death]])</f>
        <v>0</v>
      </c>
      <c r="U29" s="29">
        <f t="shared" si="10"/>
        <v>0</v>
      </c>
      <c r="V29" s="29">
        <f>IF(AND(Changes!Change="Yes",Changes!ValidityYear&lt;=Table1[[#This Row],[Year]],Changes!ChangeType="Paid-Up",OR(PaidUpOption="Paid-up with no coverage",PaidUpOption="Paid-up with main coverage")),0,IF(B29=0,0,IF(AND(Changes!Change="Yes", Changes!ValidityYear&lt;=Table1[[#This Row],[Year]], Changes!ChangeType="Rider Inclusion/Exclusion", Changes!RiderType="Accident Death"), T29*Changes!NewChangedValue,IF(db!$D$6="Yes",(db!$B$6)*T29,0))))</f>
        <v>0</v>
      </c>
      <c r="W29" s="29">
        <f>MIN(IF(V29&lt;=db!$L$2,V29,db!$L$2),MAX_ACC_CAPITAL)</f>
        <v>0</v>
      </c>
      <c r="X29" s="17">
        <f>IF(AND(Changes!Change="Yes",Changes!ValidityYear&lt;=Table1[[#This Row],[Year]],Changes!ChangeType="Paid-Up",OR(PaidUpOption="Paid-up with no coverage",PaidUpOption="Paid-up with main coverage")),0,IF(OR(B29=0,Table1[[#This Row],[Accident Capital (2)]]=0),0,IF(AND(Changes!Change="Yes", Changes!ValidityYear&lt;=Table1[[#This Row],[Year]], Changes!ChangeType="Rider Inclusion/Exclusion", Changes!RiderType="Accident Disability"), T29*Changes!NewChangedValue,IF(db!$D$7="Yes",(db!$B$7)*T29,0))))</f>
        <v>0</v>
      </c>
      <c r="Y29" s="42">
        <f>IF(C29&gt;69,0,IF(C29=0,0,IF(X29&lt;=db!$L$3,X29,db!$L$3)))</f>
        <v>0</v>
      </c>
      <c r="Z29" s="29">
        <f>IF(AND(Changes!Change="Yes",Changes!ValidityYear&lt;=Table1[[#This Row],[Year]],Changes!ChangeType="Paid-Up",OR(PaidUpOption="Paid-up with no coverage",PaidUpOption="Paid-up with main coverage")),0,IF(OR(B29=0,Table1[[#This Row],[Accident Capital (2)]]=0),0,IF(AND(Changes!Change="Yes", Changes!ValidityYear&lt;=Table1[[#This Row],[Year]], Changes!ChangeType="Rider Inclusion/Exclusion", Changes!RiderType="Accident Medical Cost"), T29*Changes!NewChangedValue,IF(db!$D$9="Yes",(db!$B$9)*T29,0))))</f>
        <v>0</v>
      </c>
      <c r="AA29" s="29">
        <f>ROUND(IF(C29&gt;69,0,IF(C29=0,0,IF(Z29&lt;=db!$L$4,Z29,db!$L$4))),0)</f>
        <v>0</v>
      </c>
      <c r="AB29" s="38">
        <f>IF(AND(Changes!Change = "Yes", Changes!ChangeType = "Rider Inclusion/Exclusion", Changes!RiderType = "WOP"), IF( Changes!ValidityYear &lt;= Table1[[#This Row],[Year]], IF(WOP = "Yes", 0, 1),  IF(WOP = "Yes", 1, 0)), IF(AND(db!$D$8="Yes",C29&lt;=69,ROW()-1&lt;=InsurancePeriod), 1, 0))</f>
        <v>0</v>
      </c>
      <c r="AC29" s="17">
        <f>(AC30+K30)*AB29*((1)/(1+db!AA31))*(LOOKUP(C29,'Mortality Table'!$A$2:$A$108,'Mortality Table'!$E$2:$E$108))</f>
        <v>0</v>
      </c>
      <c r="AD29" s="340">
        <f>IF(AND(Changes!ValidityYear&lt;= Table1[[#This Row],[Year]],Changes!ChangeType="Change Value Adjustment",Changes!Change="Yes"), (AD30+L30)*AB29*((1)/(1+db!AA31))*(LOOKUP(C29,'Mortality Table'!$A$2:$A$108,'Mortality Table'!$E$2:$E$108)),Table1[[#This Row],[WOP Before Adj. BT]])</f>
        <v>0</v>
      </c>
      <c r="AE29" s="341">
        <f>IF(AND(Changes!Change="Yes", Changes!ChangeType="Change Value Adjustment"),Table1[[#This Row],[WOP Capital]],(AE30+O30)*AB29*((1)/(1+db!AA31))*(LOOKUP(D29,'Mortality Table'!$A$2:$A$108,'Mortality Table'!$E$2:$E$108)))</f>
        <v>0</v>
      </c>
      <c r="AF29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29" s="42">
        <f>IF(AND(Changes!Change="Yes", Changes!ValidityYear&lt;=Table1[[#This Row],[Year]], Changes!ChangeType="Rider Inclusion/Exclusion", Changes!RiderType="Disability Annuity"), L29*Changes!NewChangedValue,L29*db!B$10*IF(db!$D$10="Yes",1,0))</f>
        <v>0</v>
      </c>
      <c r="AH29" s="29">
        <f>IF(AND(Changes!Change="Yes",Changes!ValidityYear&lt;=Table1[[#This Row],[Year]],Changes!ChangeType="Paid-Up"),0,Table1[[#This Row],[Code Annuity Capital]]*IF('Annual Calculation'!C29&gt;69,0,(LOOKUP('Annual Calculation'!C29+1,'Mortality Table'!$A$2:$A$108,'Mortality Table'!$O$2:$O$108)-LOOKUP('Annual Calculation'!C29+11,'Mortality Table'!$A$2:$A$108,'Mortality Table'!$O$2:$O$108))/LOOKUP('Annual Calculation'!C29,'Mortality Table'!$A$2:$A$108,'Mortality Table'!$M$2:$M$108)))</f>
        <v>0</v>
      </c>
      <c r="AI29" s="17">
        <f>IF(AND(Changes!Change="Yes",Changes!ValidityYear&lt;=Table1[[#This Row],[Year]],Changes!ChangeType="Paid-Up",OR(PaidUpOption="Paid-up with no coverage",PaidUpOption="Paid-up with main coverage")),0,IF(B29=0,0,IF(AND(Changes!Change="Yes", Changes!ValidityYear&lt;=Table1[[#This Row],[Year]], Changes!ChangeType="Rider Inclusion/Exclusion", Changes!RiderType="Dread Disease"), T29*Changes!NewChangedValue,IF(db!$D$11="Yes",(db!$B$11)*T29,0))))</f>
        <v>0</v>
      </c>
      <c r="AJ29" s="42">
        <f>ROUND(IF(C29&gt;59,0,IF(C29=0,0,IF(AI29&lt;=db!$L$5,AI29,db!$L$5))),0)</f>
        <v>0</v>
      </c>
      <c r="AK29" s="29">
        <f>IF(AND(Changes!Change="Yes",Changes!ValidityYear&lt;=Table1[[#This Row],[Year]],Changes!ChangeType="Paid-Up",OR(PaidUpOption="Paid-up with no coverage",PaidUpOption="Paid-up with main coverage")),0,IF(B29=0,0,IF(AND(Changes!Change="Yes", Changes!ValidityYear&lt;=Table1[[#This Row],[Year]], Changes!ChangeType="Rider Inclusion/Exclusion", Changes!RiderType="Cancer"), T29*Changes!NewChangedValue,IF(db!$D$12="Yes",(db!$B$12)*T29,0))))</f>
        <v>0</v>
      </c>
      <c r="AL29" s="29">
        <f>ROUND(IF(C29&gt;59,0,IF(C29=0,0,IF(AK29&lt;=db!$L$6,AK29,db!$L$6))),0)</f>
        <v>0</v>
      </c>
      <c r="AM29" s="32"/>
      <c r="AN29" s="18">
        <f>IF(B29=0,0,IF(C29&lt;(db!$E$2+5),LOOKUP(C29,'Mortality Table'!$A$2:$A$108,'Mortality Table'!$P$2:$P$108),IF((C29&gt;=db!$E$2+10),LOOKUP(C29,'Mortality Table'!$A$2:$A$108,'Mortality Table'!$R$2:$R$108),LOOKUP(C29,'Mortality Table'!$A$2:$A$108,'Mortality Table'!$Q$2:$Q$108))))</f>
        <v>0</v>
      </c>
      <c r="AO29" s="22">
        <f t="shared" si="2"/>
        <v>0</v>
      </c>
      <c r="AP29" s="19">
        <f>IF(B29=0,0, LOOKUP(IF(AND(Changes!Change="Yes", Changes!ValidityYear&lt;=Table1[[#This Row],[Year]], Changes!ChangeType="Change Job Class"),Changes!NewChangedValue, db!$A$8),db!$AX$4:$AX$8,db!$AY$4:$AY$8))</f>
        <v>0</v>
      </c>
      <c r="AQ29" s="20">
        <f>ROUND((AP29/1000)*W29 * (1-db!$AS$9),0)</f>
        <v>0</v>
      </c>
      <c r="AR29" s="20">
        <f>(AP29/1000)*W29 * db!$AS$9</f>
        <v>0</v>
      </c>
      <c r="AS29" s="21">
        <f>IF(B29=0,0, LOOKUP(IF(AND(Changes!Change="Yes", Changes!ValidityYear&lt;=Table1[[#This Row],[Year]], Changes!ChangeType="Change Job Class"),Changes!NewChangedValue, db!$A$8),db!$AX$4:$AX$8,db!$AZ$4:$AZ$8))</f>
        <v>0</v>
      </c>
      <c r="AT29" s="22">
        <f>(AS29/1000)*Y29*(1-db!$AS$9)</f>
        <v>0</v>
      </c>
      <c r="AU29" s="22">
        <f>(AS29/1000)*Y29*(db!$AS$9)</f>
        <v>0</v>
      </c>
      <c r="AV29" s="23">
        <f>IF(B29=0,0, LOOKUP(IF(AND(Changes!Change="Yes", Changes!ValidityYear&lt;=Table1[[#This Row],[Year]], Changes!ChangeType="Change Job Class"),Changes!NewChangedValue, db!$A$8),db!$AX$4:$AX$8,db!$BA$4:$BA$8))</f>
        <v>0</v>
      </c>
      <c r="AW29" s="20">
        <f>ROUND((AV29/(100))*AA29*(1-db!$AS$9),0)</f>
        <v>0</v>
      </c>
      <c r="AX29" s="20">
        <f>ROUND((AV29/(100))*AA29*(db!$AS$9),0)</f>
        <v>0</v>
      </c>
      <c r="AY29" s="21">
        <f>IF(db!$D$8="Yes",AS29,0)</f>
        <v>0</v>
      </c>
      <c r="AZ29" s="22">
        <f>(AY29*AF29)/1000*(1-db!$AS$9)</f>
        <v>0</v>
      </c>
      <c r="BA29" s="22">
        <f>(AY29*AF29)/1000*(db!$AS$9)</f>
        <v>0</v>
      </c>
      <c r="BB29" s="23">
        <f t="shared" si="3"/>
        <v>0</v>
      </c>
      <c r="BC29" s="20">
        <f>(BB29*AH29/1000)*(1-db!$AS$9)</f>
        <v>0</v>
      </c>
      <c r="BD29" s="20">
        <f>(BB29*AH29/1000)*(db!$AS$9)</f>
        <v>0</v>
      </c>
      <c r="BE29" s="22">
        <f>IF(B29=0,0,IF(C29&gt;60,0,LOOKUP(Table1[[#This Row],[Medical
Age]],db!$BC$3:$BC$63,db!$BD$3:$BD$63)))</f>
        <v>0</v>
      </c>
      <c r="BF29" s="22">
        <f>BG29*db!$AS$10</f>
        <v>0</v>
      </c>
      <c r="BG29" s="22">
        <f t="shared" si="4"/>
        <v>0</v>
      </c>
      <c r="BH29" s="22">
        <f>(BE29/1000000)*AJ29*(1-db!$AS$10)</f>
        <v>0</v>
      </c>
      <c r="BI29" s="20">
        <f>IF(B29=0,0,IF(C29&gt;59,0,LOOKUP(Table1[[#This Row],[Medical
Age]],db!$BC$3:$BC$63,db!$BE$3:$BE$63)))</f>
        <v>0</v>
      </c>
      <c r="BJ29" s="20">
        <f>(BI29/1000000)*AL29*(1-db!$AS$11)</f>
        <v>0</v>
      </c>
      <c r="BK29" s="20">
        <f>(BI29/1000000)*AL29*(db!$AS$11)</f>
        <v>0</v>
      </c>
      <c r="BL29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29" s="20">
        <f>Table1[[#This Row],[RiskLoading
Rate]]*Table1[[#This Row],[Death Capital (2)]]</f>
        <v>0</v>
      </c>
      <c r="BN29" s="36"/>
      <c r="BO29" s="37">
        <f t="shared" si="5"/>
        <v>0</v>
      </c>
      <c r="BP29" s="35">
        <f t="shared" si="6"/>
        <v>0</v>
      </c>
      <c r="BQ29" s="35">
        <f t="shared" si="7"/>
        <v>0</v>
      </c>
      <c r="BR29" s="37">
        <f t="shared" si="11"/>
        <v>0</v>
      </c>
      <c r="BS29" s="37">
        <f t="shared" si="12"/>
        <v>0</v>
      </c>
      <c r="BT29" s="35">
        <f t="shared" si="13"/>
        <v>0</v>
      </c>
      <c r="BU29" s="35">
        <f t="shared" si="14"/>
        <v>0</v>
      </c>
      <c r="BV29" s="37">
        <f>(db!$AS$4/100)*(L29-BT29-BU29)</f>
        <v>0</v>
      </c>
      <c r="BW29" s="37">
        <f>(db!$AS$8/100)*(L29-BT29-BU29)</f>
        <v>0</v>
      </c>
      <c r="BX29" s="35"/>
      <c r="BY29" s="37"/>
      <c r="BZ29" s="37"/>
      <c r="CA29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29" s="33"/>
      <c r="CC29" s="39">
        <f>ROUND((Table1[[#This Row],[Premium]]-Table1[[#This Row],[All Deductions]]),0)</f>
        <v>0</v>
      </c>
      <c r="CD29" s="39">
        <f>IF(B29=0,0,Table1[[#This Row],[Initial Reserve]]+CE28)</f>
        <v>0</v>
      </c>
      <c r="CE29" s="40">
        <f>ROUND(IF(B29=0,0,((CC29)*(1+db!Y31))+((CE28)*(1+db!U31))),0)</f>
        <v>0</v>
      </c>
      <c r="CF29" s="40">
        <f t="shared" si="19"/>
        <v>0</v>
      </c>
      <c r="CG29" s="15">
        <f t="shared" si="15"/>
        <v>28</v>
      </c>
      <c r="CH29" s="39">
        <f>IF(B29=0,0,((CC29)*(1+db!AH31))+((CH28)*(1+db!AD31)))</f>
        <v>0</v>
      </c>
      <c r="CI29" s="39">
        <f>IF(B29=0,0,((CC29)*(1+db!AH31))+((CI28)*(1+db!AD31)))</f>
        <v>0</v>
      </c>
      <c r="CJ29" s="40">
        <f>IF(B29=0,0,((CC29)*(1+db!AO31))+((CJ28)*(1+db!AK31)))</f>
        <v>0</v>
      </c>
      <c r="CK29" s="40">
        <f>CJ29-(SUM(BX$7:$BX30))</f>
        <v>0</v>
      </c>
      <c r="CL29" s="46"/>
    </row>
    <row r="30" spans="1:90">
      <c r="A30" s="24">
        <f t="shared" si="16"/>
        <v>29</v>
      </c>
      <c r="B30" s="16">
        <f>IF(AND(Changes!Change="Yes", Changes!ChangeType="Change Contract Duration"),IF(B29=0,0,IF(Changes!NewChangedValue&lt;B29+1,0,B29+1)),IF(B29=0,0,IF('Application Annually'!$C$5&lt;B29+1,0,B29+1)))</f>
        <v>0</v>
      </c>
      <c r="C30" s="15">
        <f t="shared" si="17"/>
        <v>0</v>
      </c>
      <c r="D30" s="312">
        <f t="shared" si="18"/>
        <v>56</v>
      </c>
      <c r="E30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30" s="29">
        <f t="shared" si="8"/>
        <v>0</v>
      </c>
      <c r="G30" s="29">
        <f t="shared" si="9"/>
        <v>0</v>
      </c>
      <c r="H30" s="29">
        <f t="shared" si="0"/>
        <v>0</v>
      </c>
      <c r="I30" s="29">
        <f>IF(B30&gt;0,IF(AND(Table1[[#This Row],[Year]]&gt;Changes!ValidityYear,Changes!Change="Yes",Changes!ChangeType="Change Value Adjustment"),Changes!$G$22,'Application Annually'!$C$11),0)</f>
        <v>0</v>
      </c>
      <c r="J30" s="29">
        <f>IF(B30&gt;0,IF(AND(Table1[[#This Row],[Year]]&gt;Changes!ValidityYear,Changes!Change="Yes",Changes!ChangeType="Change Value Adjustment"),Changes!$G$24,'Application Annually'!$C$7),0)</f>
        <v>0</v>
      </c>
      <c r="K30" s="29">
        <f>ROUND(IF(B30=0,0,IF(AND(Changes!Change="Yes", Changes!ValidityYear=Table1[[#This Row],[Year]], Changes!ChangeType="Change Premium"), Changes!NewChangedValue, (K29*(1+db!$B$3)))),0)</f>
        <v>0</v>
      </c>
      <c r="L30" s="29">
        <f>ROUND(IF(AND(Changes!Change="Yes",Changes!ValidityYear&lt;=Table1[[#This Row],[Year]],Changes!ChangeType="Paid-Up"),0,IF(B30=0,0,IF(AND(Changes!Change="Yes", Changes!ValidityYear=Table1[[#This Row],[Year]], Changes!ChangeType="Change Premium"), Changes!NewChangedValue, (L29*(1+Table1[[#This Row],[Adjustment Factor of Premium]]/100))))),0)</f>
        <v>0</v>
      </c>
      <c r="M30" s="29">
        <f>IF(Table1[[#This Row],[Year]]=1,ROUND(MIN($L$2 -( Table1[[#This Row],[Riders Risk Premiums]] + Table1[[#This Row],[Acquisition Cost]]) *0.75,Table1[[#This Row],[Death Capital (1)]]* 0.03),0),0)</f>
        <v>0</v>
      </c>
      <c r="N30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30" s="29">
        <f>ROUND(IF(ROW()-1&gt;InsurancePeriod,0,(O29*(1+(Table1[[#This Row],[Adjustment Factor of Premium]]/100)))),0)</f>
        <v>0</v>
      </c>
      <c r="P30" s="29">
        <f>IF(Table1[Year] = 0, 0, SUM(L$2:L30))</f>
        <v>0</v>
      </c>
      <c r="Q30" s="17">
        <f t="shared" si="1"/>
        <v>0</v>
      </c>
      <c r="R30" s="17">
        <f>IF(Table1[[#This Row],[Year]]=0,0,IF($C$2&lt;=50,LOOKUP(Table1[[#This Row],[Age]],db!BG31:BG137,db!BH31:BH137),LOOKUP(Table1[[#This Row],[Age]],db!BJ31:BJ137,db!BK31:BK137)))</f>
        <v>0</v>
      </c>
      <c r="S30" s="17">
        <f>IF(AND(Changes!Change="Yes",Changes!ValidityYear&lt;=Table1[[#This Row],[Year]],Changes!ChangeType="Paid-Up",PaidUpOption="Paid-up with no coverage"),0,IF(B30=0,0, IF(AND(Changes!Change="Yes", Changes!ValidityYear=Table1[[#This Row],[Year]], Changes!ChangeType="Change Death Capital"), Changes!NewChangedValue, S29*(1+(Table1[[#This Row],[Adjustment Factor of Death Capital]]/100)))))</f>
        <v>0</v>
      </c>
      <c r="T30" s="17">
        <f>MIN(IF(B30=0,0,Table1[[#This Row],[Death Capital (1)]]),Table1[[#This Row],[Max Sum Insured For Death]])</f>
        <v>0</v>
      </c>
      <c r="U30" s="29">
        <f t="shared" si="10"/>
        <v>0</v>
      </c>
      <c r="V30" s="29">
        <f>IF(AND(Changes!Change="Yes",Changes!ValidityYear&lt;=Table1[[#This Row],[Year]],Changes!ChangeType="Paid-Up",OR(PaidUpOption="Paid-up with no coverage",PaidUpOption="Paid-up with main coverage")),0,IF(B30=0,0,IF(AND(Changes!Change="Yes", Changes!ValidityYear&lt;=Table1[[#This Row],[Year]], Changes!ChangeType="Rider Inclusion/Exclusion", Changes!RiderType="Accident Death"), T30*Changes!NewChangedValue,IF(db!$D$6="Yes",(db!$B$6)*T30,0))))</f>
        <v>0</v>
      </c>
      <c r="W30" s="29">
        <f>MIN(IF(V30&lt;=db!$L$2,V30,db!$L$2),MAX_ACC_CAPITAL)</f>
        <v>0</v>
      </c>
      <c r="X30" s="17">
        <f>IF(AND(Changes!Change="Yes",Changes!ValidityYear&lt;=Table1[[#This Row],[Year]],Changes!ChangeType="Paid-Up",OR(PaidUpOption="Paid-up with no coverage",PaidUpOption="Paid-up with main coverage")),0,IF(OR(B30=0,Table1[[#This Row],[Accident Capital (2)]]=0),0,IF(AND(Changes!Change="Yes", Changes!ValidityYear&lt;=Table1[[#This Row],[Year]], Changes!ChangeType="Rider Inclusion/Exclusion", Changes!RiderType="Accident Disability"), T30*Changes!NewChangedValue,IF(db!$D$7="Yes",(db!$B$7)*T30,0))))</f>
        <v>0</v>
      </c>
      <c r="Y30" s="42">
        <f>IF(C30&gt;69,0,IF(C30=0,0,IF(X30&lt;=db!$L$3,X30,db!$L$3)))</f>
        <v>0</v>
      </c>
      <c r="Z30" s="29">
        <f>IF(AND(Changes!Change="Yes",Changes!ValidityYear&lt;=Table1[[#This Row],[Year]],Changes!ChangeType="Paid-Up",OR(PaidUpOption="Paid-up with no coverage",PaidUpOption="Paid-up with main coverage")),0,IF(OR(B30=0,Table1[[#This Row],[Accident Capital (2)]]=0),0,IF(AND(Changes!Change="Yes", Changes!ValidityYear&lt;=Table1[[#This Row],[Year]], Changes!ChangeType="Rider Inclusion/Exclusion", Changes!RiderType="Accident Medical Cost"), T30*Changes!NewChangedValue,IF(db!$D$9="Yes",(db!$B$9)*T30,0))))</f>
        <v>0</v>
      </c>
      <c r="AA30" s="29">
        <f>ROUND(IF(C30&gt;69,0,IF(C30=0,0,IF(Z30&lt;=db!$L$4,Z30,db!$L$4))),0)</f>
        <v>0</v>
      </c>
      <c r="AB30" s="38">
        <f>IF(AND(Changes!Change = "Yes", Changes!ChangeType = "Rider Inclusion/Exclusion", Changes!RiderType = "WOP"), IF( Changes!ValidityYear &lt;= Table1[[#This Row],[Year]], IF(WOP = "Yes", 0, 1),  IF(WOP = "Yes", 1, 0)), IF(AND(db!$D$8="Yes",C30&lt;=69,ROW()-1&lt;=InsurancePeriod), 1, 0))</f>
        <v>0</v>
      </c>
      <c r="AC30" s="17">
        <f>(AC31+K31)*AB30*((1)/(1+db!AA32))*(LOOKUP(C30,'Mortality Table'!$A$2:$A$108,'Mortality Table'!$E$2:$E$108))</f>
        <v>0</v>
      </c>
      <c r="AD30" s="340">
        <f>IF(AND(Changes!ValidityYear&lt;= Table1[[#This Row],[Year]],Changes!ChangeType="Change Value Adjustment",Changes!Change="Yes"), (AD31+L31)*AB30*((1)/(1+db!AA32))*(LOOKUP(C30,'Mortality Table'!$A$2:$A$108,'Mortality Table'!$E$2:$E$108)),Table1[[#This Row],[WOP Before Adj. BT]])</f>
        <v>0</v>
      </c>
      <c r="AE30" s="341">
        <f>IF(AND(Changes!Change="Yes", Changes!ChangeType="Change Value Adjustment"),Table1[[#This Row],[WOP Capital]],(AE31+O31)*AB30*((1)/(1+db!AA32))*(LOOKUP(D30,'Mortality Table'!$A$2:$A$108,'Mortality Table'!$E$2:$E$108)))</f>
        <v>0</v>
      </c>
      <c r="AF30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30" s="42">
        <f>IF(AND(Changes!Change="Yes", Changes!ValidityYear&lt;=Table1[[#This Row],[Year]], Changes!ChangeType="Rider Inclusion/Exclusion", Changes!RiderType="Disability Annuity"), L30*Changes!NewChangedValue,L30*db!B$10*IF(db!$D$10="Yes",1,0))</f>
        <v>0</v>
      </c>
      <c r="AH30" s="29">
        <f>IF(AND(Changes!Change="Yes",Changes!ValidityYear&lt;=Table1[[#This Row],[Year]],Changes!ChangeType="Paid-Up"),0,Table1[[#This Row],[Code Annuity Capital]]*IF('Annual Calculation'!C30&gt;69,0,(LOOKUP('Annual Calculation'!C30+1,'Mortality Table'!$A$2:$A$108,'Mortality Table'!$O$2:$O$108)-LOOKUP('Annual Calculation'!C30+11,'Mortality Table'!$A$2:$A$108,'Mortality Table'!$O$2:$O$108))/LOOKUP('Annual Calculation'!C30,'Mortality Table'!$A$2:$A$108,'Mortality Table'!$M$2:$M$108)))</f>
        <v>0</v>
      </c>
      <c r="AI30" s="17">
        <f>IF(AND(Changes!Change="Yes",Changes!ValidityYear&lt;=Table1[[#This Row],[Year]],Changes!ChangeType="Paid-Up",OR(PaidUpOption="Paid-up with no coverage",PaidUpOption="Paid-up with main coverage")),0,IF(B30=0,0,IF(AND(Changes!Change="Yes", Changes!ValidityYear&lt;=Table1[[#This Row],[Year]], Changes!ChangeType="Rider Inclusion/Exclusion", Changes!RiderType="Dread Disease"), T30*Changes!NewChangedValue,IF(db!$D$11="Yes",(db!$B$11)*T30,0))))</f>
        <v>0</v>
      </c>
      <c r="AJ30" s="42">
        <f>ROUND(IF(C30&gt;59,0,IF(C30=0,0,IF(AI30&lt;=db!$L$5,AI30,db!$L$5))),0)</f>
        <v>0</v>
      </c>
      <c r="AK30" s="29">
        <f>IF(AND(Changes!Change="Yes",Changes!ValidityYear&lt;=Table1[[#This Row],[Year]],Changes!ChangeType="Paid-Up",OR(PaidUpOption="Paid-up with no coverage",PaidUpOption="Paid-up with main coverage")),0,IF(B30=0,0,IF(AND(Changes!Change="Yes", Changes!ValidityYear&lt;=Table1[[#This Row],[Year]], Changes!ChangeType="Rider Inclusion/Exclusion", Changes!RiderType="Cancer"), T30*Changes!NewChangedValue,IF(db!$D$12="Yes",(db!$B$12)*T30,0))))</f>
        <v>0</v>
      </c>
      <c r="AL30" s="29">
        <f>ROUND(IF(C30&gt;59,0,IF(C30=0,0,IF(AK30&lt;=db!$L$6,AK30,db!$L$6))),0)</f>
        <v>0</v>
      </c>
      <c r="AM30" s="32"/>
      <c r="AN30" s="18">
        <f>IF(B30=0,0,IF(C30&lt;(db!$E$2+5),LOOKUP(C30,'Mortality Table'!$A$2:$A$108,'Mortality Table'!$P$2:$P$108),IF((C30&gt;=db!$E$2+10),LOOKUP(C30,'Mortality Table'!$A$2:$A$108,'Mortality Table'!$R$2:$R$108),LOOKUP(C30,'Mortality Table'!$A$2:$A$108,'Mortality Table'!$Q$2:$Q$108))))</f>
        <v>0</v>
      </c>
      <c r="AO30" s="22">
        <f t="shared" si="2"/>
        <v>0</v>
      </c>
      <c r="AP30" s="19">
        <f>IF(B30=0,0, LOOKUP(IF(AND(Changes!Change="Yes", Changes!ValidityYear&lt;=Table1[[#This Row],[Year]], Changes!ChangeType="Change Job Class"),Changes!NewChangedValue, db!$A$8),db!$AX$4:$AX$8,db!$AY$4:$AY$8))</f>
        <v>0</v>
      </c>
      <c r="AQ30" s="20">
        <f>ROUND((AP30/1000)*W30 * (1-db!$AS$9),0)</f>
        <v>0</v>
      </c>
      <c r="AR30" s="20">
        <f>(AP30/1000)*W30 * db!$AS$9</f>
        <v>0</v>
      </c>
      <c r="AS30" s="21">
        <f>IF(B30=0,0, LOOKUP(IF(AND(Changes!Change="Yes", Changes!ValidityYear&lt;=Table1[[#This Row],[Year]], Changes!ChangeType="Change Job Class"),Changes!NewChangedValue, db!$A$8),db!$AX$4:$AX$8,db!$AZ$4:$AZ$8))</f>
        <v>0</v>
      </c>
      <c r="AT30" s="22">
        <f>(AS30/1000)*Y30*(1-db!$AS$9)</f>
        <v>0</v>
      </c>
      <c r="AU30" s="22">
        <f>(AS30/1000)*Y30*(db!$AS$9)</f>
        <v>0</v>
      </c>
      <c r="AV30" s="23">
        <f>IF(B30=0,0, LOOKUP(IF(AND(Changes!Change="Yes", Changes!ValidityYear&lt;=Table1[[#This Row],[Year]], Changes!ChangeType="Change Job Class"),Changes!NewChangedValue, db!$A$8),db!$AX$4:$AX$8,db!$BA$4:$BA$8))</f>
        <v>0</v>
      </c>
      <c r="AW30" s="20">
        <f>ROUND((AV30/(100))*AA30*(1-db!$AS$9),0)</f>
        <v>0</v>
      </c>
      <c r="AX30" s="20">
        <f>ROUND((AV30/(100))*AA30*(db!$AS$9),0)</f>
        <v>0</v>
      </c>
      <c r="AY30" s="21">
        <f>IF(db!$D$8="Yes",AS30,0)</f>
        <v>0</v>
      </c>
      <c r="AZ30" s="22">
        <f>(AY30*AF30)/1000*(1-db!$AS$9)</f>
        <v>0</v>
      </c>
      <c r="BA30" s="22">
        <f>(AY30*AF30)/1000*(db!$AS$9)</f>
        <v>0</v>
      </c>
      <c r="BB30" s="23">
        <f t="shared" si="3"/>
        <v>0</v>
      </c>
      <c r="BC30" s="20">
        <f>(BB30*AH30/1000)*(1-db!$AS$9)</f>
        <v>0</v>
      </c>
      <c r="BD30" s="20">
        <f>(BB30*AH30/1000)*(db!$AS$9)</f>
        <v>0</v>
      </c>
      <c r="BE30" s="22">
        <f>IF(B30=0,0,IF(C30&gt;60,0,LOOKUP(Table1[[#This Row],[Medical
Age]],db!$BC$3:$BC$63,db!$BD$3:$BD$63)))</f>
        <v>0</v>
      </c>
      <c r="BF30" s="22">
        <f>BG30*db!$AS$10</f>
        <v>0</v>
      </c>
      <c r="BG30" s="22">
        <f t="shared" si="4"/>
        <v>0</v>
      </c>
      <c r="BH30" s="22">
        <f>(BE30/1000000)*AJ30*(1-db!$AS$10)</f>
        <v>0</v>
      </c>
      <c r="BI30" s="20">
        <f>IF(B30=0,0,IF(C30&gt;59,0,LOOKUP(Table1[[#This Row],[Medical
Age]],db!$BC$3:$BC$63,db!$BE$3:$BE$63)))</f>
        <v>0</v>
      </c>
      <c r="BJ30" s="20">
        <f>(BI30/1000000)*AL30*(1-db!$AS$11)</f>
        <v>0</v>
      </c>
      <c r="BK30" s="20">
        <f>(BI30/1000000)*AL30*(db!$AS$11)</f>
        <v>0</v>
      </c>
      <c r="BL30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30" s="20">
        <f>Table1[[#This Row],[RiskLoading
Rate]]*Table1[[#This Row],[Death Capital (2)]]</f>
        <v>0</v>
      </c>
      <c r="BN30" s="36"/>
      <c r="BO30" s="37">
        <f t="shared" si="5"/>
        <v>0</v>
      </c>
      <c r="BP30" s="35">
        <f t="shared" si="6"/>
        <v>0</v>
      </c>
      <c r="BQ30" s="35">
        <f t="shared" si="7"/>
        <v>0</v>
      </c>
      <c r="BR30" s="37">
        <f t="shared" si="11"/>
        <v>0</v>
      </c>
      <c r="BS30" s="37">
        <f t="shared" si="12"/>
        <v>0</v>
      </c>
      <c r="BT30" s="35">
        <f t="shared" si="13"/>
        <v>0</v>
      </c>
      <c r="BU30" s="35">
        <f t="shared" si="14"/>
        <v>0</v>
      </c>
      <c r="BV30" s="37">
        <f>(db!$AS$4/100)*(L30-BT30-BU30)</f>
        <v>0</v>
      </c>
      <c r="BW30" s="37">
        <f>(db!$AS$8/100)*(L30-BT30-BU30)</f>
        <v>0</v>
      </c>
      <c r="BX30" s="35"/>
      <c r="BY30" s="37"/>
      <c r="BZ30" s="37"/>
      <c r="CA30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30" s="33"/>
      <c r="CC30" s="39">
        <f>ROUND((Table1[[#This Row],[Premium]]-Table1[[#This Row],[All Deductions]]),0)</f>
        <v>0</v>
      </c>
      <c r="CD30" s="39">
        <f>IF(B30=0,0,Table1[[#This Row],[Initial Reserve]]+CE29)</f>
        <v>0</v>
      </c>
      <c r="CE30" s="40">
        <f>ROUND(IF(B30=0,0,((CC30)*(1+db!Y32))+((CE29)*(1+db!U32))),0)</f>
        <v>0</v>
      </c>
      <c r="CF30" s="40">
        <f t="shared" si="19"/>
        <v>0</v>
      </c>
      <c r="CG30" s="15">
        <f t="shared" si="15"/>
        <v>29</v>
      </c>
      <c r="CH30" s="39">
        <f>IF(B30=0,0,((CC30)*(1+db!AH32))+((CH29)*(1+db!AD32)))</f>
        <v>0</v>
      </c>
      <c r="CI30" s="39">
        <f>IF(B30=0,0,((CC30)*(1+db!AH32))+((CI29)*(1+db!AD32)))</f>
        <v>0</v>
      </c>
      <c r="CJ30" s="40">
        <f>IF(B30=0,0,((CC30)*(1+db!AO32))+((CJ29)*(1+db!AK32)))</f>
        <v>0</v>
      </c>
      <c r="CK30" s="40">
        <f>CJ30-(SUM(BX$7:$BX31))</f>
        <v>0</v>
      </c>
      <c r="CL30" s="46"/>
    </row>
    <row r="31" spans="1:90">
      <c r="A31" s="24">
        <f t="shared" si="16"/>
        <v>30</v>
      </c>
      <c r="B31" s="16">
        <f>IF(AND(Changes!Change="Yes", Changes!ChangeType="Change Contract Duration"),IF(B30=0,0,IF(Changes!NewChangedValue&lt;B30+1,0,B30+1)),IF(B30=0,0,IF('Application Annually'!$C$5&lt;B30+1,0,B30+1)))</f>
        <v>0</v>
      </c>
      <c r="C31" s="15">
        <f t="shared" si="17"/>
        <v>0</v>
      </c>
      <c r="D31" s="312">
        <f t="shared" si="18"/>
        <v>57</v>
      </c>
      <c r="E31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31" s="29">
        <f t="shared" si="8"/>
        <v>0</v>
      </c>
      <c r="G31" s="29">
        <f t="shared" si="9"/>
        <v>0</v>
      </c>
      <c r="H31" s="29">
        <f t="shared" si="0"/>
        <v>0</v>
      </c>
      <c r="I31" s="29">
        <f>IF(B31&gt;0,IF(AND(Table1[[#This Row],[Year]]&gt;Changes!ValidityYear,Changes!Change="Yes",Changes!ChangeType="Change Value Adjustment"),Changes!$G$22,'Application Annually'!$C$11),0)</f>
        <v>0</v>
      </c>
      <c r="J31" s="29">
        <f>IF(B31&gt;0,IF(AND(Table1[[#This Row],[Year]]&gt;Changes!ValidityYear,Changes!Change="Yes",Changes!ChangeType="Change Value Adjustment"),Changes!$G$24,'Application Annually'!$C$7),0)</f>
        <v>0</v>
      </c>
      <c r="K31" s="29">
        <f>ROUND(IF(B31=0,0,IF(AND(Changes!Change="Yes", Changes!ValidityYear=Table1[[#This Row],[Year]], Changes!ChangeType="Change Premium"), Changes!NewChangedValue, (K30*(1+db!$B$3)))),0)</f>
        <v>0</v>
      </c>
      <c r="L31" s="29">
        <f>ROUND(IF(AND(Changes!Change="Yes",Changes!ValidityYear&lt;=Table1[[#This Row],[Year]],Changes!ChangeType="Paid-Up"),0,IF(B31=0,0,IF(AND(Changes!Change="Yes", Changes!ValidityYear=Table1[[#This Row],[Year]], Changes!ChangeType="Change Premium"), Changes!NewChangedValue, (L30*(1+Table1[[#This Row],[Adjustment Factor of Premium]]/100))))),0)</f>
        <v>0</v>
      </c>
      <c r="M31" s="29">
        <f>IF(Table1[[#This Row],[Year]]=1,ROUND(MIN($L$2 -( Table1[[#This Row],[Riders Risk Premiums]] + Table1[[#This Row],[Acquisition Cost]]) *0.75,Table1[[#This Row],[Death Capital (1)]]* 0.03),0),0)</f>
        <v>0</v>
      </c>
      <c r="N31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31" s="29">
        <f>ROUND(IF(ROW()-1&gt;InsurancePeriod,0,(O30*(1+(Table1[[#This Row],[Adjustment Factor of Premium]]/100)))),0)</f>
        <v>0</v>
      </c>
      <c r="P31" s="29">
        <f>IF(Table1[Year] = 0, 0, SUM(L$2:L31))</f>
        <v>0</v>
      </c>
      <c r="Q31" s="17">
        <f t="shared" si="1"/>
        <v>0</v>
      </c>
      <c r="R31" s="17">
        <f>IF(Table1[[#This Row],[Year]]=0,0,IF($C$2&lt;=50,LOOKUP(Table1[[#This Row],[Age]],db!BG32:BG138,db!BH32:BH138),LOOKUP(Table1[[#This Row],[Age]],db!BJ32:BJ138,db!BK32:BK138)))</f>
        <v>0</v>
      </c>
      <c r="S31" s="17">
        <f>IF(AND(Changes!Change="Yes",Changes!ValidityYear&lt;=Table1[[#This Row],[Year]],Changes!ChangeType="Paid-Up",PaidUpOption="Paid-up with no coverage"),0,IF(B31=0,0, IF(AND(Changes!Change="Yes", Changes!ValidityYear=Table1[[#This Row],[Year]], Changes!ChangeType="Change Death Capital"), Changes!NewChangedValue, S30*(1+(Table1[[#This Row],[Adjustment Factor of Death Capital]]/100)))))</f>
        <v>0</v>
      </c>
      <c r="T31" s="17">
        <f>MIN(IF(B31=0,0,Table1[[#This Row],[Death Capital (1)]]),Table1[[#This Row],[Max Sum Insured For Death]])</f>
        <v>0</v>
      </c>
      <c r="U31" s="29">
        <f t="shared" si="10"/>
        <v>0</v>
      </c>
      <c r="V31" s="29">
        <f>IF(AND(Changes!Change="Yes",Changes!ValidityYear&lt;=Table1[[#This Row],[Year]],Changes!ChangeType="Paid-Up",OR(PaidUpOption="Paid-up with no coverage",PaidUpOption="Paid-up with main coverage")),0,IF(B31=0,0,IF(AND(Changes!Change="Yes", Changes!ValidityYear&lt;=Table1[[#This Row],[Year]], Changes!ChangeType="Rider Inclusion/Exclusion", Changes!RiderType="Accident Death"), T31*Changes!NewChangedValue,IF(db!$D$6="Yes",(db!$B$6)*T31,0))))</f>
        <v>0</v>
      </c>
      <c r="W31" s="29">
        <f>MIN(IF(V31&lt;=db!$L$2,V31,db!$L$2),MAX_ACC_CAPITAL)</f>
        <v>0</v>
      </c>
      <c r="X31" s="17">
        <f>IF(AND(Changes!Change="Yes",Changes!ValidityYear&lt;=Table1[[#This Row],[Year]],Changes!ChangeType="Paid-Up",OR(PaidUpOption="Paid-up with no coverage",PaidUpOption="Paid-up with main coverage")),0,IF(OR(B31=0,Table1[[#This Row],[Accident Capital (2)]]=0),0,IF(AND(Changes!Change="Yes", Changes!ValidityYear&lt;=Table1[[#This Row],[Year]], Changes!ChangeType="Rider Inclusion/Exclusion", Changes!RiderType="Accident Disability"), T31*Changes!NewChangedValue,IF(db!$D$7="Yes",(db!$B$7)*T31,0))))</f>
        <v>0</v>
      </c>
      <c r="Y31" s="42">
        <f>IF(C31&gt;69,0,IF(C31=0,0,IF(X31&lt;=db!$L$3,X31,db!$L$3)))</f>
        <v>0</v>
      </c>
      <c r="Z31" s="29">
        <f>IF(AND(Changes!Change="Yes",Changes!ValidityYear&lt;=Table1[[#This Row],[Year]],Changes!ChangeType="Paid-Up",OR(PaidUpOption="Paid-up with no coverage",PaidUpOption="Paid-up with main coverage")),0,IF(OR(B31=0,Table1[[#This Row],[Accident Capital (2)]]=0),0,IF(AND(Changes!Change="Yes", Changes!ValidityYear&lt;=Table1[[#This Row],[Year]], Changes!ChangeType="Rider Inclusion/Exclusion", Changes!RiderType="Accident Medical Cost"), T31*Changes!NewChangedValue,IF(db!$D$9="Yes",(db!$B$9)*T31,0))))</f>
        <v>0</v>
      </c>
      <c r="AA31" s="29">
        <f>ROUND(IF(C31&gt;69,0,IF(C31=0,0,IF(Z31&lt;=db!$L$4,Z31,db!$L$4))),0)</f>
        <v>0</v>
      </c>
      <c r="AB31" s="38">
        <f>IF(AND(Changes!Change = "Yes", Changes!ChangeType = "Rider Inclusion/Exclusion", Changes!RiderType = "WOP"), IF( Changes!ValidityYear &lt;= Table1[[#This Row],[Year]], IF(WOP = "Yes", 0, 1),  IF(WOP = "Yes", 1, 0)), IF(AND(db!$D$8="Yes",C31&lt;=69,ROW()-1&lt;=InsurancePeriod), 1, 0))</f>
        <v>0</v>
      </c>
      <c r="AC31" s="17">
        <f>(AC32+K32)*AB31*((1)/(1+db!AA33))*(LOOKUP(C31,'Mortality Table'!$A$2:$A$108,'Mortality Table'!$E$2:$E$108))</f>
        <v>0</v>
      </c>
      <c r="AD31" s="340">
        <f>IF(AND(Changes!ValidityYear&lt;= Table1[[#This Row],[Year]],Changes!ChangeType="Change Value Adjustment",Changes!Change="Yes"), (AD32+L32)*AB31*((1)/(1+db!AA33))*(LOOKUP(C31,'Mortality Table'!$A$2:$A$108,'Mortality Table'!$E$2:$E$108)),Table1[[#This Row],[WOP Before Adj. BT]])</f>
        <v>0</v>
      </c>
      <c r="AE31" s="341">
        <f>IF(AND(Changes!Change="Yes", Changes!ChangeType="Change Value Adjustment"),Table1[[#This Row],[WOP Capital]],(AE32+O32)*AB31*((1)/(1+db!AA33))*(LOOKUP(D31,'Mortality Table'!$A$2:$A$108,'Mortality Table'!$E$2:$E$108)))</f>
        <v>0</v>
      </c>
      <c r="AF31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31" s="42">
        <f>IF(AND(Changes!Change="Yes", Changes!ValidityYear&lt;=Table1[[#This Row],[Year]], Changes!ChangeType="Rider Inclusion/Exclusion", Changes!RiderType="Disability Annuity"), L31*Changes!NewChangedValue,L31*db!B$10*IF(db!$D$10="Yes",1,0))</f>
        <v>0</v>
      </c>
      <c r="AH31" s="29">
        <f>IF(AND(Changes!Change="Yes",Changes!ValidityYear&lt;=Table1[[#This Row],[Year]],Changes!ChangeType="Paid-Up"),0,Table1[[#This Row],[Code Annuity Capital]]*IF('Annual Calculation'!C31&gt;69,0,(LOOKUP('Annual Calculation'!C31+1,'Mortality Table'!$A$2:$A$108,'Mortality Table'!$O$2:$O$108)-LOOKUP('Annual Calculation'!C31+11,'Mortality Table'!$A$2:$A$108,'Mortality Table'!$O$2:$O$108))/LOOKUP('Annual Calculation'!C31,'Mortality Table'!$A$2:$A$108,'Mortality Table'!$M$2:$M$108)))</f>
        <v>0</v>
      </c>
      <c r="AI31" s="17">
        <f>IF(AND(Changes!Change="Yes",Changes!ValidityYear&lt;=Table1[[#This Row],[Year]],Changes!ChangeType="Paid-Up",OR(PaidUpOption="Paid-up with no coverage",PaidUpOption="Paid-up with main coverage")),0,IF(B31=0,0,IF(AND(Changes!Change="Yes", Changes!ValidityYear&lt;=Table1[[#This Row],[Year]], Changes!ChangeType="Rider Inclusion/Exclusion", Changes!RiderType="Dread Disease"), T31*Changes!NewChangedValue,IF(db!$D$11="Yes",(db!$B$11)*T31,0))))</f>
        <v>0</v>
      </c>
      <c r="AJ31" s="42">
        <f>ROUND(IF(C31&gt;59,0,IF(C31=0,0,IF(AI31&lt;=db!$L$5,AI31,db!$L$5))),0)</f>
        <v>0</v>
      </c>
      <c r="AK31" s="29">
        <f>IF(AND(Changes!Change="Yes",Changes!ValidityYear&lt;=Table1[[#This Row],[Year]],Changes!ChangeType="Paid-Up",OR(PaidUpOption="Paid-up with no coverage",PaidUpOption="Paid-up with main coverage")),0,IF(B31=0,0,IF(AND(Changes!Change="Yes", Changes!ValidityYear&lt;=Table1[[#This Row],[Year]], Changes!ChangeType="Rider Inclusion/Exclusion", Changes!RiderType="Cancer"), T31*Changes!NewChangedValue,IF(db!$D$12="Yes",(db!$B$12)*T31,0))))</f>
        <v>0</v>
      </c>
      <c r="AL31" s="29">
        <f>ROUND(IF(C31&gt;59,0,IF(C31=0,0,IF(AK31&lt;=db!$L$6,AK31,db!$L$6))),0)</f>
        <v>0</v>
      </c>
      <c r="AM31" s="32"/>
      <c r="AN31" s="18">
        <f>IF(B31=0,0,IF(C31&lt;(db!$E$2+5),LOOKUP(C31,'Mortality Table'!$A$2:$A$108,'Mortality Table'!$P$2:$P$108),IF((C31&gt;=db!$E$2+10),LOOKUP(C31,'Mortality Table'!$A$2:$A$108,'Mortality Table'!$R$2:$R$108),LOOKUP(C31,'Mortality Table'!$A$2:$A$108,'Mortality Table'!$Q$2:$Q$108))))</f>
        <v>0</v>
      </c>
      <c r="AO31" s="22">
        <f t="shared" si="2"/>
        <v>0</v>
      </c>
      <c r="AP31" s="19">
        <f>IF(B31=0,0, LOOKUP(IF(AND(Changes!Change="Yes", Changes!ValidityYear&lt;=Table1[[#This Row],[Year]], Changes!ChangeType="Change Job Class"),Changes!NewChangedValue, db!$A$8),db!$AX$4:$AX$8,db!$AY$4:$AY$8))</f>
        <v>0</v>
      </c>
      <c r="AQ31" s="20">
        <f>ROUND((AP31/1000)*W31 * (1-db!$AS$9),0)</f>
        <v>0</v>
      </c>
      <c r="AR31" s="20">
        <f>(AP31/1000)*W31 * db!$AS$9</f>
        <v>0</v>
      </c>
      <c r="AS31" s="21">
        <f>IF(B31=0,0, LOOKUP(IF(AND(Changes!Change="Yes", Changes!ValidityYear&lt;=Table1[[#This Row],[Year]], Changes!ChangeType="Change Job Class"),Changes!NewChangedValue, db!$A$8),db!$AX$4:$AX$8,db!$AZ$4:$AZ$8))</f>
        <v>0</v>
      </c>
      <c r="AT31" s="22">
        <f>(AS31/1000)*Y31*(1-db!$AS$9)</f>
        <v>0</v>
      </c>
      <c r="AU31" s="22">
        <f>(AS31/1000)*Y31*(db!$AS$9)</f>
        <v>0</v>
      </c>
      <c r="AV31" s="23">
        <f>IF(B31=0,0, LOOKUP(IF(AND(Changes!Change="Yes", Changes!ValidityYear&lt;=Table1[[#This Row],[Year]], Changes!ChangeType="Change Job Class"),Changes!NewChangedValue, db!$A$8),db!$AX$4:$AX$8,db!$BA$4:$BA$8))</f>
        <v>0</v>
      </c>
      <c r="AW31" s="20">
        <f>ROUND((AV31/(100))*AA31*(1-db!$AS$9),0)</f>
        <v>0</v>
      </c>
      <c r="AX31" s="20">
        <f>ROUND((AV31/(100))*AA31*(db!$AS$9),0)</f>
        <v>0</v>
      </c>
      <c r="AY31" s="21">
        <f>IF(db!$D$8="Yes",AS31,0)</f>
        <v>0</v>
      </c>
      <c r="AZ31" s="22">
        <f>(AY31*AF31)/1000*(1-db!$AS$9)</f>
        <v>0</v>
      </c>
      <c r="BA31" s="22">
        <f>(AY31*AF31)/1000*(db!$AS$9)</f>
        <v>0</v>
      </c>
      <c r="BB31" s="23">
        <f t="shared" si="3"/>
        <v>0</v>
      </c>
      <c r="BC31" s="20">
        <f>(BB31*AH31/1000)*(1-db!$AS$9)</f>
        <v>0</v>
      </c>
      <c r="BD31" s="20">
        <f>(BB31*AH31/1000)*(db!$AS$9)</f>
        <v>0</v>
      </c>
      <c r="BE31" s="22">
        <f>IF(B31=0,0,IF(C31&gt;60,0,LOOKUP(Table1[[#This Row],[Medical
Age]],db!$BC$3:$BC$63,db!$BD$3:$BD$63)))</f>
        <v>0</v>
      </c>
      <c r="BF31" s="22">
        <f>BG31*db!$AS$10</f>
        <v>0</v>
      </c>
      <c r="BG31" s="22">
        <f t="shared" si="4"/>
        <v>0</v>
      </c>
      <c r="BH31" s="22">
        <f>(BE31/1000000)*AJ31*(1-db!$AS$10)</f>
        <v>0</v>
      </c>
      <c r="BI31" s="20">
        <f>IF(B31=0,0,IF(C31&gt;59,0,LOOKUP(Table1[[#This Row],[Medical
Age]],db!$BC$3:$BC$63,db!$BE$3:$BE$63)))</f>
        <v>0</v>
      </c>
      <c r="BJ31" s="20">
        <f>(BI31/1000000)*AL31*(1-db!$AS$11)</f>
        <v>0</v>
      </c>
      <c r="BK31" s="20">
        <f>(BI31/1000000)*AL31*(db!$AS$11)</f>
        <v>0</v>
      </c>
      <c r="BL31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31" s="20">
        <f>Table1[[#This Row],[RiskLoading
Rate]]*Table1[[#This Row],[Death Capital (2)]]</f>
        <v>0</v>
      </c>
      <c r="BN31" s="36"/>
      <c r="BO31" s="37">
        <f t="shared" si="5"/>
        <v>0</v>
      </c>
      <c r="BP31" s="35">
        <f t="shared" si="6"/>
        <v>0</v>
      </c>
      <c r="BQ31" s="35">
        <f t="shared" si="7"/>
        <v>0</v>
      </c>
      <c r="BR31" s="37">
        <f t="shared" si="11"/>
        <v>0</v>
      </c>
      <c r="BS31" s="37">
        <f t="shared" si="12"/>
        <v>0</v>
      </c>
      <c r="BT31" s="35">
        <f t="shared" si="13"/>
        <v>0</v>
      </c>
      <c r="BU31" s="35">
        <f t="shared" si="14"/>
        <v>0</v>
      </c>
      <c r="BV31" s="37">
        <f>(db!$AS$4/100)*(L31-BT31-BU31)</f>
        <v>0</v>
      </c>
      <c r="BW31" s="37">
        <f>(db!$AS$8/100)*(L31-BT31-BU31)</f>
        <v>0</v>
      </c>
      <c r="BX31" s="35"/>
      <c r="BY31" s="37"/>
      <c r="BZ31" s="37"/>
      <c r="CA31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31" s="33"/>
      <c r="CC31" s="39">
        <f>ROUND((Table1[[#This Row],[Premium]]-Table1[[#This Row],[All Deductions]]),0)</f>
        <v>0</v>
      </c>
      <c r="CD31" s="39">
        <f>IF(B31=0,0,Table1[[#This Row],[Initial Reserve]]+CE30)</f>
        <v>0</v>
      </c>
      <c r="CE31" s="40">
        <f>ROUND(IF(B31=0,0,((CC31)*(1+db!Y33))+((CE30)*(1+db!U33))),0)</f>
        <v>0</v>
      </c>
      <c r="CF31" s="40">
        <f t="shared" si="19"/>
        <v>0</v>
      </c>
      <c r="CG31" s="15">
        <f>1+CG30</f>
        <v>30</v>
      </c>
      <c r="CH31" s="39">
        <f>IF(B31=0,0,((CC31)*(1+db!AH33))+((CH30)*(1+db!AD33)))</f>
        <v>0</v>
      </c>
      <c r="CI31" s="39">
        <f>IF(B31=0,0,((CC31)*(1+db!AH33))+((CI30)*(1+db!AD33)))</f>
        <v>0</v>
      </c>
      <c r="CJ31" s="40">
        <f>IF(B31=0,0,((CC31)*(1+db!AO33))+((CJ30)*(1+db!AK33)))</f>
        <v>0</v>
      </c>
      <c r="CK31" s="40">
        <f>CJ31-(SUM(BX$7:$BX32))</f>
        <v>0</v>
      </c>
      <c r="CL31" s="46"/>
    </row>
    <row r="32" spans="1:90">
      <c r="A32" s="24">
        <f t="shared" si="16"/>
        <v>31</v>
      </c>
      <c r="B32" s="16">
        <f>IF(AND(Changes!Change="Yes", Changes!ChangeType="Change Contract Duration"),IF(B31=0,0,IF(Changes!NewChangedValue&lt;B31+1,0,B31+1)),IF(B31=0,0,IF('Application Annually'!$C$5&lt;B31+1,0,B31+1)))</f>
        <v>0</v>
      </c>
      <c r="C32" s="15">
        <f t="shared" si="17"/>
        <v>0</v>
      </c>
      <c r="D32" s="312">
        <f t="shared" si="18"/>
        <v>58</v>
      </c>
      <c r="E32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32" s="29">
        <f t="shared" si="8"/>
        <v>0</v>
      </c>
      <c r="G32" s="29">
        <f t="shared" si="9"/>
        <v>0</v>
      </c>
      <c r="H32" s="29">
        <f t="shared" si="0"/>
        <v>0</v>
      </c>
      <c r="I32" s="29">
        <f>IF(B32&gt;0,IF(AND(Table1[[#This Row],[Year]]&gt;Changes!ValidityYear,Changes!Change="Yes",Changes!ChangeType="Change Value Adjustment"),Changes!$G$22,'Application Annually'!$C$11),0)</f>
        <v>0</v>
      </c>
      <c r="J32" s="29">
        <f>IF(B32&gt;0,IF(AND(Table1[[#This Row],[Year]]&gt;Changes!ValidityYear,Changes!Change="Yes",Changes!ChangeType="Change Value Adjustment"),Changes!$G$24,'Application Annually'!$C$7),0)</f>
        <v>0</v>
      </c>
      <c r="K32" s="29">
        <f>ROUND(IF(B32=0,0,IF(AND(Changes!Change="Yes", Changes!ValidityYear=Table1[[#This Row],[Year]], Changes!ChangeType="Change Premium"), Changes!NewChangedValue, (K31*(1+db!$B$3)))),0)</f>
        <v>0</v>
      </c>
      <c r="L32" s="29">
        <f>ROUND(IF(AND(Changes!Change="Yes",Changes!ValidityYear&lt;=Table1[[#This Row],[Year]],Changes!ChangeType="Paid-Up"),0,IF(B32=0,0,IF(AND(Changes!Change="Yes", Changes!ValidityYear=Table1[[#This Row],[Year]], Changes!ChangeType="Change Premium"), Changes!NewChangedValue, (L31*(1+Table1[[#This Row],[Adjustment Factor of Premium]]/100))))),0)</f>
        <v>0</v>
      </c>
      <c r="M32" s="29">
        <f>IF(Table1[[#This Row],[Year]]=1,ROUND(MIN($L$2 -( Table1[[#This Row],[Riders Risk Premiums]] + Table1[[#This Row],[Acquisition Cost]]) *0.75,Table1[[#This Row],[Death Capital (1)]]* 0.03),0),0)</f>
        <v>0</v>
      </c>
      <c r="N32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32" s="29">
        <f>ROUND(IF(ROW()-1&gt;InsurancePeriod,0,(O31*(1+(Table1[[#This Row],[Adjustment Factor of Premium]]/100)))),0)</f>
        <v>0</v>
      </c>
      <c r="P32" s="29">
        <f>IF(Table1[Year] = 0, 0, SUM(L$2:L32))</f>
        <v>0</v>
      </c>
      <c r="Q32" s="17">
        <f t="shared" si="1"/>
        <v>0</v>
      </c>
      <c r="R32" s="17">
        <f>IF(Table1[[#This Row],[Year]]=0,0,IF($C$2&lt;=50,LOOKUP(Table1[[#This Row],[Age]],db!BG33:BG139,db!BH33:BH139),LOOKUP(Table1[[#This Row],[Age]],db!BJ33:BJ139,db!BK33:BK139)))</f>
        <v>0</v>
      </c>
      <c r="S32" s="17">
        <f>IF(AND(Changes!Change="Yes",Changes!ValidityYear&lt;=Table1[[#This Row],[Year]],Changes!ChangeType="Paid-Up",PaidUpOption="Paid-up with no coverage"),0,IF(B32=0,0, IF(AND(Changes!Change="Yes", Changes!ValidityYear=Table1[[#This Row],[Year]], Changes!ChangeType="Change Death Capital"), Changes!NewChangedValue, S31*(1+(Table1[[#This Row],[Adjustment Factor of Death Capital]]/100)))))</f>
        <v>0</v>
      </c>
      <c r="T32" s="17">
        <f>MIN(IF(B32=0,0,Table1[[#This Row],[Death Capital (1)]]),Table1[[#This Row],[Max Sum Insured For Death]])</f>
        <v>0</v>
      </c>
      <c r="U32" s="29">
        <f t="shared" si="10"/>
        <v>0</v>
      </c>
      <c r="V32" s="29">
        <f>IF(AND(Changes!Change="Yes",Changes!ValidityYear&lt;=Table1[[#This Row],[Year]],Changes!ChangeType="Paid-Up",OR(PaidUpOption="Paid-up with no coverage",PaidUpOption="Paid-up with main coverage")),0,IF(B32=0,0,IF(AND(Changes!Change="Yes", Changes!ValidityYear&lt;=Table1[[#This Row],[Year]], Changes!ChangeType="Rider Inclusion/Exclusion", Changes!RiderType="Accident Death"), T32*Changes!NewChangedValue,IF(db!$D$6="Yes",(db!$B$6)*T32,0))))</f>
        <v>0</v>
      </c>
      <c r="W32" s="29">
        <f>MIN(IF(V32&lt;=db!$L$2,V32,db!$L$2),MAX_ACC_CAPITAL)</f>
        <v>0</v>
      </c>
      <c r="X32" s="17">
        <f>IF(AND(Changes!Change="Yes",Changes!ValidityYear&lt;=Table1[[#This Row],[Year]],Changes!ChangeType="Paid-Up",OR(PaidUpOption="Paid-up with no coverage",PaidUpOption="Paid-up with main coverage")),0,IF(OR(B32=0,Table1[[#This Row],[Accident Capital (2)]]=0),0,IF(AND(Changes!Change="Yes", Changes!ValidityYear&lt;=Table1[[#This Row],[Year]], Changes!ChangeType="Rider Inclusion/Exclusion", Changes!RiderType="Accident Disability"), T32*Changes!NewChangedValue,IF(db!$D$7="Yes",(db!$B$7)*T32,0))))</f>
        <v>0</v>
      </c>
      <c r="Y32" s="42">
        <f>IF(C32&gt;69,0,IF(C32=0,0,IF(X32&lt;=db!$L$3,X32,db!$L$3)))</f>
        <v>0</v>
      </c>
      <c r="Z32" s="29">
        <f>IF(AND(Changes!Change="Yes",Changes!ValidityYear&lt;=Table1[[#This Row],[Year]],Changes!ChangeType="Paid-Up",OR(PaidUpOption="Paid-up with no coverage",PaidUpOption="Paid-up with main coverage")),0,IF(OR(B32=0,Table1[[#This Row],[Accident Capital (2)]]=0),0,IF(AND(Changes!Change="Yes", Changes!ValidityYear&lt;=Table1[[#This Row],[Year]], Changes!ChangeType="Rider Inclusion/Exclusion", Changes!RiderType="Accident Medical Cost"), T32*Changes!NewChangedValue,IF(db!$D$9="Yes",(db!$B$9)*T32,0))))</f>
        <v>0</v>
      </c>
      <c r="AA32" s="29">
        <f>ROUND(IF(C32&gt;69,0,IF(C32=0,0,IF(Z32&lt;=db!$L$4,Z32,db!$L$4))),0)</f>
        <v>0</v>
      </c>
      <c r="AB32" s="38">
        <f>IF(AND(Changes!Change = "Yes", Changes!ChangeType = "Rider Inclusion/Exclusion", Changes!RiderType = "WOP"), IF( Changes!ValidityYear &lt;= Table1[[#This Row],[Year]], IF(WOP = "Yes", 0, 1),  IF(WOP = "Yes", 1, 0)), IF(AND(db!$D$8="Yes",C32&lt;=69,ROW()-1&lt;=InsurancePeriod), 1, 0))</f>
        <v>0</v>
      </c>
      <c r="AC32" s="17">
        <f>(AC33+K33)*AB32*((1)/(1+db!AA34))*(LOOKUP(C32,'Mortality Table'!$A$2:$A$108,'Mortality Table'!$E$2:$E$108))</f>
        <v>0</v>
      </c>
      <c r="AD32" s="340">
        <f>IF(AND(Changes!ValidityYear&lt;= Table1[[#This Row],[Year]],Changes!ChangeType="Change Value Adjustment",Changes!Change="Yes"), (AD33+L33)*AB32*((1)/(1+db!AA34))*(LOOKUP(C32,'Mortality Table'!$A$2:$A$108,'Mortality Table'!$E$2:$E$108)),Table1[[#This Row],[WOP Before Adj. BT]])</f>
        <v>0</v>
      </c>
      <c r="AE32" s="341">
        <f>IF(AND(Changes!Change="Yes", Changes!ChangeType="Change Value Adjustment"),Table1[[#This Row],[WOP Capital]],(AE33+O33)*AB32*((1)/(1+db!AA34))*(LOOKUP(D32,'Mortality Table'!$A$2:$A$108,'Mortality Table'!$E$2:$E$108)))</f>
        <v>0</v>
      </c>
      <c r="AF32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32" s="42">
        <f>IF(AND(Changes!Change="Yes", Changes!ValidityYear&lt;=Table1[[#This Row],[Year]], Changes!ChangeType="Rider Inclusion/Exclusion", Changes!RiderType="Disability Annuity"), L32*Changes!NewChangedValue,L32*db!B$10*IF(db!$D$10="Yes",1,0))</f>
        <v>0</v>
      </c>
      <c r="AH32" s="29">
        <f>IF(AND(Changes!Change="Yes",Changes!ValidityYear&lt;=Table1[[#This Row],[Year]],Changes!ChangeType="Paid-Up"),0,Table1[[#This Row],[Code Annuity Capital]]*IF('Annual Calculation'!C32&gt;69,0,(LOOKUP('Annual Calculation'!C32+1,'Mortality Table'!$A$2:$A$108,'Mortality Table'!$O$2:$O$108)-LOOKUP('Annual Calculation'!C32+11,'Mortality Table'!$A$2:$A$108,'Mortality Table'!$O$2:$O$108))/LOOKUP('Annual Calculation'!C32,'Mortality Table'!$A$2:$A$108,'Mortality Table'!$M$2:$M$108)))</f>
        <v>0</v>
      </c>
      <c r="AI32" s="17">
        <f>IF(AND(Changes!Change="Yes",Changes!ValidityYear&lt;=Table1[[#This Row],[Year]],Changes!ChangeType="Paid-Up",OR(PaidUpOption="Paid-up with no coverage",PaidUpOption="Paid-up with main coverage")),0,IF(B32=0,0,IF(AND(Changes!Change="Yes", Changes!ValidityYear&lt;=Table1[[#This Row],[Year]], Changes!ChangeType="Rider Inclusion/Exclusion", Changes!RiderType="Dread Disease"), T32*Changes!NewChangedValue,IF(db!$D$11="Yes",(db!$B$11)*T32,0))))</f>
        <v>0</v>
      </c>
      <c r="AJ32" s="42">
        <f>ROUND(IF(C32&gt;59,0,IF(C32=0,0,IF(AI32&lt;=db!$L$5,AI32,db!$L$5))),0)</f>
        <v>0</v>
      </c>
      <c r="AK32" s="29">
        <f>IF(AND(Changes!Change="Yes",Changes!ValidityYear&lt;=Table1[[#This Row],[Year]],Changes!ChangeType="Paid-Up",OR(PaidUpOption="Paid-up with no coverage",PaidUpOption="Paid-up with main coverage")),0,IF(B32=0,0,IF(AND(Changes!Change="Yes", Changes!ValidityYear&lt;=Table1[[#This Row],[Year]], Changes!ChangeType="Rider Inclusion/Exclusion", Changes!RiderType="Cancer"), T32*Changes!NewChangedValue,IF(db!$D$12="Yes",(db!$B$12)*T32,0))))</f>
        <v>0</v>
      </c>
      <c r="AL32" s="29">
        <f>ROUND(IF(C32&gt;59,0,IF(C32=0,0,IF(AK32&lt;=db!$L$6,AK32,db!$L$6))),0)</f>
        <v>0</v>
      </c>
      <c r="AM32" s="32"/>
      <c r="AN32" s="18">
        <f>IF(B32=0,0,IF(C32&lt;(db!$E$2+5),LOOKUP(C32,'Mortality Table'!$A$2:$A$108,'Mortality Table'!$P$2:$P$108),IF((C32&gt;=db!$E$2+10),LOOKUP(C32,'Mortality Table'!$A$2:$A$108,'Mortality Table'!$R$2:$R$108),LOOKUP(C32,'Mortality Table'!$A$2:$A$108,'Mortality Table'!$Q$2:$Q$108))))</f>
        <v>0</v>
      </c>
      <c r="AO32" s="22">
        <f t="shared" si="2"/>
        <v>0</v>
      </c>
      <c r="AP32" s="19">
        <f>IF(B32=0,0, LOOKUP(IF(AND(Changes!Change="Yes", Changes!ValidityYear&lt;=Table1[[#This Row],[Year]], Changes!ChangeType="Change Job Class"),Changes!NewChangedValue, db!$A$8),db!$AX$4:$AX$8,db!$AY$4:$AY$8))</f>
        <v>0</v>
      </c>
      <c r="AQ32" s="20">
        <f>ROUND((AP32/1000)*W32 * (1-db!$AS$9),0)</f>
        <v>0</v>
      </c>
      <c r="AR32" s="20">
        <f>(AP32/1000)*W32 * db!$AS$9</f>
        <v>0</v>
      </c>
      <c r="AS32" s="21">
        <f>IF(B32=0,0, LOOKUP(IF(AND(Changes!Change="Yes", Changes!ValidityYear&lt;=Table1[[#This Row],[Year]], Changes!ChangeType="Change Job Class"),Changes!NewChangedValue, db!$A$8),db!$AX$4:$AX$8,db!$AZ$4:$AZ$8))</f>
        <v>0</v>
      </c>
      <c r="AT32" s="22">
        <f>(AS32/1000)*Y32*(1-db!$AS$9)</f>
        <v>0</v>
      </c>
      <c r="AU32" s="22">
        <f>(AS32/1000)*Y32*(db!$AS$9)</f>
        <v>0</v>
      </c>
      <c r="AV32" s="23">
        <f>IF(B32=0,0, LOOKUP(IF(AND(Changes!Change="Yes", Changes!ValidityYear&lt;=Table1[[#This Row],[Year]], Changes!ChangeType="Change Job Class"),Changes!NewChangedValue, db!$A$8),db!$AX$4:$AX$8,db!$BA$4:$BA$8))</f>
        <v>0</v>
      </c>
      <c r="AW32" s="20">
        <f>ROUND((AV32/(100))*AA32*(1-db!$AS$9),0)</f>
        <v>0</v>
      </c>
      <c r="AX32" s="20">
        <f>ROUND((AV32/(100))*AA32*(db!$AS$9),0)</f>
        <v>0</v>
      </c>
      <c r="AY32" s="21">
        <f>IF(db!$D$8="Yes",AS32,0)</f>
        <v>0</v>
      </c>
      <c r="AZ32" s="22">
        <f>(AY32*AF32)/1000*(1-db!$AS$9)</f>
        <v>0</v>
      </c>
      <c r="BA32" s="22">
        <f>(AY32*AF32)/1000*(db!$AS$9)</f>
        <v>0</v>
      </c>
      <c r="BB32" s="23">
        <f t="shared" si="3"/>
        <v>0</v>
      </c>
      <c r="BC32" s="20">
        <f>(BB32*AH32/1000)*(1-db!$AS$9)</f>
        <v>0</v>
      </c>
      <c r="BD32" s="20">
        <f>(BB32*AH32/1000)*(db!$AS$9)</f>
        <v>0</v>
      </c>
      <c r="BE32" s="22">
        <f>IF(B32=0,0,IF(C32&gt;60,0,LOOKUP(Table1[[#This Row],[Medical
Age]],db!$BC$3:$BC$63,db!$BD$3:$BD$63)))</f>
        <v>0</v>
      </c>
      <c r="BF32" s="22">
        <f>BG32*db!$AS$10</f>
        <v>0</v>
      </c>
      <c r="BG32" s="22">
        <f t="shared" si="4"/>
        <v>0</v>
      </c>
      <c r="BH32" s="22">
        <f>(BE32/1000000)*AJ32*(1-db!$AS$10)</f>
        <v>0</v>
      </c>
      <c r="BI32" s="20">
        <f>IF(B32=0,0,IF(C32&gt;59,0,LOOKUP(Table1[[#This Row],[Medical
Age]],db!$BC$3:$BC$63,db!$BE$3:$BE$63)))</f>
        <v>0</v>
      </c>
      <c r="BJ32" s="20">
        <f>(BI32/1000000)*AL32*(1-db!$AS$11)</f>
        <v>0</v>
      </c>
      <c r="BK32" s="20">
        <f>(BI32/1000000)*AL32*(db!$AS$11)</f>
        <v>0</v>
      </c>
      <c r="BL32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32" s="20">
        <f>Table1[[#This Row],[RiskLoading
Rate]]*Table1[[#This Row],[Death Capital (2)]]</f>
        <v>0</v>
      </c>
      <c r="BN32" s="36"/>
      <c r="BO32" s="37">
        <f t="shared" si="5"/>
        <v>0</v>
      </c>
      <c r="BP32" s="35">
        <f t="shared" si="6"/>
        <v>0</v>
      </c>
      <c r="BQ32" s="35">
        <f t="shared" si="7"/>
        <v>0</v>
      </c>
      <c r="BR32" s="37">
        <f t="shared" si="11"/>
        <v>0</v>
      </c>
      <c r="BS32" s="37">
        <f t="shared" si="12"/>
        <v>0</v>
      </c>
      <c r="BT32" s="35">
        <f t="shared" si="13"/>
        <v>0</v>
      </c>
      <c r="BU32" s="35">
        <f t="shared" si="14"/>
        <v>0</v>
      </c>
      <c r="BV32" s="37">
        <f>(db!$AS$4/100)*(L32-BT32-BU32)</f>
        <v>0</v>
      </c>
      <c r="BW32" s="37">
        <f>(db!$AS$8/100)*(L32-BT32-BU32)</f>
        <v>0</v>
      </c>
      <c r="BX32" s="35"/>
      <c r="BY32" s="37"/>
      <c r="BZ32" s="37"/>
      <c r="CA32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32" s="33"/>
      <c r="CC32" s="39">
        <f>ROUND((Table1[[#This Row],[Premium]]-Table1[[#This Row],[All Deductions]]),0)</f>
        <v>0</v>
      </c>
      <c r="CD32" s="39">
        <f>IF(B32=0,0,Table1[[#This Row],[Initial Reserve]]+CE31)</f>
        <v>0</v>
      </c>
      <c r="CE32" s="40">
        <f>ROUND(IF(B32=0,0,((CC32)*(1+db!Y34))+((CE31)*(1+db!U34))),0)</f>
        <v>0</v>
      </c>
      <c r="CF32" s="40">
        <f t="shared" si="19"/>
        <v>0</v>
      </c>
      <c r="CG32" s="15">
        <f t="shared" si="15"/>
        <v>31</v>
      </c>
      <c r="CH32" s="39">
        <f>IF(B32=0,0,((CC32)*(1+db!AH34))+((CH31)*(1+db!AD34)))</f>
        <v>0</v>
      </c>
      <c r="CI32" s="39">
        <f>IF(B32=0,0,((CC32)*(1+db!AH34))+((CI31)*(1+db!AD34)))</f>
        <v>0</v>
      </c>
      <c r="CJ32" s="40">
        <f>IF(B32=0,0,((CC32)*(1+db!AO34))+((CJ31)*(1+db!AK34)))</f>
        <v>0</v>
      </c>
      <c r="CK32" s="40">
        <f>CJ32-(SUM(BX$7:$BX33))</f>
        <v>0</v>
      </c>
      <c r="CL32" s="46"/>
    </row>
    <row r="33" spans="1:90">
      <c r="A33" s="24">
        <f t="shared" si="16"/>
        <v>32</v>
      </c>
      <c r="B33" s="16">
        <f>IF(AND(Changes!Change="Yes", Changes!ChangeType="Change Contract Duration"),IF(B32=0,0,IF(Changes!NewChangedValue&lt;B32+1,0,B32+1)),IF(B32=0,0,IF('Application Annually'!$C$5&lt;B32+1,0,B32+1)))</f>
        <v>0</v>
      </c>
      <c r="C33" s="15">
        <f t="shared" si="17"/>
        <v>0</v>
      </c>
      <c r="D33" s="312">
        <f t="shared" si="18"/>
        <v>59</v>
      </c>
      <c r="E33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33" s="29">
        <f t="shared" si="8"/>
        <v>0</v>
      </c>
      <c r="G33" s="29">
        <f t="shared" si="9"/>
        <v>0</v>
      </c>
      <c r="H33" s="29">
        <f t="shared" si="0"/>
        <v>0</v>
      </c>
      <c r="I33" s="29">
        <f>IF(B33&gt;0,IF(AND(Table1[[#This Row],[Year]]&gt;Changes!ValidityYear,Changes!Change="Yes",Changes!ChangeType="Change Value Adjustment"),Changes!$G$22,'Application Annually'!$C$11),0)</f>
        <v>0</v>
      </c>
      <c r="J33" s="29">
        <f>IF(B33&gt;0,IF(AND(Table1[[#This Row],[Year]]&gt;Changes!ValidityYear,Changes!Change="Yes",Changes!ChangeType="Change Value Adjustment"),Changes!$G$24,'Application Annually'!$C$7),0)</f>
        <v>0</v>
      </c>
      <c r="K33" s="29">
        <f>ROUND(IF(B33=0,0,IF(AND(Changes!Change="Yes", Changes!ValidityYear=Table1[[#This Row],[Year]], Changes!ChangeType="Change Premium"), Changes!NewChangedValue, (K32*(1+db!$B$3)))),0)</f>
        <v>0</v>
      </c>
      <c r="L33" s="29">
        <f>ROUND(IF(AND(Changes!Change="Yes",Changes!ValidityYear&lt;=Table1[[#This Row],[Year]],Changes!ChangeType="Paid-Up"),0,IF(B33=0,0,IF(AND(Changes!Change="Yes", Changes!ValidityYear=Table1[[#This Row],[Year]], Changes!ChangeType="Change Premium"), Changes!NewChangedValue, (L32*(1+Table1[[#This Row],[Adjustment Factor of Premium]]/100))))),0)</f>
        <v>0</v>
      </c>
      <c r="M33" s="29">
        <f>IF(Table1[[#This Row],[Year]]=1,ROUND(MIN($L$2 -( Table1[[#This Row],[Riders Risk Premiums]] + Table1[[#This Row],[Acquisition Cost]]) *0.75,Table1[[#This Row],[Death Capital (1)]]* 0.03),0),0)</f>
        <v>0</v>
      </c>
      <c r="N33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33" s="29">
        <f>ROUND(IF(ROW()-1&gt;InsurancePeriod,0,(O32*(1+(Table1[[#This Row],[Adjustment Factor of Premium]]/100)))),0)</f>
        <v>0</v>
      </c>
      <c r="P33" s="29">
        <f>IF(Table1[Year] = 0, 0, SUM(L$2:L33))</f>
        <v>0</v>
      </c>
      <c r="Q33" s="17">
        <f t="shared" si="1"/>
        <v>0</v>
      </c>
      <c r="R33" s="17">
        <f>IF(Table1[[#This Row],[Year]]=0,0,IF($C$2&lt;=50,LOOKUP(Table1[[#This Row],[Age]],db!BG34:BG140,db!BH34:BH140),LOOKUP(Table1[[#This Row],[Age]],db!BJ34:BJ140,db!BK34:BK140)))</f>
        <v>0</v>
      </c>
      <c r="S33" s="17">
        <f>IF(AND(Changes!Change="Yes",Changes!ValidityYear&lt;=Table1[[#This Row],[Year]],Changes!ChangeType="Paid-Up",PaidUpOption="Paid-up with no coverage"),0,IF(B33=0,0, IF(AND(Changes!Change="Yes", Changes!ValidityYear=Table1[[#This Row],[Year]], Changes!ChangeType="Change Death Capital"), Changes!NewChangedValue, S32*(1+(Table1[[#This Row],[Adjustment Factor of Death Capital]]/100)))))</f>
        <v>0</v>
      </c>
      <c r="T33" s="17">
        <f>MIN(IF(B33=0,0,Table1[[#This Row],[Death Capital (1)]]),Table1[[#This Row],[Max Sum Insured For Death]])</f>
        <v>0</v>
      </c>
      <c r="U33" s="29">
        <f t="shared" si="10"/>
        <v>0</v>
      </c>
      <c r="V33" s="29">
        <f>IF(AND(Changes!Change="Yes",Changes!ValidityYear&lt;=Table1[[#This Row],[Year]],Changes!ChangeType="Paid-Up",OR(PaidUpOption="Paid-up with no coverage",PaidUpOption="Paid-up with main coverage")),0,IF(B33=0,0,IF(AND(Changes!Change="Yes", Changes!ValidityYear&lt;=Table1[[#This Row],[Year]], Changes!ChangeType="Rider Inclusion/Exclusion", Changes!RiderType="Accident Death"), T33*Changes!NewChangedValue,IF(db!$D$6="Yes",(db!$B$6)*T33,0))))</f>
        <v>0</v>
      </c>
      <c r="W33" s="29">
        <f>MIN(IF(V33&lt;=db!$L$2,V33,db!$L$2),MAX_ACC_CAPITAL)</f>
        <v>0</v>
      </c>
      <c r="X33" s="17">
        <f>IF(AND(Changes!Change="Yes",Changes!ValidityYear&lt;=Table1[[#This Row],[Year]],Changes!ChangeType="Paid-Up",OR(PaidUpOption="Paid-up with no coverage",PaidUpOption="Paid-up with main coverage")),0,IF(OR(B33=0,Table1[[#This Row],[Accident Capital (2)]]=0),0,IF(AND(Changes!Change="Yes", Changes!ValidityYear&lt;=Table1[[#This Row],[Year]], Changes!ChangeType="Rider Inclusion/Exclusion", Changes!RiderType="Accident Disability"), T33*Changes!NewChangedValue,IF(db!$D$7="Yes",(db!$B$7)*T33,0))))</f>
        <v>0</v>
      </c>
      <c r="Y33" s="42">
        <f>IF(C33&gt;69,0,IF(C33=0,0,IF(X33&lt;=db!$L$3,X33,db!$L$3)))</f>
        <v>0</v>
      </c>
      <c r="Z33" s="29">
        <f>IF(AND(Changes!Change="Yes",Changes!ValidityYear&lt;=Table1[[#This Row],[Year]],Changes!ChangeType="Paid-Up",OR(PaidUpOption="Paid-up with no coverage",PaidUpOption="Paid-up with main coverage")),0,IF(OR(B33=0,Table1[[#This Row],[Accident Capital (2)]]=0),0,IF(AND(Changes!Change="Yes", Changes!ValidityYear&lt;=Table1[[#This Row],[Year]], Changes!ChangeType="Rider Inclusion/Exclusion", Changes!RiderType="Accident Medical Cost"), T33*Changes!NewChangedValue,IF(db!$D$9="Yes",(db!$B$9)*T33,0))))</f>
        <v>0</v>
      </c>
      <c r="AA33" s="29">
        <f>ROUND(IF(C33&gt;69,0,IF(C33=0,0,IF(Z33&lt;=db!$L$4,Z33,db!$L$4))),0)</f>
        <v>0</v>
      </c>
      <c r="AB33" s="38">
        <f>IF(AND(Changes!Change = "Yes", Changes!ChangeType = "Rider Inclusion/Exclusion", Changes!RiderType = "WOP"), IF( Changes!ValidityYear &lt;= Table1[[#This Row],[Year]], IF(WOP = "Yes", 0, 1),  IF(WOP = "Yes", 1, 0)), IF(AND(db!$D$8="Yes",C33&lt;=69,ROW()-1&lt;=InsurancePeriod), 1, 0))</f>
        <v>0</v>
      </c>
      <c r="AC33" s="17">
        <f>(AC34+K34)*AB33*((1)/(1+db!AA35))*(LOOKUP(C33,'Mortality Table'!$A$2:$A$108,'Mortality Table'!$E$2:$E$108))</f>
        <v>0</v>
      </c>
      <c r="AD33" s="340">
        <f>IF(AND(Changes!ValidityYear&lt;= Table1[[#This Row],[Year]],Changes!ChangeType="Change Value Adjustment",Changes!Change="Yes"), (AD34+L34)*AB33*((1)/(1+db!AA35))*(LOOKUP(C33,'Mortality Table'!$A$2:$A$108,'Mortality Table'!$E$2:$E$108)),Table1[[#This Row],[WOP Before Adj. BT]])</f>
        <v>0</v>
      </c>
      <c r="AE33" s="341">
        <f>IF(AND(Changes!Change="Yes", Changes!ChangeType="Change Value Adjustment"),Table1[[#This Row],[WOP Capital]],(AE34+O34)*AB33*((1)/(1+db!AA35))*(LOOKUP(D33,'Mortality Table'!$A$2:$A$108,'Mortality Table'!$E$2:$E$108)))</f>
        <v>0</v>
      </c>
      <c r="AF33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33" s="42">
        <f>IF(AND(Changes!Change="Yes", Changes!ValidityYear&lt;=Table1[[#This Row],[Year]], Changes!ChangeType="Rider Inclusion/Exclusion", Changes!RiderType="Disability Annuity"), L33*Changes!NewChangedValue,L33*db!B$10*IF(db!$D$10="Yes",1,0))</f>
        <v>0</v>
      </c>
      <c r="AH33" s="29">
        <f>IF(AND(Changes!Change="Yes",Changes!ValidityYear&lt;=Table1[[#This Row],[Year]],Changes!ChangeType="Paid-Up"),0,Table1[[#This Row],[Code Annuity Capital]]*IF('Annual Calculation'!C33&gt;69,0,(LOOKUP('Annual Calculation'!C33+1,'Mortality Table'!$A$2:$A$108,'Mortality Table'!$O$2:$O$108)-LOOKUP('Annual Calculation'!C33+11,'Mortality Table'!$A$2:$A$108,'Mortality Table'!$O$2:$O$108))/LOOKUP('Annual Calculation'!C33,'Mortality Table'!$A$2:$A$108,'Mortality Table'!$M$2:$M$108)))</f>
        <v>0</v>
      </c>
      <c r="AI33" s="17">
        <f>IF(AND(Changes!Change="Yes",Changes!ValidityYear&lt;=Table1[[#This Row],[Year]],Changes!ChangeType="Paid-Up",OR(PaidUpOption="Paid-up with no coverage",PaidUpOption="Paid-up with main coverage")),0,IF(B33=0,0,IF(AND(Changes!Change="Yes", Changes!ValidityYear&lt;=Table1[[#This Row],[Year]], Changes!ChangeType="Rider Inclusion/Exclusion", Changes!RiderType="Dread Disease"), T33*Changes!NewChangedValue,IF(db!$D$11="Yes",(db!$B$11)*T33,0))))</f>
        <v>0</v>
      </c>
      <c r="AJ33" s="42">
        <f>ROUND(IF(C33&gt;59,0,IF(C33=0,0,IF(AI33&lt;=db!$L$5,AI33,db!$L$5))),0)</f>
        <v>0</v>
      </c>
      <c r="AK33" s="29">
        <f>IF(AND(Changes!Change="Yes",Changes!ValidityYear&lt;=Table1[[#This Row],[Year]],Changes!ChangeType="Paid-Up",OR(PaidUpOption="Paid-up with no coverage",PaidUpOption="Paid-up with main coverage")),0,IF(B33=0,0,IF(AND(Changes!Change="Yes", Changes!ValidityYear&lt;=Table1[[#This Row],[Year]], Changes!ChangeType="Rider Inclusion/Exclusion", Changes!RiderType="Cancer"), T33*Changes!NewChangedValue,IF(db!$D$12="Yes",(db!$B$12)*T33,0))))</f>
        <v>0</v>
      </c>
      <c r="AL33" s="29">
        <f>ROUND(IF(C33&gt;59,0,IF(C33=0,0,IF(AK33&lt;=db!$L$6,AK33,db!$L$6))),0)</f>
        <v>0</v>
      </c>
      <c r="AM33" s="32"/>
      <c r="AN33" s="18">
        <f>IF(B33=0,0,IF(C33&lt;(db!$E$2+5),LOOKUP(C33,'Mortality Table'!$A$2:$A$108,'Mortality Table'!$P$2:$P$108),IF((C33&gt;=db!$E$2+10),LOOKUP(C33,'Mortality Table'!$A$2:$A$108,'Mortality Table'!$R$2:$R$108),LOOKUP(C33,'Mortality Table'!$A$2:$A$108,'Mortality Table'!$Q$2:$Q$108))))</f>
        <v>0</v>
      </c>
      <c r="AO33" s="22">
        <f t="shared" si="2"/>
        <v>0</v>
      </c>
      <c r="AP33" s="19">
        <f>IF(B33=0,0, LOOKUP(IF(AND(Changes!Change="Yes", Changes!ValidityYear&lt;=Table1[[#This Row],[Year]], Changes!ChangeType="Change Job Class"),Changes!NewChangedValue, db!$A$8),db!$AX$4:$AX$8,db!$AY$4:$AY$8))</f>
        <v>0</v>
      </c>
      <c r="AQ33" s="20">
        <f>ROUND((AP33/1000)*W33 * (1-db!$AS$9),0)</f>
        <v>0</v>
      </c>
      <c r="AR33" s="20">
        <f>(AP33/1000)*W33 * db!$AS$9</f>
        <v>0</v>
      </c>
      <c r="AS33" s="21">
        <f>IF(B33=0,0, LOOKUP(IF(AND(Changes!Change="Yes", Changes!ValidityYear&lt;=Table1[[#This Row],[Year]], Changes!ChangeType="Change Job Class"),Changes!NewChangedValue, db!$A$8),db!$AX$4:$AX$8,db!$AZ$4:$AZ$8))</f>
        <v>0</v>
      </c>
      <c r="AT33" s="22">
        <f>(AS33/1000)*Y33*(1-db!$AS$9)</f>
        <v>0</v>
      </c>
      <c r="AU33" s="22">
        <f>(AS33/1000)*Y33*(db!$AS$9)</f>
        <v>0</v>
      </c>
      <c r="AV33" s="23">
        <f>IF(B33=0,0, LOOKUP(IF(AND(Changes!Change="Yes", Changes!ValidityYear&lt;=Table1[[#This Row],[Year]], Changes!ChangeType="Change Job Class"),Changes!NewChangedValue, db!$A$8),db!$AX$4:$AX$8,db!$BA$4:$BA$8))</f>
        <v>0</v>
      </c>
      <c r="AW33" s="20">
        <f>ROUND((AV33/(100))*AA33*(1-db!$AS$9),0)</f>
        <v>0</v>
      </c>
      <c r="AX33" s="20">
        <f>ROUND((AV33/(100))*AA33*(db!$AS$9),0)</f>
        <v>0</v>
      </c>
      <c r="AY33" s="21">
        <f>IF(db!$D$8="Yes",AS33,0)</f>
        <v>0</v>
      </c>
      <c r="AZ33" s="22">
        <f>(AY33*AF33)/1000*(1-db!$AS$9)</f>
        <v>0</v>
      </c>
      <c r="BA33" s="22">
        <f>(AY33*AF33)/1000*(db!$AS$9)</f>
        <v>0</v>
      </c>
      <c r="BB33" s="23">
        <f t="shared" si="3"/>
        <v>0</v>
      </c>
      <c r="BC33" s="20">
        <f>(BB33*AH33/1000)*(1-db!$AS$9)</f>
        <v>0</v>
      </c>
      <c r="BD33" s="20">
        <f>(BB33*AH33/1000)*(db!$AS$9)</f>
        <v>0</v>
      </c>
      <c r="BE33" s="22">
        <f>IF(B33=0,0,IF(C33&gt;60,0,LOOKUP(Table1[[#This Row],[Medical
Age]],db!$BC$3:$BC$63,db!$BD$3:$BD$63)))</f>
        <v>0</v>
      </c>
      <c r="BF33" s="22">
        <f>BG33*db!$AS$10</f>
        <v>0</v>
      </c>
      <c r="BG33" s="22">
        <f t="shared" si="4"/>
        <v>0</v>
      </c>
      <c r="BH33" s="22">
        <f>(BE33/1000000)*AJ33*(1-db!$AS$10)</f>
        <v>0</v>
      </c>
      <c r="BI33" s="20">
        <f>IF(B33=0,0,IF(C33&gt;59,0,LOOKUP(Table1[[#This Row],[Medical
Age]],db!$BC$3:$BC$63,db!$BE$3:$BE$63)))</f>
        <v>0</v>
      </c>
      <c r="BJ33" s="20">
        <f>(BI33/1000000)*AL33*(1-db!$AS$11)</f>
        <v>0</v>
      </c>
      <c r="BK33" s="20">
        <f>(BI33/1000000)*AL33*(db!$AS$11)</f>
        <v>0</v>
      </c>
      <c r="BL33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33" s="20">
        <f>Table1[[#This Row],[RiskLoading
Rate]]*Table1[[#This Row],[Death Capital (2)]]</f>
        <v>0</v>
      </c>
      <c r="BN33" s="36"/>
      <c r="BO33" s="37">
        <f t="shared" si="5"/>
        <v>0</v>
      </c>
      <c r="BP33" s="35">
        <f t="shared" si="6"/>
        <v>0</v>
      </c>
      <c r="BQ33" s="35">
        <f t="shared" si="7"/>
        <v>0</v>
      </c>
      <c r="BR33" s="37">
        <f t="shared" si="11"/>
        <v>0</v>
      </c>
      <c r="BS33" s="37">
        <f t="shared" si="12"/>
        <v>0</v>
      </c>
      <c r="BT33" s="35">
        <f t="shared" si="13"/>
        <v>0</v>
      </c>
      <c r="BU33" s="35">
        <f t="shared" si="14"/>
        <v>0</v>
      </c>
      <c r="BV33" s="37">
        <f>(db!$AS$4/100)*(L33-BT33-BU33)</f>
        <v>0</v>
      </c>
      <c r="BW33" s="37">
        <f>(db!$AS$8/100)*(L33-BT33-BU33)</f>
        <v>0</v>
      </c>
      <c r="BX33" s="35"/>
      <c r="BY33" s="37"/>
      <c r="BZ33" s="37"/>
      <c r="CA33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33" s="33"/>
      <c r="CC33" s="39">
        <f>ROUND((Table1[[#This Row],[Premium]]-Table1[[#This Row],[All Deductions]]),0)</f>
        <v>0</v>
      </c>
      <c r="CD33" s="39">
        <f>IF(B33=0,0,Table1[[#This Row],[Initial Reserve]]+CE32)</f>
        <v>0</v>
      </c>
      <c r="CE33" s="40">
        <f>ROUND(IF(B33=0,0,((CC33)*(1+db!Y35))+((CE32)*(1+db!U35))),0)</f>
        <v>0</v>
      </c>
      <c r="CF33" s="40">
        <f t="shared" si="19"/>
        <v>0</v>
      </c>
      <c r="CG33" s="15">
        <f t="shared" si="15"/>
        <v>32</v>
      </c>
      <c r="CH33" s="39">
        <f>IF(B33=0,0,((CC33)*(1+db!AH35))+((CH32)*(1+db!AD35)))</f>
        <v>0</v>
      </c>
      <c r="CI33" s="39">
        <f>IF(B33=0,0,((CC33)*(1+db!AH35))+((CI32)*(1+db!AD35)))</f>
        <v>0</v>
      </c>
      <c r="CJ33" s="40">
        <f>IF(B33=0,0,((CC33)*(1+db!AO35))+((CJ32)*(1+db!AK35)))</f>
        <v>0</v>
      </c>
      <c r="CK33" s="40">
        <f>CJ33-(SUM(BX$7:$BX34))</f>
        <v>0</v>
      </c>
      <c r="CL33" s="46"/>
    </row>
    <row r="34" spans="1:90">
      <c r="A34" s="24">
        <f t="shared" si="16"/>
        <v>33</v>
      </c>
      <c r="B34" s="16">
        <f>IF(AND(Changes!Change="Yes", Changes!ChangeType="Change Contract Duration"),IF(B33=0,0,IF(Changes!NewChangedValue&lt;B33+1,0,B33+1)),IF(B33=0,0,IF('Application Annually'!$C$5&lt;B33+1,0,B33+1)))</f>
        <v>0</v>
      </c>
      <c r="C34" s="15">
        <f t="shared" si="17"/>
        <v>0</v>
      </c>
      <c r="D34" s="312">
        <f t="shared" si="18"/>
        <v>60</v>
      </c>
      <c r="E34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34" s="29">
        <f t="shared" si="8"/>
        <v>0</v>
      </c>
      <c r="G34" s="29">
        <f t="shared" si="9"/>
        <v>0</v>
      </c>
      <c r="H34" s="29">
        <f t="shared" ref="H34:H65" si="20" xml:space="preserve"> ROUND(L34 * (1 + SumOfTAX),-3)</f>
        <v>0</v>
      </c>
      <c r="I34" s="29">
        <f>IF(B34&gt;0,IF(AND(Table1[[#This Row],[Year]]&gt;Changes!ValidityYear,Changes!Change="Yes",Changes!ChangeType="Change Value Adjustment"),Changes!$G$22,'Application Annually'!$C$11),0)</f>
        <v>0</v>
      </c>
      <c r="J34" s="29">
        <f>IF(B34&gt;0,IF(AND(Table1[[#This Row],[Year]]&gt;Changes!ValidityYear,Changes!Change="Yes",Changes!ChangeType="Change Value Adjustment"),Changes!$G$24,'Application Annually'!$C$7),0)</f>
        <v>0</v>
      </c>
      <c r="K34" s="29">
        <f>ROUND(IF(B34=0,0,IF(AND(Changes!Change="Yes", Changes!ValidityYear=Table1[[#This Row],[Year]], Changes!ChangeType="Change Premium"), Changes!NewChangedValue, (K33*(1+db!$B$3)))),0)</f>
        <v>0</v>
      </c>
      <c r="L34" s="29">
        <f>ROUND(IF(AND(Changes!Change="Yes",Changes!ValidityYear&lt;=Table1[[#This Row],[Year]],Changes!ChangeType="Paid-Up"),0,IF(B34=0,0,IF(AND(Changes!Change="Yes", Changes!ValidityYear=Table1[[#This Row],[Year]], Changes!ChangeType="Change Premium"), Changes!NewChangedValue, (L33*(1+Table1[[#This Row],[Adjustment Factor of Premium]]/100))))),0)</f>
        <v>0</v>
      </c>
      <c r="M34" s="29">
        <f>IF(Table1[[#This Row],[Year]]=1,ROUND(MIN($L$2 -( Table1[[#This Row],[Riders Risk Premiums]] + Table1[[#This Row],[Acquisition Cost]]) *0.75,Table1[[#This Row],[Death Capital (1)]]* 0.03),0),0)</f>
        <v>0</v>
      </c>
      <c r="N34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34" s="29">
        <f>ROUND(IF(ROW()-1&gt;InsurancePeriod,0,(O33*(1+(Table1[[#This Row],[Adjustment Factor of Premium]]/100)))),0)</f>
        <v>0</v>
      </c>
      <c r="P34" s="29">
        <f>IF(Table1[Year] = 0, 0, SUM(L$2:L34))</f>
        <v>0</v>
      </c>
      <c r="Q34" s="17">
        <f t="shared" ref="Q34:Q65" si="21">ROUND(T34,-3)</f>
        <v>0</v>
      </c>
      <c r="R34" s="17">
        <f>IF(Table1[[#This Row],[Year]]=0,0,IF($C$2&lt;=50,LOOKUP(Table1[[#This Row],[Age]],db!BG35:BG141,db!BH35:BH141),LOOKUP(Table1[[#This Row],[Age]],db!BJ35:BJ141,db!BK35:BK141)))</f>
        <v>0</v>
      </c>
      <c r="S34" s="17">
        <f>IF(AND(Changes!Change="Yes",Changes!ValidityYear&lt;=Table1[[#This Row],[Year]],Changes!ChangeType="Paid-Up",PaidUpOption="Paid-up with no coverage"),0,IF(B34=0,0, IF(AND(Changes!Change="Yes", Changes!ValidityYear=Table1[[#This Row],[Year]], Changes!ChangeType="Change Death Capital"), Changes!NewChangedValue, S33*(1+(Table1[[#This Row],[Adjustment Factor of Death Capital]]/100)))))</f>
        <v>0</v>
      </c>
      <c r="T34" s="17">
        <f>MIN(IF(B34=0,0,Table1[[#This Row],[Death Capital (1)]]),Table1[[#This Row],[Max Sum Insured For Death]])</f>
        <v>0</v>
      </c>
      <c r="U34" s="29">
        <f t="shared" si="10"/>
        <v>0</v>
      </c>
      <c r="V34" s="29">
        <f>IF(AND(Changes!Change="Yes",Changes!ValidityYear&lt;=Table1[[#This Row],[Year]],Changes!ChangeType="Paid-Up",OR(PaidUpOption="Paid-up with no coverage",PaidUpOption="Paid-up with main coverage")),0,IF(B34=0,0,IF(AND(Changes!Change="Yes", Changes!ValidityYear&lt;=Table1[[#This Row],[Year]], Changes!ChangeType="Rider Inclusion/Exclusion", Changes!RiderType="Accident Death"), T34*Changes!NewChangedValue,IF(db!$D$6="Yes",(db!$B$6)*T34,0))))</f>
        <v>0</v>
      </c>
      <c r="W34" s="29">
        <f>MIN(IF(V34&lt;=db!$L$2,V34,db!$L$2),MAX_ACC_CAPITAL)</f>
        <v>0</v>
      </c>
      <c r="X34" s="17">
        <f>IF(AND(Changes!Change="Yes",Changes!ValidityYear&lt;=Table1[[#This Row],[Year]],Changes!ChangeType="Paid-Up",OR(PaidUpOption="Paid-up with no coverage",PaidUpOption="Paid-up with main coverage")),0,IF(OR(B34=0,Table1[[#This Row],[Accident Capital (2)]]=0),0,IF(AND(Changes!Change="Yes", Changes!ValidityYear&lt;=Table1[[#This Row],[Year]], Changes!ChangeType="Rider Inclusion/Exclusion", Changes!RiderType="Accident Disability"), T34*Changes!NewChangedValue,IF(db!$D$7="Yes",(db!$B$7)*T34,0))))</f>
        <v>0</v>
      </c>
      <c r="Y34" s="42">
        <f>IF(C34&gt;69,0,IF(C34=0,0,IF(X34&lt;=db!$L$3,X34,db!$L$3)))</f>
        <v>0</v>
      </c>
      <c r="Z34" s="29">
        <f>IF(AND(Changes!Change="Yes",Changes!ValidityYear&lt;=Table1[[#This Row],[Year]],Changes!ChangeType="Paid-Up",OR(PaidUpOption="Paid-up with no coverage",PaidUpOption="Paid-up with main coverage")),0,IF(OR(B34=0,Table1[[#This Row],[Accident Capital (2)]]=0),0,IF(AND(Changes!Change="Yes", Changes!ValidityYear&lt;=Table1[[#This Row],[Year]], Changes!ChangeType="Rider Inclusion/Exclusion", Changes!RiderType="Accident Medical Cost"), T34*Changes!NewChangedValue,IF(db!$D$9="Yes",(db!$B$9)*T34,0))))</f>
        <v>0</v>
      </c>
      <c r="AA34" s="29">
        <f>ROUND(IF(C34&gt;69,0,IF(C34=0,0,IF(Z34&lt;=db!$L$4,Z34,db!$L$4))),0)</f>
        <v>0</v>
      </c>
      <c r="AB34" s="38">
        <f>IF(AND(Changes!Change = "Yes", Changes!ChangeType = "Rider Inclusion/Exclusion", Changes!RiderType = "WOP"), IF( Changes!ValidityYear &lt;= Table1[[#This Row],[Year]], IF(WOP = "Yes", 0, 1),  IF(WOP = "Yes", 1, 0)), IF(AND(db!$D$8="Yes",C34&lt;=69,ROW()-1&lt;=InsurancePeriod), 1, 0))</f>
        <v>0</v>
      </c>
      <c r="AC34" s="17">
        <f>(AC35+K35)*AB34*((1)/(1+db!AA36))*(LOOKUP(C34,'Mortality Table'!$A$2:$A$108,'Mortality Table'!$E$2:$E$108))</f>
        <v>0</v>
      </c>
      <c r="AD34" s="340">
        <f>IF(AND(Changes!ValidityYear&lt;= Table1[[#This Row],[Year]],Changes!ChangeType="Change Value Adjustment",Changes!Change="Yes"), (AD35+L35)*AB34*((1)/(1+db!AA36))*(LOOKUP(C34,'Mortality Table'!$A$2:$A$108,'Mortality Table'!$E$2:$E$108)),Table1[[#This Row],[WOP Before Adj. BT]])</f>
        <v>0</v>
      </c>
      <c r="AE34" s="341">
        <f>IF(AND(Changes!Change="Yes", Changes!ChangeType="Change Value Adjustment"),Table1[[#This Row],[WOP Capital]],(AE35+O35)*AB34*((1)/(1+db!AA36))*(LOOKUP(D34,'Mortality Table'!$A$2:$A$108,'Mortality Table'!$E$2:$E$108)))</f>
        <v>0</v>
      </c>
      <c r="AF34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34" s="42">
        <f>IF(AND(Changes!Change="Yes", Changes!ValidityYear&lt;=Table1[[#This Row],[Year]], Changes!ChangeType="Rider Inclusion/Exclusion", Changes!RiderType="Disability Annuity"), L34*Changes!NewChangedValue,L34*db!B$10*IF(db!$D$10="Yes",1,0))</f>
        <v>0</v>
      </c>
      <c r="AH34" s="29">
        <f>IF(AND(Changes!Change="Yes",Changes!ValidityYear&lt;=Table1[[#This Row],[Year]],Changes!ChangeType="Paid-Up"),0,Table1[[#This Row],[Code Annuity Capital]]*IF('Annual Calculation'!C34&gt;69,0,(LOOKUP('Annual Calculation'!C34+1,'Mortality Table'!$A$2:$A$108,'Mortality Table'!$O$2:$O$108)-LOOKUP('Annual Calculation'!C34+11,'Mortality Table'!$A$2:$A$108,'Mortality Table'!$O$2:$O$108))/LOOKUP('Annual Calculation'!C34,'Mortality Table'!$A$2:$A$108,'Mortality Table'!$M$2:$M$108)))</f>
        <v>0</v>
      </c>
      <c r="AI34" s="17">
        <f>IF(AND(Changes!Change="Yes",Changes!ValidityYear&lt;=Table1[[#This Row],[Year]],Changes!ChangeType="Paid-Up",OR(PaidUpOption="Paid-up with no coverage",PaidUpOption="Paid-up with main coverage")),0,IF(B34=0,0,IF(AND(Changes!Change="Yes", Changes!ValidityYear&lt;=Table1[[#This Row],[Year]], Changes!ChangeType="Rider Inclusion/Exclusion", Changes!RiderType="Dread Disease"), T34*Changes!NewChangedValue,IF(db!$D$11="Yes",(db!$B$11)*T34,0))))</f>
        <v>0</v>
      </c>
      <c r="AJ34" s="42">
        <f>ROUND(IF(C34&gt;59,0,IF(C34=0,0,IF(AI34&lt;=db!$L$5,AI34,db!$L$5))),0)</f>
        <v>0</v>
      </c>
      <c r="AK34" s="29">
        <f>IF(AND(Changes!Change="Yes",Changes!ValidityYear&lt;=Table1[[#This Row],[Year]],Changes!ChangeType="Paid-Up",OR(PaidUpOption="Paid-up with no coverage",PaidUpOption="Paid-up with main coverage")),0,IF(B34=0,0,IF(AND(Changes!Change="Yes", Changes!ValidityYear&lt;=Table1[[#This Row],[Year]], Changes!ChangeType="Rider Inclusion/Exclusion", Changes!RiderType="Cancer"), T34*Changes!NewChangedValue,IF(db!$D$12="Yes",(db!$B$12)*T34,0))))</f>
        <v>0</v>
      </c>
      <c r="AL34" s="29">
        <f>ROUND(IF(C34&gt;59,0,IF(C34=0,0,IF(AK34&lt;=db!$L$6,AK34,db!$L$6))),0)</f>
        <v>0</v>
      </c>
      <c r="AM34" s="32"/>
      <c r="AN34" s="18">
        <f>IF(B34=0,0,IF(C34&lt;(db!$E$2+5),LOOKUP(C34,'Mortality Table'!$A$2:$A$108,'Mortality Table'!$P$2:$P$108),IF((C34&gt;=db!$E$2+10),LOOKUP(C34,'Mortality Table'!$A$2:$A$108,'Mortality Table'!$R$2:$R$108),LOOKUP(C34,'Mortality Table'!$A$2:$A$108,'Mortality Table'!$Q$2:$Q$108))))</f>
        <v>0</v>
      </c>
      <c r="AO34" s="22">
        <f t="shared" ref="AO34:AO65" si="22">ROUND(AN34*T34,0)</f>
        <v>0</v>
      </c>
      <c r="AP34" s="19">
        <f>IF(B34=0,0, LOOKUP(IF(AND(Changes!Change="Yes", Changes!ValidityYear&lt;=Table1[[#This Row],[Year]], Changes!ChangeType="Change Job Class"),Changes!NewChangedValue, db!$A$8),db!$AX$4:$AX$8,db!$AY$4:$AY$8))</f>
        <v>0</v>
      </c>
      <c r="AQ34" s="20">
        <f>ROUND((AP34/1000)*W34 * (1-db!$AS$9),0)</f>
        <v>0</v>
      </c>
      <c r="AR34" s="20">
        <f>(AP34/1000)*W34 * db!$AS$9</f>
        <v>0</v>
      </c>
      <c r="AS34" s="21">
        <f>IF(B34=0,0, LOOKUP(IF(AND(Changes!Change="Yes", Changes!ValidityYear&lt;=Table1[[#This Row],[Year]], Changes!ChangeType="Change Job Class"),Changes!NewChangedValue, db!$A$8),db!$AX$4:$AX$8,db!$AZ$4:$AZ$8))</f>
        <v>0</v>
      </c>
      <c r="AT34" s="22">
        <f>(AS34/1000)*Y34*(1-db!$AS$9)</f>
        <v>0</v>
      </c>
      <c r="AU34" s="22">
        <f>(AS34/1000)*Y34*(db!$AS$9)</f>
        <v>0</v>
      </c>
      <c r="AV34" s="23">
        <f>IF(B34=0,0, LOOKUP(IF(AND(Changes!Change="Yes", Changes!ValidityYear&lt;=Table1[[#This Row],[Year]], Changes!ChangeType="Change Job Class"),Changes!NewChangedValue, db!$A$8),db!$AX$4:$AX$8,db!$BA$4:$BA$8))</f>
        <v>0</v>
      </c>
      <c r="AW34" s="20">
        <f>ROUND((AV34/(100))*AA34*(1-db!$AS$9),0)</f>
        <v>0</v>
      </c>
      <c r="AX34" s="20">
        <f>ROUND((AV34/(100))*AA34*(db!$AS$9),0)</f>
        <v>0</v>
      </c>
      <c r="AY34" s="21">
        <f>IF(db!$D$8="Yes",AS34,0)</f>
        <v>0</v>
      </c>
      <c r="AZ34" s="22">
        <f>(AY34*AF34)/1000*(1-db!$AS$9)</f>
        <v>0</v>
      </c>
      <c r="BA34" s="22">
        <f>(AY34*AF34)/1000*(db!$AS$9)</f>
        <v>0</v>
      </c>
      <c r="BB34" s="23">
        <f t="shared" ref="BB34:BB65" si="23">AS34</f>
        <v>0</v>
      </c>
      <c r="BC34" s="20">
        <f>(BB34*AH34/1000)*(1-db!$AS$9)</f>
        <v>0</v>
      </c>
      <c r="BD34" s="20">
        <f>(BB34*AH34/1000)*(db!$AS$9)</f>
        <v>0</v>
      </c>
      <c r="BE34" s="22">
        <f>IF(B34=0,0,IF(C34&gt;60,0,LOOKUP(Table1[[#This Row],[Medical
Age]],db!$BC$3:$BC$63,db!$BD$3:$BD$63)))</f>
        <v>0</v>
      </c>
      <c r="BF34" s="22">
        <f>BG34*db!$AS$10</f>
        <v>0</v>
      </c>
      <c r="BG34" s="22">
        <f t="shared" ref="BG34:BG65" si="24">(BE34/1000000)*AJ34</f>
        <v>0</v>
      </c>
      <c r="BH34" s="22">
        <f>(BE34/1000000)*AJ34*(1-db!$AS$10)</f>
        <v>0</v>
      </c>
      <c r="BI34" s="20">
        <f>IF(B34=0,0,IF(C34&gt;59,0,LOOKUP(Table1[[#This Row],[Medical
Age]],db!$BC$3:$BC$63,db!$BE$3:$BE$63)))</f>
        <v>0</v>
      </c>
      <c r="BJ34" s="20">
        <f>(BI34/1000000)*AL34*(1-db!$AS$11)</f>
        <v>0</v>
      </c>
      <c r="BK34" s="20">
        <f>(BI34/1000000)*AL34*(db!$AS$11)</f>
        <v>0</v>
      </c>
      <c r="BL34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34" s="20">
        <f>Table1[[#This Row],[RiskLoading
Rate]]*Table1[[#This Row],[Death Capital (2)]]</f>
        <v>0</v>
      </c>
      <c r="BN34" s="36"/>
      <c r="BO34" s="37">
        <f t="shared" ref="BO34:BO65" si="25">AO34</f>
        <v>0</v>
      </c>
      <c r="BP34" s="35">
        <f t="shared" ref="BP34:BP65" si="26">(BC34+AZ34+AW34+AT34+AQ34)</f>
        <v>0</v>
      </c>
      <c r="BQ34" s="35">
        <f t="shared" ref="BQ34:BQ65" si="27">AR34+AU34+AX34+BA34+BD34</f>
        <v>0</v>
      </c>
      <c r="BR34" s="37">
        <f t="shared" si="11"/>
        <v>0</v>
      </c>
      <c r="BS34" s="37">
        <f t="shared" si="12"/>
        <v>0</v>
      </c>
      <c r="BT34" s="35">
        <f t="shared" si="13"/>
        <v>0</v>
      </c>
      <c r="BU34" s="35">
        <f t="shared" si="14"/>
        <v>0</v>
      </c>
      <c r="BV34" s="37">
        <f>(db!$AS$4/100)*(L34-BT34-BU34)</f>
        <v>0</v>
      </c>
      <c r="BW34" s="37">
        <f>(db!$AS$8/100)*(L34-BT34-BU34)</f>
        <v>0</v>
      </c>
      <c r="BX34" s="35"/>
      <c r="BY34" s="37"/>
      <c r="BZ34" s="37"/>
      <c r="CA34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34" s="33"/>
      <c r="CC34" s="39">
        <f>ROUND((Table1[[#This Row],[Premium]]-Table1[[#This Row],[All Deductions]]),0)</f>
        <v>0</v>
      </c>
      <c r="CD34" s="39">
        <f>IF(B34=0,0,Table1[[#This Row],[Initial Reserve]]+CE33)</f>
        <v>0</v>
      </c>
      <c r="CE34" s="40">
        <f>ROUND(IF(B34=0,0,((CC34)*(1+db!Y36))+((CE33)*(1+db!U36))),0)</f>
        <v>0</v>
      </c>
      <c r="CF34" s="40">
        <f t="shared" si="19"/>
        <v>0</v>
      </c>
      <c r="CG34" s="15">
        <f t="shared" si="15"/>
        <v>33</v>
      </c>
      <c r="CH34" s="39">
        <f>IF(B34=0,0,((CC34)*(1+db!AH36))+((CH33)*(1+db!AD36)))</f>
        <v>0</v>
      </c>
      <c r="CI34" s="39">
        <f>IF(B34=0,0,((CC34)*(1+db!AH36))+((CI33)*(1+db!AD36)))</f>
        <v>0</v>
      </c>
      <c r="CJ34" s="40">
        <f>IF(B34=0,0,((CC34)*(1+db!AO36))+((CJ33)*(1+db!AK36)))</f>
        <v>0</v>
      </c>
      <c r="CK34" s="40">
        <f>CJ34-(SUM(BX$7:$BX35))</f>
        <v>0</v>
      </c>
      <c r="CL34" s="46"/>
    </row>
    <row r="35" spans="1:90">
      <c r="A35" s="24">
        <f t="shared" si="16"/>
        <v>34</v>
      </c>
      <c r="B35" s="16">
        <f>IF(AND(Changes!Change="Yes", Changes!ChangeType="Change Contract Duration"),IF(B34=0,0,IF(Changes!NewChangedValue&lt;B34+1,0,B34+1)),IF(B34=0,0,IF('Application Annually'!$C$5&lt;B34+1,0,B34+1)))</f>
        <v>0</v>
      </c>
      <c r="C35" s="15">
        <f t="shared" si="17"/>
        <v>0</v>
      </c>
      <c r="D35" s="312">
        <f t="shared" si="18"/>
        <v>61</v>
      </c>
      <c r="E35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35" s="29">
        <f t="shared" si="8"/>
        <v>0</v>
      </c>
      <c r="G35" s="29">
        <f t="shared" si="9"/>
        <v>0</v>
      </c>
      <c r="H35" s="29">
        <f t="shared" si="20"/>
        <v>0</v>
      </c>
      <c r="I35" s="29">
        <f>IF(B35&gt;0,IF(AND(Table1[[#This Row],[Year]]&gt;Changes!ValidityYear,Changes!Change="Yes",Changes!ChangeType="Change Value Adjustment"),Changes!$G$22,'Application Annually'!$C$11),0)</f>
        <v>0</v>
      </c>
      <c r="J35" s="29">
        <f>IF(B35&gt;0,IF(AND(Table1[[#This Row],[Year]]&gt;Changes!ValidityYear,Changes!Change="Yes",Changes!ChangeType="Change Value Adjustment"),Changes!$G$24,'Application Annually'!$C$7),0)</f>
        <v>0</v>
      </c>
      <c r="K35" s="29">
        <f>ROUND(IF(B35=0,0,IF(AND(Changes!Change="Yes", Changes!ValidityYear=Table1[[#This Row],[Year]], Changes!ChangeType="Change Premium"), Changes!NewChangedValue, (K34*(1+db!$B$3)))),0)</f>
        <v>0</v>
      </c>
      <c r="L35" s="29">
        <f>ROUND(IF(AND(Changes!Change="Yes",Changes!ValidityYear&lt;=Table1[[#This Row],[Year]],Changes!ChangeType="Paid-Up"),0,IF(B35=0,0,IF(AND(Changes!Change="Yes", Changes!ValidityYear=Table1[[#This Row],[Year]], Changes!ChangeType="Change Premium"), Changes!NewChangedValue, (L34*(1+Table1[[#This Row],[Adjustment Factor of Premium]]/100))))),0)</f>
        <v>0</v>
      </c>
      <c r="M35" s="29">
        <f>IF(Table1[[#This Row],[Year]]=1,ROUND(MIN($L$2 -( Table1[[#This Row],[Riders Risk Premiums]] + Table1[[#This Row],[Acquisition Cost]]) *0.75,Table1[[#This Row],[Death Capital (1)]]* 0.03),0),0)</f>
        <v>0</v>
      </c>
      <c r="N35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35" s="29">
        <f>ROUND(IF(ROW()-1&gt;InsurancePeriod,0,(O34*(1+(Table1[[#This Row],[Adjustment Factor of Premium]]/100)))),0)</f>
        <v>0</v>
      </c>
      <c r="P35" s="29">
        <f>IF(Table1[Year] = 0, 0, SUM(L$2:L35))</f>
        <v>0</v>
      </c>
      <c r="Q35" s="17">
        <f t="shared" si="21"/>
        <v>0</v>
      </c>
      <c r="R35" s="17">
        <f>IF(Table1[[#This Row],[Year]]=0,0,IF($C$2&lt;=50,LOOKUP(Table1[[#This Row],[Age]],db!BG36:BG142,db!BH36:BH142),LOOKUP(Table1[[#This Row],[Age]],db!BJ36:BJ142,db!BK36:BK142)))</f>
        <v>0</v>
      </c>
      <c r="S35" s="17">
        <f>IF(AND(Changes!Change="Yes",Changes!ValidityYear&lt;=Table1[[#This Row],[Year]],Changes!ChangeType="Paid-Up",PaidUpOption="Paid-up with no coverage"),0,IF(B35=0,0, IF(AND(Changes!Change="Yes", Changes!ValidityYear=Table1[[#This Row],[Year]], Changes!ChangeType="Change Death Capital"), Changes!NewChangedValue, S34*(1+(Table1[[#This Row],[Adjustment Factor of Death Capital]]/100)))))</f>
        <v>0</v>
      </c>
      <c r="T35" s="17">
        <f>MIN(IF(B35=0,0,Table1[[#This Row],[Death Capital (1)]]),Table1[[#This Row],[Max Sum Insured For Death]])</f>
        <v>0</v>
      </c>
      <c r="U35" s="29">
        <f t="shared" si="10"/>
        <v>0</v>
      </c>
      <c r="V35" s="29">
        <f>IF(AND(Changes!Change="Yes",Changes!ValidityYear&lt;=Table1[[#This Row],[Year]],Changes!ChangeType="Paid-Up",OR(PaidUpOption="Paid-up with no coverage",PaidUpOption="Paid-up with main coverage")),0,IF(B35=0,0,IF(AND(Changes!Change="Yes", Changes!ValidityYear&lt;=Table1[[#This Row],[Year]], Changes!ChangeType="Rider Inclusion/Exclusion", Changes!RiderType="Accident Death"), T35*Changes!NewChangedValue,IF(db!$D$6="Yes",(db!$B$6)*T35,0))))</f>
        <v>0</v>
      </c>
      <c r="W35" s="29">
        <f>MIN(IF(V35&lt;=db!$L$2,V35,db!$L$2),MAX_ACC_CAPITAL)</f>
        <v>0</v>
      </c>
      <c r="X35" s="17">
        <f>IF(AND(Changes!Change="Yes",Changes!ValidityYear&lt;=Table1[[#This Row],[Year]],Changes!ChangeType="Paid-Up",OR(PaidUpOption="Paid-up with no coverage",PaidUpOption="Paid-up with main coverage")),0,IF(OR(B35=0,Table1[[#This Row],[Accident Capital (2)]]=0),0,IF(AND(Changes!Change="Yes", Changes!ValidityYear&lt;=Table1[[#This Row],[Year]], Changes!ChangeType="Rider Inclusion/Exclusion", Changes!RiderType="Accident Disability"), T35*Changes!NewChangedValue,IF(db!$D$7="Yes",(db!$B$7)*T35,0))))</f>
        <v>0</v>
      </c>
      <c r="Y35" s="42">
        <f>IF(C35&gt;69,0,IF(C35=0,0,IF(X35&lt;=db!$L$3,X35,db!$L$3)))</f>
        <v>0</v>
      </c>
      <c r="Z35" s="29">
        <f>IF(AND(Changes!Change="Yes",Changes!ValidityYear&lt;=Table1[[#This Row],[Year]],Changes!ChangeType="Paid-Up",OR(PaidUpOption="Paid-up with no coverage",PaidUpOption="Paid-up with main coverage")),0,IF(OR(B35=0,Table1[[#This Row],[Accident Capital (2)]]=0),0,IF(AND(Changes!Change="Yes", Changes!ValidityYear&lt;=Table1[[#This Row],[Year]], Changes!ChangeType="Rider Inclusion/Exclusion", Changes!RiderType="Accident Medical Cost"), T35*Changes!NewChangedValue,IF(db!$D$9="Yes",(db!$B$9)*T35,0))))</f>
        <v>0</v>
      </c>
      <c r="AA35" s="29">
        <f>ROUND(IF(C35&gt;69,0,IF(C35=0,0,IF(Z35&lt;=db!$L$4,Z35,db!$L$4))),0)</f>
        <v>0</v>
      </c>
      <c r="AB35" s="38">
        <f>IF(AND(Changes!Change = "Yes", Changes!ChangeType = "Rider Inclusion/Exclusion", Changes!RiderType = "WOP"), IF( Changes!ValidityYear &lt;= Table1[[#This Row],[Year]], IF(WOP = "Yes", 0, 1),  IF(WOP = "Yes", 1, 0)), IF(AND(db!$D$8="Yes",C35&lt;=69,ROW()-1&lt;=InsurancePeriod), 1, 0))</f>
        <v>0</v>
      </c>
      <c r="AC35" s="17">
        <f>(AC36+K36)*AB35*((1)/(1+db!AA37))*(LOOKUP(C35,'Mortality Table'!$A$2:$A$108,'Mortality Table'!$E$2:$E$108))</f>
        <v>0</v>
      </c>
      <c r="AD35" s="340">
        <f>IF(AND(Changes!ValidityYear&lt;= Table1[[#This Row],[Year]],Changes!ChangeType="Change Value Adjustment",Changes!Change="Yes"), (AD36+L36)*AB35*((1)/(1+db!AA37))*(LOOKUP(C35,'Mortality Table'!$A$2:$A$108,'Mortality Table'!$E$2:$E$108)),Table1[[#This Row],[WOP Before Adj. BT]])</f>
        <v>0</v>
      </c>
      <c r="AE35" s="341">
        <f>IF(AND(Changes!Change="Yes", Changes!ChangeType="Change Value Adjustment"),Table1[[#This Row],[WOP Capital]],(AE36+O36)*AB35*((1)/(1+db!AA37))*(LOOKUP(D35,'Mortality Table'!$A$2:$A$108,'Mortality Table'!$E$2:$E$108)))</f>
        <v>0</v>
      </c>
      <c r="AF35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35" s="42">
        <f>IF(AND(Changes!Change="Yes", Changes!ValidityYear&lt;=Table1[[#This Row],[Year]], Changes!ChangeType="Rider Inclusion/Exclusion", Changes!RiderType="Disability Annuity"), L35*Changes!NewChangedValue,L35*db!B$10*IF(db!$D$10="Yes",1,0))</f>
        <v>0</v>
      </c>
      <c r="AH35" s="29">
        <f>IF(AND(Changes!Change="Yes",Changes!ValidityYear&lt;=Table1[[#This Row],[Year]],Changes!ChangeType="Paid-Up"),0,Table1[[#This Row],[Code Annuity Capital]]*IF('Annual Calculation'!C35&gt;69,0,(LOOKUP('Annual Calculation'!C35+1,'Mortality Table'!$A$2:$A$108,'Mortality Table'!$O$2:$O$108)-LOOKUP('Annual Calculation'!C35+11,'Mortality Table'!$A$2:$A$108,'Mortality Table'!$O$2:$O$108))/LOOKUP('Annual Calculation'!C35,'Mortality Table'!$A$2:$A$108,'Mortality Table'!$M$2:$M$108)))</f>
        <v>0</v>
      </c>
      <c r="AI35" s="17">
        <f>IF(AND(Changes!Change="Yes",Changes!ValidityYear&lt;=Table1[[#This Row],[Year]],Changes!ChangeType="Paid-Up",OR(PaidUpOption="Paid-up with no coverage",PaidUpOption="Paid-up with main coverage")),0,IF(B35=0,0,IF(AND(Changes!Change="Yes", Changes!ValidityYear&lt;=Table1[[#This Row],[Year]], Changes!ChangeType="Rider Inclusion/Exclusion", Changes!RiderType="Dread Disease"), T35*Changes!NewChangedValue,IF(db!$D$11="Yes",(db!$B$11)*T35,0))))</f>
        <v>0</v>
      </c>
      <c r="AJ35" s="42">
        <f>ROUND(IF(C35&gt;59,0,IF(C35=0,0,IF(AI35&lt;=db!$L$5,AI35,db!$L$5))),0)</f>
        <v>0</v>
      </c>
      <c r="AK35" s="29">
        <f>IF(AND(Changes!Change="Yes",Changes!ValidityYear&lt;=Table1[[#This Row],[Year]],Changes!ChangeType="Paid-Up",OR(PaidUpOption="Paid-up with no coverage",PaidUpOption="Paid-up with main coverage")),0,IF(B35=0,0,IF(AND(Changes!Change="Yes", Changes!ValidityYear&lt;=Table1[[#This Row],[Year]], Changes!ChangeType="Rider Inclusion/Exclusion", Changes!RiderType="Cancer"), T35*Changes!NewChangedValue,IF(db!$D$12="Yes",(db!$B$12)*T35,0))))</f>
        <v>0</v>
      </c>
      <c r="AL35" s="29">
        <f>ROUND(IF(C35&gt;59,0,IF(C35=0,0,IF(AK35&lt;=db!$L$6,AK35,db!$L$6))),0)</f>
        <v>0</v>
      </c>
      <c r="AM35" s="32"/>
      <c r="AN35" s="18">
        <f>IF(B35=0,0,IF(C35&lt;(db!$E$2+5),LOOKUP(C35,'Mortality Table'!$A$2:$A$108,'Mortality Table'!$P$2:$P$108),IF((C35&gt;=db!$E$2+10),LOOKUP(C35,'Mortality Table'!$A$2:$A$108,'Mortality Table'!$R$2:$R$108),LOOKUP(C35,'Mortality Table'!$A$2:$A$108,'Mortality Table'!$Q$2:$Q$108))))</f>
        <v>0</v>
      </c>
      <c r="AO35" s="22">
        <f t="shared" si="22"/>
        <v>0</v>
      </c>
      <c r="AP35" s="19">
        <f>IF(B35=0,0, LOOKUP(IF(AND(Changes!Change="Yes", Changes!ValidityYear&lt;=Table1[[#This Row],[Year]], Changes!ChangeType="Change Job Class"),Changes!NewChangedValue, db!$A$8),db!$AX$4:$AX$8,db!$AY$4:$AY$8))</f>
        <v>0</v>
      </c>
      <c r="AQ35" s="20">
        <f>ROUND((AP35/1000)*W35 * (1-db!$AS$9),0)</f>
        <v>0</v>
      </c>
      <c r="AR35" s="20">
        <f>(AP35/1000)*W35 * db!$AS$9</f>
        <v>0</v>
      </c>
      <c r="AS35" s="21">
        <f>IF(B35=0,0, LOOKUP(IF(AND(Changes!Change="Yes", Changes!ValidityYear&lt;=Table1[[#This Row],[Year]], Changes!ChangeType="Change Job Class"),Changes!NewChangedValue, db!$A$8),db!$AX$4:$AX$8,db!$AZ$4:$AZ$8))</f>
        <v>0</v>
      </c>
      <c r="AT35" s="22">
        <f>(AS35/1000)*Y35*(1-db!$AS$9)</f>
        <v>0</v>
      </c>
      <c r="AU35" s="22">
        <f>(AS35/1000)*Y35*(db!$AS$9)</f>
        <v>0</v>
      </c>
      <c r="AV35" s="23">
        <f>IF(B35=0,0, LOOKUP(IF(AND(Changes!Change="Yes", Changes!ValidityYear&lt;=Table1[[#This Row],[Year]], Changes!ChangeType="Change Job Class"),Changes!NewChangedValue, db!$A$8),db!$AX$4:$AX$8,db!$BA$4:$BA$8))</f>
        <v>0</v>
      </c>
      <c r="AW35" s="20">
        <f>ROUND((AV35/(100))*AA35*(1-db!$AS$9),0)</f>
        <v>0</v>
      </c>
      <c r="AX35" s="20">
        <f>ROUND((AV35/(100))*AA35*(db!$AS$9),0)</f>
        <v>0</v>
      </c>
      <c r="AY35" s="21">
        <f>IF(db!$D$8="Yes",AS35,0)</f>
        <v>0</v>
      </c>
      <c r="AZ35" s="22">
        <f>(AY35*AF35)/1000*(1-db!$AS$9)</f>
        <v>0</v>
      </c>
      <c r="BA35" s="22">
        <f>(AY35*AF35)/1000*(db!$AS$9)</f>
        <v>0</v>
      </c>
      <c r="BB35" s="23">
        <f t="shared" si="23"/>
        <v>0</v>
      </c>
      <c r="BC35" s="20">
        <f>(BB35*AH35/1000)*(1-db!$AS$9)</f>
        <v>0</v>
      </c>
      <c r="BD35" s="20">
        <f>(BB35*AH35/1000)*(db!$AS$9)</f>
        <v>0</v>
      </c>
      <c r="BE35" s="22">
        <f>IF(B35=0,0,IF(C35&gt;60,0,LOOKUP(Table1[[#This Row],[Medical
Age]],db!$BC$3:$BC$63,db!$BD$3:$BD$63)))</f>
        <v>0</v>
      </c>
      <c r="BF35" s="22">
        <f>BG35*db!$AS$10</f>
        <v>0</v>
      </c>
      <c r="BG35" s="22">
        <f t="shared" si="24"/>
        <v>0</v>
      </c>
      <c r="BH35" s="22">
        <f>(BE35/1000000)*AJ35*(1-db!$AS$10)</f>
        <v>0</v>
      </c>
      <c r="BI35" s="20">
        <f>IF(B35=0,0,IF(C35&gt;59,0,LOOKUP(Table1[[#This Row],[Medical
Age]],db!$BC$3:$BC$63,db!$BE$3:$BE$63)))</f>
        <v>0</v>
      </c>
      <c r="BJ35" s="20">
        <f>(BI35/1000000)*AL35*(1-db!$AS$11)</f>
        <v>0</v>
      </c>
      <c r="BK35" s="20">
        <f>(BI35/1000000)*AL35*(db!$AS$11)</f>
        <v>0</v>
      </c>
      <c r="BL35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35" s="20">
        <f>Table1[[#This Row],[RiskLoading
Rate]]*Table1[[#This Row],[Death Capital (2)]]</f>
        <v>0</v>
      </c>
      <c r="BN35" s="36"/>
      <c r="BO35" s="37">
        <f t="shared" si="25"/>
        <v>0</v>
      </c>
      <c r="BP35" s="35">
        <f t="shared" si="26"/>
        <v>0</v>
      </c>
      <c r="BQ35" s="35">
        <f t="shared" si="27"/>
        <v>0</v>
      </c>
      <c r="BR35" s="37">
        <f t="shared" si="11"/>
        <v>0</v>
      </c>
      <c r="BS35" s="37">
        <f t="shared" si="12"/>
        <v>0</v>
      </c>
      <c r="BT35" s="35">
        <f t="shared" si="13"/>
        <v>0</v>
      </c>
      <c r="BU35" s="35">
        <f t="shared" si="14"/>
        <v>0</v>
      </c>
      <c r="BV35" s="37">
        <f>(db!$AS$4/100)*(L35-BT35-BU35)</f>
        <v>0</v>
      </c>
      <c r="BW35" s="37">
        <f>(db!$AS$8/100)*(L35-BT35-BU35)</f>
        <v>0</v>
      </c>
      <c r="BX35" s="35"/>
      <c r="BY35" s="37"/>
      <c r="BZ35" s="37"/>
      <c r="CA35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35" s="33"/>
      <c r="CC35" s="39">
        <f>ROUND((Table1[[#This Row],[Premium]]-Table1[[#This Row],[All Deductions]]),0)</f>
        <v>0</v>
      </c>
      <c r="CD35" s="39">
        <f>IF(B35=0,0,Table1[[#This Row],[Initial Reserve]]+CE34)</f>
        <v>0</v>
      </c>
      <c r="CE35" s="40">
        <f>ROUND(IF(B35=0,0,((CC35)*(1+db!Y37))+((CE34)*(1+db!U37))),0)</f>
        <v>0</v>
      </c>
      <c r="CF35" s="40">
        <f t="shared" si="19"/>
        <v>0</v>
      </c>
      <c r="CG35" s="15">
        <f t="shared" si="15"/>
        <v>34</v>
      </c>
      <c r="CH35" s="39">
        <f>IF(B35=0,0,((CC35)*(1+db!AH37))+((CH34)*(1+db!AD37)))</f>
        <v>0</v>
      </c>
      <c r="CI35" s="39">
        <f>IF(B35=0,0,((CC35)*(1+db!AH37))+((CI34)*(1+db!AD37)))</f>
        <v>0</v>
      </c>
      <c r="CJ35" s="40">
        <f>IF(B35=0,0,((CC35)*(1+db!AO37))+((CJ34)*(1+db!AK37)))</f>
        <v>0</v>
      </c>
      <c r="CK35" s="40">
        <f>CJ35-(SUM(BX$7:$BX36))</f>
        <v>0</v>
      </c>
      <c r="CL35" s="46"/>
    </row>
    <row r="36" spans="1:90">
      <c r="A36" s="24">
        <f t="shared" si="16"/>
        <v>35</v>
      </c>
      <c r="B36" s="16">
        <f>IF(AND(Changes!Change="Yes", Changes!ChangeType="Change Contract Duration"),IF(B35=0,0,IF(Changes!NewChangedValue&lt;B35+1,0,B35+1)),IF(B35=0,0,IF('Application Annually'!$C$5&lt;B35+1,0,B35+1)))</f>
        <v>0</v>
      </c>
      <c r="C36" s="15">
        <f t="shared" si="17"/>
        <v>0</v>
      </c>
      <c r="D36" s="312">
        <f t="shared" si="18"/>
        <v>62</v>
      </c>
      <c r="E36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36" s="29">
        <f t="shared" si="8"/>
        <v>0</v>
      </c>
      <c r="G36" s="29">
        <f t="shared" si="9"/>
        <v>0</v>
      </c>
      <c r="H36" s="29">
        <f t="shared" si="20"/>
        <v>0</v>
      </c>
      <c r="I36" s="29">
        <f>IF(B36&gt;0,IF(AND(Table1[[#This Row],[Year]]&gt;Changes!ValidityYear,Changes!Change="Yes",Changes!ChangeType="Change Value Adjustment"),Changes!$G$22,'Application Annually'!$C$11),0)</f>
        <v>0</v>
      </c>
      <c r="J36" s="29">
        <f>IF(B36&gt;0,IF(AND(Table1[[#This Row],[Year]]&gt;Changes!ValidityYear,Changes!Change="Yes",Changes!ChangeType="Change Value Adjustment"),Changes!$G$24,'Application Annually'!$C$7),0)</f>
        <v>0</v>
      </c>
      <c r="K36" s="29">
        <f>ROUND(IF(B36=0,0,IF(AND(Changes!Change="Yes", Changes!ValidityYear=Table1[[#This Row],[Year]], Changes!ChangeType="Change Premium"), Changes!NewChangedValue, (K35*(1+db!$B$3)))),0)</f>
        <v>0</v>
      </c>
      <c r="L36" s="29">
        <f>ROUND(IF(AND(Changes!Change="Yes",Changes!ValidityYear&lt;=Table1[[#This Row],[Year]],Changes!ChangeType="Paid-Up"),0,IF(B36=0,0,IF(AND(Changes!Change="Yes", Changes!ValidityYear=Table1[[#This Row],[Year]], Changes!ChangeType="Change Premium"), Changes!NewChangedValue, (L35*(1+Table1[[#This Row],[Adjustment Factor of Premium]]/100))))),0)</f>
        <v>0</v>
      </c>
      <c r="M36" s="29">
        <f>IF(Table1[[#This Row],[Year]]=1,ROUND(MIN($L$2 -( Table1[[#This Row],[Riders Risk Premiums]] + Table1[[#This Row],[Acquisition Cost]]) *0.75,Table1[[#This Row],[Death Capital (1)]]* 0.03),0),0)</f>
        <v>0</v>
      </c>
      <c r="N36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36" s="29">
        <f>ROUND(IF(ROW()-1&gt;InsurancePeriod,0,(O35*(1+(Table1[[#This Row],[Adjustment Factor of Premium]]/100)))),0)</f>
        <v>0</v>
      </c>
      <c r="P36" s="29">
        <f>IF(Table1[Year] = 0, 0, SUM(L$2:L36))</f>
        <v>0</v>
      </c>
      <c r="Q36" s="17">
        <f t="shared" si="21"/>
        <v>0</v>
      </c>
      <c r="R36" s="17">
        <f>IF(Table1[[#This Row],[Year]]=0,0,IF($C$2&lt;=50,LOOKUP(Table1[[#This Row],[Age]],db!BG37:BG143,db!BH37:BH143),LOOKUP(Table1[[#This Row],[Age]],db!BJ37:BJ143,db!BK37:BK143)))</f>
        <v>0</v>
      </c>
      <c r="S36" s="17">
        <f>IF(AND(Changes!Change="Yes",Changes!ValidityYear&lt;=Table1[[#This Row],[Year]],Changes!ChangeType="Paid-Up",PaidUpOption="Paid-up with no coverage"),0,IF(B36=0,0, IF(AND(Changes!Change="Yes", Changes!ValidityYear=Table1[[#This Row],[Year]], Changes!ChangeType="Change Death Capital"), Changes!NewChangedValue, S35*(1+(Table1[[#This Row],[Adjustment Factor of Death Capital]]/100)))))</f>
        <v>0</v>
      </c>
      <c r="T36" s="17">
        <f>MIN(IF(B36=0,0,Table1[[#This Row],[Death Capital (1)]]),Table1[[#This Row],[Max Sum Insured For Death]])</f>
        <v>0</v>
      </c>
      <c r="U36" s="29">
        <f t="shared" si="10"/>
        <v>0</v>
      </c>
      <c r="V36" s="29">
        <f>IF(AND(Changes!Change="Yes",Changes!ValidityYear&lt;=Table1[[#This Row],[Year]],Changes!ChangeType="Paid-Up",OR(PaidUpOption="Paid-up with no coverage",PaidUpOption="Paid-up with main coverage")),0,IF(B36=0,0,IF(AND(Changes!Change="Yes", Changes!ValidityYear&lt;=Table1[[#This Row],[Year]], Changes!ChangeType="Rider Inclusion/Exclusion", Changes!RiderType="Accident Death"), T36*Changes!NewChangedValue,IF(db!$D$6="Yes",(db!$B$6)*T36,0))))</f>
        <v>0</v>
      </c>
      <c r="W36" s="29">
        <f>MIN(IF(V36&lt;=db!$L$2,V36,db!$L$2),MAX_ACC_CAPITAL)</f>
        <v>0</v>
      </c>
      <c r="X36" s="17">
        <f>IF(AND(Changes!Change="Yes",Changes!ValidityYear&lt;=Table1[[#This Row],[Year]],Changes!ChangeType="Paid-Up",OR(PaidUpOption="Paid-up with no coverage",PaidUpOption="Paid-up with main coverage")),0,IF(OR(B36=0,Table1[[#This Row],[Accident Capital (2)]]=0),0,IF(AND(Changes!Change="Yes", Changes!ValidityYear&lt;=Table1[[#This Row],[Year]], Changes!ChangeType="Rider Inclusion/Exclusion", Changes!RiderType="Accident Disability"), T36*Changes!NewChangedValue,IF(db!$D$7="Yes",(db!$B$7)*T36,0))))</f>
        <v>0</v>
      </c>
      <c r="Y36" s="42">
        <f>IF(C36&gt;69,0,IF(C36=0,0,IF(X36&lt;=db!$L$3,X36,db!$L$3)))</f>
        <v>0</v>
      </c>
      <c r="Z36" s="29">
        <f>IF(AND(Changes!Change="Yes",Changes!ValidityYear&lt;=Table1[[#This Row],[Year]],Changes!ChangeType="Paid-Up",OR(PaidUpOption="Paid-up with no coverage",PaidUpOption="Paid-up with main coverage")),0,IF(OR(B36=0,Table1[[#This Row],[Accident Capital (2)]]=0),0,IF(AND(Changes!Change="Yes", Changes!ValidityYear&lt;=Table1[[#This Row],[Year]], Changes!ChangeType="Rider Inclusion/Exclusion", Changes!RiderType="Accident Medical Cost"), T36*Changes!NewChangedValue,IF(db!$D$9="Yes",(db!$B$9)*T36,0))))</f>
        <v>0</v>
      </c>
      <c r="AA36" s="29">
        <f>ROUND(IF(C36&gt;69,0,IF(C36=0,0,IF(Z36&lt;=db!$L$4,Z36,db!$L$4))),0)</f>
        <v>0</v>
      </c>
      <c r="AB36" s="38">
        <f>IF(AND(Changes!Change = "Yes", Changes!ChangeType = "Rider Inclusion/Exclusion", Changes!RiderType = "WOP"), IF( Changes!ValidityYear &lt;= Table1[[#This Row],[Year]], IF(WOP = "Yes", 0, 1),  IF(WOP = "Yes", 1, 0)), IF(AND(db!$D$8="Yes",C36&lt;=69,ROW()-1&lt;=InsurancePeriod), 1, 0))</f>
        <v>0</v>
      </c>
      <c r="AC36" s="17">
        <f>(AC37+K37)*AB36*((1)/(1+db!AA38))*(LOOKUP(C36,'Mortality Table'!$A$2:$A$108,'Mortality Table'!$E$2:$E$108))</f>
        <v>0</v>
      </c>
      <c r="AD36" s="340">
        <f>IF(AND(Changes!ValidityYear&lt;= Table1[[#This Row],[Year]],Changes!ChangeType="Change Value Adjustment",Changes!Change="Yes"), (AD37+L37)*AB36*((1)/(1+db!AA38))*(LOOKUP(C36,'Mortality Table'!$A$2:$A$108,'Mortality Table'!$E$2:$E$108)),Table1[[#This Row],[WOP Before Adj. BT]])</f>
        <v>0</v>
      </c>
      <c r="AE36" s="341">
        <f>IF(AND(Changes!Change="Yes", Changes!ChangeType="Change Value Adjustment"),Table1[[#This Row],[WOP Capital]],(AE37+O37)*AB36*((1)/(1+db!AA38))*(LOOKUP(D36,'Mortality Table'!$A$2:$A$108,'Mortality Table'!$E$2:$E$108)))</f>
        <v>0</v>
      </c>
      <c r="AF36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36" s="42">
        <f>IF(AND(Changes!Change="Yes", Changes!ValidityYear&lt;=Table1[[#This Row],[Year]], Changes!ChangeType="Rider Inclusion/Exclusion", Changes!RiderType="Disability Annuity"), L36*Changes!NewChangedValue,L36*db!B$10*IF(db!$D$10="Yes",1,0))</f>
        <v>0</v>
      </c>
      <c r="AH36" s="29">
        <f>IF(AND(Changes!Change="Yes",Changes!ValidityYear&lt;=Table1[[#This Row],[Year]],Changes!ChangeType="Paid-Up"),0,Table1[[#This Row],[Code Annuity Capital]]*IF('Annual Calculation'!C36&gt;69,0,(LOOKUP('Annual Calculation'!C36+1,'Mortality Table'!$A$2:$A$108,'Mortality Table'!$O$2:$O$108)-LOOKUP('Annual Calculation'!C36+11,'Mortality Table'!$A$2:$A$108,'Mortality Table'!$O$2:$O$108))/LOOKUP('Annual Calculation'!C36,'Mortality Table'!$A$2:$A$108,'Mortality Table'!$M$2:$M$108)))</f>
        <v>0</v>
      </c>
      <c r="AI36" s="17">
        <f>IF(AND(Changes!Change="Yes",Changes!ValidityYear&lt;=Table1[[#This Row],[Year]],Changes!ChangeType="Paid-Up",OR(PaidUpOption="Paid-up with no coverage",PaidUpOption="Paid-up with main coverage")),0,IF(B36=0,0,IF(AND(Changes!Change="Yes", Changes!ValidityYear&lt;=Table1[[#This Row],[Year]], Changes!ChangeType="Rider Inclusion/Exclusion", Changes!RiderType="Dread Disease"), T36*Changes!NewChangedValue,IF(db!$D$11="Yes",(db!$B$11)*T36,0))))</f>
        <v>0</v>
      </c>
      <c r="AJ36" s="42">
        <f>ROUND(IF(C36&gt;59,0,IF(C36=0,0,IF(AI36&lt;=db!$L$5,AI36,db!$L$5))),0)</f>
        <v>0</v>
      </c>
      <c r="AK36" s="29">
        <f>IF(AND(Changes!Change="Yes",Changes!ValidityYear&lt;=Table1[[#This Row],[Year]],Changes!ChangeType="Paid-Up",OR(PaidUpOption="Paid-up with no coverage",PaidUpOption="Paid-up with main coverage")),0,IF(B36=0,0,IF(AND(Changes!Change="Yes", Changes!ValidityYear&lt;=Table1[[#This Row],[Year]], Changes!ChangeType="Rider Inclusion/Exclusion", Changes!RiderType="Cancer"), T36*Changes!NewChangedValue,IF(db!$D$12="Yes",(db!$B$12)*T36,0))))</f>
        <v>0</v>
      </c>
      <c r="AL36" s="29">
        <f>ROUND(IF(C36&gt;59,0,IF(C36=0,0,IF(AK36&lt;=db!$L$6,AK36,db!$L$6))),0)</f>
        <v>0</v>
      </c>
      <c r="AM36" s="32"/>
      <c r="AN36" s="18">
        <f>IF(B36=0,0,IF(C36&lt;(db!$E$2+5),LOOKUP(C36,'Mortality Table'!$A$2:$A$108,'Mortality Table'!$P$2:$P$108),IF((C36&gt;=db!$E$2+10),LOOKUP(C36,'Mortality Table'!$A$2:$A$108,'Mortality Table'!$R$2:$R$108),LOOKUP(C36,'Mortality Table'!$A$2:$A$108,'Mortality Table'!$Q$2:$Q$108))))</f>
        <v>0</v>
      </c>
      <c r="AO36" s="22">
        <f t="shared" si="22"/>
        <v>0</v>
      </c>
      <c r="AP36" s="19">
        <f>IF(B36=0,0, LOOKUP(IF(AND(Changes!Change="Yes", Changes!ValidityYear&lt;=Table1[[#This Row],[Year]], Changes!ChangeType="Change Job Class"),Changes!NewChangedValue, db!$A$8),db!$AX$4:$AX$8,db!$AY$4:$AY$8))</f>
        <v>0</v>
      </c>
      <c r="AQ36" s="20">
        <f>ROUND((AP36/1000)*W36 * (1-db!$AS$9),0)</f>
        <v>0</v>
      </c>
      <c r="AR36" s="20">
        <f>(AP36/1000)*W36 * db!$AS$9</f>
        <v>0</v>
      </c>
      <c r="AS36" s="21">
        <f>IF(B36=0,0, LOOKUP(IF(AND(Changes!Change="Yes", Changes!ValidityYear&lt;=Table1[[#This Row],[Year]], Changes!ChangeType="Change Job Class"),Changes!NewChangedValue, db!$A$8),db!$AX$4:$AX$8,db!$AZ$4:$AZ$8))</f>
        <v>0</v>
      </c>
      <c r="AT36" s="22">
        <f>(AS36/1000)*Y36*(1-db!$AS$9)</f>
        <v>0</v>
      </c>
      <c r="AU36" s="22">
        <f>(AS36/1000)*Y36*(db!$AS$9)</f>
        <v>0</v>
      </c>
      <c r="AV36" s="23">
        <f>IF(B36=0,0, LOOKUP(IF(AND(Changes!Change="Yes", Changes!ValidityYear&lt;=Table1[[#This Row],[Year]], Changes!ChangeType="Change Job Class"),Changes!NewChangedValue, db!$A$8),db!$AX$4:$AX$8,db!$BA$4:$BA$8))</f>
        <v>0</v>
      </c>
      <c r="AW36" s="20">
        <f>ROUND((AV36/(100))*AA36*(1-db!$AS$9),0)</f>
        <v>0</v>
      </c>
      <c r="AX36" s="20">
        <f>ROUND((AV36/(100))*AA36*(db!$AS$9),0)</f>
        <v>0</v>
      </c>
      <c r="AY36" s="21">
        <f>IF(db!$D$8="Yes",AS36,0)</f>
        <v>0</v>
      </c>
      <c r="AZ36" s="22">
        <f>(AY36*AF36)/1000*(1-db!$AS$9)</f>
        <v>0</v>
      </c>
      <c r="BA36" s="22">
        <f>(AY36*AF36)/1000*(db!$AS$9)</f>
        <v>0</v>
      </c>
      <c r="BB36" s="23">
        <f t="shared" si="23"/>
        <v>0</v>
      </c>
      <c r="BC36" s="20">
        <f>(BB36*AH36/1000)*(1-db!$AS$9)</f>
        <v>0</v>
      </c>
      <c r="BD36" s="20">
        <f>(BB36*AH36/1000)*(db!$AS$9)</f>
        <v>0</v>
      </c>
      <c r="BE36" s="22">
        <f>IF(B36=0,0,IF(C36&gt;60,0,LOOKUP(Table1[[#This Row],[Medical
Age]],db!$BC$3:$BC$63,db!$BD$3:$BD$63)))</f>
        <v>0</v>
      </c>
      <c r="BF36" s="22">
        <f>BG36*db!$AS$10</f>
        <v>0</v>
      </c>
      <c r="BG36" s="22">
        <f t="shared" si="24"/>
        <v>0</v>
      </c>
      <c r="BH36" s="22">
        <f>(BE36/1000000)*AJ36*(1-db!$AS$10)</f>
        <v>0</v>
      </c>
      <c r="BI36" s="20">
        <f>IF(B36=0,0,IF(C36&gt;59,0,LOOKUP(Table1[[#This Row],[Medical
Age]],db!$BC$3:$BC$63,db!$BE$3:$BE$63)))</f>
        <v>0</v>
      </c>
      <c r="BJ36" s="20">
        <f>(BI36/1000000)*AL36*(1-db!$AS$11)</f>
        <v>0</v>
      </c>
      <c r="BK36" s="20">
        <f>(BI36/1000000)*AL36*(db!$AS$11)</f>
        <v>0</v>
      </c>
      <c r="BL36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36" s="20">
        <f>Table1[[#This Row],[RiskLoading
Rate]]*Table1[[#This Row],[Death Capital (2)]]</f>
        <v>0</v>
      </c>
      <c r="BN36" s="36"/>
      <c r="BO36" s="37">
        <f t="shared" si="25"/>
        <v>0</v>
      </c>
      <c r="BP36" s="35">
        <f t="shared" si="26"/>
        <v>0</v>
      </c>
      <c r="BQ36" s="35">
        <f t="shared" si="27"/>
        <v>0</v>
      </c>
      <c r="BR36" s="37">
        <f t="shared" si="11"/>
        <v>0</v>
      </c>
      <c r="BS36" s="37">
        <f t="shared" si="12"/>
        <v>0</v>
      </c>
      <c r="BT36" s="35">
        <f t="shared" si="13"/>
        <v>0</v>
      </c>
      <c r="BU36" s="35">
        <f t="shared" si="14"/>
        <v>0</v>
      </c>
      <c r="BV36" s="37">
        <f>(db!$AS$4/100)*(L36-BT36-BU36)</f>
        <v>0</v>
      </c>
      <c r="BW36" s="37">
        <f>(db!$AS$8/100)*(L36-BT36-BU36)</f>
        <v>0</v>
      </c>
      <c r="BX36" s="35"/>
      <c r="BY36" s="37"/>
      <c r="BZ36" s="37"/>
      <c r="CA36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36" s="33"/>
      <c r="CC36" s="39">
        <f>ROUND((Table1[[#This Row],[Premium]]-Table1[[#This Row],[All Deductions]]),0)</f>
        <v>0</v>
      </c>
      <c r="CD36" s="39">
        <f>IF(B36=0,0,Table1[[#This Row],[Initial Reserve]]+CE35)</f>
        <v>0</v>
      </c>
      <c r="CE36" s="40">
        <f>ROUND(IF(B36=0,0,((CC36)*(1+db!Y38))+((CE35)*(1+db!U38))),0)</f>
        <v>0</v>
      </c>
      <c r="CF36" s="40">
        <f t="shared" si="19"/>
        <v>0</v>
      </c>
      <c r="CG36" s="15">
        <f t="shared" si="15"/>
        <v>35</v>
      </c>
      <c r="CH36" s="39">
        <f>IF(B36=0,0,((CC36)*(1+db!AH38))+((CH35)*(1+db!AD38)))</f>
        <v>0</v>
      </c>
      <c r="CI36" s="39">
        <f>IF(B36=0,0,((CC36)*(1+db!AH38))+((CI35)*(1+db!AD38)))</f>
        <v>0</v>
      </c>
      <c r="CJ36" s="40">
        <f>IF(B36=0,0,((CC36)*(1+db!AO38))+((CJ35)*(1+db!AK38)))</f>
        <v>0</v>
      </c>
      <c r="CK36" s="40">
        <f>CJ36-(SUM(BX$7:$BX37))</f>
        <v>0</v>
      </c>
      <c r="CL36" s="46"/>
    </row>
    <row r="37" spans="1:90">
      <c r="A37" s="24">
        <f t="shared" si="16"/>
        <v>36</v>
      </c>
      <c r="B37" s="16">
        <f>IF(AND(Changes!Change="Yes", Changes!ChangeType="Change Contract Duration"),IF(B36=0,0,IF(Changes!NewChangedValue&lt;B36+1,0,B36+1)),IF(B36=0,0,IF('Application Annually'!$C$5&lt;B36+1,0,B36+1)))</f>
        <v>0</v>
      </c>
      <c r="C37" s="15">
        <f t="shared" si="17"/>
        <v>0</v>
      </c>
      <c r="D37" s="312">
        <f t="shared" si="18"/>
        <v>63</v>
      </c>
      <c r="E37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37" s="29">
        <f t="shared" si="8"/>
        <v>0</v>
      </c>
      <c r="G37" s="29">
        <f t="shared" si="9"/>
        <v>0</v>
      </c>
      <c r="H37" s="29">
        <f t="shared" si="20"/>
        <v>0</v>
      </c>
      <c r="I37" s="29">
        <f>IF(B37&gt;0,IF(AND(Table1[[#This Row],[Year]]&gt;Changes!ValidityYear,Changes!Change="Yes",Changes!ChangeType="Change Value Adjustment"),Changes!$G$22,'Application Annually'!$C$11),0)</f>
        <v>0</v>
      </c>
      <c r="J37" s="29">
        <f>IF(B37&gt;0,IF(AND(Table1[[#This Row],[Year]]&gt;Changes!ValidityYear,Changes!Change="Yes",Changes!ChangeType="Change Value Adjustment"),Changes!$G$24,'Application Annually'!$C$7),0)</f>
        <v>0</v>
      </c>
      <c r="K37" s="29">
        <f>ROUND(IF(B37=0,0,IF(AND(Changes!Change="Yes", Changes!ValidityYear=Table1[[#This Row],[Year]], Changes!ChangeType="Change Premium"), Changes!NewChangedValue, (K36*(1+db!$B$3)))),0)</f>
        <v>0</v>
      </c>
      <c r="L37" s="29">
        <f>ROUND(IF(AND(Changes!Change="Yes",Changes!ValidityYear&lt;=Table1[[#This Row],[Year]],Changes!ChangeType="Paid-Up"),0,IF(B37=0,0,IF(AND(Changes!Change="Yes", Changes!ValidityYear=Table1[[#This Row],[Year]], Changes!ChangeType="Change Premium"), Changes!NewChangedValue, (L36*(1+Table1[[#This Row],[Adjustment Factor of Premium]]/100))))),0)</f>
        <v>0</v>
      </c>
      <c r="M37" s="29">
        <f>IF(Table1[[#This Row],[Year]]=1,ROUND(MIN($L$2 -( Table1[[#This Row],[Riders Risk Premiums]] + Table1[[#This Row],[Acquisition Cost]]) *0.75,Table1[[#This Row],[Death Capital (1)]]* 0.03),0),0)</f>
        <v>0</v>
      </c>
      <c r="N37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37" s="29">
        <f>ROUND(IF(ROW()-1&gt;InsurancePeriod,0,(O36*(1+(Table1[[#This Row],[Adjustment Factor of Premium]]/100)))),0)</f>
        <v>0</v>
      </c>
      <c r="P37" s="29">
        <f>IF(Table1[Year] = 0, 0, SUM(L$2:L37))</f>
        <v>0</v>
      </c>
      <c r="Q37" s="17">
        <f t="shared" si="21"/>
        <v>0</v>
      </c>
      <c r="R37" s="17">
        <f>IF(Table1[[#This Row],[Year]]=0,0,IF($C$2&lt;=50,LOOKUP(Table1[[#This Row],[Age]],db!BG38:BG144,db!BH38:BH144),LOOKUP(Table1[[#This Row],[Age]],db!BJ38:BJ144,db!BK38:BK144)))</f>
        <v>0</v>
      </c>
      <c r="S37" s="17">
        <f>IF(AND(Changes!Change="Yes",Changes!ValidityYear&lt;=Table1[[#This Row],[Year]],Changes!ChangeType="Paid-Up",PaidUpOption="Paid-up with no coverage"),0,IF(B37=0,0, IF(AND(Changes!Change="Yes", Changes!ValidityYear=Table1[[#This Row],[Year]], Changes!ChangeType="Change Death Capital"), Changes!NewChangedValue, S36*(1+(Table1[[#This Row],[Adjustment Factor of Death Capital]]/100)))))</f>
        <v>0</v>
      </c>
      <c r="T37" s="17">
        <f>MIN(IF(B37=0,0,Table1[[#This Row],[Death Capital (1)]]),Table1[[#This Row],[Max Sum Insured For Death]])</f>
        <v>0</v>
      </c>
      <c r="U37" s="29">
        <f t="shared" si="10"/>
        <v>0</v>
      </c>
      <c r="V37" s="29">
        <f>IF(AND(Changes!Change="Yes",Changes!ValidityYear&lt;=Table1[[#This Row],[Year]],Changes!ChangeType="Paid-Up",OR(PaidUpOption="Paid-up with no coverage",PaidUpOption="Paid-up with main coverage")),0,IF(B37=0,0,IF(AND(Changes!Change="Yes", Changes!ValidityYear&lt;=Table1[[#This Row],[Year]], Changes!ChangeType="Rider Inclusion/Exclusion", Changes!RiderType="Accident Death"), T37*Changes!NewChangedValue,IF(db!$D$6="Yes",(db!$B$6)*T37,0))))</f>
        <v>0</v>
      </c>
      <c r="W37" s="29">
        <f>MIN(IF(V37&lt;=db!$L$2,V37,db!$L$2),MAX_ACC_CAPITAL)</f>
        <v>0</v>
      </c>
      <c r="X37" s="17">
        <f>IF(AND(Changes!Change="Yes",Changes!ValidityYear&lt;=Table1[[#This Row],[Year]],Changes!ChangeType="Paid-Up",OR(PaidUpOption="Paid-up with no coverage",PaidUpOption="Paid-up with main coverage")),0,IF(OR(B37=0,Table1[[#This Row],[Accident Capital (2)]]=0),0,IF(AND(Changes!Change="Yes", Changes!ValidityYear&lt;=Table1[[#This Row],[Year]], Changes!ChangeType="Rider Inclusion/Exclusion", Changes!RiderType="Accident Disability"), T37*Changes!NewChangedValue,IF(db!$D$7="Yes",(db!$B$7)*T37,0))))</f>
        <v>0</v>
      </c>
      <c r="Y37" s="42">
        <f>IF(C37&gt;69,0,IF(C37=0,0,IF(X37&lt;=db!$L$3,X37,db!$L$3)))</f>
        <v>0</v>
      </c>
      <c r="Z37" s="29">
        <f>IF(AND(Changes!Change="Yes",Changes!ValidityYear&lt;=Table1[[#This Row],[Year]],Changes!ChangeType="Paid-Up",OR(PaidUpOption="Paid-up with no coverage",PaidUpOption="Paid-up with main coverage")),0,IF(OR(B37=0,Table1[[#This Row],[Accident Capital (2)]]=0),0,IF(AND(Changes!Change="Yes", Changes!ValidityYear&lt;=Table1[[#This Row],[Year]], Changes!ChangeType="Rider Inclusion/Exclusion", Changes!RiderType="Accident Medical Cost"), T37*Changes!NewChangedValue,IF(db!$D$9="Yes",(db!$B$9)*T37,0))))</f>
        <v>0</v>
      </c>
      <c r="AA37" s="29">
        <f>ROUND(IF(C37&gt;69,0,IF(C37=0,0,IF(Z37&lt;=db!$L$4,Z37,db!$L$4))),0)</f>
        <v>0</v>
      </c>
      <c r="AB37" s="38">
        <f>IF(AND(Changes!Change = "Yes", Changes!ChangeType = "Rider Inclusion/Exclusion", Changes!RiderType = "WOP"), IF( Changes!ValidityYear &lt;= Table1[[#This Row],[Year]], IF(WOP = "Yes", 0, 1),  IF(WOP = "Yes", 1, 0)), IF(AND(db!$D$8="Yes",C37&lt;=69,ROW()-1&lt;=InsurancePeriod), 1, 0))</f>
        <v>0</v>
      </c>
      <c r="AC37" s="17">
        <f>(AC38+K38)*AB37*((1)/(1+db!AA39))*(LOOKUP(C37,'Mortality Table'!$A$2:$A$108,'Mortality Table'!$E$2:$E$108))</f>
        <v>0</v>
      </c>
      <c r="AD37" s="340">
        <f>IF(AND(Changes!ValidityYear&lt;= Table1[[#This Row],[Year]],Changes!ChangeType="Change Value Adjustment",Changes!Change="Yes"), (AD38+L38)*AB37*((1)/(1+db!AA39))*(LOOKUP(C37,'Mortality Table'!$A$2:$A$108,'Mortality Table'!$E$2:$E$108)),Table1[[#This Row],[WOP Before Adj. BT]])</f>
        <v>0</v>
      </c>
      <c r="AE37" s="341">
        <f>IF(AND(Changes!Change="Yes", Changes!ChangeType="Change Value Adjustment"),Table1[[#This Row],[WOP Capital]],(AE38+O38)*AB37*((1)/(1+db!AA39))*(LOOKUP(D37,'Mortality Table'!$A$2:$A$108,'Mortality Table'!$E$2:$E$108)))</f>
        <v>0</v>
      </c>
      <c r="AF37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37" s="42">
        <f>IF(AND(Changes!Change="Yes", Changes!ValidityYear&lt;=Table1[[#This Row],[Year]], Changes!ChangeType="Rider Inclusion/Exclusion", Changes!RiderType="Disability Annuity"), L37*Changes!NewChangedValue,L37*db!B$10*IF(db!$D$10="Yes",1,0))</f>
        <v>0</v>
      </c>
      <c r="AH37" s="29">
        <f>IF(AND(Changes!Change="Yes",Changes!ValidityYear&lt;=Table1[[#This Row],[Year]],Changes!ChangeType="Paid-Up"),0,Table1[[#This Row],[Code Annuity Capital]]*IF('Annual Calculation'!C37&gt;69,0,(LOOKUP('Annual Calculation'!C37+1,'Mortality Table'!$A$2:$A$108,'Mortality Table'!$O$2:$O$108)-LOOKUP('Annual Calculation'!C37+11,'Mortality Table'!$A$2:$A$108,'Mortality Table'!$O$2:$O$108))/LOOKUP('Annual Calculation'!C37,'Mortality Table'!$A$2:$A$108,'Mortality Table'!$M$2:$M$108)))</f>
        <v>0</v>
      </c>
      <c r="AI37" s="17">
        <f>IF(AND(Changes!Change="Yes",Changes!ValidityYear&lt;=Table1[[#This Row],[Year]],Changes!ChangeType="Paid-Up",OR(PaidUpOption="Paid-up with no coverage",PaidUpOption="Paid-up with main coverage")),0,IF(B37=0,0,IF(AND(Changes!Change="Yes", Changes!ValidityYear&lt;=Table1[[#This Row],[Year]], Changes!ChangeType="Rider Inclusion/Exclusion", Changes!RiderType="Dread Disease"), T37*Changes!NewChangedValue,IF(db!$D$11="Yes",(db!$B$11)*T37,0))))</f>
        <v>0</v>
      </c>
      <c r="AJ37" s="42">
        <f>ROUND(IF(C37&gt;59,0,IF(C37=0,0,IF(AI37&lt;=db!$L$5,AI37,db!$L$5))),0)</f>
        <v>0</v>
      </c>
      <c r="AK37" s="29">
        <f>IF(AND(Changes!Change="Yes",Changes!ValidityYear&lt;=Table1[[#This Row],[Year]],Changes!ChangeType="Paid-Up",OR(PaidUpOption="Paid-up with no coverage",PaidUpOption="Paid-up with main coverage")),0,IF(B37=0,0,IF(AND(Changes!Change="Yes", Changes!ValidityYear&lt;=Table1[[#This Row],[Year]], Changes!ChangeType="Rider Inclusion/Exclusion", Changes!RiderType="Cancer"), T37*Changes!NewChangedValue,IF(db!$D$12="Yes",(db!$B$12)*T37,0))))</f>
        <v>0</v>
      </c>
      <c r="AL37" s="29">
        <f>ROUND(IF(C37&gt;59,0,IF(C37=0,0,IF(AK37&lt;=db!$L$6,AK37,db!$L$6))),0)</f>
        <v>0</v>
      </c>
      <c r="AM37" s="32"/>
      <c r="AN37" s="18">
        <f>IF(B37=0,0,IF(C37&lt;(db!$E$2+5),LOOKUP(C37,'Mortality Table'!$A$2:$A$108,'Mortality Table'!$P$2:$P$108),IF((C37&gt;=db!$E$2+10),LOOKUP(C37,'Mortality Table'!$A$2:$A$108,'Mortality Table'!$R$2:$R$108),LOOKUP(C37,'Mortality Table'!$A$2:$A$108,'Mortality Table'!$Q$2:$Q$108))))</f>
        <v>0</v>
      </c>
      <c r="AO37" s="22">
        <f t="shared" si="22"/>
        <v>0</v>
      </c>
      <c r="AP37" s="19">
        <f>IF(B37=0,0, LOOKUP(IF(AND(Changes!Change="Yes", Changes!ValidityYear&lt;=Table1[[#This Row],[Year]], Changes!ChangeType="Change Job Class"),Changes!NewChangedValue, db!$A$8),db!$AX$4:$AX$8,db!$AY$4:$AY$8))</f>
        <v>0</v>
      </c>
      <c r="AQ37" s="20">
        <f>ROUND((AP37/1000)*W37 * (1-db!$AS$9),0)</f>
        <v>0</v>
      </c>
      <c r="AR37" s="20">
        <f>(AP37/1000)*W37 * db!$AS$9</f>
        <v>0</v>
      </c>
      <c r="AS37" s="21">
        <f>IF(B37=0,0, LOOKUP(IF(AND(Changes!Change="Yes", Changes!ValidityYear&lt;=Table1[[#This Row],[Year]], Changes!ChangeType="Change Job Class"),Changes!NewChangedValue, db!$A$8),db!$AX$4:$AX$8,db!$AZ$4:$AZ$8))</f>
        <v>0</v>
      </c>
      <c r="AT37" s="22">
        <f>(AS37/1000)*Y37*(1-db!$AS$9)</f>
        <v>0</v>
      </c>
      <c r="AU37" s="22">
        <f>(AS37/1000)*Y37*(db!$AS$9)</f>
        <v>0</v>
      </c>
      <c r="AV37" s="23">
        <f>IF(B37=0,0, LOOKUP(IF(AND(Changes!Change="Yes", Changes!ValidityYear&lt;=Table1[[#This Row],[Year]], Changes!ChangeType="Change Job Class"),Changes!NewChangedValue, db!$A$8),db!$AX$4:$AX$8,db!$BA$4:$BA$8))</f>
        <v>0</v>
      </c>
      <c r="AW37" s="20">
        <f>ROUND((AV37/(100))*AA37*(1-db!$AS$9),0)</f>
        <v>0</v>
      </c>
      <c r="AX37" s="20">
        <f>ROUND((AV37/(100))*AA37*(db!$AS$9),0)</f>
        <v>0</v>
      </c>
      <c r="AY37" s="21">
        <f>IF(db!$D$8="Yes",AS37,0)</f>
        <v>0</v>
      </c>
      <c r="AZ37" s="22">
        <f>(AY37*AF37)/1000*(1-db!$AS$9)</f>
        <v>0</v>
      </c>
      <c r="BA37" s="22">
        <f>(AY37*AF37)/1000*(db!$AS$9)</f>
        <v>0</v>
      </c>
      <c r="BB37" s="23">
        <f t="shared" si="23"/>
        <v>0</v>
      </c>
      <c r="BC37" s="20">
        <f>(BB37*AH37/1000)*(1-db!$AS$9)</f>
        <v>0</v>
      </c>
      <c r="BD37" s="20">
        <f>(BB37*AH37/1000)*(db!$AS$9)</f>
        <v>0</v>
      </c>
      <c r="BE37" s="22">
        <f>IF(B37=0,0,IF(C37&gt;60,0,LOOKUP(Table1[[#This Row],[Medical
Age]],db!$BC$3:$BC$63,db!$BD$3:$BD$63)))</f>
        <v>0</v>
      </c>
      <c r="BF37" s="22">
        <f>BG37*db!$AS$10</f>
        <v>0</v>
      </c>
      <c r="BG37" s="22">
        <f t="shared" si="24"/>
        <v>0</v>
      </c>
      <c r="BH37" s="22">
        <f>(BE37/1000000)*AJ37*(1-db!$AS$10)</f>
        <v>0</v>
      </c>
      <c r="BI37" s="20">
        <f>IF(B37=0,0,IF(C37&gt;59,0,LOOKUP(Table1[[#This Row],[Medical
Age]],db!$BC$3:$BC$63,db!$BE$3:$BE$63)))</f>
        <v>0</v>
      </c>
      <c r="BJ37" s="20">
        <f>(BI37/1000000)*AL37*(1-db!$AS$11)</f>
        <v>0</v>
      </c>
      <c r="BK37" s="20">
        <f>(BI37/1000000)*AL37*(db!$AS$11)</f>
        <v>0</v>
      </c>
      <c r="BL37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37" s="20">
        <f>Table1[[#This Row],[RiskLoading
Rate]]*Table1[[#This Row],[Death Capital (2)]]</f>
        <v>0</v>
      </c>
      <c r="BN37" s="36"/>
      <c r="BO37" s="37">
        <f t="shared" si="25"/>
        <v>0</v>
      </c>
      <c r="BP37" s="35">
        <f t="shared" si="26"/>
        <v>0</v>
      </c>
      <c r="BQ37" s="35">
        <f t="shared" si="27"/>
        <v>0</v>
      </c>
      <c r="BR37" s="37">
        <f t="shared" si="11"/>
        <v>0</v>
      </c>
      <c r="BS37" s="37">
        <f t="shared" si="12"/>
        <v>0</v>
      </c>
      <c r="BT37" s="35">
        <f t="shared" si="13"/>
        <v>0</v>
      </c>
      <c r="BU37" s="35">
        <f t="shared" si="14"/>
        <v>0</v>
      </c>
      <c r="BV37" s="37">
        <f>(db!$AS$4/100)*(L37-BT37-BU37)</f>
        <v>0</v>
      </c>
      <c r="BW37" s="37">
        <f>(db!$AS$8/100)*(L37-BT37-BU37)</f>
        <v>0</v>
      </c>
      <c r="BX37" s="35"/>
      <c r="BY37" s="37"/>
      <c r="BZ37" s="37"/>
      <c r="CA37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37" s="33"/>
      <c r="CC37" s="39">
        <f>ROUND((Table1[[#This Row],[Premium]]-Table1[[#This Row],[All Deductions]]),0)</f>
        <v>0</v>
      </c>
      <c r="CD37" s="39">
        <f>IF(B37=0,0,Table1[[#This Row],[Initial Reserve]]+CE36)</f>
        <v>0</v>
      </c>
      <c r="CE37" s="40">
        <f>ROUND(IF(B37=0,0,((CC37)*(1+db!Y39))+((CE36)*(1+db!U39))),0)</f>
        <v>0</v>
      </c>
      <c r="CF37" s="40">
        <f t="shared" si="19"/>
        <v>0</v>
      </c>
      <c r="CG37" s="15">
        <f t="shared" si="15"/>
        <v>36</v>
      </c>
      <c r="CH37" s="39">
        <f>IF(B37=0,0,((CC37)*(1+db!AH39))+((CH36)*(1+db!AD39)))</f>
        <v>0</v>
      </c>
      <c r="CI37" s="39">
        <f>IF(B37=0,0,((CC37)*(1+db!AH39))+((CI36)*(1+db!AD39)))</f>
        <v>0</v>
      </c>
      <c r="CJ37" s="40">
        <f>IF(B37=0,0,((CC37)*(1+db!AO39))+((CJ36)*(1+db!AK39)))</f>
        <v>0</v>
      </c>
      <c r="CK37" s="40">
        <f>CJ37-(SUM(BX$7:$BX38))</f>
        <v>0</v>
      </c>
      <c r="CL37" s="46"/>
    </row>
    <row r="38" spans="1:90">
      <c r="A38" s="24">
        <f t="shared" si="16"/>
        <v>37</v>
      </c>
      <c r="B38" s="16">
        <f>IF(AND(Changes!Change="Yes", Changes!ChangeType="Change Contract Duration"),IF(B37=0,0,IF(Changes!NewChangedValue&lt;B37+1,0,B37+1)),IF(B37=0,0,IF('Application Annually'!$C$5&lt;B37+1,0,B37+1)))</f>
        <v>0</v>
      </c>
      <c r="C38" s="15">
        <f t="shared" si="17"/>
        <v>0</v>
      </c>
      <c r="D38" s="312">
        <f t="shared" si="18"/>
        <v>64</v>
      </c>
      <c r="E38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38" s="29">
        <f t="shared" si="8"/>
        <v>0</v>
      </c>
      <c r="G38" s="29">
        <f t="shared" si="9"/>
        <v>0</v>
      </c>
      <c r="H38" s="29">
        <f t="shared" si="20"/>
        <v>0</v>
      </c>
      <c r="I38" s="29">
        <f>IF(B38&gt;0,IF(AND(Table1[[#This Row],[Year]]&gt;Changes!ValidityYear,Changes!Change="Yes",Changes!ChangeType="Change Value Adjustment"),Changes!$G$22,'Application Annually'!$C$11),0)</f>
        <v>0</v>
      </c>
      <c r="J38" s="29">
        <f>IF(B38&gt;0,IF(AND(Table1[[#This Row],[Year]]&gt;Changes!ValidityYear,Changes!Change="Yes",Changes!ChangeType="Change Value Adjustment"),Changes!$G$24,'Application Annually'!$C$7),0)</f>
        <v>0</v>
      </c>
      <c r="K38" s="29">
        <f>ROUND(IF(B38=0,0,IF(AND(Changes!Change="Yes", Changes!ValidityYear=Table1[[#This Row],[Year]], Changes!ChangeType="Change Premium"), Changes!NewChangedValue, (K37*(1+db!$B$3)))),0)</f>
        <v>0</v>
      </c>
      <c r="L38" s="29">
        <f>ROUND(IF(AND(Changes!Change="Yes",Changes!ValidityYear&lt;=Table1[[#This Row],[Year]],Changes!ChangeType="Paid-Up"),0,IF(B38=0,0,IF(AND(Changes!Change="Yes", Changes!ValidityYear=Table1[[#This Row],[Year]], Changes!ChangeType="Change Premium"), Changes!NewChangedValue, (L37*(1+Table1[[#This Row],[Adjustment Factor of Premium]]/100))))),0)</f>
        <v>0</v>
      </c>
      <c r="M38" s="29">
        <f>IF(Table1[[#This Row],[Year]]=1,ROUND(MIN($L$2 -( Table1[[#This Row],[Riders Risk Premiums]] + Table1[[#This Row],[Acquisition Cost]]) *0.75,Table1[[#This Row],[Death Capital (1)]]* 0.03),0),0)</f>
        <v>0</v>
      </c>
      <c r="N38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38" s="29">
        <f>ROUND(IF(ROW()-1&gt;InsurancePeriod,0,(O37*(1+(Table1[[#This Row],[Adjustment Factor of Premium]]/100)))),0)</f>
        <v>0</v>
      </c>
      <c r="P38" s="29">
        <f>IF(Table1[Year] = 0, 0, SUM(L$2:L38))</f>
        <v>0</v>
      </c>
      <c r="Q38" s="17">
        <f t="shared" si="21"/>
        <v>0</v>
      </c>
      <c r="R38" s="17">
        <f>IF(Table1[[#This Row],[Year]]=0,0,IF($C$2&lt;=50,LOOKUP(Table1[[#This Row],[Age]],db!BG39:BG145,db!BH39:BH145),LOOKUP(Table1[[#This Row],[Age]],db!BJ39:BJ145,db!BK39:BK145)))</f>
        <v>0</v>
      </c>
      <c r="S38" s="17">
        <f>IF(AND(Changes!Change="Yes",Changes!ValidityYear&lt;=Table1[[#This Row],[Year]],Changes!ChangeType="Paid-Up",PaidUpOption="Paid-up with no coverage"),0,IF(B38=0,0, IF(AND(Changes!Change="Yes", Changes!ValidityYear=Table1[[#This Row],[Year]], Changes!ChangeType="Change Death Capital"), Changes!NewChangedValue, S37*(1+(Table1[[#This Row],[Adjustment Factor of Death Capital]]/100)))))</f>
        <v>0</v>
      </c>
      <c r="T38" s="17">
        <f>MIN(IF(B38=0,0,Table1[[#This Row],[Death Capital (1)]]),Table1[[#This Row],[Max Sum Insured For Death]])</f>
        <v>0</v>
      </c>
      <c r="U38" s="29">
        <f t="shared" si="10"/>
        <v>0</v>
      </c>
      <c r="V38" s="29">
        <f>IF(AND(Changes!Change="Yes",Changes!ValidityYear&lt;=Table1[[#This Row],[Year]],Changes!ChangeType="Paid-Up",OR(PaidUpOption="Paid-up with no coverage",PaidUpOption="Paid-up with main coverage")),0,IF(B38=0,0,IF(AND(Changes!Change="Yes", Changes!ValidityYear&lt;=Table1[[#This Row],[Year]], Changes!ChangeType="Rider Inclusion/Exclusion", Changes!RiderType="Accident Death"), T38*Changes!NewChangedValue,IF(db!$D$6="Yes",(db!$B$6)*T38,0))))</f>
        <v>0</v>
      </c>
      <c r="W38" s="29">
        <f>MIN(IF(V38&lt;=db!$L$2,V38,db!$L$2),MAX_ACC_CAPITAL)</f>
        <v>0</v>
      </c>
      <c r="X38" s="17">
        <f>IF(AND(Changes!Change="Yes",Changes!ValidityYear&lt;=Table1[[#This Row],[Year]],Changes!ChangeType="Paid-Up",OR(PaidUpOption="Paid-up with no coverage",PaidUpOption="Paid-up with main coverage")),0,IF(OR(B38=0,Table1[[#This Row],[Accident Capital (2)]]=0),0,IF(AND(Changes!Change="Yes", Changes!ValidityYear&lt;=Table1[[#This Row],[Year]], Changes!ChangeType="Rider Inclusion/Exclusion", Changes!RiderType="Accident Disability"), T38*Changes!NewChangedValue,IF(db!$D$7="Yes",(db!$B$7)*T38,0))))</f>
        <v>0</v>
      </c>
      <c r="Y38" s="42">
        <f>IF(C38&gt;69,0,IF(C38=0,0,IF(X38&lt;=db!$L$3,X38,db!$L$3)))</f>
        <v>0</v>
      </c>
      <c r="Z38" s="29">
        <f>IF(AND(Changes!Change="Yes",Changes!ValidityYear&lt;=Table1[[#This Row],[Year]],Changes!ChangeType="Paid-Up",OR(PaidUpOption="Paid-up with no coverage",PaidUpOption="Paid-up with main coverage")),0,IF(OR(B38=0,Table1[[#This Row],[Accident Capital (2)]]=0),0,IF(AND(Changes!Change="Yes", Changes!ValidityYear&lt;=Table1[[#This Row],[Year]], Changes!ChangeType="Rider Inclusion/Exclusion", Changes!RiderType="Accident Medical Cost"), T38*Changes!NewChangedValue,IF(db!$D$9="Yes",(db!$B$9)*T38,0))))</f>
        <v>0</v>
      </c>
      <c r="AA38" s="29">
        <f>ROUND(IF(C38&gt;69,0,IF(C38=0,0,IF(Z38&lt;=db!$L$4,Z38,db!$L$4))),0)</f>
        <v>0</v>
      </c>
      <c r="AB38" s="38">
        <f>IF(AND(Changes!Change = "Yes", Changes!ChangeType = "Rider Inclusion/Exclusion", Changes!RiderType = "WOP"), IF( Changes!ValidityYear &lt;= Table1[[#This Row],[Year]], IF(WOP = "Yes", 0, 1),  IF(WOP = "Yes", 1, 0)), IF(AND(db!$D$8="Yes",C38&lt;=69,ROW()-1&lt;=InsurancePeriod), 1, 0))</f>
        <v>0</v>
      </c>
      <c r="AC38" s="17">
        <f>(AC39+K39)*AB38*((1)/(1+db!AA40))*(LOOKUP(C38,'Mortality Table'!$A$2:$A$108,'Mortality Table'!$E$2:$E$108))</f>
        <v>0</v>
      </c>
      <c r="AD38" s="340">
        <f>IF(AND(Changes!ValidityYear&lt;= Table1[[#This Row],[Year]],Changes!ChangeType="Change Value Adjustment",Changes!Change="Yes"), (AD39+L39)*AB38*((1)/(1+db!AA40))*(LOOKUP(C38,'Mortality Table'!$A$2:$A$108,'Mortality Table'!$E$2:$E$108)),Table1[[#This Row],[WOP Before Adj. BT]])</f>
        <v>0</v>
      </c>
      <c r="AE38" s="341">
        <f>IF(AND(Changes!Change="Yes", Changes!ChangeType="Change Value Adjustment"),Table1[[#This Row],[WOP Capital]],(AE39+O39)*AB38*((1)/(1+db!AA40))*(LOOKUP(D38,'Mortality Table'!$A$2:$A$108,'Mortality Table'!$E$2:$E$108)))</f>
        <v>0</v>
      </c>
      <c r="AF38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38" s="42">
        <f>IF(AND(Changes!Change="Yes", Changes!ValidityYear&lt;=Table1[[#This Row],[Year]], Changes!ChangeType="Rider Inclusion/Exclusion", Changes!RiderType="Disability Annuity"), L38*Changes!NewChangedValue,L38*db!B$10*IF(db!$D$10="Yes",1,0))</f>
        <v>0</v>
      </c>
      <c r="AH38" s="29">
        <f>IF(AND(Changes!Change="Yes",Changes!ValidityYear&lt;=Table1[[#This Row],[Year]],Changes!ChangeType="Paid-Up"),0,Table1[[#This Row],[Code Annuity Capital]]*IF('Annual Calculation'!C38&gt;69,0,(LOOKUP('Annual Calculation'!C38+1,'Mortality Table'!$A$2:$A$108,'Mortality Table'!$O$2:$O$108)-LOOKUP('Annual Calculation'!C38+11,'Mortality Table'!$A$2:$A$108,'Mortality Table'!$O$2:$O$108))/LOOKUP('Annual Calculation'!C38,'Mortality Table'!$A$2:$A$108,'Mortality Table'!$M$2:$M$108)))</f>
        <v>0</v>
      </c>
      <c r="AI38" s="17">
        <f>IF(AND(Changes!Change="Yes",Changes!ValidityYear&lt;=Table1[[#This Row],[Year]],Changes!ChangeType="Paid-Up",OR(PaidUpOption="Paid-up with no coverage",PaidUpOption="Paid-up with main coverage")),0,IF(B38=0,0,IF(AND(Changes!Change="Yes", Changes!ValidityYear&lt;=Table1[[#This Row],[Year]], Changes!ChangeType="Rider Inclusion/Exclusion", Changes!RiderType="Dread Disease"), T38*Changes!NewChangedValue,IF(db!$D$11="Yes",(db!$B$11)*T38,0))))</f>
        <v>0</v>
      </c>
      <c r="AJ38" s="42">
        <f>ROUND(IF(C38&gt;59,0,IF(C38=0,0,IF(AI38&lt;=db!$L$5,AI38,db!$L$5))),0)</f>
        <v>0</v>
      </c>
      <c r="AK38" s="29">
        <f>IF(AND(Changes!Change="Yes",Changes!ValidityYear&lt;=Table1[[#This Row],[Year]],Changes!ChangeType="Paid-Up",OR(PaidUpOption="Paid-up with no coverage",PaidUpOption="Paid-up with main coverage")),0,IF(B38=0,0,IF(AND(Changes!Change="Yes", Changes!ValidityYear&lt;=Table1[[#This Row],[Year]], Changes!ChangeType="Rider Inclusion/Exclusion", Changes!RiderType="Cancer"), T38*Changes!NewChangedValue,IF(db!$D$12="Yes",(db!$B$12)*T38,0))))</f>
        <v>0</v>
      </c>
      <c r="AL38" s="29">
        <f>ROUND(IF(C38&gt;59,0,IF(C38=0,0,IF(AK38&lt;=db!$L$6,AK38,db!$L$6))),0)</f>
        <v>0</v>
      </c>
      <c r="AM38" s="32"/>
      <c r="AN38" s="18">
        <f>IF(B38=0,0,IF(C38&lt;(db!$E$2+5),LOOKUP(C38,'Mortality Table'!$A$2:$A$108,'Mortality Table'!$P$2:$P$108),IF((C38&gt;=db!$E$2+10),LOOKUP(C38,'Mortality Table'!$A$2:$A$108,'Mortality Table'!$R$2:$R$108),LOOKUP(C38,'Mortality Table'!$A$2:$A$108,'Mortality Table'!$Q$2:$Q$108))))</f>
        <v>0</v>
      </c>
      <c r="AO38" s="22">
        <f t="shared" si="22"/>
        <v>0</v>
      </c>
      <c r="AP38" s="19">
        <f>IF(B38=0,0, LOOKUP(IF(AND(Changes!Change="Yes", Changes!ValidityYear&lt;=Table1[[#This Row],[Year]], Changes!ChangeType="Change Job Class"),Changes!NewChangedValue, db!$A$8),db!$AX$4:$AX$8,db!$AY$4:$AY$8))</f>
        <v>0</v>
      </c>
      <c r="AQ38" s="20">
        <f>ROUND((AP38/1000)*W38 * (1-db!$AS$9),0)</f>
        <v>0</v>
      </c>
      <c r="AR38" s="20">
        <f>(AP38/1000)*W38 * db!$AS$9</f>
        <v>0</v>
      </c>
      <c r="AS38" s="21">
        <f>IF(B38=0,0, LOOKUP(IF(AND(Changes!Change="Yes", Changes!ValidityYear&lt;=Table1[[#This Row],[Year]], Changes!ChangeType="Change Job Class"),Changes!NewChangedValue, db!$A$8),db!$AX$4:$AX$8,db!$AZ$4:$AZ$8))</f>
        <v>0</v>
      </c>
      <c r="AT38" s="22">
        <f>(AS38/1000)*Y38*(1-db!$AS$9)</f>
        <v>0</v>
      </c>
      <c r="AU38" s="22">
        <f>(AS38/1000)*Y38*(db!$AS$9)</f>
        <v>0</v>
      </c>
      <c r="AV38" s="23">
        <f>IF(B38=0,0, LOOKUP(IF(AND(Changes!Change="Yes", Changes!ValidityYear&lt;=Table1[[#This Row],[Year]], Changes!ChangeType="Change Job Class"),Changes!NewChangedValue, db!$A$8),db!$AX$4:$AX$8,db!$BA$4:$BA$8))</f>
        <v>0</v>
      </c>
      <c r="AW38" s="20">
        <f>ROUND((AV38/(100))*AA38*(1-db!$AS$9),0)</f>
        <v>0</v>
      </c>
      <c r="AX38" s="20">
        <f>ROUND((AV38/(100))*AA38*(db!$AS$9),0)</f>
        <v>0</v>
      </c>
      <c r="AY38" s="21">
        <f>IF(db!$D$8="Yes",AS38,0)</f>
        <v>0</v>
      </c>
      <c r="AZ38" s="22">
        <f>(AY38*AF38)/1000*(1-db!$AS$9)</f>
        <v>0</v>
      </c>
      <c r="BA38" s="22">
        <f>(AY38*AF38)/1000*(db!$AS$9)</f>
        <v>0</v>
      </c>
      <c r="BB38" s="23">
        <f t="shared" si="23"/>
        <v>0</v>
      </c>
      <c r="BC38" s="20">
        <f>(BB38*AH38/1000)*(1-db!$AS$9)</f>
        <v>0</v>
      </c>
      <c r="BD38" s="20">
        <f>(BB38*AH38/1000)*(db!$AS$9)</f>
        <v>0</v>
      </c>
      <c r="BE38" s="22">
        <f>IF(B38=0,0,IF(C38&gt;60,0,LOOKUP(Table1[[#This Row],[Medical
Age]],db!$BC$3:$BC$63,db!$BD$3:$BD$63)))</f>
        <v>0</v>
      </c>
      <c r="BF38" s="22">
        <f>BG38*db!$AS$10</f>
        <v>0</v>
      </c>
      <c r="BG38" s="22">
        <f t="shared" si="24"/>
        <v>0</v>
      </c>
      <c r="BH38" s="22">
        <f>(BE38/1000000)*AJ38*(1-db!$AS$10)</f>
        <v>0</v>
      </c>
      <c r="BI38" s="20">
        <f>IF(B38=0,0,IF(C38&gt;59,0,LOOKUP(Table1[[#This Row],[Medical
Age]],db!$BC$3:$BC$63,db!$BE$3:$BE$63)))</f>
        <v>0</v>
      </c>
      <c r="BJ38" s="20">
        <f>(BI38/1000000)*AL38*(1-db!$AS$11)</f>
        <v>0</v>
      </c>
      <c r="BK38" s="20">
        <f>(BI38/1000000)*AL38*(db!$AS$11)</f>
        <v>0</v>
      </c>
      <c r="BL38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38" s="20">
        <f>Table1[[#This Row],[RiskLoading
Rate]]*Table1[[#This Row],[Death Capital (2)]]</f>
        <v>0</v>
      </c>
      <c r="BN38" s="36"/>
      <c r="BO38" s="37">
        <f t="shared" si="25"/>
        <v>0</v>
      </c>
      <c r="BP38" s="35">
        <f t="shared" si="26"/>
        <v>0</v>
      </c>
      <c r="BQ38" s="35">
        <f t="shared" si="27"/>
        <v>0</v>
      </c>
      <c r="BR38" s="37">
        <f t="shared" si="11"/>
        <v>0</v>
      </c>
      <c r="BS38" s="37">
        <f t="shared" si="12"/>
        <v>0</v>
      </c>
      <c r="BT38" s="35">
        <f t="shared" si="13"/>
        <v>0</v>
      </c>
      <c r="BU38" s="35">
        <f t="shared" si="14"/>
        <v>0</v>
      </c>
      <c r="BV38" s="37">
        <f>(db!$AS$4/100)*(L38-BT38-BU38)</f>
        <v>0</v>
      </c>
      <c r="BW38" s="37">
        <f>(db!$AS$8/100)*(L38-BT38-BU38)</f>
        <v>0</v>
      </c>
      <c r="BX38" s="35"/>
      <c r="BY38" s="37"/>
      <c r="BZ38" s="37"/>
      <c r="CA38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38" s="33"/>
      <c r="CC38" s="39">
        <f>ROUND((Table1[[#This Row],[Premium]]-Table1[[#This Row],[All Deductions]]),0)</f>
        <v>0</v>
      </c>
      <c r="CD38" s="39">
        <f>IF(B38=0,0,Table1[[#This Row],[Initial Reserve]]+CE37)</f>
        <v>0</v>
      </c>
      <c r="CE38" s="40">
        <f>ROUND(IF(B38=0,0,((CC38)*(1+db!Y40))+((CE37)*(1+db!U40))),0)</f>
        <v>0</v>
      </c>
      <c r="CF38" s="40">
        <f t="shared" si="19"/>
        <v>0</v>
      </c>
      <c r="CG38" s="15">
        <f t="shared" si="15"/>
        <v>37</v>
      </c>
      <c r="CH38" s="39">
        <f>IF(B38=0,0,((CC38)*(1+db!AH40))+((CH37)*(1+db!AD40)))</f>
        <v>0</v>
      </c>
      <c r="CI38" s="39">
        <f>IF(B38=0,0,((CC38)*(1+db!AH40))+((CI37)*(1+db!AD40)))</f>
        <v>0</v>
      </c>
      <c r="CJ38" s="40">
        <f>IF(B38=0,0,((CC38)*(1+db!AO40))+((CJ37)*(1+db!AK40)))</f>
        <v>0</v>
      </c>
      <c r="CK38" s="40">
        <f>CJ38-(SUM(BX$7:$BX39))</f>
        <v>0</v>
      </c>
      <c r="CL38" s="46"/>
    </row>
    <row r="39" spans="1:90">
      <c r="A39" s="24">
        <f t="shared" si="16"/>
        <v>38</v>
      </c>
      <c r="B39" s="16">
        <f>IF(AND(Changes!Change="Yes", Changes!ChangeType="Change Contract Duration"),IF(B38=0,0,IF(Changes!NewChangedValue&lt;B38+1,0,B38+1)),IF(B38=0,0,IF('Application Annually'!$C$5&lt;B38+1,0,B38+1)))</f>
        <v>0</v>
      </c>
      <c r="C39" s="15">
        <f t="shared" si="17"/>
        <v>0</v>
      </c>
      <c r="D39" s="312">
        <f t="shared" si="18"/>
        <v>65</v>
      </c>
      <c r="E39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39" s="29">
        <f t="shared" si="8"/>
        <v>0</v>
      </c>
      <c r="G39" s="29">
        <f t="shared" si="9"/>
        <v>0</v>
      </c>
      <c r="H39" s="29">
        <f t="shared" si="20"/>
        <v>0</v>
      </c>
      <c r="I39" s="29">
        <f>IF(B39&gt;0,IF(AND(Table1[[#This Row],[Year]]&gt;Changes!ValidityYear,Changes!Change="Yes",Changes!ChangeType="Change Value Adjustment"),Changes!$G$22,'Application Annually'!$C$11),0)</f>
        <v>0</v>
      </c>
      <c r="J39" s="29">
        <f>IF(B39&gt;0,IF(AND(Table1[[#This Row],[Year]]&gt;Changes!ValidityYear,Changes!Change="Yes",Changes!ChangeType="Change Value Adjustment"),Changes!$G$24,'Application Annually'!$C$7),0)</f>
        <v>0</v>
      </c>
      <c r="K39" s="29">
        <f>ROUND(IF(B39=0,0,IF(AND(Changes!Change="Yes", Changes!ValidityYear=Table1[[#This Row],[Year]], Changes!ChangeType="Change Premium"), Changes!NewChangedValue, (K38*(1+db!$B$3)))),0)</f>
        <v>0</v>
      </c>
      <c r="L39" s="29">
        <f>ROUND(IF(AND(Changes!Change="Yes",Changes!ValidityYear&lt;=Table1[[#This Row],[Year]],Changes!ChangeType="Paid-Up"),0,IF(B39=0,0,IF(AND(Changes!Change="Yes", Changes!ValidityYear=Table1[[#This Row],[Year]], Changes!ChangeType="Change Premium"), Changes!NewChangedValue, (L38*(1+Table1[[#This Row],[Adjustment Factor of Premium]]/100))))),0)</f>
        <v>0</v>
      </c>
      <c r="M39" s="29">
        <f>IF(Table1[[#This Row],[Year]]=1,ROUND(MIN($L$2 -( Table1[[#This Row],[Riders Risk Premiums]] + Table1[[#This Row],[Acquisition Cost]]) *0.75,Table1[[#This Row],[Death Capital (1)]]* 0.03),0),0)</f>
        <v>0</v>
      </c>
      <c r="N39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39" s="29">
        <f>ROUND(IF(ROW()-1&gt;InsurancePeriod,0,(O38*(1+(Table1[[#This Row],[Adjustment Factor of Premium]]/100)))),0)</f>
        <v>0</v>
      </c>
      <c r="P39" s="29">
        <f>IF(Table1[Year] = 0, 0, SUM(L$2:L39))</f>
        <v>0</v>
      </c>
      <c r="Q39" s="17">
        <f t="shared" si="21"/>
        <v>0</v>
      </c>
      <c r="R39" s="17">
        <f>IF(Table1[[#This Row],[Year]]=0,0,IF($C$2&lt;=50,LOOKUP(Table1[[#This Row],[Age]],db!BG40:BG146,db!BH40:BH146),LOOKUP(Table1[[#This Row],[Age]],db!BJ40:BJ146,db!BK40:BK146)))</f>
        <v>0</v>
      </c>
      <c r="S39" s="17">
        <f>IF(AND(Changes!Change="Yes",Changes!ValidityYear&lt;=Table1[[#This Row],[Year]],Changes!ChangeType="Paid-Up",PaidUpOption="Paid-up with no coverage"),0,IF(B39=0,0, IF(AND(Changes!Change="Yes", Changes!ValidityYear=Table1[[#This Row],[Year]], Changes!ChangeType="Change Death Capital"), Changes!NewChangedValue, S38*(1+(Table1[[#This Row],[Adjustment Factor of Death Capital]]/100)))))</f>
        <v>0</v>
      </c>
      <c r="T39" s="17">
        <f>MIN(IF(B39=0,0,Table1[[#This Row],[Death Capital (1)]]),Table1[[#This Row],[Max Sum Insured For Death]])</f>
        <v>0</v>
      </c>
      <c r="U39" s="29">
        <f t="shared" si="10"/>
        <v>0</v>
      </c>
      <c r="V39" s="29">
        <f>IF(AND(Changes!Change="Yes",Changes!ValidityYear&lt;=Table1[[#This Row],[Year]],Changes!ChangeType="Paid-Up",OR(PaidUpOption="Paid-up with no coverage",PaidUpOption="Paid-up with main coverage")),0,IF(B39=0,0,IF(AND(Changes!Change="Yes", Changes!ValidityYear&lt;=Table1[[#This Row],[Year]], Changes!ChangeType="Rider Inclusion/Exclusion", Changes!RiderType="Accident Death"), T39*Changes!NewChangedValue,IF(db!$D$6="Yes",(db!$B$6)*T39,0))))</f>
        <v>0</v>
      </c>
      <c r="W39" s="29">
        <f>MIN(IF(V39&lt;=db!$L$2,V39,db!$L$2),MAX_ACC_CAPITAL)</f>
        <v>0</v>
      </c>
      <c r="X39" s="17">
        <f>IF(AND(Changes!Change="Yes",Changes!ValidityYear&lt;=Table1[[#This Row],[Year]],Changes!ChangeType="Paid-Up",OR(PaidUpOption="Paid-up with no coverage",PaidUpOption="Paid-up with main coverage")),0,IF(OR(B39=0,Table1[[#This Row],[Accident Capital (2)]]=0),0,IF(AND(Changes!Change="Yes", Changes!ValidityYear&lt;=Table1[[#This Row],[Year]], Changes!ChangeType="Rider Inclusion/Exclusion", Changes!RiderType="Accident Disability"), T39*Changes!NewChangedValue,IF(db!$D$7="Yes",(db!$B$7)*T39,0))))</f>
        <v>0</v>
      </c>
      <c r="Y39" s="42">
        <f>IF(C39&gt;69,0,IF(C39=0,0,IF(X39&lt;=db!$L$3,X39,db!$L$3)))</f>
        <v>0</v>
      </c>
      <c r="Z39" s="29">
        <f>IF(AND(Changes!Change="Yes",Changes!ValidityYear&lt;=Table1[[#This Row],[Year]],Changes!ChangeType="Paid-Up",OR(PaidUpOption="Paid-up with no coverage",PaidUpOption="Paid-up with main coverage")),0,IF(OR(B39=0,Table1[[#This Row],[Accident Capital (2)]]=0),0,IF(AND(Changes!Change="Yes", Changes!ValidityYear&lt;=Table1[[#This Row],[Year]], Changes!ChangeType="Rider Inclusion/Exclusion", Changes!RiderType="Accident Medical Cost"), T39*Changes!NewChangedValue,IF(db!$D$9="Yes",(db!$B$9)*T39,0))))</f>
        <v>0</v>
      </c>
      <c r="AA39" s="29">
        <f>ROUND(IF(C39&gt;69,0,IF(C39=0,0,IF(Z39&lt;=db!$L$4,Z39,db!$L$4))),0)</f>
        <v>0</v>
      </c>
      <c r="AB39" s="38">
        <f>IF(AND(Changes!Change = "Yes", Changes!ChangeType = "Rider Inclusion/Exclusion", Changes!RiderType = "WOP"), IF( Changes!ValidityYear &lt;= Table1[[#This Row],[Year]], IF(WOP = "Yes", 0, 1),  IF(WOP = "Yes", 1, 0)), IF(AND(db!$D$8="Yes",C39&lt;=69,ROW()-1&lt;=InsurancePeriod), 1, 0))</f>
        <v>0</v>
      </c>
      <c r="AC39" s="17">
        <f>(AC40+K40)*AB39*((1)/(1+db!AA41))*(LOOKUP(C39,'Mortality Table'!$A$2:$A$108,'Mortality Table'!$E$2:$E$108))</f>
        <v>0</v>
      </c>
      <c r="AD39" s="340">
        <f>IF(AND(Changes!ValidityYear&lt;= Table1[[#This Row],[Year]],Changes!ChangeType="Change Value Adjustment",Changes!Change="Yes"), (AD40+L40)*AB39*((1)/(1+db!AA41))*(LOOKUP(C39,'Mortality Table'!$A$2:$A$108,'Mortality Table'!$E$2:$E$108)),Table1[[#This Row],[WOP Before Adj. BT]])</f>
        <v>0</v>
      </c>
      <c r="AE39" s="341">
        <f>IF(AND(Changes!Change="Yes", Changes!ChangeType="Change Value Adjustment"),Table1[[#This Row],[WOP Capital]],(AE40+O40)*AB39*((1)/(1+db!AA41))*(LOOKUP(D39,'Mortality Table'!$A$2:$A$108,'Mortality Table'!$E$2:$E$108)))</f>
        <v>0</v>
      </c>
      <c r="AF39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39" s="42">
        <f>IF(AND(Changes!Change="Yes", Changes!ValidityYear&lt;=Table1[[#This Row],[Year]], Changes!ChangeType="Rider Inclusion/Exclusion", Changes!RiderType="Disability Annuity"), L39*Changes!NewChangedValue,L39*db!B$10*IF(db!$D$10="Yes",1,0))</f>
        <v>0</v>
      </c>
      <c r="AH39" s="29">
        <f>IF(AND(Changes!Change="Yes",Changes!ValidityYear&lt;=Table1[[#This Row],[Year]],Changes!ChangeType="Paid-Up"),0,Table1[[#This Row],[Code Annuity Capital]]*IF('Annual Calculation'!C39&gt;69,0,(LOOKUP('Annual Calculation'!C39+1,'Mortality Table'!$A$2:$A$108,'Mortality Table'!$O$2:$O$108)-LOOKUP('Annual Calculation'!C39+11,'Mortality Table'!$A$2:$A$108,'Mortality Table'!$O$2:$O$108))/LOOKUP('Annual Calculation'!C39,'Mortality Table'!$A$2:$A$108,'Mortality Table'!$M$2:$M$108)))</f>
        <v>0</v>
      </c>
      <c r="AI39" s="17">
        <f>IF(AND(Changes!Change="Yes",Changes!ValidityYear&lt;=Table1[[#This Row],[Year]],Changes!ChangeType="Paid-Up",OR(PaidUpOption="Paid-up with no coverage",PaidUpOption="Paid-up with main coverage")),0,IF(B39=0,0,IF(AND(Changes!Change="Yes", Changes!ValidityYear&lt;=Table1[[#This Row],[Year]], Changes!ChangeType="Rider Inclusion/Exclusion", Changes!RiderType="Dread Disease"), T39*Changes!NewChangedValue,IF(db!$D$11="Yes",(db!$B$11)*T39,0))))</f>
        <v>0</v>
      </c>
      <c r="AJ39" s="42">
        <f>ROUND(IF(C39&gt;59,0,IF(C39=0,0,IF(AI39&lt;=db!$L$5,AI39,db!$L$5))),0)</f>
        <v>0</v>
      </c>
      <c r="AK39" s="29">
        <f>IF(AND(Changes!Change="Yes",Changes!ValidityYear&lt;=Table1[[#This Row],[Year]],Changes!ChangeType="Paid-Up",OR(PaidUpOption="Paid-up with no coverage",PaidUpOption="Paid-up with main coverage")),0,IF(B39=0,0,IF(AND(Changes!Change="Yes", Changes!ValidityYear&lt;=Table1[[#This Row],[Year]], Changes!ChangeType="Rider Inclusion/Exclusion", Changes!RiderType="Cancer"), T39*Changes!NewChangedValue,IF(db!$D$12="Yes",(db!$B$12)*T39,0))))</f>
        <v>0</v>
      </c>
      <c r="AL39" s="29">
        <f>ROUND(IF(C39&gt;59,0,IF(C39=0,0,IF(AK39&lt;=db!$L$6,AK39,db!$L$6))),0)</f>
        <v>0</v>
      </c>
      <c r="AM39" s="32"/>
      <c r="AN39" s="18">
        <f>IF(B39=0,0,IF(C39&lt;(db!$E$2+5),LOOKUP(C39,'Mortality Table'!$A$2:$A$108,'Mortality Table'!$P$2:$P$108),IF((C39&gt;=db!$E$2+10),LOOKUP(C39,'Mortality Table'!$A$2:$A$108,'Mortality Table'!$R$2:$R$108),LOOKUP(C39,'Mortality Table'!$A$2:$A$108,'Mortality Table'!$Q$2:$Q$108))))</f>
        <v>0</v>
      </c>
      <c r="AO39" s="22">
        <f t="shared" si="22"/>
        <v>0</v>
      </c>
      <c r="AP39" s="19">
        <f>IF(B39=0,0, LOOKUP(IF(AND(Changes!Change="Yes", Changes!ValidityYear&lt;=Table1[[#This Row],[Year]], Changes!ChangeType="Change Job Class"),Changes!NewChangedValue, db!$A$8),db!$AX$4:$AX$8,db!$AY$4:$AY$8))</f>
        <v>0</v>
      </c>
      <c r="AQ39" s="20">
        <f>ROUND((AP39/1000)*W39 * (1-db!$AS$9),0)</f>
        <v>0</v>
      </c>
      <c r="AR39" s="20">
        <f>(AP39/1000)*W39 * db!$AS$9</f>
        <v>0</v>
      </c>
      <c r="AS39" s="21">
        <f>IF(B39=0,0, LOOKUP(IF(AND(Changes!Change="Yes", Changes!ValidityYear&lt;=Table1[[#This Row],[Year]], Changes!ChangeType="Change Job Class"),Changes!NewChangedValue, db!$A$8),db!$AX$4:$AX$8,db!$AZ$4:$AZ$8))</f>
        <v>0</v>
      </c>
      <c r="AT39" s="22">
        <f>(AS39/1000)*Y39*(1-db!$AS$9)</f>
        <v>0</v>
      </c>
      <c r="AU39" s="22">
        <f>(AS39/1000)*Y39*(db!$AS$9)</f>
        <v>0</v>
      </c>
      <c r="AV39" s="23">
        <f>IF(B39=0,0, LOOKUP(IF(AND(Changes!Change="Yes", Changes!ValidityYear&lt;=Table1[[#This Row],[Year]], Changes!ChangeType="Change Job Class"),Changes!NewChangedValue, db!$A$8),db!$AX$4:$AX$8,db!$BA$4:$BA$8))</f>
        <v>0</v>
      </c>
      <c r="AW39" s="20">
        <f>ROUND((AV39/(100))*AA39*(1-db!$AS$9),0)</f>
        <v>0</v>
      </c>
      <c r="AX39" s="20">
        <f>ROUND((AV39/(100))*AA39*(db!$AS$9),0)</f>
        <v>0</v>
      </c>
      <c r="AY39" s="21">
        <f>IF(db!$D$8="Yes",AS39,0)</f>
        <v>0</v>
      </c>
      <c r="AZ39" s="22">
        <f>(AY39*AF39)/1000*(1-db!$AS$9)</f>
        <v>0</v>
      </c>
      <c r="BA39" s="22">
        <f>(AY39*AF39)/1000*(db!$AS$9)</f>
        <v>0</v>
      </c>
      <c r="BB39" s="23">
        <f t="shared" si="23"/>
        <v>0</v>
      </c>
      <c r="BC39" s="20">
        <f>(BB39*AH39/1000)*(1-db!$AS$9)</f>
        <v>0</v>
      </c>
      <c r="BD39" s="20">
        <f>(BB39*AH39/1000)*(db!$AS$9)</f>
        <v>0</v>
      </c>
      <c r="BE39" s="22">
        <f>IF(B39=0,0,IF(C39&gt;60,0,LOOKUP(Table1[[#This Row],[Medical
Age]],db!$BC$3:$BC$63,db!$BD$3:$BD$63)))</f>
        <v>0</v>
      </c>
      <c r="BF39" s="22">
        <f>BG39*db!$AS$10</f>
        <v>0</v>
      </c>
      <c r="BG39" s="22">
        <f t="shared" si="24"/>
        <v>0</v>
      </c>
      <c r="BH39" s="22">
        <f>(BE39/1000000)*AJ39*(1-db!$AS$10)</f>
        <v>0</v>
      </c>
      <c r="BI39" s="20">
        <f>IF(B39=0,0,IF(C39&gt;59,0,LOOKUP(Table1[[#This Row],[Medical
Age]],db!$BC$3:$BC$63,db!$BE$3:$BE$63)))</f>
        <v>0</v>
      </c>
      <c r="BJ39" s="20">
        <f>(BI39/1000000)*AL39*(1-db!$AS$11)</f>
        <v>0</v>
      </c>
      <c r="BK39" s="20">
        <f>(BI39/1000000)*AL39*(db!$AS$11)</f>
        <v>0</v>
      </c>
      <c r="BL39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39" s="20">
        <f>Table1[[#This Row],[RiskLoading
Rate]]*Table1[[#This Row],[Death Capital (2)]]</f>
        <v>0</v>
      </c>
      <c r="BN39" s="36"/>
      <c r="BO39" s="37">
        <f t="shared" si="25"/>
        <v>0</v>
      </c>
      <c r="BP39" s="35">
        <f t="shared" si="26"/>
        <v>0</v>
      </c>
      <c r="BQ39" s="35">
        <f t="shared" si="27"/>
        <v>0</v>
      </c>
      <c r="BR39" s="37">
        <f t="shared" si="11"/>
        <v>0</v>
      </c>
      <c r="BS39" s="37">
        <f t="shared" si="12"/>
        <v>0</v>
      </c>
      <c r="BT39" s="35">
        <f t="shared" si="13"/>
        <v>0</v>
      </c>
      <c r="BU39" s="35">
        <f t="shared" si="14"/>
        <v>0</v>
      </c>
      <c r="BV39" s="37">
        <f>(db!$AS$4/100)*(L39-BT39-BU39)</f>
        <v>0</v>
      </c>
      <c r="BW39" s="37">
        <f>(db!$AS$8/100)*(L39-BT39-BU39)</f>
        <v>0</v>
      </c>
      <c r="BX39" s="35"/>
      <c r="BY39" s="37"/>
      <c r="BZ39" s="37"/>
      <c r="CA39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39" s="33"/>
      <c r="CC39" s="39">
        <f>ROUND((Table1[[#This Row],[Premium]]-Table1[[#This Row],[All Deductions]]),0)</f>
        <v>0</v>
      </c>
      <c r="CD39" s="39">
        <f>IF(B39=0,0,Table1[[#This Row],[Initial Reserve]]+CE38)</f>
        <v>0</v>
      </c>
      <c r="CE39" s="40">
        <f>ROUND(IF(B39=0,0,((CC39)*(1+db!Y41))+((CE38)*(1+db!U41))),0)</f>
        <v>0</v>
      </c>
      <c r="CF39" s="40">
        <f t="shared" ref="CF39:CF70" si="28">ROUND(CE39,-3)</f>
        <v>0</v>
      </c>
      <c r="CG39" s="15">
        <f t="shared" si="15"/>
        <v>38</v>
      </c>
      <c r="CH39" s="39">
        <f>IF(B39=0,0,((CC39)*(1+db!AH41))+((CH38)*(1+db!AD41)))</f>
        <v>0</v>
      </c>
      <c r="CI39" s="39">
        <f>IF(B39=0,0,((CC39)*(1+db!AH41))+((CI38)*(1+db!AD41)))</f>
        <v>0</v>
      </c>
      <c r="CJ39" s="40">
        <f>IF(B39=0,0,((CC39)*(1+db!AO41))+((CJ38)*(1+db!AK41)))</f>
        <v>0</v>
      </c>
      <c r="CK39" s="40">
        <f>CJ39-(SUM(BX$7:$BX40))</f>
        <v>0</v>
      </c>
      <c r="CL39" s="46"/>
    </row>
    <row r="40" spans="1:90">
      <c r="A40" s="24">
        <f t="shared" si="16"/>
        <v>39</v>
      </c>
      <c r="B40" s="16">
        <f>IF(AND(Changes!Change="Yes", Changes!ChangeType="Change Contract Duration"),IF(B39=0,0,IF(Changes!NewChangedValue&lt;B39+1,0,B39+1)),IF(B39=0,0,IF('Application Annually'!$C$5&lt;B39+1,0,B39+1)))</f>
        <v>0</v>
      </c>
      <c r="C40" s="15">
        <f t="shared" si="17"/>
        <v>0</v>
      </c>
      <c r="D40" s="312">
        <f t="shared" si="18"/>
        <v>66</v>
      </c>
      <c r="E40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40" s="29">
        <f t="shared" si="8"/>
        <v>0</v>
      </c>
      <c r="G40" s="29">
        <f t="shared" si="9"/>
        <v>0</v>
      </c>
      <c r="H40" s="29">
        <f t="shared" si="20"/>
        <v>0</v>
      </c>
      <c r="I40" s="29">
        <f>IF(B40&gt;0,IF(AND(Table1[[#This Row],[Year]]&gt;Changes!ValidityYear,Changes!Change="Yes",Changes!ChangeType="Change Value Adjustment"),Changes!$G$22,'Application Annually'!$C$11),0)</f>
        <v>0</v>
      </c>
      <c r="J40" s="29">
        <f>IF(B40&gt;0,IF(AND(Table1[[#This Row],[Year]]&gt;Changes!ValidityYear,Changes!Change="Yes",Changes!ChangeType="Change Value Adjustment"),Changes!$G$24,'Application Annually'!$C$7),0)</f>
        <v>0</v>
      </c>
      <c r="K40" s="29">
        <f>ROUND(IF(B40=0,0,IF(AND(Changes!Change="Yes", Changes!ValidityYear=Table1[[#This Row],[Year]], Changes!ChangeType="Change Premium"), Changes!NewChangedValue, (K39*(1+db!$B$3)))),0)</f>
        <v>0</v>
      </c>
      <c r="L40" s="29">
        <f>ROUND(IF(AND(Changes!Change="Yes",Changes!ValidityYear&lt;=Table1[[#This Row],[Year]],Changes!ChangeType="Paid-Up"),0,IF(B40=0,0,IF(AND(Changes!Change="Yes", Changes!ValidityYear=Table1[[#This Row],[Year]], Changes!ChangeType="Change Premium"), Changes!NewChangedValue, (L39*(1+Table1[[#This Row],[Adjustment Factor of Premium]]/100))))),0)</f>
        <v>0</v>
      </c>
      <c r="M40" s="29">
        <f>IF(Table1[[#This Row],[Year]]=1,ROUND(MIN($L$2 -( Table1[[#This Row],[Riders Risk Premiums]] + Table1[[#This Row],[Acquisition Cost]]) *0.75,Table1[[#This Row],[Death Capital (1)]]* 0.03),0),0)</f>
        <v>0</v>
      </c>
      <c r="N40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40" s="29">
        <f>ROUND(IF(ROW()-1&gt;InsurancePeriod,0,(O39*(1+(Table1[[#This Row],[Adjustment Factor of Premium]]/100)))),0)</f>
        <v>0</v>
      </c>
      <c r="P40" s="29">
        <f>IF(Table1[Year] = 0, 0, SUM(L$2:L40))</f>
        <v>0</v>
      </c>
      <c r="Q40" s="17">
        <f t="shared" si="21"/>
        <v>0</v>
      </c>
      <c r="R40" s="17">
        <f>IF(Table1[[#This Row],[Year]]=0,0,IF($C$2&lt;=50,LOOKUP(Table1[[#This Row],[Age]],db!BG41:BG147,db!BH41:BH147),LOOKUP(Table1[[#This Row],[Age]],db!BJ41:BJ147,db!BK41:BK147)))</f>
        <v>0</v>
      </c>
      <c r="S40" s="17">
        <f>IF(AND(Changes!Change="Yes",Changes!ValidityYear&lt;=Table1[[#This Row],[Year]],Changes!ChangeType="Paid-Up",PaidUpOption="Paid-up with no coverage"),0,IF(B40=0,0, IF(AND(Changes!Change="Yes", Changes!ValidityYear=Table1[[#This Row],[Year]], Changes!ChangeType="Change Death Capital"), Changes!NewChangedValue, S39*(1+(Table1[[#This Row],[Adjustment Factor of Death Capital]]/100)))))</f>
        <v>0</v>
      </c>
      <c r="T40" s="17">
        <f>MIN(IF(B40=0,0,Table1[[#This Row],[Death Capital (1)]]),Table1[[#This Row],[Max Sum Insured For Death]])</f>
        <v>0</v>
      </c>
      <c r="U40" s="29">
        <f t="shared" si="10"/>
        <v>0</v>
      </c>
      <c r="V40" s="29">
        <f>IF(AND(Changes!Change="Yes",Changes!ValidityYear&lt;=Table1[[#This Row],[Year]],Changes!ChangeType="Paid-Up",OR(PaidUpOption="Paid-up with no coverage",PaidUpOption="Paid-up with main coverage")),0,IF(B40=0,0,IF(AND(Changes!Change="Yes", Changes!ValidityYear&lt;=Table1[[#This Row],[Year]], Changes!ChangeType="Rider Inclusion/Exclusion", Changes!RiderType="Accident Death"), T40*Changes!NewChangedValue,IF(db!$D$6="Yes",(db!$B$6)*T40,0))))</f>
        <v>0</v>
      </c>
      <c r="W40" s="29">
        <f>MIN(IF(V40&lt;=db!$L$2,V40,db!$L$2),MAX_ACC_CAPITAL)</f>
        <v>0</v>
      </c>
      <c r="X40" s="17">
        <f>IF(AND(Changes!Change="Yes",Changes!ValidityYear&lt;=Table1[[#This Row],[Year]],Changes!ChangeType="Paid-Up",OR(PaidUpOption="Paid-up with no coverage",PaidUpOption="Paid-up with main coverage")),0,IF(OR(B40=0,Table1[[#This Row],[Accident Capital (2)]]=0),0,IF(AND(Changes!Change="Yes", Changes!ValidityYear&lt;=Table1[[#This Row],[Year]], Changes!ChangeType="Rider Inclusion/Exclusion", Changes!RiderType="Accident Disability"), T40*Changes!NewChangedValue,IF(db!$D$7="Yes",(db!$B$7)*T40,0))))</f>
        <v>0</v>
      </c>
      <c r="Y40" s="42">
        <f>IF(C40&gt;69,0,IF(C40=0,0,IF(X40&lt;=db!$L$3,X40,db!$L$3)))</f>
        <v>0</v>
      </c>
      <c r="Z40" s="29">
        <f>IF(AND(Changes!Change="Yes",Changes!ValidityYear&lt;=Table1[[#This Row],[Year]],Changes!ChangeType="Paid-Up",OR(PaidUpOption="Paid-up with no coverage",PaidUpOption="Paid-up with main coverage")),0,IF(OR(B40=0,Table1[[#This Row],[Accident Capital (2)]]=0),0,IF(AND(Changes!Change="Yes", Changes!ValidityYear&lt;=Table1[[#This Row],[Year]], Changes!ChangeType="Rider Inclusion/Exclusion", Changes!RiderType="Accident Medical Cost"), T40*Changes!NewChangedValue,IF(db!$D$9="Yes",(db!$B$9)*T40,0))))</f>
        <v>0</v>
      </c>
      <c r="AA40" s="29">
        <f>ROUND(IF(C40&gt;69,0,IF(C40=0,0,IF(Z40&lt;=db!$L$4,Z40,db!$L$4))),0)</f>
        <v>0</v>
      </c>
      <c r="AB40" s="38">
        <f>IF(AND(Changes!Change = "Yes", Changes!ChangeType = "Rider Inclusion/Exclusion", Changes!RiderType = "WOP"), IF( Changes!ValidityYear &lt;= Table1[[#This Row],[Year]], IF(WOP = "Yes", 0, 1),  IF(WOP = "Yes", 1, 0)), IF(AND(db!$D$8="Yes",C40&lt;=69,ROW()-1&lt;=InsurancePeriod), 1, 0))</f>
        <v>0</v>
      </c>
      <c r="AC40" s="17">
        <f>(AC41+K41)*AB40*((1)/(1+db!AA42))*(LOOKUP(C40,'Mortality Table'!$A$2:$A$108,'Mortality Table'!$E$2:$E$108))</f>
        <v>0</v>
      </c>
      <c r="AD40" s="340">
        <f>IF(AND(Changes!ValidityYear&lt;= Table1[[#This Row],[Year]],Changes!ChangeType="Change Value Adjustment",Changes!Change="Yes"), (AD41+L41)*AB40*((1)/(1+db!AA42))*(LOOKUP(C40,'Mortality Table'!$A$2:$A$108,'Mortality Table'!$E$2:$E$108)),Table1[[#This Row],[WOP Before Adj. BT]])</f>
        <v>0</v>
      </c>
      <c r="AE40" s="341">
        <f>IF(AND(Changes!Change="Yes", Changes!ChangeType="Change Value Adjustment"),Table1[[#This Row],[WOP Capital]],(AE41+O41)*AB40*((1)/(1+db!AA42))*(LOOKUP(D40,'Mortality Table'!$A$2:$A$108,'Mortality Table'!$E$2:$E$108)))</f>
        <v>0</v>
      </c>
      <c r="AF40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40" s="42">
        <f>IF(AND(Changes!Change="Yes", Changes!ValidityYear&lt;=Table1[[#This Row],[Year]], Changes!ChangeType="Rider Inclusion/Exclusion", Changes!RiderType="Disability Annuity"), L40*Changes!NewChangedValue,L40*db!B$10*IF(db!$D$10="Yes",1,0))</f>
        <v>0</v>
      </c>
      <c r="AH40" s="29">
        <f>IF(AND(Changes!Change="Yes",Changes!ValidityYear&lt;=Table1[[#This Row],[Year]],Changes!ChangeType="Paid-Up"),0,Table1[[#This Row],[Code Annuity Capital]]*IF('Annual Calculation'!C40&gt;69,0,(LOOKUP('Annual Calculation'!C40+1,'Mortality Table'!$A$2:$A$108,'Mortality Table'!$O$2:$O$108)-LOOKUP('Annual Calculation'!C40+11,'Mortality Table'!$A$2:$A$108,'Mortality Table'!$O$2:$O$108))/LOOKUP('Annual Calculation'!C40,'Mortality Table'!$A$2:$A$108,'Mortality Table'!$M$2:$M$108)))</f>
        <v>0</v>
      </c>
      <c r="AI40" s="17">
        <f>IF(AND(Changes!Change="Yes",Changes!ValidityYear&lt;=Table1[[#This Row],[Year]],Changes!ChangeType="Paid-Up",OR(PaidUpOption="Paid-up with no coverage",PaidUpOption="Paid-up with main coverage")),0,IF(B40=0,0,IF(AND(Changes!Change="Yes", Changes!ValidityYear&lt;=Table1[[#This Row],[Year]], Changes!ChangeType="Rider Inclusion/Exclusion", Changes!RiderType="Dread Disease"), T40*Changes!NewChangedValue,IF(db!$D$11="Yes",(db!$B$11)*T40,0))))</f>
        <v>0</v>
      </c>
      <c r="AJ40" s="42">
        <f>ROUND(IF(C40&gt;59,0,IF(C40=0,0,IF(AI40&lt;=db!$L$5,AI40,db!$L$5))),0)</f>
        <v>0</v>
      </c>
      <c r="AK40" s="29">
        <f>IF(AND(Changes!Change="Yes",Changes!ValidityYear&lt;=Table1[[#This Row],[Year]],Changes!ChangeType="Paid-Up",OR(PaidUpOption="Paid-up with no coverage",PaidUpOption="Paid-up with main coverage")),0,IF(B40=0,0,IF(AND(Changes!Change="Yes", Changes!ValidityYear&lt;=Table1[[#This Row],[Year]], Changes!ChangeType="Rider Inclusion/Exclusion", Changes!RiderType="Cancer"), T40*Changes!NewChangedValue,IF(db!$D$12="Yes",(db!$B$12)*T40,0))))</f>
        <v>0</v>
      </c>
      <c r="AL40" s="29">
        <f>ROUND(IF(C40&gt;59,0,IF(C40=0,0,IF(AK40&lt;=db!$L$6,AK40,db!$L$6))),0)</f>
        <v>0</v>
      </c>
      <c r="AM40" s="32"/>
      <c r="AN40" s="18">
        <f>IF(B40=0,0,IF(C40&lt;(db!$E$2+5),LOOKUP(C40,'Mortality Table'!$A$2:$A$108,'Mortality Table'!$P$2:$P$108),IF((C40&gt;=db!$E$2+10),LOOKUP(C40,'Mortality Table'!$A$2:$A$108,'Mortality Table'!$R$2:$R$108),LOOKUP(C40,'Mortality Table'!$A$2:$A$108,'Mortality Table'!$Q$2:$Q$108))))</f>
        <v>0</v>
      </c>
      <c r="AO40" s="22">
        <f t="shared" si="22"/>
        <v>0</v>
      </c>
      <c r="AP40" s="19">
        <f>IF(B40=0,0, LOOKUP(IF(AND(Changes!Change="Yes", Changes!ValidityYear&lt;=Table1[[#This Row],[Year]], Changes!ChangeType="Change Job Class"),Changes!NewChangedValue, db!$A$8),db!$AX$4:$AX$8,db!$AY$4:$AY$8))</f>
        <v>0</v>
      </c>
      <c r="AQ40" s="20">
        <f>ROUND((AP40/1000)*W40 * (1-db!$AS$9),0)</f>
        <v>0</v>
      </c>
      <c r="AR40" s="20">
        <f>(AP40/1000)*W40 * db!$AS$9</f>
        <v>0</v>
      </c>
      <c r="AS40" s="21">
        <f>IF(B40=0,0, LOOKUP(IF(AND(Changes!Change="Yes", Changes!ValidityYear&lt;=Table1[[#This Row],[Year]], Changes!ChangeType="Change Job Class"),Changes!NewChangedValue, db!$A$8),db!$AX$4:$AX$8,db!$AZ$4:$AZ$8))</f>
        <v>0</v>
      </c>
      <c r="AT40" s="22">
        <f>(AS40/1000)*Y40*(1-db!$AS$9)</f>
        <v>0</v>
      </c>
      <c r="AU40" s="22">
        <f>(AS40/1000)*Y40*(db!$AS$9)</f>
        <v>0</v>
      </c>
      <c r="AV40" s="23">
        <f>IF(B40=0,0, LOOKUP(IF(AND(Changes!Change="Yes", Changes!ValidityYear&lt;=Table1[[#This Row],[Year]], Changes!ChangeType="Change Job Class"),Changes!NewChangedValue, db!$A$8),db!$AX$4:$AX$8,db!$BA$4:$BA$8))</f>
        <v>0</v>
      </c>
      <c r="AW40" s="20">
        <f>ROUND((AV40/(100))*AA40*(1-db!$AS$9),0)</f>
        <v>0</v>
      </c>
      <c r="AX40" s="20">
        <f>ROUND((AV40/(100))*AA40*(db!$AS$9),0)</f>
        <v>0</v>
      </c>
      <c r="AY40" s="21">
        <f>IF(db!$D$8="Yes",AS40,0)</f>
        <v>0</v>
      </c>
      <c r="AZ40" s="22">
        <f>(AY40*AF40)/1000*(1-db!$AS$9)</f>
        <v>0</v>
      </c>
      <c r="BA40" s="22">
        <f>(AY40*AF40)/1000*(db!$AS$9)</f>
        <v>0</v>
      </c>
      <c r="BB40" s="23">
        <f t="shared" si="23"/>
        <v>0</v>
      </c>
      <c r="BC40" s="20">
        <f>(BB40*AH40/1000)*(1-db!$AS$9)</f>
        <v>0</v>
      </c>
      <c r="BD40" s="20">
        <f>(BB40*AH40/1000)*(db!$AS$9)</f>
        <v>0</v>
      </c>
      <c r="BE40" s="22">
        <f>IF(B40=0,0,IF(C40&gt;60,0,LOOKUP(Table1[[#This Row],[Medical
Age]],db!$BC$3:$BC$63,db!$BD$3:$BD$63)))</f>
        <v>0</v>
      </c>
      <c r="BF40" s="22">
        <f>BG40*db!$AS$10</f>
        <v>0</v>
      </c>
      <c r="BG40" s="22">
        <f t="shared" si="24"/>
        <v>0</v>
      </c>
      <c r="BH40" s="22">
        <f>(BE40/1000000)*AJ40*(1-db!$AS$10)</f>
        <v>0</v>
      </c>
      <c r="BI40" s="20">
        <f>IF(B40=0,0,IF(C40&gt;59,0,LOOKUP(Table1[[#This Row],[Medical
Age]],db!$BC$3:$BC$63,db!$BE$3:$BE$63)))</f>
        <v>0</v>
      </c>
      <c r="BJ40" s="20">
        <f>(BI40/1000000)*AL40*(1-db!$AS$11)</f>
        <v>0</v>
      </c>
      <c r="BK40" s="20">
        <f>(BI40/1000000)*AL40*(db!$AS$11)</f>
        <v>0</v>
      </c>
      <c r="BL40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40" s="20">
        <f>Table1[[#This Row],[RiskLoading
Rate]]*Table1[[#This Row],[Death Capital (2)]]</f>
        <v>0</v>
      </c>
      <c r="BN40" s="36"/>
      <c r="BO40" s="37">
        <f t="shared" si="25"/>
        <v>0</v>
      </c>
      <c r="BP40" s="35">
        <f t="shared" si="26"/>
        <v>0</v>
      </c>
      <c r="BQ40" s="35">
        <f t="shared" si="27"/>
        <v>0</v>
      </c>
      <c r="BR40" s="37">
        <f t="shared" si="11"/>
        <v>0</v>
      </c>
      <c r="BS40" s="37">
        <f t="shared" si="12"/>
        <v>0</v>
      </c>
      <c r="BT40" s="35">
        <f t="shared" si="13"/>
        <v>0</v>
      </c>
      <c r="BU40" s="35">
        <f t="shared" si="14"/>
        <v>0</v>
      </c>
      <c r="BV40" s="37">
        <f>(db!$AS$4/100)*(L40-BT40-BU40)</f>
        <v>0</v>
      </c>
      <c r="BW40" s="37">
        <f>(db!$AS$8/100)*(L40-BT40-BU40)</f>
        <v>0</v>
      </c>
      <c r="BX40" s="35"/>
      <c r="BY40" s="37"/>
      <c r="BZ40" s="37"/>
      <c r="CA40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40" s="33"/>
      <c r="CC40" s="39">
        <f>ROUND((Table1[[#This Row],[Premium]]-Table1[[#This Row],[All Deductions]]),0)</f>
        <v>0</v>
      </c>
      <c r="CD40" s="39">
        <f>IF(B40=0,0,Table1[[#This Row],[Initial Reserve]]+CE39)</f>
        <v>0</v>
      </c>
      <c r="CE40" s="40">
        <f>ROUND(IF(B40=0,0,((CC40)*(1+db!Y42))+((CE39)*(1+db!U42))),0)</f>
        <v>0</v>
      </c>
      <c r="CF40" s="40">
        <f t="shared" si="28"/>
        <v>0</v>
      </c>
      <c r="CG40" s="15">
        <f t="shared" si="15"/>
        <v>39</v>
      </c>
      <c r="CH40" s="39">
        <f>IF(B40=0,0,((CC40)*(1+db!AH42))+((CH39)*(1+db!AD42)))</f>
        <v>0</v>
      </c>
      <c r="CI40" s="39">
        <f>IF(B40=0,0,((CC40)*(1+db!AH42))+((CI39)*(1+db!AD42)))</f>
        <v>0</v>
      </c>
      <c r="CJ40" s="40">
        <f>IF(B40=0,0,((CC40)*(1+db!AO42))+((CJ39)*(1+db!AK42)))</f>
        <v>0</v>
      </c>
      <c r="CK40" s="40">
        <f>CJ40-(SUM(BX$7:$BX41))</f>
        <v>0</v>
      </c>
      <c r="CL40" s="46"/>
    </row>
    <row r="41" spans="1:90">
      <c r="A41" s="24">
        <f t="shared" si="16"/>
        <v>40</v>
      </c>
      <c r="B41" s="16">
        <f>IF(AND(Changes!Change="Yes", Changes!ChangeType="Change Contract Duration"),IF(B40=0,0,IF(Changes!NewChangedValue&lt;B40+1,0,B40+1)),IF(B40=0,0,IF('Application Annually'!$C$5&lt;B40+1,0,B40+1)))</f>
        <v>0</v>
      </c>
      <c r="C41" s="15">
        <f t="shared" si="17"/>
        <v>0</v>
      </c>
      <c r="D41" s="312">
        <f t="shared" si="18"/>
        <v>67</v>
      </c>
      <c r="E41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41" s="29">
        <f t="shared" si="8"/>
        <v>0</v>
      </c>
      <c r="G41" s="29">
        <f t="shared" si="9"/>
        <v>0</v>
      </c>
      <c r="H41" s="29">
        <f t="shared" si="20"/>
        <v>0</v>
      </c>
      <c r="I41" s="29">
        <f>IF(B41&gt;0,IF(AND(Table1[[#This Row],[Year]]&gt;Changes!ValidityYear,Changes!Change="Yes",Changes!ChangeType="Change Value Adjustment"),Changes!$G$22,'Application Annually'!$C$11),0)</f>
        <v>0</v>
      </c>
      <c r="J41" s="29">
        <f>IF(B41&gt;0,IF(AND(Table1[[#This Row],[Year]]&gt;Changes!ValidityYear,Changes!Change="Yes",Changes!ChangeType="Change Value Adjustment"),Changes!$G$24,'Application Annually'!$C$7),0)</f>
        <v>0</v>
      </c>
      <c r="K41" s="29">
        <f>ROUND(IF(B41=0,0,IF(AND(Changes!Change="Yes", Changes!ValidityYear=Table1[[#This Row],[Year]], Changes!ChangeType="Change Premium"), Changes!NewChangedValue, (K40*(1+db!$B$3)))),0)</f>
        <v>0</v>
      </c>
      <c r="L41" s="29">
        <f>ROUND(IF(AND(Changes!Change="Yes",Changes!ValidityYear&lt;=Table1[[#This Row],[Year]],Changes!ChangeType="Paid-Up"),0,IF(B41=0,0,IF(AND(Changes!Change="Yes", Changes!ValidityYear=Table1[[#This Row],[Year]], Changes!ChangeType="Change Premium"), Changes!NewChangedValue, (L40*(1+Table1[[#This Row],[Adjustment Factor of Premium]]/100))))),0)</f>
        <v>0</v>
      </c>
      <c r="M41" s="29">
        <f>IF(Table1[[#This Row],[Year]]=1,ROUND(MIN($L$2 -( Table1[[#This Row],[Riders Risk Premiums]] + Table1[[#This Row],[Acquisition Cost]]) *0.75,Table1[[#This Row],[Death Capital (1)]]* 0.03),0),0)</f>
        <v>0</v>
      </c>
      <c r="N41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41" s="29">
        <f>ROUND(IF(ROW()-1&gt;InsurancePeriod,0,(O40*(1+(Table1[[#This Row],[Adjustment Factor of Premium]]/100)))),0)</f>
        <v>0</v>
      </c>
      <c r="P41" s="29">
        <f>IF(Table1[Year] = 0, 0, SUM(L$2:L41))</f>
        <v>0</v>
      </c>
      <c r="Q41" s="17">
        <f t="shared" si="21"/>
        <v>0</v>
      </c>
      <c r="R41" s="17">
        <f>IF(Table1[[#This Row],[Year]]=0,0,IF($C$2&lt;=50,LOOKUP(Table1[[#This Row],[Age]],db!BG42:BG148,db!BH42:BH148),LOOKUP(Table1[[#This Row],[Age]],db!BJ42:BJ148,db!BK42:BK148)))</f>
        <v>0</v>
      </c>
      <c r="S41" s="17">
        <f>IF(AND(Changes!Change="Yes",Changes!ValidityYear&lt;=Table1[[#This Row],[Year]],Changes!ChangeType="Paid-Up",PaidUpOption="Paid-up with no coverage"),0,IF(B41=0,0, IF(AND(Changes!Change="Yes", Changes!ValidityYear=Table1[[#This Row],[Year]], Changes!ChangeType="Change Death Capital"), Changes!NewChangedValue, S40*(1+(Table1[[#This Row],[Adjustment Factor of Death Capital]]/100)))))</f>
        <v>0</v>
      </c>
      <c r="T41" s="17">
        <f>MIN(IF(B41=0,0,Table1[[#This Row],[Death Capital (1)]]),Table1[[#This Row],[Max Sum Insured For Death]])</f>
        <v>0</v>
      </c>
      <c r="U41" s="29">
        <f t="shared" si="10"/>
        <v>0</v>
      </c>
      <c r="V41" s="29">
        <f>IF(AND(Changes!Change="Yes",Changes!ValidityYear&lt;=Table1[[#This Row],[Year]],Changes!ChangeType="Paid-Up",OR(PaidUpOption="Paid-up with no coverage",PaidUpOption="Paid-up with main coverage")),0,IF(B41=0,0,IF(AND(Changes!Change="Yes", Changes!ValidityYear&lt;=Table1[[#This Row],[Year]], Changes!ChangeType="Rider Inclusion/Exclusion", Changes!RiderType="Accident Death"), T41*Changes!NewChangedValue,IF(db!$D$6="Yes",(db!$B$6)*T41,0))))</f>
        <v>0</v>
      </c>
      <c r="W41" s="29">
        <f>MIN(IF(V41&lt;=db!$L$2,V41,db!$L$2),MAX_ACC_CAPITAL)</f>
        <v>0</v>
      </c>
      <c r="X41" s="17">
        <f>IF(AND(Changes!Change="Yes",Changes!ValidityYear&lt;=Table1[[#This Row],[Year]],Changes!ChangeType="Paid-Up",OR(PaidUpOption="Paid-up with no coverage",PaidUpOption="Paid-up with main coverage")),0,IF(OR(B41=0,Table1[[#This Row],[Accident Capital (2)]]=0),0,IF(AND(Changes!Change="Yes", Changes!ValidityYear&lt;=Table1[[#This Row],[Year]], Changes!ChangeType="Rider Inclusion/Exclusion", Changes!RiderType="Accident Disability"), T41*Changes!NewChangedValue,IF(db!$D$7="Yes",(db!$B$7)*T41,0))))</f>
        <v>0</v>
      </c>
      <c r="Y41" s="42">
        <f>IF(C41&gt;69,0,IF(C41=0,0,IF(X41&lt;=db!$L$3,X41,db!$L$3)))</f>
        <v>0</v>
      </c>
      <c r="Z41" s="29">
        <f>IF(AND(Changes!Change="Yes",Changes!ValidityYear&lt;=Table1[[#This Row],[Year]],Changes!ChangeType="Paid-Up",OR(PaidUpOption="Paid-up with no coverage",PaidUpOption="Paid-up with main coverage")),0,IF(OR(B41=0,Table1[[#This Row],[Accident Capital (2)]]=0),0,IF(AND(Changes!Change="Yes", Changes!ValidityYear&lt;=Table1[[#This Row],[Year]], Changes!ChangeType="Rider Inclusion/Exclusion", Changes!RiderType="Accident Medical Cost"), T41*Changes!NewChangedValue,IF(db!$D$9="Yes",(db!$B$9)*T41,0))))</f>
        <v>0</v>
      </c>
      <c r="AA41" s="29">
        <f>ROUND(IF(C41&gt;69,0,IF(C41=0,0,IF(Z41&lt;=db!$L$4,Z41,db!$L$4))),0)</f>
        <v>0</v>
      </c>
      <c r="AB41" s="38">
        <f>IF(AND(Changes!Change = "Yes", Changes!ChangeType = "Rider Inclusion/Exclusion", Changes!RiderType = "WOP"), IF( Changes!ValidityYear &lt;= Table1[[#This Row],[Year]], IF(WOP = "Yes", 0, 1),  IF(WOP = "Yes", 1, 0)), IF(AND(db!$D$8="Yes",C41&lt;=69,ROW()-1&lt;=InsurancePeriod), 1, 0))</f>
        <v>0</v>
      </c>
      <c r="AC41" s="17">
        <f>(AC42+K42)*AB41*((1)/(1+db!AA43))*(LOOKUP(C41,'Mortality Table'!$A$2:$A$108,'Mortality Table'!$E$2:$E$108))</f>
        <v>0</v>
      </c>
      <c r="AD41" s="340">
        <f>IF(AND(Changes!ValidityYear&lt;= Table1[[#This Row],[Year]],Changes!ChangeType="Change Value Adjustment",Changes!Change="Yes"), (AD42+L42)*AB41*((1)/(1+db!AA43))*(LOOKUP(C41,'Mortality Table'!$A$2:$A$108,'Mortality Table'!$E$2:$E$108)),Table1[[#This Row],[WOP Before Adj. BT]])</f>
        <v>0</v>
      </c>
      <c r="AE41" s="341">
        <f>IF(AND(Changes!Change="Yes", Changes!ChangeType="Change Value Adjustment"),Table1[[#This Row],[WOP Capital]],(AE42+O42)*AB41*((1)/(1+db!AA43))*(LOOKUP(D41,'Mortality Table'!$A$2:$A$108,'Mortality Table'!$E$2:$E$108)))</f>
        <v>0</v>
      </c>
      <c r="AF41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41" s="42">
        <f>IF(AND(Changes!Change="Yes", Changes!ValidityYear&lt;=Table1[[#This Row],[Year]], Changes!ChangeType="Rider Inclusion/Exclusion", Changes!RiderType="Disability Annuity"), L41*Changes!NewChangedValue,L41*db!B$10*IF(db!$D$10="Yes",1,0))</f>
        <v>0</v>
      </c>
      <c r="AH41" s="29">
        <f>IF(AND(Changes!Change="Yes",Changes!ValidityYear&lt;=Table1[[#This Row],[Year]],Changes!ChangeType="Paid-Up"),0,Table1[[#This Row],[Code Annuity Capital]]*IF('Annual Calculation'!C41&gt;69,0,(LOOKUP('Annual Calculation'!C41+1,'Mortality Table'!$A$2:$A$108,'Mortality Table'!$O$2:$O$108)-LOOKUP('Annual Calculation'!C41+11,'Mortality Table'!$A$2:$A$108,'Mortality Table'!$O$2:$O$108))/LOOKUP('Annual Calculation'!C41,'Mortality Table'!$A$2:$A$108,'Mortality Table'!$M$2:$M$108)))</f>
        <v>0</v>
      </c>
      <c r="AI41" s="17">
        <f>IF(AND(Changes!Change="Yes",Changes!ValidityYear&lt;=Table1[[#This Row],[Year]],Changes!ChangeType="Paid-Up",OR(PaidUpOption="Paid-up with no coverage",PaidUpOption="Paid-up with main coverage")),0,IF(B41=0,0,IF(AND(Changes!Change="Yes", Changes!ValidityYear&lt;=Table1[[#This Row],[Year]], Changes!ChangeType="Rider Inclusion/Exclusion", Changes!RiderType="Dread Disease"), T41*Changes!NewChangedValue,IF(db!$D$11="Yes",(db!$B$11)*T41,0))))</f>
        <v>0</v>
      </c>
      <c r="AJ41" s="42">
        <f>ROUND(IF(C41&gt;59,0,IF(C41=0,0,IF(AI41&lt;=db!$L$5,AI41,db!$L$5))),0)</f>
        <v>0</v>
      </c>
      <c r="AK41" s="29">
        <f>IF(AND(Changes!Change="Yes",Changes!ValidityYear&lt;=Table1[[#This Row],[Year]],Changes!ChangeType="Paid-Up",OR(PaidUpOption="Paid-up with no coverage",PaidUpOption="Paid-up with main coverage")),0,IF(B41=0,0,IF(AND(Changes!Change="Yes", Changes!ValidityYear&lt;=Table1[[#This Row],[Year]], Changes!ChangeType="Rider Inclusion/Exclusion", Changes!RiderType="Cancer"), T41*Changes!NewChangedValue,IF(db!$D$12="Yes",(db!$B$12)*T41,0))))</f>
        <v>0</v>
      </c>
      <c r="AL41" s="29">
        <f>ROUND(IF(C41&gt;59,0,IF(C41=0,0,IF(AK41&lt;=db!$L$6,AK41,db!$L$6))),0)</f>
        <v>0</v>
      </c>
      <c r="AM41" s="32"/>
      <c r="AN41" s="18">
        <f>IF(B41=0,0,IF(C41&lt;(db!$E$2+5),LOOKUP(C41,'Mortality Table'!$A$2:$A$108,'Mortality Table'!$P$2:$P$108),IF((C41&gt;=db!$E$2+10),LOOKUP(C41,'Mortality Table'!$A$2:$A$108,'Mortality Table'!$R$2:$R$108),LOOKUP(C41,'Mortality Table'!$A$2:$A$108,'Mortality Table'!$Q$2:$Q$108))))</f>
        <v>0</v>
      </c>
      <c r="AO41" s="22">
        <f t="shared" si="22"/>
        <v>0</v>
      </c>
      <c r="AP41" s="19">
        <f>IF(B41=0,0, LOOKUP(IF(AND(Changes!Change="Yes", Changes!ValidityYear&lt;=Table1[[#This Row],[Year]], Changes!ChangeType="Change Job Class"),Changes!NewChangedValue, db!$A$8),db!$AX$4:$AX$8,db!$AY$4:$AY$8))</f>
        <v>0</v>
      </c>
      <c r="AQ41" s="20">
        <f>ROUND((AP41/1000)*W41 * (1-db!$AS$9),0)</f>
        <v>0</v>
      </c>
      <c r="AR41" s="20">
        <f>(AP41/1000)*W41 * db!$AS$9</f>
        <v>0</v>
      </c>
      <c r="AS41" s="21">
        <f>IF(B41=0,0, LOOKUP(IF(AND(Changes!Change="Yes", Changes!ValidityYear&lt;=Table1[[#This Row],[Year]], Changes!ChangeType="Change Job Class"),Changes!NewChangedValue, db!$A$8),db!$AX$4:$AX$8,db!$AZ$4:$AZ$8))</f>
        <v>0</v>
      </c>
      <c r="AT41" s="22">
        <f>(AS41/1000)*Y41*(1-db!$AS$9)</f>
        <v>0</v>
      </c>
      <c r="AU41" s="22">
        <f>(AS41/1000)*Y41*(db!$AS$9)</f>
        <v>0</v>
      </c>
      <c r="AV41" s="23">
        <f>IF(B41=0,0, LOOKUP(IF(AND(Changes!Change="Yes", Changes!ValidityYear&lt;=Table1[[#This Row],[Year]], Changes!ChangeType="Change Job Class"),Changes!NewChangedValue, db!$A$8),db!$AX$4:$AX$8,db!$BA$4:$BA$8))</f>
        <v>0</v>
      </c>
      <c r="AW41" s="20">
        <f>ROUND((AV41/(100))*AA41*(1-db!$AS$9),0)</f>
        <v>0</v>
      </c>
      <c r="AX41" s="20">
        <f>ROUND((AV41/(100))*AA41*(db!$AS$9),0)</f>
        <v>0</v>
      </c>
      <c r="AY41" s="21">
        <f>IF(db!$D$8="Yes",AS41,0)</f>
        <v>0</v>
      </c>
      <c r="AZ41" s="22">
        <f>(AY41*AF41)/1000*(1-db!$AS$9)</f>
        <v>0</v>
      </c>
      <c r="BA41" s="22">
        <f>(AY41*AF41)/1000*(db!$AS$9)</f>
        <v>0</v>
      </c>
      <c r="BB41" s="23">
        <f t="shared" si="23"/>
        <v>0</v>
      </c>
      <c r="BC41" s="20">
        <f>(BB41*AH41/1000)*(1-db!$AS$9)</f>
        <v>0</v>
      </c>
      <c r="BD41" s="20">
        <f>(BB41*AH41/1000)*(db!$AS$9)</f>
        <v>0</v>
      </c>
      <c r="BE41" s="22">
        <f>IF(B41=0,0,IF(C41&gt;60,0,LOOKUP(Table1[[#This Row],[Medical
Age]],db!$BC$3:$BC$63,db!$BD$3:$BD$63)))</f>
        <v>0</v>
      </c>
      <c r="BF41" s="22">
        <f>BG41*db!$AS$10</f>
        <v>0</v>
      </c>
      <c r="BG41" s="22">
        <f t="shared" si="24"/>
        <v>0</v>
      </c>
      <c r="BH41" s="22">
        <f>(BE41/1000000)*AJ41*(1-db!$AS$10)</f>
        <v>0</v>
      </c>
      <c r="BI41" s="20">
        <f>IF(B41=0,0,IF(C41&gt;59,0,LOOKUP(Table1[[#This Row],[Medical
Age]],db!$BC$3:$BC$63,db!$BE$3:$BE$63)))</f>
        <v>0</v>
      </c>
      <c r="BJ41" s="20">
        <f>(BI41/1000000)*AL41*(1-db!$AS$11)</f>
        <v>0</v>
      </c>
      <c r="BK41" s="20">
        <f>(BI41/1000000)*AL41*(db!$AS$11)</f>
        <v>0</v>
      </c>
      <c r="BL41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41" s="20">
        <f>Table1[[#This Row],[RiskLoading
Rate]]*Table1[[#This Row],[Death Capital (2)]]</f>
        <v>0</v>
      </c>
      <c r="BN41" s="36"/>
      <c r="BO41" s="37">
        <f t="shared" si="25"/>
        <v>0</v>
      </c>
      <c r="BP41" s="35">
        <f t="shared" si="26"/>
        <v>0</v>
      </c>
      <c r="BQ41" s="35">
        <f t="shared" si="27"/>
        <v>0</v>
      </c>
      <c r="BR41" s="37">
        <f t="shared" si="11"/>
        <v>0</v>
      </c>
      <c r="BS41" s="37">
        <f t="shared" si="12"/>
        <v>0</v>
      </c>
      <c r="BT41" s="35">
        <f t="shared" si="13"/>
        <v>0</v>
      </c>
      <c r="BU41" s="35">
        <f t="shared" si="14"/>
        <v>0</v>
      </c>
      <c r="BV41" s="37">
        <f>(db!$AS$4/100)*(L41-BT41-BU41)</f>
        <v>0</v>
      </c>
      <c r="BW41" s="37">
        <f>(db!$AS$8/100)*(L41-BT41-BU41)</f>
        <v>0</v>
      </c>
      <c r="BX41" s="35"/>
      <c r="BY41" s="37"/>
      <c r="BZ41" s="37"/>
      <c r="CA41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41" s="33"/>
      <c r="CC41" s="39">
        <f>ROUND((Table1[[#This Row],[Premium]]-Table1[[#This Row],[All Deductions]]),0)</f>
        <v>0</v>
      </c>
      <c r="CD41" s="39">
        <f>IF(B41=0,0,Table1[[#This Row],[Initial Reserve]]+CE40)</f>
        <v>0</v>
      </c>
      <c r="CE41" s="40">
        <f>ROUND(IF(B41=0,0,((CC41)*(1+db!Y43))+((CE40)*(1+db!U43))),0)</f>
        <v>0</v>
      </c>
      <c r="CF41" s="40">
        <f t="shared" si="28"/>
        <v>0</v>
      </c>
      <c r="CG41" s="15">
        <f t="shared" si="15"/>
        <v>40</v>
      </c>
      <c r="CH41" s="39">
        <f>IF(B41=0,0,((CC41)*(1+db!AH43))+((CH40)*(1+db!AD43)))</f>
        <v>0</v>
      </c>
      <c r="CI41" s="39">
        <f>IF(B41=0,0,((CC41)*(1+db!AH43))+((CI40)*(1+db!AD43)))</f>
        <v>0</v>
      </c>
      <c r="CJ41" s="40">
        <f>IF(B41=0,0,((CC41)*(1+db!AO43))+((CJ40)*(1+db!AK43)))</f>
        <v>0</v>
      </c>
      <c r="CK41" s="40">
        <f>CJ41-(SUM(BX$7:$BX42))</f>
        <v>0</v>
      </c>
      <c r="CL41" s="46"/>
    </row>
    <row r="42" spans="1:90">
      <c r="A42" s="24">
        <f t="shared" si="16"/>
        <v>41</v>
      </c>
      <c r="B42" s="16">
        <f>IF(AND(Changes!Change="Yes", Changes!ChangeType="Change Contract Duration"),IF(B41=0,0,IF(Changes!NewChangedValue&lt;B41+1,0,B41+1)),IF(B41=0,0,IF('Application Annually'!$C$5&lt;B41+1,0,B41+1)))</f>
        <v>0</v>
      </c>
      <c r="C42" s="15">
        <f t="shared" si="17"/>
        <v>0</v>
      </c>
      <c r="D42" s="312">
        <f t="shared" si="18"/>
        <v>68</v>
      </c>
      <c r="E42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42" s="29">
        <f t="shared" si="8"/>
        <v>0</v>
      </c>
      <c r="G42" s="29">
        <f t="shared" si="9"/>
        <v>0</v>
      </c>
      <c r="H42" s="29">
        <f t="shared" si="20"/>
        <v>0</v>
      </c>
      <c r="I42" s="29">
        <f>IF(B42&gt;0,IF(AND(Table1[[#This Row],[Year]]&gt;Changes!ValidityYear,Changes!Change="Yes",Changes!ChangeType="Change Value Adjustment"),Changes!$G$22,'Application Annually'!$C$11),0)</f>
        <v>0</v>
      </c>
      <c r="J42" s="29">
        <f>IF(B42&gt;0,IF(AND(Table1[[#This Row],[Year]]&gt;Changes!ValidityYear,Changes!Change="Yes",Changes!ChangeType="Change Value Adjustment"),Changes!$G$24,'Application Annually'!$C$7),0)</f>
        <v>0</v>
      </c>
      <c r="K42" s="29">
        <f>ROUND(IF(B42=0,0,IF(AND(Changes!Change="Yes", Changes!ValidityYear=Table1[[#This Row],[Year]], Changes!ChangeType="Change Premium"), Changes!NewChangedValue, (K41*(1+db!$B$3)))),0)</f>
        <v>0</v>
      </c>
      <c r="L42" s="29">
        <f>ROUND(IF(AND(Changes!Change="Yes",Changes!ValidityYear&lt;=Table1[[#This Row],[Year]],Changes!ChangeType="Paid-Up"),0,IF(B42=0,0,IF(AND(Changes!Change="Yes", Changes!ValidityYear=Table1[[#This Row],[Year]], Changes!ChangeType="Change Premium"), Changes!NewChangedValue, (L41*(1+Table1[[#This Row],[Adjustment Factor of Premium]]/100))))),0)</f>
        <v>0</v>
      </c>
      <c r="M42" s="29">
        <f>IF(Table1[[#This Row],[Year]]=1,ROUND(MIN($L$2 -( Table1[[#This Row],[Riders Risk Premiums]] + Table1[[#This Row],[Acquisition Cost]]) *0.75,Table1[[#This Row],[Death Capital (1)]]* 0.03),0),0)</f>
        <v>0</v>
      </c>
      <c r="N42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42" s="29">
        <f>ROUND(IF(ROW()-1&gt;InsurancePeriod,0,(O41*(1+(Table1[[#This Row],[Adjustment Factor of Premium]]/100)))),0)</f>
        <v>0</v>
      </c>
      <c r="P42" s="29">
        <f>IF(Table1[Year] = 0, 0, SUM(L$2:L42))</f>
        <v>0</v>
      </c>
      <c r="Q42" s="17">
        <f t="shared" si="21"/>
        <v>0</v>
      </c>
      <c r="R42" s="17">
        <f>IF(Table1[[#This Row],[Year]]=0,0,IF($C$2&lt;=50,LOOKUP(Table1[[#This Row],[Age]],db!BG43:BG149,db!BH43:BH149),LOOKUP(Table1[[#This Row],[Age]],db!BJ43:BJ149,db!BK43:BK149)))</f>
        <v>0</v>
      </c>
      <c r="S42" s="17">
        <f>IF(AND(Changes!Change="Yes",Changes!ValidityYear&lt;=Table1[[#This Row],[Year]],Changes!ChangeType="Paid-Up",PaidUpOption="Paid-up with no coverage"),0,IF(B42=0,0, IF(AND(Changes!Change="Yes", Changes!ValidityYear=Table1[[#This Row],[Year]], Changes!ChangeType="Change Death Capital"), Changes!NewChangedValue, S41*(1+(Table1[[#This Row],[Adjustment Factor of Death Capital]]/100)))))</f>
        <v>0</v>
      </c>
      <c r="T42" s="17">
        <f>MIN(IF(B42=0,0,Table1[[#This Row],[Death Capital (1)]]),Table1[[#This Row],[Max Sum Insured For Death]])</f>
        <v>0</v>
      </c>
      <c r="U42" s="29">
        <f t="shared" si="10"/>
        <v>0</v>
      </c>
      <c r="V42" s="29">
        <f>IF(AND(Changes!Change="Yes",Changes!ValidityYear&lt;=Table1[[#This Row],[Year]],Changes!ChangeType="Paid-Up",OR(PaidUpOption="Paid-up with no coverage",PaidUpOption="Paid-up with main coverage")),0,IF(B42=0,0,IF(AND(Changes!Change="Yes", Changes!ValidityYear&lt;=Table1[[#This Row],[Year]], Changes!ChangeType="Rider Inclusion/Exclusion", Changes!RiderType="Accident Death"), T42*Changes!NewChangedValue,IF(db!$D$6="Yes",(db!$B$6)*T42,0))))</f>
        <v>0</v>
      </c>
      <c r="W42" s="29">
        <f>MIN(IF(V42&lt;=db!$L$2,V42,db!$L$2),MAX_ACC_CAPITAL)</f>
        <v>0</v>
      </c>
      <c r="X42" s="17">
        <f>IF(AND(Changes!Change="Yes",Changes!ValidityYear&lt;=Table1[[#This Row],[Year]],Changes!ChangeType="Paid-Up",OR(PaidUpOption="Paid-up with no coverage",PaidUpOption="Paid-up with main coverage")),0,IF(OR(B42=0,Table1[[#This Row],[Accident Capital (2)]]=0),0,IF(AND(Changes!Change="Yes", Changes!ValidityYear&lt;=Table1[[#This Row],[Year]], Changes!ChangeType="Rider Inclusion/Exclusion", Changes!RiderType="Accident Disability"), T42*Changes!NewChangedValue,IF(db!$D$7="Yes",(db!$B$7)*T42,0))))</f>
        <v>0</v>
      </c>
      <c r="Y42" s="42">
        <f>IF(C42&gt;69,0,IF(C42=0,0,IF(X42&lt;=db!$L$3,X42,db!$L$3)))</f>
        <v>0</v>
      </c>
      <c r="Z42" s="29">
        <f>IF(AND(Changes!Change="Yes",Changes!ValidityYear&lt;=Table1[[#This Row],[Year]],Changes!ChangeType="Paid-Up",OR(PaidUpOption="Paid-up with no coverage",PaidUpOption="Paid-up with main coverage")),0,IF(OR(B42=0,Table1[[#This Row],[Accident Capital (2)]]=0),0,IF(AND(Changes!Change="Yes", Changes!ValidityYear&lt;=Table1[[#This Row],[Year]], Changes!ChangeType="Rider Inclusion/Exclusion", Changes!RiderType="Accident Medical Cost"), T42*Changes!NewChangedValue,IF(db!$D$9="Yes",(db!$B$9)*T42,0))))</f>
        <v>0</v>
      </c>
      <c r="AA42" s="29">
        <f>ROUND(IF(C42&gt;69,0,IF(C42=0,0,IF(Z42&lt;=db!$L$4,Z42,db!$L$4))),0)</f>
        <v>0</v>
      </c>
      <c r="AB42" s="38">
        <f>IF(AND(Changes!Change = "Yes", Changes!ChangeType = "Rider Inclusion/Exclusion", Changes!RiderType = "WOP"), IF( Changes!ValidityYear &lt;= Table1[[#This Row],[Year]], IF(WOP = "Yes", 0, 1),  IF(WOP = "Yes", 1, 0)), IF(AND(db!$D$8="Yes",C42&lt;=69,ROW()-1&lt;=InsurancePeriod), 1, 0))</f>
        <v>0</v>
      </c>
      <c r="AC42" s="17">
        <f>(AC43+K43)*AB42*((1)/(1+db!AA44))*(LOOKUP(C42,'Mortality Table'!$A$2:$A$108,'Mortality Table'!$E$2:$E$108))</f>
        <v>0</v>
      </c>
      <c r="AD42" s="340">
        <f>IF(AND(Changes!ValidityYear&lt;= Table1[[#This Row],[Year]],Changes!ChangeType="Change Value Adjustment",Changes!Change="Yes"), (AD43+L43)*AB42*((1)/(1+db!AA44))*(LOOKUP(C42,'Mortality Table'!$A$2:$A$108,'Mortality Table'!$E$2:$E$108)),Table1[[#This Row],[WOP Before Adj. BT]])</f>
        <v>0</v>
      </c>
      <c r="AE42" s="341">
        <f>IF(AND(Changes!Change="Yes", Changes!ChangeType="Change Value Adjustment"),Table1[[#This Row],[WOP Capital]],(AE43+O43)*AB42*((1)/(1+db!AA44))*(LOOKUP(D42,'Mortality Table'!$A$2:$A$108,'Mortality Table'!$E$2:$E$108)))</f>
        <v>0</v>
      </c>
      <c r="AF42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42" s="42">
        <f>IF(AND(Changes!Change="Yes", Changes!ValidityYear&lt;=Table1[[#This Row],[Year]], Changes!ChangeType="Rider Inclusion/Exclusion", Changes!RiderType="Disability Annuity"), L42*Changes!NewChangedValue,L42*db!B$10*IF(db!$D$10="Yes",1,0))</f>
        <v>0</v>
      </c>
      <c r="AH42" s="29">
        <f>IF(AND(Changes!Change="Yes",Changes!ValidityYear&lt;=Table1[[#This Row],[Year]],Changes!ChangeType="Paid-Up"),0,Table1[[#This Row],[Code Annuity Capital]]*IF('Annual Calculation'!C42&gt;69,0,(LOOKUP('Annual Calculation'!C42+1,'Mortality Table'!$A$2:$A$108,'Mortality Table'!$O$2:$O$108)-LOOKUP('Annual Calculation'!C42+11,'Mortality Table'!$A$2:$A$108,'Mortality Table'!$O$2:$O$108))/LOOKUP('Annual Calculation'!C42,'Mortality Table'!$A$2:$A$108,'Mortality Table'!$M$2:$M$108)))</f>
        <v>0</v>
      </c>
      <c r="AI42" s="17">
        <f>IF(AND(Changes!Change="Yes",Changes!ValidityYear&lt;=Table1[[#This Row],[Year]],Changes!ChangeType="Paid-Up",OR(PaidUpOption="Paid-up with no coverage",PaidUpOption="Paid-up with main coverage")),0,IF(B42=0,0,IF(AND(Changes!Change="Yes", Changes!ValidityYear&lt;=Table1[[#This Row],[Year]], Changes!ChangeType="Rider Inclusion/Exclusion", Changes!RiderType="Dread Disease"), T42*Changes!NewChangedValue,IF(db!$D$11="Yes",(db!$B$11)*T42,0))))</f>
        <v>0</v>
      </c>
      <c r="AJ42" s="42">
        <f>ROUND(IF(C42&gt;59,0,IF(C42=0,0,IF(AI42&lt;=db!$L$5,AI42,db!$L$5))),0)</f>
        <v>0</v>
      </c>
      <c r="AK42" s="29">
        <f>IF(AND(Changes!Change="Yes",Changes!ValidityYear&lt;=Table1[[#This Row],[Year]],Changes!ChangeType="Paid-Up",OR(PaidUpOption="Paid-up with no coverage",PaidUpOption="Paid-up with main coverage")),0,IF(B42=0,0,IF(AND(Changes!Change="Yes", Changes!ValidityYear&lt;=Table1[[#This Row],[Year]], Changes!ChangeType="Rider Inclusion/Exclusion", Changes!RiderType="Cancer"), T42*Changes!NewChangedValue,IF(db!$D$12="Yes",(db!$B$12)*T42,0))))</f>
        <v>0</v>
      </c>
      <c r="AL42" s="29">
        <f>ROUND(IF(C42&gt;59,0,IF(C42=0,0,IF(AK42&lt;=db!$L$6,AK42,db!$L$6))),0)</f>
        <v>0</v>
      </c>
      <c r="AM42" s="32"/>
      <c r="AN42" s="18">
        <f>IF(B42=0,0,IF(C42&lt;(db!$E$2+5),LOOKUP(C42,'Mortality Table'!$A$2:$A$108,'Mortality Table'!$P$2:$P$108),IF((C42&gt;=db!$E$2+10),LOOKUP(C42,'Mortality Table'!$A$2:$A$108,'Mortality Table'!$R$2:$R$108),LOOKUP(C42,'Mortality Table'!$A$2:$A$108,'Mortality Table'!$Q$2:$Q$108))))</f>
        <v>0</v>
      </c>
      <c r="AO42" s="22">
        <f t="shared" si="22"/>
        <v>0</v>
      </c>
      <c r="AP42" s="19">
        <f>IF(B42=0,0, LOOKUP(IF(AND(Changes!Change="Yes", Changes!ValidityYear&lt;=Table1[[#This Row],[Year]], Changes!ChangeType="Change Job Class"),Changes!NewChangedValue, db!$A$8),db!$AX$4:$AX$8,db!$AY$4:$AY$8))</f>
        <v>0</v>
      </c>
      <c r="AQ42" s="20">
        <f>ROUND((AP42/1000)*W42 * (1-db!$AS$9),0)</f>
        <v>0</v>
      </c>
      <c r="AR42" s="20">
        <f>(AP42/1000)*W42 * db!$AS$9</f>
        <v>0</v>
      </c>
      <c r="AS42" s="21">
        <f>IF(B42=0,0, LOOKUP(IF(AND(Changes!Change="Yes", Changes!ValidityYear&lt;=Table1[[#This Row],[Year]], Changes!ChangeType="Change Job Class"),Changes!NewChangedValue, db!$A$8),db!$AX$4:$AX$8,db!$AZ$4:$AZ$8))</f>
        <v>0</v>
      </c>
      <c r="AT42" s="22">
        <f>(AS42/1000)*Y42*(1-db!$AS$9)</f>
        <v>0</v>
      </c>
      <c r="AU42" s="22">
        <f>(AS42/1000)*Y42*(db!$AS$9)</f>
        <v>0</v>
      </c>
      <c r="AV42" s="23">
        <f>IF(B42=0,0, LOOKUP(IF(AND(Changes!Change="Yes", Changes!ValidityYear&lt;=Table1[[#This Row],[Year]], Changes!ChangeType="Change Job Class"),Changes!NewChangedValue, db!$A$8),db!$AX$4:$AX$8,db!$BA$4:$BA$8))</f>
        <v>0</v>
      </c>
      <c r="AW42" s="20">
        <f>ROUND((AV42/(100))*AA42*(1-db!$AS$9),0)</f>
        <v>0</v>
      </c>
      <c r="AX42" s="20">
        <f>ROUND((AV42/(100))*AA42*(db!$AS$9),0)</f>
        <v>0</v>
      </c>
      <c r="AY42" s="21">
        <f>IF(db!$D$8="Yes",AS42,0)</f>
        <v>0</v>
      </c>
      <c r="AZ42" s="22">
        <f>(AY42*AF42)/1000*(1-db!$AS$9)</f>
        <v>0</v>
      </c>
      <c r="BA42" s="22">
        <f>(AY42*AF42)/1000*(db!$AS$9)</f>
        <v>0</v>
      </c>
      <c r="BB42" s="23">
        <f t="shared" si="23"/>
        <v>0</v>
      </c>
      <c r="BC42" s="20">
        <f>(BB42*AH42/1000)*(1-db!$AS$9)</f>
        <v>0</v>
      </c>
      <c r="BD42" s="20">
        <f>(BB42*AH42/1000)*(db!$AS$9)</f>
        <v>0</v>
      </c>
      <c r="BE42" s="22">
        <f>IF(B42=0,0,IF(C42&gt;60,0,LOOKUP(Table1[[#This Row],[Medical
Age]],db!$BC$3:$BC$63,db!$BD$3:$BD$63)))</f>
        <v>0</v>
      </c>
      <c r="BF42" s="22">
        <f>BG42*db!$AS$10</f>
        <v>0</v>
      </c>
      <c r="BG42" s="22">
        <f t="shared" si="24"/>
        <v>0</v>
      </c>
      <c r="BH42" s="22">
        <f>(BE42/1000000)*AJ42*(1-db!$AS$10)</f>
        <v>0</v>
      </c>
      <c r="BI42" s="20">
        <f>IF(B42=0,0,IF(C42&gt;59,0,LOOKUP(Table1[[#This Row],[Medical
Age]],db!$BC$3:$BC$63,db!$BE$3:$BE$63)))</f>
        <v>0</v>
      </c>
      <c r="BJ42" s="20">
        <f>(BI42/1000000)*AL42*(1-db!$AS$11)</f>
        <v>0</v>
      </c>
      <c r="BK42" s="20">
        <f>(BI42/1000000)*AL42*(db!$AS$11)</f>
        <v>0</v>
      </c>
      <c r="BL42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42" s="20">
        <f>Table1[[#This Row],[RiskLoading
Rate]]*Table1[[#This Row],[Death Capital (2)]]</f>
        <v>0</v>
      </c>
      <c r="BN42" s="36"/>
      <c r="BO42" s="37">
        <f t="shared" si="25"/>
        <v>0</v>
      </c>
      <c r="BP42" s="35">
        <f t="shared" si="26"/>
        <v>0</v>
      </c>
      <c r="BQ42" s="35">
        <f t="shared" si="27"/>
        <v>0</v>
      </c>
      <c r="BR42" s="37">
        <f t="shared" si="11"/>
        <v>0</v>
      </c>
      <c r="BS42" s="37">
        <f t="shared" si="12"/>
        <v>0</v>
      </c>
      <c r="BT42" s="35">
        <f t="shared" si="13"/>
        <v>0</v>
      </c>
      <c r="BU42" s="35">
        <f t="shared" si="14"/>
        <v>0</v>
      </c>
      <c r="BV42" s="37">
        <f>(db!$AS$4/100)*(L42-BT42-BU42)</f>
        <v>0</v>
      </c>
      <c r="BW42" s="37">
        <f>(db!$AS$8/100)*(L42-BT42-BU42)</f>
        <v>0</v>
      </c>
      <c r="BX42" s="35"/>
      <c r="BY42" s="37"/>
      <c r="BZ42" s="37"/>
      <c r="CA42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42" s="33"/>
      <c r="CC42" s="39">
        <f>ROUND((Table1[[#This Row],[Premium]]-Table1[[#This Row],[All Deductions]]),0)</f>
        <v>0</v>
      </c>
      <c r="CD42" s="39">
        <f>IF(B42=0,0,Table1[[#This Row],[Initial Reserve]]+CE41)</f>
        <v>0</v>
      </c>
      <c r="CE42" s="40">
        <f>ROUND(IF(B42=0,0,((CC42)*(1+db!Y44))+((CE41)*(1+db!U44))),0)</f>
        <v>0</v>
      </c>
      <c r="CF42" s="40">
        <f t="shared" si="28"/>
        <v>0</v>
      </c>
      <c r="CG42" s="15">
        <f t="shared" si="15"/>
        <v>41</v>
      </c>
      <c r="CH42" s="39">
        <f>IF(B42=0,0,((CC42)*(1+db!AH44))+((CH41)*(1+db!AD44)))</f>
        <v>0</v>
      </c>
      <c r="CI42" s="39">
        <f>IF(B42=0,0,((CC42)*(1+db!AH44))+((CI41)*(1+db!AD44)))</f>
        <v>0</v>
      </c>
      <c r="CJ42" s="40">
        <f>IF(B42=0,0,((CC42)*(1+db!AO44))+((CJ41)*(1+db!AK44)))</f>
        <v>0</v>
      </c>
      <c r="CK42" s="40">
        <f>CJ42-(SUM(BX$7:$BX43))</f>
        <v>0</v>
      </c>
      <c r="CL42" s="46"/>
    </row>
    <row r="43" spans="1:90">
      <c r="A43" s="24">
        <f t="shared" si="16"/>
        <v>42</v>
      </c>
      <c r="B43" s="16">
        <f>IF(AND(Changes!Change="Yes", Changes!ChangeType="Change Contract Duration"),IF(B42=0,0,IF(Changes!NewChangedValue&lt;B42+1,0,B42+1)),IF(B42=0,0,IF('Application Annually'!$C$5&lt;B42+1,0,B42+1)))</f>
        <v>0</v>
      </c>
      <c r="C43" s="15">
        <f t="shared" si="17"/>
        <v>0</v>
      </c>
      <c r="D43" s="312">
        <f t="shared" si="18"/>
        <v>69</v>
      </c>
      <c r="E43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43" s="29">
        <f t="shared" si="8"/>
        <v>0</v>
      </c>
      <c r="G43" s="29">
        <f t="shared" si="9"/>
        <v>0</v>
      </c>
      <c r="H43" s="29">
        <f t="shared" si="20"/>
        <v>0</v>
      </c>
      <c r="I43" s="29">
        <f>IF(B43&gt;0,IF(AND(Table1[[#This Row],[Year]]&gt;Changes!ValidityYear,Changes!Change="Yes",Changes!ChangeType="Change Value Adjustment"),Changes!$G$22,'Application Annually'!$C$11),0)</f>
        <v>0</v>
      </c>
      <c r="J43" s="29">
        <f>IF(B43&gt;0,IF(AND(Table1[[#This Row],[Year]]&gt;Changes!ValidityYear,Changes!Change="Yes",Changes!ChangeType="Change Value Adjustment"),Changes!$G$24,'Application Annually'!$C$7),0)</f>
        <v>0</v>
      </c>
      <c r="K43" s="29">
        <f>ROUND(IF(B43=0,0,IF(AND(Changes!Change="Yes", Changes!ValidityYear=Table1[[#This Row],[Year]], Changes!ChangeType="Change Premium"), Changes!NewChangedValue, (K42*(1+db!$B$3)))),0)</f>
        <v>0</v>
      </c>
      <c r="L43" s="29">
        <f>ROUND(IF(AND(Changes!Change="Yes",Changes!ValidityYear&lt;=Table1[[#This Row],[Year]],Changes!ChangeType="Paid-Up"),0,IF(B43=0,0,IF(AND(Changes!Change="Yes", Changes!ValidityYear=Table1[[#This Row],[Year]], Changes!ChangeType="Change Premium"), Changes!NewChangedValue, (L42*(1+Table1[[#This Row],[Adjustment Factor of Premium]]/100))))),0)</f>
        <v>0</v>
      </c>
      <c r="M43" s="29">
        <f>IF(Table1[[#This Row],[Year]]=1,ROUND(MIN($L$2 -( Table1[[#This Row],[Riders Risk Premiums]] + Table1[[#This Row],[Acquisition Cost]]) *0.75,Table1[[#This Row],[Death Capital (1)]]* 0.03),0),0)</f>
        <v>0</v>
      </c>
      <c r="N43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43" s="29">
        <f>ROUND(IF(ROW()-1&gt;InsurancePeriod,0,(O42*(1+(Table1[[#This Row],[Adjustment Factor of Premium]]/100)))),0)</f>
        <v>0</v>
      </c>
      <c r="P43" s="29">
        <f>IF(Table1[Year] = 0, 0, SUM(L$2:L43))</f>
        <v>0</v>
      </c>
      <c r="Q43" s="17">
        <f t="shared" si="21"/>
        <v>0</v>
      </c>
      <c r="R43" s="17">
        <f>IF(Table1[[#This Row],[Year]]=0,0,IF($C$2&lt;=50,LOOKUP(Table1[[#This Row],[Age]],db!BG44:BG150,db!BH44:BH150),LOOKUP(Table1[[#This Row],[Age]],db!BJ44:BJ150,db!BK44:BK150)))</f>
        <v>0</v>
      </c>
      <c r="S43" s="17">
        <f>IF(AND(Changes!Change="Yes",Changes!ValidityYear&lt;=Table1[[#This Row],[Year]],Changes!ChangeType="Paid-Up",PaidUpOption="Paid-up with no coverage"),0,IF(B43=0,0, IF(AND(Changes!Change="Yes", Changes!ValidityYear=Table1[[#This Row],[Year]], Changes!ChangeType="Change Death Capital"), Changes!NewChangedValue, S42*(1+(Table1[[#This Row],[Adjustment Factor of Death Capital]]/100)))))</f>
        <v>0</v>
      </c>
      <c r="T43" s="17">
        <f>MIN(IF(B43=0,0,Table1[[#This Row],[Death Capital (1)]]),Table1[[#This Row],[Max Sum Insured For Death]])</f>
        <v>0</v>
      </c>
      <c r="U43" s="29">
        <f t="shared" si="10"/>
        <v>0</v>
      </c>
      <c r="V43" s="29">
        <f>IF(AND(Changes!Change="Yes",Changes!ValidityYear&lt;=Table1[[#This Row],[Year]],Changes!ChangeType="Paid-Up",OR(PaidUpOption="Paid-up with no coverage",PaidUpOption="Paid-up with main coverage")),0,IF(B43=0,0,IF(AND(Changes!Change="Yes", Changes!ValidityYear&lt;=Table1[[#This Row],[Year]], Changes!ChangeType="Rider Inclusion/Exclusion", Changes!RiderType="Accident Death"), T43*Changes!NewChangedValue,IF(db!$D$6="Yes",(db!$B$6)*T43,0))))</f>
        <v>0</v>
      </c>
      <c r="W43" s="29">
        <f>MIN(IF(V43&lt;=db!$L$2,V43,db!$L$2),MAX_ACC_CAPITAL)</f>
        <v>0</v>
      </c>
      <c r="X43" s="17">
        <f>IF(AND(Changes!Change="Yes",Changes!ValidityYear&lt;=Table1[[#This Row],[Year]],Changes!ChangeType="Paid-Up",OR(PaidUpOption="Paid-up with no coverage",PaidUpOption="Paid-up with main coverage")),0,IF(OR(B43=0,Table1[[#This Row],[Accident Capital (2)]]=0),0,IF(AND(Changes!Change="Yes", Changes!ValidityYear&lt;=Table1[[#This Row],[Year]], Changes!ChangeType="Rider Inclusion/Exclusion", Changes!RiderType="Accident Disability"), T43*Changes!NewChangedValue,IF(db!$D$7="Yes",(db!$B$7)*T43,0))))</f>
        <v>0</v>
      </c>
      <c r="Y43" s="42">
        <f>IF(C43&gt;69,0,IF(C43=0,0,IF(X43&lt;=db!$L$3,X43,db!$L$3)))</f>
        <v>0</v>
      </c>
      <c r="Z43" s="29">
        <f>IF(AND(Changes!Change="Yes",Changes!ValidityYear&lt;=Table1[[#This Row],[Year]],Changes!ChangeType="Paid-Up",OR(PaidUpOption="Paid-up with no coverage",PaidUpOption="Paid-up with main coverage")),0,IF(OR(B43=0,Table1[[#This Row],[Accident Capital (2)]]=0),0,IF(AND(Changes!Change="Yes", Changes!ValidityYear&lt;=Table1[[#This Row],[Year]], Changes!ChangeType="Rider Inclusion/Exclusion", Changes!RiderType="Accident Medical Cost"), T43*Changes!NewChangedValue,IF(db!$D$9="Yes",(db!$B$9)*T43,0))))</f>
        <v>0</v>
      </c>
      <c r="AA43" s="29">
        <f>ROUND(IF(C43&gt;69,0,IF(C43=0,0,IF(Z43&lt;=db!$L$4,Z43,db!$L$4))),0)</f>
        <v>0</v>
      </c>
      <c r="AB43" s="38">
        <f>IF(AND(Changes!Change = "Yes", Changes!ChangeType = "Rider Inclusion/Exclusion", Changes!RiderType = "WOP"), IF( Changes!ValidityYear &lt;= Table1[[#This Row],[Year]], IF(WOP = "Yes", 0, 1),  IF(WOP = "Yes", 1, 0)), IF(AND(db!$D$8="Yes",C43&lt;=69,ROW()-1&lt;=InsurancePeriod), 1, 0))</f>
        <v>0</v>
      </c>
      <c r="AC43" s="17">
        <f>(AC44+K44)*AB43*((1)/(1+db!AA45))*(LOOKUP(C43,'Mortality Table'!$A$2:$A$108,'Mortality Table'!$E$2:$E$108))</f>
        <v>0</v>
      </c>
      <c r="AD43" s="340">
        <f>IF(AND(Changes!ValidityYear&lt;= Table1[[#This Row],[Year]],Changes!ChangeType="Change Value Adjustment",Changes!Change="Yes"), (AD44+L44)*AB43*((1)/(1+db!AA45))*(LOOKUP(C43,'Mortality Table'!$A$2:$A$108,'Mortality Table'!$E$2:$E$108)),Table1[[#This Row],[WOP Before Adj. BT]])</f>
        <v>0</v>
      </c>
      <c r="AE43" s="341">
        <f>IF(AND(Changes!Change="Yes", Changes!ChangeType="Change Value Adjustment"),Table1[[#This Row],[WOP Capital]],(AE44+O44)*AB43*((1)/(1+db!AA45))*(LOOKUP(D43,'Mortality Table'!$A$2:$A$108,'Mortality Table'!$E$2:$E$108)))</f>
        <v>0</v>
      </c>
      <c r="AF43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43" s="42">
        <f>IF(AND(Changes!Change="Yes", Changes!ValidityYear&lt;=Table1[[#This Row],[Year]], Changes!ChangeType="Rider Inclusion/Exclusion", Changes!RiderType="Disability Annuity"), L43*Changes!NewChangedValue,L43*db!B$10*IF(db!$D$10="Yes",1,0))</f>
        <v>0</v>
      </c>
      <c r="AH43" s="29">
        <f>IF(AND(Changes!Change="Yes",Changes!ValidityYear&lt;=Table1[[#This Row],[Year]],Changes!ChangeType="Paid-Up"),0,Table1[[#This Row],[Code Annuity Capital]]*IF('Annual Calculation'!C43&gt;69,0,(LOOKUP('Annual Calculation'!C43+1,'Mortality Table'!$A$2:$A$108,'Mortality Table'!$O$2:$O$108)-LOOKUP('Annual Calculation'!C43+11,'Mortality Table'!$A$2:$A$108,'Mortality Table'!$O$2:$O$108))/LOOKUP('Annual Calculation'!C43,'Mortality Table'!$A$2:$A$108,'Mortality Table'!$M$2:$M$108)))</f>
        <v>0</v>
      </c>
      <c r="AI43" s="17">
        <f>IF(AND(Changes!Change="Yes",Changes!ValidityYear&lt;=Table1[[#This Row],[Year]],Changes!ChangeType="Paid-Up",OR(PaidUpOption="Paid-up with no coverage",PaidUpOption="Paid-up with main coverage")),0,IF(B43=0,0,IF(AND(Changes!Change="Yes", Changes!ValidityYear&lt;=Table1[[#This Row],[Year]], Changes!ChangeType="Rider Inclusion/Exclusion", Changes!RiderType="Dread Disease"), T43*Changes!NewChangedValue,IF(db!$D$11="Yes",(db!$B$11)*T43,0))))</f>
        <v>0</v>
      </c>
      <c r="AJ43" s="42">
        <f>ROUND(IF(C43&gt;59,0,IF(C43=0,0,IF(AI43&lt;=db!$L$5,AI43,db!$L$5))),0)</f>
        <v>0</v>
      </c>
      <c r="AK43" s="29">
        <f>IF(AND(Changes!Change="Yes",Changes!ValidityYear&lt;=Table1[[#This Row],[Year]],Changes!ChangeType="Paid-Up",OR(PaidUpOption="Paid-up with no coverage",PaidUpOption="Paid-up with main coverage")),0,IF(B43=0,0,IF(AND(Changes!Change="Yes", Changes!ValidityYear&lt;=Table1[[#This Row],[Year]], Changes!ChangeType="Rider Inclusion/Exclusion", Changes!RiderType="Cancer"), T43*Changes!NewChangedValue,IF(db!$D$12="Yes",(db!$B$12)*T43,0))))</f>
        <v>0</v>
      </c>
      <c r="AL43" s="29">
        <f>ROUND(IF(C43&gt;59,0,IF(C43=0,0,IF(AK43&lt;=db!$L$6,AK43,db!$L$6))),0)</f>
        <v>0</v>
      </c>
      <c r="AM43" s="32"/>
      <c r="AN43" s="18">
        <f>IF(B43=0,0,IF(C43&lt;(db!$E$2+5),LOOKUP(C43,'Mortality Table'!$A$2:$A$108,'Mortality Table'!$P$2:$P$108),IF((C43&gt;=db!$E$2+10),LOOKUP(C43,'Mortality Table'!$A$2:$A$108,'Mortality Table'!$R$2:$R$108),LOOKUP(C43,'Mortality Table'!$A$2:$A$108,'Mortality Table'!$Q$2:$Q$108))))</f>
        <v>0</v>
      </c>
      <c r="AO43" s="22">
        <f t="shared" si="22"/>
        <v>0</v>
      </c>
      <c r="AP43" s="19">
        <f>IF(B43=0,0, LOOKUP(IF(AND(Changes!Change="Yes", Changes!ValidityYear&lt;=Table1[[#This Row],[Year]], Changes!ChangeType="Change Job Class"),Changes!NewChangedValue, db!$A$8),db!$AX$4:$AX$8,db!$AY$4:$AY$8))</f>
        <v>0</v>
      </c>
      <c r="AQ43" s="20">
        <f>ROUND((AP43/1000)*W43 * (1-db!$AS$9),0)</f>
        <v>0</v>
      </c>
      <c r="AR43" s="20">
        <f>(AP43/1000)*W43 * db!$AS$9</f>
        <v>0</v>
      </c>
      <c r="AS43" s="21">
        <f>IF(B43=0,0, LOOKUP(IF(AND(Changes!Change="Yes", Changes!ValidityYear&lt;=Table1[[#This Row],[Year]], Changes!ChangeType="Change Job Class"),Changes!NewChangedValue, db!$A$8),db!$AX$4:$AX$8,db!$AZ$4:$AZ$8))</f>
        <v>0</v>
      </c>
      <c r="AT43" s="22">
        <f>(AS43/1000)*Y43*(1-db!$AS$9)</f>
        <v>0</v>
      </c>
      <c r="AU43" s="22">
        <f>(AS43/1000)*Y43*(db!$AS$9)</f>
        <v>0</v>
      </c>
      <c r="AV43" s="23">
        <f>IF(B43=0,0, LOOKUP(IF(AND(Changes!Change="Yes", Changes!ValidityYear&lt;=Table1[[#This Row],[Year]], Changes!ChangeType="Change Job Class"),Changes!NewChangedValue, db!$A$8),db!$AX$4:$AX$8,db!$BA$4:$BA$8))</f>
        <v>0</v>
      </c>
      <c r="AW43" s="20">
        <f>ROUND((AV43/(100))*AA43*(1-db!$AS$9),0)</f>
        <v>0</v>
      </c>
      <c r="AX43" s="20">
        <f>ROUND((AV43/(100))*AA43*(db!$AS$9),0)</f>
        <v>0</v>
      </c>
      <c r="AY43" s="21">
        <f>IF(db!$D$8="Yes",AS43,0)</f>
        <v>0</v>
      </c>
      <c r="AZ43" s="22">
        <f>(AY43*AF43)/1000*(1-db!$AS$9)</f>
        <v>0</v>
      </c>
      <c r="BA43" s="22">
        <f>(AY43*AF43)/1000*(db!$AS$9)</f>
        <v>0</v>
      </c>
      <c r="BB43" s="23">
        <f t="shared" si="23"/>
        <v>0</v>
      </c>
      <c r="BC43" s="20">
        <f>(BB43*AH43/1000)*(1-db!$AS$9)</f>
        <v>0</v>
      </c>
      <c r="BD43" s="20">
        <f>(BB43*AH43/1000)*(db!$AS$9)</f>
        <v>0</v>
      </c>
      <c r="BE43" s="22">
        <f>IF(B43=0,0,IF(C43&gt;60,0,LOOKUP(Table1[[#This Row],[Medical
Age]],db!$BC$3:$BC$63,db!$BD$3:$BD$63)))</f>
        <v>0</v>
      </c>
      <c r="BF43" s="22">
        <f>BG43*db!$AS$10</f>
        <v>0</v>
      </c>
      <c r="BG43" s="22">
        <f t="shared" si="24"/>
        <v>0</v>
      </c>
      <c r="BH43" s="22">
        <f>(BE43/1000000)*AJ43*(1-db!$AS$10)</f>
        <v>0</v>
      </c>
      <c r="BI43" s="20">
        <f>IF(B43=0,0,IF(C43&gt;59,0,LOOKUP(Table1[[#This Row],[Medical
Age]],db!$BC$3:$BC$63,db!$BE$3:$BE$63)))</f>
        <v>0</v>
      </c>
      <c r="BJ43" s="20">
        <f>(BI43/1000000)*AL43*(1-db!$AS$11)</f>
        <v>0</v>
      </c>
      <c r="BK43" s="20">
        <f>(BI43/1000000)*AL43*(db!$AS$11)</f>
        <v>0</v>
      </c>
      <c r="BL43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43" s="20">
        <f>Table1[[#This Row],[RiskLoading
Rate]]*Table1[[#This Row],[Death Capital (2)]]</f>
        <v>0</v>
      </c>
      <c r="BN43" s="36"/>
      <c r="BO43" s="37">
        <f t="shared" si="25"/>
        <v>0</v>
      </c>
      <c r="BP43" s="35">
        <f t="shared" si="26"/>
        <v>0</v>
      </c>
      <c r="BQ43" s="35">
        <f t="shared" si="27"/>
        <v>0</v>
      </c>
      <c r="BR43" s="37">
        <f t="shared" si="11"/>
        <v>0</v>
      </c>
      <c r="BS43" s="37">
        <f t="shared" si="12"/>
        <v>0</v>
      </c>
      <c r="BT43" s="35">
        <f t="shared" si="13"/>
        <v>0</v>
      </c>
      <c r="BU43" s="35">
        <f t="shared" si="14"/>
        <v>0</v>
      </c>
      <c r="BV43" s="37">
        <f>(db!$AS$4/100)*(L43-BT43-BU43)</f>
        <v>0</v>
      </c>
      <c r="BW43" s="37">
        <f>(db!$AS$8/100)*(L43-BT43-BU43)</f>
        <v>0</v>
      </c>
      <c r="BX43" s="35"/>
      <c r="BY43" s="37"/>
      <c r="BZ43" s="37"/>
      <c r="CA43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43" s="33"/>
      <c r="CC43" s="39">
        <f>ROUND((Table1[[#This Row],[Premium]]-Table1[[#This Row],[All Deductions]]),0)</f>
        <v>0</v>
      </c>
      <c r="CD43" s="39">
        <f>IF(B43=0,0,Table1[[#This Row],[Initial Reserve]]+CE42)</f>
        <v>0</v>
      </c>
      <c r="CE43" s="40">
        <f>ROUND(IF(B43=0,0,((CC43)*(1+db!Y45))+((CE42)*(1+db!U45))),0)</f>
        <v>0</v>
      </c>
      <c r="CF43" s="40">
        <f t="shared" si="28"/>
        <v>0</v>
      </c>
      <c r="CG43" s="15">
        <f t="shared" si="15"/>
        <v>42</v>
      </c>
      <c r="CH43" s="39">
        <f>IF(B43=0,0,((CC43)*(1+db!AH45))+((CH42)*(1+db!AD45)))</f>
        <v>0</v>
      </c>
      <c r="CI43" s="39">
        <f>IF(B43=0,0,((CC43)*(1+db!AH45))+((CI42)*(1+db!AD45)))</f>
        <v>0</v>
      </c>
      <c r="CJ43" s="40">
        <f>IF(B43=0,0,((CC43)*(1+db!AO45))+((CJ42)*(1+db!AK45)))</f>
        <v>0</v>
      </c>
      <c r="CK43" s="40">
        <f>CJ43-(SUM(BX$7:$BX44))</f>
        <v>0</v>
      </c>
      <c r="CL43" s="46"/>
    </row>
    <row r="44" spans="1:90">
      <c r="A44" s="24">
        <f t="shared" si="16"/>
        <v>43</v>
      </c>
      <c r="B44" s="16">
        <f>IF(AND(Changes!Change="Yes", Changes!ChangeType="Change Contract Duration"),IF(B43=0,0,IF(Changes!NewChangedValue&lt;B43+1,0,B43+1)),IF(B43=0,0,IF('Application Annually'!$C$5&lt;B43+1,0,B43+1)))</f>
        <v>0</v>
      </c>
      <c r="C44" s="15">
        <f t="shared" si="17"/>
        <v>0</v>
      </c>
      <c r="D44" s="312">
        <f t="shared" si="18"/>
        <v>70</v>
      </c>
      <c r="E44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44" s="29">
        <f t="shared" si="8"/>
        <v>0</v>
      </c>
      <c r="G44" s="29">
        <f t="shared" si="9"/>
        <v>0</v>
      </c>
      <c r="H44" s="29">
        <f t="shared" si="20"/>
        <v>0</v>
      </c>
      <c r="I44" s="29">
        <f>IF(B44&gt;0,IF(AND(Table1[[#This Row],[Year]]&gt;Changes!ValidityYear,Changes!Change="Yes",Changes!ChangeType="Change Value Adjustment"),Changes!$G$22,'Application Annually'!$C$11),0)</f>
        <v>0</v>
      </c>
      <c r="J44" s="29">
        <f>IF(B44&gt;0,IF(AND(Table1[[#This Row],[Year]]&gt;Changes!ValidityYear,Changes!Change="Yes",Changes!ChangeType="Change Value Adjustment"),Changes!$G$24,'Application Annually'!$C$7),0)</f>
        <v>0</v>
      </c>
      <c r="K44" s="29">
        <f>ROUND(IF(B44=0,0,IF(AND(Changes!Change="Yes", Changes!ValidityYear=Table1[[#This Row],[Year]], Changes!ChangeType="Change Premium"), Changes!NewChangedValue, (K43*(1+db!$B$3)))),0)</f>
        <v>0</v>
      </c>
      <c r="L44" s="29">
        <f>ROUND(IF(AND(Changes!Change="Yes",Changes!ValidityYear&lt;=Table1[[#This Row],[Year]],Changes!ChangeType="Paid-Up"),0,IF(B44=0,0,IF(AND(Changes!Change="Yes", Changes!ValidityYear=Table1[[#This Row],[Year]], Changes!ChangeType="Change Premium"), Changes!NewChangedValue, (L43*(1+Table1[[#This Row],[Adjustment Factor of Premium]]/100))))),0)</f>
        <v>0</v>
      </c>
      <c r="M44" s="29">
        <f>IF(Table1[[#This Row],[Year]]=1,ROUND(MIN($L$2 -( Table1[[#This Row],[Riders Risk Premiums]] + Table1[[#This Row],[Acquisition Cost]]) *0.75,Table1[[#This Row],[Death Capital (1)]]* 0.03),0),0)</f>
        <v>0</v>
      </c>
      <c r="N44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44" s="29">
        <f>ROUND(IF(ROW()-1&gt;InsurancePeriod,0,(O43*(1+(Table1[[#This Row],[Adjustment Factor of Premium]]/100)))),0)</f>
        <v>0</v>
      </c>
      <c r="P44" s="29">
        <f>IF(Table1[Year] = 0, 0, SUM(L$2:L44))</f>
        <v>0</v>
      </c>
      <c r="Q44" s="17">
        <f t="shared" si="21"/>
        <v>0</v>
      </c>
      <c r="R44" s="17">
        <f>IF(Table1[[#This Row],[Year]]=0,0,IF($C$2&lt;=50,LOOKUP(Table1[[#This Row],[Age]],db!BG45:BG151,db!BH45:BH151),LOOKUP(Table1[[#This Row],[Age]],db!BJ45:BJ151,db!BK45:BK151)))</f>
        <v>0</v>
      </c>
      <c r="S44" s="17">
        <f>IF(AND(Changes!Change="Yes",Changes!ValidityYear&lt;=Table1[[#This Row],[Year]],Changes!ChangeType="Paid-Up",PaidUpOption="Paid-up with no coverage"),0,IF(B44=0,0, IF(AND(Changes!Change="Yes", Changes!ValidityYear=Table1[[#This Row],[Year]], Changes!ChangeType="Change Death Capital"), Changes!NewChangedValue, S43*(1+(Table1[[#This Row],[Adjustment Factor of Death Capital]]/100)))))</f>
        <v>0</v>
      </c>
      <c r="T44" s="17">
        <f>MIN(IF(B44=0,0,Table1[[#This Row],[Death Capital (1)]]),Table1[[#This Row],[Max Sum Insured For Death]])</f>
        <v>0</v>
      </c>
      <c r="U44" s="29">
        <f t="shared" si="10"/>
        <v>0</v>
      </c>
      <c r="V44" s="29">
        <f>IF(AND(Changes!Change="Yes",Changes!ValidityYear&lt;=Table1[[#This Row],[Year]],Changes!ChangeType="Paid-Up",OR(PaidUpOption="Paid-up with no coverage",PaidUpOption="Paid-up with main coverage")),0,IF(B44=0,0,IF(AND(Changes!Change="Yes", Changes!ValidityYear&lt;=Table1[[#This Row],[Year]], Changes!ChangeType="Rider Inclusion/Exclusion", Changes!RiderType="Accident Death"), T44*Changes!NewChangedValue,IF(db!$D$6="Yes",(db!$B$6)*T44,0))))</f>
        <v>0</v>
      </c>
      <c r="W44" s="29">
        <f>MIN(IF(V44&lt;=db!$L$2,V44,db!$L$2),MAX_ACC_CAPITAL)</f>
        <v>0</v>
      </c>
      <c r="X44" s="17">
        <f>IF(AND(Changes!Change="Yes",Changes!ValidityYear&lt;=Table1[[#This Row],[Year]],Changes!ChangeType="Paid-Up",OR(PaidUpOption="Paid-up with no coverage",PaidUpOption="Paid-up with main coverage")),0,IF(OR(B44=0,Table1[[#This Row],[Accident Capital (2)]]=0),0,IF(AND(Changes!Change="Yes", Changes!ValidityYear&lt;=Table1[[#This Row],[Year]], Changes!ChangeType="Rider Inclusion/Exclusion", Changes!RiderType="Accident Disability"), T44*Changes!NewChangedValue,IF(db!$D$7="Yes",(db!$B$7)*T44,0))))</f>
        <v>0</v>
      </c>
      <c r="Y44" s="42">
        <f>IF(C44&gt;69,0,IF(C44=0,0,IF(X44&lt;=db!$L$3,X44,db!$L$3)))</f>
        <v>0</v>
      </c>
      <c r="Z44" s="29">
        <f>IF(AND(Changes!Change="Yes",Changes!ValidityYear&lt;=Table1[[#This Row],[Year]],Changes!ChangeType="Paid-Up",OR(PaidUpOption="Paid-up with no coverage",PaidUpOption="Paid-up with main coverage")),0,IF(OR(B44=0,Table1[[#This Row],[Accident Capital (2)]]=0),0,IF(AND(Changes!Change="Yes", Changes!ValidityYear&lt;=Table1[[#This Row],[Year]], Changes!ChangeType="Rider Inclusion/Exclusion", Changes!RiderType="Accident Medical Cost"), T44*Changes!NewChangedValue,IF(db!$D$9="Yes",(db!$B$9)*T44,0))))</f>
        <v>0</v>
      </c>
      <c r="AA44" s="29">
        <f>ROUND(IF(C44&gt;69,0,IF(C44=0,0,IF(Z44&lt;=db!$L$4,Z44,db!$L$4))),0)</f>
        <v>0</v>
      </c>
      <c r="AB44" s="38">
        <f>IF(AND(Changes!Change = "Yes", Changes!ChangeType = "Rider Inclusion/Exclusion", Changes!RiderType = "WOP"), IF( Changes!ValidityYear &lt;= Table1[[#This Row],[Year]], IF(WOP = "Yes", 0, 1),  IF(WOP = "Yes", 1, 0)), IF(AND(db!$D$8="Yes",C44&lt;=69,ROW()-1&lt;=InsurancePeriod), 1, 0))</f>
        <v>0</v>
      </c>
      <c r="AC44" s="17">
        <f>(AC45+K45)*AB44*((1)/(1+db!AA46))*(LOOKUP(C44,'Mortality Table'!$A$2:$A$108,'Mortality Table'!$E$2:$E$108))</f>
        <v>0</v>
      </c>
      <c r="AD44" s="340">
        <f>IF(AND(Changes!ValidityYear&lt;= Table1[[#This Row],[Year]],Changes!ChangeType="Change Value Adjustment",Changes!Change="Yes"), (AD45+L45)*AB44*((1)/(1+db!AA46))*(LOOKUP(C44,'Mortality Table'!$A$2:$A$108,'Mortality Table'!$E$2:$E$108)),Table1[[#This Row],[WOP Before Adj. BT]])</f>
        <v>0</v>
      </c>
      <c r="AE44" s="341">
        <f>IF(AND(Changes!Change="Yes", Changes!ChangeType="Change Value Adjustment"),Table1[[#This Row],[WOP Capital]],(AE45+O45)*AB44*((1)/(1+db!AA46))*(LOOKUP(D44,'Mortality Table'!$A$2:$A$108,'Mortality Table'!$E$2:$E$108)))</f>
        <v>0</v>
      </c>
      <c r="AF44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44" s="42">
        <f>IF(AND(Changes!Change="Yes", Changes!ValidityYear&lt;=Table1[[#This Row],[Year]], Changes!ChangeType="Rider Inclusion/Exclusion", Changes!RiderType="Disability Annuity"), L44*Changes!NewChangedValue,L44*db!B$10*IF(db!$D$10="Yes",1,0))</f>
        <v>0</v>
      </c>
      <c r="AH44" s="29">
        <f>IF(AND(Changes!Change="Yes",Changes!ValidityYear&lt;=Table1[[#This Row],[Year]],Changes!ChangeType="Paid-Up"),0,Table1[[#This Row],[Code Annuity Capital]]*IF('Annual Calculation'!C44&gt;69,0,(LOOKUP('Annual Calculation'!C44+1,'Mortality Table'!$A$2:$A$108,'Mortality Table'!$O$2:$O$108)-LOOKUP('Annual Calculation'!C44+11,'Mortality Table'!$A$2:$A$108,'Mortality Table'!$O$2:$O$108))/LOOKUP('Annual Calculation'!C44,'Mortality Table'!$A$2:$A$108,'Mortality Table'!$M$2:$M$108)))</f>
        <v>0</v>
      </c>
      <c r="AI44" s="17">
        <f>IF(AND(Changes!Change="Yes",Changes!ValidityYear&lt;=Table1[[#This Row],[Year]],Changes!ChangeType="Paid-Up",OR(PaidUpOption="Paid-up with no coverage",PaidUpOption="Paid-up with main coverage")),0,IF(B44=0,0,IF(AND(Changes!Change="Yes", Changes!ValidityYear&lt;=Table1[[#This Row],[Year]], Changes!ChangeType="Rider Inclusion/Exclusion", Changes!RiderType="Dread Disease"), T44*Changes!NewChangedValue,IF(db!$D$11="Yes",(db!$B$11)*T44,0))))</f>
        <v>0</v>
      </c>
      <c r="AJ44" s="42">
        <f>ROUND(IF(C44&gt;59,0,IF(C44=0,0,IF(AI44&lt;=db!$L$5,AI44,db!$L$5))),0)</f>
        <v>0</v>
      </c>
      <c r="AK44" s="29">
        <f>IF(AND(Changes!Change="Yes",Changes!ValidityYear&lt;=Table1[[#This Row],[Year]],Changes!ChangeType="Paid-Up",OR(PaidUpOption="Paid-up with no coverage",PaidUpOption="Paid-up with main coverage")),0,IF(B44=0,0,IF(AND(Changes!Change="Yes", Changes!ValidityYear&lt;=Table1[[#This Row],[Year]], Changes!ChangeType="Rider Inclusion/Exclusion", Changes!RiderType="Cancer"), T44*Changes!NewChangedValue,IF(db!$D$12="Yes",(db!$B$12)*T44,0))))</f>
        <v>0</v>
      </c>
      <c r="AL44" s="29">
        <f>ROUND(IF(C44&gt;59,0,IF(C44=0,0,IF(AK44&lt;=db!$L$6,AK44,db!$L$6))),0)</f>
        <v>0</v>
      </c>
      <c r="AM44" s="32"/>
      <c r="AN44" s="18">
        <f>IF(B44=0,0,IF(C44&lt;(db!$E$2+5),LOOKUP(C44,'Mortality Table'!$A$2:$A$108,'Mortality Table'!$P$2:$P$108),IF((C44&gt;=db!$E$2+10),LOOKUP(C44,'Mortality Table'!$A$2:$A$108,'Mortality Table'!$R$2:$R$108),LOOKUP(C44,'Mortality Table'!$A$2:$A$108,'Mortality Table'!$Q$2:$Q$108))))</f>
        <v>0</v>
      </c>
      <c r="AO44" s="22">
        <f t="shared" si="22"/>
        <v>0</v>
      </c>
      <c r="AP44" s="19">
        <f>IF(B44=0,0, LOOKUP(IF(AND(Changes!Change="Yes", Changes!ValidityYear&lt;=Table1[[#This Row],[Year]], Changes!ChangeType="Change Job Class"),Changes!NewChangedValue, db!$A$8),db!$AX$4:$AX$8,db!$AY$4:$AY$8))</f>
        <v>0</v>
      </c>
      <c r="AQ44" s="20">
        <f>ROUND((AP44/1000)*W44 * (1-db!$AS$9),0)</f>
        <v>0</v>
      </c>
      <c r="AR44" s="20">
        <f>(AP44/1000)*W44 * db!$AS$9</f>
        <v>0</v>
      </c>
      <c r="AS44" s="21">
        <f>IF(B44=0,0, LOOKUP(IF(AND(Changes!Change="Yes", Changes!ValidityYear&lt;=Table1[[#This Row],[Year]], Changes!ChangeType="Change Job Class"),Changes!NewChangedValue, db!$A$8),db!$AX$4:$AX$8,db!$AZ$4:$AZ$8))</f>
        <v>0</v>
      </c>
      <c r="AT44" s="22">
        <f>(AS44/1000)*Y44*(1-db!$AS$9)</f>
        <v>0</v>
      </c>
      <c r="AU44" s="22">
        <f>(AS44/1000)*Y44*(db!$AS$9)</f>
        <v>0</v>
      </c>
      <c r="AV44" s="23">
        <f>IF(B44=0,0, LOOKUP(IF(AND(Changes!Change="Yes", Changes!ValidityYear&lt;=Table1[[#This Row],[Year]], Changes!ChangeType="Change Job Class"),Changes!NewChangedValue, db!$A$8),db!$AX$4:$AX$8,db!$BA$4:$BA$8))</f>
        <v>0</v>
      </c>
      <c r="AW44" s="20">
        <f>ROUND((AV44/(100))*AA44*(1-db!$AS$9),0)</f>
        <v>0</v>
      </c>
      <c r="AX44" s="20">
        <f>ROUND((AV44/(100))*AA44*(db!$AS$9),0)</f>
        <v>0</v>
      </c>
      <c r="AY44" s="21">
        <f>IF(db!$D$8="Yes",AS44,0)</f>
        <v>0</v>
      </c>
      <c r="AZ44" s="22">
        <f>(AY44*AF44)/1000*(1-db!$AS$9)</f>
        <v>0</v>
      </c>
      <c r="BA44" s="22">
        <f>(AY44*AF44)/1000*(db!$AS$9)</f>
        <v>0</v>
      </c>
      <c r="BB44" s="23">
        <f t="shared" si="23"/>
        <v>0</v>
      </c>
      <c r="BC44" s="20">
        <f>(BB44*AH44/1000)*(1-db!$AS$9)</f>
        <v>0</v>
      </c>
      <c r="BD44" s="20">
        <f>(BB44*AH44/1000)*(db!$AS$9)</f>
        <v>0</v>
      </c>
      <c r="BE44" s="22">
        <f>IF(B44=0,0,IF(C44&gt;60,0,LOOKUP(Table1[[#This Row],[Medical
Age]],db!$BC$3:$BC$63,db!$BD$3:$BD$63)))</f>
        <v>0</v>
      </c>
      <c r="BF44" s="22">
        <f>BG44*db!$AS$10</f>
        <v>0</v>
      </c>
      <c r="BG44" s="22">
        <f t="shared" si="24"/>
        <v>0</v>
      </c>
      <c r="BH44" s="22">
        <f>(BE44/1000000)*AJ44*(1-db!$AS$10)</f>
        <v>0</v>
      </c>
      <c r="BI44" s="20">
        <f>IF(B44=0,0,IF(C44&gt;59,0,LOOKUP(Table1[[#This Row],[Medical
Age]],db!$BC$3:$BC$63,db!$BE$3:$BE$63)))</f>
        <v>0</v>
      </c>
      <c r="BJ44" s="20">
        <f>(BI44/1000000)*AL44*(1-db!$AS$11)</f>
        <v>0</v>
      </c>
      <c r="BK44" s="20">
        <f>(BI44/1000000)*AL44*(db!$AS$11)</f>
        <v>0</v>
      </c>
      <c r="BL44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44" s="20">
        <f>Table1[[#This Row],[RiskLoading
Rate]]*Table1[[#This Row],[Death Capital (2)]]</f>
        <v>0</v>
      </c>
      <c r="BN44" s="36"/>
      <c r="BO44" s="37">
        <f t="shared" si="25"/>
        <v>0</v>
      </c>
      <c r="BP44" s="35">
        <f t="shared" si="26"/>
        <v>0</v>
      </c>
      <c r="BQ44" s="35">
        <f t="shared" si="27"/>
        <v>0</v>
      </c>
      <c r="BR44" s="37">
        <f t="shared" si="11"/>
        <v>0</v>
      </c>
      <c r="BS44" s="37">
        <f t="shared" si="12"/>
        <v>0</v>
      </c>
      <c r="BT44" s="35">
        <f t="shared" si="13"/>
        <v>0</v>
      </c>
      <c r="BU44" s="35">
        <f t="shared" si="14"/>
        <v>0</v>
      </c>
      <c r="BV44" s="37">
        <f>(db!$AS$4/100)*(L44-BT44-BU44)</f>
        <v>0</v>
      </c>
      <c r="BW44" s="37">
        <f>(db!$AS$8/100)*(L44-BT44-BU44)</f>
        <v>0</v>
      </c>
      <c r="BX44" s="35"/>
      <c r="BY44" s="37"/>
      <c r="BZ44" s="37"/>
      <c r="CA44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44" s="33"/>
      <c r="CC44" s="39">
        <f>ROUND((Table1[[#This Row],[Premium]]-Table1[[#This Row],[All Deductions]]),0)</f>
        <v>0</v>
      </c>
      <c r="CD44" s="39">
        <f>IF(B44=0,0,Table1[[#This Row],[Initial Reserve]]+CE43)</f>
        <v>0</v>
      </c>
      <c r="CE44" s="40">
        <f>ROUND(IF(B44=0,0,((CC44)*(1+db!Y46))+((CE43)*(1+db!U46))),0)</f>
        <v>0</v>
      </c>
      <c r="CF44" s="40">
        <f t="shared" si="28"/>
        <v>0</v>
      </c>
      <c r="CG44" s="15">
        <f t="shared" si="15"/>
        <v>43</v>
      </c>
      <c r="CH44" s="39">
        <f>IF(B44=0,0,((CC44)*(1+db!AH46))+((CH43)*(1+db!AD46)))</f>
        <v>0</v>
      </c>
      <c r="CI44" s="39">
        <f>IF(B44=0,0,((CC44)*(1+db!AH46))+((CI43)*(1+db!AD46)))</f>
        <v>0</v>
      </c>
      <c r="CJ44" s="40">
        <f>IF(B44=0,0,((CC44)*(1+db!AO46))+((CJ43)*(1+db!AK46)))</f>
        <v>0</v>
      </c>
      <c r="CK44" s="40">
        <f>CJ44-(SUM(BX$7:$BX45))</f>
        <v>0</v>
      </c>
      <c r="CL44" s="46"/>
    </row>
    <row r="45" spans="1:90">
      <c r="A45" s="24">
        <f t="shared" si="16"/>
        <v>44</v>
      </c>
      <c r="B45" s="16">
        <f>IF(AND(Changes!Change="Yes", Changes!ChangeType="Change Contract Duration"),IF(B44=0,0,IF(Changes!NewChangedValue&lt;B44+1,0,B44+1)),IF(B44=0,0,IF('Application Annually'!$C$5&lt;B44+1,0,B44+1)))</f>
        <v>0</v>
      </c>
      <c r="C45" s="15">
        <f t="shared" si="17"/>
        <v>0</v>
      </c>
      <c r="D45" s="312">
        <f t="shared" si="18"/>
        <v>71</v>
      </c>
      <c r="E45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45" s="29">
        <f t="shared" si="8"/>
        <v>0</v>
      </c>
      <c r="G45" s="29">
        <f t="shared" si="9"/>
        <v>0</v>
      </c>
      <c r="H45" s="29">
        <f t="shared" si="20"/>
        <v>0</v>
      </c>
      <c r="I45" s="29">
        <f>IF(B45&gt;0,IF(AND(Table1[[#This Row],[Year]]&gt;Changes!ValidityYear,Changes!Change="Yes",Changes!ChangeType="Change Value Adjustment"),Changes!$G$22,'Application Annually'!$C$11),0)</f>
        <v>0</v>
      </c>
      <c r="J45" s="29">
        <f>IF(B45&gt;0,IF(AND(Table1[[#This Row],[Year]]&gt;Changes!ValidityYear,Changes!Change="Yes",Changes!ChangeType="Change Value Adjustment"),Changes!$G$24,'Application Annually'!$C$7),0)</f>
        <v>0</v>
      </c>
      <c r="K45" s="29">
        <f>ROUND(IF(B45=0,0,IF(AND(Changes!Change="Yes", Changes!ValidityYear=Table1[[#This Row],[Year]], Changes!ChangeType="Change Premium"), Changes!NewChangedValue, (K44*(1+db!$B$3)))),0)</f>
        <v>0</v>
      </c>
      <c r="L45" s="29">
        <f>ROUND(IF(AND(Changes!Change="Yes",Changes!ValidityYear&lt;=Table1[[#This Row],[Year]],Changes!ChangeType="Paid-Up"),0,IF(B45=0,0,IF(AND(Changes!Change="Yes", Changes!ValidityYear=Table1[[#This Row],[Year]], Changes!ChangeType="Change Premium"), Changes!NewChangedValue, (L44*(1+Table1[[#This Row],[Adjustment Factor of Premium]]/100))))),0)</f>
        <v>0</v>
      </c>
      <c r="M45" s="29">
        <f>IF(Table1[[#This Row],[Year]]=1,ROUND(MIN($L$2 -( Table1[[#This Row],[Riders Risk Premiums]] + Table1[[#This Row],[Acquisition Cost]]) *0.75,Table1[[#This Row],[Death Capital (1)]]* 0.03),0),0)</f>
        <v>0</v>
      </c>
      <c r="N45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45" s="29">
        <f>ROUND(IF(ROW()-1&gt;InsurancePeriod,0,(O44*(1+(Table1[[#This Row],[Adjustment Factor of Premium]]/100)))),0)</f>
        <v>0</v>
      </c>
      <c r="P45" s="29">
        <f>IF(Table1[Year] = 0, 0, SUM(L$2:L45))</f>
        <v>0</v>
      </c>
      <c r="Q45" s="17">
        <f t="shared" si="21"/>
        <v>0</v>
      </c>
      <c r="R45" s="17">
        <f>IF(Table1[[#This Row],[Year]]=0,0,IF($C$2&lt;=50,LOOKUP(Table1[[#This Row],[Age]],db!BG46:BG152,db!BH46:BH152),LOOKUP(Table1[[#This Row],[Age]],db!BJ46:BJ152,db!BK46:BK152)))</f>
        <v>0</v>
      </c>
      <c r="S45" s="17">
        <f>IF(AND(Changes!Change="Yes",Changes!ValidityYear&lt;=Table1[[#This Row],[Year]],Changes!ChangeType="Paid-Up",PaidUpOption="Paid-up with no coverage"),0,IF(B45=0,0, IF(AND(Changes!Change="Yes", Changes!ValidityYear=Table1[[#This Row],[Year]], Changes!ChangeType="Change Death Capital"), Changes!NewChangedValue, S44*(1+(Table1[[#This Row],[Adjustment Factor of Death Capital]]/100)))))</f>
        <v>0</v>
      </c>
      <c r="T45" s="17">
        <f>MIN(IF(B45=0,0,Table1[[#This Row],[Death Capital (1)]]),Table1[[#This Row],[Max Sum Insured For Death]])</f>
        <v>0</v>
      </c>
      <c r="U45" s="29">
        <f t="shared" si="10"/>
        <v>0</v>
      </c>
      <c r="V45" s="29">
        <f>IF(AND(Changes!Change="Yes",Changes!ValidityYear&lt;=Table1[[#This Row],[Year]],Changes!ChangeType="Paid-Up",OR(PaidUpOption="Paid-up with no coverage",PaidUpOption="Paid-up with main coverage")),0,IF(B45=0,0,IF(AND(Changes!Change="Yes", Changes!ValidityYear&lt;=Table1[[#This Row],[Year]], Changes!ChangeType="Rider Inclusion/Exclusion", Changes!RiderType="Accident Death"), T45*Changes!NewChangedValue,IF(db!$D$6="Yes",(db!$B$6)*T45,0))))</f>
        <v>0</v>
      </c>
      <c r="W45" s="29">
        <f>MIN(IF(V45&lt;=db!$L$2,V45,db!$L$2),MAX_ACC_CAPITAL)</f>
        <v>0</v>
      </c>
      <c r="X45" s="17">
        <f>IF(AND(Changes!Change="Yes",Changes!ValidityYear&lt;=Table1[[#This Row],[Year]],Changes!ChangeType="Paid-Up",OR(PaidUpOption="Paid-up with no coverage",PaidUpOption="Paid-up with main coverage")),0,IF(OR(B45=0,Table1[[#This Row],[Accident Capital (2)]]=0),0,IF(AND(Changes!Change="Yes", Changes!ValidityYear&lt;=Table1[[#This Row],[Year]], Changes!ChangeType="Rider Inclusion/Exclusion", Changes!RiderType="Accident Disability"), T45*Changes!NewChangedValue,IF(db!$D$7="Yes",(db!$B$7)*T45,0))))</f>
        <v>0</v>
      </c>
      <c r="Y45" s="42">
        <f>IF(C45&gt;69,0,IF(C45=0,0,IF(X45&lt;=db!$L$3,X45,db!$L$3)))</f>
        <v>0</v>
      </c>
      <c r="Z45" s="29">
        <f>IF(AND(Changes!Change="Yes",Changes!ValidityYear&lt;=Table1[[#This Row],[Year]],Changes!ChangeType="Paid-Up",OR(PaidUpOption="Paid-up with no coverage",PaidUpOption="Paid-up with main coverage")),0,IF(OR(B45=0,Table1[[#This Row],[Accident Capital (2)]]=0),0,IF(AND(Changes!Change="Yes", Changes!ValidityYear&lt;=Table1[[#This Row],[Year]], Changes!ChangeType="Rider Inclusion/Exclusion", Changes!RiderType="Accident Medical Cost"), T45*Changes!NewChangedValue,IF(db!$D$9="Yes",(db!$B$9)*T45,0))))</f>
        <v>0</v>
      </c>
      <c r="AA45" s="29">
        <f>ROUND(IF(C45&gt;69,0,IF(C45=0,0,IF(Z45&lt;=db!$L$4,Z45,db!$L$4))),0)</f>
        <v>0</v>
      </c>
      <c r="AB45" s="38">
        <f>IF(AND(Changes!Change = "Yes", Changes!ChangeType = "Rider Inclusion/Exclusion", Changes!RiderType = "WOP"), IF( Changes!ValidityYear &lt;= Table1[[#This Row],[Year]], IF(WOP = "Yes", 0, 1),  IF(WOP = "Yes", 1, 0)), IF(AND(db!$D$8="Yes",C45&lt;=69,ROW()-1&lt;=InsurancePeriod), 1, 0))</f>
        <v>0</v>
      </c>
      <c r="AC45" s="17">
        <f>(AC46+K46)*AB45*((1)/(1+db!AA47))*(LOOKUP(C45,'Mortality Table'!$A$2:$A$108,'Mortality Table'!$E$2:$E$108))</f>
        <v>0</v>
      </c>
      <c r="AD45" s="340">
        <f>IF(AND(Changes!ValidityYear&lt;= Table1[[#This Row],[Year]],Changes!ChangeType="Change Value Adjustment",Changes!Change="Yes"), (AD46+L46)*AB45*((1)/(1+db!AA47))*(LOOKUP(C45,'Mortality Table'!$A$2:$A$108,'Mortality Table'!$E$2:$E$108)),Table1[[#This Row],[WOP Before Adj. BT]])</f>
        <v>0</v>
      </c>
      <c r="AE45" s="341">
        <f>IF(AND(Changes!Change="Yes", Changes!ChangeType="Change Value Adjustment"),Table1[[#This Row],[WOP Capital]],(AE46+O46)*AB45*((1)/(1+db!AA47))*(LOOKUP(D45,'Mortality Table'!$A$2:$A$108,'Mortality Table'!$E$2:$E$108)))</f>
        <v>0</v>
      </c>
      <c r="AF45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45" s="42">
        <f>IF(AND(Changes!Change="Yes", Changes!ValidityYear&lt;=Table1[[#This Row],[Year]], Changes!ChangeType="Rider Inclusion/Exclusion", Changes!RiderType="Disability Annuity"), L45*Changes!NewChangedValue,L45*db!B$10*IF(db!$D$10="Yes",1,0))</f>
        <v>0</v>
      </c>
      <c r="AH45" s="29">
        <f>IF(AND(Changes!Change="Yes",Changes!ValidityYear&lt;=Table1[[#This Row],[Year]],Changes!ChangeType="Paid-Up"),0,Table1[[#This Row],[Code Annuity Capital]]*IF('Annual Calculation'!C45&gt;69,0,(LOOKUP('Annual Calculation'!C45+1,'Mortality Table'!$A$2:$A$108,'Mortality Table'!$O$2:$O$108)-LOOKUP('Annual Calculation'!C45+11,'Mortality Table'!$A$2:$A$108,'Mortality Table'!$O$2:$O$108))/LOOKUP('Annual Calculation'!C45,'Mortality Table'!$A$2:$A$108,'Mortality Table'!$M$2:$M$108)))</f>
        <v>0</v>
      </c>
      <c r="AI45" s="17">
        <f>IF(AND(Changes!Change="Yes",Changes!ValidityYear&lt;=Table1[[#This Row],[Year]],Changes!ChangeType="Paid-Up",OR(PaidUpOption="Paid-up with no coverage",PaidUpOption="Paid-up with main coverage")),0,IF(B45=0,0,IF(AND(Changes!Change="Yes", Changes!ValidityYear&lt;=Table1[[#This Row],[Year]], Changes!ChangeType="Rider Inclusion/Exclusion", Changes!RiderType="Dread Disease"), T45*Changes!NewChangedValue,IF(db!$D$11="Yes",(db!$B$11)*T45,0))))</f>
        <v>0</v>
      </c>
      <c r="AJ45" s="42">
        <f>ROUND(IF(C45&gt;59,0,IF(C45=0,0,IF(AI45&lt;=db!$L$5,AI45,db!$L$5))),0)</f>
        <v>0</v>
      </c>
      <c r="AK45" s="29">
        <f>IF(AND(Changes!Change="Yes",Changes!ValidityYear&lt;=Table1[[#This Row],[Year]],Changes!ChangeType="Paid-Up",OR(PaidUpOption="Paid-up with no coverage",PaidUpOption="Paid-up with main coverage")),0,IF(B45=0,0,IF(AND(Changes!Change="Yes", Changes!ValidityYear&lt;=Table1[[#This Row],[Year]], Changes!ChangeType="Rider Inclusion/Exclusion", Changes!RiderType="Cancer"), T45*Changes!NewChangedValue,IF(db!$D$12="Yes",(db!$B$12)*T45,0))))</f>
        <v>0</v>
      </c>
      <c r="AL45" s="29">
        <f>ROUND(IF(C45&gt;59,0,IF(C45=0,0,IF(AK45&lt;=db!$L$6,AK45,db!$L$6))),0)</f>
        <v>0</v>
      </c>
      <c r="AM45" s="32"/>
      <c r="AN45" s="18">
        <f>IF(B45=0,0,IF(C45&lt;(db!$E$2+5),LOOKUP(C45,'Mortality Table'!$A$2:$A$108,'Mortality Table'!$P$2:$P$108),IF((C45&gt;=db!$E$2+10),LOOKUP(C45,'Mortality Table'!$A$2:$A$108,'Mortality Table'!$R$2:$R$108),LOOKUP(C45,'Mortality Table'!$A$2:$A$108,'Mortality Table'!$Q$2:$Q$108))))</f>
        <v>0</v>
      </c>
      <c r="AO45" s="22">
        <f t="shared" si="22"/>
        <v>0</v>
      </c>
      <c r="AP45" s="19">
        <f>IF(B45=0,0, LOOKUP(IF(AND(Changes!Change="Yes", Changes!ValidityYear&lt;=Table1[[#This Row],[Year]], Changes!ChangeType="Change Job Class"),Changes!NewChangedValue, db!$A$8),db!$AX$4:$AX$8,db!$AY$4:$AY$8))</f>
        <v>0</v>
      </c>
      <c r="AQ45" s="20">
        <f>ROUND((AP45/1000)*W45 * (1-db!$AS$9),0)</f>
        <v>0</v>
      </c>
      <c r="AR45" s="20">
        <f>(AP45/1000)*W45 * db!$AS$9</f>
        <v>0</v>
      </c>
      <c r="AS45" s="21">
        <f>IF(B45=0,0, LOOKUP(IF(AND(Changes!Change="Yes", Changes!ValidityYear&lt;=Table1[[#This Row],[Year]], Changes!ChangeType="Change Job Class"),Changes!NewChangedValue, db!$A$8),db!$AX$4:$AX$8,db!$AZ$4:$AZ$8))</f>
        <v>0</v>
      </c>
      <c r="AT45" s="22">
        <f>(AS45/1000)*Y45*(1-db!$AS$9)</f>
        <v>0</v>
      </c>
      <c r="AU45" s="22">
        <f>(AS45/1000)*Y45*(db!$AS$9)</f>
        <v>0</v>
      </c>
      <c r="AV45" s="23">
        <f>IF(B45=0,0, LOOKUP(IF(AND(Changes!Change="Yes", Changes!ValidityYear&lt;=Table1[[#This Row],[Year]], Changes!ChangeType="Change Job Class"),Changes!NewChangedValue, db!$A$8),db!$AX$4:$AX$8,db!$BA$4:$BA$8))</f>
        <v>0</v>
      </c>
      <c r="AW45" s="20">
        <f>ROUND((AV45/(100))*AA45*(1-db!$AS$9),0)</f>
        <v>0</v>
      </c>
      <c r="AX45" s="20">
        <f>ROUND((AV45/(100))*AA45*(db!$AS$9),0)</f>
        <v>0</v>
      </c>
      <c r="AY45" s="21">
        <f>IF(db!$D$8="Yes",AS45,0)</f>
        <v>0</v>
      </c>
      <c r="AZ45" s="22">
        <f>(AY45*AF45)/1000*(1-db!$AS$9)</f>
        <v>0</v>
      </c>
      <c r="BA45" s="22">
        <f>(AY45*AF45)/1000*(db!$AS$9)</f>
        <v>0</v>
      </c>
      <c r="BB45" s="23">
        <f t="shared" si="23"/>
        <v>0</v>
      </c>
      <c r="BC45" s="20">
        <f>(BB45*AH45/1000)*(1-db!$AS$9)</f>
        <v>0</v>
      </c>
      <c r="BD45" s="20">
        <f>(BB45*AH45/1000)*(db!$AS$9)</f>
        <v>0</v>
      </c>
      <c r="BE45" s="22">
        <f>IF(B45=0,0,IF(C45&gt;60,0,LOOKUP(Table1[[#This Row],[Medical
Age]],db!$BC$3:$BC$63,db!$BD$3:$BD$63)))</f>
        <v>0</v>
      </c>
      <c r="BF45" s="22">
        <f>BG45*db!$AS$10</f>
        <v>0</v>
      </c>
      <c r="BG45" s="22">
        <f t="shared" si="24"/>
        <v>0</v>
      </c>
      <c r="BH45" s="22">
        <f>(BE45/1000000)*AJ45*(1-db!$AS$10)</f>
        <v>0</v>
      </c>
      <c r="BI45" s="20">
        <f>IF(B45=0,0,IF(C45&gt;59,0,LOOKUP(Table1[[#This Row],[Medical
Age]],db!$BC$3:$BC$63,db!$BE$3:$BE$63)))</f>
        <v>0</v>
      </c>
      <c r="BJ45" s="20">
        <f>(BI45/1000000)*AL45*(1-db!$AS$11)</f>
        <v>0</v>
      </c>
      <c r="BK45" s="20">
        <f>(BI45/1000000)*AL45*(db!$AS$11)</f>
        <v>0</v>
      </c>
      <c r="BL45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45" s="20">
        <f>Table1[[#This Row],[RiskLoading
Rate]]*Table1[[#This Row],[Death Capital (2)]]</f>
        <v>0</v>
      </c>
      <c r="BN45" s="36"/>
      <c r="BO45" s="37">
        <f t="shared" si="25"/>
        <v>0</v>
      </c>
      <c r="BP45" s="35">
        <f t="shared" si="26"/>
        <v>0</v>
      </c>
      <c r="BQ45" s="35">
        <f t="shared" si="27"/>
        <v>0</v>
      </c>
      <c r="BR45" s="37">
        <f t="shared" si="11"/>
        <v>0</v>
      </c>
      <c r="BS45" s="37">
        <f t="shared" si="12"/>
        <v>0</v>
      </c>
      <c r="BT45" s="35">
        <f t="shared" si="13"/>
        <v>0</v>
      </c>
      <c r="BU45" s="35">
        <f t="shared" si="14"/>
        <v>0</v>
      </c>
      <c r="BV45" s="37">
        <f>(db!$AS$4/100)*(L45-BT45-BU45)</f>
        <v>0</v>
      </c>
      <c r="BW45" s="37">
        <f>(db!$AS$8/100)*(L45-BT45-BU45)</f>
        <v>0</v>
      </c>
      <c r="BX45" s="35"/>
      <c r="BY45" s="37"/>
      <c r="BZ45" s="37"/>
      <c r="CA45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45" s="33"/>
      <c r="CC45" s="39">
        <f>ROUND((Table1[[#This Row],[Premium]]-Table1[[#This Row],[All Deductions]]),0)</f>
        <v>0</v>
      </c>
      <c r="CD45" s="39">
        <f>IF(B45=0,0,Table1[[#This Row],[Initial Reserve]]+CE44)</f>
        <v>0</v>
      </c>
      <c r="CE45" s="40">
        <f>ROUND(IF(B45=0,0,((CC45)*(1+db!Y47))+((CE44)*(1+db!U47))),0)</f>
        <v>0</v>
      </c>
      <c r="CF45" s="40">
        <f t="shared" si="28"/>
        <v>0</v>
      </c>
      <c r="CG45" s="15">
        <f t="shared" si="15"/>
        <v>44</v>
      </c>
      <c r="CH45" s="39">
        <f>IF(B45=0,0,((CC45)*(1+db!AH47))+((CH44)*(1+db!AD47)))</f>
        <v>0</v>
      </c>
      <c r="CI45" s="39">
        <f>IF(B45=0,0,((CC45)*(1+db!AH47))+((CI44)*(1+db!AD47)))</f>
        <v>0</v>
      </c>
      <c r="CJ45" s="40">
        <f>IF(B45=0,0,((CC45)*(1+db!AO47))+((CJ44)*(1+db!AK47)))</f>
        <v>0</v>
      </c>
      <c r="CK45" s="40">
        <f>CJ45-(SUM(BX$7:$BX46))</f>
        <v>0</v>
      </c>
      <c r="CL45" s="46"/>
    </row>
    <row r="46" spans="1:90">
      <c r="A46" s="24">
        <f t="shared" si="16"/>
        <v>45</v>
      </c>
      <c r="B46" s="16">
        <f>IF(AND(Changes!Change="Yes", Changes!ChangeType="Change Contract Duration"),IF(B45=0,0,IF(Changes!NewChangedValue&lt;B45+1,0,B45+1)),IF(B45=0,0,IF('Application Annually'!$C$5&lt;B45+1,0,B45+1)))</f>
        <v>0</v>
      </c>
      <c r="C46" s="15">
        <f t="shared" si="17"/>
        <v>0</v>
      </c>
      <c r="D46" s="312">
        <f t="shared" si="18"/>
        <v>72</v>
      </c>
      <c r="E46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46" s="29">
        <f t="shared" si="8"/>
        <v>0</v>
      </c>
      <c r="G46" s="29">
        <f t="shared" si="9"/>
        <v>0</v>
      </c>
      <c r="H46" s="29">
        <f t="shared" si="20"/>
        <v>0</v>
      </c>
      <c r="I46" s="29">
        <f>IF(B46&gt;0,IF(AND(Table1[[#This Row],[Year]]&gt;Changes!ValidityYear,Changes!Change="Yes",Changes!ChangeType="Change Value Adjustment"),Changes!$G$22,'Application Annually'!$C$11),0)</f>
        <v>0</v>
      </c>
      <c r="J46" s="29">
        <f>IF(B46&gt;0,IF(AND(Table1[[#This Row],[Year]]&gt;Changes!ValidityYear,Changes!Change="Yes",Changes!ChangeType="Change Value Adjustment"),Changes!$G$24,'Application Annually'!$C$7),0)</f>
        <v>0</v>
      </c>
      <c r="K46" s="29">
        <f>ROUND(IF(B46=0,0,IF(AND(Changes!Change="Yes", Changes!ValidityYear=Table1[[#This Row],[Year]], Changes!ChangeType="Change Premium"), Changes!NewChangedValue, (K45*(1+db!$B$3)))),0)</f>
        <v>0</v>
      </c>
      <c r="L46" s="29">
        <f>ROUND(IF(AND(Changes!Change="Yes",Changes!ValidityYear&lt;=Table1[[#This Row],[Year]],Changes!ChangeType="Paid-Up"),0,IF(B46=0,0,IF(AND(Changes!Change="Yes", Changes!ValidityYear=Table1[[#This Row],[Year]], Changes!ChangeType="Change Premium"), Changes!NewChangedValue, (L45*(1+Table1[[#This Row],[Adjustment Factor of Premium]]/100))))),0)</f>
        <v>0</v>
      </c>
      <c r="M46" s="29">
        <f>IF(Table1[[#This Row],[Year]]=1,ROUND(MIN($L$2 -( Table1[[#This Row],[Riders Risk Premiums]] + Table1[[#This Row],[Acquisition Cost]]) *0.75,Table1[[#This Row],[Death Capital (1)]]* 0.03),0),0)</f>
        <v>0</v>
      </c>
      <c r="N46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46" s="29">
        <f>ROUND(IF(ROW()-1&gt;InsurancePeriod,0,(O45*(1+(Table1[[#This Row],[Adjustment Factor of Premium]]/100)))),0)</f>
        <v>0</v>
      </c>
      <c r="P46" s="29">
        <f>IF(Table1[Year] = 0, 0, SUM(L$2:L46))</f>
        <v>0</v>
      </c>
      <c r="Q46" s="17">
        <f t="shared" si="21"/>
        <v>0</v>
      </c>
      <c r="R46" s="17">
        <f>IF(Table1[[#This Row],[Year]]=0,0,IF($C$2&lt;=50,LOOKUP(Table1[[#This Row],[Age]],db!BG47:BG153,db!BH47:BH153),LOOKUP(Table1[[#This Row],[Age]],db!BJ47:BJ153,db!BK47:BK153)))</f>
        <v>0</v>
      </c>
      <c r="S46" s="17">
        <f>IF(AND(Changes!Change="Yes",Changes!ValidityYear&lt;=Table1[[#This Row],[Year]],Changes!ChangeType="Paid-Up",PaidUpOption="Paid-up with no coverage"),0,IF(B46=0,0, IF(AND(Changes!Change="Yes", Changes!ValidityYear=Table1[[#This Row],[Year]], Changes!ChangeType="Change Death Capital"), Changes!NewChangedValue, S45*(1+(Table1[[#This Row],[Adjustment Factor of Death Capital]]/100)))))</f>
        <v>0</v>
      </c>
      <c r="T46" s="17">
        <f>MIN(IF(B46=0,0,Table1[[#This Row],[Death Capital (1)]]),Table1[[#This Row],[Max Sum Insured For Death]])</f>
        <v>0</v>
      </c>
      <c r="U46" s="29">
        <f t="shared" si="10"/>
        <v>0</v>
      </c>
      <c r="V46" s="29">
        <f>IF(AND(Changes!Change="Yes",Changes!ValidityYear&lt;=Table1[[#This Row],[Year]],Changes!ChangeType="Paid-Up",OR(PaidUpOption="Paid-up with no coverage",PaidUpOption="Paid-up with main coverage")),0,IF(B46=0,0,IF(AND(Changes!Change="Yes", Changes!ValidityYear&lt;=Table1[[#This Row],[Year]], Changes!ChangeType="Rider Inclusion/Exclusion", Changes!RiderType="Accident Death"), T46*Changes!NewChangedValue,IF(db!$D$6="Yes",(db!$B$6)*T46,0))))</f>
        <v>0</v>
      </c>
      <c r="W46" s="29">
        <f>MIN(IF(V46&lt;=db!$L$2,V46,db!$L$2),MAX_ACC_CAPITAL)</f>
        <v>0</v>
      </c>
      <c r="X46" s="17">
        <f>IF(AND(Changes!Change="Yes",Changes!ValidityYear&lt;=Table1[[#This Row],[Year]],Changes!ChangeType="Paid-Up",OR(PaidUpOption="Paid-up with no coverage",PaidUpOption="Paid-up with main coverage")),0,IF(OR(B46=0,Table1[[#This Row],[Accident Capital (2)]]=0),0,IF(AND(Changes!Change="Yes", Changes!ValidityYear&lt;=Table1[[#This Row],[Year]], Changes!ChangeType="Rider Inclusion/Exclusion", Changes!RiderType="Accident Disability"), T46*Changes!NewChangedValue,IF(db!$D$7="Yes",(db!$B$7)*T46,0))))</f>
        <v>0</v>
      </c>
      <c r="Y46" s="42">
        <f>IF(C46&gt;69,0,IF(C46=0,0,IF(X46&lt;=db!$L$3,X46,db!$L$3)))</f>
        <v>0</v>
      </c>
      <c r="Z46" s="29">
        <f>IF(AND(Changes!Change="Yes",Changes!ValidityYear&lt;=Table1[[#This Row],[Year]],Changes!ChangeType="Paid-Up",OR(PaidUpOption="Paid-up with no coverage",PaidUpOption="Paid-up with main coverage")),0,IF(OR(B46=0,Table1[[#This Row],[Accident Capital (2)]]=0),0,IF(AND(Changes!Change="Yes", Changes!ValidityYear&lt;=Table1[[#This Row],[Year]], Changes!ChangeType="Rider Inclusion/Exclusion", Changes!RiderType="Accident Medical Cost"), T46*Changes!NewChangedValue,IF(db!$D$9="Yes",(db!$B$9)*T46,0))))</f>
        <v>0</v>
      </c>
      <c r="AA46" s="29">
        <f>ROUND(IF(C46&gt;69,0,IF(C46=0,0,IF(Z46&lt;=db!$L$4,Z46,db!$L$4))),0)</f>
        <v>0</v>
      </c>
      <c r="AB46" s="38">
        <f>IF(AND(Changes!Change = "Yes", Changes!ChangeType = "Rider Inclusion/Exclusion", Changes!RiderType = "WOP"), IF( Changes!ValidityYear &lt;= Table1[[#This Row],[Year]], IF(WOP = "Yes", 0, 1),  IF(WOP = "Yes", 1, 0)), IF(AND(db!$D$8="Yes",C46&lt;=69,ROW()-1&lt;=InsurancePeriod), 1, 0))</f>
        <v>0</v>
      </c>
      <c r="AC46" s="17">
        <f>(AC47+K47)*AB46*((1)/(1+db!AA48))*(LOOKUP(C46,'Mortality Table'!$A$2:$A$108,'Mortality Table'!$E$2:$E$108))</f>
        <v>0</v>
      </c>
      <c r="AD46" s="340">
        <f>IF(AND(Changes!ValidityYear&lt;= Table1[[#This Row],[Year]],Changes!ChangeType="Change Value Adjustment",Changes!Change="Yes"), (AD47+L47)*AB46*((1)/(1+db!AA48))*(LOOKUP(C46,'Mortality Table'!$A$2:$A$108,'Mortality Table'!$E$2:$E$108)),Table1[[#This Row],[WOP Before Adj. BT]])</f>
        <v>0</v>
      </c>
      <c r="AE46" s="341">
        <f>IF(AND(Changes!Change="Yes", Changes!ChangeType="Change Value Adjustment"),Table1[[#This Row],[WOP Capital]],(AE47+O47)*AB46*((1)/(1+db!AA48))*(LOOKUP(D46,'Mortality Table'!$A$2:$A$108,'Mortality Table'!$E$2:$E$108)))</f>
        <v>0</v>
      </c>
      <c r="AF46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46" s="42">
        <f>IF(AND(Changes!Change="Yes", Changes!ValidityYear&lt;=Table1[[#This Row],[Year]], Changes!ChangeType="Rider Inclusion/Exclusion", Changes!RiderType="Disability Annuity"), L46*Changes!NewChangedValue,L46*db!B$10*IF(db!$D$10="Yes",1,0))</f>
        <v>0</v>
      </c>
      <c r="AH46" s="29">
        <f>IF(AND(Changes!Change="Yes",Changes!ValidityYear&lt;=Table1[[#This Row],[Year]],Changes!ChangeType="Paid-Up"),0,Table1[[#This Row],[Code Annuity Capital]]*IF('Annual Calculation'!C46&gt;69,0,(LOOKUP('Annual Calculation'!C46+1,'Mortality Table'!$A$2:$A$108,'Mortality Table'!$O$2:$O$108)-LOOKUP('Annual Calculation'!C46+11,'Mortality Table'!$A$2:$A$108,'Mortality Table'!$O$2:$O$108))/LOOKUP('Annual Calculation'!C46,'Mortality Table'!$A$2:$A$108,'Mortality Table'!$M$2:$M$108)))</f>
        <v>0</v>
      </c>
      <c r="AI46" s="17">
        <f>IF(AND(Changes!Change="Yes",Changes!ValidityYear&lt;=Table1[[#This Row],[Year]],Changes!ChangeType="Paid-Up",OR(PaidUpOption="Paid-up with no coverage",PaidUpOption="Paid-up with main coverage")),0,IF(B46=0,0,IF(AND(Changes!Change="Yes", Changes!ValidityYear&lt;=Table1[[#This Row],[Year]], Changes!ChangeType="Rider Inclusion/Exclusion", Changes!RiderType="Dread Disease"), T46*Changes!NewChangedValue,IF(db!$D$11="Yes",(db!$B$11)*T46,0))))</f>
        <v>0</v>
      </c>
      <c r="AJ46" s="42">
        <f>ROUND(IF(C46&gt;59,0,IF(C46=0,0,IF(AI46&lt;=db!$L$5,AI46,db!$L$5))),0)</f>
        <v>0</v>
      </c>
      <c r="AK46" s="29">
        <f>IF(AND(Changes!Change="Yes",Changes!ValidityYear&lt;=Table1[[#This Row],[Year]],Changes!ChangeType="Paid-Up",OR(PaidUpOption="Paid-up with no coverage",PaidUpOption="Paid-up with main coverage")),0,IF(B46=0,0,IF(AND(Changes!Change="Yes", Changes!ValidityYear&lt;=Table1[[#This Row],[Year]], Changes!ChangeType="Rider Inclusion/Exclusion", Changes!RiderType="Cancer"), T46*Changes!NewChangedValue,IF(db!$D$12="Yes",(db!$B$12)*T46,0))))</f>
        <v>0</v>
      </c>
      <c r="AL46" s="29">
        <f>ROUND(IF(C46&gt;59,0,IF(C46=0,0,IF(AK46&lt;=db!$L$6,AK46,db!$L$6))),0)</f>
        <v>0</v>
      </c>
      <c r="AM46" s="32"/>
      <c r="AN46" s="18">
        <f>IF(B46=0,0,IF(C46&lt;(db!$E$2+5),LOOKUP(C46,'Mortality Table'!$A$2:$A$108,'Mortality Table'!$P$2:$P$108),IF((C46&gt;=db!$E$2+10),LOOKUP(C46,'Mortality Table'!$A$2:$A$108,'Mortality Table'!$R$2:$R$108),LOOKUP(C46,'Mortality Table'!$A$2:$A$108,'Mortality Table'!$Q$2:$Q$108))))</f>
        <v>0</v>
      </c>
      <c r="AO46" s="22">
        <f t="shared" si="22"/>
        <v>0</v>
      </c>
      <c r="AP46" s="19">
        <f>IF(B46=0,0, LOOKUP(IF(AND(Changes!Change="Yes", Changes!ValidityYear&lt;=Table1[[#This Row],[Year]], Changes!ChangeType="Change Job Class"),Changes!NewChangedValue, db!$A$8),db!$AX$4:$AX$8,db!$AY$4:$AY$8))</f>
        <v>0</v>
      </c>
      <c r="AQ46" s="20">
        <f>ROUND((AP46/1000)*W46 * (1-db!$AS$9),0)</f>
        <v>0</v>
      </c>
      <c r="AR46" s="20">
        <f>(AP46/1000)*W46 * db!$AS$9</f>
        <v>0</v>
      </c>
      <c r="AS46" s="21">
        <f>IF(B46=0,0, LOOKUP(IF(AND(Changes!Change="Yes", Changes!ValidityYear&lt;=Table1[[#This Row],[Year]], Changes!ChangeType="Change Job Class"),Changes!NewChangedValue, db!$A$8),db!$AX$4:$AX$8,db!$AZ$4:$AZ$8))</f>
        <v>0</v>
      </c>
      <c r="AT46" s="22">
        <f>(AS46/1000)*Y46*(1-db!$AS$9)</f>
        <v>0</v>
      </c>
      <c r="AU46" s="22">
        <f>(AS46/1000)*Y46*(db!$AS$9)</f>
        <v>0</v>
      </c>
      <c r="AV46" s="23">
        <f>IF(B46=0,0, LOOKUP(IF(AND(Changes!Change="Yes", Changes!ValidityYear&lt;=Table1[[#This Row],[Year]], Changes!ChangeType="Change Job Class"),Changes!NewChangedValue, db!$A$8),db!$AX$4:$AX$8,db!$BA$4:$BA$8))</f>
        <v>0</v>
      </c>
      <c r="AW46" s="20">
        <f>ROUND((AV46/(100))*AA46*(1-db!$AS$9),0)</f>
        <v>0</v>
      </c>
      <c r="AX46" s="20">
        <f>ROUND((AV46/(100))*AA46*(db!$AS$9),0)</f>
        <v>0</v>
      </c>
      <c r="AY46" s="21">
        <f>IF(db!$D$8="Yes",AS46,0)</f>
        <v>0</v>
      </c>
      <c r="AZ46" s="22">
        <f>(AY46*AF46)/1000*(1-db!$AS$9)</f>
        <v>0</v>
      </c>
      <c r="BA46" s="22">
        <f>(AY46*AF46)/1000*(db!$AS$9)</f>
        <v>0</v>
      </c>
      <c r="BB46" s="23">
        <f t="shared" si="23"/>
        <v>0</v>
      </c>
      <c r="BC46" s="20">
        <f>(BB46*AH46/1000)*(1-db!$AS$9)</f>
        <v>0</v>
      </c>
      <c r="BD46" s="20">
        <f>(BB46*AH46/1000)*(db!$AS$9)</f>
        <v>0</v>
      </c>
      <c r="BE46" s="22">
        <f>IF(B46=0,0,IF(C46&gt;60,0,LOOKUP(Table1[[#This Row],[Medical
Age]],db!$BC$3:$BC$63,db!$BD$3:$BD$63)))</f>
        <v>0</v>
      </c>
      <c r="BF46" s="22">
        <f>BG46*db!$AS$10</f>
        <v>0</v>
      </c>
      <c r="BG46" s="22">
        <f t="shared" si="24"/>
        <v>0</v>
      </c>
      <c r="BH46" s="22">
        <f>(BE46/1000000)*AJ46*(1-db!$AS$10)</f>
        <v>0</v>
      </c>
      <c r="BI46" s="20">
        <f>IF(B46=0,0,IF(C46&gt;59,0,LOOKUP(Table1[[#This Row],[Medical
Age]],db!$BC$3:$BC$63,db!$BE$3:$BE$63)))</f>
        <v>0</v>
      </c>
      <c r="BJ46" s="20">
        <f>(BI46/1000000)*AL46*(1-db!$AS$11)</f>
        <v>0</v>
      </c>
      <c r="BK46" s="20">
        <f>(BI46/1000000)*AL46*(db!$AS$11)</f>
        <v>0</v>
      </c>
      <c r="BL46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46" s="20">
        <f>Table1[[#This Row],[RiskLoading
Rate]]*Table1[[#This Row],[Death Capital (2)]]</f>
        <v>0</v>
      </c>
      <c r="BN46" s="36"/>
      <c r="BO46" s="37">
        <f t="shared" si="25"/>
        <v>0</v>
      </c>
      <c r="BP46" s="35">
        <f t="shared" si="26"/>
        <v>0</v>
      </c>
      <c r="BQ46" s="35">
        <f t="shared" si="27"/>
        <v>0</v>
      </c>
      <c r="BR46" s="37">
        <f t="shared" si="11"/>
        <v>0</v>
      </c>
      <c r="BS46" s="37">
        <f t="shared" si="12"/>
        <v>0</v>
      </c>
      <c r="BT46" s="35">
        <f t="shared" si="13"/>
        <v>0</v>
      </c>
      <c r="BU46" s="35">
        <f t="shared" si="14"/>
        <v>0</v>
      </c>
      <c r="BV46" s="37">
        <f>(db!$AS$4/100)*(L46-BT46-BU46)</f>
        <v>0</v>
      </c>
      <c r="BW46" s="37">
        <f>(db!$AS$8/100)*(L46-BT46-BU46)</f>
        <v>0</v>
      </c>
      <c r="BX46" s="35"/>
      <c r="BY46" s="37"/>
      <c r="BZ46" s="37"/>
      <c r="CA46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46" s="33"/>
      <c r="CC46" s="39">
        <f>ROUND((Table1[[#This Row],[Premium]]-Table1[[#This Row],[All Deductions]]),0)</f>
        <v>0</v>
      </c>
      <c r="CD46" s="39">
        <f>IF(B46=0,0,Table1[[#This Row],[Initial Reserve]]+CE45)</f>
        <v>0</v>
      </c>
      <c r="CE46" s="40">
        <f>ROUND(IF(B46=0,0,((CC46)*(1+db!Y48))+((CE45)*(1+db!U48))),0)</f>
        <v>0</v>
      </c>
      <c r="CF46" s="40">
        <f t="shared" si="28"/>
        <v>0</v>
      </c>
      <c r="CG46" s="15">
        <f t="shared" si="15"/>
        <v>45</v>
      </c>
      <c r="CH46" s="39">
        <f>IF(B46=0,0,((CC46)*(1+db!AH48))+((CH45)*(1+db!AD48)))</f>
        <v>0</v>
      </c>
      <c r="CI46" s="39">
        <f>IF(B46=0,0,((CC46)*(1+db!AH48))+((CI45)*(1+db!AD48)))</f>
        <v>0</v>
      </c>
      <c r="CJ46" s="40">
        <f>IF(B46=0,0,((CC46)*(1+db!AO48))+((CJ45)*(1+db!AK48)))</f>
        <v>0</v>
      </c>
      <c r="CK46" s="40">
        <f>CJ46-(SUM(BX$7:$BX47))</f>
        <v>0</v>
      </c>
      <c r="CL46" s="46"/>
    </row>
    <row r="47" spans="1:90">
      <c r="A47" s="24">
        <f t="shared" si="16"/>
        <v>46</v>
      </c>
      <c r="B47" s="16">
        <f>IF(AND(Changes!Change="Yes", Changes!ChangeType="Change Contract Duration"),IF(B46=0,0,IF(Changes!NewChangedValue&lt;B46+1,0,B46+1)),IF(B46=0,0,IF('Application Annually'!$C$5&lt;B46+1,0,B46+1)))</f>
        <v>0</v>
      </c>
      <c r="C47" s="15">
        <f t="shared" si="17"/>
        <v>0</v>
      </c>
      <c r="D47" s="312">
        <f t="shared" si="18"/>
        <v>73</v>
      </c>
      <c r="E47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47" s="29">
        <f t="shared" si="8"/>
        <v>0</v>
      </c>
      <c r="G47" s="29">
        <f t="shared" si="9"/>
        <v>0</v>
      </c>
      <c r="H47" s="29">
        <f t="shared" si="20"/>
        <v>0</v>
      </c>
      <c r="I47" s="29">
        <f>IF(B47&gt;0,IF(AND(Table1[[#This Row],[Year]]&gt;Changes!ValidityYear,Changes!Change="Yes",Changes!ChangeType="Change Value Adjustment"),Changes!$G$22,'Application Annually'!$C$11),0)</f>
        <v>0</v>
      </c>
      <c r="J47" s="29">
        <f>IF(B47&gt;0,IF(AND(Table1[[#This Row],[Year]]&gt;Changes!ValidityYear,Changes!Change="Yes",Changes!ChangeType="Change Value Adjustment"),Changes!$G$24,'Application Annually'!$C$7),0)</f>
        <v>0</v>
      </c>
      <c r="K47" s="29">
        <f>ROUND(IF(B47=0,0,IF(AND(Changes!Change="Yes", Changes!ValidityYear=Table1[[#This Row],[Year]], Changes!ChangeType="Change Premium"), Changes!NewChangedValue, (K46*(1+db!$B$3)))),0)</f>
        <v>0</v>
      </c>
      <c r="L47" s="29">
        <f>ROUND(IF(AND(Changes!Change="Yes",Changes!ValidityYear&lt;=Table1[[#This Row],[Year]],Changes!ChangeType="Paid-Up"),0,IF(B47=0,0,IF(AND(Changes!Change="Yes", Changes!ValidityYear=Table1[[#This Row],[Year]], Changes!ChangeType="Change Premium"), Changes!NewChangedValue, (L46*(1+Table1[[#This Row],[Adjustment Factor of Premium]]/100))))),0)</f>
        <v>0</v>
      </c>
      <c r="M47" s="29">
        <f>IF(Table1[[#This Row],[Year]]=1,ROUND(MIN($L$2 -( Table1[[#This Row],[Riders Risk Premiums]] + Table1[[#This Row],[Acquisition Cost]]) *0.75,Table1[[#This Row],[Death Capital (1)]]* 0.03),0),0)</f>
        <v>0</v>
      </c>
      <c r="N47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47" s="29">
        <f>ROUND(IF(ROW()-1&gt;InsurancePeriod,0,(O46*(1+(Table1[[#This Row],[Adjustment Factor of Premium]]/100)))),0)</f>
        <v>0</v>
      </c>
      <c r="P47" s="29">
        <f>IF(Table1[Year] = 0, 0, SUM(L$2:L47))</f>
        <v>0</v>
      </c>
      <c r="Q47" s="17">
        <f t="shared" si="21"/>
        <v>0</v>
      </c>
      <c r="R47" s="17">
        <f>IF(Table1[[#This Row],[Year]]=0,0,IF($C$2&lt;=50,LOOKUP(Table1[[#This Row],[Age]],db!BG48:BG154,db!BH48:BH154),LOOKUP(Table1[[#This Row],[Age]],db!BJ48:BJ154,db!BK48:BK154)))</f>
        <v>0</v>
      </c>
      <c r="S47" s="17">
        <f>IF(AND(Changes!Change="Yes",Changes!ValidityYear&lt;=Table1[[#This Row],[Year]],Changes!ChangeType="Paid-Up",PaidUpOption="Paid-up with no coverage"),0,IF(B47=0,0, IF(AND(Changes!Change="Yes", Changes!ValidityYear=Table1[[#This Row],[Year]], Changes!ChangeType="Change Death Capital"), Changes!NewChangedValue, S46*(1+(Table1[[#This Row],[Adjustment Factor of Death Capital]]/100)))))</f>
        <v>0</v>
      </c>
      <c r="T47" s="17">
        <f>MIN(IF(B47=0,0,Table1[[#This Row],[Death Capital (1)]]),Table1[[#This Row],[Max Sum Insured For Death]])</f>
        <v>0</v>
      </c>
      <c r="U47" s="29">
        <f t="shared" si="10"/>
        <v>0</v>
      </c>
      <c r="V47" s="29">
        <f>IF(AND(Changes!Change="Yes",Changes!ValidityYear&lt;=Table1[[#This Row],[Year]],Changes!ChangeType="Paid-Up",OR(PaidUpOption="Paid-up with no coverage",PaidUpOption="Paid-up with main coverage")),0,IF(B47=0,0,IF(AND(Changes!Change="Yes", Changes!ValidityYear&lt;=Table1[[#This Row],[Year]], Changes!ChangeType="Rider Inclusion/Exclusion", Changes!RiderType="Accident Death"), T47*Changes!NewChangedValue,IF(db!$D$6="Yes",(db!$B$6)*T47,0))))</f>
        <v>0</v>
      </c>
      <c r="W47" s="29">
        <f>MIN(IF(V47&lt;=db!$L$2,V47,db!$L$2),MAX_ACC_CAPITAL)</f>
        <v>0</v>
      </c>
      <c r="X47" s="17">
        <f>IF(AND(Changes!Change="Yes",Changes!ValidityYear&lt;=Table1[[#This Row],[Year]],Changes!ChangeType="Paid-Up",OR(PaidUpOption="Paid-up with no coverage",PaidUpOption="Paid-up with main coverage")),0,IF(OR(B47=0,Table1[[#This Row],[Accident Capital (2)]]=0),0,IF(AND(Changes!Change="Yes", Changes!ValidityYear&lt;=Table1[[#This Row],[Year]], Changes!ChangeType="Rider Inclusion/Exclusion", Changes!RiderType="Accident Disability"), T47*Changes!NewChangedValue,IF(db!$D$7="Yes",(db!$B$7)*T47,0))))</f>
        <v>0</v>
      </c>
      <c r="Y47" s="42">
        <f>IF(C47&gt;69,0,IF(C47=0,0,IF(X47&lt;=db!$L$3,X47,db!$L$3)))</f>
        <v>0</v>
      </c>
      <c r="Z47" s="29">
        <f>IF(AND(Changes!Change="Yes",Changes!ValidityYear&lt;=Table1[[#This Row],[Year]],Changes!ChangeType="Paid-Up",OR(PaidUpOption="Paid-up with no coverage",PaidUpOption="Paid-up with main coverage")),0,IF(OR(B47=0,Table1[[#This Row],[Accident Capital (2)]]=0),0,IF(AND(Changes!Change="Yes", Changes!ValidityYear&lt;=Table1[[#This Row],[Year]], Changes!ChangeType="Rider Inclusion/Exclusion", Changes!RiderType="Accident Medical Cost"), T47*Changes!NewChangedValue,IF(db!$D$9="Yes",(db!$B$9)*T47,0))))</f>
        <v>0</v>
      </c>
      <c r="AA47" s="29">
        <f>ROUND(IF(C47&gt;69,0,IF(C47=0,0,IF(Z47&lt;=db!$L$4,Z47,db!$L$4))),0)</f>
        <v>0</v>
      </c>
      <c r="AB47" s="38">
        <f>IF(AND(Changes!Change = "Yes", Changes!ChangeType = "Rider Inclusion/Exclusion", Changes!RiderType = "WOP"), IF( Changes!ValidityYear &lt;= Table1[[#This Row],[Year]], IF(WOP = "Yes", 0, 1),  IF(WOP = "Yes", 1, 0)), IF(AND(db!$D$8="Yes",C47&lt;=69,ROW()-1&lt;=InsurancePeriod), 1, 0))</f>
        <v>0</v>
      </c>
      <c r="AC47" s="17">
        <f>(AC48+K48)*AB47*((1)/(1+db!AA49))*(LOOKUP(C47,'Mortality Table'!$A$2:$A$108,'Mortality Table'!$E$2:$E$108))</f>
        <v>0</v>
      </c>
      <c r="AD47" s="340">
        <f>IF(AND(Changes!ValidityYear&lt;= Table1[[#This Row],[Year]],Changes!ChangeType="Change Value Adjustment",Changes!Change="Yes"), (AD48+L48)*AB47*((1)/(1+db!AA49))*(LOOKUP(C47,'Mortality Table'!$A$2:$A$108,'Mortality Table'!$E$2:$E$108)),Table1[[#This Row],[WOP Before Adj. BT]])</f>
        <v>0</v>
      </c>
      <c r="AE47" s="341">
        <f>IF(AND(Changes!Change="Yes", Changes!ChangeType="Change Value Adjustment"),Table1[[#This Row],[WOP Capital]],(AE48+O48)*AB47*((1)/(1+db!AA49))*(LOOKUP(D47,'Mortality Table'!$A$2:$A$108,'Mortality Table'!$E$2:$E$108)))</f>
        <v>0</v>
      </c>
      <c r="AF47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47" s="42">
        <f>IF(AND(Changes!Change="Yes", Changes!ValidityYear&lt;=Table1[[#This Row],[Year]], Changes!ChangeType="Rider Inclusion/Exclusion", Changes!RiderType="Disability Annuity"), L47*Changes!NewChangedValue,L47*db!B$10*IF(db!$D$10="Yes",1,0))</f>
        <v>0</v>
      </c>
      <c r="AH47" s="29">
        <f>IF(AND(Changes!Change="Yes",Changes!ValidityYear&lt;=Table1[[#This Row],[Year]],Changes!ChangeType="Paid-Up"),0,Table1[[#This Row],[Code Annuity Capital]]*IF('Annual Calculation'!C47&gt;69,0,(LOOKUP('Annual Calculation'!C47+1,'Mortality Table'!$A$2:$A$108,'Mortality Table'!$O$2:$O$108)-LOOKUP('Annual Calculation'!C47+11,'Mortality Table'!$A$2:$A$108,'Mortality Table'!$O$2:$O$108))/LOOKUP('Annual Calculation'!C47,'Mortality Table'!$A$2:$A$108,'Mortality Table'!$M$2:$M$108)))</f>
        <v>0</v>
      </c>
      <c r="AI47" s="17">
        <f>IF(AND(Changes!Change="Yes",Changes!ValidityYear&lt;=Table1[[#This Row],[Year]],Changes!ChangeType="Paid-Up",OR(PaidUpOption="Paid-up with no coverage",PaidUpOption="Paid-up with main coverage")),0,IF(B47=0,0,IF(AND(Changes!Change="Yes", Changes!ValidityYear&lt;=Table1[[#This Row],[Year]], Changes!ChangeType="Rider Inclusion/Exclusion", Changes!RiderType="Dread Disease"), T47*Changes!NewChangedValue,IF(db!$D$11="Yes",(db!$B$11)*T47,0))))</f>
        <v>0</v>
      </c>
      <c r="AJ47" s="42">
        <f>ROUND(IF(C47&gt;59,0,IF(C47=0,0,IF(AI47&lt;=db!$L$5,AI47,db!$L$5))),0)</f>
        <v>0</v>
      </c>
      <c r="AK47" s="29">
        <f>IF(AND(Changes!Change="Yes",Changes!ValidityYear&lt;=Table1[[#This Row],[Year]],Changes!ChangeType="Paid-Up",OR(PaidUpOption="Paid-up with no coverage",PaidUpOption="Paid-up with main coverage")),0,IF(B47=0,0,IF(AND(Changes!Change="Yes", Changes!ValidityYear&lt;=Table1[[#This Row],[Year]], Changes!ChangeType="Rider Inclusion/Exclusion", Changes!RiderType="Cancer"), T47*Changes!NewChangedValue,IF(db!$D$12="Yes",(db!$B$12)*T47,0))))</f>
        <v>0</v>
      </c>
      <c r="AL47" s="29">
        <f>ROUND(IF(C47&gt;59,0,IF(C47=0,0,IF(AK47&lt;=db!$L$6,AK47,db!$L$6))),0)</f>
        <v>0</v>
      </c>
      <c r="AM47" s="32"/>
      <c r="AN47" s="18">
        <f>IF(B47=0,0,IF(C47&lt;(db!$E$2+5),LOOKUP(C47,'Mortality Table'!$A$2:$A$108,'Mortality Table'!$P$2:$P$108),IF((C47&gt;=db!$E$2+10),LOOKUP(C47,'Mortality Table'!$A$2:$A$108,'Mortality Table'!$R$2:$R$108),LOOKUP(C47,'Mortality Table'!$A$2:$A$108,'Mortality Table'!$Q$2:$Q$108))))</f>
        <v>0</v>
      </c>
      <c r="AO47" s="22">
        <f t="shared" si="22"/>
        <v>0</v>
      </c>
      <c r="AP47" s="19">
        <f>IF(B47=0,0, LOOKUP(IF(AND(Changes!Change="Yes", Changes!ValidityYear&lt;=Table1[[#This Row],[Year]], Changes!ChangeType="Change Job Class"),Changes!NewChangedValue, db!$A$8),db!$AX$4:$AX$8,db!$AY$4:$AY$8))</f>
        <v>0</v>
      </c>
      <c r="AQ47" s="20">
        <f>ROUND((AP47/1000)*W47 * (1-db!$AS$9),0)</f>
        <v>0</v>
      </c>
      <c r="AR47" s="20">
        <f>(AP47/1000)*W47 * db!$AS$9</f>
        <v>0</v>
      </c>
      <c r="AS47" s="21">
        <f>IF(B47=0,0, LOOKUP(IF(AND(Changes!Change="Yes", Changes!ValidityYear&lt;=Table1[[#This Row],[Year]], Changes!ChangeType="Change Job Class"),Changes!NewChangedValue, db!$A$8),db!$AX$4:$AX$8,db!$AZ$4:$AZ$8))</f>
        <v>0</v>
      </c>
      <c r="AT47" s="22">
        <f>(AS47/1000)*Y47*(1-db!$AS$9)</f>
        <v>0</v>
      </c>
      <c r="AU47" s="22">
        <f>(AS47/1000)*Y47*(db!$AS$9)</f>
        <v>0</v>
      </c>
      <c r="AV47" s="23">
        <f>IF(B47=0,0, LOOKUP(IF(AND(Changes!Change="Yes", Changes!ValidityYear&lt;=Table1[[#This Row],[Year]], Changes!ChangeType="Change Job Class"),Changes!NewChangedValue, db!$A$8),db!$AX$4:$AX$8,db!$BA$4:$BA$8))</f>
        <v>0</v>
      </c>
      <c r="AW47" s="20">
        <f>ROUND((AV47/(100))*AA47*(1-db!$AS$9),0)</f>
        <v>0</v>
      </c>
      <c r="AX47" s="20">
        <f>ROUND((AV47/(100))*AA47*(db!$AS$9),0)</f>
        <v>0</v>
      </c>
      <c r="AY47" s="21">
        <f>IF(db!$D$8="Yes",AS47,0)</f>
        <v>0</v>
      </c>
      <c r="AZ47" s="22">
        <f>(AY47*AF47)/1000*(1-db!$AS$9)</f>
        <v>0</v>
      </c>
      <c r="BA47" s="22">
        <f>(AY47*AF47)/1000*(db!$AS$9)</f>
        <v>0</v>
      </c>
      <c r="BB47" s="23">
        <f t="shared" si="23"/>
        <v>0</v>
      </c>
      <c r="BC47" s="20">
        <f>(BB47*AH47/1000)*(1-db!$AS$9)</f>
        <v>0</v>
      </c>
      <c r="BD47" s="20">
        <f>(BB47*AH47/1000)*(db!$AS$9)</f>
        <v>0</v>
      </c>
      <c r="BE47" s="22">
        <f>IF(B47=0,0,IF(C47&gt;60,0,LOOKUP(Table1[[#This Row],[Medical
Age]],db!$BC$3:$BC$63,db!$BD$3:$BD$63)))</f>
        <v>0</v>
      </c>
      <c r="BF47" s="22">
        <f>BG47*db!$AS$10</f>
        <v>0</v>
      </c>
      <c r="BG47" s="22">
        <f t="shared" si="24"/>
        <v>0</v>
      </c>
      <c r="BH47" s="22">
        <f>(BE47/1000000)*AJ47*(1-db!$AS$10)</f>
        <v>0</v>
      </c>
      <c r="BI47" s="20">
        <f>IF(B47=0,0,IF(C47&gt;59,0,LOOKUP(Table1[[#This Row],[Medical
Age]],db!$BC$3:$BC$63,db!$BE$3:$BE$63)))</f>
        <v>0</v>
      </c>
      <c r="BJ47" s="20">
        <f>(BI47/1000000)*AL47*(1-db!$AS$11)</f>
        <v>0</v>
      </c>
      <c r="BK47" s="20">
        <f>(BI47/1000000)*AL47*(db!$AS$11)</f>
        <v>0</v>
      </c>
      <c r="BL47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47" s="20">
        <f>Table1[[#This Row],[RiskLoading
Rate]]*Table1[[#This Row],[Death Capital (2)]]</f>
        <v>0</v>
      </c>
      <c r="BN47" s="36"/>
      <c r="BO47" s="37">
        <f t="shared" si="25"/>
        <v>0</v>
      </c>
      <c r="BP47" s="35">
        <f t="shared" si="26"/>
        <v>0</v>
      </c>
      <c r="BQ47" s="35">
        <f t="shared" si="27"/>
        <v>0</v>
      </c>
      <c r="BR47" s="37">
        <f t="shared" si="11"/>
        <v>0</v>
      </c>
      <c r="BS47" s="37">
        <f t="shared" si="12"/>
        <v>0</v>
      </c>
      <c r="BT47" s="35">
        <f t="shared" si="13"/>
        <v>0</v>
      </c>
      <c r="BU47" s="35">
        <f t="shared" si="14"/>
        <v>0</v>
      </c>
      <c r="BV47" s="37">
        <f>(db!$AS$4/100)*(L47-BT47-BU47)</f>
        <v>0</v>
      </c>
      <c r="BW47" s="37">
        <f>(db!$AS$8/100)*(L47-BT47-BU47)</f>
        <v>0</v>
      </c>
      <c r="BX47" s="35"/>
      <c r="BY47" s="37"/>
      <c r="BZ47" s="37"/>
      <c r="CA47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47" s="33"/>
      <c r="CC47" s="39">
        <f>ROUND((Table1[[#This Row],[Premium]]-Table1[[#This Row],[All Deductions]]),0)</f>
        <v>0</v>
      </c>
      <c r="CD47" s="39">
        <f>IF(B47=0,0,Table1[[#This Row],[Initial Reserve]]+CE46)</f>
        <v>0</v>
      </c>
      <c r="CE47" s="40">
        <f>ROUND(IF(B47=0,0,((CC47)*(1+db!Y49))+((CE46)*(1+db!U49))),0)</f>
        <v>0</v>
      </c>
      <c r="CF47" s="40">
        <f t="shared" si="28"/>
        <v>0</v>
      </c>
      <c r="CG47" s="15">
        <f t="shared" si="15"/>
        <v>46</v>
      </c>
      <c r="CH47" s="39">
        <f>IF(B47=0,0,((CC47)*(1+db!AH49))+((CH46)*(1+db!AD49)))</f>
        <v>0</v>
      </c>
      <c r="CI47" s="39">
        <f>IF(B47=0,0,((CC47)*(1+db!AH49))+((CI46)*(1+db!AD49)))</f>
        <v>0</v>
      </c>
      <c r="CJ47" s="40">
        <f>IF(B47=0,0,((CC47)*(1+db!AO49))+((CJ46)*(1+db!AK49)))</f>
        <v>0</v>
      </c>
      <c r="CK47" s="40">
        <f>CJ47-(SUM(BX$7:$BX48))</f>
        <v>0</v>
      </c>
      <c r="CL47" s="46"/>
    </row>
    <row r="48" spans="1:90">
      <c r="A48" s="24">
        <f t="shared" si="16"/>
        <v>47</v>
      </c>
      <c r="B48" s="16">
        <f>IF(AND(Changes!Change="Yes", Changes!ChangeType="Change Contract Duration"),IF(B47=0,0,IF(Changes!NewChangedValue&lt;B47+1,0,B47+1)),IF(B47=0,0,IF('Application Annually'!$C$5&lt;B47+1,0,B47+1)))</f>
        <v>0</v>
      </c>
      <c r="C48" s="15">
        <f t="shared" si="17"/>
        <v>0</v>
      </c>
      <c r="D48" s="312">
        <f t="shared" si="18"/>
        <v>74</v>
      </c>
      <c r="E48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48" s="29">
        <f t="shared" si="8"/>
        <v>0</v>
      </c>
      <c r="G48" s="29">
        <f t="shared" si="9"/>
        <v>0</v>
      </c>
      <c r="H48" s="29">
        <f t="shared" si="20"/>
        <v>0</v>
      </c>
      <c r="I48" s="29">
        <f>IF(B48&gt;0,IF(AND(Table1[[#This Row],[Year]]&gt;Changes!ValidityYear,Changes!Change="Yes",Changes!ChangeType="Change Value Adjustment"),Changes!$G$22,'Application Annually'!$C$11),0)</f>
        <v>0</v>
      </c>
      <c r="J48" s="29">
        <f>IF(B48&gt;0,IF(AND(Table1[[#This Row],[Year]]&gt;Changes!ValidityYear,Changes!Change="Yes",Changes!ChangeType="Change Value Adjustment"),Changes!$G$24,'Application Annually'!$C$7),0)</f>
        <v>0</v>
      </c>
      <c r="K48" s="29">
        <f>ROUND(IF(B48=0,0,IF(AND(Changes!Change="Yes", Changes!ValidityYear=Table1[[#This Row],[Year]], Changes!ChangeType="Change Premium"), Changes!NewChangedValue, (K47*(1+db!$B$3)))),0)</f>
        <v>0</v>
      </c>
      <c r="L48" s="29">
        <f>ROUND(IF(AND(Changes!Change="Yes",Changes!ValidityYear&lt;=Table1[[#This Row],[Year]],Changes!ChangeType="Paid-Up"),0,IF(B48=0,0,IF(AND(Changes!Change="Yes", Changes!ValidityYear=Table1[[#This Row],[Year]], Changes!ChangeType="Change Premium"), Changes!NewChangedValue, (L47*(1+Table1[[#This Row],[Adjustment Factor of Premium]]/100))))),0)</f>
        <v>0</v>
      </c>
      <c r="M48" s="29">
        <f>IF(Table1[[#This Row],[Year]]=1,ROUND(MIN($L$2 -( Table1[[#This Row],[Riders Risk Premiums]] + Table1[[#This Row],[Acquisition Cost]]) *0.75,Table1[[#This Row],[Death Capital (1)]]* 0.03),0),0)</f>
        <v>0</v>
      </c>
      <c r="N48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48" s="29">
        <f>ROUND(IF(ROW()-1&gt;InsurancePeriod,0,(O47*(1+(Table1[[#This Row],[Adjustment Factor of Premium]]/100)))),0)</f>
        <v>0</v>
      </c>
      <c r="P48" s="29">
        <f>IF(Table1[Year] = 0, 0, SUM(L$2:L48))</f>
        <v>0</v>
      </c>
      <c r="Q48" s="17">
        <f t="shared" si="21"/>
        <v>0</v>
      </c>
      <c r="R48" s="17">
        <f>IF(Table1[[#This Row],[Year]]=0,0,IF($C$2&lt;=50,LOOKUP(Table1[[#This Row],[Age]],db!BG49:BG155,db!BH49:BH155),LOOKUP(Table1[[#This Row],[Age]],db!BJ49:BJ155,db!BK49:BK155)))</f>
        <v>0</v>
      </c>
      <c r="S48" s="17">
        <f>IF(AND(Changes!Change="Yes",Changes!ValidityYear&lt;=Table1[[#This Row],[Year]],Changes!ChangeType="Paid-Up",PaidUpOption="Paid-up with no coverage"),0,IF(B48=0,0, IF(AND(Changes!Change="Yes", Changes!ValidityYear=Table1[[#This Row],[Year]], Changes!ChangeType="Change Death Capital"), Changes!NewChangedValue, S47*(1+(Table1[[#This Row],[Adjustment Factor of Death Capital]]/100)))))</f>
        <v>0</v>
      </c>
      <c r="T48" s="17">
        <f>MIN(IF(B48=0,0,Table1[[#This Row],[Death Capital (1)]]),Table1[[#This Row],[Max Sum Insured For Death]])</f>
        <v>0</v>
      </c>
      <c r="U48" s="29">
        <f t="shared" si="10"/>
        <v>0</v>
      </c>
      <c r="V48" s="29">
        <f>IF(AND(Changes!Change="Yes",Changes!ValidityYear&lt;=Table1[[#This Row],[Year]],Changes!ChangeType="Paid-Up",OR(PaidUpOption="Paid-up with no coverage",PaidUpOption="Paid-up with main coverage")),0,IF(B48=0,0,IF(AND(Changes!Change="Yes", Changes!ValidityYear&lt;=Table1[[#This Row],[Year]], Changes!ChangeType="Rider Inclusion/Exclusion", Changes!RiderType="Accident Death"), T48*Changes!NewChangedValue,IF(db!$D$6="Yes",(db!$B$6)*T48,0))))</f>
        <v>0</v>
      </c>
      <c r="W48" s="29">
        <f>MIN(IF(V48&lt;=db!$L$2,V48,db!$L$2),MAX_ACC_CAPITAL)</f>
        <v>0</v>
      </c>
      <c r="X48" s="17">
        <f>IF(AND(Changes!Change="Yes",Changes!ValidityYear&lt;=Table1[[#This Row],[Year]],Changes!ChangeType="Paid-Up",OR(PaidUpOption="Paid-up with no coverage",PaidUpOption="Paid-up with main coverage")),0,IF(OR(B48=0,Table1[[#This Row],[Accident Capital (2)]]=0),0,IF(AND(Changes!Change="Yes", Changes!ValidityYear&lt;=Table1[[#This Row],[Year]], Changes!ChangeType="Rider Inclusion/Exclusion", Changes!RiderType="Accident Disability"), T48*Changes!NewChangedValue,IF(db!$D$7="Yes",(db!$B$7)*T48,0))))</f>
        <v>0</v>
      </c>
      <c r="Y48" s="42">
        <f>IF(C48&gt;69,0,IF(C48=0,0,IF(X48&lt;=db!$L$3,X48,db!$L$3)))</f>
        <v>0</v>
      </c>
      <c r="Z48" s="29">
        <f>IF(AND(Changes!Change="Yes",Changes!ValidityYear&lt;=Table1[[#This Row],[Year]],Changes!ChangeType="Paid-Up",OR(PaidUpOption="Paid-up with no coverage",PaidUpOption="Paid-up with main coverage")),0,IF(OR(B48=0,Table1[[#This Row],[Accident Capital (2)]]=0),0,IF(AND(Changes!Change="Yes", Changes!ValidityYear&lt;=Table1[[#This Row],[Year]], Changes!ChangeType="Rider Inclusion/Exclusion", Changes!RiderType="Accident Medical Cost"), T48*Changes!NewChangedValue,IF(db!$D$9="Yes",(db!$B$9)*T48,0))))</f>
        <v>0</v>
      </c>
      <c r="AA48" s="29">
        <f>ROUND(IF(C48&gt;69,0,IF(C48=0,0,IF(Z48&lt;=db!$L$4,Z48,db!$L$4))),0)</f>
        <v>0</v>
      </c>
      <c r="AB48" s="38">
        <f>IF(AND(Changes!Change = "Yes", Changes!ChangeType = "Rider Inclusion/Exclusion", Changes!RiderType = "WOP"), IF( Changes!ValidityYear &lt;= Table1[[#This Row],[Year]], IF(WOP = "Yes", 0, 1),  IF(WOP = "Yes", 1, 0)), IF(AND(db!$D$8="Yes",C48&lt;=69,ROW()-1&lt;=InsurancePeriod), 1, 0))</f>
        <v>0</v>
      </c>
      <c r="AC48" s="17">
        <f>(AC49+K49)*AB48*((1)/(1+db!AA50))*(LOOKUP(C48,'Mortality Table'!$A$2:$A$108,'Mortality Table'!$E$2:$E$108))</f>
        <v>0</v>
      </c>
      <c r="AD48" s="340">
        <f>IF(AND(Changes!ValidityYear&lt;= Table1[[#This Row],[Year]],Changes!ChangeType="Change Value Adjustment",Changes!Change="Yes"), (AD49+L49)*AB48*((1)/(1+db!AA50))*(LOOKUP(C48,'Mortality Table'!$A$2:$A$108,'Mortality Table'!$E$2:$E$108)),Table1[[#This Row],[WOP Before Adj. BT]])</f>
        <v>0</v>
      </c>
      <c r="AE48" s="341">
        <f>IF(AND(Changes!Change="Yes", Changes!ChangeType="Change Value Adjustment"),Table1[[#This Row],[WOP Capital]],(AE49+O49)*AB48*((1)/(1+db!AA50))*(LOOKUP(D48,'Mortality Table'!$A$2:$A$108,'Mortality Table'!$E$2:$E$108)))</f>
        <v>0</v>
      </c>
      <c r="AF48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48" s="42">
        <f>IF(AND(Changes!Change="Yes", Changes!ValidityYear&lt;=Table1[[#This Row],[Year]], Changes!ChangeType="Rider Inclusion/Exclusion", Changes!RiderType="Disability Annuity"), L48*Changes!NewChangedValue,L48*db!B$10*IF(db!$D$10="Yes",1,0))</f>
        <v>0</v>
      </c>
      <c r="AH48" s="29">
        <f>IF(AND(Changes!Change="Yes",Changes!ValidityYear&lt;=Table1[[#This Row],[Year]],Changes!ChangeType="Paid-Up"),0,Table1[[#This Row],[Code Annuity Capital]]*IF('Annual Calculation'!C48&gt;69,0,(LOOKUP('Annual Calculation'!C48+1,'Mortality Table'!$A$2:$A$108,'Mortality Table'!$O$2:$O$108)-LOOKUP('Annual Calculation'!C48+11,'Mortality Table'!$A$2:$A$108,'Mortality Table'!$O$2:$O$108))/LOOKUP('Annual Calculation'!C48,'Mortality Table'!$A$2:$A$108,'Mortality Table'!$M$2:$M$108)))</f>
        <v>0</v>
      </c>
      <c r="AI48" s="17">
        <f>IF(AND(Changes!Change="Yes",Changes!ValidityYear&lt;=Table1[[#This Row],[Year]],Changes!ChangeType="Paid-Up",OR(PaidUpOption="Paid-up with no coverage",PaidUpOption="Paid-up with main coverage")),0,IF(B48=0,0,IF(AND(Changes!Change="Yes", Changes!ValidityYear&lt;=Table1[[#This Row],[Year]], Changes!ChangeType="Rider Inclusion/Exclusion", Changes!RiderType="Dread Disease"), T48*Changes!NewChangedValue,IF(db!$D$11="Yes",(db!$B$11)*T48,0))))</f>
        <v>0</v>
      </c>
      <c r="AJ48" s="42">
        <f>ROUND(IF(C48&gt;59,0,IF(C48=0,0,IF(AI48&lt;=db!$L$5,AI48,db!$L$5))),0)</f>
        <v>0</v>
      </c>
      <c r="AK48" s="29">
        <f>IF(AND(Changes!Change="Yes",Changes!ValidityYear&lt;=Table1[[#This Row],[Year]],Changes!ChangeType="Paid-Up",OR(PaidUpOption="Paid-up with no coverage",PaidUpOption="Paid-up with main coverage")),0,IF(B48=0,0,IF(AND(Changes!Change="Yes", Changes!ValidityYear&lt;=Table1[[#This Row],[Year]], Changes!ChangeType="Rider Inclusion/Exclusion", Changes!RiderType="Cancer"), T48*Changes!NewChangedValue,IF(db!$D$12="Yes",(db!$B$12)*T48,0))))</f>
        <v>0</v>
      </c>
      <c r="AL48" s="29">
        <f>ROUND(IF(C48&gt;59,0,IF(C48=0,0,IF(AK48&lt;=db!$L$6,AK48,db!$L$6))),0)</f>
        <v>0</v>
      </c>
      <c r="AM48" s="32"/>
      <c r="AN48" s="18">
        <f>IF(B48=0,0,IF(C48&lt;(db!$E$2+5),LOOKUP(C48,'Mortality Table'!$A$2:$A$108,'Mortality Table'!$P$2:$P$108),IF((C48&gt;=db!$E$2+10),LOOKUP(C48,'Mortality Table'!$A$2:$A$108,'Mortality Table'!$R$2:$R$108),LOOKUP(C48,'Mortality Table'!$A$2:$A$108,'Mortality Table'!$Q$2:$Q$108))))</f>
        <v>0</v>
      </c>
      <c r="AO48" s="22">
        <f t="shared" si="22"/>
        <v>0</v>
      </c>
      <c r="AP48" s="19">
        <f>IF(B48=0,0, LOOKUP(IF(AND(Changes!Change="Yes", Changes!ValidityYear&lt;=Table1[[#This Row],[Year]], Changes!ChangeType="Change Job Class"),Changes!NewChangedValue, db!$A$8),db!$AX$4:$AX$8,db!$AY$4:$AY$8))</f>
        <v>0</v>
      </c>
      <c r="AQ48" s="20">
        <f>ROUND((AP48/1000)*W48 * (1-db!$AS$9),0)</f>
        <v>0</v>
      </c>
      <c r="AR48" s="20">
        <f>(AP48/1000)*W48 * db!$AS$9</f>
        <v>0</v>
      </c>
      <c r="AS48" s="21">
        <f>IF(B48=0,0, LOOKUP(IF(AND(Changes!Change="Yes", Changes!ValidityYear&lt;=Table1[[#This Row],[Year]], Changes!ChangeType="Change Job Class"),Changes!NewChangedValue, db!$A$8),db!$AX$4:$AX$8,db!$AZ$4:$AZ$8))</f>
        <v>0</v>
      </c>
      <c r="AT48" s="22">
        <f>(AS48/1000)*Y48*(1-db!$AS$9)</f>
        <v>0</v>
      </c>
      <c r="AU48" s="22">
        <f>(AS48/1000)*Y48*(db!$AS$9)</f>
        <v>0</v>
      </c>
      <c r="AV48" s="23">
        <f>IF(B48=0,0, LOOKUP(IF(AND(Changes!Change="Yes", Changes!ValidityYear&lt;=Table1[[#This Row],[Year]], Changes!ChangeType="Change Job Class"),Changes!NewChangedValue, db!$A$8),db!$AX$4:$AX$8,db!$BA$4:$BA$8))</f>
        <v>0</v>
      </c>
      <c r="AW48" s="20">
        <f>ROUND((AV48/(100))*AA48*(1-db!$AS$9),0)</f>
        <v>0</v>
      </c>
      <c r="AX48" s="20">
        <f>ROUND((AV48/(100))*AA48*(db!$AS$9),0)</f>
        <v>0</v>
      </c>
      <c r="AY48" s="21">
        <f>IF(db!$D$8="Yes",AS48,0)</f>
        <v>0</v>
      </c>
      <c r="AZ48" s="22">
        <f>(AY48*AF48)/1000*(1-db!$AS$9)</f>
        <v>0</v>
      </c>
      <c r="BA48" s="22">
        <f>(AY48*AF48)/1000*(db!$AS$9)</f>
        <v>0</v>
      </c>
      <c r="BB48" s="23">
        <f t="shared" si="23"/>
        <v>0</v>
      </c>
      <c r="BC48" s="20">
        <f>(BB48*AH48/1000)*(1-db!$AS$9)</f>
        <v>0</v>
      </c>
      <c r="BD48" s="20">
        <f>(BB48*AH48/1000)*(db!$AS$9)</f>
        <v>0</v>
      </c>
      <c r="BE48" s="22">
        <f>IF(B48=0,0,IF(C48&gt;60,0,LOOKUP(Table1[[#This Row],[Medical
Age]],db!$BC$3:$BC$63,db!$BD$3:$BD$63)))</f>
        <v>0</v>
      </c>
      <c r="BF48" s="22">
        <f>BG48*db!$AS$10</f>
        <v>0</v>
      </c>
      <c r="BG48" s="22">
        <f t="shared" si="24"/>
        <v>0</v>
      </c>
      <c r="BH48" s="22">
        <f>(BE48/1000000)*AJ48*(1-db!$AS$10)</f>
        <v>0</v>
      </c>
      <c r="BI48" s="20">
        <f>IF(B48=0,0,IF(C48&gt;59,0,LOOKUP(Table1[[#This Row],[Medical
Age]],db!$BC$3:$BC$63,db!$BE$3:$BE$63)))</f>
        <v>0</v>
      </c>
      <c r="BJ48" s="20">
        <f>(BI48/1000000)*AL48*(1-db!$AS$11)</f>
        <v>0</v>
      </c>
      <c r="BK48" s="20">
        <f>(BI48/1000000)*AL48*(db!$AS$11)</f>
        <v>0</v>
      </c>
      <c r="BL48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48" s="20">
        <f>Table1[[#This Row],[RiskLoading
Rate]]*Table1[[#This Row],[Death Capital (2)]]</f>
        <v>0</v>
      </c>
      <c r="BN48" s="36"/>
      <c r="BO48" s="37">
        <f t="shared" si="25"/>
        <v>0</v>
      </c>
      <c r="BP48" s="35">
        <f t="shared" si="26"/>
        <v>0</v>
      </c>
      <c r="BQ48" s="35">
        <f t="shared" si="27"/>
        <v>0</v>
      </c>
      <c r="BR48" s="37">
        <f t="shared" si="11"/>
        <v>0</v>
      </c>
      <c r="BS48" s="37">
        <f t="shared" si="12"/>
        <v>0</v>
      </c>
      <c r="BT48" s="35">
        <f t="shared" si="13"/>
        <v>0</v>
      </c>
      <c r="BU48" s="35">
        <f t="shared" si="14"/>
        <v>0</v>
      </c>
      <c r="BV48" s="37">
        <f>(db!$AS$4/100)*(L48-BT48-BU48)</f>
        <v>0</v>
      </c>
      <c r="BW48" s="37">
        <f>(db!$AS$8/100)*(L48-BT48-BU48)</f>
        <v>0</v>
      </c>
      <c r="BX48" s="35"/>
      <c r="BY48" s="37"/>
      <c r="BZ48" s="37"/>
      <c r="CA48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48" s="33"/>
      <c r="CC48" s="39">
        <f>ROUND((Table1[[#This Row],[Premium]]-Table1[[#This Row],[All Deductions]]),0)</f>
        <v>0</v>
      </c>
      <c r="CD48" s="39">
        <f>IF(B48=0,0,Table1[[#This Row],[Initial Reserve]]+CE47)</f>
        <v>0</v>
      </c>
      <c r="CE48" s="40">
        <f>ROUND(IF(B48=0,0,((CC48)*(1+db!Y50))+((CE47)*(1+db!U50))),0)</f>
        <v>0</v>
      </c>
      <c r="CF48" s="40">
        <f t="shared" si="28"/>
        <v>0</v>
      </c>
      <c r="CG48" s="15">
        <f t="shared" si="15"/>
        <v>47</v>
      </c>
      <c r="CH48" s="39">
        <f>IF(B48=0,0,((CC48)*(1+db!AH50))+((CH47)*(1+db!AD50)))</f>
        <v>0</v>
      </c>
      <c r="CI48" s="39">
        <f>IF(B48=0,0,((CC48)*(1+db!AH50))+((CI47)*(1+db!AD50)))</f>
        <v>0</v>
      </c>
      <c r="CJ48" s="40">
        <f>IF(B48=0,0,((CC48)*(1+db!AO50))+((CJ47)*(1+db!AK50)))</f>
        <v>0</v>
      </c>
      <c r="CK48" s="40">
        <f>CJ48-(SUM(BX$7:$BX49))</f>
        <v>0</v>
      </c>
      <c r="CL48" s="46"/>
    </row>
    <row r="49" spans="1:90">
      <c r="A49" s="24">
        <f t="shared" si="16"/>
        <v>48</v>
      </c>
      <c r="B49" s="16">
        <f>IF(AND(Changes!Change="Yes", Changes!ChangeType="Change Contract Duration"),IF(B48=0,0,IF(Changes!NewChangedValue&lt;B48+1,0,B48+1)),IF(B48=0,0,IF('Application Annually'!$C$5&lt;B48+1,0,B48+1)))</f>
        <v>0</v>
      </c>
      <c r="C49" s="15">
        <f t="shared" si="17"/>
        <v>0</v>
      </c>
      <c r="D49" s="312">
        <f t="shared" si="18"/>
        <v>75</v>
      </c>
      <c r="E49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49" s="29">
        <f t="shared" si="8"/>
        <v>0</v>
      </c>
      <c r="G49" s="29">
        <f t="shared" si="9"/>
        <v>0</v>
      </c>
      <c r="H49" s="29">
        <f t="shared" si="20"/>
        <v>0</v>
      </c>
      <c r="I49" s="29">
        <f>IF(B49&gt;0,IF(AND(Table1[[#This Row],[Year]]&gt;Changes!ValidityYear,Changes!Change="Yes",Changes!ChangeType="Change Value Adjustment"),Changes!$G$22,'Application Annually'!$C$11),0)</f>
        <v>0</v>
      </c>
      <c r="J49" s="29">
        <f>IF(B49&gt;0,IF(AND(Table1[[#This Row],[Year]]&gt;Changes!ValidityYear,Changes!Change="Yes",Changes!ChangeType="Change Value Adjustment"),Changes!$G$24,'Application Annually'!$C$7),0)</f>
        <v>0</v>
      </c>
      <c r="K49" s="29">
        <f>ROUND(IF(B49=0,0,IF(AND(Changes!Change="Yes", Changes!ValidityYear=Table1[[#This Row],[Year]], Changes!ChangeType="Change Premium"), Changes!NewChangedValue, (K48*(1+db!$B$3)))),0)</f>
        <v>0</v>
      </c>
      <c r="L49" s="29">
        <f>ROUND(IF(AND(Changes!Change="Yes",Changes!ValidityYear&lt;=Table1[[#This Row],[Year]],Changes!ChangeType="Paid-Up"),0,IF(B49=0,0,IF(AND(Changes!Change="Yes", Changes!ValidityYear=Table1[[#This Row],[Year]], Changes!ChangeType="Change Premium"), Changes!NewChangedValue, (L48*(1+Table1[[#This Row],[Adjustment Factor of Premium]]/100))))),0)</f>
        <v>0</v>
      </c>
      <c r="M49" s="29">
        <f>IF(Table1[[#This Row],[Year]]=1,ROUND(MIN($L$2 -( Table1[[#This Row],[Riders Risk Premiums]] + Table1[[#This Row],[Acquisition Cost]]) *0.75,Table1[[#This Row],[Death Capital (1)]]* 0.03),0),0)</f>
        <v>0</v>
      </c>
      <c r="N49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49" s="29">
        <f>ROUND(IF(ROW()-1&gt;InsurancePeriod,0,(O48*(1+(Table1[[#This Row],[Adjustment Factor of Premium]]/100)))),0)</f>
        <v>0</v>
      </c>
      <c r="P49" s="29">
        <f>IF(Table1[Year] = 0, 0, SUM(L$2:L49))</f>
        <v>0</v>
      </c>
      <c r="Q49" s="17">
        <f t="shared" si="21"/>
        <v>0</v>
      </c>
      <c r="R49" s="17">
        <f>IF(Table1[[#This Row],[Year]]=0,0,IF($C$2&lt;=50,LOOKUP(Table1[[#This Row],[Age]],db!BG50:BG156,db!BH50:BH156),LOOKUP(Table1[[#This Row],[Age]],db!BJ50:BJ156,db!BK50:BK156)))</f>
        <v>0</v>
      </c>
      <c r="S49" s="17">
        <f>IF(AND(Changes!Change="Yes",Changes!ValidityYear&lt;=Table1[[#This Row],[Year]],Changes!ChangeType="Paid-Up",PaidUpOption="Paid-up with no coverage"),0,IF(B49=0,0, IF(AND(Changes!Change="Yes", Changes!ValidityYear=Table1[[#This Row],[Year]], Changes!ChangeType="Change Death Capital"), Changes!NewChangedValue, S48*(1+(Table1[[#This Row],[Adjustment Factor of Death Capital]]/100)))))</f>
        <v>0</v>
      </c>
      <c r="T49" s="17">
        <f>MIN(IF(B49=0,0,Table1[[#This Row],[Death Capital (1)]]),Table1[[#This Row],[Max Sum Insured For Death]])</f>
        <v>0</v>
      </c>
      <c r="U49" s="29">
        <f t="shared" si="10"/>
        <v>0</v>
      </c>
      <c r="V49" s="29">
        <f>IF(AND(Changes!Change="Yes",Changes!ValidityYear&lt;=Table1[[#This Row],[Year]],Changes!ChangeType="Paid-Up",OR(PaidUpOption="Paid-up with no coverage",PaidUpOption="Paid-up with main coverage")),0,IF(B49=0,0,IF(AND(Changes!Change="Yes", Changes!ValidityYear&lt;=Table1[[#This Row],[Year]], Changes!ChangeType="Rider Inclusion/Exclusion", Changes!RiderType="Accident Death"), T49*Changes!NewChangedValue,IF(db!$D$6="Yes",(db!$B$6)*T49,0))))</f>
        <v>0</v>
      </c>
      <c r="W49" s="29">
        <f>MIN(IF(V49&lt;=db!$L$2,V49,db!$L$2),MAX_ACC_CAPITAL)</f>
        <v>0</v>
      </c>
      <c r="X49" s="17">
        <f>IF(AND(Changes!Change="Yes",Changes!ValidityYear&lt;=Table1[[#This Row],[Year]],Changes!ChangeType="Paid-Up",OR(PaidUpOption="Paid-up with no coverage",PaidUpOption="Paid-up with main coverage")),0,IF(OR(B49=0,Table1[[#This Row],[Accident Capital (2)]]=0),0,IF(AND(Changes!Change="Yes", Changes!ValidityYear&lt;=Table1[[#This Row],[Year]], Changes!ChangeType="Rider Inclusion/Exclusion", Changes!RiderType="Accident Disability"), T49*Changes!NewChangedValue,IF(db!$D$7="Yes",(db!$B$7)*T49,0))))</f>
        <v>0</v>
      </c>
      <c r="Y49" s="42">
        <f>IF(C49&gt;69,0,IF(C49=0,0,IF(X49&lt;=db!$L$3,X49,db!$L$3)))</f>
        <v>0</v>
      </c>
      <c r="Z49" s="29">
        <f>IF(AND(Changes!Change="Yes",Changes!ValidityYear&lt;=Table1[[#This Row],[Year]],Changes!ChangeType="Paid-Up",OR(PaidUpOption="Paid-up with no coverage",PaidUpOption="Paid-up with main coverage")),0,IF(OR(B49=0,Table1[[#This Row],[Accident Capital (2)]]=0),0,IF(AND(Changes!Change="Yes", Changes!ValidityYear&lt;=Table1[[#This Row],[Year]], Changes!ChangeType="Rider Inclusion/Exclusion", Changes!RiderType="Accident Medical Cost"), T49*Changes!NewChangedValue,IF(db!$D$9="Yes",(db!$B$9)*T49,0))))</f>
        <v>0</v>
      </c>
      <c r="AA49" s="29">
        <f>ROUND(IF(C49&gt;69,0,IF(C49=0,0,IF(Z49&lt;=db!$L$4,Z49,db!$L$4))),0)</f>
        <v>0</v>
      </c>
      <c r="AB49" s="38">
        <f>IF(AND(Changes!Change = "Yes", Changes!ChangeType = "Rider Inclusion/Exclusion", Changes!RiderType = "WOP"), IF( Changes!ValidityYear &lt;= Table1[[#This Row],[Year]], IF(WOP = "Yes", 0, 1),  IF(WOP = "Yes", 1, 0)), IF(AND(db!$D$8="Yes",C49&lt;=69,ROW()-1&lt;=InsurancePeriod), 1, 0))</f>
        <v>0</v>
      </c>
      <c r="AC49" s="17">
        <f>(AC50+K50)*AB49*((1)/(1+db!AA51))*(LOOKUP(C49,'Mortality Table'!$A$2:$A$108,'Mortality Table'!$E$2:$E$108))</f>
        <v>0</v>
      </c>
      <c r="AD49" s="340">
        <f>IF(AND(Changes!ValidityYear&lt;= Table1[[#This Row],[Year]],Changes!ChangeType="Change Value Adjustment",Changes!Change="Yes"), (AD50+L50)*AB49*((1)/(1+db!AA51))*(LOOKUP(C49,'Mortality Table'!$A$2:$A$108,'Mortality Table'!$E$2:$E$108)),Table1[[#This Row],[WOP Before Adj. BT]])</f>
        <v>0</v>
      </c>
      <c r="AE49" s="341">
        <f>IF(AND(Changes!Change="Yes", Changes!ChangeType="Change Value Adjustment"),Table1[[#This Row],[WOP Capital]],(AE50+O50)*AB49*((1)/(1+db!AA51))*(LOOKUP(D49,'Mortality Table'!$A$2:$A$108,'Mortality Table'!$E$2:$E$108)))</f>
        <v>0</v>
      </c>
      <c r="AF49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49" s="42">
        <f>IF(AND(Changes!Change="Yes", Changes!ValidityYear&lt;=Table1[[#This Row],[Year]], Changes!ChangeType="Rider Inclusion/Exclusion", Changes!RiderType="Disability Annuity"), L49*Changes!NewChangedValue,L49*db!B$10*IF(db!$D$10="Yes",1,0))</f>
        <v>0</v>
      </c>
      <c r="AH49" s="29">
        <f>IF(AND(Changes!Change="Yes",Changes!ValidityYear&lt;=Table1[[#This Row],[Year]],Changes!ChangeType="Paid-Up"),0,Table1[[#This Row],[Code Annuity Capital]]*IF('Annual Calculation'!C49&gt;69,0,(LOOKUP('Annual Calculation'!C49+1,'Mortality Table'!$A$2:$A$108,'Mortality Table'!$O$2:$O$108)-LOOKUP('Annual Calculation'!C49+11,'Mortality Table'!$A$2:$A$108,'Mortality Table'!$O$2:$O$108))/LOOKUP('Annual Calculation'!C49,'Mortality Table'!$A$2:$A$108,'Mortality Table'!$M$2:$M$108)))</f>
        <v>0</v>
      </c>
      <c r="AI49" s="17">
        <f>IF(AND(Changes!Change="Yes",Changes!ValidityYear&lt;=Table1[[#This Row],[Year]],Changes!ChangeType="Paid-Up",OR(PaidUpOption="Paid-up with no coverage",PaidUpOption="Paid-up with main coverage")),0,IF(B49=0,0,IF(AND(Changes!Change="Yes", Changes!ValidityYear&lt;=Table1[[#This Row],[Year]], Changes!ChangeType="Rider Inclusion/Exclusion", Changes!RiderType="Dread Disease"), T49*Changes!NewChangedValue,IF(db!$D$11="Yes",(db!$B$11)*T49,0))))</f>
        <v>0</v>
      </c>
      <c r="AJ49" s="42">
        <f>ROUND(IF(C49&gt;59,0,IF(C49=0,0,IF(AI49&lt;=db!$L$5,AI49,db!$L$5))),0)</f>
        <v>0</v>
      </c>
      <c r="AK49" s="29">
        <f>IF(AND(Changes!Change="Yes",Changes!ValidityYear&lt;=Table1[[#This Row],[Year]],Changes!ChangeType="Paid-Up",OR(PaidUpOption="Paid-up with no coverage",PaidUpOption="Paid-up with main coverage")),0,IF(B49=0,0,IF(AND(Changes!Change="Yes", Changes!ValidityYear&lt;=Table1[[#This Row],[Year]], Changes!ChangeType="Rider Inclusion/Exclusion", Changes!RiderType="Cancer"), T49*Changes!NewChangedValue,IF(db!$D$12="Yes",(db!$B$12)*T49,0))))</f>
        <v>0</v>
      </c>
      <c r="AL49" s="29">
        <f>ROUND(IF(C49&gt;59,0,IF(C49=0,0,IF(AK49&lt;=db!$L$6,AK49,db!$L$6))),0)</f>
        <v>0</v>
      </c>
      <c r="AM49" s="32"/>
      <c r="AN49" s="18">
        <f>IF(B49=0,0,IF(C49&lt;(db!$E$2+5),LOOKUP(C49,'Mortality Table'!$A$2:$A$108,'Mortality Table'!$P$2:$P$108),IF((C49&gt;=db!$E$2+10),LOOKUP(C49,'Mortality Table'!$A$2:$A$108,'Mortality Table'!$R$2:$R$108),LOOKUP(C49,'Mortality Table'!$A$2:$A$108,'Mortality Table'!$Q$2:$Q$108))))</f>
        <v>0</v>
      </c>
      <c r="AO49" s="22">
        <f t="shared" si="22"/>
        <v>0</v>
      </c>
      <c r="AP49" s="19">
        <f>IF(B49=0,0, LOOKUP(IF(AND(Changes!Change="Yes", Changes!ValidityYear&lt;=Table1[[#This Row],[Year]], Changes!ChangeType="Change Job Class"),Changes!NewChangedValue, db!$A$8),db!$AX$4:$AX$8,db!$AY$4:$AY$8))</f>
        <v>0</v>
      </c>
      <c r="AQ49" s="20">
        <f>ROUND((AP49/1000)*W49 * (1-db!$AS$9),0)</f>
        <v>0</v>
      </c>
      <c r="AR49" s="20">
        <f>(AP49/1000)*W49 * db!$AS$9</f>
        <v>0</v>
      </c>
      <c r="AS49" s="21">
        <f>IF(B49=0,0, LOOKUP(IF(AND(Changes!Change="Yes", Changes!ValidityYear&lt;=Table1[[#This Row],[Year]], Changes!ChangeType="Change Job Class"),Changes!NewChangedValue, db!$A$8),db!$AX$4:$AX$8,db!$AZ$4:$AZ$8))</f>
        <v>0</v>
      </c>
      <c r="AT49" s="22">
        <f>(AS49/1000)*Y49*(1-db!$AS$9)</f>
        <v>0</v>
      </c>
      <c r="AU49" s="22">
        <f>(AS49/1000)*Y49*(db!$AS$9)</f>
        <v>0</v>
      </c>
      <c r="AV49" s="23">
        <f>IF(B49=0,0, LOOKUP(IF(AND(Changes!Change="Yes", Changes!ValidityYear&lt;=Table1[[#This Row],[Year]], Changes!ChangeType="Change Job Class"),Changes!NewChangedValue, db!$A$8),db!$AX$4:$AX$8,db!$BA$4:$BA$8))</f>
        <v>0</v>
      </c>
      <c r="AW49" s="20">
        <f>ROUND((AV49/(100))*AA49*(1-db!$AS$9),0)</f>
        <v>0</v>
      </c>
      <c r="AX49" s="20">
        <f>ROUND((AV49/(100))*AA49*(db!$AS$9),0)</f>
        <v>0</v>
      </c>
      <c r="AY49" s="21">
        <f>IF(db!$D$8="Yes",AS49,0)</f>
        <v>0</v>
      </c>
      <c r="AZ49" s="22">
        <f>(AY49*AF49)/1000*(1-db!$AS$9)</f>
        <v>0</v>
      </c>
      <c r="BA49" s="22">
        <f>(AY49*AF49)/1000*(db!$AS$9)</f>
        <v>0</v>
      </c>
      <c r="BB49" s="23">
        <f t="shared" si="23"/>
        <v>0</v>
      </c>
      <c r="BC49" s="20">
        <f>(BB49*AH49/1000)*(1-db!$AS$9)</f>
        <v>0</v>
      </c>
      <c r="BD49" s="20">
        <f>(BB49*AH49/1000)*(db!$AS$9)</f>
        <v>0</v>
      </c>
      <c r="BE49" s="22">
        <f>IF(B49=0,0,IF(C49&gt;60,0,LOOKUP(Table1[[#This Row],[Medical
Age]],db!$BC$3:$BC$63,db!$BD$3:$BD$63)))</f>
        <v>0</v>
      </c>
      <c r="BF49" s="22">
        <f>BG49*db!$AS$10</f>
        <v>0</v>
      </c>
      <c r="BG49" s="22">
        <f t="shared" si="24"/>
        <v>0</v>
      </c>
      <c r="BH49" s="22">
        <f>(BE49/1000000)*AJ49*(1-db!$AS$10)</f>
        <v>0</v>
      </c>
      <c r="BI49" s="20">
        <f>IF(B49=0,0,IF(C49&gt;59,0,LOOKUP(Table1[[#This Row],[Medical
Age]],db!$BC$3:$BC$63,db!$BE$3:$BE$63)))</f>
        <v>0</v>
      </c>
      <c r="BJ49" s="20">
        <f>(BI49/1000000)*AL49*(1-db!$AS$11)</f>
        <v>0</v>
      </c>
      <c r="BK49" s="20">
        <f>(BI49/1000000)*AL49*(db!$AS$11)</f>
        <v>0</v>
      </c>
      <c r="BL49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49" s="20">
        <f>Table1[[#This Row],[RiskLoading
Rate]]*Table1[[#This Row],[Death Capital (2)]]</f>
        <v>0</v>
      </c>
      <c r="BN49" s="36"/>
      <c r="BO49" s="37">
        <f t="shared" si="25"/>
        <v>0</v>
      </c>
      <c r="BP49" s="35">
        <f t="shared" si="26"/>
        <v>0</v>
      </c>
      <c r="BQ49" s="35">
        <f t="shared" si="27"/>
        <v>0</v>
      </c>
      <c r="BR49" s="37">
        <f t="shared" si="11"/>
        <v>0</v>
      </c>
      <c r="BS49" s="37">
        <f t="shared" si="12"/>
        <v>0</v>
      </c>
      <c r="BT49" s="35">
        <f t="shared" si="13"/>
        <v>0</v>
      </c>
      <c r="BU49" s="35">
        <f t="shared" si="14"/>
        <v>0</v>
      </c>
      <c r="BV49" s="37">
        <f>(db!$AS$4/100)*(L49-BT49-BU49)</f>
        <v>0</v>
      </c>
      <c r="BW49" s="37">
        <f>(db!$AS$8/100)*(L49-BT49-BU49)</f>
        <v>0</v>
      </c>
      <c r="BX49" s="35"/>
      <c r="BY49" s="37"/>
      <c r="BZ49" s="37"/>
      <c r="CA49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49" s="33"/>
      <c r="CC49" s="39">
        <f>ROUND((Table1[[#This Row],[Premium]]-Table1[[#This Row],[All Deductions]]),0)</f>
        <v>0</v>
      </c>
      <c r="CD49" s="39">
        <f>IF(B49=0,0,Table1[[#This Row],[Initial Reserve]]+CE48)</f>
        <v>0</v>
      </c>
      <c r="CE49" s="40">
        <f>ROUND(IF(B49=0,0,((CC49)*(1+db!Y51))+((CE48)*(1+db!U51))),0)</f>
        <v>0</v>
      </c>
      <c r="CF49" s="40">
        <f t="shared" si="28"/>
        <v>0</v>
      </c>
      <c r="CG49" s="15">
        <f t="shared" si="15"/>
        <v>48</v>
      </c>
      <c r="CH49" s="39">
        <f>IF(B49=0,0,((CC49)*(1+db!AH51))+((CH48)*(1+db!AD51)))</f>
        <v>0</v>
      </c>
      <c r="CI49" s="39">
        <f>IF(B49=0,0,((CC49)*(1+db!AH51))+((CI48)*(1+db!AD51)))</f>
        <v>0</v>
      </c>
      <c r="CJ49" s="40">
        <f>IF(B49=0,0,((CC49)*(1+db!AO51))+((CJ48)*(1+db!AK51)))</f>
        <v>0</v>
      </c>
      <c r="CK49" s="40">
        <f>CJ49-(SUM(BX$7:$BX50))</f>
        <v>0</v>
      </c>
      <c r="CL49" s="46"/>
    </row>
    <row r="50" spans="1:90">
      <c r="A50" s="24">
        <f t="shared" si="16"/>
        <v>49</v>
      </c>
      <c r="B50" s="16">
        <f>IF(AND(Changes!Change="Yes", Changes!ChangeType="Change Contract Duration"),IF(B49=0,0,IF(Changes!NewChangedValue&lt;B49+1,0,B49+1)),IF(B49=0,0,IF('Application Annually'!$C$5&lt;B49+1,0,B49+1)))</f>
        <v>0</v>
      </c>
      <c r="C50" s="15">
        <f t="shared" si="17"/>
        <v>0</v>
      </c>
      <c r="D50" s="312">
        <f t="shared" si="18"/>
        <v>76</v>
      </c>
      <c r="E50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50" s="29">
        <f t="shared" si="8"/>
        <v>0</v>
      </c>
      <c r="G50" s="29">
        <f t="shared" si="9"/>
        <v>0</v>
      </c>
      <c r="H50" s="29">
        <f t="shared" si="20"/>
        <v>0</v>
      </c>
      <c r="I50" s="29">
        <f>IF(B50&gt;0,IF(AND(Table1[[#This Row],[Year]]&gt;Changes!ValidityYear,Changes!Change="Yes",Changes!ChangeType="Change Value Adjustment"),Changes!$G$22,'Application Annually'!$C$11),0)</f>
        <v>0</v>
      </c>
      <c r="J50" s="29">
        <f>IF(B50&gt;0,IF(AND(Table1[[#This Row],[Year]]&gt;Changes!ValidityYear,Changes!Change="Yes",Changes!ChangeType="Change Value Adjustment"),Changes!$G$24,'Application Annually'!$C$7),0)</f>
        <v>0</v>
      </c>
      <c r="K50" s="29">
        <f>ROUND(IF(B50=0,0,IF(AND(Changes!Change="Yes", Changes!ValidityYear=Table1[[#This Row],[Year]], Changes!ChangeType="Change Premium"), Changes!NewChangedValue, (K49*(1+db!$B$3)))),0)</f>
        <v>0</v>
      </c>
      <c r="L50" s="29">
        <f>ROUND(IF(AND(Changes!Change="Yes",Changes!ValidityYear&lt;=Table1[[#This Row],[Year]],Changes!ChangeType="Paid-Up"),0,IF(B50=0,0,IF(AND(Changes!Change="Yes", Changes!ValidityYear=Table1[[#This Row],[Year]], Changes!ChangeType="Change Premium"), Changes!NewChangedValue, (L49*(1+Table1[[#This Row],[Adjustment Factor of Premium]]/100))))),0)</f>
        <v>0</v>
      </c>
      <c r="M50" s="29">
        <f>IF(Table1[[#This Row],[Year]]=1,ROUND(MIN($L$2 -( Table1[[#This Row],[Riders Risk Premiums]] + Table1[[#This Row],[Acquisition Cost]]) *0.75,Table1[[#This Row],[Death Capital (1)]]* 0.03),0),0)</f>
        <v>0</v>
      </c>
      <c r="N50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50" s="29">
        <f>ROUND(IF(ROW()-1&gt;InsurancePeriod,0,(O49*(1+(Table1[[#This Row],[Adjustment Factor of Premium]]/100)))),0)</f>
        <v>0</v>
      </c>
      <c r="P50" s="29">
        <f>IF(Table1[Year] = 0, 0, SUM(L$2:L50))</f>
        <v>0</v>
      </c>
      <c r="Q50" s="17">
        <f t="shared" si="21"/>
        <v>0</v>
      </c>
      <c r="R50" s="17">
        <f>IF(Table1[[#This Row],[Year]]=0,0,IF($C$2&lt;=50,LOOKUP(Table1[[#This Row],[Age]],db!BG51:BG157,db!BH51:BH157),LOOKUP(Table1[[#This Row],[Age]],db!BJ51:BJ157,db!BK51:BK157)))</f>
        <v>0</v>
      </c>
      <c r="S50" s="17">
        <f>IF(AND(Changes!Change="Yes",Changes!ValidityYear&lt;=Table1[[#This Row],[Year]],Changes!ChangeType="Paid-Up",PaidUpOption="Paid-up with no coverage"),0,IF(B50=0,0, IF(AND(Changes!Change="Yes", Changes!ValidityYear=Table1[[#This Row],[Year]], Changes!ChangeType="Change Death Capital"), Changes!NewChangedValue, S49*(1+(Table1[[#This Row],[Adjustment Factor of Death Capital]]/100)))))</f>
        <v>0</v>
      </c>
      <c r="T50" s="17">
        <f>MIN(IF(B50=0,0,Table1[[#This Row],[Death Capital (1)]]),Table1[[#This Row],[Max Sum Insured For Death]])</f>
        <v>0</v>
      </c>
      <c r="U50" s="29">
        <f t="shared" si="10"/>
        <v>0</v>
      </c>
      <c r="V50" s="29">
        <f>IF(AND(Changes!Change="Yes",Changes!ValidityYear&lt;=Table1[[#This Row],[Year]],Changes!ChangeType="Paid-Up",OR(PaidUpOption="Paid-up with no coverage",PaidUpOption="Paid-up with main coverage")),0,IF(B50=0,0,IF(AND(Changes!Change="Yes", Changes!ValidityYear&lt;=Table1[[#This Row],[Year]], Changes!ChangeType="Rider Inclusion/Exclusion", Changes!RiderType="Accident Death"), T50*Changes!NewChangedValue,IF(db!$D$6="Yes",(db!$B$6)*T50,0))))</f>
        <v>0</v>
      </c>
      <c r="W50" s="29">
        <f>MIN(IF(V50&lt;=db!$L$2,V50,db!$L$2),MAX_ACC_CAPITAL)</f>
        <v>0</v>
      </c>
      <c r="X50" s="17">
        <f>IF(AND(Changes!Change="Yes",Changes!ValidityYear&lt;=Table1[[#This Row],[Year]],Changes!ChangeType="Paid-Up",OR(PaidUpOption="Paid-up with no coverage",PaidUpOption="Paid-up with main coverage")),0,IF(OR(B50=0,Table1[[#This Row],[Accident Capital (2)]]=0),0,IF(AND(Changes!Change="Yes", Changes!ValidityYear&lt;=Table1[[#This Row],[Year]], Changes!ChangeType="Rider Inclusion/Exclusion", Changes!RiderType="Accident Disability"), T50*Changes!NewChangedValue,IF(db!$D$7="Yes",(db!$B$7)*T50,0))))</f>
        <v>0</v>
      </c>
      <c r="Y50" s="42">
        <f>IF(C50&gt;69,0,IF(C50=0,0,IF(X50&lt;=db!$L$3,X50,db!$L$3)))</f>
        <v>0</v>
      </c>
      <c r="Z50" s="29">
        <f>IF(AND(Changes!Change="Yes",Changes!ValidityYear&lt;=Table1[[#This Row],[Year]],Changes!ChangeType="Paid-Up",OR(PaidUpOption="Paid-up with no coverage",PaidUpOption="Paid-up with main coverage")),0,IF(OR(B50=0,Table1[[#This Row],[Accident Capital (2)]]=0),0,IF(AND(Changes!Change="Yes", Changes!ValidityYear&lt;=Table1[[#This Row],[Year]], Changes!ChangeType="Rider Inclusion/Exclusion", Changes!RiderType="Accident Medical Cost"), T50*Changes!NewChangedValue,IF(db!$D$9="Yes",(db!$B$9)*T50,0))))</f>
        <v>0</v>
      </c>
      <c r="AA50" s="29">
        <f>ROUND(IF(C50&gt;69,0,IF(C50=0,0,IF(Z50&lt;=db!$L$4,Z50,db!$L$4))),0)</f>
        <v>0</v>
      </c>
      <c r="AB50" s="38">
        <f>IF(AND(Changes!Change = "Yes", Changes!ChangeType = "Rider Inclusion/Exclusion", Changes!RiderType = "WOP"), IF( Changes!ValidityYear &lt;= Table1[[#This Row],[Year]], IF(WOP = "Yes", 0, 1),  IF(WOP = "Yes", 1, 0)), IF(AND(db!$D$8="Yes",C50&lt;=69,ROW()-1&lt;=InsurancePeriod), 1, 0))</f>
        <v>0</v>
      </c>
      <c r="AC50" s="17">
        <f>(AC51+K51)*AB50*((1)/(1+db!AA52))*(LOOKUP(C50,'Mortality Table'!$A$2:$A$108,'Mortality Table'!$E$2:$E$108))</f>
        <v>0</v>
      </c>
      <c r="AD50" s="340">
        <f>IF(AND(Changes!ValidityYear&lt;= Table1[[#This Row],[Year]],Changes!ChangeType="Change Value Adjustment",Changes!Change="Yes"), (AD51+L51)*AB50*((1)/(1+db!AA52))*(LOOKUP(C50,'Mortality Table'!$A$2:$A$108,'Mortality Table'!$E$2:$E$108)),Table1[[#This Row],[WOP Before Adj. BT]])</f>
        <v>0</v>
      </c>
      <c r="AE50" s="341">
        <f>IF(AND(Changes!Change="Yes", Changes!ChangeType="Change Value Adjustment"),Table1[[#This Row],[WOP Capital]],(AE51+O51)*AB50*((1)/(1+db!AA52))*(LOOKUP(D50,'Mortality Table'!$A$2:$A$108,'Mortality Table'!$E$2:$E$108)))</f>
        <v>0</v>
      </c>
      <c r="AF50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50" s="42">
        <f>IF(AND(Changes!Change="Yes", Changes!ValidityYear&lt;=Table1[[#This Row],[Year]], Changes!ChangeType="Rider Inclusion/Exclusion", Changes!RiderType="Disability Annuity"), L50*Changes!NewChangedValue,L50*db!B$10*IF(db!$D$10="Yes",1,0))</f>
        <v>0</v>
      </c>
      <c r="AH50" s="29">
        <f>IF(AND(Changes!Change="Yes",Changes!ValidityYear&lt;=Table1[[#This Row],[Year]],Changes!ChangeType="Paid-Up"),0,Table1[[#This Row],[Code Annuity Capital]]*IF('Annual Calculation'!C50&gt;69,0,(LOOKUP('Annual Calculation'!C50+1,'Mortality Table'!$A$2:$A$108,'Mortality Table'!$O$2:$O$108)-LOOKUP('Annual Calculation'!C50+11,'Mortality Table'!$A$2:$A$108,'Mortality Table'!$O$2:$O$108))/LOOKUP('Annual Calculation'!C50,'Mortality Table'!$A$2:$A$108,'Mortality Table'!$M$2:$M$108)))</f>
        <v>0</v>
      </c>
      <c r="AI50" s="17">
        <f>IF(AND(Changes!Change="Yes",Changes!ValidityYear&lt;=Table1[[#This Row],[Year]],Changes!ChangeType="Paid-Up",OR(PaidUpOption="Paid-up with no coverage",PaidUpOption="Paid-up with main coverage")),0,IF(B50=0,0,IF(AND(Changes!Change="Yes", Changes!ValidityYear&lt;=Table1[[#This Row],[Year]], Changes!ChangeType="Rider Inclusion/Exclusion", Changes!RiderType="Dread Disease"), T50*Changes!NewChangedValue,IF(db!$D$11="Yes",(db!$B$11)*T50,0))))</f>
        <v>0</v>
      </c>
      <c r="AJ50" s="42">
        <f>ROUND(IF(C50&gt;59,0,IF(C50=0,0,IF(AI50&lt;=db!$L$5,AI50,db!$L$5))),0)</f>
        <v>0</v>
      </c>
      <c r="AK50" s="29">
        <f>IF(AND(Changes!Change="Yes",Changes!ValidityYear&lt;=Table1[[#This Row],[Year]],Changes!ChangeType="Paid-Up",OR(PaidUpOption="Paid-up with no coverage",PaidUpOption="Paid-up with main coverage")),0,IF(B50=0,0,IF(AND(Changes!Change="Yes", Changes!ValidityYear&lt;=Table1[[#This Row],[Year]], Changes!ChangeType="Rider Inclusion/Exclusion", Changes!RiderType="Cancer"), T50*Changes!NewChangedValue,IF(db!$D$12="Yes",(db!$B$12)*T50,0))))</f>
        <v>0</v>
      </c>
      <c r="AL50" s="29">
        <f>ROUND(IF(C50&gt;59,0,IF(C50=0,0,IF(AK50&lt;=db!$L$6,AK50,db!$L$6))),0)</f>
        <v>0</v>
      </c>
      <c r="AM50" s="32"/>
      <c r="AN50" s="18">
        <f>IF(B50=0,0,IF(C50&lt;(db!$E$2+5),LOOKUP(C50,'Mortality Table'!$A$2:$A$108,'Mortality Table'!$P$2:$P$108),IF((C50&gt;=db!$E$2+10),LOOKUP(C50,'Mortality Table'!$A$2:$A$108,'Mortality Table'!$R$2:$R$108),LOOKUP(C50,'Mortality Table'!$A$2:$A$108,'Mortality Table'!$Q$2:$Q$108))))</f>
        <v>0</v>
      </c>
      <c r="AO50" s="22">
        <f t="shared" si="22"/>
        <v>0</v>
      </c>
      <c r="AP50" s="19">
        <f>IF(B50=0,0, LOOKUP(IF(AND(Changes!Change="Yes", Changes!ValidityYear&lt;=Table1[[#This Row],[Year]], Changes!ChangeType="Change Job Class"),Changes!NewChangedValue, db!$A$8),db!$AX$4:$AX$8,db!$AY$4:$AY$8))</f>
        <v>0</v>
      </c>
      <c r="AQ50" s="20">
        <f>ROUND((AP50/1000)*W50 * (1-db!$AS$9),0)</f>
        <v>0</v>
      </c>
      <c r="AR50" s="20">
        <f>(AP50/1000)*W50 * db!$AS$9</f>
        <v>0</v>
      </c>
      <c r="AS50" s="21">
        <f>IF(B50=0,0, LOOKUP(IF(AND(Changes!Change="Yes", Changes!ValidityYear&lt;=Table1[[#This Row],[Year]], Changes!ChangeType="Change Job Class"),Changes!NewChangedValue, db!$A$8),db!$AX$4:$AX$8,db!$AZ$4:$AZ$8))</f>
        <v>0</v>
      </c>
      <c r="AT50" s="22">
        <f>(AS50/1000)*Y50*(1-db!$AS$9)</f>
        <v>0</v>
      </c>
      <c r="AU50" s="22">
        <f>(AS50/1000)*Y50*(db!$AS$9)</f>
        <v>0</v>
      </c>
      <c r="AV50" s="23">
        <f>IF(B50=0,0, LOOKUP(IF(AND(Changes!Change="Yes", Changes!ValidityYear&lt;=Table1[[#This Row],[Year]], Changes!ChangeType="Change Job Class"),Changes!NewChangedValue, db!$A$8),db!$AX$4:$AX$8,db!$BA$4:$BA$8))</f>
        <v>0</v>
      </c>
      <c r="AW50" s="20">
        <f>ROUND((AV50/(100))*AA50*(1-db!$AS$9),0)</f>
        <v>0</v>
      </c>
      <c r="AX50" s="20">
        <f>ROUND((AV50/(100))*AA50*(db!$AS$9),0)</f>
        <v>0</v>
      </c>
      <c r="AY50" s="21">
        <f>IF(db!$D$8="Yes",AS50,0)</f>
        <v>0</v>
      </c>
      <c r="AZ50" s="22">
        <f>(AY50*AF50)/1000*(1-db!$AS$9)</f>
        <v>0</v>
      </c>
      <c r="BA50" s="22">
        <f>(AY50*AF50)/1000*(db!$AS$9)</f>
        <v>0</v>
      </c>
      <c r="BB50" s="23">
        <f t="shared" si="23"/>
        <v>0</v>
      </c>
      <c r="BC50" s="20">
        <f>(BB50*AH50/1000)*(1-db!$AS$9)</f>
        <v>0</v>
      </c>
      <c r="BD50" s="20">
        <f>(BB50*AH50/1000)*(db!$AS$9)</f>
        <v>0</v>
      </c>
      <c r="BE50" s="22">
        <f>IF(B50=0,0,IF(C50&gt;60,0,LOOKUP(Table1[[#This Row],[Medical
Age]],db!$BC$3:$BC$63,db!$BD$3:$BD$63)))</f>
        <v>0</v>
      </c>
      <c r="BF50" s="22">
        <f>BG50*db!$AS$10</f>
        <v>0</v>
      </c>
      <c r="BG50" s="22">
        <f t="shared" si="24"/>
        <v>0</v>
      </c>
      <c r="BH50" s="22">
        <f>(BE50/1000000)*AJ50*(1-db!$AS$10)</f>
        <v>0</v>
      </c>
      <c r="BI50" s="20">
        <f>IF(B50=0,0,IF(C50&gt;59,0,LOOKUP(Table1[[#This Row],[Medical
Age]],db!$BC$3:$BC$63,db!$BE$3:$BE$63)))</f>
        <v>0</v>
      </c>
      <c r="BJ50" s="20">
        <f>(BI50/1000000)*AL50*(1-db!$AS$11)</f>
        <v>0</v>
      </c>
      <c r="BK50" s="20">
        <f>(BI50/1000000)*AL50*(db!$AS$11)</f>
        <v>0</v>
      </c>
      <c r="BL50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50" s="20">
        <f>Table1[[#This Row],[RiskLoading
Rate]]*Table1[[#This Row],[Death Capital (2)]]</f>
        <v>0</v>
      </c>
      <c r="BN50" s="36"/>
      <c r="BO50" s="37">
        <f t="shared" si="25"/>
        <v>0</v>
      </c>
      <c r="BP50" s="35">
        <f t="shared" si="26"/>
        <v>0</v>
      </c>
      <c r="BQ50" s="35">
        <f t="shared" si="27"/>
        <v>0</v>
      </c>
      <c r="BR50" s="37">
        <f t="shared" si="11"/>
        <v>0</v>
      </c>
      <c r="BS50" s="37">
        <f t="shared" si="12"/>
        <v>0</v>
      </c>
      <c r="BT50" s="35">
        <f t="shared" si="13"/>
        <v>0</v>
      </c>
      <c r="BU50" s="35">
        <f t="shared" si="14"/>
        <v>0</v>
      </c>
      <c r="BV50" s="37">
        <f>(db!$AS$4/100)*(L50-BT50-BU50)</f>
        <v>0</v>
      </c>
      <c r="BW50" s="37">
        <f>(db!$AS$8/100)*(L50-BT50-BU50)</f>
        <v>0</v>
      </c>
      <c r="BX50" s="35"/>
      <c r="BY50" s="37"/>
      <c r="BZ50" s="37"/>
      <c r="CA50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50" s="33"/>
      <c r="CC50" s="39">
        <f>ROUND((Table1[[#This Row],[Premium]]-Table1[[#This Row],[All Deductions]]),0)</f>
        <v>0</v>
      </c>
      <c r="CD50" s="39">
        <f>IF(B50=0,0,Table1[[#This Row],[Initial Reserve]]+CE49)</f>
        <v>0</v>
      </c>
      <c r="CE50" s="40">
        <f>ROUND(IF(B50=0,0,((CC50)*(1+db!Y52))+((CE49)*(1+db!U52))),0)</f>
        <v>0</v>
      </c>
      <c r="CF50" s="40">
        <f t="shared" si="28"/>
        <v>0</v>
      </c>
      <c r="CG50" s="15">
        <f t="shared" si="15"/>
        <v>49</v>
      </c>
      <c r="CH50" s="39">
        <f>IF(B50=0,0,((CC50)*(1+db!AH52))+((CH49)*(1+db!AD52)))</f>
        <v>0</v>
      </c>
      <c r="CI50" s="39">
        <f>IF(B50=0,0,((CC50)*(1+db!AH52))+((CI49)*(1+db!AD52)))</f>
        <v>0</v>
      </c>
      <c r="CJ50" s="40">
        <f>IF(B50=0,0,((CC50)*(1+db!AO52))+((CJ49)*(1+db!AK52)))</f>
        <v>0</v>
      </c>
      <c r="CK50" s="40">
        <f>CJ50-(SUM(BX$7:$BX51))</f>
        <v>0</v>
      </c>
      <c r="CL50" s="46"/>
    </row>
    <row r="51" spans="1:90">
      <c r="A51" s="24">
        <f t="shared" si="16"/>
        <v>50</v>
      </c>
      <c r="B51" s="16">
        <f>IF(AND(Changes!Change="Yes", Changes!ChangeType="Change Contract Duration"),IF(B50=0,0,IF(Changes!NewChangedValue&lt;B50+1,0,B50+1)),IF(B50=0,0,IF('Application Annually'!$C$5&lt;B50+1,0,B50+1)))</f>
        <v>0</v>
      </c>
      <c r="C51" s="15">
        <f t="shared" si="17"/>
        <v>0</v>
      </c>
      <c r="D51" s="312">
        <f t="shared" si="18"/>
        <v>77</v>
      </c>
      <c r="E51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51" s="29">
        <f t="shared" si="8"/>
        <v>0</v>
      </c>
      <c r="G51" s="29">
        <f t="shared" si="9"/>
        <v>0</v>
      </c>
      <c r="H51" s="29">
        <f t="shared" si="20"/>
        <v>0</v>
      </c>
      <c r="I51" s="29">
        <f>IF(B51&gt;0,IF(AND(Table1[[#This Row],[Year]]&gt;Changes!ValidityYear,Changes!Change="Yes",Changes!ChangeType="Change Value Adjustment"),Changes!$G$22,'Application Annually'!$C$11),0)</f>
        <v>0</v>
      </c>
      <c r="J51" s="29">
        <f>IF(B51&gt;0,IF(AND(Table1[[#This Row],[Year]]&gt;Changes!ValidityYear,Changes!Change="Yes",Changes!ChangeType="Change Value Adjustment"),Changes!$G$24,'Application Annually'!$C$7),0)</f>
        <v>0</v>
      </c>
      <c r="K51" s="29">
        <f>ROUND(IF(B51=0,0,IF(AND(Changes!Change="Yes", Changes!ValidityYear=Table1[[#This Row],[Year]], Changes!ChangeType="Change Premium"), Changes!NewChangedValue, (K50*(1+db!$B$3)))),0)</f>
        <v>0</v>
      </c>
      <c r="L51" s="29">
        <f>ROUND(IF(AND(Changes!Change="Yes",Changes!ValidityYear&lt;=Table1[[#This Row],[Year]],Changes!ChangeType="Paid-Up"),0,IF(B51=0,0,IF(AND(Changes!Change="Yes", Changes!ValidityYear=Table1[[#This Row],[Year]], Changes!ChangeType="Change Premium"), Changes!NewChangedValue, (L50*(1+Table1[[#This Row],[Adjustment Factor of Premium]]/100))))),0)</f>
        <v>0</v>
      </c>
      <c r="M51" s="29">
        <f>IF(Table1[[#This Row],[Year]]=1,ROUND(MIN($L$2 -( Table1[[#This Row],[Riders Risk Premiums]] + Table1[[#This Row],[Acquisition Cost]]) *0.75,Table1[[#This Row],[Death Capital (1)]]* 0.03),0),0)</f>
        <v>0</v>
      </c>
      <c r="N51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51" s="29">
        <f>ROUND(IF(ROW()-1&gt;InsurancePeriod,0,(O50*(1+(Table1[[#This Row],[Adjustment Factor of Premium]]/100)))),0)</f>
        <v>0</v>
      </c>
      <c r="P51" s="29">
        <f>IF(Table1[Year] = 0, 0, SUM(L$2:L51))</f>
        <v>0</v>
      </c>
      <c r="Q51" s="17">
        <f t="shared" si="21"/>
        <v>0</v>
      </c>
      <c r="R51" s="17">
        <f>IF(Table1[[#This Row],[Year]]=0,0,IF($C$2&lt;=50,LOOKUP(Table1[[#This Row],[Age]],db!BG52:BG158,db!BH52:BH158),LOOKUP(Table1[[#This Row],[Age]],db!BJ52:BJ158,db!BK52:BK158)))</f>
        <v>0</v>
      </c>
      <c r="S51" s="17">
        <f>IF(AND(Changes!Change="Yes",Changes!ValidityYear&lt;=Table1[[#This Row],[Year]],Changes!ChangeType="Paid-Up",PaidUpOption="Paid-up with no coverage"),0,IF(B51=0,0, IF(AND(Changes!Change="Yes", Changes!ValidityYear=Table1[[#This Row],[Year]], Changes!ChangeType="Change Death Capital"), Changes!NewChangedValue, S50*(1+(Table1[[#This Row],[Adjustment Factor of Death Capital]]/100)))))</f>
        <v>0</v>
      </c>
      <c r="T51" s="17">
        <f>MIN(IF(B51=0,0,Table1[[#This Row],[Death Capital (1)]]),Table1[[#This Row],[Max Sum Insured For Death]])</f>
        <v>0</v>
      </c>
      <c r="U51" s="29">
        <f t="shared" si="10"/>
        <v>0</v>
      </c>
      <c r="V51" s="29">
        <f>IF(AND(Changes!Change="Yes",Changes!ValidityYear&lt;=Table1[[#This Row],[Year]],Changes!ChangeType="Paid-Up",OR(PaidUpOption="Paid-up with no coverage",PaidUpOption="Paid-up with main coverage")),0,IF(B51=0,0,IF(AND(Changes!Change="Yes", Changes!ValidityYear&lt;=Table1[[#This Row],[Year]], Changes!ChangeType="Rider Inclusion/Exclusion", Changes!RiderType="Accident Death"), T51*Changes!NewChangedValue,IF(db!$D$6="Yes",(db!$B$6)*T51,0))))</f>
        <v>0</v>
      </c>
      <c r="W51" s="29">
        <f>MIN(IF(V51&lt;=db!$L$2,V51,db!$L$2),MAX_ACC_CAPITAL)</f>
        <v>0</v>
      </c>
      <c r="X51" s="17">
        <f>IF(AND(Changes!Change="Yes",Changes!ValidityYear&lt;=Table1[[#This Row],[Year]],Changes!ChangeType="Paid-Up",OR(PaidUpOption="Paid-up with no coverage",PaidUpOption="Paid-up with main coverage")),0,IF(OR(B51=0,Table1[[#This Row],[Accident Capital (2)]]=0),0,IF(AND(Changes!Change="Yes", Changes!ValidityYear&lt;=Table1[[#This Row],[Year]], Changes!ChangeType="Rider Inclusion/Exclusion", Changes!RiderType="Accident Disability"), T51*Changes!NewChangedValue,IF(db!$D$7="Yes",(db!$B$7)*T51,0))))</f>
        <v>0</v>
      </c>
      <c r="Y51" s="42">
        <f>IF(C51&gt;69,0,IF(C51=0,0,IF(X51&lt;=db!$L$3,X51,db!$L$3)))</f>
        <v>0</v>
      </c>
      <c r="Z51" s="29">
        <f>IF(AND(Changes!Change="Yes",Changes!ValidityYear&lt;=Table1[[#This Row],[Year]],Changes!ChangeType="Paid-Up",OR(PaidUpOption="Paid-up with no coverage",PaidUpOption="Paid-up with main coverage")),0,IF(OR(B51=0,Table1[[#This Row],[Accident Capital (2)]]=0),0,IF(AND(Changes!Change="Yes", Changes!ValidityYear&lt;=Table1[[#This Row],[Year]], Changes!ChangeType="Rider Inclusion/Exclusion", Changes!RiderType="Accident Medical Cost"), T51*Changes!NewChangedValue,IF(db!$D$9="Yes",(db!$B$9)*T51,0))))</f>
        <v>0</v>
      </c>
      <c r="AA51" s="29">
        <f>ROUND(IF(C51&gt;69,0,IF(C51=0,0,IF(Z51&lt;=db!$L$4,Z51,db!$L$4))),0)</f>
        <v>0</v>
      </c>
      <c r="AB51" s="38">
        <f>IF(AND(Changes!Change = "Yes", Changes!ChangeType = "Rider Inclusion/Exclusion", Changes!RiderType = "WOP"), IF( Changes!ValidityYear &lt;= Table1[[#This Row],[Year]], IF(WOP = "Yes", 0, 1),  IF(WOP = "Yes", 1, 0)), IF(AND(db!$D$8="Yes",C51&lt;=69,ROW()-1&lt;=InsurancePeriod), 1, 0))</f>
        <v>0</v>
      </c>
      <c r="AC51" s="17">
        <f>(AC52+K52)*AB51*((1)/(1+db!AA53))*(LOOKUP(C51,'Mortality Table'!$A$2:$A$108,'Mortality Table'!$E$2:$E$108))</f>
        <v>0</v>
      </c>
      <c r="AD51" s="340">
        <f>IF(AND(Changes!ValidityYear&lt;= Table1[[#This Row],[Year]],Changes!ChangeType="Change Value Adjustment",Changes!Change="Yes"), (AD52+L52)*AB51*((1)/(1+db!AA53))*(LOOKUP(C51,'Mortality Table'!$A$2:$A$108,'Mortality Table'!$E$2:$E$108)),Table1[[#This Row],[WOP Before Adj. BT]])</f>
        <v>0</v>
      </c>
      <c r="AE51" s="341">
        <f>IF(AND(Changes!Change="Yes", Changes!ChangeType="Change Value Adjustment"),Table1[[#This Row],[WOP Capital]],(AE52+O52)*AB51*((1)/(1+db!AA53))*(LOOKUP(D51,'Mortality Table'!$A$2:$A$108,'Mortality Table'!$E$2:$E$108)))</f>
        <v>0</v>
      </c>
      <c r="AF51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51" s="42">
        <f>IF(AND(Changes!Change="Yes", Changes!ValidityYear&lt;=Table1[[#This Row],[Year]], Changes!ChangeType="Rider Inclusion/Exclusion", Changes!RiderType="Disability Annuity"), L51*Changes!NewChangedValue,L51*db!B$10*IF(db!$D$10="Yes",1,0))</f>
        <v>0</v>
      </c>
      <c r="AH51" s="29">
        <f>IF(AND(Changes!Change="Yes",Changes!ValidityYear&lt;=Table1[[#This Row],[Year]],Changes!ChangeType="Paid-Up"),0,Table1[[#This Row],[Code Annuity Capital]]*IF('Annual Calculation'!C51&gt;69,0,(LOOKUP('Annual Calculation'!C51+1,'Mortality Table'!$A$2:$A$108,'Mortality Table'!$O$2:$O$108)-LOOKUP('Annual Calculation'!C51+11,'Mortality Table'!$A$2:$A$108,'Mortality Table'!$O$2:$O$108))/LOOKUP('Annual Calculation'!C51,'Mortality Table'!$A$2:$A$108,'Mortality Table'!$M$2:$M$108)))</f>
        <v>0</v>
      </c>
      <c r="AI51" s="17">
        <f>IF(AND(Changes!Change="Yes",Changes!ValidityYear&lt;=Table1[[#This Row],[Year]],Changes!ChangeType="Paid-Up",OR(PaidUpOption="Paid-up with no coverage",PaidUpOption="Paid-up with main coverage")),0,IF(B51=0,0,IF(AND(Changes!Change="Yes", Changes!ValidityYear&lt;=Table1[[#This Row],[Year]], Changes!ChangeType="Rider Inclusion/Exclusion", Changes!RiderType="Dread Disease"), T51*Changes!NewChangedValue,IF(db!$D$11="Yes",(db!$B$11)*T51,0))))</f>
        <v>0</v>
      </c>
      <c r="AJ51" s="42">
        <f>ROUND(IF(C51&gt;59,0,IF(C51=0,0,IF(AI51&lt;=db!$L$5,AI51,db!$L$5))),0)</f>
        <v>0</v>
      </c>
      <c r="AK51" s="29">
        <f>IF(AND(Changes!Change="Yes",Changes!ValidityYear&lt;=Table1[[#This Row],[Year]],Changes!ChangeType="Paid-Up",OR(PaidUpOption="Paid-up with no coverage",PaidUpOption="Paid-up with main coverage")),0,IF(B51=0,0,IF(AND(Changes!Change="Yes", Changes!ValidityYear&lt;=Table1[[#This Row],[Year]], Changes!ChangeType="Rider Inclusion/Exclusion", Changes!RiderType="Cancer"), T51*Changes!NewChangedValue,IF(db!$D$12="Yes",(db!$B$12)*T51,0))))</f>
        <v>0</v>
      </c>
      <c r="AL51" s="29">
        <f>ROUND(IF(C51&gt;59,0,IF(C51=0,0,IF(AK51&lt;=db!$L$6,AK51,db!$L$6))),0)</f>
        <v>0</v>
      </c>
      <c r="AM51" s="32"/>
      <c r="AN51" s="18">
        <f>IF(B51=0,0,IF(C51&lt;(db!$E$2+5),LOOKUP(C51,'Mortality Table'!$A$2:$A$108,'Mortality Table'!$P$2:$P$108),IF((C51&gt;=db!$E$2+10),LOOKUP(C51,'Mortality Table'!$A$2:$A$108,'Mortality Table'!$R$2:$R$108),LOOKUP(C51,'Mortality Table'!$A$2:$A$108,'Mortality Table'!$Q$2:$Q$108))))</f>
        <v>0</v>
      </c>
      <c r="AO51" s="22">
        <f t="shared" si="22"/>
        <v>0</v>
      </c>
      <c r="AP51" s="19">
        <f>IF(B51=0,0, LOOKUP(IF(AND(Changes!Change="Yes", Changes!ValidityYear&lt;=Table1[[#This Row],[Year]], Changes!ChangeType="Change Job Class"),Changes!NewChangedValue, db!$A$8),db!$AX$4:$AX$8,db!$AY$4:$AY$8))</f>
        <v>0</v>
      </c>
      <c r="AQ51" s="20">
        <f>ROUND((AP51/1000)*W51 * (1-db!$AS$9),0)</f>
        <v>0</v>
      </c>
      <c r="AR51" s="20">
        <f>(AP51/1000)*W51 * db!$AS$9</f>
        <v>0</v>
      </c>
      <c r="AS51" s="21">
        <f>IF(B51=0,0, LOOKUP(IF(AND(Changes!Change="Yes", Changes!ValidityYear&lt;=Table1[[#This Row],[Year]], Changes!ChangeType="Change Job Class"),Changes!NewChangedValue, db!$A$8),db!$AX$4:$AX$8,db!$AZ$4:$AZ$8))</f>
        <v>0</v>
      </c>
      <c r="AT51" s="22">
        <f>(AS51/1000)*Y51*(1-db!$AS$9)</f>
        <v>0</v>
      </c>
      <c r="AU51" s="22">
        <f>(AS51/1000)*Y51*(db!$AS$9)</f>
        <v>0</v>
      </c>
      <c r="AV51" s="23">
        <f>IF(B51=0,0, LOOKUP(IF(AND(Changes!Change="Yes", Changes!ValidityYear&lt;=Table1[[#This Row],[Year]], Changes!ChangeType="Change Job Class"),Changes!NewChangedValue, db!$A$8),db!$AX$4:$AX$8,db!$BA$4:$BA$8))</f>
        <v>0</v>
      </c>
      <c r="AW51" s="20">
        <f>ROUND((AV51/(100))*AA51*(1-db!$AS$9),0)</f>
        <v>0</v>
      </c>
      <c r="AX51" s="20">
        <f>ROUND((AV51/(100))*AA51*(db!$AS$9),0)</f>
        <v>0</v>
      </c>
      <c r="AY51" s="21">
        <f>IF(db!$D$8="Yes",AS51,0)</f>
        <v>0</v>
      </c>
      <c r="AZ51" s="22">
        <f>(AY51*AF51)/1000*(1-db!$AS$9)</f>
        <v>0</v>
      </c>
      <c r="BA51" s="22">
        <f>(AY51*AF51)/1000*(db!$AS$9)</f>
        <v>0</v>
      </c>
      <c r="BB51" s="23">
        <f t="shared" si="23"/>
        <v>0</v>
      </c>
      <c r="BC51" s="20">
        <f>(BB51*AH51/1000)*(1-db!$AS$9)</f>
        <v>0</v>
      </c>
      <c r="BD51" s="20">
        <f>(BB51*AH51/1000)*(db!$AS$9)</f>
        <v>0</v>
      </c>
      <c r="BE51" s="22">
        <f>IF(B51=0,0,IF(C51&gt;60,0,LOOKUP(Table1[[#This Row],[Medical
Age]],db!$BC$3:$BC$63,db!$BD$3:$BD$63)))</f>
        <v>0</v>
      </c>
      <c r="BF51" s="22">
        <f>BG51*db!$AS$10</f>
        <v>0</v>
      </c>
      <c r="BG51" s="22">
        <f t="shared" si="24"/>
        <v>0</v>
      </c>
      <c r="BH51" s="22">
        <f>(BE51/1000000)*AJ51*(1-db!$AS$10)</f>
        <v>0</v>
      </c>
      <c r="BI51" s="20">
        <f>IF(B51=0,0,IF(C51&gt;59,0,LOOKUP(Table1[[#This Row],[Medical
Age]],db!$BC$3:$BC$63,db!$BE$3:$BE$63)))</f>
        <v>0</v>
      </c>
      <c r="BJ51" s="20">
        <f>(BI51/1000000)*AL51*(1-db!$AS$11)</f>
        <v>0</v>
      </c>
      <c r="BK51" s="20">
        <f>(BI51/1000000)*AL51*(db!$AS$11)</f>
        <v>0</v>
      </c>
      <c r="BL51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51" s="20">
        <f>Table1[[#This Row],[RiskLoading
Rate]]*Table1[[#This Row],[Death Capital (2)]]</f>
        <v>0</v>
      </c>
      <c r="BN51" s="36"/>
      <c r="BO51" s="37">
        <f t="shared" si="25"/>
        <v>0</v>
      </c>
      <c r="BP51" s="35">
        <f t="shared" si="26"/>
        <v>0</v>
      </c>
      <c r="BQ51" s="35">
        <f t="shared" si="27"/>
        <v>0</v>
      </c>
      <c r="BR51" s="37">
        <f t="shared" si="11"/>
        <v>0</v>
      </c>
      <c r="BS51" s="37">
        <f t="shared" si="12"/>
        <v>0</v>
      </c>
      <c r="BT51" s="35">
        <f t="shared" si="13"/>
        <v>0</v>
      </c>
      <c r="BU51" s="35">
        <f t="shared" si="14"/>
        <v>0</v>
      </c>
      <c r="BV51" s="37">
        <f>(db!$AS$4/100)*(L51-BT51-BU51)</f>
        <v>0</v>
      </c>
      <c r="BW51" s="37">
        <f>(db!$AS$8/100)*(L51-BT51-BU51)</f>
        <v>0</v>
      </c>
      <c r="BX51" s="35"/>
      <c r="BY51" s="37"/>
      <c r="BZ51" s="37"/>
      <c r="CA51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51" s="33"/>
      <c r="CC51" s="39">
        <f>ROUND((Table1[[#This Row],[Premium]]-Table1[[#This Row],[All Deductions]]),0)</f>
        <v>0</v>
      </c>
      <c r="CD51" s="39">
        <f>IF(B51=0,0,Table1[[#This Row],[Initial Reserve]]+CE50)</f>
        <v>0</v>
      </c>
      <c r="CE51" s="40">
        <f>ROUND(IF(B51=0,0,((CC51)*(1+db!Y53))+((CE50)*(1+db!U53))),0)</f>
        <v>0</v>
      </c>
      <c r="CF51" s="40">
        <f t="shared" si="28"/>
        <v>0</v>
      </c>
      <c r="CG51" s="15">
        <f t="shared" si="15"/>
        <v>50</v>
      </c>
      <c r="CH51" s="39">
        <f>IF(B51=0,0,((CC51)*(1+db!AH53))+((CH50)*(1+db!AD53)))</f>
        <v>0</v>
      </c>
      <c r="CI51" s="39">
        <f>IF(B51=0,0,((CC51)*(1+db!AH53))+((CI50)*(1+db!AD53)))</f>
        <v>0</v>
      </c>
      <c r="CJ51" s="40">
        <f>IF(B51=0,0,((CC51)*(1+db!AO53))+((CJ50)*(1+db!AK53)))</f>
        <v>0</v>
      </c>
      <c r="CK51" s="40">
        <f>CJ51-(SUM(BX$7:$BX52))</f>
        <v>0</v>
      </c>
      <c r="CL51" s="46"/>
    </row>
    <row r="52" spans="1:90">
      <c r="A52" s="24">
        <f t="shared" si="16"/>
        <v>51</v>
      </c>
      <c r="B52" s="16">
        <f>IF(AND(Changes!Change="Yes", Changes!ChangeType="Change Contract Duration"),IF(B51=0,0,IF(Changes!NewChangedValue&lt;B51+1,0,B51+1)),IF(B51=0,0,IF('Application Annually'!$C$5&lt;B51+1,0,B51+1)))</f>
        <v>0</v>
      </c>
      <c r="C52" s="15">
        <f t="shared" si="17"/>
        <v>0</v>
      </c>
      <c r="D52" s="312">
        <f t="shared" si="18"/>
        <v>78</v>
      </c>
      <c r="E52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52" s="29">
        <f t="shared" si="8"/>
        <v>0</v>
      </c>
      <c r="G52" s="29">
        <f t="shared" si="9"/>
        <v>0</v>
      </c>
      <c r="H52" s="29">
        <f t="shared" si="20"/>
        <v>0</v>
      </c>
      <c r="I52" s="29">
        <f>IF(B52&gt;0,IF(AND(Table1[[#This Row],[Year]]&gt;Changes!ValidityYear,Changes!Change="Yes",Changes!ChangeType="Change Value Adjustment"),Changes!$G$22,'Application Annually'!$C$11),0)</f>
        <v>0</v>
      </c>
      <c r="J52" s="29">
        <f>IF(B52&gt;0,IF(AND(Table1[[#This Row],[Year]]&gt;Changes!ValidityYear,Changes!Change="Yes",Changes!ChangeType="Change Value Adjustment"),Changes!$G$24,'Application Annually'!$C$7),0)</f>
        <v>0</v>
      </c>
      <c r="K52" s="29">
        <f>ROUND(IF(B52=0,0,IF(AND(Changes!Change="Yes", Changes!ValidityYear=Table1[[#This Row],[Year]], Changes!ChangeType="Change Premium"), Changes!NewChangedValue, (K51*(1+db!$B$3)))),0)</f>
        <v>0</v>
      </c>
      <c r="L52" s="29">
        <f>ROUND(IF(AND(Changes!Change="Yes",Changes!ValidityYear&lt;=Table1[[#This Row],[Year]],Changes!ChangeType="Paid-Up"),0,IF(B52=0,0,IF(AND(Changes!Change="Yes", Changes!ValidityYear=Table1[[#This Row],[Year]], Changes!ChangeType="Change Premium"), Changes!NewChangedValue, (L51*(1+Table1[[#This Row],[Adjustment Factor of Premium]]/100))))),0)</f>
        <v>0</v>
      </c>
      <c r="M52" s="29">
        <f>IF(Table1[[#This Row],[Year]]=1,ROUND(MIN($L$2 -( Table1[[#This Row],[Riders Risk Premiums]] + Table1[[#This Row],[Acquisition Cost]]) *0.75,Table1[[#This Row],[Death Capital (1)]]* 0.03),0),0)</f>
        <v>0</v>
      </c>
      <c r="N52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52" s="29">
        <f>ROUND(IF(ROW()-1&gt;InsurancePeriod,0,(O51*(1+(Table1[[#This Row],[Adjustment Factor of Premium]]/100)))),0)</f>
        <v>0</v>
      </c>
      <c r="P52" s="29">
        <f>IF(Table1[Year] = 0, 0, SUM(L$2:L52))</f>
        <v>0</v>
      </c>
      <c r="Q52" s="17">
        <f t="shared" si="21"/>
        <v>0</v>
      </c>
      <c r="R52" s="17">
        <f>IF(Table1[[#This Row],[Year]]=0,0,IF($C$2&lt;=50,LOOKUP(Table1[[#This Row],[Age]],db!BG53:BG159,db!BH53:BH159),LOOKUP(Table1[[#This Row],[Age]],db!BJ53:BJ159,db!BK53:BK159)))</f>
        <v>0</v>
      </c>
      <c r="S52" s="17">
        <f>IF(AND(Changes!Change="Yes",Changes!ValidityYear&lt;=Table1[[#This Row],[Year]],Changes!ChangeType="Paid-Up",PaidUpOption="Paid-up with no coverage"),0,IF(B52=0,0, IF(AND(Changes!Change="Yes", Changes!ValidityYear=Table1[[#This Row],[Year]], Changes!ChangeType="Change Death Capital"), Changes!NewChangedValue, S51*(1+(Table1[[#This Row],[Adjustment Factor of Death Capital]]/100)))))</f>
        <v>0</v>
      </c>
      <c r="T52" s="17">
        <f>MIN(IF(B52=0,0,Table1[[#This Row],[Death Capital (1)]]),Table1[[#This Row],[Max Sum Insured For Death]])</f>
        <v>0</v>
      </c>
      <c r="U52" s="29">
        <f t="shared" si="10"/>
        <v>0</v>
      </c>
      <c r="V52" s="29">
        <f>IF(AND(Changes!Change="Yes",Changes!ValidityYear&lt;=Table1[[#This Row],[Year]],Changes!ChangeType="Paid-Up",OR(PaidUpOption="Paid-up with no coverage",PaidUpOption="Paid-up with main coverage")),0,IF(B52=0,0,IF(AND(Changes!Change="Yes", Changes!ValidityYear&lt;=Table1[[#This Row],[Year]], Changes!ChangeType="Rider Inclusion/Exclusion", Changes!RiderType="Accident Death"), T52*Changes!NewChangedValue,IF(db!$D$6="Yes",(db!$B$6)*T52,0))))</f>
        <v>0</v>
      </c>
      <c r="W52" s="29">
        <f>MIN(IF(V52&lt;=db!$L$2,V52,db!$L$2),MAX_ACC_CAPITAL)</f>
        <v>0</v>
      </c>
      <c r="X52" s="17">
        <f>IF(AND(Changes!Change="Yes",Changes!ValidityYear&lt;=Table1[[#This Row],[Year]],Changes!ChangeType="Paid-Up",OR(PaidUpOption="Paid-up with no coverage",PaidUpOption="Paid-up with main coverage")),0,IF(OR(B52=0,Table1[[#This Row],[Accident Capital (2)]]=0),0,IF(AND(Changes!Change="Yes", Changes!ValidityYear&lt;=Table1[[#This Row],[Year]], Changes!ChangeType="Rider Inclusion/Exclusion", Changes!RiderType="Accident Disability"), T52*Changes!NewChangedValue,IF(db!$D$7="Yes",(db!$B$7)*T52,0))))</f>
        <v>0</v>
      </c>
      <c r="Y52" s="42">
        <f>IF(C52&gt;69,0,IF(C52=0,0,IF(X52&lt;=db!$L$3,X52,db!$L$3)))</f>
        <v>0</v>
      </c>
      <c r="Z52" s="29">
        <f>IF(AND(Changes!Change="Yes",Changes!ValidityYear&lt;=Table1[[#This Row],[Year]],Changes!ChangeType="Paid-Up",OR(PaidUpOption="Paid-up with no coverage",PaidUpOption="Paid-up with main coverage")),0,IF(OR(B52=0,Table1[[#This Row],[Accident Capital (2)]]=0),0,IF(AND(Changes!Change="Yes", Changes!ValidityYear&lt;=Table1[[#This Row],[Year]], Changes!ChangeType="Rider Inclusion/Exclusion", Changes!RiderType="Accident Medical Cost"), T52*Changes!NewChangedValue,IF(db!$D$9="Yes",(db!$B$9)*T52,0))))</f>
        <v>0</v>
      </c>
      <c r="AA52" s="29">
        <f>ROUND(IF(C52&gt;69,0,IF(C52=0,0,IF(Z52&lt;=db!$L$4,Z52,db!$L$4))),0)</f>
        <v>0</v>
      </c>
      <c r="AB52" s="38">
        <f>IF(AND(Changes!Change = "Yes", Changes!ChangeType = "Rider Inclusion/Exclusion", Changes!RiderType = "WOP"), IF( Changes!ValidityYear &lt;= Table1[[#This Row],[Year]], IF(WOP = "Yes", 0, 1),  IF(WOP = "Yes", 1, 0)), IF(AND(db!$D$8="Yes",C52&lt;=69,ROW()-1&lt;=InsurancePeriod), 1, 0))</f>
        <v>0</v>
      </c>
      <c r="AC52" s="17">
        <f>(AC53+K53)*AB52*((1)/(1+db!AA54))*(LOOKUP(C52,'Mortality Table'!$A$2:$A$108,'Mortality Table'!$E$2:$E$108))</f>
        <v>0</v>
      </c>
      <c r="AD52" s="340">
        <f>IF(AND(Changes!ValidityYear&lt;= Table1[[#This Row],[Year]],Changes!ChangeType="Change Value Adjustment",Changes!Change="Yes"), (AD53+L53)*AB52*((1)/(1+db!AA54))*(LOOKUP(C52,'Mortality Table'!$A$2:$A$108,'Mortality Table'!$E$2:$E$108)),Table1[[#This Row],[WOP Before Adj. BT]])</f>
        <v>0</v>
      </c>
      <c r="AE52" s="341">
        <f>IF(AND(Changes!Change="Yes", Changes!ChangeType="Change Value Adjustment"),Table1[[#This Row],[WOP Capital]],(AE53+O53)*AB52*((1)/(1+db!AA54))*(LOOKUP(D52,'Mortality Table'!$A$2:$A$108,'Mortality Table'!$E$2:$E$108)))</f>
        <v>0</v>
      </c>
      <c r="AF52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52" s="42">
        <f>IF(AND(Changes!Change="Yes", Changes!ValidityYear&lt;=Table1[[#This Row],[Year]], Changes!ChangeType="Rider Inclusion/Exclusion", Changes!RiderType="Disability Annuity"), L52*Changes!NewChangedValue,L52*db!B$10*IF(db!$D$10="Yes",1,0))</f>
        <v>0</v>
      </c>
      <c r="AH52" s="29">
        <f>IF(AND(Changes!Change="Yes",Changes!ValidityYear&lt;=Table1[[#This Row],[Year]],Changes!ChangeType="Paid-Up"),0,Table1[[#This Row],[Code Annuity Capital]]*IF('Annual Calculation'!C52&gt;69,0,(LOOKUP('Annual Calculation'!C52+1,'Mortality Table'!$A$2:$A$108,'Mortality Table'!$O$2:$O$108)-LOOKUP('Annual Calculation'!C52+11,'Mortality Table'!$A$2:$A$108,'Mortality Table'!$O$2:$O$108))/LOOKUP('Annual Calculation'!C52,'Mortality Table'!$A$2:$A$108,'Mortality Table'!$M$2:$M$108)))</f>
        <v>0</v>
      </c>
      <c r="AI52" s="17">
        <f>IF(AND(Changes!Change="Yes",Changes!ValidityYear&lt;=Table1[[#This Row],[Year]],Changes!ChangeType="Paid-Up",OR(PaidUpOption="Paid-up with no coverage",PaidUpOption="Paid-up with main coverage")),0,IF(B52=0,0,IF(AND(Changes!Change="Yes", Changes!ValidityYear&lt;=Table1[[#This Row],[Year]], Changes!ChangeType="Rider Inclusion/Exclusion", Changes!RiderType="Dread Disease"), T52*Changes!NewChangedValue,IF(db!$D$11="Yes",(db!$B$11)*T52,0))))</f>
        <v>0</v>
      </c>
      <c r="AJ52" s="42">
        <f>ROUND(IF(C52&gt;59,0,IF(C52=0,0,IF(AI52&lt;=db!$L$5,AI52,db!$L$5))),0)</f>
        <v>0</v>
      </c>
      <c r="AK52" s="29">
        <f>IF(AND(Changes!Change="Yes",Changes!ValidityYear&lt;=Table1[[#This Row],[Year]],Changes!ChangeType="Paid-Up",OR(PaidUpOption="Paid-up with no coverage",PaidUpOption="Paid-up with main coverage")),0,IF(B52=0,0,IF(AND(Changes!Change="Yes", Changes!ValidityYear&lt;=Table1[[#This Row],[Year]], Changes!ChangeType="Rider Inclusion/Exclusion", Changes!RiderType="Cancer"), T52*Changes!NewChangedValue,IF(db!$D$12="Yes",(db!$B$12)*T52,0))))</f>
        <v>0</v>
      </c>
      <c r="AL52" s="29">
        <f>ROUND(IF(C52&gt;59,0,IF(C52=0,0,IF(AK52&lt;=db!$L$6,AK52,db!$L$6))),0)</f>
        <v>0</v>
      </c>
      <c r="AM52" s="32"/>
      <c r="AN52" s="18">
        <f>IF(B52=0,0,IF(C52&lt;(db!$E$2+5),LOOKUP(C52,'Mortality Table'!$A$2:$A$108,'Mortality Table'!$P$2:$P$108),IF((C52&gt;=db!$E$2+10),LOOKUP(C52,'Mortality Table'!$A$2:$A$108,'Mortality Table'!$R$2:$R$108),LOOKUP(C52,'Mortality Table'!$A$2:$A$108,'Mortality Table'!$Q$2:$Q$108))))</f>
        <v>0</v>
      </c>
      <c r="AO52" s="22">
        <f t="shared" si="22"/>
        <v>0</v>
      </c>
      <c r="AP52" s="19">
        <f>IF(B52=0,0, LOOKUP(IF(AND(Changes!Change="Yes", Changes!ValidityYear&lt;=Table1[[#This Row],[Year]], Changes!ChangeType="Change Job Class"),Changes!NewChangedValue, db!$A$8),db!$AX$4:$AX$8,db!$AY$4:$AY$8))</f>
        <v>0</v>
      </c>
      <c r="AQ52" s="20">
        <f>ROUND((AP52/1000)*W52 * (1-db!$AS$9),0)</f>
        <v>0</v>
      </c>
      <c r="AR52" s="20">
        <f>(AP52/1000)*W52 * db!$AS$9</f>
        <v>0</v>
      </c>
      <c r="AS52" s="21">
        <f>IF(B52=0,0, LOOKUP(IF(AND(Changes!Change="Yes", Changes!ValidityYear&lt;=Table1[[#This Row],[Year]], Changes!ChangeType="Change Job Class"),Changes!NewChangedValue, db!$A$8),db!$AX$4:$AX$8,db!$AZ$4:$AZ$8))</f>
        <v>0</v>
      </c>
      <c r="AT52" s="22">
        <f>(AS52/1000)*Y52*(1-db!$AS$9)</f>
        <v>0</v>
      </c>
      <c r="AU52" s="22">
        <f>(AS52/1000)*Y52*(db!$AS$9)</f>
        <v>0</v>
      </c>
      <c r="AV52" s="23">
        <f>IF(B52=0,0, LOOKUP(IF(AND(Changes!Change="Yes", Changes!ValidityYear&lt;=Table1[[#This Row],[Year]], Changes!ChangeType="Change Job Class"),Changes!NewChangedValue, db!$A$8),db!$AX$4:$AX$8,db!$BA$4:$BA$8))</f>
        <v>0</v>
      </c>
      <c r="AW52" s="20">
        <f>ROUND((AV52/(100))*AA52*(1-db!$AS$9),0)</f>
        <v>0</v>
      </c>
      <c r="AX52" s="20">
        <f>ROUND((AV52/(100))*AA52*(db!$AS$9),0)</f>
        <v>0</v>
      </c>
      <c r="AY52" s="21">
        <f>IF(db!$D$8="Yes",AS52,0)</f>
        <v>0</v>
      </c>
      <c r="AZ52" s="22">
        <f>(AY52*AF52)/1000*(1-db!$AS$9)</f>
        <v>0</v>
      </c>
      <c r="BA52" s="22">
        <f>(AY52*AF52)/1000*(db!$AS$9)</f>
        <v>0</v>
      </c>
      <c r="BB52" s="23">
        <f t="shared" si="23"/>
        <v>0</v>
      </c>
      <c r="BC52" s="20">
        <f>(BB52*AH52/1000)*(1-db!$AS$9)</f>
        <v>0</v>
      </c>
      <c r="BD52" s="20">
        <f>(BB52*AH52/1000)*(db!$AS$9)</f>
        <v>0</v>
      </c>
      <c r="BE52" s="22">
        <f>IF(B52=0,0,IF(C52&gt;60,0,LOOKUP(Table1[[#This Row],[Medical
Age]],db!$BC$3:$BC$63,db!$BD$3:$BD$63)))</f>
        <v>0</v>
      </c>
      <c r="BF52" s="22">
        <f>BG52*db!$AS$10</f>
        <v>0</v>
      </c>
      <c r="BG52" s="22">
        <f t="shared" si="24"/>
        <v>0</v>
      </c>
      <c r="BH52" s="22">
        <f>(BE52/1000000)*AJ52*(1-db!$AS$10)</f>
        <v>0</v>
      </c>
      <c r="BI52" s="20">
        <f>IF(B52=0,0,IF(C52&gt;59,0,LOOKUP(Table1[[#This Row],[Medical
Age]],db!$BC$3:$BC$63,db!$BE$3:$BE$63)))</f>
        <v>0</v>
      </c>
      <c r="BJ52" s="20">
        <f>(BI52/1000000)*AL52*(1-db!$AS$11)</f>
        <v>0</v>
      </c>
      <c r="BK52" s="20">
        <f>(BI52/1000000)*AL52*(db!$AS$11)</f>
        <v>0</v>
      </c>
      <c r="BL52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52" s="20">
        <f>Table1[[#This Row],[RiskLoading
Rate]]*Table1[[#This Row],[Death Capital (2)]]</f>
        <v>0</v>
      </c>
      <c r="BN52" s="36"/>
      <c r="BO52" s="37">
        <f t="shared" si="25"/>
        <v>0</v>
      </c>
      <c r="BP52" s="35">
        <f t="shared" si="26"/>
        <v>0</v>
      </c>
      <c r="BQ52" s="35">
        <f t="shared" si="27"/>
        <v>0</v>
      </c>
      <c r="BR52" s="37">
        <f t="shared" si="11"/>
        <v>0</v>
      </c>
      <c r="BS52" s="37">
        <f t="shared" si="12"/>
        <v>0</v>
      </c>
      <c r="BT52" s="35">
        <f t="shared" si="13"/>
        <v>0</v>
      </c>
      <c r="BU52" s="35">
        <f t="shared" si="14"/>
        <v>0</v>
      </c>
      <c r="BV52" s="37">
        <f>(db!$AS$4/100)*(L52-BT52-BU52)</f>
        <v>0</v>
      </c>
      <c r="BW52" s="37">
        <f>(db!$AS$8/100)*(L52-BT52-BU52)</f>
        <v>0</v>
      </c>
      <c r="BX52" s="35"/>
      <c r="BY52" s="37"/>
      <c r="BZ52" s="37"/>
      <c r="CA52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52" s="33"/>
      <c r="CC52" s="39">
        <f>ROUND((Table1[[#This Row],[Premium]]-Table1[[#This Row],[All Deductions]]),0)</f>
        <v>0</v>
      </c>
      <c r="CD52" s="39">
        <f>IF(B52=0,0,Table1[[#This Row],[Initial Reserve]]+CE51)</f>
        <v>0</v>
      </c>
      <c r="CE52" s="40">
        <f>ROUND(IF(B52=0,0,((CC52)*(1+db!Y54))+((CE51)*(1+db!U54))),0)</f>
        <v>0</v>
      </c>
      <c r="CF52" s="40">
        <f t="shared" si="28"/>
        <v>0</v>
      </c>
      <c r="CG52" s="15">
        <f t="shared" si="15"/>
        <v>51</v>
      </c>
      <c r="CH52" s="39">
        <f>IF(B52=0,0,((CC52)*(1+db!AH54))+((CH51)*(1+db!AD54)))</f>
        <v>0</v>
      </c>
      <c r="CI52" s="39">
        <f>IF(B52=0,0,((CC52)*(1+db!AH54))+((CI51)*(1+db!AD54)))</f>
        <v>0</v>
      </c>
      <c r="CJ52" s="40">
        <f>IF(B52=0,0,((CC52)*(1+db!AO54))+((CJ51)*(1+db!AK54)))</f>
        <v>0</v>
      </c>
      <c r="CK52" s="40">
        <f>CJ52-(SUM(BX$7:$BX53))</f>
        <v>0</v>
      </c>
      <c r="CL52" s="46"/>
    </row>
    <row r="53" spans="1:90">
      <c r="A53" s="24">
        <f t="shared" si="16"/>
        <v>52</v>
      </c>
      <c r="B53" s="16">
        <f>IF(AND(Changes!Change="Yes", Changes!ChangeType="Change Contract Duration"),IF(B52=0,0,IF(Changes!NewChangedValue&lt;B52+1,0,B52+1)),IF(B52=0,0,IF('Application Annually'!$C$5&lt;B52+1,0,B52+1)))</f>
        <v>0</v>
      </c>
      <c r="C53" s="15">
        <f t="shared" si="17"/>
        <v>0</v>
      </c>
      <c r="D53" s="312">
        <f t="shared" si="18"/>
        <v>79</v>
      </c>
      <c r="E53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53" s="29">
        <f t="shared" si="8"/>
        <v>0</v>
      </c>
      <c r="G53" s="29">
        <f t="shared" si="9"/>
        <v>0</v>
      </c>
      <c r="H53" s="29">
        <f t="shared" si="20"/>
        <v>0</v>
      </c>
      <c r="I53" s="29">
        <f>IF(B53&gt;0,IF(AND(Table1[[#This Row],[Year]]&gt;Changes!ValidityYear,Changes!Change="Yes",Changes!ChangeType="Change Value Adjustment"),Changes!$G$22,'Application Annually'!$C$11),0)</f>
        <v>0</v>
      </c>
      <c r="J53" s="29">
        <f>IF(B53&gt;0,IF(AND(Table1[[#This Row],[Year]]&gt;Changes!ValidityYear,Changes!Change="Yes",Changes!ChangeType="Change Value Adjustment"),Changes!$G$24,'Application Annually'!$C$7),0)</f>
        <v>0</v>
      </c>
      <c r="K53" s="29">
        <f>ROUND(IF(B53=0,0,IF(AND(Changes!Change="Yes", Changes!ValidityYear=Table1[[#This Row],[Year]], Changes!ChangeType="Change Premium"), Changes!NewChangedValue, (K52*(1+db!$B$3)))),0)</f>
        <v>0</v>
      </c>
      <c r="L53" s="29">
        <f>ROUND(IF(AND(Changes!Change="Yes",Changes!ValidityYear&lt;=Table1[[#This Row],[Year]],Changes!ChangeType="Paid-Up"),0,IF(B53=0,0,IF(AND(Changes!Change="Yes", Changes!ValidityYear=Table1[[#This Row],[Year]], Changes!ChangeType="Change Premium"), Changes!NewChangedValue, (L52*(1+Table1[[#This Row],[Adjustment Factor of Premium]]/100))))),0)</f>
        <v>0</v>
      </c>
      <c r="M53" s="29">
        <f>IF(Table1[[#This Row],[Year]]=1,ROUND(MIN($L$2 -( Table1[[#This Row],[Riders Risk Premiums]] + Table1[[#This Row],[Acquisition Cost]]) *0.75,Table1[[#This Row],[Death Capital (1)]]* 0.03),0),0)</f>
        <v>0</v>
      </c>
      <c r="N53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53" s="29">
        <f>ROUND(IF(ROW()-1&gt;InsurancePeriod,0,(O52*(1+(Table1[[#This Row],[Adjustment Factor of Premium]]/100)))),0)</f>
        <v>0</v>
      </c>
      <c r="P53" s="29">
        <f>IF(Table1[Year] = 0, 0, SUM(L$2:L53))</f>
        <v>0</v>
      </c>
      <c r="Q53" s="17">
        <f t="shared" si="21"/>
        <v>0</v>
      </c>
      <c r="R53" s="17">
        <f>IF(Table1[[#This Row],[Year]]=0,0,IF($C$2&lt;=50,LOOKUP(Table1[[#This Row],[Age]],db!BG54:BG160,db!BH54:BH160),LOOKUP(Table1[[#This Row],[Age]],db!BJ54:BJ160,db!BK54:BK160)))</f>
        <v>0</v>
      </c>
      <c r="S53" s="17">
        <f>IF(AND(Changes!Change="Yes",Changes!ValidityYear&lt;=Table1[[#This Row],[Year]],Changes!ChangeType="Paid-Up",PaidUpOption="Paid-up with no coverage"),0,IF(B53=0,0, IF(AND(Changes!Change="Yes", Changes!ValidityYear=Table1[[#This Row],[Year]], Changes!ChangeType="Change Death Capital"), Changes!NewChangedValue, S52*(1+(Table1[[#This Row],[Adjustment Factor of Death Capital]]/100)))))</f>
        <v>0</v>
      </c>
      <c r="T53" s="17">
        <f>MIN(IF(B53=0,0,Table1[[#This Row],[Death Capital (1)]]),Table1[[#This Row],[Max Sum Insured For Death]])</f>
        <v>0</v>
      </c>
      <c r="U53" s="29">
        <f t="shared" si="10"/>
        <v>0</v>
      </c>
      <c r="V53" s="29">
        <f>IF(AND(Changes!Change="Yes",Changes!ValidityYear&lt;=Table1[[#This Row],[Year]],Changes!ChangeType="Paid-Up",OR(PaidUpOption="Paid-up with no coverage",PaidUpOption="Paid-up with main coverage")),0,IF(B53=0,0,IF(AND(Changes!Change="Yes", Changes!ValidityYear&lt;=Table1[[#This Row],[Year]], Changes!ChangeType="Rider Inclusion/Exclusion", Changes!RiderType="Accident Death"), T53*Changes!NewChangedValue,IF(db!$D$6="Yes",(db!$B$6)*T53,0))))</f>
        <v>0</v>
      </c>
      <c r="W53" s="29">
        <f>MIN(IF(V53&lt;=db!$L$2,V53,db!$L$2),MAX_ACC_CAPITAL)</f>
        <v>0</v>
      </c>
      <c r="X53" s="17">
        <f>IF(AND(Changes!Change="Yes",Changes!ValidityYear&lt;=Table1[[#This Row],[Year]],Changes!ChangeType="Paid-Up",OR(PaidUpOption="Paid-up with no coverage",PaidUpOption="Paid-up with main coverage")),0,IF(OR(B53=0,Table1[[#This Row],[Accident Capital (2)]]=0),0,IF(AND(Changes!Change="Yes", Changes!ValidityYear&lt;=Table1[[#This Row],[Year]], Changes!ChangeType="Rider Inclusion/Exclusion", Changes!RiderType="Accident Disability"), T53*Changes!NewChangedValue,IF(db!$D$7="Yes",(db!$B$7)*T53,0))))</f>
        <v>0</v>
      </c>
      <c r="Y53" s="42">
        <f>IF(C53&gt;69,0,IF(C53=0,0,IF(X53&lt;=db!$L$3,X53,db!$L$3)))</f>
        <v>0</v>
      </c>
      <c r="Z53" s="29">
        <f>IF(AND(Changes!Change="Yes",Changes!ValidityYear&lt;=Table1[[#This Row],[Year]],Changes!ChangeType="Paid-Up",OR(PaidUpOption="Paid-up with no coverage",PaidUpOption="Paid-up with main coverage")),0,IF(OR(B53=0,Table1[[#This Row],[Accident Capital (2)]]=0),0,IF(AND(Changes!Change="Yes", Changes!ValidityYear&lt;=Table1[[#This Row],[Year]], Changes!ChangeType="Rider Inclusion/Exclusion", Changes!RiderType="Accident Medical Cost"), T53*Changes!NewChangedValue,IF(db!$D$9="Yes",(db!$B$9)*T53,0))))</f>
        <v>0</v>
      </c>
      <c r="AA53" s="29">
        <f>ROUND(IF(C53&gt;69,0,IF(C53=0,0,IF(Z53&lt;=db!$L$4,Z53,db!$L$4))),0)</f>
        <v>0</v>
      </c>
      <c r="AB53" s="38">
        <f>IF(AND(Changes!Change = "Yes", Changes!ChangeType = "Rider Inclusion/Exclusion", Changes!RiderType = "WOP"), IF( Changes!ValidityYear &lt;= Table1[[#This Row],[Year]], IF(WOP = "Yes", 0, 1),  IF(WOP = "Yes", 1, 0)), IF(AND(db!$D$8="Yes",C53&lt;=69,ROW()-1&lt;=InsurancePeriod), 1, 0))</f>
        <v>0</v>
      </c>
      <c r="AC53" s="17">
        <f>(AC54+K54)*AB53*((1)/(1+db!AA55))*(LOOKUP(C53,'Mortality Table'!$A$2:$A$108,'Mortality Table'!$E$2:$E$108))</f>
        <v>0</v>
      </c>
      <c r="AD53" s="340">
        <f>IF(AND(Changes!ValidityYear&lt;= Table1[[#This Row],[Year]],Changes!ChangeType="Change Value Adjustment",Changes!Change="Yes"), (AD54+L54)*AB53*((1)/(1+db!AA55))*(LOOKUP(C53,'Mortality Table'!$A$2:$A$108,'Mortality Table'!$E$2:$E$108)),Table1[[#This Row],[WOP Before Adj. BT]])</f>
        <v>0</v>
      </c>
      <c r="AE53" s="341">
        <f>IF(AND(Changes!Change="Yes", Changes!ChangeType="Change Value Adjustment"),Table1[[#This Row],[WOP Capital]],(AE54+O54)*AB53*((1)/(1+db!AA55))*(LOOKUP(D53,'Mortality Table'!$A$2:$A$108,'Mortality Table'!$E$2:$E$108)))</f>
        <v>0</v>
      </c>
      <c r="AF53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53" s="42">
        <f>IF(AND(Changes!Change="Yes", Changes!ValidityYear&lt;=Table1[[#This Row],[Year]], Changes!ChangeType="Rider Inclusion/Exclusion", Changes!RiderType="Disability Annuity"), L53*Changes!NewChangedValue,L53*db!B$10*IF(db!$D$10="Yes",1,0))</f>
        <v>0</v>
      </c>
      <c r="AH53" s="29">
        <f>IF(AND(Changes!Change="Yes",Changes!ValidityYear&lt;=Table1[[#This Row],[Year]],Changes!ChangeType="Paid-Up"),0,Table1[[#This Row],[Code Annuity Capital]]*IF('Annual Calculation'!C53&gt;69,0,(LOOKUP('Annual Calculation'!C53+1,'Mortality Table'!$A$2:$A$108,'Mortality Table'!$O$2:$O$108)-LOOKUP('Annual Calculation'!C53+11,'Mortality Table'!$A$2:$A$108,'Mortality Table'!$O$2:$O$108))/LOOKUP('Annual Calculation'!C53,'Mortality Table'!$A$2:$A$108,'Mortality Table'!$M$2:$M$108)))</f>
        <v>0</v>
      </c>
      <c r="AI53" s="17">
        <f>IF(AND(Changes!Change="Yes",Changes!ValidityYear&lt;=Table1[[#This Row],[Year]],Changes!ChangeType="Paid-Up",OR(PaidUpOption="Paid-up with no coverage",PaidUpOption="Paid-up with main coverage")),0,IF(B53=0,0,IF(AND(Changes!Change="Yes", Changes!ValidityYear&lt;=Table1[[#This Row],[Year]], Changes!ChangeType="Rider Inclusion/Exclusion", Changes!RiderType="Dread Disease"), T53*Changes!NewChangedValue,IF(db!$D$11="Yes",(db!$B$11)*T53,0))))</f>
        <v>0</v>
      </c>
      <c r="AJ53" s="42">
        <f>ROUND(IF(C53&gt;59,0,IF(C53=0,0,IF(AI53&lt;=db!$L$5,AI53,db!$L$5))),0)</f>
        <v>0</v>
      </c>
      <c r="AK53" s="29">
        <f>IF(AND(Changes!Change="Yes",Changes!ValidityYear&lt;=Table1[[#This Row],[Year]],Changes!ChangeType="Paid-Up",OR(PaidUpOption="Paid-up with no coverage",PaidUpOption="Paid-up with main coverage")),0,IF(B53=0,0,IF(AND(Changes!Change="Yes", Changes!ValidityYear&lt;=Table1[[#This Row],[Year]], Changes!ChangeType="Rider Inclusion/Exclusion", Changes!RiderType="Cancer"), T53*Changes!NewChangedValue,IF(db!$D$12="Yes",(db!$B$12)*T53,0))))</f>
        <v>0</v>
      </c>
      <c r="AL53" s="29">
        <f>ROUND(IF(C53&gt;59,0,IF(C53=0,0,IF(AK53&lt;=db!$L$6,AK53,db!$L$6))),0)</f>
        <v>0</v>
      </c>
      <c r="AM53" s="32"/>
      <c r="AN53" s="18">
        <f>IF(B53=0,0,IF(C53&lt;(db!$E$2+5),LOOKUP(C53,'Mortality Table'!$A$2:$A$108,'Mortality Table'!$P$2:$P$108),IF((C53&gt;=db!$E$2+10),LOOKUP(C53,'Mortality Table'!$A$2:$A$108,'Mortality Table'!$R$2:$R$108),LOOKUP(C53,'Mortality Table'!$A$2:$A$108,'Mortality Table'!$Q$2:$Q$108))))</f>
        <v>0</v>
      </c>
      <c r="AO53" s="22">
        <f t="shared" si="22"/>
        <v>0</v>
      </c>
      <c r="AP53" s="19">
        <f>IF(B53=0,0, LOOKUP(IF(AND(Changes!Change="Yes", Changes!ValidityYear&lt;=Table1[[#This Row],[Year]], Changes!ChangeType="Change Job Class"),Changes!NewChangedValue, db!$A$8),db!$AX$4:$AX$8,db!$AY$4:$AY$8))</f>
        <v>0</v>
      </c>
      <c r="AQ53" s="20">
        <f>ROUND((AP53/1000)*W53 * (1-db!$AS$9),0)</f>
        <v>0</v>
      </c>
      <c r="AR53" s="20">
        <f>(AP53/1000)*W53 * db!$AS$9</f>
        <v>0</v>
      </c>
      <c r="AS53" s="21">
        <f>IF(B53=0,0, LOOKUP(IF(AND(Changes!Change="Yes", Changes!ValidityYear&lt;=Table1[[#This Row],[Year]], Changes!ChangeType="Change Job Class"),Changes!NewChangedValue, db!$A$8),db!$AX$4:$AX$8,db!$AZ$4:$AZ$8))</f>
        <v>0</v>
      </c>
      <c r="AT53" s="22">
        <f>(AS53/1000)*Y53*(1-db!$AS$9)</f>
        <v>0</v>
      </c>
      <c r="AU53" s="22">
        <f>(AS53/1000)*Y53*(db!$AS$9)</f>
        <v>0</v>
      </c>
      <c r="AV53" s="23">
        <f>IF(B53=0,0, LOOKUP(IF(AND(Changes!Change="Yes", Changes!ValidityYear&lt;=Table1[[#This Row],[Year]], Changes!ChangeType="Change Job Class"),Changes!NewChangedValue, db!$A$8),db!$AX$4:$AX$8,db!$BA$4:$BA$8))</f>
        <v>0</v>
      </c>
      <c r="AW53" s="20">
        <f>ROUND((AV53/(100))*AA53*(1-db!$AS$9),0)</f>
        <v>0</v>
      </c>
      <c r="AX53" s="20">
        <f>ROUND((AV53/(100))*AA53*(db!$AS$9),0)</f>
        <v>0</v>
      </c>
      <c r="AY53" s="21">
        <f>IF(db!$D$8="Yes",AS53,0)</f>
        <v>0</v>
      </c>
      <c r="AZ53" s="22">
        <f>(AY53*AF53)/1000*(1-db!$AS$9)</f>
        <v>0</v>
      </c>
      <c r="BA53" s="22">
        <f>(AY53*AF53)/1000*(db!$AS$9)</f>
        <v>0</v>
      </c>
      <c r="BB53" s="23">
        <f t="shared" si="23"/>
        <v>0</v>
      </c>
      <c r="BC53" s="20">
        <f>(BB53*AH53/1000)*(1-db!$AS$9)</f>
        <v>0</v>
      </c>
      <c r="BD53" s="20">
        <f>(BB53*AH53/1000)*(db!$AS$9)</f>
        <v>0</v>
      </c>
      <c r="BE53" s="22">
        <f>IF(B53=0,0,IF(C53&gt;60,0,LOOKUP(Table1[[#This Row],[Medical
Age]],db!$BC$3:$BC$63,db!$BD$3:$BD$63)))</f>
        <v>0</v>
      </c>
      <c r="BF53" s="22">
        <f>BG53*db!$AS$10</f>
        <v>0</v>
      </c>
      <c r="BG53" s="22">
        <f t="shared" si="24"/>
        <v>0</v>
      </c>
      <c r="BH53" s="22">
        <f>(BE53/1000000)*AJ53*(1-db!$AS$10)</f>
        <v>0</v>
      </c>
      <c r="BI53" s="20">
        <f>IF(B53=0,0,IF(C53&gt;59,0,LOOKUP(Table1[[#This Row],[Medical
Age]],db!$BC$3:$BC$63,db!$BE$3:$BE$63)))</f>
        <v>0</v>
      </c>
      <c r="BJ53" s="20">
        <f>(BI53/1000000)*AL53*(1-db!$AS$11)</f>
        <v>0</v>
      </c>
      <c r="BK53" s="20">
        <f>(BI53/1000000)*AL53*(db!$AS$11)</f>
        <v>0</v>
      </c>
      <c r="BL53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53" s="20">
        <f>Table1[[#This Row],[RiskLoading
Rate]]*Table1[[#This Row],[Death Capital (2)]]</f>
        <v>0</v>
      </c>
      <c r="BN53" s="36"/>
      <c r="BO53" s="37">
        <f t="shared" si="25"/>
        <v>0</v>
      </c>
      <c r="BP53" s="35">
        <f t="shared" si="26"/>
        <v>0</v>
      </c>
      <c r="BQ53" s="35">
        <f t="shared" si="27"/>
        <v>0</v>
      </c>
      <c r="BR53" s="37">
        <f t="shared" si="11"/>
        <v>0</v>
      </c>
      <c r="BS53" s="37">
        <f t="shared" si="12"/>
        <v>0</v>
      </c>
      <c r="BT53" s="35">
        <f t="shared" si="13"/>
        <v>0</v>
      </c>
      <c r="BU53" s="35">
        <f t="shared" si="14"/>
        <v>0</v>
      </c>
      <c r="BV53" s="37">
        <f>(db!$AS$4/100)*(L53-BT53-BU53)</f>
        <v>0</v>
      </c>
      <c r="BW53" s="37">
        <f>(db!$AS$8/100)*(L53-BT53-BU53)</f>
        <v>0</v>
      </c>
      <c r="BX53" s="35"/>
      <c r="BY53" s="37"/>
      <c r="BZ53" s="37"/>
      <c r="CA53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53" s="33"/>
      <c r="CC53" s="39">
        <f>ROUND((Table1[[#This Row],[Premium]]-Table1[[#This Row],[All Deductions]]),0)</f>
        <v>0</v>
      </c>
      <c r="CD53" s="39">
        <f>IF(B53=0,0,Table1[[#This Row],[Initial Reserve]]+CE52)</f>
        <v>0</v>
      </c>
      <c r="CE53" s="40">
        <f>ROUND(IF(B53=0,0,((CC53)*(1+db!Y55))+((CE52)*(1+db!U55))),0)</f>
        <v>0</v>
      </c>
      <c r="CF53" s="40">
        <f t="shared" si="28"/>
        <v>0</v>
      </c>
      <c r="CG53" s="15">
        <f t="shared" si="15"/>
        <v>52</v>
      </c>
      <c r="CH53" s="39">
        <f>IF(B53=0,0,((CC53)*(1+db!AH55))+((CH52)*(1+db!AD55)))</f>
        <v>0</v>
      </c>
      <c r="CI53" s="39">
        <f>IF(B53=0,0,((CC53)*(1+db!AH55))+((CI52)*(1+db!AD55)))</f>
        <v>0</v>
      </c>
      <c r="CJ53" s="40">
        <f>IF(B53=0,0,((CC53)*(1+db!AO55))+((CJ52)*(1+db!AK55)))</f>
        <v>0</v>
      </c>
      <c r="CK53" s="40">
        <f>CJ53-(SUM(BX$7:$BX54))</f>
        <v>0</v>
      </c>
      <c r="CL53" s="46"/>
    </row>
    <row r="54" spans="1:90">
      <c r="A54" s="24">
        <f t="shared" si="16"/>
        <v>53</v>
      </c>
      <c r="B54" s="16">
        <f>IF(AND(Changes!Change="Yes", Changes!ChangeType="Change Contract Duration"),IF(B53=0,0,IF(Changes!NewChangedValue&lt;B53+1,0,B53+1)),IF(B53=0,0,IF('Application Annually'!$C$5&lt;B53+1,0,B53+1)))</f>
        <v>0</v>
      </c>
      <c r="C54" s="15">
        <f t="shared" si="17"/>
        <v>0</v>
      </c>
      <c r="D54" s="312">
        <f t="shared" si="18"/>
        <v>80</v>
      </c>
      <c r="E54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54" s="29">
        <f t="shared" si="8"/>
        <v>0</v>
      </c>
      <c r="G54" s="29">
        <f t="shared" si="9"/>
        <v>0</v>
      </c>
      <c r="H54" s="29">
        <f t="shared" si="20"/>
        <v>0</v>
      </c>
      <c r="I54" s="29">
        <f>IF(B54&gt;0,IF(AND(Table1[[#This Row],[Year]]&gt;Changes!ValidityYear,Changes!Change="Yes",Changes!ChangeType="Change Value Adjustment"),Changes!$G$22,'Application Annually'!$C$11),0)</f>
        <v>0</v>
      </c>
      <c r="J54" s="29">
        <f>IF(B54&gt;0,IF(AND(Table1[[#This Row],[Year]]&gt;Changes!ValidityYear,Changes!Change="Yes",Changes!ChangeType="Change Value Adjustment"),Changes!$G$24,'Application Annually'!$C$7),0)</f>
        <v>0</v>
      </c>
      <c r="K54" s="29">
        <f>ROUND(IF(B54=0,0,IF(AND(Changes!Change="Yes", Changes!ValidityYear=Table1[[#This Row],[Year]], Changes!ChangeType="Change Premium"), Changes!NewChangedValue, (K53*(1+db!$B$3)))),0)</f>
        <v>0</v>
      </c>
      <c r="L54" s="29">
        <f>ROUND(IF(AND(Changes!Change="Yes",Changes!ValidityYear&lt;=Table1[[#This Row],[Year]],Changes!ChangeType="Paid-Up"),0,IF(B54=0,0,IF(AND(Changes!Change="Yes", Changes!ValidityYear=Table1[[#This Row],[Year]], Changes!ChangeType="Change Premium"), Changes!NewChangedValue, (L53*(1+Table1[[#This Row],[Adjustment Factor of Premium]]/100))))),0)</f>
        <v>0</v>
      </c>
      <c r="M54" s="29">
        <f>IF(Table1[[#This Row],[Year]]=1,ROUND(MIN($L$2 -( Table1[[#This Row],[Riders Risk Premiums]] + Table1[[#This Row],[Acquisition Cost]]) *0.75,Table1[[#This Row],[Death Capital (1)]]* 0.03),0),0)</f>
        <v>0</v>
      </c>
      <c r="N54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54" s="29">
        <f>ROUND(IF(ROW()-1&gt;InsurancePeriod,0,(O53*(1+(Table1[[#This Row],[Adjustment Factor of Premium]]/100)))),0)</f>
        <v>0</v>
      </c>
      <c r="P54" s="29">
        <f>IF(Table1[Year] = 0, 0, SUM(L$2:L54))</f>
        <v>0</v>
      </c>
      <c r="Q54" s="17">
        <f t="shared" si="21"/>
        <v>0</v>
      </c>
      <c r="R54" s="17">
        <f>IF(Table1[[#This Row],[Year]]=0,0,IF($C$2&lt;=50,LOOKUP(Table1[[#This Row],[Age]],db!BG55:BG161,db!BH55:BH161),LOOKUP(Table1[[#This Row],[Age]],db!BJ55:BJ161,db!BK55:BK161)))</f>
        <v>0</v>
      </c>
      <c r="S54" s="17">
        <f>IF(AND(Changes!Change="Yes",Changes!ValidityYear&lt;=Table1[[#This Row],[Year]],Changes!ChangeType="Paid-Up",PaidUpOption="Paid-up with no coverage"),0,IF(B54=0,0, IF(AND(Changes!Change="Yes", Changes!ValidityYear=Table1[[#This Row],[Year]], Changes!ChangeType="Change Death Capital"), Changes!NewChangedValue, S53*(1+(Table1[[#This Row],[Adjustment Factor of Death Capital]]/100)))))</f>
        <v>0</v>
      </c>
      <c r="T54" s="17">
        <f>MIN(IF(B54=0,0,Table1[[#This Row],[Death Capital (1)]]),Table1[[#This Row],[Max Sum Insured For Death]])</f>
        <v>0</v>
      </c>
      <c r="U54" s="29">
        <f t="shared" si="10"/>
        <v>0</v>
      </c>
      <c r="V54" s="29">
        <f>IF(AND(Changes!Change="Yes",Changes!ValidityYear&lt;=Table1[[#This Row],[Year]],Changes!ChangeType="Paid-Up",OR(PaidUpOption="Paid-up with no coverage",PaidUpOption="Paid-up with main coverage")),0,IF(B54=0,0,IF(AND(Changes!Change="Yes", Changes!ValidityYear&lt;=Table1[[#This Row],[Year]], Changes!ChangeType="Rider Inclusion/Exclusion", Changes!RiderType="Accident Death"), T54*Changes!NewChangedValue,IF(db!$D$6="Yes",(db!$B$6)*T54,0))))</f>
        <v>0</v>
      </c>
      <c r="W54" s="29">
        <f>MIN(IF(V54&lt;=db!$L$2,V54,db!$L$2),MAX_ACC_CAPITAL)</f>
        <v>0</v>
      </c>
      <c r="X54" s="17">
        <f>IF(AND(Changes!Change="Yes",Changes!ValidityYear&lt;=Table1[[#This Row],[Year]],Changes!ChangeType="Paid-Up",OR(PaidUpOption="Paid-up with no coverage",PaidUpOption="Paid-up with main coverage")),0,IF(OR(B54=0,Table1[[#This Row],[Accident Capital (2)]]=0),0,IF(AND(Changes!Change="Yes", Changes!ValidityYear&lt;=Table1[[#This Row],[Year]], Changes!ChangeType="Rider Inclusion/Exclusion", Changes!RiderType="Accident Disability"), T54*Changes!NewChangedValue,IF(db!$D$7="Yes",(db!$B$7)*T54,0))))</f>
        <v>0</v>
      </c>
      <c r="Y54" s="42">
        <f>IF(C54&gt;69,0,IF(C54=0,0,IF(X54&lt;=db!$L$3,X54,db!$L$3)))</f>
        <v>0</v>
      </c>
      <c r="Z54" s="29">
        <f>IF(AND(Changes!Change="Yes",Changes!ValidityYear&lt;=Table1[[#This Row],[Year]],Changes!ChangeType="Paid-Up",OR(PaidUpOption="Paid-up with no coverage",PaidUpOption="Paid-up with main coverage")),0,IF(OR(B54=0,Table1[[#This Row],[Accident Capital (2)]]=0),0,IF(AND(Changes!Change="Yes", Changes!ValidityYear&lt;=Table1[[#This Row],[Year]], Changes!ChangeType="Rider Inclusion/Exclusion", Changes!RiderType="Accident Medical Cost"), T54*Changes!NewChangedValue,IF(db!$D$9="Yes",(db!$B$9)*T54,0))))</f>
        <v>0</v>
      </c>
      <c r="AA54" s="29">
        <f>ROUND(IF(C54&gt;69,0,IF(C54=0,0,IF(Z54&lt;=db!$L$4,Z54,db!$L$4))),0)</f>
        <v>0</v>
      </c>
      <c r="AB54" s="38">
        <f>IF(AND(Changes!Change = "Yes", Changes!ChangeType = "Rider Inclusion/Exclusion", Changes!RiderType = "WOP"), IF( Changes!ValidityYear &lt;= Table1[[#This Row],[Year]], IF(WOP = "Yes", 0, 1),  IF(WOP = "Yes", 1, 0)), IF(AND(db!$D$8="Yes",C54&lt;=69,ROW()-1&lt;=InsurancePeriod), 1, 0))</f>
        <v>0</v>
      </c>
      <c r="AC54" s="17">
        <f>(AC55+K55)*AB54*((1)/(1+db!AA56))*(LOOKUP(C54,'Mortality Table'!$A$2:$A$108,'Mortality Table'!$E$2:$E$108))</f>
        <v>0</v>
      </c>
      <c r="AD54" s="340">
        <f>IF(AND(Changes!ValidityYear&lt;= Table1[[#This Row],[Year]],Changes!ChangeType="Change Value Adjustment",Changes!Change="Yes"), (AD55+L55)*AB54*((1)/(1+db!AA56))*(LOOKUP(C54,'Mortality Table'!$A$2:$A$108,'Mortality Table'!$E$2:$E$108)),Table1[[#This Row],[WOP Before Adj. BT]])</f>
        <v>0</v>
      </c>
      <c r="AE54" s="341">
        <f>IF(AND(Changes!Change="Yes", Changes!ChangeType="Change Value Adjustment"),Table1[[#This Row],[WOP Capital]],(AE55+O55)*AB54*((1)/(1+db!AA56))*(LOOKUP(D54,'Mortality Table'!$A$2:$A$108,'Mortality Table'!$E$2:$E$108)))</f>
        <v>0</v>
      </c>
      <c r="AF54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54" s="42">
        <f>IF(AND(Changes!Change="Yes", Changes!ValidityYear&lt;=Table1[[#This Row],[Year]], Changes!ChangeType="Rider Inclusion/Exclusion", Changes!RiderType="Disability Annuity"), L54*Changes!NewChangedValue,L54*db!B$10*IF(db!$D$10="Yes",1,0))</f>
        <v>0</v>
      </c>
      <c r="AH54" s="29">
        <f>IF(AND(Changes!Change="Yes",Changes!ValidityYear&lt;=Table1[[#This Row],[Year]],Changes!ChangeType="Paid-Up"),0,Table1[[#This Row],[Code Annuity Capital]]*IF('Annual Calculation'!C54&gt;69,0,(LOOKUP('Annual Calculation'!C54+1,'Mortality Table'!$A$2:$A$108,'Mortality Table'!$O$2:$O$108)-LOOKUP('Annual Calculation'!C54+11,'Mortality Table'!$A$2:$A$108,'Mortality Table'!$O$2:$O$108))/LOOKUP('Annual Calculation'!C54,'Mortality Table'!$A$2:$A$108,'Mortality Table'!$M$2:$M$108)))</f>
        <v>0</v>
      </c>
      <c r="AI54" s="17">
        <f>IF(AND(Changes!Change="Yes",Changes!ValidityYear&lt;=Table1[[#This Row],[Year]],Changes!ChangeType="Paid-Up",OR(PaidUpOption="Paid-up with no coverage",PaidUpOption="Paid-up with main coverage")),0,IF(B54=0,0,IF(AND(Changes!Change="Yes", Changes!ValidityYear&lt;=Table1[[#This Row],[Year]], Changes!ChangeType="Rider Inclusion/Exclusion", Changes!RiderType="Dread Disease"), T54*Changes!NewChangedValue,IF(db!$D$11="Yes",(db!$B$11)*T54,0))))</f>
        <v>0</v>
      </c>
      <c r="AJ54" s="42">
        <f>ROUND(IF(C54&gt;59,0,IF(C54=0,0,IF(AI54&lt;=db!$L$5,AI54,db!$L$5))),0)</f>
        <v>0</v>
      </c>
      <c r="AK54" s="29">
        <f>IF(AND(Changes!Change="Yes",Changes!ValidityYear&lt;=Table1[[#This Row],[Year]],Changes!ChangeType="Paid-Up",OR(PaidUpOption="Paid-up with no coverage",PaidUpOption="Paid-up with main coverage")),0,IF(B54=0,0,IF(AND(Changes!Change="Yes", Changes!ValidityYear&lt;=Table1[[#This Row],[Year]], Changes!ChangeType="Rider Inclusion/Exclusion", Changes!RiderType="Cancer"), T54*Changes!NewChangedValue,IF(db!$D$12="Yes",(db!$B$12)*T54,0))))</f>
        <v>0</v>
      </c>
      <c r="AL54" s="29">
        <f>ROUND(IF(C54&gt;59,0,IF(C54=0,0,IF(AK54&lt;=db!$L$6,AK54,db!$L$6))),0)</f>
        <v>0</v>
      </c>
      <c r="AM54" s="32"/>
      <c r="AN54" s="18">
        <f>IF(B54=0,0,IF(C54&lt;(db!$E$2+5),LOOKUP(C54,'Mortality Table'!$A$2:$A$108,'Mortality Table'!$P$2:$P$108),IF((C54&gt;=db!$E$2+10),LOOKUP(C54,'Mortality Table'!$A$2:$A$108,'Mortality Table'!$R$2:$R$108),LOOKUP(C54,'Mortality Table'!$A$2:$A$108,'Mortality Table'!$Q$2:$Q$108))))</f>
        <v>0</v>
      </c>
      <c r="AO54" s="22">
        <f t="shared" si="22"/>
        <v>0</v>
      </c>
      <c r="AP54" s="19">
        <f>IF(B54=0,0, LOOKUP(IF(AND(Changes!Change="Yes", Changes!ValidityYear&lt;=Table1[[#This Row],[Year]], Changes!ChangeType="Change Job Class"),Changes!NewChangedValue, db!$A$8),db!$AX$4:$AX$8,db!$AY$4:$AY$8))</f>
        <v>0</v>
      </c>
      <c r="AQ54" s="20">
        <f>ROUND((AP54/1000)*W54 * (1-db!$AS$9),0)</f>
        <v>0</v>
      </c>
      <c r="AR54" s="20">
        <f>(AP54/1000)*W54 * db!$AS$9</f>
        <v>0</v>
      </c>
      <c r="AS54" s="21">
        <f>IF(B54=0,0, LOOKUP(IF(AND(Changes!Change="Yes", Changes!ValidityYear&lt;=Table1[[#This Row],[Year]], Changes!ChangeType="Change Job Class"),Changes!NewChangedValue, db!$A$8),db!$AX$4:$AX$8,db!$AZ$4:$AZ$8))</f>
        <v>0</v>
      </c>
      <c r="AT54" s="22">
        <f>(AS54/1000)*Y54*(1-db!$AS$9)</f>
        <v>0</v>
      </c>
      <c r="AU54" s="22">
        <f>(AS54/1000)*Y54*(db!$AS$9)</f>
        <v>0</v>
      </c>
      <c r="AV54" s="23">
        <f>IF(B54=0,0, LOOKUP(IF(AND(Changes!Change="Yes", Changes!ValidityYear&lt;=Table1[[#This Row],[Year]], Changes!ChangeType="Change Job Class"),Changes!NewChangedValue, db!$A$8),db!$AX$4:$AX$8,db!$BA$4:$BA$8))</f>
        <v>0</v>
      </c>
      <c r="AW54" s="20">
        <f>ROUND((AV54/(100))*AA54*(1-db!$AS$9),0)</f>
        <v>0</v>
      </c>
      <c r="AX54" s="20">
        <f>ROUND((AV54/(100))*AA54*(db!$AS$9),0)</f>
        <v>0</v>
      </c>
      <c r="AY54" s="21">
        <f>IF(db!$D$8="Yes",AS54,0)</f>
        <v>0</v>
      </c>
      <c r="AZ54" s="22">
        <f>(AY54*AF54)/1000*(1-db!$AS$9)</f>
        <v>0</v>
      </c>
      <c r="BA54" s="22">
        <f>(AY54*AF54)/1000*(db!$AS$9)</f>
        <v>0</v>
      </c>
      <c r="BB54" s="23">
        <f t="shared" si="23"/>
        <v>0</v>
      </c>
      <c r="BC54" s="20">
        <f>(BB54*AH54/1000)*(1-db!$AS$9)</f>
        <v>0</v>
      </c>
      <c r="BD54" s="20">
        <f>(BB54*AH54/1000)*(db!$AS$9)</f>
        <v>0</v>
      </c>
      <c r="BE54" s="22">
        <f>IF(B54=0,0,IF(C54&gt;60,0,LOOKUP(Table1[[#This Row],[Medical
Age]],db!$BC$3:$BC$63,db!$BD$3:$BD$63)))</f>
        <v>0</v>
      </c>
      <c r="BF54" s="22">
        <f>BG54*db!$AS$10</f>
        <v>0</v>
      </c>
      <c r="BG54" s="22">
        <f t="shared" si="24"/>
        <v>0</v>
      </c>
      <c r="BH54" s="22">
        <f>(BE54/1000000)*AJ54*(1-db!$AS$10)</f>
        <v>0</v>
      </c>
      <c r="BI54" s="20">
        <f>IF(B54=0,0,IF(C54&gt;59,0,LOOKUP(Table1[[#This Row],[Medical
Age]],db!$BC$3:$BC$63,db!$BE$3:$BE$63)))</f>
        <v>0</v>
      </c>
      <c r="BJ54" s="20">
        <f>(BI54/1000000)*AL54*(1-db!$AS$11)</f>
        <v>0</v>
      </c>
      <c r="BK54" s="20">
        <f>(BI54/1000000)*AL54*(db!$AS$11)</f>
        <v>0</v>
      </c>
      <c r="BL54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54" s="20">
        <f>Table1[[#This Row],[RiskLoading
Rate]]*Table1[[#This Row],[Death Capital (2)]]</f>
        <v>0</v>
      </c>
      <c r="BN54" s="36"/>
      <c r="BO54" s="37">
        <f t="shared" si="25"/>
        <v>0</v>
      </c>
      <c r="BP54" s="35">
        <f t="shared" si="26"/>
        <v>0</v>
      </c>
      <c r="BQ54" s="35">
        <f t="shared" si="27"/>
        <v>0</v>
      </c>
      <c r="BR54" s="37">
        <f t="shared" si="11"/>
        <v>0</v>
      </c>
      <c r="BS54" s="37">
        <f t="shared" si="12"/>
        <v>0</v>
      </c>
      <c r="BT54" s="35">
        <f t="shared" si="13"/>
        <v>0</v>
      </c>
      <c r="BU54" s="35">
        <f t="shared" si="14"/>
        <v>0</v>
      </c>
      <c r="BV54" s="37">
        <f>(db!$AS$4/100)*(L54-BT54-BU54)</f>
        <v>0</v>
      </c>
      <c r="BW54" s="37">
        <f>(db!$AS$8/100)*(L54-BT54-BU54)</f>
        <v>0</v>
      </c>
      <c r="BX54" s="35"/>
      <c r="BY54" s="37"/>
      <c r="BZ54" s="37"/>
      <c r="CA54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54" s="33"/>
      <c r="CC54" s="39">
        <f>ROUND((Table1[[#This Row],[Premium]]-Table1[[#This Row],[All Deductions]]),0)</f>
        <v>0</v>
      </c>
      <c r="CD54" s="39">
        <f>IF(B54=0,0,Table1[[#This Row],[Initial Reserve]]+CE53)</f>
        <v>0</v>
      </c>
      <c r="CE54" s="40">
        <f>ROUND(IF(B54=0,0,((CC54)*(1+db!Y56))+((CE53)*(1+db!U56))),0)</f>
        <v>0</v>
      </c>
      <c r="CF54" s="40">
        <f t="shared" si="28"/>
        <v>0</v>
      </c>
      <c r="CG54" s="15">
        <f t="shared" si="15"/>
        <v>53</v>
      </c>
      <c r="CH54" s="39">
        <f>IF(B54=0,0,((CC54)*(1+db!AH56))+((CH53)*(1+db!AD56)))</f>
        <v>0</v>
      </c>
      <c r="CI54" s="39">
        <f>IF(B54=0,0,((CC54)*(1+db!AH56))+((CI53)*(1+db!AD56)))</f>
        <v>0</v>
      </c>
      <c r="CJ54" s="40">
        <f>IF(B54=0,0,((CC54)*(1+db!AO56))+((CJ53)*(1+db!AK56)))</f>
        <v>0</v>
      </c>
      <c r="CK54" s="40">
        <f>CJ54-(SUM(BX$7:$BX55))</f>
        <v>0</v>
      </c>
      <c r="CL54" s="46"/>
    </row>
    <row r="55" spans="1:90">
      <c r="A55" s="24">
        <f t="shared" si="16"/>
        <v>54</v>
      </c>
      <c r="B55" s="16">
        <f>IF(AND(Changes!Change="Yes", Changes!ChangeType="Change Contract Duration"),IF(B54=0,0,IF(Changes!NewChangedValue&lt;B54+1,0,B54+1)),IF(B54=0,0,IF('Application Annually'!$C$5&lt;B54+1,0,B54+1)))</f>
        <v>0</v>
      </c>
      <c r="C55" s="15">
        <f t="shared" si="17"/>
        <v>0</v>
      </c>
      <c r="D55" s="312">
        <f t="shared" si="18"/>
        <v>81</v>
      </c>
      <c r="E55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55" s="29">
        <f t="shared" si="8"/>
        <v>0</v>
      </c>
      <c r="G55" s="29">
        <f t="shared" si="9"/>
        <v>0</v>
      </c>
      <c r="H55" s="29">
        <f t="shared" si="20"/>
        <v>0</v>
      </c>
      <c r="I55" s="29">
        <f>IF(B55&gt;0,IF(AND(Table1[[#This Row],[Year]]&gt;Changes!ValidityYear,Changes!Change="Yes",Changes!ChangeType="Change Value Adjustment"),Changes!$G$22,'Application Annually'!$C$11),0)</f>
        <v>0</v>
      </c>
      <c r="J55" s="29">
        <f>IF(B55&gt;0,IF(AND(Table1[[#This Row],[Year]]&gt;Changes!ValidityYear,Changes!Change="Yes",Changes!ChangeType="Change Value Adjustment"),Changes!$G$24,'Application Annually'!$C$7),0)</f>
        <v>0</v>
      </c>
      <c r="K55" s="29">
        <f>ROUND(IF(B55=0,0,IF(AND(Changes!Change="Yes", Changes!ValidityYear=Table1[[#This Row],[Year]], Changes!ChangeType="Change Premium"), Changes!NewChangedValue, (K54*(1+db!$B$3)))),0)</f>
        <v>0</v>
      </c>
      <c r="L55" s="29">
        <f>ROUND(IF(AND(Changes!Change="Yes",Changes!ValidityYear&lt;=Table1[[#This Row],[Year]],Changes!ChangeType="Paid-Up"),0,IF(B55=0,0,IF(AND(Changes!Change="Yes", Changes!ValidityYear=Table1[[#This Row],[Year]], Changes!ChangeType="Change Premium"), Changes!NewChangedValue, (L54*(1+Table1[[#This Row],[Adjustment Factor of Premium]]/100))))),0)</f>
        <v>0</v>
      </c>
      <c r="M55" s="29">
        <f>IF(Table1[[#This Row],[Year]]=1,ROUND(MIN($L$2 -( Table1[[#This Row],[Riders Risk Premiums]] + Table1[[#This Row],[Acquisition Cost]]) *0.75,Table1[[#This Row],[Death Capital (1)]]* 0.03),0),0)</f>
        <v>0</v>
      </c>
      <c r="N55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55" s="29">
        <f>ROUND(IF(ROW()-1&gt;InsurancePeriod,0,(O54*(1+(Table1[[#This Row],[Adjustment Factor of Premium]]/100)))),0)</f>
        <v>0</v>
      </c>
      <c r="P55" s="29">
        <f>IF(Table1[Year] = 0, 0, SUM(L$2:L55))</f>
        <v>0</v>
      </c>
      <c r="Q55" s="17">
        <f t="shared" si="21"/>
        <v>0</v>
      </c>
      <c r="R55" s="17">
        <f>IF(Table1[[#This Row],[Year]]=0,0,IF($C$2&lt;=50,LOOKUP(Table1[[#This Row],[Age]],db!BG56:BG162,db!BH56:BH162),LOOKUP(Table1[[#This Row],[Age]],db!BJ56:BJ162,db!BK56:BK162)))</f>
        <v>0</v>
      </c>
      <c r="S55" s="17">
        <f>IF(AND(Changes!Change="Yes",Changes!ValidityYear&lt;=Table1[[#This Row],[Year]],Changes!ChangeType="Paid-Up",PaidUpOption="Paid-up with no coverage"),0,IF(B55=0,0, IF(AND(Changes!Change="Yes", Changes!ValidityYear=Table1[[#This Row],[Year]], Changes!ChangeType="Change Death Capital"), Changes!NewChangedValue, S54*(1+(Table1[[#This Row],[Adjustment Factor of Death Capital]]/100)))))</f>
        <v>0</v>
      </c>
      <c r="T55" s="17">
        <f>MIN(IF(B55=0,0,Table1[[#This Row],[Death Capital (1)]]),Table1[[#This Row],[Max Sum Insured For Death]])</f>
        <v>0</v>
      </c>
      <c r="U55" s="29">
        <f t="shared" si="10"/>
        <v>0</v>
      </c>
      <c r="V55" s="29">
        <f>IF(AND(Changes!Change="Yes",Changes!ValidityYear&lt;=Table1[[#This Row],[Year]],Changes!ChangeType="Paid-Up",OR(PaidUpOption="Paid-up with no coverage",PaidUpOption="Paid-up with main coverage")),0,IF(B55=0,0,IF(AND(Changes!Change="Yes", Changes!ValidityYear&lt;=Table1[[#This Row],[Year]], Changes!ChangeType="Rider Inclusion/Exclusion", Changes!RiderType="Accident Death"), T55*Changes!NewChangedValue,IF(db!$D$6="Yes",(db!$B$6)*T55,0))))</f>
        <v>0</v>
      </c>
      <c r="W55" s="29">
        <f>MIN(IF(V55&lt;=db!$L$2,V55,db!$L$2),MAX_ACC_CAPITAL)</f>
        <v>0</v>
      </c>
      <c r="X55" s="17">
        <f>IF(AND(Changes!Change="Yes",Changes!ValidityYear&lt;=Table1[[#This Row],[Year]],Changes!ChangeType="Paid-Up",OR(PaidUpOption="Paid-up with no coverage",PaidUpOption="Paid-up with main coverage")),0,IF(OR(B55=0,Table1[[#This Row],[Accident Capital (2)]]=0),0,IF(AND(Changes!Change="Yes", Changes!ValidityYear&lt;=Table1[[#This Row],[Year]], Changes!ChangeType="Rider Inclusion/Exclusion", Changes!RiderType="Accident Disability"), T55*Changes!NewChangedValue,IF(db!$D$7="Yes",(db!$B$7)*T55,0))))</f>
        <v>0</v>
      </c>
      <c r="Y55" s="42">
        <f>IF(C55&gt;69,0,IF(C55=0,0,IF(X55&lt;=db!$L$3,X55,db!$L$3)))</f>
        <v>0</v>
      </c>
      <c r="Z55" s="29">
        <f>IF(AND(Changes!Change="Yes",Changes!ValidityYear&lt;=Table1[[#This Row],[Year]],Changes!ChangeType="Paid-Up",OR(PaidUpOption="Paid-up with no coverage",PaidUpOption="Paid-up with main coverage")),0,IF(OR(B55=0,Table1[[#This Row],[Accident Capital (2)]]=0),0,IF(AND(Changes!Change="Yes", Changes!ValidityYear&lt;=Table1[[#This Row],[Year]], Changes!ChangeType="Rider Inclusion/Exclusion", Changes!RiderType="Accident Medical Cost"), T55*Changes!NewChangedValue,IF(db!$D$9="Yes",(db!$B$9)*T55,0))))</f>
        <v>0</v>
      </c>
      <c r="AA55" s="29">
        <f>ROUND(IF(C55&gt;69,0,IF(C55=0,0,IF(Z55&lt;=db!$L$4,Z55,db!$L$4))),0)</f>
        <v>0</v>
      </c>
      <c r="AB55" s="38">
        <f>IF(AND(Changes!Change = "Yes", Changes!ChangeType = "Rider Inclusion/Exclusion", Changes!RiderType = "WOP"), IF( Changes!ValidityYear &lt;= Table1[[#This Row],[Year]], IF(WOP = "Yes", 0, 1),  IF(WOP = "Yes", 1, 0)), IF(AND(db!$D$8="Yes",C55&lt;=69,ROW()-1&lt;=InsurancePeriod), 1, 0))</f>
        <v>0</v>
      </c>
      <c r="AC55" s="17">
        <f>(AC56+K56)*AB55*((1)/(1+db!AA57))*(LOOKUP(C55,'Mortality Table'!$A$2:$A$108,'Mortality Table'!$E$2:$E$108))</f>
        <v>0</v>
      </c>
      <c r="AD55" s="340">
        <f>IF(AND(Changes!ValidityYear&lt;= Table1[[#This Row],[Year]],Changes!ChangeType="Change Value Adjustment",Changes!Change="Yes"), (AD56+L56)*AB55*((1)/(1+db!AA57))*(LOOKUP(C55,'Mortality Table'!$A$2:$A$108,'Mortality Table'!$E$2:$E$108)),Table1[[#This Row],[WOP Before Adj. BT]])</f>
        <v>0</v>
      </c>
      <c r="AE55" s="341">
        <f>IF(AND(Changes!Change="Yes", Changes!ChangeType="Change Value Adjustment"),Table1[[#This Row],[WOP Capital]],(AE56+O56)*AB55*((1)/(1+db!AA57))*(LOOKUP(D55,'Mortality Table'!$A$2:$A$108,'Mortality Table'!$E$2:$E$108)))</f>
        <v>0</v>
      </c>
      <c r="AF55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55" s="42">
        <f>IF(AND(Changes!Change="Yes", Changes!ValidityYear&lt;=Table1[[#This Row],[Year]], Changes!ChangeType="Rider Inclusion/Exclusion", Changes!RiderType="Disability Annuity"), L55*Changes!NewChangedValue,L55*db!B$10*IF(db!$D$10="Yes",1,0))</f>
        <v>0</v>
      </c>
      <c r="AH55" s="29">
        <f>IF(AND(Changes!Change="Yes",Changes!ValidityYear&lt;=Table1[[#This Row],[Year]],Changes!ChangeType="Paid-Up"),0,Table1[[#This Row],[Code Annuity Capital]]*IF('Annual Calculation'!C55&gt;69,0,(LOOKUP('Annual Calculation'!C55+1,'Mortality Table'!$A$2:$A$108,'Mortality Table'!$O$2:$O$108)-LOOKUP('Annual Calculation'!C55+11,'Mortality Table'!$A$2:$A$108,'Mortality Table'!$O$2:$O$108))/LOOKUP('Annual Calculation'!C55,'Mortality Table'!$A$2:$A$108,'Mortality Table'!$M$2:$M$108)))</f>
        <v>0</v>
      </c>
      <c r="AI55" s="17">
        <f>IF(AND(Changes!Change="Yes",Changes!ValidityYear&lt;=Table1[[#This Row],[Year]],Changes!ChangeType="Paid-Up",OR(PaidUpOption="Paid-up with no coverage",PaidUpOption="Paid-up with main coverage")),0,IF(B55=0,0,IF(AND(Changes!Change="Yes", Changes!ValidityYear&lt;=Table1[[#This Row],[Year]], Changes!ChangeType="Rider Inclusion/Exclusion", Changes!RiderType="Dread Disease"), T55*Changes!NewChangedValue,IF(db!$D$11="Yes",(db!$B$11)*T55,0))))</f>
        <v>0</v>
      </c>
      <c r="AJ55" s="42">
        <f>ROUND(IF(C55&gt;59,0,IF(C55=0,0,IF(AI55&lt;=db!$L$5,AI55,db!$L$5))),0)</f>
        <v>0</v>
      </c>
      <c r="AK55" s="29">
        <f>IF(AND(Changes!Change="Yes",Changes!ValidityYear&lt;=Table1[[#This Row],[Year]],Changes!ChangeType="Paid-Up",OR(PaidUpOption="Paid-up with no coverage",PaidUpOption="Paid-up with main coverage")),0,IF(B55=0,0,IF(AND(Changes!Change="Yes", Changes!ValidityYear&lt;=Table1[[#This Row],[Year]], Changes!ChangeType="Rider Inclusion/Exclusion", Changes!RiderType="Cancer"), T55*Changes!NewChangedValue,IF(db!$D$12="Yes",(db!$B$12)*T55,0))))</f>
        <v>0</v>
      </c>
      <c r="AL55" s="29">
        <f>ROUND(IF(C55&gt;59,0,IF(C55=0,0,IF(AK55&lt;=db!$L$6,AK55,db!$L$6))),0)</f>
        <v>0</v>
      </c>
      <c r="AM55" s="32"/>
      <c r="AN55" s="18">
        <f>IF(B55=0,0,IF(C55&lt;(db!$E$2+5),LOOKUP(C55,'Mortality Table'!$A$2:$A$108,'Mortality Table'!$P$2:$P$108),IF((C55&gt;=db!$E$2+10),LOOKUP(C55,'Mortality Table'!$A$2:$A$108,'Mortality Table'!$R$2:$R$108),LOOKUP(C55,'Mortality Table'!$A$2:$A$108,'Mortality Table'!$Q$2:$Q$108))))</f>
        <v>0</v>
      </c>
      <c r="AO55" s="22">
        <f t="shared" si="22"/>
        <v>0</v>
      </c>
      <c r="AP55" s="19">
        <f>IF(B55=0,0, LOOKUP(IF(AND(Changes!Change="Yes", Changes!ValidityYear&lt;=Table1[[#This Row],[Year]], Changes!ChangeType="Change Job Class"),Changes!NewChangedValue, db!$A$8),db!$AX$4:$AX$8,db!$AY$4:$AY$8))</f>
        <v>0</v>
      </c>
      <c r="AQ55" s="20">
        <f>ROUND((AP55/1000)*W55 * (1-db!$AS$9),0)</f>
        <v>0</v>
      </c>
      <c r="AR55" s="20">
        <f>(AP55/1000)*W55 * db!$AS$9</f>
        <v>0</v>
      </c>
      <c r="AS55" s="21">
        <f>IF(B55=0,0, LOOKUP(IF(AND(Changes!Change="Yes", Changes!ValidityYear&lt;=Table1[[#This Row],[Year]], Changes!ChangeType="Change Job Class"),Changes!NewChangedValue, db!$A$8),db!$AX$4:$AX$8,db!$AZ$4:$AZ$8))</f>
        <v>0</v>
      </c>
      <c r="AT55" s="22">
        <f>(AS55/1000)*Y55*(1-db!$AS$9)</f>
        <v>0</v>
      </c>
      <c r="AU55" s="22">
        <f>(AS55/1000)*Y55*(db!$AS$9)</f>
        <v>0</v>
      </c>
      <c r="AV55" s="23">
        <f>IF(B55=0,0, LOOKUP(IF(AND(Changes!Change="Yes", Changes!ValidityYear&lt;=Table1[[#This Row],[Year]], Changes!ChangeType="Change Job Class"),Changes!NewChangedValue, db!$A$8),db!$AX$4:$AX$8,db!$BA$4:$BA$8))</f>
        <v>0</v>
      </c>
      <c r="AW55" s="20">
        <f>ROUND((AV55/(100))*AA55*(1-db!$AS$9),0)</f>
        <v>0</v>
      </c>
      <c r="AX55" s="20">
        <f>ROUND((AV55/(100))*AA55*(db!$AS$9),0)</f>
        <v>0</v>
      </c>
      <c r="AY55" s="21">
        <f>IF(db!$D$8="Yes",AS55,0)</f>
        <v>0</v>
      </c>
      <c r="AZ55" s="22">
        <f>(AY55*AF55)/1000*(1-db!$AS$9)</f>
        <v>0</v>
      </c>
      <c r="BA55" s="22">
        <f>(AY55*AF55)/1000*(db!$AS$9)</f>
        <v>0</v>
      </c>
      <c r="BB55" s="23">
        <f t="shared" si="23"/>
        <v>0</v>
      </c>
      <c r="BC55" s="20">
        <f>(BB55*AH55/1000)*(1-db!$AS$9)</f>
        <v>0</v>
      </c>
      <c r="BD55" s="20">
        <f>(BB55*AH55/1000)*(db!$AS$9)</f>
        <v>0</v>
      </c>
      <c r="BE55" s="22">
        <f>IF(B55=0,0,IF(C55&gt;60,0,LOOKUP(Table1[[#This Row],[Medical
Age]],db!$BC$3:$BC$63,db!$BD$3:$BD$63)))</f>
        <v>0</v>
      </c>
      <c r="BF55" s="22">
        <f>BG55*db!$AS$10</f>
        <v>0</v>
      </c>
      <c r="BG55" s="22">
        <f t="shared" si="24"/>
        <v>0</v>
      </c>
      <c r="BH55" s="22">
        <f>(BE55/1000000)*AJ55*(1-db!$AS$10)</f>
        <v>0</v>
      </c>
      <c r="BI55" s="20">
        <f>IF(B55=0,0,IF(C55&gt;59,0,LOOKUP(Table1[[#This Row],[Medical
Age]],db!$BC$3:$BC$63,db!$BE$3:$BE$63)))</f>
        <v>0</v>
      </c>
      <c r="BJ55" s="20">
        <f>(BI55/1000000)*AL55*(1-db!$AS$11)</f>
        <v>0</v>
      </c>
      <c r="BK55" s="20">
        <f>(BI55/1000000)*AL55*(db!$AS$11)</f>
        <v>0</v>
      </c>
      <c r="BL55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55" s="20">
        <f>Table1[[#This Row],[RiskLoading
Rate]]*Table1[[#This Row],[Death Capital (2)]]</f>
        <v>0</v>
      </c>
      <c r="BN55" s="36"/>
      <c r="BO55" s="37">
        <f t="shared" si="25"/>
        <v>0</v>
      </c>
      <c r="BP55" s="35">
        <f t="shared" si="26"/>
        <v>0</v>
      </c>
      <c r="BQ55" s="35">
        <f t="shared" si="27"/>
        <v>0</v>
      </c>
      <c r="BR55" s="37">
        <f t="shared" si="11"/>
        <v>0</v>
      </c>
      <c r="BS55" s="37">
        <f t="shared" si="12"/>
        <v>0</v>
      </c>
      <c r="BT55" s="35">
        <f t="shared" si="13"/>
        <v>0</v>
      </c>
      <c r="BU55" s="35">
        <f t="shared" si="14"/>
        <v>0</v>
      </c>
      <c r="BV55" s="37">
        <f>(db!$AS$4/100)*(L55-BT55-BU55)</f>
        <v>0</v>
      </c>
      <c r="BW55" s="37">
        <f>(db!$AS$8/100)*(L55-BT55-BU55)</f>
        <v>0</v>
      </c>
      <c r="BX55" s="35"/>
      <c r="BY55" s="37"/>
      <c r="BZ55" s="37"/>
      <c r="CA55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55" s="33"/>
      <c r="CC55" s="39">
        <f>ROUND((Table1[[#This Row],[Premium]]-Table1[[#This Row],[All Deductions]]),0)</f>
        <v>0</v>
      </c>
      <c r="CD55" s="39">
        <f>IF(B55=0,0,Table1[[#This Row],[Initial Reserve]]+CE54)</f>
        <v>0</v>
      </c>
      <c r="CE55" s="40">
        <f>ROUND(IF(B55=0,0,((CC55)*(1+db!Y57))+((CE54)*(1+db!U57))),0)</f>
        <v>0</v>
      </c>
      <c r="CF55" s="40">
        <f t="shared" si="28"/>
        <v>0</v>
      </c>
      <c r="CG55" s="15">
        <f t="shared" si="15"/>
        <v>54</v>
      </c>
      <c r="CH55" s="39">
        <f>IF(B55=0,0,((CC55)*(1+db!AH57))+((CH54)*(1+db!AD57)))</f>
        <v>0</v>
      </c>
      <c r="CI55" s="39">
        <f>IF(B55=0,0,((CC55)*(1+db!AH57))+((CI54)*(1+db!AD57)))</f>
        <v>0</v>
      </c>
      <c r="CJ55" s="40">
        <f>IF(B55=0,0,((CC55)*(1+db!AO57))+((CJ54)*(1+db!AK57)))</f>
        <v>0</v>
      </c>
      <c r="CK55" s="40">
        <f>CJ55-(SUM(BX$7:$BX56))</f>
        <v>0</v>
      </c>
      <c r="CL55" s="46"/>
    </row>
    <row r="56" spans="1:90">
      <c r="A56" s="24">
        <f t="shared" si="16"/>
        <v>55</v>
      </c>
      <c r="B56" s="16">
        <f>IF(AND(Changes!Change="Yes", Changes!ChangeType="Change Contract Duration"),IF(B55=0,0,IF(Changes!NewChangedValue&lt;B55+1,0,B55+1)),IF(B55=0,0,IF('Application Annually'!$C$5&lt;B55+1,0,B55+1)))</f>
        <v>0</v>
      </c>
      <c r="C56" s="15">
        <f t="shared" si="17"/>
        <v>0</v>
      </c>
      <c r="D56" s="312">
        <f t="shared" si="18"/>
        <v>82</v>
      </c>
      <c r="E56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56" s="29">
        <f t="shared" si="8"/>
        <v>0</v>
      </c>
      <c r="G56" s="29">
        <f t="shared" si="9"/>
        <v>0</v>
      </c>
      <c r="H56" s="29">
        <f t="shared" si="20"/>
        <v>0</v>
      </c>
      <c r="I56" s="29">
        <f>IF(B56&gt;0,IF(AND(Table1[[#This Row],[Year]]&gt;Changes!ValidityYear,Changes!Change="Yes",Changes!ChangeType="Change Value Adjustment"),Changes!$G$22,'Application Annually'!$C$11),0)</f>
        <v>0</v>
      </c>
      <c r="J56" s="29">
        <f>IF(B56&gt;0,IF(AND(Table1[[#This Row],[Year]]&gt;Changes!ValidityYear,Changes!Change="Yes",Changes!ChangeType="Change Value Adjustment"),Changes!$G$24,'Application Annually'!$C$7),0)</f>
        <v>0</v>
      </c>
      <c r="K56" s="29">
        <f>ROUND(IF(B56=0,0,IF(AND(Changes!Change="Yes", Changes!ValidityYear=Table1[[#This Row],[Year]], Changes!ChangeType="Change Premium"), Changes!NewChangedValue, (K55*(1+db!$B$3)))),0)</f>
        <v>0</v>
      </c>
      <c r="L56" s="29">
        <f>ROUND(IF(AND(Changes!Change="Yes",Changes!ValidityYear&lt;=Table1[[#This Row],[Year]],Changes!ChangeType="Paid-Up"),0,IF(B56=0,0,IF(AND(Changes!Change="Yes", Changes!ValidityYear=Table1[[#This Row],[Year]], Changes!ChangeType="Change Premium"), Changes!NewChangedValue, (L55*(1+Table1[[#This Row],[Adjustment Factor of Premium]]/100))))),0)</f>
        <v>0</v>
      </c>
      <c r="M56" s="29">
        <f>IF(Table1[[#This Row],[Year]]=1,ROUND(MIN($L$2 -( Table1[[#This Row],[Riders Risk Premiums]] + Table1[[#This Row],[Acquisition Cost]]) *0.75,Table1[[#This Row],[Death Capital (1)]]* 0.03),0),0)</f>
        <v>0</v>
      </c>
      <c r="N56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56" s="29">
        <f>ROUND(IF(ROW()-1&gt;InsurancePeriod,0,(O55*(1+(Table1[[#This Row],[Adjustment Factor of Premium]]/100)))),0)</f>
        <v>0</v>
      </c>
      <c r="P56" s="29">
        <f>IF(Table1[Year] = 0, 0, SUM(L$2:L56))</f>
        <v>0</v>
      </c>
      <c r="Q56" s="17">
        <f t="shared" si="21"/>
        <v>0</v>
      </c>
      <c r="R56" s="17">
        <f>IF(Table1[[#This Row],[Year]]=0,0,IF($C$2&lt;=50,LOOKUP(Table1[[#This Row],[Age]],db!BG57:BG163,db!BH57:BH163),LOOKUP(Table1[[#This Row],[Age]],db!BJ57:BJ163,db!BK57:BK163)))</f>
        <v>0</v>
      </c>
      <c r="S56" s="17">
        <f>IF(AND(Changes!Change="Yes",Changes!ValidityYear&lt;=Table1[[#This Row],[Year]],Changes!ChangeType="Paid-Up",PaidUpOption="Paid-up with no coverage"),0,IF(B56=0,0, IF(AND(Changes!Change="Yes", Changes!ValidityYear=Table1[[#This Row],[Year]], Changes!ChangeType="Change Death Capital"), Changes!NewChangedValue, S55*(1+(Table1[[#This Row],[Adjustment Factor of Death Capital]]/100)))))</f>
        <v>0</v>
      </c>
      <c r="T56" s="17">
        <f>MIN(IF(B56=0,0,Table1[[#This Row],[Death Capital (1)]]),Table1[[#This Row],[Max Sum Insured For Death]])</f>
        <v>0</v>
      </c>
      <c r="U56" s="29">
        <f t="shared" si="10"/>
        <v>0</v>
      </c>
      <c r="V56" s="29">
        <f>IF(AND(Changes!Change="Yes",Changes!ValidityYear&lt;=Table1[[#This Row],[Year]],Changes!ChangeType="Paid-Up",OR(PaidUpOption="Paid-up with no coverage",PaidUpOption="Paid-up with main coverage")),0,IF(B56=0,0,IF(AND(Changes!Change="Yes", Changes!ValidityYear&lt;=Table1[[#This Row],[Year]], Changes!ChangeType="Rider Inclusion/Exclusion", Changes!RiderType="Accident Death"), T56*Changes!NewChangedValue,IF(db!$D$6="Yes",(db!$B$6)*T56,0))))</f>
        <v>0</v>
      </c>
      <c r="W56" s="29">
        <f>MIN(IF(V56&lt;=db!$L$2,V56,db!$L$2),MAX_ACC_CAPITAL)</f>
        <v>0</v>
      </c>
      <c r="X56" s="17">
        <f>IF(AND(Changes!Change="Yes",Changes!ValidityYear&lt;=Table1[[#This Row],[Year]],Changes!ChangeType="Paid-Up",OR(PaidUpOption="Paid-up with no coverage",PaidUpOption="Paid-up with main coverage")),0,IF(OR(B56=0,Table1[[#This Row],[Accident Capital (2)]]=0),0,IF(AND(Changes!Change="Yes", Changes!ValidityYear&lt;=Table1[[#This Row],[Year]], Changes!ChangeType="Rider Inclusion/Exclusion", Changes!RiderType="Accident Disability"), T56*Changes!NewChangedValue,IF(db!$D$7="Yes",(db!$B$7)*T56,0))))</f>
        <v>0</v>
      </c>
      <c r="Y56" s="42">
        <f>IF(C56&gt;69,0,IF(C56=0,0,IF(X56&lt;=db!$L$3,X56,db!$L$3)))</f>
        <v>0</v>
      </c>
      <c r="Z56" s="29">
        <f>IF(AND(Changes!Change="Yes",Changes!ValidityYear&lt;=Table1[[#This Row],[Year]],Changes!ChangeType="Paid-Up",OR(PaidUpOption="Paid-up with no coverage",PaidUpOption="Paid-up with main coverage")),0,IF(OR(B56=0,Table1[[#This Row],[Accident Capital (2)]]=0),0,IF(AND(Changes!Change="Yes", Changes!ValidityYear&lt;=Table1[[#This Row],[Year]], Changes!ChangeType="Rider Inclusion/Exclusion", Changes!RiderType="Accident Medical Cost"), T56*Changes!NewChangedValue,IF(db!$D$9="Yes",(db!$B$9)*T56,0))))</f>
        <v>0</v>
      </c>
      <c r="AA56" s="29">
        <f>ROUND(IF(C56&gt;69,0,IF(C56=0,0,IF(Z56&lt;=db!$L$4,Z56,db!$L$4))),0)</f>
        <v>0</v>
      </c>
      <c r="AB56" s="38">
        <f>IF(AND(Changes!Change = "Yes", Changes!ChangeType = "Rider Inclusion/Exclusion", Changes!RiderType = "WOP"), IF( Changes!ValidityYear &lt;= Table1[[#This Row],[Year]], IF(WOP = "Yes", 0, 1),  IF(WOP = "Yes", 1, 0)), IF(AND(db!$D$8="Yes",C56&lt;=69,ROW()-1&lt;=InsurancePeriod), 1, 0))</f>
        <v>0</v>
      </c>
      <c r="AC56" s="17">
        <f>(AC57+K57)*AB56*((1)/(1+db!AA58))*(LOOKUP(C56,'Mortality Table'!$A$2:$A$108,'Mortality Table'!$E$2:$E$108))</f>
        <v>0</v>
      </c>
      <c r="AD56" s="340">
        <f>IF(AND(Changes!ValidityYear&lt;= Table1[[#This Row],[Year]],Changes!ChangeType="Change Value Adjustment",Changes!Change="Yes"), (AD57+L57)*AB56*((1)/(1+db!AA58))*(LOOKUP(C56,'Mortality Table'!$A$2:$A$108,'Mortality Table'!$E$2:$E$108)),Table1[[#This Row],[WOP Before Adj. BT]])</f>
        <v>0</v>
      </c>
      <c r="AE56" s="341">
        <f>IF(AND(Changes!Change="Yes", Changes!ChangeType="Change Value Adjustment"),Table1[[#This Row],[WOP Capital]],(AE57+O57)*AB56*((1)/(1+db!AA58))*(LOOKUP(D56,'Mortality Table'!$A$2:$A$108,'Mortality Table'!$E$2:$E$108)))</f>
        <v>0</v>
      </c>
      <c r="AF56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56" s="42">
        <f>IF(AND(Changes!Change="Yes", Changes!ValidityYear&lt;=Table1[[#This Row],[Year]], Changes!ChangeType="Rider Inclusion/Exclusion", Changes!RiderType="Disability Annuity"), L56*Changes!NewChangedValue,L56*db!B$10*IF(db!$D$10="Yes",1,0))</f>
        <v>0</v>
      </c>
      <c r="AH56" s="29">
        <f>IF(AND(Changes!Change="Yes",Changes!ValidityYear&lt;=Table1[[#This Row],[Year]],Changes!ChangeType="Paid-Up"),0,Table1[[#This Row],[Code Annuity Capital]]*IF('Annual Calculation'!C56&gt;69,0,(LOOKUP('Annual Calculation'!C56+1,'Mortality Table'!$A$2:$A$108,'Mortality Table'!$O$2:$O$108)-LOOKUP('Annual Calculation'!C56+11,'Mortality Table'!$A$2:$A$108,'Mortality Table'!$O$2:$O$108))/LOOKUP('Annual Calculation'!C56,'Mortality Table'!$A$2:$A$108,'Mortality Table'!$M$2:$M$108)))</f>
        <v>0</v>
      </c>
      <c r="AI56" s="17">
        <f>IF(AND(Changes!Change="Yes",Changes!ValidityYear&lt;=Table1[[#This Row],[Year]],Changes!ChangeType="Paid-Up",OR(PaidUpOption="Paid-up with no coverage",PaidUpOption="Paid-up with main coverage")),0,IF(B56=0,0,IF(AND(Changes!Change="Yes", Changes!ValidityYear&lt;=Table1[[#This Row],[Year]], Changes!ChangeType="Rider Inclusion/Exclusion", Changes!RiderType="Dread Disease"), T56*Changes!NewChangedValue,IF(db!$D$11="Yes",(db!$B$11)*T56,0))))</f>
        <v>0</v>
      </c>
      <c r="AJ56" s="42">
        <f>ROUND(IF(C56&gt;59,0,IF(C56=0,0,IF(AI56&lt;=db!$L$5,AI56,db!$L$5))),0)</f>
        <v>0</v>
      </c>
      <c r="AK56" s="29">
        <f>IF(AND(Changes!Change="Yes",Changes!ValidityYear&lt;=Table1[[#This Row],[Year]],Changes!ChangeType="Paid-Up",OR(PaidUpOption="Paid-up with no coverage",PaidUpOption="Paid-up with main coverage")),0,IF(B56=0,0,IF(AND(Changes!Change="Yes", Changes!ValidityYear&lt;=Table1[[#This Row],[Year]], Changes!ChangeType="Rider Inclusion/Exclusion", Changes!RiderType="Cancer"), T56*Changes!NewChangedValue,IF(db!$D$12="Yes",(db!$B$12)*T56,0))))</f>
        <v>0</v>
      </c>
      <c r="AL56" s="29">
        <f>ROUND(IF(C56&gt;59,0,IF(C56=0,0,IF(AK56&lt;=db!$L$6,AK56,db!$L$6))),0)</f>
        <v>0</v>
      </c>
      <c r="AM56" s="32"/>
      <c r="AN56" s="18">
        <f>IF(B56=0,0,IF(C56&lt;(db!$E$2+5),LOOKUP(C56,'Mortality Table'!$A$2:$A$108,'Mortality Table'!$P$2:$P$108),IF((C56&gt;=db!$E$2+10),LOOKUP(C56,'Mortality Table'!$A$2:$A$108,'Mortality Table'!$R$2:$R$108),LOOKUP(C56,'Mortality Table'!$A$2:$A$108,'Mortality Table'!$Q$2:$Q$108))))</f>
        <v>0</v>
      </c>
      <c r="AO56" s="22">
        <f t="shared" si="22"/>
        <v>0</v>
      </c>
      <c r="AP56" s="19">
        <f>IF(B56=0,0, LOOKUP(IF(AND(Changes!Change="Yes", Changes!ValidityYear&lt;=Table1[[#This Row],[Year]], Changes!ChangeType="Change Job Class"),Changes!NewChangedValue, db!$A$8),db!$AX$4:$AX$8,db!$AY$4:$AY$8))</f>
        <v>0</v>
      </c>
      <c r="AQ56" s="20">
        <f>ROUND((AP56/1000)*W56 * (1-db!$AS$9),0)</f>
        <v>0</v>
      </c>
      <c r="AR56" s="20">
        <f>(AP56/1000)*W56 * db!$AS$9</f>
        <v>0</v>
      </c>
      <c r="AS56" s="21">
        <f>IF(B56=0,0, LOOKUP(IF(AND(Changes!Change="Yes", Changes!ValidityYear&lt;=Table1[[#This Row],[Year]], Changes!ChangeType="Change Job Class"),Changes!NewChangedValue, db!$A$8),db!$AX$4:$AX$8,db!$AZ$4:$AZ$8))</f>
        <v>0</v>
      </c>
      <c r="AT56" s="22">
        <f>(AS56/1000)*Y56*(1-db!$AS$9)</f>
        <v>0</v>
      </c>
      <c r="AU56" s="22">
        <f>(AS56/1000)*Y56*(db!$AS$9)</f>
        <v>0</v>
      </c>
      <c r="AV56" s="23">
        <f>IF(B56=0,0, LOOKUP(IF(AND(Changes!Change="Yes", Changes!ValidityYear&lt;=Table1[[#This Row],[Year]], Changes!ChangeType="Change Job Class"),Changes!NewChangedValue, db!$A$8),db!$AX$4:$AX$8,db!$BA$4:$BA$8))</f>
        <v>0</v>
      </c>
      <c r="AW56" s="20">
        <f>ROUND((AV56/(100))*AA56*(1-db!$AS$9),0)</f>
        <v>0</v>
      </c>
      <c r="AX56" s="20">
        <f>ROUND((AV56/(100))*AA56*(db!$AS$9),0)</f>
        <v>0</v>
      </c>
      <c r="AY56" s="21">
        <f>IF(db!$D$8="Yes",AS56,0)</f>
        <v>0</v>
      </c>
      <c r="AZ56" s="22">
        <f>(AY56*AF56)/1000*(1-db!$AS$9)</f>
        <v>0</v>
      </c>
      <c r="BA56" s="22">
        <f>(AY56*AF56)/1000*(db!$AS$9)</f>
        <v>0</v>
      </c>
      <c r="BB56" s="23">
        <f t="shared" si="23"/>
        <v>0</v>
      </c>
      <c r="BC56" s="20">
        <f>(BB56*AH56/1000)*(1-db!$AS$9)</f>
        <v>0</v>
      </c>
      <c r="BD56" s="20">
        <f>(BB56*AH56/1000)*(db!$AS$9)</f>
        <v>0</v>
      </c>
      <c r="BE56" s="22">
        <f>IF(B56=0,0,IF(C56&gt;60,0,LOOKUP(Table1[[#This Row],[Medical
Age]],db!$BC$3:$BC$63,db!$BD$3:$BD$63)))</f>
        <v>0</v>
      </c>
      <c r="BF56" s="22">
        <f>BG56*db!$AS$10</f>
        <v>0</v>
      </c>
      <c r="BG56" s="22">
        <f t="shared" si="24"/>
        <v>0</v>
      </c>
      <c r="BH56" s="22">
        <f>(BE56/1000000)*AJ56*(1-db!$AS$10)</f>
        <v>0</v>
      </c>
      <c r="BI56" s="20">
        <f>IF(B56=0,0,IF(C56&gt;59,0,LOOKUP(Table1[[#This Row],[Medical
Age]],db!$BC$3:$BC$63,db!$BE$3:$BE$63)))</f>
        <v>0</v>
      </c>
      <c r="BJ56" s="20">
        <f>(BI56/1000000)*AL56*(1-db!$AS$11)</f>
        <v>0</v>
      </c>
      <c r="BK56" s="20">
        <f>(BI56/1000000)*AL56*(db!$AS$11)</f>
        <v>0</v>
      </c>
      <c r="BL56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56" s="20">
        <f>Table1[[#This Row],[RiskLoading
Rate]]*Table1[[#This Row],[Death Capital (2)]]</f>
        <v>0</v>
      </c>
      <c r="BN56" s="36"/>
      <c r="BO56" s="37">
        <f t="shared" si="25"/>
        <v>0</v>
      </c>
      <c r="BP56" s="35">
        <f t="shared" si="26"/>
        <v>0</v>
      </c>
      <c r="BQ56" s="35">
        <f t="shared" si="27"/>
        <v>0</v>
      </c>
      <c r="BR56" s="37">
        <f t="shared" si="11"/>
        <v>0</v>
      </c>
      <c r="BS56" s="37">
        <f t="shared" si="12"/>
        <v>0</v>
      </c>
      <c r="BT56" s="35">
        <f t="shared" si="13"/>
        <v>0</v>
      </c>
      <c r="BU56" s="35">
        <f t="shared" si="14"/>
        <v>0</v>
      </c>
      <c r="BV56" s="37">
        <f>(db!$AS$4/100)*(L56-BT56-BU56)</f>
        <v>0</v>
      </c>
      <c r="BW56" s="37">
        <f>(db!$AS$8/100)*(L56-BT56-BU56)</f>
        <v>0</v>
      </c>
      <c r="BX56" s="35"/>
      <c r="BY56" s="37"/>
      <c r="BZ56" s="37"/>
      <c r="CA56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56" s="33"/>
      <c r="CC56" s="39">
        <f>ROUND((Table1[[#This Row],[Premium]]-Table1[[#This Row],[All Deductions]]),0)</f>
        <v>0</v>
      </c>
      <c r="CD56" s="39">
        <f>IF(B56=0,0,Table1[[#This Row],[Initial Reserve]]+CE55)</f>
        <v>0</v>
      </c>
      <c r="CE56" s="40">
        <f>ROUND(IF(B56=0,0,((CC56)*(1+db!Y58))+((CE55)*(1+db!U58))),0)</f>
        <v>0</v>
      </c>
      <c r="CF56" s="40">
        <f t="shared" si="28"/>
        <v>0</v>
      </c>
      <c r="CG56" s="15">
        <f t="shared" si="15"/>
        <v>55</v>
      </c>
      <c r="CH56" s="39">
        <f>IF(B56=0,0,((CC56)*(1+db!AH58))+((CH55)*(1+db!AD58)))</f>
        <v>0</v>
      </c>
      <c r="CI56" s="39">
        <f>IF(B56=0,0,((CC56)*(1+db!AH58))+((CI55)*(1+db!AD58)))</f>
        <v>0</v>
      </c>
      <c r="CJ56" s="40">
        <f>IF(B56=0,0,((CC56)*(1+db!AO58))+((CJ55)*(1+db!AK58)))</f>
        <v>0</v>
      </c>
      <c r="CK56" s="40">
        <f>CJ56-(SUM(BX$7:$BX57))</f>
        <v>0</v>
      </c>
      <c r="CL56" s="46"/>
    </row>
    <row r="57" spans="1:90">
      <c r="A57" s="24">
        <f t="shared" si="16"/>
        <v>56</v>
      </c>
      <c r="B57" s="16">
        <f>IF(AND(Changes!Change="Yes", Changes!ChangeType="Change Contract Duration"),IF(B56=0,0,IF(Changes!NewChangedValue&lt;B56+1,0,B56+1)),IF(B56=0,0,IF('Application Annually'!$C$5&lt;B56+1,0,B56+1)))</f>
        <v>0</v>
      </c>
      <c r="C57" s="15">
        <f t="shared" si="17"/>
        <v>0</v>
      </c>
      <c r="D57" s="312">
        <f t="shared" si="18"/>
        <v>83</v>
      </c>
      <c r="E57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57" s="29">
        <f t="shared" si="8"/>
        <v>0</v>
      </c>
      <c r="G57" s="29">
        <f t="shared" si="9"/>
        <v>0</v>
      </c>
      <c r="H57" s="29">
        <f t="shared" si="20"/>
        <v>0</v>
      </c>
      <c r="I57" s="29">
        <f>IF(B57&gt;0,IF(AND(Table1[[#This Row],[Year]]&gt;Changes!ValidityYear,Changes!Change="Yes",Changes!ChangeType="Change Value Adjustment"),Changes!$G$22,'Application Annually'!$C$11),0)</f>
        <v>0</v>
      </c>
      <c r="J57" s="29">
        <f>IF(B57&gt;0,IF(AND(Table1[[#This Row],[Year]]&gt;Changes!ValidityYear,Changes!Change="Yes",Changes!ChangeType="Change Value Adjustment"),Changes!$G$24,'Application Annually'!$C$7),0)</f>
        <v>0</v>
      </c>
      <c r="K57" s="29">
        <f>ROUND(IF(B57=0,0,IF(AND(Changes!Change="Yes", Changes!ValidityYear=Table1[[#This Row],[Year]], Changes!ChangeType="Change Premium"), Changes!NewChangedValue, (K56*(1+db!$B$3)))),0)</f>
        <v>0</v>
      </c>
      <c r="L57" s="29">
        <f>ROUND(IF(AND(Changes!Change="Yes",Changes!ValidityYear&lt;=Table1[[#This Row],[Year]],Changes!ChangeType="Paid-Up"),0,IF(B57=0,0,IF(AND(Changes!Change="Yes", Changes!ValidityYear=Table1[[#This Row],[Year]], Changes!ChangeType="Change Premium"), Changes!NewChangedValue, (L56*(1+Table1[[#This Row],[Adjustment Factor of Premium]]/100))))),0)</f>
        <v>0</v>
      </c>
      <c r="M57" s="29">
        <f>IF(Table1[[#This Row],[Year]]=1,ROUND(MIN($L$2 -( Table1[[#This Row],[Riders Risk Premiums]] + Table1[[#This Row],[Acquisition Cost]]) *0.75,Table1[[#This Row],[Death Capital (1)]]* 0.03),0),0)</f>
        <v>0</v>
      </c>
      <c r="N57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57" s="29">
        <f>ROUND(IF(ROW()-1&gt;InsurancePeriod,0,(O56*(1+(Table1[[#This Row],[Adjustment Factor of Premium]]/100)))),0)</f>
        <v>0</v>
      </c>
      <c r="P57" s="29">
        <f>IF(Table1[Year] = 0, 0, SUM(L$2:L57))</f>
        <v>0</v>
      </c>
      <c r="Q57" s="17">
        <f t="shared" si="21"/>
        <v>0</v>
      </c>
      <c r="R57" s="17">
        <f>IF(Table1[[#This Row],[Year]]=0,0,IF($C$2&lt;=50,LOOKUP(Table1[[#This Row],[Age]],db!BG58:BG164,db!BH58:BH164),LOOKUP(Table1[[#This Row],[Age]],db!BJ58:BJ164,db!BK58:BK164)))</f>
        <v>0</v>
      </c>
      <c r="S57" s="17">
        <f>IF(AND(Changes!Change="Yes",Changes!ValidityYear&lt;=Table1[[#This Row],[Year]],Changes!ChangeType="Paid-Up",PaidUpOption="Paid-up with no coverage"),0,IF(B57=0,0, IF(AND(Changes!Change="Yes", Changes!ValidityYear=Table1[[#This Row],[Year]], Changes!ChangeType="Change Death Capital"), Changes!NewChangedValue, S56*(1+(Table1[[#This Row],[Adjustment Factor of Death Capital]]/100)))))</f>
        <v>0</v>
      </c>
      <c r="T57" s="17">
        <f>MIN(IF(B57=0,0,Table1[[#This Row],[Death Capital (1)]]),Table1[[#This Row],[Max Sum Insured For Death]])</f>
        <v>0</v>
      </c>
      <c r="U57" s="29">
        <f t="shared" si="10"/>
        <v>0</v>
      </c>
      <c r="V57" s="29">
        <f>IF(AND(Changes!Change="Yes",Changes!ValidityYear&lt;=Table1[[#This Row],[Year]],Changes!ChangeType="Paid-Up",OR(PaidUpOption="Paid-up with no coverage",PaidUpOption="Paid-up with main coverage")),0,IF(B57=0,0,IF(AND(Changes!Change="Yes", Changes!ValidityYear&lt;=Table1[[#This Row],[Year]], Changes!ChangeType="Rider Inclusion/Exclusion", Changes!RiderType="Accident Death"), T57*Changes!NewChangedValue,IF(db!$D$6="Yes",(db!$B$6)*T57,0))))</f>
        <v>0</v>
      </c>
      <c r="W57" s="29">
        <f>MIN(IF(V57&lt;=db!$L$2,V57,db!$L$2),MAX_ACC_CAPITAL)</f>
        <v>0</v>
      </c>
      <c r="X57" s="17">
        <f>IF(AND(Changes!Change="Yes",Changes!ValidityYear&lt;=Table1[[#This Row],[Year]],Changes!ChangeType="Paid-Up",OR(PaidUpOption="Paid-up with no coverage",PaidUpOption="Paid-up with main coverage")),0,IF(OR(B57=0,Table1[[#This Row],[Accident Capital (2)]]=0),0,IF(AND(Changes!Change="Yes", Changes!ValidityYear&lt;=Table1[[#This Row],[Year]], Changes!ChangeType="Rider Inclusion/Exclusion", Changes!RiderType="Accident Disability"), T57*Changes!NewChangedValue,IF(db!$D$7="Yes",(db!$B$7)*T57,0))))</f>
        <v>0</v>
      </c>
      <c r="Y57" s="42">
        <f>IF(C57&gt;69,0,IF(C57=0,0,IF(X57&lt;=db!$L$3,X57,db!$L$3)))</f>
        <v>0</v>
      </c>
      <c r="Z57" s="29">
        <f>IF(AND(Changes!Change="Yes",Changes!ValidityYear&lt;=Table1[[#This Row],[Year]],Changes!ChangeType="Paid-Up",OR(PaidUpOption="Paid-up with no coverage",PaidUpOption="Paid-up with main coverage")),0,IF(OR(B57=0,Table1[[#This Row],[Accident Capital (2)]]=0),0,IF(AND(Changes!Change="Yes", Changes!ValidityYear&lt;=Table1[[#This Row],[Year]], Changes!ChangeType="Rider Inclusion/Exclusion", Changes!RiderType="Accident Medical Cost"), T57*Changes!NewChangedValue,IF(db!$D$9="Yes",(db!$B$9)*T57,0))))</f>
        <v>0</v>
      </c>
      <c r="AA57" s="29">
        <f>ROUND(IF(C57&gt;69,0,IF(C57=0,0,IF(Z57&lt;=db!$L$4,Z57,db!$L$4))),0)</f>
        <v>0</v>
      </c>
      <c r="AB57" s="38">
        <f>IF(AND(Changes!Change = "Yes", Changes!ChangeType = "Rider Inclusion/Exclusion", Changes!RiderType = "WOP"), IF( Changes!ValidityYear &lt;= Table1[[#This Row],[Year]], IF(WOP = "Yes", 0, 1),  IF(WOP = "Yes", 1, 0)), IF(AND(db!$D$8="Yes",C57&lt;=69,ROW()-1&lt;=InsurancePeriod), 1, 0))</f>
        <v>0</v>
      </c>
      <c r="AC57" s="17">
        <f>(AC58+K58)*AB57*((1)/(1+db!AA59))*(LOOKUP(C57,'Mortality Table'!$A$2:$A$108,'Mortality Table'!$E$2:$E$108))</f>
        <v>0</v>
      </c>
      <c r="AD57" s="340">
        <f>IF(AND(Changes!ValidityYear&lt;= Table1[[#This Row],[Year]],Changes!ChangeType="Change Value Adjustment",Changes!Change="Yes"), (AD58+L58)*AB57*((1)/(1+db!AA59))*(LOOKUP(C57,'Mortality Table'!$A$2:$A$108,'Mortality Table'!$E$2:$E$108)),Table1[[#This Row],[WOP Before Adj. BT]])</f>
        <v>0</v>
      </c>
      <c r="AE57" s="341">
        <f>IF(AND(Changes!Change="Yes", Changes!ChangeType="Change Value Adjustment"),Table1[[#This Row],[WOP Capital]],(AE58+O58)*AB57*((1)/(1+db!AA59))*(LOOKUP(D57,'Mortality Table'!$A$2:$A$108,'Mortality Table'!$E$2:$E$108)))</f>
        <v>0</v>
      </c>
      <c r="AF57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57" s="42">
        <f>IF(AND(Changes!Change="Yes", Changes!ValidityYear&lt;=Table1[[#This Row],[Year]], Changes!ChangeType="Rider Inclusion/Exclusion", Changes!RiderType="Disability Annuity"), L57*Changes!NewChangedValue,L57*db!B$10*IF(db!$D$10="Yes",1,0))</f>
        <v>0</v>
      </c>
      <c r="AH57" s="29">
        <f>IF(AND(Changes!Change="Yes",Changes!ValidityYear&lt;=Table1[[#This Row],[Year]],Changes!ChangeType="Paid-Up"),0,Table1[[#This Row],[Code Annuity Capital]]*IF('Annual Calculation'!C57&gt;69,0,(LOOKUP('Annual Calculation'!C57+1,'Mortality Table'!$A$2:$A$108,'Mortality Table'!$O$2:$O$108)-LOOKUP('Annual Calculation'!C57+11,'Mortality Table'!$A$2:$A$108,'Mortality Table'!$O$2:$O$108))/LOOKUP('Annual Calculation'!C57,'Mortality Table'!$A$2:$A$108,'Mortality Table'!$M$2:$M$108)))</f>
        <v>0</v>
      </c>
      <c r="AI57" s="17">
        <f>IF(AND(Changes!Change="Yes",Changes!ValidityYear&lt;=Table1[[#This Row],[Year]],Changes!ChangeType="Paid-Up",OR(PaidUpOption="Paid-up with no coverage",PaidUpOption="Paid-up with main coverage")),0,IF(B57=0,0,IF(AND(Changes!Change="Yes", Changes!ValidityYear&lt;=Table1[[#This Row],[Year]], Changes!ChangeType="Rider Inclusion/Exclusion", Changes!RiderType="Dread Disease"), T57*Changes!NewChangedValue,IF(db!$D$11="Yes",(db!$B$11)*T57,0))))</f>
        <v>0</v>
      </c>
      <c r="AJ57" s="42">
        <f>ROUND(IF(C57&gt;59,0,IF(C57=0,0,IF(AI57&lt;=db!$L$5,AI57,db!$L$5))),0)</f>
        <v>0</v>
      </c>
      <c r="AK57" s="29">
        <f>IF(AND(Changes!Change="Yes",Changes!ValidityYear&lt;=Table1[[#This Row],[Year]],Changes!ChangeType="Paid-Up",OR(PaidUpOption="Paid-up with no coverage",PaidUpOption="Paid-up with main coverage")),0,IF(B57=0,0,IF(AND(Changes!Change="Yes", Changes!ValidityYear&lt;=Table1[[#This Row],[Year]], Changes!ChangeType="Rider Inclusion/Exclusion", Changes!RiderType="Cancer"), T57*Changes!NewChangedValue,IF(db!$D$12="Yes",(db!$B$12)*T57,0))))</f>
        <v>0</v>
      </c>
      <c r="AL57" s="29">
        <f>ROUND(IF(C57&gt;59,0,IF(C57=0,0,IF(AK57&lt;=db!$L$6,AK57,db!$L$6))),0)</f>
        <v>0</v>
      </c>
      <c r="AM57" s="32"/>
      <c r="AN57" s="18">
        <f>IF(B57=0,0,IF(C57&lt;(db!$E$2+5),LOOKUP(C57,'Mortality Table'!$A$2:$A$108,'Mortality Table'!$P$2:$P$108),IF((C57&gt;=db!$E$2+10),LOOKUP(C57,'Mortality Table'!$A$2:$A$108,'Mortality Table'!$R$2:$R$108),LOOKUP(C57,'Mortality Table'!$A$2:$A$108,'Mortality Table'!$Q$2:$Q$108))))</f>
        <v>0</v>
      </c>
      <c r="AO57" s="22">
        <f t="shared" si="22"/>
        <v>0</v>
      </c>
      <c r="AP57" s="19">
        <f>IF(B57=0,0, LOOKUP(IF(AND(Changes!Change="Yes", Changes!ValidityYear&lt;=Table1[[#This Row],[Year]], Changes!ChangeType="Change Job Class"),Changes!NewChangedValue, db!$A$8),db!$AX$4:$AX$8,db!$AY$4:$AY$8))</f>
        <v>0</v>
      </c>
      <c r="AQ57" s="20">
        <f>ROUND((AP57/1000)*W57 * (1-db!$AS$9),0)</f>
        <v>0</v>
      </c>
      <c r="AR57" s="20">
        <f>(AP57/1000)*W57 * db!$AS$9</f>
        <v>0</v>
      </c>
      <c r="AS57" s="21">
        <f>IF(B57=0,0, LOOKUP(IF(AND(Changes!Change="Yes", Changes!ValidityYear&lt;=Table1[[#This Row],[Year]], Changes!ChangeType="Change Job Class"),Changes!NewChangedValue, db!$A$8),db!$AX$4:$AX$8,db!$AZ$4:$AZ$8))</f>
        <v>0</v>
      </c>
      <c r="AT57" s="22">
        <f>(AS57/1000)*Y57*(1-db!$AS$9)</f>
        <v>0</v>
      </c>
      <c r="AU57" s="22">
        <f>(AS57/1000)*Y57*(db!$AS$9)</f>
        <v>0</v>
      </c>
      <c r="AV57" s="23">
        <f>IF(B57=0,0, LOOKUP(IF(AND(Changes!Change="Yes", Changes!ValidityYear&lt;=Table1[[#This Row],[Year]], Changes!ChangeType="Change Job Class"),Changes!NewChangedValue, db!$A$8),db!$AX$4:$AX$8,db!$BA$4:$BA$8))</f>
        <v>0</v>
      </c>
      <c r="AW57" s="20">
        <f>ROUND((AV57/(100))*AA57*(1-db!$AS$9),0)</f>
        <v>0</v>
      </c>
      <c r="AX57" s="20">
        <f>ROUND((AV57/(100))*AA57*(db!$AS$9),0)</f>
        <v>0</v>
      </c>
      <c r="AY57" s="21">
        <f>IF(db!$D$8="Yes",AS57,0)</f>
        <v>0</v>
      </c>
      <c r="AZ57" s="22">
        <f>(AY57*AF57)/1000*(1-db!$AS$9)</f>
        <v>0</v>
      </c>
      <c r="BA57" s="22">
        <f>(AY57*AF57)/1000*(db!$AS$9)</f>
        <v>0</v>
      </c>
      <c r="BB57" s="23">
        <f t="shared" si="23"/>
        <v>0</v>
      </c>
      <c r="BC57" s="20">
        <f>(BB57*AH57/1000)*(1-db!$AS$9)</f>
        <v>0</v>
      </c>
      <c r="BD57" s="20">
        <f>(BB57*AH57/1000)*(db!$AS$9)</f>
        <v>0</v>
      </c>
      <c r="BE57" s="22">
        <f>IF(B57=0,0,IF(C57&gt;60,0,LOOKUP(Table1[[#This Row],[Medical
Age]],db!$BC$3:$BC$63,db!$BD$3:$BD$63)))</f>
        <v>0</v>
      </c>
      <c r="BF57" s="22">
        <f>BG57*db!$AS$10</f>
        <v>0</v>
      </c>
      <c r="BG57" s="22">
        <f t="shared" si="24"/>
        <v>0</v>
      </c>
      <c r="BH57" s="22">
        <f>(BE57/1000000)*AJ57*(1-db!$AS$10)</f>
        <v>0</v>
      </c>
      <c r="BI57" s="20">
        <f>IF(B57=0,0,IF(C57&gt;59,0,LOOKUP(Table1[[#This Row],[Medical
Age]],db!$BC$3:$BC$63,db!$BE$3:$BE$63)))</f>
        <v>0</v>
      </c>
      <c r="BJ57" s="20">
        <f>(BI57/1000000)*AL57*(1-db!$AS$11)</f>
        <v>0</v>
      </c>
      <c r="BK57" s="20">
        <f>(BI57/1000000)*AL57*(db!$AS$11)</f>
        <v>0</v>
      </c>
      <c r="BL57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57" s="20">
        <f>Table1[[#This Row],[RiskLoading
Rate]]*Table1[[#This Row],[Death Capital (2)]]</f>
        <v>0</v>
      </c>
      <c r="BN57" s="36"/>
      <c r="BO57" s="37">
        <f t="shared" si="25"/>
        <v>0</v>
      </c>
      <c r="BP57" s="35">
        <f t="shared" si="26"/>
        <v>0</v>
      </c>
      <c r="BQ57" s="35">
        <f t="shared" si="27"/>
        <v>0</v>
      </c>
      <c r="BR57" s="37">
        <f t="shared" si="11"/>
        <v>0</v>
      </c>
      <c r="BS57" s="37">
        <f t="shared" si="12"/>
        <v>0</v>
      </c>
      <c r="BT57" s="35">
        <f t="shared" si="13"/>
        <v>0</v>
      </c>
      <c r="BU57" s="35">
        <f t="shared" si="14"/>
        <v>0</v>
      </c>
      <c r="BV57" s="37">
        <f>(db!$AS$4/100)*(L57-BT57-BU57)</f>
        <v>0</v>
      </c>
      <c r="BW57" s="37">
        <f>(db!$AS$8/100)*(L57-BT57-BU57)</f>
        <v>0</v>
      </c>
      <c r="BX57" s="35"/>
      <c r="BY57" s="37"/>
      <c r="BZ57" s="37"/>
      <c r="CA57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57" s="33"/>
      <c r="CC57" s="39">
        <f>ROUND((Table1[[#This Row],[Premium]]-Table1[[#This Row],[All Deductions]]),0)</f>
        <v>0</v>
      </c>
      <c r="CD57" s="39">
        <f>IF(B57=0,0,Table1[[#This Row],[Initial Reserve]]+CE56)</f>
        <v>0</v>
      </c>
      <c r="CE57" s="40">
        <f>ROUND(IF(B57=0,0,((CC57)*(1+db!Y59))+((CE56)*(1+db!U59))),0)</f>
        <v>0</v>
      </c>
      <c r="CF57" s="40">
        <f t="shared" si="28"/>
        <v>0</v>
      </c>
      <c r="CG57" s="15">
        <f t="shared" si="15"/>
        <v>56</v>
      </c>
      <c r="CH57" s="39">
        <f>IF(B57=0,0,((CC57)*(1+db!AH59))+((CH56)*(1+db!AD59)))</f>
        <v>0</v>
      </c>
      <c r="CI57" s="39">
        <f>IF(B57=0,0,((CC57)*(1+db!AH59))+((CI56)*(1+db!AD59)))</f>
        <v>0</v>
      </c>
      <c r="CJ57" s="40">
        <f>IF(B57=0,0,((CC57)*(1+db!AO59))+((CJ56)*(1+db!AK59)))</f>
        <v>0</v>
      </c>
      <c r="CK57" s="40">
        <f>CJ57-(SUM(BX$7:$BX58))</f>
        <v>0</v>
      </c>
      <c r="CL57" s="46"/>
    </row>
    <row r="58" spans="1:90">
      <c r="A58" s="24">
        <f t="shared" si="16"/>
        <v>57</v>
      </c>
      <c r="B58" s="16">
        <f>IF(AND(Changes!Change="Yes", Changes!ChangeType="Change Contract Duration"),IF(B57=0,0,IF(Changes!NewChangedValue&lt;B57+1,0,B57+1)),IF(B57=0,0,IF('Application Annually'!$C$5&lt;B57+1,0,B57+1)))</f>
        <v>0</v>
      </c>
      <c r="C58" s="15">
        <f t="shared" si="17"/>
        <v>0</v>
      </c>
      <c r="D58" s="312">
        <f t="shared" si="18"/>
        <v>84</v>
      </c>
      <c r="E58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58" s="29">
        <f t="shared" si="8"/>
        <v>0</v>
      </c>
      <c r="G58" s="29">
        <f t="shared" si="9"/>
        <v>0</v>
      </c>
      <c r="H58" s="29">
        <f t="shared" si="20"/>
        <v>0</v>
      </c>
      <c r="I58" s="29">
        <f>IF(B58&gt;0,IF(AND(Table1[[#This Row],[Year]]&gt;Changes!ValidityYear,Changes!Change="Yes",Changes!ChangeType="Change Value Adjustment"),Changes!$G$22,'Application Annually'!$C$11),0)</f>
        <v>0</v>
      </c>
      <c r="J58" s="29">
        <f>IF(B58&gt;0,IF(AND(Table1[[#This Row],[Year]]&gt;Changes!ValidityYear,Changes!Change="Yes",Changes!ChangeType="Change Value Adjustment"),Changes!$G$24,'Application Annually'!$C$7),0)</f>
        <v>0</v>
      </c>
      <c r="K58" s="29">
        <f>ROUND(IF(B58=0,0,IF(AND(Changes!Change="Yes", Changes!ValidityYear=Table1[[#This Row],[Year]], Changes!ChangeType="Change Premium"), Changes!NewChangedValue, (K57*(1+db!$B$3)))),0)</f>
        <v>0</v>
      </c>
      <c r="L58" s="29">
        <f>ROUND(IF(AND(Changes!Change="Yes",Changes!ValidityYear&lt;=Table1[[#This Row],[Year]],Changes!ChangeType="Paid-Up"),0,IF(B58=0,0,IF(AND(Changes!Change="Yes", Changes!ValidityYear=Table1[[#This Row],[Year]], Changes!ChangeType="Change Premium"), Changes!NewChangedValue, (L57*(1+Table1[[#This Row],[Adjustment Factor of Premium]]/100))))),0)</f>
        <v>0</v>
      </c>
      <c r="M58" s="29">
        <f>IF(Table1[[#This Row],[Year]]=1,ROUND(MIN($L$2 -( Table1[[#This Row],[Riders Risk Premiums]] + Table1[[#This Row],[Acquisition Cost]]) *0.75,Table1[[#This Row],[Death Capital (1)]]* 0.03),0),0)</f>
        <v>0</v>
      </c>
      <c r="N58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58" s="29">
        <f>ROUND(IF(ROW()-1&gt;InsurancePeriod,0,(O57*(1+(Table1[[#This Row],[Adjustment Factor of Premium]]/100)))),0)</f>
        <v>0</v>
      </c>
      <c r="P58" s="29">
        <f>IF(Table1[Year] = 0, 0, SUM(L$2:L58))</f>
        <v>0</v>
      </c>
      <c r="Q58" s="17">
        <f t="shared" si="21"/>
        <v>0</v>
      </c>
      <c r="R58" s="17">
        <f>IF(Table1[[#This Row],[Year]]=0,0,IF($C$2&lt;=50,LOOKUP(Table1[[#This Row],[Age]],db!BG59:BG165,db!BH59:BH165),LOOKUP(Table1[[#This Row],[Age]],db!BJ59:BJ165,db!BK59:BK165)))</f>
        <v>0</v>
      </c>
      <c r="S58" s="17">
        <f>IF(AND(Changes!Change="Yes",Changes!ValidityYear&lt;=Table1[[#This Row],[Year]],Changes!ChangeType="Paid-Up",PaidUpOption="Paid-up with no coverage"),0,IF(B58=0,0, IF(AND(Changes!Change="Yes", Changes!ValidityYear=Table1[[#This Row],[Year]], Changes!ChangeType="Change Death Capital"), Changes!NewChangedValue, S57*(1+(Table1[[#This Row],[Adjustment Factor of Death Capital]]/100)))))</f>
        <v>0</v>
      </c>
      <c r="T58" s="17">
        <f>MIN(IF(B58=0,0,Table1[[#This Row],[Death Capital (1)]]),Table1[[#This Row],[Max Sum Insured For Death]])</f>
        <v>0</v>
      </c>
      <c r="U58" s="29">
        <f t="shared" si="10"/>
        <v>0</v>
      </c>
      <c r="V58" s="29">
        <f>IF(AND(Changes!Change="Yes",Changes!ValidityYear&lt;=Table1[[#This Row],[Year]],Changes!ChangeType="Paid-Up",OR(PaidUpOption="Paid-up with no coverage",PaidUpOption="Paid-up with main coverage")),0,IF(B58=0,0,IF(AND(Changes!Change="Yes", Changes!ValidityYear&lt;=Table1[[#This Row],[Year]], Changes!ChangeType="Rider Inclusion/Exclusion", Changes!RiderType="Accident Death"), T58*Changes!NewChangedValue,IF(db!$D$6="Yes",(db!$B$6)*T58,0))))</f>
        <v>0</v>
      </c>
      <c r="W58" s="29">
        <f>MIN(IF(V58&lt;=db!$L$2,V58,db!$L$2),MAX_ACC_CAPITAL)</f>
        <v>0</v>
      </c>
      <c r="X58" s="17">
        <f>IF(AND(Changes!Change="Yes",Changes!ValidityYear&lt;=Table1[[#This Row],[Year]],Changes!ChangeType="Paid-Up",OR(PaidUpOption="Paid-up with no coverage",PaidUpOption="Paid-up with main coverage")),0,IF(OR(B58=0,Table1[[#This Row],[Accident Capital (2)]]=0),0,IF(AND(Changes!Change="Yes", Changes!ValidityYear&lt;=Table1[[#This Row],[Year]], Changes!ChangeType="Rider Inclusion/Exclusion", Changes!RiderType="Accident Disability"), T58*Changes!NewChangedValue,IF(db!$D$7="Yes",(db!$B$7)*T58,0))))</f>
        <v>0</v>
      </c>
      <c r="Y58" s="42">
        <f>IF(C58&gt;69,0,IF(C58=0,0,IF(X58&lt;=db!$L$3,X58,db!$L$3)))</f>
        <v>0</v>
      </c>
      <c r="Z58" s="29">
        <f>IF(AND(Changes!Change="Yes",Changes!ValidityYear&lt;=Table1[[#This Row],[Year]],Changes!ChangeType="Paid-Up",OR(PaidUpOption="Paid-up with no coverage",PaidUpOption="Paid-up with main coverage")),0,IF(OR(B58=0,Table1[[#This Row],[Accident Capital (2)]]=0),0,IF(AND(Changes!Change="Yes", Changes!ValidityYear&lt;=Table1[[#This Row],[Year]], Changes!ChangeType="Rider Inclusion/Exclusion", Changes!RiderType="Accident Medical Cost"), T58*Changes!NewChangedValue,IF(db!$D$9="Yes",(db!$B$9)*T58,0))))</f>
        <v>0</v>
      </c>
      <c r="AA58" s="29">
        <f>ROUND(IF(C58&gt;69,0,IF(C58=0,0,IF(Z58&lt;=db!$L$4,Z58,db!$L$4))),0)</f>
        <v>0</v>
      </c>
      <c r="AB58" s="38">
        <f>IF(AND(Changes!Change = "Yes", Changes!ChangeType = "Rider Inclusion/Exclusion", Changes!RiderType = "WOP"), IF( Changes!ValidityYear &lt;= Table1[[#This Row],[Year]], IF(WOP = "Yes", 0, 1),  IF(WOP = "Yes", 1, 0)), IF(AND(db!$D$8="Yes",C58&lt;=69,ROW()-1&lt;=InsurancePeriod), 1, 0))</f>
        <v>0</v>
      </c>
      <c r="AC58" s="17">
        <f>(AC59+K59)*AB58*((1)/(1+db!AA60))*(LOOKUP(C58,'Mortality Table'!$A$2:$A$108,'Mortality Table'!$E$2:$E$108))</f>
        <v>0</v>
      </c>
      <c r="AD58" s="340">
        <f>IF(AND(Changes!ValidityYear&lt;= Table1[[#This Row],[Year]],Changes!ChangeType="Change Value Adjustment",Changes!Change="Yes"), (AD59+L59)*AB58*((1)/(1+db!AA60))*(LOOKUP(C58,'Mortality Table'!$A$2:$A$108,'Mortality Table'!$E$2:$E$108)),Table1[[#This Row],[WOP Before Adj. BT]])</f>
        <v>0</v>
      </c>
      <c r="AE58" s="341">
        <f>IF(AND(Changes!Change="Yes", Changes!ChangeType="Change Value Adjustment"),Table1[[#This Row],[WOP Capital]],(AE59+O59)*AB58*((1)/(1+db!AA60))*(LOOKUP(D58,'Mortality Table'!$A$2:$A$108,'Mortality Table'!$E$2:$E$108)))</f>
        <v>0</v>
      </c>
      <c r="AF58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58" s="42">
        <f>IF(AND(Changes!Change="Yes", Changes!ValidityYear&lt;=Table1[[#This Row],[Year]], Changes!ChangeType="Rider Inclusion/Exclusion", Changes!RiderType="Disability Annuity"), L58*Changes!NewChangedValue,L58*db!B$10*IF(db!$D$10="Yes",1,0))</f>
        <v>0</v>
      </c>
      <c r="AH58" s="29">
        <f>IF(AND(Changes!Change="Yes",Changes!ValidityYear&lt;=Table1[[#This Row],[Year]],Changes!ChangeType="Paid-Up"),0,Table1[[#This Row],[Code Annuity Capital]]*IF('Annual Calculation'!C58&gt;69,0,(LOOKUP('Annual Calculation'!C58+1,'Mortality Table'!$A$2:$A$108,'Mortality Table'!$O$2:$O$108)-LOOKUP('Annual Calculation'!C58+11,'Mortality Table'!$A$2:$A$108,'Mortality Table'!$O$2:$O$108))/LOOKUP('Annual Calculation'!C58,'Mortality Table'!$A$2:$A$108,'Mortality Table'!$M$2:$M$108)))</f>
        <v>0</v>
      </c>
      <c r="AI58" s="17">
        <f>IF(AND(Changes!Change="Yes",Changes!ValidityYear&lt;=Table1[[#This Row],[Year]],Changes!ChangeType="Paid-Up",OR(PaidUpOption="Paid-up with no coverage",PaidUpOption="Paid-up with main coverage")),0,IF(B58=0,0,IF(AND(Changes!Change="Yes", Changes!ValidityYear&lt;=Table1[[#This Row],[Year]], Changes!ChangeType="Rider Inclusion/Exclusion", Changes!RiderType="Dread Disease"), T58*Changes!NewChangedValue,IF(db!$D$11="Yes",(db!$B$11)*T58,0))))</f>
        <v>0</v>
      </c>
      <c r="AJ58" s="42">
        <f>ROUND(IF(C58&gt;59,0,IF(C58=0,0,IF(AI58&lt;=db!$L$5,AI58,db!$L$5))),0)</f>
        <v>0</v>
      </c>
      <c r="AK58" s="29">
        <f>IF(AND(Changes!Change="Yes",Changes!ValidityYear&lt;=Table1[[#This Row],[Year]],Changes!ChangeType="Paid-Up",OR(PaidUpOption="Paid-up with no coverage",PaidUpOption="Paid-up with main coverage")),0,IF(B58=0,0,IF(AND(Changes!Change="Yes", Changes!ValidityYear&lt;=Table1[[#This Row],[Year]], Changes!ChangeType="Rider Inclusion/Exclusion", Changes!RiderType="Cancer"), T58*Changes!NewChangedValue,IF(db!$D$12="Yes",(db!$B$12)*T58,0))))</f>
        <v>0</v>
      </c>
      <c r="AL58" s="29">
        <f>ROUND(IF(C58&gt;59,0,IF(C58=0,0,IF(AK58&lt;=db!$L$6,AK58,db!$L$6))),0)</f>
        <v>0</v>
      </c>
      <c r="AM58" s="32"/>
      <c r="AN58" s="18">
        <f>IF(B58=0,0,IF(C58&lt;(db!$E$2+5),LOOKUP(C58,'Mortality Table'!$A$2:$A$108,'Mortality Table'!$P$2:$P$108),IF((C58&gt;=db!$E$2+10),LOOKUP(C58,'Mortality Table'!$A$2:$A$108,'Mortality Table'!$R$2:$R$108),LOOKUP(C58,'Mortality Table'!$A$2:$A$108,'Mortality Table'!$Q$2:$Q$108))))</f>
        <v>0</v>
      </c>
      <c r="AO58" s="22">
        <f t="shared" si="22"/>
        <v>0</v>
      </c>
      <c r="AP58" s="19">
        <f>IF(B58=0,0, LOOKUP(IF(AND(Changes!Change="Yes", Changes!ValidityYear&lt;=Table1[[#This Row],[Year]], Changes!ChangeType="Change Job Class"),Changes!NewChangedValue, db!$A$8),db!$AX$4:$AX$8,db!$AY$4:$AY$8))</f>
        <v>0</v>
      </c>
      <c r="AQ58" s="20">
        <f>ROUND((AP58/1000)*W58 * (1-db!$AS$9),0)</f>
        <v>0</v>
      </c>
      <c r="AR58" s="20">
        <f>(AP58/1000)*W58 * db!$AS$9</f>
        <v>0</v>
      </c>
      <c r="AS58" s="21">
        <f>IF(B58=0,0, LOOKUP(IF(AND(Changes!Change="Yes", Changes!ValidityYear&lt;=Table1[[#This Row],[Year]], Changes!ChangeType="Change Job Class"),Changes!NewChangedValue, db!$A$8),db!$AX$4:$AX$8,db!$AZ$4:$AZ$8))</f>
        <v>0</v>
      </c>
      <c r="AT58" s="22">
        <f>(AS58/1000)*Y58*(1-db!$AS$9)</f>
        <v>0</v>
      </c>
      <c r="AU58" s="22">
        <f>(AS58/1000)*Y58*(db!$AS$9)</f>
        <v>0</v>
      </c>
      <c r="AV58" s="23">
        <f>IF(B58=0,0, LOOKUP(IF(AND(Changes!Change="Yes", Changes!ValidityYear&lt;=Table1[[#This Row],[Year]], Changes!ChangeType="Change Job Class"),Changes!NewChangedValue, db!$A$8),db!$AX$4:$AX$8,db!$BA$4:$BA$8))</f>
        <v>0</v>
      </c>
      <c r="AW58" s="20">
        <f>ROUND((AV58/(100))*AA58*(1-db!$AS$9),0)</f>
        <v>0</v>
      </c>
      <c r="AX58" s="20">
        <f>ROUND((AV58/(100))*AA58*(db!$AS$9),0)</f>
        <v>0</v>
      </c>
      <c r="AY58" s="21">
        <f>IF(db!$D$8="Yes",AS58,0)</f>
        <v>0</v>
      </c>
      <c r="AZ58" s="22">
        <f>(AY58*AF58)/1000*(1-db!$AS$9)</f>
        <v>0</v>
      </c>
      <c r="BA58" s="22">
        <f>(AY58*AF58)/1000*(db!$AS$9)</f>
        <v>0</v>
      </c>
      <c r="BB58" s="23">
        <f t="shared" si="23"/>
        <v>0</v>
      </c>
      <c r="BC58" s="20">
        <f>(BB58*AH58/1000)*(1-db!$AS$9)</f>
        <v>0</v>
      </c>
      <c r="BD58" s="20">
        <f>(BB58*AH58/1000)*(db!$AS$9)</f>
        <v>0</v>
      </c>
      <c r="BE58" s="22">
        <f>IF(B58=0,0,IF(C58&gt;60,0,LOOKUP(Table1[[#This Row],[Medical
Age]],db!$BC$3:$BC$63,db!$BD$3:$BD$63)))</f>
        <v>0</v>
      </c>
      <c r="BF58" s="22">
        <f>BG58*db!$AS$10</f>
        <v>0</v>
      </c>
      <c r="BG58" s="22">
        <f t="shared" si="24"/>
        <v>0</v>
      </c>
      <c r="BH58" s="22">
        <f>(BE58/1000000)*AJ58*(1-db!$AS$10)</f>
        <v>0</v>
      </c>
      <c r="BI58" s="20">
        <f>IF(B58=0,0,IF(C58&gt;59,0,LOOKUP(Table1[[#This Row],[Medical
Age]],db!$BC$3:$BC$63,db!$BE$3:$BE$63)))</f>
        <v>0</v>
      </c>
      <c r="BJ58" s="20">
        <f>(BI58/1000000)*AL58*(1-db!$AS$11)</f>
        <v>0</v>
      </c>
      <c r="BK58" s="20">
        <f>(BI58/1000000)*AL58*(db!$AS$11)</f>
        <v>0</v>
      </c>
      <c r="BL58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58" s="20">
        <f>Table1[[#This Row],[RiskLoading
Rate]]*Table1[[#This Row],[Death Capital (2)]]</f>
        <v>0</v>
      </c>
      <c r="BN58" s="36"/>
      <c r="BO58" s="37">
        <f t="shared" si="25"/>
        <v>0</v>
      </c>
      <c r="BP58" s="35">
        <f t="shared" si="26"/>
        <v>0</v>
      </c>
      <c r="BQ58" s="35">
        <f t="shared" si="27"/>
        <v>0</v>
      </c>
      <c r="BR58" s="37">
        <f t="shared" si="11"/>
        <v>0</v>
      </c>
      <c r="BS58" s="37">
        <f t="shared" si="12"/>
        <v>0</v>
      </c>
      <c r="BT58" s="35">
        <f t="shared" si="13"/>
        <v>0</v>
      </c>
      <c r="BU58" s="35">
        <f t="shared" si="14"/>
        <v>0</v>
      </c>
      <c r="BV58" s="37">
        <f>(db!$AS$4/100)*(L58-BT58-BU58)</f>
        <v>0</v>
      </c>
      <c r="BW58" s="37">
        <f>(db!$AS$8/100)*(L58-BT58-BU58)</f>
        <v>0</v>
      </c>
      <c r="BX58" s="35"/>
      <c r="BY58" s="37"/>
      <c r="BZ58" s="37"/>
      <c r="CA58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58" s="33"/>
      <c r="CC58" s="39">
        <f>ROUND((Table1[[#This Row],[Premium]]-Table1[[#This Row],[All Deductions]]),0)</f>
        <v>0</v>
      </c>
      <c r="CD58" s="39">
        <f>IF(B58=0,0,Table1[[#This Row],[Initial Reserve]]+CE57)</f>
        <v>0</v>
      </c>
      <c r="CE58" s="40">
        <f>ROUND(IF(B58=0,0,((CC58)*(1+db!Y60))+((CE57)*(1+db!U60))),0)</f>
        <v>0</v>
      </c>
      <c r="CF58" s="40">
        <f t="shared" si="28"/>
        <v>0</v>
      </c>
      <c r="CG58" s="15">
        <f t="shared" si="15"/>
        <v>57</v>
      </c>
      <c r="CH58" s="39">
        <f>IF(B58=0,0,((CC58)*(1+db!AH60))+((CH57)*(1+db!AD60)))</f>
        <v>0</v>
      </c>
      <c r="CI58" s="39">
        <f>IF(B58=0,0,((CC58)*(1+db!AH60))+((CI57)*(1+db!AD60)))</f>
        <v>0</v>
      </c>
      <c r="CJ58" s="40">
        <f>IF(B58=0,0,((CC58)*(1+db!AO60))+((CJ57)*(1+db!AK60)))</f>
        <v>0</v>
      </c>
      <c r="CK58" s="40">
        <f>CJ58-(SUM(BX$7:$BX59))</f>
        <v>0</v>
      </c>
      <c r="CL58" s="46"/>
    </row>
    <row r="59" spans="1:90">
      <c r="A59" s="24">
        <f t="shared" si="16"/>
        <v>58</v>
      </c>
      <c r="B59" s="16">
        <f>IF(AND(Changes!Change="Yes", Changes!ChangeType="Change Contract Duration"),IF(B58=0,0,IF(Changes!NewChangedValue&lt;B58+1,0,B58+1)),IF(B58=0,0,IF('Application Annually'!$C$5&lt;B58+1,0,B58+1)))</f>
        <v>0</v>
      </c>
      <c r="C59" s="15">
        <f t="shared" si="17"/>
        <v>0</v>
      </c>
      <c r="D59" s="312">
        <f t="shared" si="18"/>
        <v>85</v>
      </c>
      <c r="E59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59" s="29">
        <f t="shared" si="8"/>
        <v>0</v>
      </c>
      <c r="G59" s="29">
        <f t="shared" si="9"/>
        <v>0</v>
      </c>
      <c r="H59" s="29">
        <f t="shared" si="20"/>
        <v>0</v>
      </c>
      <c r="I59" s="29">
        <f>IF(B59&gt;0,IF(AND(Table1[[#This Row],[Year]]&gt;Changes!ValidityYear,Changes!Change="Yes",Changes!ChangeType="Change Value Adjustment"),Changes!$G$22,'Application Annually'!$C$11),0)</f>
        <v>0</v>
      </c>
      <c r="J59" s="29">
        <f>IF(B59&gt;0,IF(AND(Table1[[#This Row],[Year]]&gt;Changes!ValidityYear,Changes!Change="Yes",Changes!ChangeType="Change Value Adjustment"),Changes!$G$24,'Application Annually'!$C$7),0)</f>
        <v>0</v>
      </c>
      <c r="K59" s="29">
        <f>ROUND(IF(B59=0,0,IF(AND(Changes!Change="Yes", Changes!ValidityYear=Table1[[#This Row],[Year]], Changes!ChangeType="Change Premium"), Changes!NewChangedValue, (K58*(1+db!$B$3)))),0)</f>
        <v>0</v>
      </c>
      <c r="L59" s="29">
        <f>ROUND(IF(AND(Changes!Change="Yes",Changes!ValidityYear&lt;=Table1[[#This Row],[Year]],Changes!ChangeType="Paid-Up"),0,IF(B59=0,0,IF(AND(Changes!Change="Yes", Changes!ValidityYear=Table1[[#This Row],[Year]], Changes!ChangeType="Change Premium"), Changes!NewChangedValue, (L58*(1+Table1[[#This Row],[Adjustment Factor of Premium]]/100))))),0)</f>
        <v>0</v>
      </c>
      <c r="M59" s="29">
        <f>IF(Table1[[#This Row],[Year]]=1,ROUND(MIN($L$2 -( Table1[[#This Row],[Riders Risk Premiums]] + Table1[[#This Row],[Acquisition Cost]]) *0.75,Table1[[#This Row],[Death Capital (1)]]* 0.03),0),0)</f>
        <v>0</v>
      </c>
      <c r="N59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59" s="29">
        <f>ROUND(IF(ROW()-1&gt;InsurancePeriod,0,(O58*(1+(Table1[[#This Row],[Adjustment Factor of Premium]]/100)))),0)</f>
        <v>0</v>
      </c>
      <c r="P59" s="29">
        <f>IF(Table1[Year] = 0, 0, SUM(L$2:L59))</f>
        <v>0</v>
      </c>
      <c r="Q59" s="17">
        <f t="shared" si="21"/>
        <v>0</v>
      </c>
      <c r="R59" s="17">
        <f>IF(Table1[[#This Row],[Year]]=0,0,IF($C$2&lt;=50,LOOKUP(Table1[[#This Row],[Age]],db!BG60:BG166,db!BH60:BH166),LOOKUP(Table1[[#This Row],[Age]],db!BJ60:BJ166,db!BK60:BK166)))</f>
        <v>0</v>
      </c>
      <c r="S59" s="17">
        <f>IF(AND(Changes!Change="Yes",Changes!ValidityYear&lt;=Table1[[#This Row],[Year]],Changes!ChangeType="Paid-Up",PaidUpOption="Paid-up with no coverage"),0,IF(B59=0,0, IF(AND(Changes!Change="Yes", Changes!ValidityYear=Table1[[#This Row],[Year]], Changes!ChangeType="Change Death Capital"), Changes!NewChangedValue, S58*(1+(Table1[[#This Row],[Adjustment Factor of Death Capital]]/100)))))</f>
        <v>0</v>
      </c>
      <c r="T59" s="17">
        <f>MIN(IF(B59=0,0,Table1[[#This Row],[Death Capital (1)]]),Table1[[#This Row],[Max Sum Insured For Death]])</f>
        <v>0</v>
      </c>
      <c r="U59" s="29">
        <f t="shared" si="10"/>
        <v>0</v>
      </c>
      <c r="V59" s="29">
        <f>IF(AND(Changes!Change="Yes",Changes!ValidityYear&lt;=Table1[[#This Row],[Year]],Changes!ChangeType="Paid-Up",OR(PaidUpOption="Paid-up with no coverage",PaidUpOption="Paid-up with main coverage")),0,IF(B59=0,0,IF(AND(Changes!Change="Yes", Changes!ValidityYear&lt;=Table1[[#This Row],[Year]], Changes!ChangeType="Rider Inclusion/Exclusion", Changes!RiderType="Accident Death"), T59*Changes!NewChangedValue,IF(db!$D$6="Yes",(db!$B$6)*T59,0))))</f>
        <v>0</v>
      </c>
      <c r="W59" s="29">
        <f>MIN(IF(V59&lt;=db!$L$2,V59,db!$L$2),MAX_ACC_CAPITAL)</f>
        <v>0</v>
      </c>
      <c r="X59" s="17">
        <f>IF(AND(Changes!Change="Yes",Changes!ValidityYear&lt;=Table1[[#This Row],[Year]],Changes!ChangeType="Paid-Up",OR(PaidUpOption="Paid-up with no coverage",PaidUpOption="Paid-up with main coverage")),0,IF(OR(B59=0,Table1[[#This Row],[Accident Capital (2)]]=0),0,IF(AND(Changes!Change="Yes", Changes!ValidityYear&lt;=Table1[[#This Row],[Year]], Changes!ChangeType="Rider Inclusion/Exclusion", Changes!RiderType="Accident Disability"), T59*Changes!NewChangedValue,IF(db!$D$7="Yes",(db!$B$7)*T59,0))))</f>
        <v>0</v>
      </c>
      <c r="Y59" s="42">
        <f>IF(C59&gt;69,0,IF(C59=0,0,IF(X59&lt;=db!$L$3,X59,db!$L$3)))</f>
        <v>0</v>
      </c>
      <c r="Z59" s="29">
        <f>IF(AND(Changes!Change="Yes",Changes!ValidityYear&lt;=Table1[[#This Row],[Year]],Changes!ChangeType="Paid-Up",OR(PaidUpOption="Paid-up with no coverage",PaidUpOption="Paid-up with main coverage")),0,IF(OR(B59=0,Table1[[#This Row],[Accident Capital (2)]]=0),0,IF(AND(Changes!Change="Yes", Changes!ValidityYear&lt;=Table1[[#This Row],[Year]], Changes!ChangeType="Rider Inclusion/Exclusion", Changes!RiderType="Accident Medical Cost"), T59*Changes!NewChangedValue,IF(db!$D$9="Yes",(db!$B$9)*T59,0))))</f>
        <v>0</v>
      </c>
      <c r="AA59" s="29">
        <f>ROUND(IF(C59&gt;69,0,IF(C59=0,0,IF(Z59&lt;=db!$L$4,Z59,db!$L$4))),0)</f>
        <v>0</v>
      </c>
      <c r="AB59" s="38">
        <f>IF(AND(Changes!Change = "Yes", Changes!ChangeType = "Rider Inclusion/Exclusion", Changes!RiderType = "WOP"), IF( Changes!ValidityYear &lt;= Table1[[#This Row],[Year]], IF(WOP = "Yes", 0, 1),  IF(WOP = "Yes", 1, 0)), IF(AND(db!$D$8="Yes",C59&lt;=69,ROW()-1&lt;=InsurancePeriod), 1, 0))</f>
        <v>0</v>
      </c>
      <c r="AC59" s="17">
        <f>(AC60+K60)*AB59*((1)/(1+db!AA61))*(LOOKUP(C59,'Mortality Table'!$A$2:$A$108,'Mortality Table'!$E$2:$E$108))</f>
        <v>0</v>
      </c>
      <c r="AD59" s="340">
        <f>IF(AND(Changes!ValidityYear&lt;= Table1[[#This Row],[Year]],Changes!ChangeType="Change Value Adjustment",Changes!Change="Yes"), (AD60+L60)*AB59*((1)/(1+db!AA61))*(LOOKUP(C59,'Mortality Table'!$A$2:$A$108,'Mortality Table'!$E$2:$E$108)),Table1[[#This Row],[WOP Before Adj. BT]])</f>
        <v>0</v>
      </c>
      <c r="AE59" s="341">
        <f>IF(AND(Changes!Change="Yes", Changes!ChangeType="Change Value Adjustment"),Table1[[#This Row],[WOP Capital]],(AE60+O60)*AB59*((1)/(1+db!AA61))*(LOOKUP(D59,'Mortality Table'!$A$2:$A$108,'Mortality Table'!$E$2:$E$108)))</f>
        <v>0</v>
      </c>
      <c r="AF59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59" s="42">
        <f>IF(AND(Changes!Change="Yes", Changes!ValidityYear&lt;=Table1[[#This Row],[Year]], Changes!ChangeType="Rider Inclusion/Exclusion", Changes!RiderType="Disability Annuity"), L59*Changes!NewChangedValue,L59*db!B$10*IF(db!$D$10="Yes",1,0))</f>
        <v>0</v>
      </c>
      <c r="AH59" s="29">
        <f>IF(AND(Changes!Change="Yes",Changes!ValidityYear&lt;=Table1[[#This Row],[Year]],Changes!ChangeType="Paid-Up"),0,Table1[[#This Row],[Code Annuity Capital]]*IF('Annual Calculation'!C59&gt;69,0,(LOOKUP('Annual Calculation'!C59+1,'Mortality Table'!$A$2:$A$108,'Mortality Table'!$O$2:$O$108)-LOOKUP('Annual Calculation'!C59+11,'Mortality Table'!$A$2:$A$108,'Mortality Table'!$O$2:$O$108))/LOOKUP('Annual Calculation'!C59,'Mortality Table'!$A$2:$A$108,'Mortality Table'!$M$2:$M$108)))</f>
        <v>0</v>
      </c>
      <c r="AI59" s="17">
        <f>IF(AND(Changes!Change="Yes",Changes!ValidityYear&lt;=Table1[[#This Row],[Year]],Changes!ChangeType="Paid-Up",OR(PaidUpOption="Paid-up with no coverage",PaidUpOption="Paid-up with main coverage")),0,IF(B59=0,0,IF(AND(Changes!Change="Yes", Changes!ValidityYear&lt;=Table1[[#This Row],[Year]], Changes!ChangeType="Rider Inclusion/Exclusion", Changes!RiderType="Dread Disease"), T59*Changes!NewChangedValue,IF(db!$D$11="Yes",(db!$B$11)*T59,0))))</f>
        <v>0</v>
      </c>
      <c r="AJ59" s="42">
        <f>ROUND(IF(C59&gt;59,0,IF(C59=0,0,IF(AI59&lt;=db!$L$5,AI59,db!$L$5))),0)</f>
        <v>0</v>
      </c>
      <c r="AK59" s="29">
        <f>IF(AND(Changes!Change="Yes",Changes!ValidityYear&lt;=Table1[[#This Row],[Year]],Changes!ChangeType="Paid-Up",OR(PaidUpOption="Paid-up with no coverage",PaidUpOption="Paid-up with main coverage")),0,IF(B59=0,0,IF(AND(Changes!Change="Yes", Changes!ValidityYear&lt;=Table1[[#This Row],[Year]], Changes!ChangeType="Rider Inclusion/Exclusion", Changes!RiderType="Cancer"), T59*Changes!NewChangedValue,IF(db!$D$12="Yes",(db!$B$12)*T59,0))))</f>
        <v>0</v>
      </c>
      <c r="AL59" s="29">
        <f>ROUND(IF(C59&gt;59,0,IF(C59=0,0,IF(AK59&lt;=db!$L$6,AK59,db!$L$6))),0)</f>
        <v>0</v>
      </c>
      <c r="AM59" s="32"/>
      <c r="AN59" s="18">
        <f>IF(B59=0,0,IF(C59&lt;(db!$E$2+5),LOOKUP(C59,'Mortality Table'!$A$2:$A$108,'Mortality Table'!$P$2:$P$108),IF((C59&gt;=db!$E$2+10),LOOKUP(C59,'Mortality Table'!$A$2:$A$108,'Mortality Table'!$R$2:$R$108),LOOKUP(C59,'Mortality Table'!$A$2:$A$108,'Mortality Table'!$Q$2:$Q$108))))</f>
        <v>0</v>
      </c>
      <c r="AO59" s="22">
        <f t="shared" si="22"/>
        <v>0</v>
      </c>
      <c r="AP59" s="19">
        <f>IF(B59=0,0, LOOKUP(IF(AND(Changes!Change="Yes", Changes!ValidityYear&lt;=Table1[[#This Row],[Year]], Changes!ChangeType="Change Job Class"),Changes!NewChangedValue, db!$A$8),db!$AX$4:$AX$8,db!$AY$4:$AY$8))</f>
        <v>0</v>
      </c>
      <c r="AQ59" s="20">
        <f>ROUND((AP59/1000)*W59 * (1-db!$AS$9),0)</f>
        <v>0</v>
      </c>
      <c r="AR59" s="20">
        <f>(AP59/1000)*W59 * db!$AS$9</f>
        <v>0</v>
      </c>
      <c r="AS59" s="21">
        <f>IF(B59=0,0, LOOKUP(IF(AND(Changes!Change="Yes", Changes!ValidityYear&lt;=Table1[[#This Row],[Year]], Changes!ChangeType="Change Job Class"),Changes!NewChangedValue, db!$A$8),db!$AX$4:$AX$8,db!$AZ$4:$AZ$8))</f>
        <v>0</v>
      </c>
      <c r="AT59" s="22">
        <f>(AS59/1000)*Y59*(1-db!$AS$9)</f>
        <v>0</v>
      </c>
      <c r="AU59" s="22">
        <f>(AS59/1000)*Y59*(db!$AS$9)</f>
        <v>0</v>
      </c>
      <c r="AV59" s="23">
        <f>IF(B59=0,0, LOOKUP(IF(AND(Changes!Change="Yes", Changes!ValidityYear&lt;=Table1[[#This Row],[Year]], Changes!ChangeType="Change Job Class"),Changes!NewChangedValue, db!$A$8),db!$AX$4:$AX$8,db!$BA$4:$BA$8))</f>
        <v>0</v>
      </c>
      <c r="AW59" s="20">
        <f>ROUND((AV59/(100))*AA59*(1-db!$AS$9),0)</f>
        <v>0</v>
      </c>
      <c r="AX59" s="20">
        <f>ROUND((AV59/(100))*AA59*(db!$AS$9),0)</f>
        <v>0</v>
      </c>
      <c r="AY59" s="21">
        <f>IF(db!$D$8="Yes",AS59,0)</f>
        <v>0</v>
      </c>
      <c r="AZ59" s="22">
        <f>(AY59*AF59)/1000*(1-db!$AS$9)</f>
        <v>0</v>
      </c>
      <c r="BA59" s="22">
        <f>(AY59*AF59)/1000*(db!$AS$9)</f>
        <v>0</v>
      </c>
      <c r="BB59" s="23">
        <f t="shared" si="23"/>
        <v>0</v>
      </c>
      <c r="BC59" s="20">
        <f>(BB59*AH59/1000)*(1-db!$AS$9)</f>
        <v>0</v>
      </c>
      <c r="BD59" s="20">
        <f>(BB59*AH59/1000)*(db!$AS$9)</f>
        <v>0</v>
      </c>
      <c r="BE59" s="22">
        <f>IF(B59=0,0,IF(C59&gt;60,0,LOOKUP(Table1[[#This Row],[Medical
Age]],db!$BC$3:$BC$63,db!$BD$3:$BD$63)))</f>
        <v>0</v>
      </c>
      <c r="BF59" s="22">
        <f>BG59*db!$AS$10</f>
        <v>0</v>
      </c>
      <c r="BG59" s="22">
        <f t="shared" si="24"/>
        <v>0</v>
      </c>
      <c r="BH59" s="22">
        <f>(BE59/1000000)*AJ59*(1-db!$AS$10)</f>
        <v>0</v>
      </c>
      <c r="BI59" s="20">
        <f>IF(B59=0,0,IF(C59&gt;59,0,LOOKUP(Table1[[#This Row],[Medical
Age]],db!$BC$3:$BC$63,db!$BE$3:$BE$63)))</f>
        <v>0</v>
      </c>
      <c r="BJ59" s="20">
        <f>(BI59/1000000)*AL59*(1-db!$AS$11)</f>
        <v>0</v>
      </c>
      <c r="BK59" s="20">
        <f>(BI59/1000000)*AL59*(db!$AS$11)</f>
        <v>0</v>
      </c>
      <c r="BL59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59" s="20">
        <f>Table1[[#This Row],[RiskLoading
Rate]]*Table1[[#This Row],[Death Capital (2)]]</f>
        <v>0</v>
      </c>
      <c r="BN59" s="36"/>
      <c r="BO59" s="37">
        <f t="shared" si="25"/>
        <v>0</v>
      </c>
      <c r="BP59" s="35">
        <f t="shared" si="26"/>
        <v>0</v>
      </c>
      <c r="BQ59" s="35">
        <f t="shared" si="27"/>
        <v>0</v>
      </c>
      <c r="BR59" s="37">
        <f t="shared" si="11"/>
        <v>0</v>
      </c>
      <c r="BS59" s="37">
        <f t="shared" si="12"/>
        <v>0</v>
      </c>
      <c r="BT59" s="35">
        <f t="shared" si="13"/>
        <v>0</v>
      </c>
      <c r="BU59" s="35">
        <f t="shared" si="14"/>
        <v>0</v>
      </c>
      <c r="BV59" s="37">
        <f>(db!$AS$4/100)*(L59-BT59-BU59)</f>
        <v>0</v>
      </c>
      <c r="BW59" s="37">
        <f>(db!$AS$8/100)*(L59-BT59-BU59)</f>
        <v>0</v>
      </c>
      <c r="BX59" s="35"/>
      <c r="BY59" s="37"/>
      <c r="BZ59" s="37"/>
      <c r="CA59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59" s="33"/>
      <c r="CC59" s="39">
        <f>ROUND((Table1[[#This Row],[Premium]]-Table1[[#This Row],[All Deductions]]),0)</f>
        <v>0</v>
      </c>
      <c r="CD59" s="39">
        <f>IF(B59=0,0,Table1[[#This Row],[Initial Reserve]]+CE58)</f>
        <v>0</v>
      </c>
      <c r="CE59" s="40">
        <f>ROUND(IF(B59=0,0,((CC59)*(1+db!Y61))+((CE58)*(1+db!U61))),0)</f>
        <v>0</v>
      </c>
      <c r="CF59" s="40">
        <f t="shared" si="28"/>
        <v>0</v>
      </c>
      <c r="CG59" s="15">
        <f t="shared" si="15"/>
        <v>58</v>
      </c>
      <c r="CH59" s="39">
        <f>IF(B59=0,0,((CC59)*(1+db!AH61))+((CH58)*(1+db!AD61)))</f>
        <v>0</v>
      </c>
      <c r="CI59" s="39">
        <f>IF(B59=0,0,((CC59)*(1+db!AH61))+((CI58)*(1+db!AD61)))</f>
        <v>0</v>
      </c>
      <c r="CJ59" s="40">
        <f>IF(B59=0,0,((CC59)*(1+db!AO61))+((CJ58)*(1+db!AK61)))</f>
        <v>0</v>
      </c>
      <c r="CK59" s="40">
        <f>CJ59-(SUM(BX$7:$BX60))</f>
        <v>0</v>
      </c>
      <c r="CL59" s="46"/>
    </row>
    <row r="60" spans="1:90">
      <c r="A60" s="24">
        <f t="shared" si="16"/>
        <v>59</v>
      </c>
      <c r="B60" s="16">
        <f>IF(AND(Changes!Change="Yes", Changes!ChangeType="Change Contract Duration"),IF(B59=0,0,IF(Changes!NewChangedValue&lt;B59+1,0,B59+1)),IF(B59=0,0,IF('Application Annually'!$C$5&lt;B59+1,0,B59+1)))</f>
        <v>0</v>
      </c>
      <c r="C60" s="15">
        <f t="shared" si="17"/>
        <v>0</v>
      </c>
      <c r="D60" s="312">
        <f t="shared" si="18"/>
        <v>86</v>
      </c>
      <c r="E60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60" s="29">
        <f t="shared" si="8"/>
        <v>0</v>
      </c>
      <c r="G60" s="29">
        <f t="shared" si="9"/>
        <v>0</v>
      </c>
      <c r="H60" s="29">
        <f t="shared" si="20"/>
        <v>0</v>
      </c>
      <c r="I60" s="29">
        <f>IF(B60&gt;0,IF(AND(Table1[[#This Row],[Year]]&gt;Changes!ValidityYear,Changes!Change="Yes",Changes!ChangeType="Change Value Adjustment"),Changes!$G$22,'Application Annually'!$C$11),0)</f>
        <v>0</v>
      </c>
      <c r="J60" s="29">
        <f>IF(B60&gt;0,IF(AND(Table1[[#This Row],[Year]]&gt;Changes!ValidityYear,Changes!Change="Yes",Changes!ChangeType="Change Value Adjustment"),Changes!$G$24,'Application Annually'!$C$7),0)</f>
        <v>0</v>
      </c>
      <c r="K60" s="29">
        <f>ROUND(IF(B60=0,0,IF(AND(Changes!Change="Yes", Changes!ValidityYear=Table1[[#This Row],[Year]], Changes!ChangeType="Change Premium"), Changes!NewChangedValue, (K59*(1+db!$B$3)))),0)</f>
        <v>0</v>
      </c>
      <c r="L60" s="29">
        <f>ROUND(IF(AND(Changes!Change="Yes",Changes!ValidityYear&lt;=Table1[[#This Row],[Year]],Changes!ChangeType="Paid-Up"),0,IF(B60=0,0,IF(AND(Changes!Change="Yes", Changes!ValidityYear=Table1[[#This Row],[Year]], Changes!ChangeType="Change Premium"), Changes!NewChangedValue, (L59*(1+Table1[[#This Row],[Adjustment Factor of Premium]]/100))))),0)</f>
        <v>0</v>
      </c>
      <c r="M60" s="29">
        <f>IF(Table1[[#This Row],[Year]]=1,ROUND(MIN($L$2 -( Table1[[#This Row],[Riders Risk Premiums]] + Table1[[#This Row],[Acquisition Cost]]) *0.75,Table1[[#This Row],[Death Capital (1)]]* 0.03),0),0)</f>
        <v>0</v>
      </c>
      <c r="N60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60" s="29">
        <f>ROUND(IF(ROW()-1&gt;InsurancePeriod,0,(O59*(1+(Table1[[#This Row],[Adjustment Factor of Premium]]/100)))),0)</f>
        <v>0</v>
      </c>
      <c r="P60" s="29">
        <f>IF(Table1[Year] = 0, 0, SUM(L$2:L60))</f>
        <v>0</v>
      </c>
      <c r="Q60" s="17">
        <f t="shared" si="21"/>
        <v>0</v>
      </c>
      <c r="R60" s="17">
        <f>IF(Table1[[#This Row],[Year]]=0,0,IF($C$2&lt;=50,LOOKUP(Table1[[#This Row],[Age]],db!BG61:BG167,db!BH61:BH167),LOOKUP(Table1[[#This Row],[Age]],db!BJ61:BJ167,db!BK61:BK167)))</f>
        <v>0</v>
      </c>
      <c r="S60" s="17">
        <f>IF(AND(Changes!Change="Yes",Changes!ValidityYear&lt;=Table1[[#This Row],[Year]],Changes!ChangeType="Paid-Up",PaidUpOption="Paid-up with no coverage"),0,IF(B60=0,0, IF(AND(Changes!Change="Yes", Changes!ValidityYear=Table1[[#This Row],[Year]], Changes!ChangeType="Change Death Capital"), Changes!NewChangedValue, S59*(1+(Table1[[#This Row],[Adjustment Factor of Death Capital]]/100)))))</f>
        <v>0</v>
      </c>
      <c r="T60" s="17">
        <f>MIN(IF(B60=0,0,Table1[[#This Row],[Death Capital (1)]]),Table1[[#This Row],[Max Sum Insured For Death]])</f>
        <v>0</v>
      </c>
      <c r="U60" s="29">
        <f t="shared" si="10"/>
        <v>0</v>
      </c>
      <c r="V60" s="29">
        <f>IF(AND(Changes!Change="Yes",Changes!ValidityYear&lt;=Table1[[#This Row],[Year]],Changes!ChangeType="Paid-Up",OR(PaidUpOption="Paid-up with no coverage",PaidUpOption="Paid-up with main coverage")),0,IF(B60=0,0,IF(AND(Changes!Change="Yes", Changes!ValidityYear&lt;=Table1[[#This Row],[Year]], Changes!ChangeType="Rider Inclusion/Exclusion", Changes!RiderType="Accident Death"), T60*Changes!NewChangedValue,IF(db!$D$6="Yes",(db!$B$6)*T60,0))))</f>
        <v>0</v>
      </c>
      <c r="W60" s="29">
        <f>MIN(IF(V60&lt;=db!$L$2,V60,db!$L$2),MAX_ACC_CAPITAL)</f>
        <v>0</v>
      </c>
      <c r="X60" s="17">
        <f>IF(AND(Changes!Change="Yes",Changes!ValidityYear&lt;=Table1[[#This Row],[Year]],Changes!ChangeType="Paid-Up",OR(PaidUpOption="Paid-up with no coverage",PaidUpOption="Paid-up with main coverage")),0,IF(OR(B60=0,Table1[[#This Row],[Accident Capital (2)]]=0),0,IF(AND(Changes!Change="Yes", Changes!ValidityYear&lt;=Table1[[#This Row],[Year]], Changes!ChangeType="Rider Inclusion/Exclusion", Changes!RiderType="Accident Disability"), T60*Changes!NewChangedValue,IF(db!$D$7="Yes",(db!$B$7)*T60,0))))</f>
        <v>0</v>
      </c>
      <c r="Y60" s="42">
        <f>IF(C60&gt;69,0,IF(C60=0,0,IF(X60&lt;=db!$L$3,X60,db!$L$3)))</f>
        <v>0</v>
      </c>
      <c r="Z60" s="29">
        <f>IF(AND(Changes!Change="Yes",Changes!ValidityYear&lt;=Table1[[#This Row],[Year]],Changes!ChangeType="Paid-Up",OR(PaidUpOption="Paid-up with no coverage",PaidUpOption="Paid-up with main coverage")),0,IF(OR(B60=0,Table1[[#This Row],[Accident Capital (2)]]=0),0,IF(AND(Changes!Change="Yes", Changes!ValidityYear&lt;=Table1[[#This Row],[Year]], Changes!ChangeType="Rider Inclusion/Exclusion", Changes!RiderType="Accident Medical Cost"), T60*Changes!NewChangedValue,IF(db!$D$9="Yes",(db!$B$9)*T60,0))))</f>
        <v>0</v>
      </c>
      <c r="AA60" s="29">
        <f>ROUND(IF(C60&gt;69,0,IF(C60=0,0,IF(Z60&lt;=db!$L$4,Z60,db!$L$4))),0)</f>
        <v>0</v>
      </c>
      <c r="AB60" s="38">
        <f>IF(AND(Changes!Change = "Yes", Changes!ChangeType = "Rider Inclusion/Exclusion", Changes!RiderType = "WOP"), IF( Changes!ValidityYear &lt;= Table1[[#This Row],[Year]], IF(WOP = "Yes", 0, 1),  IF(WOP = "Yes", 1, 0)), IF(AND(db!$D$8="Yes",C60&lt;=69,ROW()-1&lt;=InsurancePeriod), 1, 0))</f>
        <v>0</v>
      </c>
      <c r="AC60" s="17">
        <f>(AC61+K61)*AB60*((1)/(1+db!AA62))*(LOOKUP(C60,'Mortality Table'!$A$2:$A$108,'Mortality Table'!$E$2:$E$108))</f>
        <v>0</v>
      </c>
      <c r="AD60" s="340">
        <f>IF(AND(Changes!ValidityYear&lt;= Table1[[#This Row],[Year]],Changes!ChangeType="Change Value Adjustment",Changes!Change="Yes"), (AD61+L61)*AB60*((1)/(1+db!AA62))*(LOOKUP(C60,'Mortality Table'!$A$2:$A$108,'Mortality Table'!$E$2:$E$108)),Table1[[#This Row],[WOP Before Adj. BT]])</f>
        <v>0</v>
      </c>
      <c r="AE60" s="341">
        <f>IF(AND(Changes!Change="Yes", Changes!ChangeType="Change Value Adjustment"),Table1[[#This Row],[WOP Capital]],(AE61+O61)*AB60*((1)/(1+db!AA62))*(LOOKUP(D60,'Mortality Table'!$A$2:$A$108,'Mortality Table'!$E$2:$E$108)))</f>
        <v>0</v>
      </c>
      <c r="AF60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60" s="42">
        <f>IF(AND(Changes!Change="Yes", Changes!ValidityYear&lt;=Table1[[#This Row],[Year]], Changes!ChangeType="Rider Inclusion/Exclusion", Changes!RiderType="Disability Annuity"), L60*Changes!NewChangedValue,L60*db!B$10*IF(db!$D$10="Yes",1,0))</f>
        <v>0</v>
      </c>
      <c r="AH60" s="29">
        <f>IF(AND(Changes!Change="Yes",Changes!ValidityYear&lt;=Table1[[#This Row],[Year]],Changes!ChangeType="Paid-Up"),0,Table1[[#This Row],[Code Annuity Capital]]*IF('Annual Calculation'!C60&gt;69,0,(LOOKUP('Annual Calculation'!C60+1,'Mortality Table'!$A$2:$A$108,'Mortality Table'!$O$2:$O$108)-LOOKUP('Annual Calculation'!C60+11,'Mortality Table'!$A$2:$A$108,'Mortality Table'!$O$2:$O$108))/LOOKUP('Annual Calculation'!C60,'Mortality Table'!$A$2:$A$108,'Mortality Table'!$M$2:$M$108)))</f>
        <v>0</v>
      </c>
      <c r="AI60" s="17">
        <f>IF(AND(Changes!Change="Yes",Changes!ValidityYear&lt;=Table1[[#This Row],[Year]],Changes!ChangeType="Paid-Up",OR(PaidUpOption="Paid-up with no coverage",PaidUpOption="Paid-up with main coverage")),0,IF(B60=0,0,IF(AND(Changes!Change="Yes", Changes!ValidityYear&lt;=Table1[[#This Row],[Year]], Changes!ChangeType="Rider Inclusion/Exclusion", Changes!RiderType="Dread Disease"), T60*Changes!NewChangedValue,IF(db!$D$11="Yes",(db!$B$11)*T60,0))))</f>
        <v>0</v>
      </c>
      <c r="AJ60" s="42">
        <f>ROUND(IF(C60&gt;59,0,IF(C60=0,0,IF(AI60&lt;=db!$L$5,AI60,db!$L$5))),0)</f>
        <v>0</v>
      </c>
      <c r="AK60" s="29">
        <f>IF(AND(Changes!Change="Yes",Changes!ValidityYear&lt;=Table1[[#This Row],[Year]],Changes!ChangeType="Paid-Up",OR(PaidUpOption="Paid-up with no coverage",PaidUpOption="Paid-up with main coverage")),0,IF(B60=0,0,IF(AND(Changes!Change="Yes", Changes!ValidityYear&lt;=Table1[[#This Row],[Year]], Changes!ChangeType="Rider Inclusion/Exclusion", Changes!RiderType="Cancer"), T60*Changes!NewChangedValue,IF(db!$D$12="Yes",(db!$B$12)*T60,0))))</f>
        <v>0</v>
      </c>
      <c r="AL60" s="29">
        <f>ROUND(IF(C60&gt;59,0,IF(C60=0,0,IF(AK60&lt;=db!$L$6,AK60,db!$L$6))),0)</f>
        <v>0</v>
      </c>
      <c r="AM60" s="32"/>
      <c r="AN60" s="18">
        <f>IF(B60=0,0,IF(C60&lt;(db!$E$2+5),LOOKUP(C60,'Mortality Table'!$A$2:$A$108,'Mortality Table'!$P$2:$P$108),IF((C60&gt;=db!$E$2+10),LOOKUP(C60,'Mortality Table'!$A$2:$A$108,'Mortality Table'!$R$2:$R$108),LOOKUP(C60,'Mortality Table'!$A$2:$A$108,'Mortality Table'!$Q$2:$Q$108))))</f>
        <v>0</v>
      </c>
      <c r="AO60" s="22">
        <f t="shared" si="22"/>
        <v>0</v>
      </c>
      <c r="AP60" s="19">
        <f>IF(B60=0,0, LOOKUP(IF(AND(Changes!Change="Yes", Changes!ValidityYear&lt;=Table1[[#This Row],[Year]], Changes!ChangeType="Change Job Class"),Changes!NewChangedValue, db!$A$8),db!$AX$4:$AX$8,db!$AY$4:$AY$8))</f>
        <v>0</v>
      </c>
      <c r="AQ60" s="20">
        <f>ROUND((AP60/1000)*W60 * (1-db!$AS$9),0)</f>
        <v>0</v>
      </c>
      <c r="AR60" s="20">
        <f>(AP60/1000)*W60 * db!$AS$9</f>
        <v>0</v>
      </c>
      <c r="AS60" s="21">
        <f>IF(B60=0,0, LOOKUP(IF(AND(Changes!Change="Yes", Changes!ValidityYear&lt;=Table1[[#This Row],[Year]], Changes!ChangeType="Change Job Class"),Changes!NewChangedValue, db!$A$8),db!$AX$4:$AX$8,db!$AZ$4:$AZ$8))</f>
        <v>0</v>
      </c>
      <c r="AT60" s="22">
        <f>(AS60/1000)*Y60*(1-db!$AS$9)</f>
        <v>0</v>
      </c>
      <c r="AU60" s="22">
        <f>(AS60/1000)*Y60*(db!$AS$9)</f>
        <v>0</v>
      </c>
      <c r="AV60" s="23">
        <f>IF(B60=0,0, LOOKUP(IF(AND(Changes!Change="Yes", Changes!ValidityYear&lt;=Table1[[#This Row],[Year]], Changes!ChangeType="Change Job Class"),Changes!NewChangedValue, db!$A$8),db!$AX$4:$AX$8,db!$BA$4:$BA$8))</f>
        <v>0</v>
      </c>
      <c r="AW60" s="20">
        <f>ROUND((AV60/(100))*AA60*(1-db!$AS$9),0)</f>
        <v>0</v>
      </c>
      <c r="AX60" s="20">
        <f>ROUND((AV60/(100))*AA60*(db!$AS$9),0)</f>
        <v>0</v>
      </c>
      <c r="AY60" s="21">
        <f>IF(db!$D$8="Yes",AS60,0)</f>
        <v>0</v>
      </c>
      <c r="AZ60" s="22">
        <f>(AY60*AF60)/1000*(1-db!$AS$9)</f>
        <v>0</v>
      </c>
      <c r="BA60" s="22">
        <f>(AY60*AF60)/1000*(db!$AS$9)</f>
        <v>0</v>
      </c>
      <c r="BB60" s="23">
        <f t="shared" si="23"/>
        <v>0</v>
      </c>
      <c r="BC60" s="20">
        <f>(BB60*AH60/1000)*(1-db!$AS$9)</f>
        <v>0</v>
      </c>
      <c r="BD60" s="20">
        <f>(BB60*AH60/1000)*(db!$AS$9)</f>
        <v>0</v>
      </c>
      <c r="BE60" s="22">
        <f>IF(B60=0,0,IF(C60&gt;60,0,LOOKUP(Table1[[#This Row],[Medical
Age]],db!$BC$3:$BC$63,db!$BD$3:$BD$63)))</f>
        <v>0</v>
      </c>
      <c r="BF60" s="22">
        <f>BG60*db!$AS$10</f>
        <v>0</v>
      </c>
      <c r="BG60" s="22">
        <f t="shared" si="24"/>
        <v>0</v>
      </c>
      <c r="BH60" s="22">
        <f>(BE60/1000000)*AJ60*(1-db!$AS$10)</f>
        <v>0</v>
      </c>
      <c r="BI60" s="20">
        <f>IF(B60=0,0,IF(C60&gt;59,0,LOOKUP(Table1[[#This Row],[Medical
Age]],db!$BC$3:$BC$63,db!$BE$3:$BE$63)))</f>
        <v>0</v>
      </c>
      <c r="BJ60" s="20">
        <f>(BI60/1000000)*AL60*(1-db!$AS$11)</f>
        <v>0</v>
      </c>
      <c r="BK60" s="20">
        <f>(BI60/1000000)*AL60*(db!$AS$11)</f>
        <v>0</v>
      </c>
      <c r="BL60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60" s="20">
        <f>Table1[[#This Row],[RiskLoading
Rate]]*Table1[[#This Row],[Death Capital (2)]]</f>
        <v>0</v>
      </c>
      <c r="BN60" s="36"/>
      <c r="BO60" s="37">
        <f t="shared" si="25"/>
        <v>0</v>
      </c>
      <c r="BP60" s="35">
        <f t="shared" si="26"/>
        <v>0</v>
      </c>
      <c r="BQ60" s="35">
        <f t="shared" si="27"/>
        <v>0</v>
      </c>
      <c r="BR60" s="37">
        <f t="shared" si="11"/>
        <v>0</v>
      </c>
      <c r="BS60" s="37">
        <f t="shared" si="12"/>
        <v>0</v>
      </c>
      <c r="BT60" s="35">
        <f t="shared" si="13"/>
        <v>0</v>
      </c>
      <c r="BU60" s="35">
        <f t="shared" si="14"/>
        <v>0</v>
      </c>
      <c r="BV60" s="37">
        <f>(db!$AS$4/100)*(L60-BT60-BU60)</f>
        <v>0</v>
      </c>
      <c r="BW60" s="37">
        <f>(db!$AS$8/100)*(L60-BT60-BU60)</f>
        <v>0</v>
      </c>
      <c r="BX60" s="35"/>
      <c r="BY60" s="37"/>
      <c r="BZ60" s="37"/>
      <c r="CA60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60" s="33"/>
      <c r="CC60" s="39">
        <f>ROUND((Table1[[#This Row],[Premium]]-Table1[[#This Row],[All Deductions]]),0)</f>
        <v>0</v>
      </c>
      <c r="CD60" s="39">
        <f>IF(B60=0,0,Table1[[#This Row],[Initial Reserve]]+CE59)</f>
        <v>0</v>
      </c>
      <c r="CE60" s="40">
        <f>ROUND(IF(B60=0,0,((CC60)*(1+db!Y62))+((CE59)*(1+db!U62))),0)</f>
        <v>0</v>
      </c>
      <c r="CF60" s="40">
        <f t="shared" si="28"/>
        <v>0</v>
      </c>
      <c r="CG60" s="15">
        <f t="shared" si="15"/>
        <v>59</v>
      </c>
      <c r="CH60" s="39">
        <f>IF(B60=0,0,((CC60)*(1+db!AH62))+((CH59)*(1+db!AD62)))</f>
        <v>0</v>
      </c>
      <c r="CI60" s="39">
        <f>IF(B60=0,0,((CC60)*(1+db!AH62))+((CI59)*(1+db!AD62)))</f>
        <v>0</v>
      </c>
      <c r="CJ60" s="40">
        <f>IF(B60=0,0,((CC60)*(1+db!AO62))+((CJ59)*(1+db!AK62)))</f>
        <v>0</v>
      </c>
      <c r="CK60" s="40">
        <f>CJ60-(SUM(BX$7:$BX61))</f>
        <v>0</v>
      </c>
      <c r="CL60" s="46"/>
    </row>
    <row r="61" spans="1:90">
      <c r="A61" s="24">
        <f t="shared" si="16"/>
        <v>60</v>
      </c>
      <c r="B61" s="16">
        <f>IF(AND(Changes!Change="Yes", Changes!ChangeType="Change Contract Duration"),IF(B60=0,0,IF(Changes!NewChangedValue&lt;B60+1,0,B60+1)),IF(B60=0,0,IF('Application Annually'!$C$5&lt;B60+1,0,B60+1)))</f>
        <v>0</v>
      </c>
      <c r="C61" s="15">
        <f t="shared" si="17"/>
        <v>0</v>
      </c>
      <c r="D61" s="312">
        <f t="shared" si="18"/>
        <v>87</v>
      </c>
      <c r="E61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61" s="29">
        <f t="shared" si="8"/>
        <v>0</v>
      </c>
      <c r="G61" s="29">
        <f t="shared" si="9"/>
        <v>0</v>
      </c>
      <c r="H61" s="29">
        <f t="shared" si="20"/>
        <v>0</v>
      </c>
      <c r="I61" s="29">
        <f>IF(B61&gt;0,IF(AND(Table1[[#This Row],[Year]]&gt;Changes!ValidityYear,Changes!Change="Yes",Changes!ChangeType="Change Value Adjustment"),Changes!$G$22,'Application Annually'!$C$11),0)</f>
        <v>0</v>
      </c>
      <c r="J61" s="29">
        <f>IF(B61&gt;0,IF(AND(Table1[[#This Row],[Year]]&gt;Changes!ValidityYear,Changes!Change="Yes",Changes!ChangeType="Change Value Adjustment"),Changes!$G$24,'Application Annually'!$C$7),0)</f>
        <v>0</v>
      </c>
      <c r="K61" s="29">
        <f>ROUND(IF(B61=0,0,IF(AND(Changes!Change="Yes", Changes!ValidityYear=Table1[[#This Row],[Year]], Changes!ChangeType="Change Premium"), Changes!NewChangedValue, (K60*(1+db!$B$3)))),0)</f>
        <v>0</v>
      </c>
      <c r="L61" s="29">
        <f>ROUND(IF(AND(Changes!Change="Yes",Changes!ValidityYear&lt;=Table1[[#This Row],[Year]],Changes!ChangeType="Paid-Up"),0,IF(B61=0,0,IF(AND(Changes!Change="Yes", Changes!ValidityYear=Table1[[#This Row],[Year]], Changes!ChangeType="Change Premium"), Changes!NewChangedValue, (L60*(1+Table1[[#This Row],[Adjustment Factor of Premium]]/100))))),0)</f>
        <v>0</v>
      </c>
      <c r="M61" s="29">
        <f>IF(Table1[[#This Row],[Year]]=1,ROUND(MIN($L$2 -( Table1[[#This Row],[Riders Risk Premiums]] + Table1[[#This Row],[Acquisition Cost]]) *0.75,Table1[[#This Row],[Death Capital (1)]]* 0.03),0),0)</f>
        <v>0</v>
      </c>
      <c r="N61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61" s="29">
        <f>ROUND(IF(ROW()-1&gt;InsurancePeriod,0,(O60*(1+(Table1[[#This Row],[Adjustment Factor of Premium]]/100)))),0)</f>
        <v>0</v>
      </c>
      <c r="P61" s="29">
        <f>IF(Table1[Year] = 0, 0, SUM(L$2:L61))</f>
        <v>0</v>
      </c>
      <c r="Q61" s="17">
        <f t="shared" si="21"/>
        <v>0</v>
      </c>
      <c r="R61" s="17">
        <f>IF(Table1[[#This Row],[Year]]=0,0,IF($C$2&lt;=50,LOOKUP(Table1[[#This Row],[Age]],db!BG62:BG168,db!BH62:BH168),LOOKUP(Table1[[#This Row],[Age]],db!BJ62:BJ168,db!BK62:BK168)))</f>
        <v>0</v>
      </c>
      <c r="S61" s="17">
        <f>IF(AND(Changes!Change="Yes",Changes!ValidityYear&lt;=Table1[[#This Row],[Year]],Changes!ChangeType="Paid-Up",PaidUpOption="Paid-up with no coverage"),0,IF(B61=0,0, IF(AND(Changes!Change="Yes", Changes!ValidityYear=Table1[[#This Row],[Year]], Changes!ChangeType="Change Death Capital"), Changes!NewChangedValue, S60*(1+(Table1[[#This Row],[Adjustment Factor of Death Capital]]/100)))))</f>
        <v>0</v>
      </c>
      <c r="T61" s="17">
        <f>MIN(IF(B61=0,0,Table1[[#This Row],[Death Capital (1)]]),Table1[[#This Row],[Max Sum Insured For Death]])</f>
        <v>0</v>
      </c>
      <c r="U61" s="29">
        <f t="shared" si="10"/>
        <v>0</v>
      </c>
      <c r="V61" s="29">
        <f>IF(AND(Changes!Change="Yes",Changes!ValidityYear&lt;=Table1[[#This Row],[Year]],Changes!ChangeType="Paid-Up",OR(PaidUpOption="Paid-up with no coverage",PaidUpOption="Paid-up with main coverage")),0,IF(B61=0,0,IF(AND(Changes!Change="Yes", Changes!ValidityYear&lt;=Table1[[#This Row],[Year]], Changes!ChangeType="Rider Inclusion/Exclusion", Changes!RiderType="Accident Death"), T61*Changes!NewChangedValue,IF(db!$D$6="Yes",(db!$B$6)*T61,0))))</f>
        <v>0</v>
      </c>
      <c r="W61" s="29">
        <f>MIN(IF(V61&lt;=db!$L$2,V61,db!$L$2),MAX_ACC_CAPITAL)</f>
        <v>0</v>
      </c>
      <c r="X61" s="17">
        <f>IF(AND(Changes!Change="Yes",Changes!ValidityYear&lt;=Table1[[#This Row],[Year]],Changes!ChangeType="Paid-Up",OR(PaidUpOption="Paid-up with no coverage",PaidUpOption="Paid-up with main coverage")),0,IF(OR(B61=0,Table1[[#This Row],[Accident Capital (2)]]=0),0,IF(AND(Changes!Change="Yes", Changes!ValidityYear&lt;=Table1[[#This Row],[Year]], Changes!ChangeType="Rider Inclusion/Exclusion", Changes!RiderType="Accident Disability"), T61*Changes!NewChangedValue,IF(db!$D$7="Yes",(db!$B$7)*T61,0))))</f>
        <v>0</v>
      </c>
      <c r="Y61" s="42">
        <f>IF(C61&gt;69,0,IF(C61=0,0,IF(X61&lt;=db!$L$3,X61,db!$L$3)))</f>
        <v>0</v>
      </c>
      <c r="Z61" s="29">
        <f>IF(AND(Changes!Change="Yes",Changes!ValidityYear&lt;=Table1[[#This Row],[Year]],Changes!ChangeType="Paid-Up",OR(PaidUpOption="Paid-up with no coverage",PaidUpOption="Paid-up with main coverage")),0,IF(OR(B61=0,Table1[[#This Row],[Accident Capital (2)]]=0),0,IF(AND(Changes!Change="Yes", Changes!ValidityYear&lt;=Table1[[#This Row],[Year]], Changes!ChangeType="Rider Inclusion/Exclusion", Changes!RiderType="Accident Medical Cost"), T61*Changes!NewChangedValue,IF(db!$D$9="Yes",(db!$B$9)*T61,0))))</f>
        <v>0</v>
      </c>
      <c r="AA61" s="29">
        <f>ROUND(IF(C61&gt;69,0,IF(C61=0,0,IF(Z61&lt;=db!$L$4,Z61,db!$L$4))),0)</f>
        <v>0</v>
      </c>
      <c r="AB61" s="38">
        <f>IF(AND(Changes!Change = "Yes", Changes!ChangeType = "Rider Inclusion/Exclusion", Changes!RiderType = "WOP"), IF( Changes!ValidityYear &lt;= Table1[[#This Row],[Year]], IF(WOP = "Yes", 0, 1),  IF(WOP = "Yes", 1, 0)), IF(AND(db!$D$8="Yes",C61&lt;=69,ROW()-1&lt;=InsurancePeriod), 1, 0))</f>
        <v>0</v>
      </c>
      <c r="AC61" s="17">
        <f>(AC62+K62)*AB61*((1)/(1+db!AA63))*(LOOKUP(C61,'Mortality Table'!$A$2:$A$108,'Mortality Table'!$E$2:$E$108))</f>
        <v>0</v>
      </c>
      <c r="AD61" s="340">
        <f>IF(AND(Changes!ValidityYear&lt;= Table1[[#This Row],[Year]],Changes!ChangeType="Change Value Adjustment",Changes!Change="Yes"), (AD62+L62)*AB61*((1)/(1+db!AA63))*(LOOKUP(C61,'Mortality Table'!$A$2:$A$108,'Mortality Table'!$E$2:$E$108)),Table1[[#This Row],[WOP Before Adj. BT]])</f>
        <v>0</v>
      </c>
      <c r="AE61" s="341">
        <f>IF(AND(Changes!Change="Yes", Changes!ChangeType="Change Value Adjustment"),Table1[[#This Row],[WOP Capital]],(AE62+O62)*AB61*((1)/(1+db!AA63))*(LOOKUP(D61,'Mortality Table'!$A$2:$A$108,'Mortality Table'!$E$2:$E$108)))</f>
        <v>0</v>
      </c>
      <c r="AF61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61" s="42">
        <f>IF(AND(Changes!Change="Yes", Changes!ValidityYear&lt;=Table1[[#This Row],[Year]], Changes!ChangeType="Rider Inclusion/Exclusion", Changes!RiderType="Disability Annuity"), L61*Changes!NewChangedValue,L61*db!B$10*IF(db!$D$10="Yes",1,0))</f>
        <v>0</v>
      </c>
      <c r="AH61" s="29">
        <f>IF(AND(Changes!Change="Yes",Changes!ValidityYear&lt;=Table1[[#This Row],[Year]],Changes!ChangeType="Paid-Up"),0,Table1[[#This Row],[Code Annuity Capital]]*IF('Annual Calculation'!C61&gt;69,0,(LOOKUP('Annual Calculation'!C61+1,'Mortality Table'!$A$2:$A$108,'Mortality Table'!$O$2:$O$108)-LOOKUP('Annual Calculation'!C61+11,'Mortality Table'!$A$2:$A$108,'Mortality Table'!$O$2:$O$108))/LOOKUP('Annual Calculation'!C61,'Mortality Table'!$A$2:$A$108,'Mortality Table'!$M$2:$M$108)))</f>
        <v>0</v>
      </c>
      <c r="AI61" s="17">
        <f>IF(AND(Changes!Change="Yes",Changes!ValidityYear&lt;=Table1[[#This Row],[Year]],Changes!ChangeType="Paid-Up",OR(PaidUpOption="Paid-up with no coverage",PaidUpOption="Paid-up with main coverage")),0,IF(B61=0,0,IF(AND(Changes!Change="Yes", Changes!ValidityYear&lt;=Table1[[#This Row],[Year]], Changes!ChangeType="Rider Inclusion/Exclusion", Changes!RiderType="Dread Disease"), T61*Changes!NewChangedValue,IF(db!$D$11="Yes",(db!$B$11)*T61,0))))</f>
        <v>0</v>
      </c>
      <c r="AJ61" s="42">
        <f>ROUND(IF(C61&gt;59,0,IF(C61=0,0,IF(AI61&lt;=db!$L$5,AI61,db!$L$5))),0)</f>
        <v>0</v>
      </c>
      <c r="AK61" s="29">
        <f>IF(AND(Changes!Change="Yes",Changes!ValidityYear&lt;=Table1[[#This Row],[Year]],Changes!ChangeType="Paid-Up",OR(PaidUpOption="Paid-up with no coverage",PaidUpOption="Paid-up with main coverage")),0,IF(B61=0,0,IF(AND(Changes!Change="Yes", Changes!ValidityYear&lt;=Table1[[#This Row],[Year]], Changes!ChangeType="Rider Inclusion/Exclusion", Changes!RiderType="Cancer"), T61*Changes!NewChangedValue,IF(db!$D$12="Yes",(db!$B$12)*T61,0))))</f>
        <v>0</v>
      </c>
      <c r="AL61" s="29">
        <f>ROUND(IF(C61&gt;59,0,IF(C61=0,0,IF(AK61&lt;=db!$L$6,AK61,db!$L$6))),0)</f>
        <v>0</v>
      </c>
      <c r="AM61" s="32"/>
      <c r="AN61" s="18">
        <f>IF(B61=0,0,IF(C61&lt;(db!$E$2+5),LOOKUP(C61,'Mortality Table'!$A$2:$A$108,'Mortality Table'!$P$2:$P$108),IF((C61&gt;=db!$E$2+10),LOOKUP(C61,'Mortality Table'!$A$2:$A$108,'Mortality Table'!$R$2:$R$108),LOOKUP(C61,'Mortality Table'!$A$2:$A$108,'Mortality Table'!$Q$2:$Q$108))))</f>
        <v>0</v>
      </c>
      <c r="AO61" s="22">
        <f t="shared" si="22"/>
        <v>0</v>
      </c>
      <c r="AP61" s="19">
        <f>IF(B61=0,0, LOOKUP(IF(AND(Changes!Change="Yes", Changes!ValidityYear&lt;=Table1[[#This Row],[Year]], Changes!ChangeType="Change Job Class"),Changes!NewChangedValue, db!$A$8),db!$AX$4:$AX$8,db!$AY$4:$AY$8))</f>
        <v>0</v>
      </c>
      <c r="AQ61" s="20">
        <f>ROUND((AP61/1000)*W61 * (1-db!$AS$9),0)</f>
        <v>0</v>
      </c>
      <c r="AR61" s="20">
        <f>(AP61/1000)*W61 * db!$AS$9</f>
        <v>0</v>
      </c>
      <c r="AS61" s="21">
        <f>IF(B61=0,0, LOOKUP(IF(AND(Changes!Change="Yes", Changes!ValidityYear&lt;=Table1[[#This Row],[Year]], Changes!ChangeType="Change Job Class"),Changes!NewChangedValue, db!$A$8),db!$AX$4:$AX$8,db!$AZ$4:$AZ$8))</f>
        <v>0</v>
      </c>
      <c r="AT61" s="22">
        <f>(AS61/1000)*Y61*(1-db!$AS$9)</f>
        <v>0</v>
      </c>
      <c r="AU61" s="22">
        <f>(AS61/1000)*Y61*(db!$AS$9)</f>
        <v>0</v>
      </c>
      <c r="AV61" s="23">
        <f>IF(B61=0,0, LOOKUP(IF(AND(Changes!Change="Yes", Changes!ValidityYear&lt;=Table1[[#This Row],[Year]], Changes!ChangeType="Change Job Class"),Changes!NewChangedValue, db!$A$8),db!$AX$4:$AX$8,db!$BA$4:$BA$8))</f>
        <v>0</v>
      </c>
      <c r="AW61" s="20">
        <f>ROUND((AV61/(100))*AA61*(1-db!$AS$9),0)</f>
        <v>0</v>
      </c>
      <c r="AX61" s="20">
        <f>ROUND((AV61/(100))*AA61*(db!$AS$9),0)</f>
        <v>0</v>
      </c>
      <c r="AY61" s="21">
        <f>IF(db!$D$8="Yes",AS61,0)</f>
        <v>0</v>
      </c>
      <c r="AZ61" s="22">
        <f>(AY61*AF61)/1000*(1-db!$AS$9)</f>
        <v>0</v>
      </c>
      <c r="BA61" s="22">
        <f>(AY61*AF61)/1000*(db!$AS$9)</f>
        <v>0</v>
      </c>
      <c r="BB61" s="23">
        <f t="shared" si="23"/>
        <v>0</v>
      </c>
      <c r="BC61" s="20">
        <f>(BB61*AH61/1000)*(1-db!$AS$9)</f>
        <v>0</v>
      </c>
      <c r="BD61" s="20">
        <f>(BB61*AH61/1000)*(db!$AS$9)</f>
        <v>0</v>
      </c>
      <c r="BE61" s="22">
        <f>IF(B61=0,0,IF(C61&gt;60,0,LOOKUP(Table1[[#This Row],[Medical
Age]],db!$BC$3:$BC$63,db!$BD$3:$BD$63)))</f>
        <v>0</v>
      </c>
      <c r="BF61" s="22">
        <f>BG61*db!$AS$10</f>
        <v>0</v>
      </c>
      <c r="BG61" s="22">
        <f t="shared" si="24"/>
        <v>0</v>
      </c>
      <c r="BH61" s="22">
        <f>(BE61/1000000)*AJ61*(1-db!$AS$10)</f>
        <v>0</v>
      </c>
      <c r="BI61" s="20">
        <f>IF(B61=0,0,IF(C61&gt;59,0,LOOKUP(Table1[[#This Row],[Medical
Age]],db!$BC$3:$BC$63,db!$BE$3:$BE$63)))</f>
        <v>0</v>
      </c>
      <c r="BJ61" s="20">
        <f>(BI61/1000000)*AL61*(1-db!$AS$11)</f>
        <v>0</v>
      </c>
      <c r="BK61" s="20">
        <f>(BI61/1000000)*AL61*(db!$AS$11)</f>
        <v>0</v>
      </c>
      <c r="BL61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61" s="20">
        <f>Table1[[#This Row],[RiskLoading
Rate]]*Table1[[#This Row],[Death Capital (2)]]</f>
        <v>0</v>
      </c>
      <c r="BN61" s="36"/>
      <c r="BO61" s="37">
        <f t="shared" si="25"/>
        <v>0</v>
      </c>
      <c r="BP61" s="35">
        <f t="shared" si="26"/>
        <v>0</v>
      </c>
      <c r="BQ61" s="35">
        <f t="shared" si="27"/>
        <v>0</v>
      </c>
      <c r="BR61" s="37">
        <f t="shared" si="11"/>
        <v>0</v>
      </c>
      <c r="BS61" s="37">
        <f t="shared" si="12"/>
        <v>0</v>
      </c>
      <c r="BT61" s="35">
        <f t="shared" si="13"/>
        <v>0</v>
      </c>
      <c r="BU61" s="35">
        <f t="shared" si="14"/>
        <v>0</v>
      </c>
      <c r="BV61" s="37">
        <f>(db!$AS$4/100)*(L61-BT61-BU61)</f>
        <v>0</v>
      </c>
      <c r="BW61" s="37">
        <f>(db!$AS$8/100)*(L61-BT61-BU61)</f>
        <v>0</v>
      </c>
      <c r="BX61" s="35"/>
      <c r="BY61" s="37"/>
      <c r="BZ61" s="37"/>
      <c r="CA61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61" s="33"/>
      <c r="CC61" s="39">
        <f>ROUND((Table1[[#This Row],[Premium]]-Table1[[#This Row],[All Deductions]]),0)</f>
        <v>0</v>
      </c>
      <c r="CD61" s="39">
        <f>IF(B61=0,0,Table1[[#This Row],[Initial Reserve]]+CE60)</f>
        <v>0</v>
      </c>
      <c r="CE61" s="40">
        <f>ROUND(IF(B61=0,0,((CC61)*(1+db!Y63))+((CE60)*(1+db!U63))),0)</f>
        <v>0</v>
      </c>
      <c r="CF61" s="40">
        <f t="shared" si="28"/>
        <v>0</v>
      </c>
      <c r="CG61" s="15">
        <f t="shared" si="15"/>
        <v>60</v>
      </c>
      <c r="CH61" s="39">
        <f>IF(B61=0,0,((CC61)*(1+db!AH63))+((CH60)*(1+db!AD63)))</f>
        <v>0</v>
      </c>
      <c r="CI61" s="39">
        <f>IF(B61=0,0,((CC61)*(1+db!AH63))+((CI60)*(1+db!AD63)))</f>
        <v>0</v>
      </c>
      <c r="CJ61" s="40">
        <f>IF(B61=0,0,((CC61)*(1+db!AO63))+((CJ60)*(1+db!AK63)))</f>
        <v>0</v>
      </c>
      <c r="CK61" s="40">
        <f>CJ61-(SUM(BX$7:$BX62))</f>
        <v>0</v>
      </c>
      <c r="CL61" s="46"/>
    </row>
    <row r="62" spans="1:90">
      <c r="A62" s="24">
        <f t="shared" si="16"/>
        <v>61</v>
      </c>
      <c r="B62" s="16">
        <f>IF(AND(Changes!Change="Yes", Changes!ChangeType="Change Contract Duration"),IF(B61=0,0,IF(Changes!NewChangedValue&lt;B61+1,0,B61+1)),IF(B61=0,0,IF('Application Annually'!$C$5&lt;B61+1,0,B61+1)))</f>
        <v>0</v>
      </c>
      <c r="C62" s="15">
        <f t="shared" si="17"/>
        <v>0</v>
      </c>
      <c r="D62" s="312">
        <f t="shared" si="18"/>
        <v>88</v>
      </c>
      <c r="E62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62" s="29">
        <f t="shared" si="8"/>
        <v>0</v>
      </c>
      <c r="G62" s="29">
        <f t="shared" si="9"/>
        <v>0</v>
      </c>
      <c r="H62" s="29">
        <f t="shared" si="20"/>
        <v>0</v>
      </c>
      <c r="I62" s="29">
        <f>IF(B62&gt;0,IF(AND(Table1[[#This Row],[Year]]&gt;Changes!ValidityYear,Changes!Change="Yes",Changes!ChangeType="Change Value Adjustment"),Changes!$G$22,'Application Annually'!$C$11),0)</f>
        <v>0</v>
      </c>
      <c r="J62" s="29">
        <f>IF(B62&gt;0,IF(AND(Table1[[#This Row],[Year]]&gt;Changes!ValidityYear,Changes!Change="Yes",Changes!ChangeType="Change Value Adjustment"),Changes!$G$24,'Application Annually'!$C$7),0)</f>
        <v>0</v>
      </c>
      <c r="K62" s="29">
        <f>ROUND(IF(B62=0,0,IF(AND(Changes!Change="Yes", Changes!ValidityYear=Table1[[#This Row],[Year]], Changes!ChangeType="Change Premium"), Changes!NewChangedValue, (K61*(1+db!$B$3)))),0)</f>
        <v>0</v>
      </c>
      <c r="L62" s="29">
        <f>ROUND(IF(AND(Changes!Change="Yes",Changes!ValidityYear&lt;=Table1[[#This Row],[Year]],Changes!ChangeType="Paid-Up"),0,IF(B62=0,0,IF(AND(Changes!Change="Yes", Changes!ValidityYear=Table1[[#This Row],[Year]], Changes!ChangeType="Change Premium"), Changes!NewChangedValue, (L61*(1+Table1[[#This Row],[Adjustment Factor of Premium]]/100))))),0)</f>
        <v>0</v>
      </c>
      <c r="M62" s="29">
        <f>IF(Table1[[#This Row],[Year]]=1,ROUND(MIN($L$2 -( Table1[[#This Row],[Riders Risk Premiums]] + Table1[[#This Row],[Acquisition Cost]]) *0.75,Table1[[#This Row],[Death Capital (1)]]* 0.03),0),0)</f>
        <v>0</v>
      </c>
      <c r="N62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62" s="29">
        <f>ROUND(IF(ROW()-1&gt;InsurancePeriod,0,(O61*(1+(Table1[[#This Row],[Adjustment Factor of Premium]]/100)))),0)</f>
        <v>0</v>
      </c>
      <c r="P62" s="29">
        <f>IF(Table1[Year] = 0, 0, SUM(L$2:L62))</f>
        <v>0</v>
      </c>
      <c r="Q62" s="17">
        <f t="shared" si="21"/>
        <v>0</v>
      </c>
      <c r="R62" s="17">
        <f>IF(Table1[[#This Row],[Year]]=0,0,IF($C$2&lt;=50,LOOKUP(Table1[[#This Row],[Age]],db!BG63:BG169,db!BH63:BH169),LOOKUP(Table1[[#This Row],[Age]],db!BJ63:BJ169,db!BK63:BK169)))</f>
        <v>0</v>
      </c>
      <c r="S62" s="17">
        <f>IF(AND(Changes!Change="Yes",Changes!ValidityYear&lt;=Table1[[#This Row],[Year]],Changes!ChangeType="Paid-Up",PaidUpOption="Paid-up with no coverage"),0,IF(B62=0,0, IF(AND(Changes!Change="Yes", Changes!ValidityYear=Table1[[#This Row],[Year]], Changes!ChangeType="Change Death Capital"), Changes!NewChangedValue, S61*(1+(Table1[[#This Row],[Adjustment Factor of Death Capital]]/100)))))</f>
        <v>0</v>
      </c>
      <c r="T62" s="17">
        <f>MIN(IF(B62=0,0,Table1[[#This Row],[Death Capital (1)]]),Table1[[#This Row],[Max Sum Insured For Death]])</f>
        <v>0</v>
      </c>
      <c r="U62" s="29">
        <f t="shared" si="10"/>
        <v>0</v>
      </c>
      <c r="V62" s="29">
        <f>IF(AND(Changes!Change="Yes",Changes!ValidityYear&lt;=Table1[[#This Row],[Year]],Changes!ChangeType="Paid-Up",OR(PaidUpOption="Paid-up with no coverage",PaidUpOption="Paid-up with main coverage")),0,IF(B62=0,0,IF(AND(Changes!Change="Yes", Changes!ValidityYear&lt;=Table1[[#This Row],[Year]], Changes!ChangeType="Rider Inclusion/Exclusion", Changes!RiderType="Accident Death"), T62*Changes!NewChangedValue,IF(db!$D$6="Yes",(db!$B$6)*T62,0))))</f>
        <v>0</v>
      </c>
      <c r="W62" s="29">
        <f>MIN(IF(V62&lt;=db!$L$2,V62,db!$L$2),MAX_ACC_CAPITAL)</f>
        <v>0</v>
      </c>
      <c r="X62" s="17">
        <f>IF(AND(Changes!Change="Yes",Changes!ValidityYear&lt;=Table1[[#This Row],[Year]],Changes!ChangeType="Paid-Up",OR(PaidUpOption="Paid-up with no coverage",PaidUpOption="Paid-up with main coverage")),0,IF(OR(B62=0,Table1[[#This Row],[Accident Capital (2)]]=0),0,IF(AND(Changes!Change="Yes", Changes!ValidityYear&lt;=Table1[[#This Row],[Year]], Changes!ChangeType="Rider Inclusion/Exclusion", Changes!RiderType="Accident Disability"), T62*Changes!NewChangedValue,IF(db!$D$7="Yes",(db!$B$7)*T62,0))))</f>
        <v>0</v>
      </c>
      <c r="Y62" s="42">
        <f>IF(C62&gt;69,0,IF(C62=0,0,IF(X62&lt;=db!$L$3,X62,db!$L$3)))</f>
        <v>0</v>
      </c>
      <c r="Z62" s="29">
        <f>IF(AND(Changes!Change="Yes",Changes!ValidityYear&lt;=Table1[[#This Row],[Year]],Changes!ChangeType="Paid-Up",OR(PaidUpOption="Paid-up with no coverage",PaidUpOption="Paid-up with main coverage")),0,IF(OR(B62=0,Table1[[#This Row],[Accident Capital (2)]]=0),0,IF(AND(Changes!Change="Yes", Changes!ValidityYear&lt;=Table1[[#This Row],[Year]], Changes!ChangeType="Rider Inclusion/Exclusion", Changes!RiderType="Accident Medical Cost"), T62*Changes!NewChangedValue,IF(db!$D$9="Yes",(db!$B$9)*T62,0))))</f>
        <v>0</v>
      </c>
      <c r="AA62" s="29">
        <f>ROUND(IF(C62&gt;69,0,IF(C62=0,0,IF(Z62&lt;=db!$L$4,Z62,db!$L$4))),0)</f>
        <v>0</v>
      </c>
      <c r="AB62" s="38">
        <f>IF(AND(Changes!Change = "Yes", Changes!ChangeType = "Rider Inclusion/Exclusion", Changes!RiderType = "WOP"), IF( Changes!ValidityYear &lt;= Table1[[#This Row],[Year]], IF(WOP = "Yes", 0, 1),  IF(WOP = "Yes", 1, 0)), IF(AND(db!$D$8="Yes",C62&lt;=69,ROW()-1&lt;=InsurancePeriod), 1, 0))</f>
        <v>0</v>
      </c>
      <c r="AC62" s="17">
        <f>(AC63+K63)*AB62*((1)/(1+db!AA64))*(LOOKUP(C62,'Mortality Table'!$A$2:$A$108,'Mortality Table'!$E$2:$E$108))</f>
        <v>0</v>
      </c>
      <c r="AD62" s="340">
        <f>IF(AND(Changes!ValidityYear&lt;= Table1[[#This Row],[Year]],Changes!ChangeType="Change Value Adjustment",Changes!Change="Yes"), (AD63+L63)*AB62*((1)/(1+db!AA64))*(LOOKUP(C62,'Mortality Table'!$A$2:$A$108,'Mortality Table'!$E$2:$E$108)),Table1[[#This Row],[WOP Before Adj. BT]])</f>
        <v>0</v>
      </c>
      <c r="AE62" s="341">
        <f>IF(AND(Changes!Change="Yes", Changes!ChangeType="Change Value Adjustment"),Table1[[#This Row],[WOP Capital]],(AE63+O63)*AB62*((1)/(1+db!AA64))*(LOOKUP(D62,'Mortality Table'!$A$2:$A$108,'Mortality Table'!$E$2:$E$108)))</f>
        <v>0</v>
      </c>
      <c r="AF62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62" s="42">
        <f>IF(AND(Changes!Change="Yes", Changes!ValidityYear&lt;=Table1[[#This Row],[Year]], Changes!ChangeType="Rider Inclusion/Exclusion", Changes!RiderType="Disability Annuity"), L62*Changes!NewChangedValue,L62*db!B$10*IF(db!$D$10="Yes",1,0))</f>
        <v>0</v>
      </c>
      <c r="AH62" s="29">
        <f>IF(AND(Changes!Change="Yes",Changes!ValidityYear&lt;=Table1[[#This Row],[Year]],Changes!ChangeType="Paid-Up"),0,Table1[[#This Row],[Code Annuity Capital]]*IF('Annual Calculation'!C62&gt;69,0,(LOOKUP('Annual Calculation'!C62+1,'Mortality Table'!$A$2:$A$108,'Mortality Table'!$O$2:$O$108)-LOOKUP('Annual Calculation'!C62+11,'Mortality Table'!$A$2:$A$108,'Mortality Table'!$O$2:$O$108))/LOOKUP('Annual Calculation'!C62,'Mortality Table'!$A$2:$A$108,'Mortality Table'!$M$2:$M$108)))</f>
        <v>0</v>
      </c>
      <c r="AI62" s="17">
        <f>IF(AND(Changes!Change="Yes",Changes!ValidityYear&lt;=Table1[[#This Row],[Year]],Changes!ChangeType="Paid-Up",OR(PaidUpOption="Paid-up with no coverage",PaidUpOption="Paid-up with main coverage")),0,IF(B62=0,0,IF(AND(Changes!Change="Yes", Changes!ValidityYear&lt;=Table1[[#This Row],[Year]], Changes!ChangeType="Rider Inclusion/Exclusion", Changes!RiderType="Dread Disease"), T62*Changes!NewChangedValue,IF(db!$D$11="Yes",(db!$B$11)*T62,0))))</f>
        <v>0</v>
      </c>
      <c r="AJ62" s="42">
        <f>ROUND(IF(C62&gt;59,0,IF(C62=0,0,IF(AI62&lt;=db!$L$5,AI62,db!$L$5))),0)</f>
        <v>0</v>
      </c>
      <c r="AK62" s="29">
        <f>IF(AND(Changes!Change="Yes",Changes!ValidityYear&lt;=Table1[[#This Row],[Year]],Changes!ChangeType="Paid-Up",OR(PaidUpOption="Paid-up with no coverage",PaidUpOption="Paid-up with main coverage")),0,IF(B62=0,0,IF(AND(Changes!Change="Yes", Changes!ValidityYear&lt;=Table1[[#This Row],[Year]], Changes!ChangeType="Rider Inclusion/Exclusion", Changes!RiderType="Cancer"), T62*Changes!NewChangedValue,IF(db!$D$12="Yes",(db!$B$12)*T62,0))))</f>
        <v>0</v>
      </c>
      <c r="AL62" s="29">
        <f>ROUND(IF(C62&gt;59,0,IF(C62=0,0,IF(AK62&lt;=db!$L$6,AK62,db!$L$6))),0)</f>
        <v>0</v>
      </c>
      <c r="AM62" s="32"/>
      <c r="AN62" s="18">
        <f>IF(B62=0,0,IF(C62&lt;(db!$E$2+5),LOOKUP(C62,'Mortality Table'!$A$2:$A$108,'Mortality Table'!$P$2:$P$108),IF((C62&gt;=db!$E$2+10),LOOKUP(C62,'Mortality Table'!$A$2:$A$108,'Mortality Table'!$R$2:$R$108),LOOKUP(C62,'Mortality Table'!$A$2:$A$108,'Mortality Table'!$Q$2:$Q$108))))</f>
        <v>0</v>
      </c>
      <c r="AO62" s="22">
        <f t="shared" si="22"/>
        <v>0</v>
      </c>
      <c r="AP62" s="19">
        <f>IF(B62=0,0, LOOKUP(IF(AND(Changes!Change="Yes", Changes!ValidityYear&lt;=Table1[[#This Row],[Year]], Changes!ChangeType="Change Job Class"),Changes!NewChangedValue, db!$A$8),db!$AX$4:$AX$8,db!$AY$4:$AY$8))</f>
        <v>0</v>
      </c>
      <c r="AQ62" s="20">
        <f>ROUND((AP62/1000)*W62 * (1-db!$AS$9),0)</f>
        <v>0</v>
      </c>
      <c r="AR62" s="20">
        <f>(AP62/1000)*W62 * db!$AS$9</f>
        <v>0</v>
      </c>
      <c r="AS62" s="21">
        <f>IF(B62=0,0, LOOKUP(IF(AND(Changes!Change="Yes", Changes!ValidityYear&lt;=Table1[[#This Row],[Year]], Changes!ChangeType="Change Job Class"),Changes!NewChangedValue, db!$A$8),db!$AX$4:$AX$8,db!$AZ$4:$AZ$8))</f>
        <v>0</v>
      </c>
      <c r="AT62" s="22">
        <f>(AS62/1000)*Y62*(1-db!$AS$9)</f>
        <v>0</v>
      </c>
      <c r="AU62" s="22">
        <f>(AS62/1000)*Y62*(db!$AS$9)</f>
        <v>0</v>
      </c>
      <c r="AV62" s="23">
        <f>IF(B62=0,0, LOOKUP(IF(AND(Changes!Change="Yes", Changes!ValidityYear&lt;=Table1[[#This Row],[Year]], Changes!ChangeType="Change Job Class"),Changes!NewChangedValue, db!$A$8),db!$AX$4:$AX$8,db!$BA$4:$BA$8))</f>
        <v>0</v>
      </c>
      <c r="AW62" s="20">
        <f>ROUND((AV62/(100))*AA62*(1-db!$AS$9),0)</f>
        <v>0</v>
      </c>
      <c r="AX62" s="20">
        <f>ROUND((AV62/(100))*AA62*(db!$AS$9),0)</f>
        <v>0</v>
      </c>
      <c r="AY62" s="21">
        <f>IF(db!$D$8="Yes",AS62,0)</f>
        <v>0</v>
      </c>
      <c r="AZ62" s="22">
        <f>(AY62*AF62)/1000*(1-db!$AS$9)</f>
        <v>0</v>
      </c>
      <c r="BA62" s="22">
        <f>(AY62*AF62)/1000*(db!$AS$9)</f>
        <v>0</v>
      </c>
      <c r="BB62" s="23">
        <f t="shared" si="23"/>
        <v>0</v>
      </c>
      <c r="BC62" s="20">
        <f>(BB62*AH62/1000)*(1-db!$AS$9)</f>
        <v>0</v>
      </c>
      <c r="BD62" s="20">
        <f>(BB62*AH62/1000)*(db!$AS$9)</f>
        <v>0</v>
      </c>
      <c r="BE62" s="22">
        <f>IF(B62=0,0,IF(C62&gt;60,0,LOOKUP(Table1[[#This Row],[Medical
Age]],db!$BC$3:$BC$63,db!$BD$3:$BD$63)))</f>
        <v>0</v>
      </c>
      <c r="BF62" s="22">
        <f>BG62*db!$AS$10</f>
        <v>0</v>
      </c>
      <c r="BG62" s="22">
        <f t="shared" si="24"/>
        <v>0</v>
      </c>
      <c r="BH62" s="22">
        <f>(BE62/1000000)*AJ62*(1-db!$AS$10)</f>
        <v>0</v>
      </c>
      <c r="BI62" s="20">
        <f>IF(B62=0,0,IF(C62&gt;59,0,LOOKUP(Table1[[#This Row],[Medical
Age]],db!$BC$3:$BC$63,db!$BE$3:$BE$63)))</f>
        <v>0</v>
      </c>
      <c r="BJ62" s="20">
        <f>(BI62/1000000)*AL62*(1-db!$AS$11)</f>
        <v>0</v>
      </c>
      <c r="BK62" s="20">
        <f>(BI62/1000000)*AL62*(db!$AS$11)</f>
        <v>0</v>
      </c>
      <c r="BL62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62" s="20">
        <f>Table1[[#This Row],[RiskLoading
Rate]]*Table1[[#This Row],[Death Capital (2)]]</f>
        <v>0</v>
      </c>
      <c r="BN62" s="36"/>
      <c r="BO62" s="37">
        <f t="shared" si="25"/>
        <v>0</v>
      </c>
      <c r="BP62" s="35">
        <f t="shared" si="26"/>
        <v>0</v>
      </c>
      <c r="BQ62" s="35">
        <f t="shared" si="27"/>
        <v>0</v>
      </c>
      <c r="BR62" s="37">
        <f t="shared" si="11"/>
        <v>0</v>
      </c>
      <c r="BS62" s="37">
        <f t="shared" si="12"/>
        <v>0</v>
      </c>
      <c r="BT62" s="35">
        <f t="shared" si="13"/>
        <v>0</v>
      </c>
      <c r="BU62" s="35">
        <f t="shared" si="14"/>
        <v>0</v>
      </c>
      <c r="BV62" s="37">
        <f>(db!$AS$4/100)*(L62-BT62-BU62)</f>
        <v>0</v>
      </c>
      <c r="BW62" s="37">
        <f>(db!$AS$8/100)*(L62-BT62-BU62)</f>
        <v>0</v>
      </c>
      <c r="BX62" s="35"/>
      <c r="BY62" s="37"/>
      <c r="BZ62" s="37"/>
      <c r="CA62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62" s="33"/>
      <c r="CC62" s="39">
        <f>ROUND((Table1[[#This Row],[Premium]]-Table1[[#This Row],[All Deductions]]),0)</f>
        <v>0</v>
      </c>
      <c r="CD62" s="39">
        <f>IF(B62=0,0,Table1[[#This Row],[Initial Reserve]]+CE61)</f>
        <v>0</v>
      </c>
      <c r="CE62" s="40">
        <f>ROUND(IF(B62=0,0,((CC62)*(1+db!Y64))+((CE61)*(1+db!U64))),0)</f>
        <v>0</v>
      </c>
      <c r="CF62" s="40">
        <f t="shared" si="28"/>
        <v>0</v>
      </c>
      <c r="CG62" s="15">
        <f t="shared" si="15"/>
        <v>61</v>
      </c>
      <c r="CH62" s="39">
        <f>IF(B62=0,0,((CC62)*(1+db!AH64))+((CH61)*(1+db!AD64)))</f>
        <v>0</v>
      </c>
      <c r="CI62" s="39">
        <f>IF(B62=0,0,((CC62)*(1+db!AH64))+((CI61)*(1+db!AD64)))</f>
        <v>0</v>
      </c>
      <c r="CJ62" s="40">
        <f>IF(B62=0,0,((CC62)*(1+db!AO64))+((CJ61)*(1+db!AK64)))</f>
        <v>0</v>
      </c>
      <c r="CK62" s="40">
        <f>CJ62-(SUM(BX$7:$BX63))</f>
        <v>0</v>
      </c>
      <c r="CL62" s="46"/>
    </row>
    <row r="63" spans="1:90">
      <c r="A63" s="24">
        <f t="shared" si="16"/>
        <v>62</v>
      </c>
      <c r="B63" s="16">
        <f>IF(AND(Changes!Change="Yes", Changes!ChangeType="Change Contract Duration"),IF(B62=0,0,IF(Changes!NewChangedValue&lt;B62+1,0,B62+1)),IF(B62=0,0,IF('Application Annually'!$C$5&lt;B62+1,0,B62+1)))</f>
        <v>0</v>
      </c>
      <c r="C63" s="15">
        <f t="shared" si="17"/>
        <v>0</v>
      </c>
      <c r="D63" s="312">
        <f t="shared" si="18"/>
        <v>89</v>
      </c>
      <c r="E63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63" s="29">
        <f t="shared" si="8"/>
        <v>0</v>
      </c>
      <c r="G63" s="29">
        <f t="shared" si="9"/>
        <v>0</v>
      </c>
      <c r="H63" s="29">
        <f t="shared" si="20"/>
        <v>0</v>
      </c>
      <c r="I63" s="29">
        <f>IF(B63&gt;0,IF(AND(Table1[[#This Row],[Year]]&gt;Changes!ValidityYear,Changes!Change="Yes",Changes!ChangeType="Change Value Adjustment"),Changes!$G$22,'Application Annually'!$C$11),0)</f>
        <v>0</v>
      </c>
      <c r="J63" s="29">
        <f>IF(B63&gt;0,IF(AND(Table1[[#This Row],[Year]]&gt;Changes!ValidityYear,Changes!Change="Yes",Changes!ChangeType="Change Value Adjustment"),Changes!$G$24,'Application Annually'!$C$7),0)</f>
        <v>0</v>
      </c>
      <c r="K63" s="29">
        <f>ROUND(IF(B63=0,0,IF(AND(Changes!Change="Yes", Changes!ValidityYear=Table1[[#This Row],[Year]], Changes!ChangeType="Change Premium"), Changes!NewChangedValue, (K62*(1+db!$B$3)))),0)</f>
        <v>0</v>
      </c>
      <c r="L63" s="29">
        <f>ROUND(IF(AND(Changes!Change="Yes",Changes!ValidityYear&lt;=Table1[[#This Row],[Year]],Changes!ChangeType="Paid-Up"),0,IF(B63=0,0,IF(AND(Changes!Change="Yes", Changes!ValidityYear=Table1[[#This Row],[Year]], Changes!ChangeType="Change Premium"), Changes!NewChangedValue, (L62*(1+Table1[[#This Row],[Adjustment Factor of Premium]]/100))))),0)</f>
        <v>0</v>
      </c>
      <c r="M63" s="29">
        <f>IF(Table1[[#This Row],[Year]]=1,ROUND(MIN($L$2 -( Table1[[#This Row],[Riders Risk Premiums]] + Table1[[#This Row],[Acquisition Cost]]) *0.75,Table1[[#This Row],[Death Capital (1)]]* 0.03),0),0)</f>
        <v>0</v>
      </c>
      <c r="N63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63" s="29">
        <f>ROUND(IF(ROW()-1&gt;InsurancePeriod,0,(O62*(1+(Table1[[#This Row],[Adjustment Factor of Premium]]/100)))),0)</f>
        <v>0</v>
      </c>
      <c r="P63" s="29">
        <f>IF(Table1[Year] = 0, 0, SUM(L$2:L63))</f>
        <v>0</v>
      </c>
      <c r="Q63" s="17">
        <f t="shared" si="21"/>
        <v>0</v>
      </c>
      <c r="R63" s="17">
        <f>IF(Table1[[#This Row],[Year]]=0,0,IF($C$2&lt;=50,LOOKUP(Table1[[#This Row],[Age]],db!BG64:BG170,db!BH64:BH170),LOOKUP(Table1[[#This Row],[Age]],db!BJ64:BJ170,db!BK64:BK170)))</f>
        <v>0</v>
      </c>
      <c r="S63" s="17">
        <f>IF(AND(Changes!Change="Yes",Changes!ValidityYear&lt;=Table1[[#This Row],[Year]],Changes!ChangeType="Paid-Up",PaidUpOption="Paid-up with no coverage"),0,IF(B63=0,0, IF(AND(Changes!Change="Yes", Changes!ValidityYear=Table1[[#This Row],[Year]], Changes!ChangeType="Change Death Capital"), Changes!NewChangedValue, S62*(1+(Table1[[#This Row],[Adjustment Factor of Death Capital]]/100)))))</f>
        <v>0</v>
      </c>
      <c r="T63" s="17">
        <f>MIN(IF(B63=0,0,Table1[[#This Row],[Death Capital (1)]]),Table1[[#This Row],[Max Sum Insured For Death]])</f>
        <v>0</v>
      </c>
      <c r="U63" s="29">
        <f t="shared" si="10"/>
        <v>0</v>
      </c>
      <c r="V63" s="29">
        <f>IF(AND(Changes!Change="Yes",Changes!ValidityYear&lt;=Table1[[#This Row],[Year]],Changes!ChangeType="Paid-Up",OR(PaidUpOption="Paid-up with no coverage",PaidUpOption="Paid-up with main coverage")),0,IF(B63=0,0,IF(AND(Changes!Change="Yes", Changes!ValidityYear&lt;=Table1[[#This Row],[Year]], Changes!ChangeType="Rider Inclusion/Exclusion", Changes!RiderType="Accident Death"), T63*Changes!NewChangedValue,IF(db!$D$6="Yes",(db!$B$6)*T63,0))))</f>
        <v>0</v>
      </c>
      <c r="W63" s="29">
        <f>MIN(IF(V63&lt;=db!$L$2,V63,db!$L$2),MAX_ACC_CAPITAL)</f>
        <v>0</v>
      </c>
      <c r="X63" s="17">
        <f>IF(AND(Changes!Change="Yes",Changes!ValidityYear&lt;=Table1[[#This Row],[Year]],Changes!ChangeType="Paid-Up",OR(PaidUpOption="Paid-up with no coverage",PaidUpOption="Paid-up with main coverage")),0,IF(OR(B63=0,Table1[[#This Row],[Accident Capital (2)]]=0),0,IF(AND(Changes!Change="Yes", Changes!ValidityYear&lt;=Table1[[#This Row],[Year]], Changes!ChangeType="Rider Inclusion/Exclusion", Changes!RiderType="Accident Disability"), T63*Changes!NewChangedValue,IF(db!$D$7="Yes",(db!$B$7)*T63,0))))</f>
        <v>0</v>
      </c>
      <c r="Y63" s="42">
        <f>IF(C63&gt;69,0,IF(C63=0,0,IF(X63&lt;=db!$L$3,X63,db!$L$3)))</f>
        <v>0</v>
      </c>
      <c r="Z63" s="29">
        <f>IF(AND(Changes!Change="Yes",Changes!ValidityYear&lt;=Table1[[#This Row],[Year]],Changes!ChangeType="Paid-Up",OR(PaidUpOption="Paid-up with no coverage",PaidUpOption="Paid-up with main coverage")),0,IF(OR(B63=0,Table1[[#This Row],[Accident Capital (2)]]=0),0,IF(AND(Changes!Change="Yes", Changes!ValidityYear&lt;=Table1[[#This Row],[Year]], Changes!ChangeType="Rider Inclusion/Exclusion", Changes!RiderType="Accident Medical Cost"), T63*Changes!NewChangedValue,IF(db!$D$9="Yes",(db!$B$9)*T63,0))))</f>
        <v>0</v>
      </c>
      <c r="AA63" s="29">
        <f>ROUND(IF(C63&gt;69,0,IF(C63=0,0,IF(Z63&lt;=db!$L$4,Z63,db!$L$4))),0)</f>
        <v>0</v>
      </c>
      <c r="AB63" s="38">
        <f>IF(AND(Changes!Change = "Yes", Changes!ChangeType = "Rider Inclusion/Exclusion", Changes!RiderType = "WOP"), IF( Changes!ValidityYear &lt;= Table1[[#This Row],[Year]], IF(WOP = "Yes", 0, 1),  IF(WOP = "Yes", 1, 0)), IF(AND(db!$D$8="Yes",C63&lt;=69,ROW()-1&lt;=InsurancePeriod), 1, 0))</f>
        <v>0</v>
      </c>
      <c r="AC63" s="17">
        <f>(AC64+K64)*AB63*((1)/(1+db!AA65))*(LOOKUP(C63,'Mortality Table'!$A$2:$A$108,'Mortality Table'!$E$2:$E$108))</f>
        <v>0</v>
      </c>
      <c r="AD63" s="340">
        <f>IF(AND(Changes!ValidityYear&lt;= Table1[[#This Row],[Year]],Changes!ChangeType="Change Value Adjustment",Changes!Change="Yes"), (AD64+L64)*AB63*((1)/(1+db!AA65))*(LOOKUP(C63,'Mortality Table'!$A$2:$A$108,'Mortality Table'!$E$2:$E$108)),Table1[[#This Row],[WOP Before Adj. BT]])</f>
        <v>0</v>
      </c>
      <c r="AE63" s="341">
        <f>IF(AND(Changes!Change="Yes", Changes!ChangeType="Change Value Adjustment"),Table1[[#This Row],[WOP Capital]],(AE64+O64)*AB63*((1)/(1+db!AA65))*(LOOKUP(D63,'Mortality Table'!$A$2:$A$108,'Mortality Table'!$E$2:$E$108)))</f>
        <v>0</v>
      </c>
      <c r="AF63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63" s="42">
        <f>IF(AND(Changes!Change="Yes", Changes!ValidityYear&lt;=Table1[[#This Row],[Year]], Changes!ChangeType="Rider Inclusion/Exclusion", Changes!RiderType="Disability Annuity"), L63*Changes!NewChangedValue,L63*db!B$10*IF(db!$D$10="Yes",1,0))</f>
        <v>0</v>
      </c>
      <c r="AH63" s="29">
        <f>IF(AND(Changes!Change="Yes",Changes!ValidityYear&lt;=Table1[[#This Row],[Year]],Changes!ChangeType="Paid-Up"),0,Table1[[#This Row],[Code Annuity Capital]]*IF('Annual Calculation'!C63&gt;69,0,(LOOKUP('Annual Calculation'!C63+1,'Mortality Table'!$A$2:$A$108,'Mortality Table'!$O$2:$O$108)-LOOKUP('Annual Calculation'!C63+11,'Mortality Table'!$A$2:$A$108,'Mortality Table'!$O$2:$O$108))/LOOKUP('Annual Calculation'!C63,'Mortality Table'!$A$2:$A$108,'Mortality Table'!$M$2:$M$108)))</f>
        <v>0</v>
      </c>
      <c r="AI63" s="17">
        <f>IF(AND(Changes!Change="Yes",Changes!ValidityYear&lt;=Table1[[#This Row],[Year]],Changes!ChangeType="Paid-Up",OR(PaidUpOption="Paid-up with no coverage",PaidUpOption="Paid-up with main coverage")),0,IF(B63=0,0,IF(AND(Changes!Change="Yes", Changes!ValidityYear&lt;=Table1[[#This Row],[Year]], Changes!ChangeType="Rider Inclusion/Exclusion", Changes!RiderType="Dread Disease"), T63*Changes!NewChangedValue,IF(db!$D$11="Yes",(db!$B$11)*T63,0))))</f>
        <v>0</v>
      </c>
      <c r="AJ63" s="42">
        <f>ROUND(IF(C63&gt;59,0,IF(C63=0,0,IF(AI63&lt;=db!$L$5,AI63,db!$L$5))),0)</f>
        <v>0</v>
      </c>
      <c r="AK63" s="29">
        <f>IF(AND(Changes!Change="Yes",Changes!ValidityYear&lt;=Table1[[#This Row],[Year]],Changes!ChangeType="Paid-Up",OR(PaidUpOption="Paid-up with no coverage",PaidUpOption="Paid-up with main coverage")),0,IF(B63=0,0,IF(AND(Changes!Change="Yes", Changes!ValidityYear&lt;=Table1[[#This Row],[Year]], Changes!ChangeType="Rider Inclusion/Exclusion", Changes!RiderType="Cancer"), T63*Changes!NewChangedValue,IF(db!$D$12="Yes",(db!$B$12)*T63,0))))</f>
        <v>0</v>
      </c>
      <c r="AL63" s="29">
        <f>ROUND(IF(C63&gt;59,0,IF(C63=0,0,IF(AK63&lt;=db!$L$6,AK63,db!$L$6))),0)</f>
        <v>0</v>
      </c>
      <c r="AM63" s="32"/>
      <c r="AN63" s="18">
        <f>IF(B63=0,0,IF(C63&lt;(db!$E$2+5),LOOKUP(C63,'Mortality Table'!$A$2:$A$108,'Mortality Table'!$P$2:$P$108),IF((C63&gt;=db!$E$2+10),LOOKUP(C63,'Mortality Table'!$A$2:$A$108,'Mortality Table'!$R$2:$R$108),LOOKUP(C63,'Mortality Table'!$A$2:$A$108,'Mortality Table'!$Q$2:$Q$108))))</f>
        <v>0</v>
      </c>
      <c r="AO63" s="22">
        <f t="shared" si="22"/>
        <v>0</v>
      </c>
      <c r="AP63" s="19">
        <f>IF(B63=0,0, LOOKUP(IF(AND(Changes!Change="Yes", Changes!ValidityYear&lt;=Table1[[#This Row],[Year]], Changes!ChangeType="Change Job Class"),Changes!NewChangedValue, db!$A$8),db!$AX$4:$AX$8,db!$AY$4:$AY$8))</f>
        <v>0</v>
      </c>
      <c r="AQ63" s="20">
        <f>ROUND((AP63/1000)*W63 * (1-db!$AS$9),0)</f>
        <v>0</v>
      </c>
      <c r="AR63" s="20">
        <f>(AP63/1000)*W63 * db!$AS$9</f>
        <v>0</v>
      </c>
      <c r="AS63" s="21">
        <f>IF(B63=0,0, LOOKUP(IF(AND(Changes!Change="Yes", Changes!ValidityYear&lt;=Table1[[#This Row],[Year]], Changes!ChangeType="Change Job Class"),Changes!NewChangedValue, db!$A$8),db!$AX$4:$AX$8,db!$AZ$4:$AZ$8))</f>
        <v>0</v>
      </c>
      <c r="AT63" s="22">
        <f>(AS63/1000)*Y63*(1-db!$AS$9)</f>
        <v>0</v>
      </c>
      <c r="AU63" s="22">
        <f>(AS63/1000)*Y63*(db!$AS$9)</f>
        <v>0</v>
      </c>
      <c r="AV63" s="23">
        <f>IF(B63=0,0, LOOKUP(IF(AND(Changes!Change="Yes", Changes!ValidityYear&lt;=Table1[[#This Row],[Year]], Changes!ChangeType="Change Job Class"),Changes!NewChangedValue, db!$A$8),db!$AX$4:$AX$8,db!$BA$4:$BA$8))</f>
        <v>0</v>
      </c>
      <c r="AW63" s="20">
        <f>ROUND((AV63/(100))*AA63*(1-db!$AS$9),0)</f>
        <v>0</v>
      </c>
      <c r="AX63" s="20">
        <f>ROUND((AV63/(100))*AA63*(db!$AS$9),0)</f>
        <v>0</v>
      </c>
      <c r="AY63" s="21">
        <f>IF(db!$D$8="Yes",AS63,0)</f>
        <v>0</v>
      </c>
      <c r="AZ63" s="22">
        <f>(AY63*AF63)/1000*(1-db!$AS$9)</f>
        <v>0</v>
      </c>
      <c r="BA63" s="22">
        <f>(AY63*AF63)/1000*(db!$AS$9)</f>
        <v>0</v>
      </c>
      <c r="BB63" s="23">
        <f t="shared" si="23"/>
        <v>0</v>
      </c>
      <c r="BC63" s="20">
        <f>(BB63*AH63/1000)*(1-db!$AS$9)</f>
        <v>0</v>
      </c>
      <c r="BD63" s="20">
        <f>(BB63*AH63/1000)*(db!$AS$9)</f>
        <v>0</v>
      </c>
      <c r="BE63" s="22">
        <f>IF(B63=0,0,IF(C63&gt;60,0,LOOKUP(Table1[[#This Row],[Medical
Age]],db!$BC$3:$BC$63,db!$BD$3:$BD$63)))</f>
        <v>0</v>
      </c>
      <c r="BF63" s="22">
        <f>BG63*db!$AS$10</f>
        <v>0</v>
      </c>
      <c r="BG63" s="22">
        <f t="shared" si="24"/>
        <v>0</v>
      </c>
      <c r="BH63" s="22">
        <f>(BE63/1000000)*AJ63*(1-db!$AS$10)</f>
        <v>0</v>
      </c>
      <c r="BI63" s="20">
        <f>IF(B63=0,0,IF(C63&gt;59,0,LOOKUP(Table1[[#This Row],[Medical
Age]],db!$BC$3:$BC$63,db!$BE$3:$BE$63)))</f>
        <v>0</v>
      </c>
      <c r="BJ63" s="20">
        <f>(BI63/1000000)*AL63*(1-db!$AS$11)</f>
        <v>0</v>
      </c>
      <c r="BK63" s="20">
        <f>(BI63/1000000)*AL63*(db!$AS$11)</f>
        <v>0</v>
      </c>
      <c r="BL63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63" s="20">
        <f>Table1[[#This Row],[RiskLoading
Rate]]*Table1[[#This Row],[Death Capital (2)]]</f>
        <v>0</v>
      </c>
      <c r="BN63" s="36"/>
      <c r="BO63" s="37">
        <f t="shared" si="25"/>
        <v>0</v>
      </c>
      <c r="BP63" s="35">
        <f t="shared" si="26"/>
        <v>0</v>
      </c>
      <c r="BQ63" s="35">
        <f t="shared" si="27"/>
        <v>0</v>
      </c>
      <c r="BR63" s="37">
        <f t="shared" si="11"/>
        <v>0</v>
      </c>
      <c r="BS63" s="37">
        <f t="shared" si="12"/>
        <v>0</v>
      </c>
      <c r="BT63" s="35">
        <f t="shared" si="13"/>
        <v>0</v>
      </c>
      <c r="BU63" s="35">
        <f t="shared" si="14"/>
        <v>0</v>
      </c>
      <c r="BV63" s="37">
        <f>(db!$AS$4/100)*(L63-BT63-BU63)</f>
        <v>0</v>
      </c>
      <c r="BW63" s="37">
        <f>(db!$AS$8/100)*(L63-BT63-BU63)</f>
        <v>0</v>
      </c>
      <c r="BX63" s="35"/>
      <c r="BY63" s="37"/>
      <c r="BZ63" s="37"/>
      <c r="CA63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63" s="33"/>
      <c r="CC63" s="39">
        <f>ROUND((Table1[[#This Row],[Premium]]-Table1[[#This Row],[All Deductions]]),0)</f>
        <v>0</v>
      </c>
      <c r="CD63" s="39">
        <f>IF(B63=0,0,Table1[[#This Row],[Initial Reserve]]+CE62)</f>
        <v>0</v>
      </c>
      <c r="CE63" s="40">
        <f>ROUND(IF(B63=0,0,((CC63)*(1+db!Y65))+((CE62)*(1+db!U65))),0)</f>
        <v>0</v>
      </c>
      <c r="CF63" s="40">
        <f t="shared" si="28"/>
        <v>0</v>
      </c>
      <c r="CG63" s="15">
        <f t="shared" si="15"/>
        <v>62</v>
      </c>
      <c r="CH63" s="39">
        <f>IF(B63=0,0,((CC63)*(1+db!AH65))+((CH62)*(1+db!AD65)))</f>
        <v>0</v>
      </c>
      <c r="CI63" s="39">
        <f>IF(B63=0,0,((CC63)*(1+db!AH65))+((CI62)*(1+db!AD65)))</f>
        <v>0</v>
      </c>
      <c r="CJ63" s="40">
        <f>IF(B63=0,0,((CC63)*(1+db!AO65))+((CJ62)*(1+db!AK65)))</f>
        <v>0</v>
      </c>
      <c r="CK63" s="40">
        <f>CJ63-(SUM(BX$7:$BX64))</f>
        <v>0</v>
      </c>
      <c r="CL63" s="46"/>
    </row>
    <row r="64" spans="1:90">
      <c r="A64" s="24">
        <f t="shared" si="16"/>
        <v>63</v>
      </c>
      <c r="B64" s="16">
        <f>IF(AND(Changes!Change="Yes", Changes!ChangeType="Change Contract Duration"),IF(B63=0,0,IF(Changes!NewChangedValue&lt;B63+1,0,B63+1)),IF(B63=0,0,IF('Application Annually'!$C$5&lt;B63+1,0,B63+1)))</f>
        <v>0</v>
      </c>
      <c r="C64" s="15">
        <f t="shared" si="17"/>
        <v>0</v>
      </c>
      <c r="D64" s="312">
        <f t="shared" si="18"/>
        <v>90</v>
      </c>
      <c r="E64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64" s="29">
        <f t="shared" si="8"/>
        <v>0</v>
      </c>
      <c r="G64" s="29">
        <f t="shared" si="9"/>
        <v>0</v>
      </c>
      <c r="H64" s="29">
        <f t="shared" si="20"/>
        <v>0</v>
      </c>
      <c r="I64" s="29">
        <f>IF(B64&gt;0,IF(AND(Table1[[#This Row],[Year]]&gt;Changes!ValidityYear,Changes!Change="Yes",Changes!ChangeType="Change Value Adjustment"),Changes!$G$22,'Application Annually'!$C$11),0)</f>
        <v>0</v>
      </c>
      <c r="J64" s="29">
        <f>IF(B64&gt;0,IF(AND(Table1[[#This Row],[Year]]&gt;Changes!ValidityYear,Changes!Change="Yes",Changes!ChangeType="Change Value Adjustment"),Changes!$G$24,'Application Annually'!$C$7),0)</f>
        <v>0</v>
      </c>
      <c r="K64" s="29">
        <f>ROUND(IF(B64=0,0,IF(AND(Changes!Change="Yes", Changes!ValidityYear=Table1[[#This Row],[Year]], Changes!ChangeType="Change Premium"), Changes!NewChangedValue, (K63*(1+db!$B$3)))),0)</f>
        <v>0</v>
      </c>
      <c r="L64" s="29">
        <f>ROUND(IF(AND(Changes!Change="Yes",Changes!ValidityYear&lt;=Table1[[#This Row],[Year]],Changes!ChangeType="Paid-Up"),0,IF(B64=0,0,IF(AND(Changes!Change="Yes", Changes!ValidityYear=Table1[[#This Row],[Year]], Changes!ChangeType="Change Premium"), Changes!NewChangedValue, (L63*(1+Table1[[#This Row],[Adjustment Factor of Premium]]/100))))),0)</f>
        <v>0</v>
      </c>
      <c r="M64" s="29">
        <f>IF(Table1[[#This Row],[Year]]=1,ROUND(MIN($L$2 -( Table1[[#This Row],[Riders Risk Premiums]] + Table1[[#This Row],[Acquisition Cost]]) *0.75,Table1[[#This Row],[Death Capital (1)]]* 0.03),0),0)</f>
        <v>0</v>
      </c>
      <c r="N64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64" s="29">
        <f>ROUND(IF(ROW()-1&gt;InsurancePeriod,0,(O63*(1+(Table1[[#This Row],[Adjustment Factor of Premium]]/100)))),0)</f>
        <v>0</v>
      </c>
      <c r="P64" s="29">
        <f>IF(Table1[Year] = 0, 0, SUM(L$2:L64))</f>
        <v>0</v>
      </c>
      <c r="Q64" s="17">
        <f t="shared" si="21"/>
        <v>0</v>
      </c>
      <c r="R64" s="17">
        <f>IF(Table1[[#This Row],[Year]]=0,0,IF($C$2&lt;=50,LOOKUP(Table1[[#This Row],[Age]],db!BG65:BG171,db!BH65:BH171),LOOKUP(Table1[[#This Row],[Age]],db!BJ65:BJ171,db!BK65:BK171)))</f>
        <v>0</v>
      </c>
      <c r="S64" s="17">
        <f>IF(AND(Changes!Change="Yes",Changes!ValidityYear&lt;=Table1[[#This Row],[Year]],Changes!ChangeType="Paid-Up",PaidUpOption="Paid-up with no coverage"),0,IF(B64=0,0, IF(AND(Changes!Change="Yes", Changes!ValidityYear=Table1[[#This Row],[Year]], Changes!ChangeType="Change Death Capital"), Changes!NewChangedValue, S63*(1+(Table1[[#This Row],[Adjustment Factor of Death Capital]]/100)))))</f>
        <v>0</v>
      </c>
      <c r="T64" s="17">
        <f>MIN(IF(B64=0,0,Table1[[#This Row],[Death Capital (1)]]),Table1[[#This Row],[Max Sum Insured For Death]])</f>
        <v>0</v>
      </c>
      <c r="U64" s="29">
        <f t="shared" si="10"/>
        <v>0</v>
      </c>
      <c r="V64" s="29">
        <f>IF(AND(Changes!Change="Yes",Changes!ValidityYear&lt;=Table1[[#This Row],[Year]],Changes!ChangeType="Paid-Up",OR(PaidUpOption="Paid-up with no coverage",PaidUpOption="Paid-up with main coverage")),0,IF(B64=0,0,IF(AND(Changes!Change="Yes", Changes!ValidityYear&lt;=Table1[[#This Row],[Year]], Changes!ChangeType="Rider Inclusion/Exclusion", Changes!RiderType="Accident Death"), T64*Changes!NewChangedValue,IF(db!$D$6="Yes",(db!$B$6)*T64,0))))</f>
        <v>0</v>
      </c>
      <c r="W64" s="29">
        <f>MIN(IF(V64&lt;=db!$L$2,V64,db!$L$2),MAX_ACC_CAPITAL)</f>
        <v>0</v>
      </c>
      <c r="X64" s="17">
        <f>IF(AND(Changes!Change="Yes",Changes!ValidityYear&lt;=Table1[[#This Row],[Year]],Changes!ChangeType="Paid-Up",OR(PaidUpOption="Paid-up with no coverage",PaidUpOption="Paid-up with main coverage")),0,IF(OR(B64=0,Table1[[#This Row],[Accident Capital (2)]]=0),0,IF(AND(Changes!Change="Yes", Changes!ValidityYear&lt;=Table1[[#This Row],[Year]], Changes!ChangeType="Rider Inclusion/Exclusion", Changes!RiderType="Accident Disability"), T64*Changes!NewChangedValue,IF(db!$D$7="Yes",(db!$B$7)*T64,0))))</f>
        <v>0</v>
      </c>
      <c r="Y64" s="42">
        <f>IF(C64&gt;69,0,IF(C64=0,0,IF(X64&lt;=db!$L$3,X64,db!$L$3)))</f>
        <v>0</v>
      </c>
      <c r="Z64" s="29">
        <f>IF(AND(Changes!Change="Yes",Changes!ValidityYear&lt;=Table1[[#This Row],[Year]],Changes!ChangeType="Paid-Up",OR(PaidUpOption="Paid-up with no coverage",PaidUpOption="Paid-up with main coverage")),0,IF(OR(B64=0,Table1[[#This Row],[Accident Capital (2)]]=0),0,IF(AND(Changes!Change="Yes", Changes!ValidityYear&lt;=Table1[[#This Row],[Year]], Changes!ChangeType="Rider Inclusion/Exclusion", Changes!RiderType="Accident Medical Cost"), T64*Changes!NewChangedValue,IF(db!$D$9="Yes",(db!$B$9)*T64,0))))</f>
        <v>0</v>
      </c>
      <c r="AA64" s="29">
        <f>ROUND(IF(C64&gt;69,0,IF(C64=0,0,IF(Z64&lt;=db!$L$4,Z64,db!$L$4))),0)</f>
        <v>0</v>
      </c>
      <c r="AB64" s="38">
        <f>IF(AND(Changes!Change = "Yes", Changes!ChangeType = "Rider Inclusion/Exclusion", Changes!RiderType = "WOP"), IF( Changes!ValidityYear &lt;= Table1[[#This Row],[Year]], IF(WOP = "Yes", 0, 1),  IF(WOP = "Yes", 1, 0)), IF(AND(db!$D$8="Yes",C64&lt;=69,ROW()-1&lt;=InsurancePeriod), 1, 0))</f>
        <v>0</v>
      </c>
      <c r="AC64" s="17">
        <f>(AC65+K65)*AB64*((1)/(1+db!AA66))*(LOOKUP(C64,'Mortality Table'!$A$2:$A$108,'Mortality Table'!$E$2:$E$108))</f>
        <v>0</v>
      </c>
      <c r="AD64" s="340">
        <f>IF(AND(Changes!ValidityYear&lt;= Table1[[#This Row],[Year]],Changes!ChangeType="Change Value Adjustment",Changes!Change="Yes"), (AD65+L65)*AB64*((1)/(1+db!AA66))*(LOOKUP(C64,'Mortality Table'!$A$2:$A$108,'Mortality Table'!$E$2:$E$108)),Table1[[#This Row],[WOP Before Adj. BT]])</f>
        <v>0</v>
      </c>
      <c r="AE64" s="341">
        <f>IF(AND(Changes!Change="Yes", Changes!ChangeType="Change Value Adjustment"),Table1[[#This Row],[WOP Capital]],(AE65+O65)*AB64*((1)/(1+db!AA66))*(LOOKUP(D64,'Mortality Table'!$A$2:$A$108,'Mortality Table'!$E$2:$E$108)))</f>
        <v>0</v>
      </c>
      <c r="AF64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64" s="42">
        <f>IF(AND(Changes!Change="Yes", Changes!ValidityYear&lt;=Table1[[#This Row],[Year]], Changes!ChangeType="Rider Inclusion/Exclusion", Changes!RiderType="Disability Annuity"), L64*Changes!NewChangedValue,L64*db!B$10*IF(db!$D$10="Yes",1,0))</f>
        <v>0</v>
      </c>
      <c r="AH64" s="29">
        <f>IF(AND(Changes!Change="Yes",Changes!ValidityYear&lt;=Table1[[#This Row],[Year]],Changes!ChangeType="Paid-Up"),0,Table1[[#This Row],[Code Annuity Capital]]*IF('Annual Calculation'!C64&gt;69,0,(LOOKUP('Annual Calculation'!C64+1,'Mortality Table'!$A$2:$A$108,'Mortality Table'!$O$2:$O$108)-LOOKUP('Annual Calculation'!C64+11,'Mortality Table'!$A$2:$A$108,'Mortality Table'!$O$2:$O$108))/LOOKUP('Annual Calculation'!C64,'Mortality Table'!$A$2:$A$108,'Mortality Table'!$M$2:$M$108)))</f>
        <v>0</v>
      </c>
      <c r="AI64" s="17">
        <f>IF(AND(Changes!Change="Yes",Changes!ValidityYear&lt;=Table1[[#This Row],[Year]],Changes!ChangeType="Paid-Up",OR(PaidUpOption="Paid-up with no coverage",PaidUpOption="Paid-up with main coverage")),0,IF(B64=0,0,IF(AND(Changes!Change="Yes", Changes!ValidityYear&lt;=Table1[[#This Row],[Year]], Changes!ChangeType="Rider Inclusion/Exclusion", Changes!RiderType="Dread Disease"), T64*Changes!NewChangedValue,IF(db!$D$11="Yes",(db!$B$11)*T64,0))))</f>
        <v>0</v>
      </c>
      <c r="AJ64" s="42">
        <f>ROUND(IF(C64&gt;59,0,IF(C64=0,0,IF(AI64&lt;=db!$L$5,AI64,db!$L$5))),0)</f>
        <v>0</v>
      </c>
      <c r="AK64" s="29">
        <f>IF(AND(Changes!Change="Yes",Changes!ValidityYear&lt;=Table1[[#This Row],[Year]],Changes!ChangeType="Paid-Up",OR(PaidUpOption="Paid-up with no coverage",PaidUpOption="Paid-up with main coverage")),0,IF(B64=0,0,IF(AND(Changes!Change="Yes", Changes!ValidityYear&lt;=Table1[[#This Row],[Year]], Changes!ChangeType="Rider Inclusion/Exclusion", Changes!RiderType="Cancer"), T64*Changes!NewChangedValue,IF(db!$D$12="Yes",(db!$B$12)*T64,0))))</f>
        <v>0</v>
      </c>
      <c r="AL64" s="29">
        <f>ROUND(IF(C64&gt;59,0,IF(C64=0,0,IF(AK64&lt;=db!$L$6,AK64,db!$L$6))),0)</f>
        <v>0</v>
      </c>
      <c r="AM64" s="32"/>
      <c r="AN64" s="18">
        <f>IF(B64=0,0,IF(C64&lt;(db!$E$2+5),LOOKUP(C64,'Mortality Table'!$A$2:$A$108,'Mortality Table'!$P$2:$P$108),IF((C64&gt;=db!$E$2+10),LOOKUP(C64,'Mortality Table'!$A$2:$A$108,'Mortality Table'!$R$2:$R$108),LOOKUP(C64,'Mortality Table'!$A$2:$A$108,'Mortality Table'!$Q$2:$Q$108))))</f>
        <v>0</v>
      </c>
      <c r="AO64" s="22">
        <f t="shared" si="22"/>
        <v>0</v>
      </c>
      <c r="AP64" s="19">
        <f>IF(B64=0,0, LOOKUP(IF(AND(Changes!Change="Yes", Changes!ValidityYear&lt;=Table1[[#This Row],[Year]], Changes!ChangeType="Change Job Class"),Changes!NewChangedValue, db!$A$8),db!$AX$4:$AX$8,db!$AY$4:$AY$8))</f>
        <v>0</v>
      </c>
      <c r="AQ64" s="20">
        <f>ROUND((AP64/1000)*W64 * (1-db!$AS$9),0)</f>
        <v>0</v>
      </c>
      <c r="AR64" s="20">
        <f>(AP64/1000)*W64 * db!$AS$9</f>
        <v>0</v>
      </c>
      <c r="AS64" s="21">
        <f>IF(B64=0,0, LOOKUP(IF(AND(Changes!Change="Yes", Changes!ValidityYear&lt;=Table1[[#This Row],[Year]], Changes!ChangeType="Change Job Class"),Changes!NewChangedValue, db!$A$8),db!$AX$4:$AX$8,db!$AZ$4:$AZ$8))</f>
        <v>0</v>
      </c>
      <c r="AT64" s="22">
        <f>(AS64/1000)*Y64*(1-db!$AS$9)</f>
        <v>0</v>
      </c>
      <c r="AU64" s="22">
        <f>(AS64/1000)*Y64*(db!$AS$9)</f>
        <v>0</v>
      </c>
      <c r="AV64" s="23">
        <f>IF(B64=0,0, LOOKUP(IF(AND(Changes!Change="Yes", Changes!ValidityYear&lt;=Table1[[#This Row],[Year]], Changes!ChangeType="Change Job Class"),Changes!NewChangedValue, db!$A$8),db!$AX$4:$AX$8,db!$BA$4:$BA$8))</f>
        <v>0</v>
      </c>
      <c r="AW64" s="20">
        <f>ROUND((AV64/(100))*AA64*(1-db!$AS$9),0)</f>
        <v>0</v>
      </c>
      <c r="AX64" s="20">
        <f>ROUND((AV64/(100))*AA64*(db!$AS$9),0)</f>
        <v>0</v>
      </c>
      <c r="AY64" s="21">
        <f>IF(db!$D$8="Yes",AS64,0)</f>
        <v>0</v>
      </c>
      <c r="AZ64" s="22">
        <f>(AY64*AF64)/1000*(1-db!$AS$9)</f>
        <v>0</v>
      </c>
      <c r="BA64" s="22">
        <f>(AY64*AF64)/1000*(db!$AS$9)</f>
        <v>0</v>
      </c>
      <c r="BB64" s="23">
        <f t="shared" si="23"/>
        <v>0</v>
      </c>
      <c r="BC64" s="20">
        <f>(BB64*AH64/1000)*(1-db!$AS$9)</f>
        <v>0</v>
      </c>
      <c r="BD64" s="20">
        <f>(BB64*AH64/1000)*(db!$AS$9)</f>
        <v>0</v>
      </c>
      <c r="BE64" s="22">
        <f>IF(B64=0,0,IF(C64&gt;60,0,LOOKUP(Table1[[#This Row],[Medical
Age]],db!$BC$3:$BC$63,db!$BD$3:$BD$63)))</f>
        <v>0</v>
      </c>
      <c r="BF64" s="22">
        <f>BG64*db!$AS$10</f>
        <v>0</v>
      </c>
      <c r="BG64" s="22">
        <f t="shared" si="24"/>
        <v>0</v>
      </c>
      <c r="BH64" s="22">
        <f>(BE64/1000000)*AJ64*(1-db!$AS$10)</f>
        <v>0</v>
      </c>
      <c r="BI64" s="20">
        <f>IF(B64=0,0,IF(C64&gt;59,0,LOOKUP(Table1[[#This Row],[Medical
Age]],db!$BC$3:$BC$63,db!$BE$3:$BE$63)))</f>
        <v>0</v>
      </c>
      <c r="BJ64" s="20">
        <f>(BI64/1000000)*AL64*(1-db!$AS$11)</f>
        <v>0</v>
      </c>
      <c r="BK64" s="20">
        <f>(BI64/1000000)*AL64*(db!$AS$11)</f>
        <v>0</v>
      </c>
      <c r="BL64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64" s="20">
        <f>Table1[[#This Row],[RiskLoading
Rate]]*Table1[[#This Row],[Death Capital (2)]]</f>
        <v>0</v>
      </c>
      <c r="BN64" s="36"/>
      <c r="BO64" s="37">
        <f t="shared" si="25"/>
        <v>0</v>
      </c>
      <c r="BP64" s="35">
        <f t="shared" si="26"/>
        <v>0</v>
      </c>
      <c r="BQ64" s="35">
        <f t="shared" si="27"/>
        <v>0</v>
      </c>
      <c r="BR64" s="37">
        <f t="shared" si="11"/>
        <v>0</v>
      </c>
      <c r="BS64" s="37">
        <f t="shared" si="12"/>
        <v>0</v>
      </c>
      <c r="BT64" s="35">
        <f t="shared" si="13"/>
        <v>0</v>
      </c>
      <c r="BU64" s="35">
        <f t="shared" si="14"/>
        <v>0</v>
      </c>
      <c r="BV64" s="37">
        <f>(db!$AS$4/100)*(L64-BT64-BU64)</f>
        <v>0</v>
      </c>
      <c r="BW64" s="37">
        <f>(db!$AS$8/100)*(L64-BT64-BU64)</f>
        <v>0</v>
      </c>
      <c r="BX64" s="35"/>
      <c r="BY64" s="37"/>
      <c r="BZ64" s="37"/>
      <c r="CA64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64" s="33"/>
      <c r="CC64" s="39">
        <f>ROUND((Table1[[#This Row],[Premium]]-Table1[[#This Row],[All Deductions]]),0)</f>
        <v>0</v>
      </c>
      <c r="CD64" s="39">
        <f>IF(B64=0,0,Table1[[#This Row],[Initial Reserve]]+CE63)</f>
        <v>0</v>
      </c>
      <c r="CE64" s="40">
        <f>ROUND(IF(B64=0,0,((CC64)*(1+db!Y66))+((CE63)*(1+db!U66))),0)</f>
        <v>0</v>
      </c>
      <c r="CF64" s="40">
        <f t="shared" si="28"/>
        <v>0</v>
      </c>
      <c r="CG64" s="15">
        <f t="shared" si="15"/>
        <v>63</v>
      </c>
      <c r="CH64" s="39">
        <f>IF(B64=0,0,((CC64)*(1+db!AH66))+((CH63)*(1+db!AD66)))</f>
        <v>0</v>
      </c>
      <c r="CI64" s="39">
        <f>IF(B64=0,0,((CC64)*(1+db!AH66))+((CI63)*(1+db!AD66)))</f>
        <v>0</v>
      </c>
      <c r="CJ64" s="40">
        <f>IF(B64=0,0,((CC64)*(1+db!AO66))+((CJ63)*(1+db!AK66)))</f>
        <v>0</v>
      </c>
      <c r="CK64" s="40">
        <f>CJ64-(SUM(BX$7:$BX65))</f>
        <v>0</v>
      </c>
      <c r="CL64" s="46"/>
    </row>
    <row r="65" spans="1:90">
      <c r="A65" s="24">
        <f t="shared" si="16"/>
        <v>64</v>
      </c>
      <c r="B65" s="16">
        <f>IF(AND(Changes!Change="Yes", Changes!ChangeType="Change Contract Duration"),IF(B64=0,0,IF(Changes!NewChangedValue&lt;B64+1,0,B64+1)),IF(B64=0,0,IF('Application Annually'!$C$5&lt;B64+1,0,B64+1)))</f>
        <v>0</v>
      </c>
      <c r="C65" s="15">
        <f t="shared" si="17"/>
        <v>0</v>
      </c>
      <c r="D65" s="312">
        <f t="shared" si="18"/>
        <v>91</v>
      </c>
      <c r="E65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65" s="29">
        <f t="shared" si="8"/>
        <v>0</v>
      </c>
      <c r="G65" s="29">
        <f t="shared" si="9"/>
        <v>0</v>
      </c>
      <c r="H65" s="29">
        <f t="shared" si="20"/>
        <v>0</v>
      </c>
      <c r="I65" s="29">
        <f>IF(B65&gt;0,IF(AND(Table1[[#This Row],[Year]]&gt;Changes!ValidityYear,Changes!Change="Yes",Changes!ChangeType="Change Value Adjustment"),Changes!$G$22,'Application Annually'!$C$11),0)</f>
        <v>0</v>
      </c>
      <c r="J65" s="29">
        <f>IF(B65&gt;0,IF(AND(Table1[[#This Row],[Year]]&gt;Changes!ValidityYear,Changes!Change="Yes",Changes!ChangeType="Change Value Adjustment"),Changes!$G$24,'Application Annually'!$C$7),0)</f>
        <v>0</v>
      </c>
      <c r="K65" s="29">
        <f>ROUND(IF(B65=0,0,IF(AND(Changes!Change="Yes", Changes!ValidityYear=Table1[[#This Row],[Year]], Changes!ChangeType="Change Premium"), Changes!NewChangedValue, (K64*(1+db!$B$3)))),0)</f>
        <v>0</v>
      </c>
      <c r="L65" s="29">
        <f>ROUND(IF(AND(Changes!Change="Yes",Changes!ValidityYear&lt;=Table1[[#This Row],[Year]],Changes!ChangeType="Paid-Up"),0,IF(B65=0,0,IF(AND(Changes!Change="Yes", Changes!ValidityYear=Table1[[#This Row],[Year]], Changes!ChangeType="Change Premium"), Changes!NewChangedValue, (L64*(1+Table1[[#This Row],[Adjustment Factor of Premium]]/100))))),0)</f>
        <v>0</v>
      </c>
      <c r="M65" s="29">
        <f>IF(Table1[[#This Row],[Year]]=1,ROUND(MIN($L$2 -( Table1[[#This Row],[Riders Risk Premiums]] + Table1[[#This Row],[Acquisition Cost]]) *0.75,Table1[[#This Row],[Death Capital (1)]]* 0.03),0),0)</f>
        <v>0</v>
      </c>
      <c r="N65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65" s="29">
        <f>ROUND(IF(ROW()-1&gt;InsurancePeriod,0,(O64*(1+(Table1[[#This Row],[Adjustment Factor of Premium]]/100)))),0)</f>
        <v>0</v>
      </c>
      <c r="P65" s="29">
        <f>IF(Table1[Year] = 0, 0, SUM(L$2:L65))</f>
        <v>0</v>
      </c>
      <c r="Q65" s="17">
        <f t="shared" si="21"/>
        <v>0</v>
      </c>
      <c r="R65" s="17">
        <f>IF(Table1[[#This Row],[Year]]=0,0,IF($C$2&lt;=50,LOOKUP(Table1[[#This Row],[Age]],db!BG66:BG172,db!BH66:BH172),LOOKUP(Table1[[#This Row],[Age]],db!BJ66:BJ172,db!BK66:BK172)))</f>
        <v>0</v>
      </c>
      <c r="S65" s="17">
        <f>IF(AND(Changes!Change="Yes",Changes!ValidityYear&lt;=Table1[[#This Row],[Year]],Changes!ChangeType="Paid-Up",PaidUpOption="Paid-up with no coverage"),0,IF(B65=0,0, IF(AND(Changes!Change="Yes", Changes!ValidityYear=Table1[[#This Row],[Year]], Changes!ChangeType="Change Death Capital"), Changes!NewChangedValue, S64*(1+(Table1[[#This Row],[Adjustment Factor of Death Capital]]/100)))))</f>
        <v>0</v>
      </c>
      <c r="T65" s="17">
        <f>MIN(IF(B65=0,0,Table1[[#This Row],[Death Capital (1)]]),Table1[[#This Row],[Max Sum Insured For Death]])</f>
        <v>0</v>
      </c>
      <c r="U65" s="29">
        <f t="shared" si="10"/>
        <v>0</v>
      </c>
      <c r="V65" s="29">
        <f>IF(AND(Changes!Change="Yes",Changes!ValidityYear&lt;=Table1[[#This Row],[Year]],Changes!ChangeType="Paid-Up",OR(PaidUpOption="Paid-up with no coverage",PaidUpOption="Paid-up with main coverage")),0,IF(B65=0,0,IF(AND(Changes!Change="Yes", Changes!ValidityYear&lt;=Table1[[#This Row],[Year]], Changes!ChangeType="Rider Inclusion/Exclusion", Changes!RiderType="Accident Death"), T65*Changes!NewChangedValue,IF(db!$D$6="Yes",(db!$B$6)*T65,0))))</f>
        <v>0</v>
      </c>
      <c r="W65" s="29">
        <f>MIN(IF(V65&lt;=db!$L$2,V65,db!$L$2),MAX_ACC_CAPITAL)</f>
        <v>0</v>
      </c>
      <c r="X65" s="17">
        <f>IF(AND(Changes!Change="Yes",Changes!ValidityYear&lt;=Table1[[#This Row],[Year]],Changes!ChangeType="Paid-Up",OR(PaidUpOption="Paid-up with no coverage",PaidUpOption="Paid-up with main coverage")),0,IF(OR(B65=0,Table1[[#This Row],[Accident Capital (2)]]=0),0,IF(AND(Changes!Change="Yes", Changes!ValidityYear&lt;=Table1[[#This Row],[Year]], Changes!ChangeType="Rider Inclusion/Exclusion", Changes!RiderType="Accident Disability"), T65*Changes!NewChangedValue,IF(db!$D$7="Yes",(db!$B$7)*T65,0))))</f>
        <v>0</v>
      </c>
      <c r="Y65" s="42">
        <f>IF(C65&gt;69,0,IF(C65=0,0,IF(X65&lt;=db!$L$3,X65,db!$L$3)))</f>
        <v>0</v>
      </c>
      <c r="Z65" s="29">
        <f>IF(AND(Changes!Change="Yes",Changes!ValidityYear&lt;=Table1[[#This Row],[Year]],Changes!ChangeType="Paid-Up",OR(PaidUpOption="Paid-up with no coverage",PaidUpOption="Paid-up with main coverage")),0,IF(OR(B65=0,Table1[[#This Row],[Accident Capital (2)]]=0),0,IF(AND(Changes!Change="Yes", Changes!ValidityYear&lt;=Table1[[#This Row],[Year]], Changes!ChangeType="Rider Inclusion/Exclusion", Changes!RiderType="Accident Medical Cost"), T65*Changes!NewChangedValue,IF(db!$D$9="Yes",(db!$B$9)*T65,0))))</f>
        <v>0</v>
      </c>
      <c r="AA65" s="29">
        <f>ROUND(IF(C65&gt;69,0,IF(C65=0,0,IF(Z65&lt;=db!$L$4,Z65,db!$L$4))),0)</f>
        <v>0</v>
      </c>
      <c r="AB65" s="38">
        <f>IF(AND(Changes!Change = "Yes", Changes!ChangeType = "Rider Inclusion/Exclusion", Changes!RiderType = "WOP"), IF( Changes!ValidityYear &lt;= Table1[[#This Row],[Year]], IF(WOP = "Yes", 0, 1),  IF(WOP = "Yes", 1, 0)), IF(AND(db!$D$8="Yes",C65&lt;=69,ROW()-1&lt;=InsurancePeriod), 1, 0))</f>
        <v>0</v>
      </c>
      <c r="AC65" s="17">
        <f>(AC66+K66)*AB65*((1)/(1+db!AA67))*(LOOKUP(C65,'Mortality Table'!$A$2:$A$108,'Mortality Table'!$E$2:$E$108))</f>
        <v>0</v>
      </c>
      <c r="AD65" s="340">
        <f>IF(AND(Changes!ValidityYear&lt;= Table1[[#This Row],[Year]],Changes!ChangeType="Change Value Adjustment",Changes!Change="Yes"), (AD66+L66)*AB65*((1)/(1+db!AA67))*(LOOKUP(C65,'Mortality Table'!$A$2:$A$108,'Mortality Table'!$E$2:$E$108)),Table1[[#This Row],[WOP Before Adj. BT]])</f>
        <v>0</v>
      </c>
      <c r="AE65" s="341">
        <f>IF(AND(Changes!Change="Yes", Changes!ChangeType="Change Value Adjustment"),Table1[[#This Row],[WOP Capital]],(AE66+O66)*AB65*((1)/(1+db!AA67))*(LOOKUP(D65,'Mortality Table'!$A$2:$A$108,'Mortality Table'!$E$2:$E$108)))</f>
        <v>0</v>
      </c>
      <c r="AF65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65" s="42">
        <f>IF(AND(Changes!Change="Yes", Changes!ValidityYear&lt;=Table1[[#This Row],[Year]], Changes!ChangeType="Rider Inclusion/Exclusion", Changes!RiderType="Disability Annuity"), L65*Changes!NewChangedValue,L65*db!B$10*IF(db!$D$10="Yes",1,0))</f>
        <v>0</v>
      </c>
      <c r="AH65" s="29">
        <f>IF(AND(Changes!Change="Yes",Changes!ValidityYear&lt;=Table1[[#This Row],[Year]],Changes!ChangeType="Paid-Up"),0,Table1[[#This Row],[Code Annuity Capital]]*IF('Annual Calculation'!C65&gt;69,0,(LOOKUP('Annual Calculation'!C65+1,'Mortality Table'!$A$2:$A$108,'Mortality Table'!$O$2:$O$108)-LOOKUP('Annual Calculation'!C65+11,'Mortality Table'!$A$2:$A$108,'Mortality Table'!$O$2:$O$108))/LOOKUP('Annual Calculation'!C65,'Mortality Table'!$A$2:$A$108,'Mortality Table'!$M$2:$M$108)))</f>
        <v>0</v>
      </c>
      <c r="AI65" s="17">
        <f>IF(AND(Changes!Change="Yes",Changes!ValidityYear&lt;=Table1[[#This Row],[Year]],Changes!ChangeType="Paid-Up",OR(PaidUpOption="Paid-up with no coverage",PaidUpOption="Paid-up with main coverage")),0,IF(B65=0,0,IF(AND(Changes!Change="Yes", Changes!ValidityYear&lt;=Table1[[#This Row],[Year]], Changes!ChangeType="Rider Inclusion/Exclusion", Changes!RiderType="Dread Disease"), T65*Changes!NewChangedValue,IF(db!$D$11="Yes",(db!$B$11)*T65,0))))</f>
        <v>0</v>
      </c>
      <c r="AJ65" s="42">
        <f>ROUND(IF(C65&gt;59,0,IF(C65=0,0,IF(AI65&lt;=db!$L$5,AI65,db!$L$5))),0)</f>
        <v>0</v>
      </c>
      <c r="AK65" s="29">
        <f>IF(AND(Changes!Change="Yes",Changes!ValidityYear&lt;=Table1[[#This Row],[Year]],Changes!ChangeType="Paid-Up",OR(PaidUpOption="Paid-up with no coverage",PaidUpOption="Paid-up with main coverage")),0,IF(B65=0,0,IF(AND(Changes!Change="Yes", Changes!ValidityYear&lt;=Table1[[#This Row],[Year]], Changes!ChangeType="Rider Inclusion/Exclusion", Changes!RiderType="Cancer"), T65*Changes!NewChangedValue,IF(db!$D$12="Yes",(db!$B$12)*T65,0))))</f>
        <v>0</v>
      </c>
      <c r="AL65" s="29">
        <f>ROUND(IF(C65&gt;59,0,IF(C65=0,0,IF(AK65&lt;=db!$L$6,AK65,db!$L$6))),0)</f>
        <v>0</v>
      </c>
      <c r="AM65" s="32"/>
      <c r="AN65" s="18">
        <f>IF(B65=0,0,IF(C65&lt;(db!$E$2+5),LOOKUP(C65,'Mortality Table'!$A$2:$A$108,'Mortality Table'!$P$2:$P$108),IF((C65&gt;=db!$E$2+10),LOOKUP(C65,'Mortality Table'!$A$2:$A$108,'Mortality Table'!$R$2:$R$108),LOOKUP(C65,'Mortality Table'!$A$2:$A$108,'Mortality Table'!$Q$2:$Q$108))))</f>
        <v>0</v>
      </c>
      <c r="AO65" s="22">
        <f t="shared" si="22"/>
        <v>0</v>
      </c>
      <c r="AP65" s="19">
        <f>IF(B65=0,0, LOOKUP(IF(AND(Changes!Change="Yes", Changes!ValidityYear&lt;=Table1[[#This Row],[Year]], Changes!ChangeType="Change Job Class"),Changes!NewChangedValue, db!$A$8),db!$AX$4:$AX$8,db!$AY$4:$AY$8))</f>
        <v>0</v>
      </c>
      <c r="AQ65" s="20">
        <f>ROUND((AP65/1000)*W65 * (1-db!$AS$9),0)</f>
        <v>0</v>
      </c>
      <c r="AR65" s="20">
        <f>(AP65/1000)*W65 * db!$AS$9</f>
        <v>0</v>
      </c>
      <c r="AS65" s="21">
        <f>IF(B65=0,0, LOOKUP(IF(AND(Changes!Change="Yes", Changes!ValidityYear&lt;=Table1[[#This Row],[Year]], Changes!ChangeType="Change Job Class"),Changes!NewChangedValue, db!$A$8),db!$AX$4:$AX$8,db!$AZ$4:$AZ$8))</f>
        <v>0</v>
      </c>
      <c r="AT65" s="22">
        <f>(AS65/1000)*Y65*(1-db!$AS$9)</f>
        <v>0</v>
      </c>
      <c r="AU65" s="22">
        <f>(AS65/1000)*Y65*(db!$AS$9)</f>
        <v>0</v>
      </c>
      <c r="AV65" s="23">
        <f>IF(B65=0,0, LOOKUP(IF(AND(Changes!Change="Yes", Changes!ValidityYear&lt;=Table1[[#This Row],[Year]], Changes!ChangeType="Change Job Class"),Changes!NewChangedValue, db!$A$8),db!$AX$4:$AX$8,db!$BA$4:$BA$8))</f>
        <v>0</v>
      </c>
      <c r="AW65" s="20">
        <f>ROUND((AV65/(100))*AA65*(1-db!$AS$9),0)</f>
        <v>0</v>
      </c>
      <c r="AX65" s="20">
        <f>ROUND((AV65/(100))*AA65*(db!$AS$9),0)</f>
        <v>0</v>
      </c>
      <c r="AY65" s="21">
        <f>IF(db!$D$8="Yes",AS65,0)</f>
        <v>0</v>
      </c>
      <c r="AZ65" s="22">
        <f>(AY65*AF65)/1000*(1-db!$AS$9)</f>
        <v>0</v>
      </c>
      <c r="BA65" s="22">
        <f>(AY65*AF65)/1000*(db!$AS$9)</f>
        <v>0</v>
      </c>
      <c r="BB65" s="23">
        <f t="shared" si="23"/>
        <v>0</v>
      </c>
      <c r="BC65" s="20">
        <f>(BB65*AH65/1000)*(1-db!$AS$9)</f>
        <v>0</v>
      </c>
      <c r="BD65" s="20">
        <f>(BB65*AH65/1000)*(db!$AS$9)</f>
        <v>0</v>
      </c>
      <c r="BE65" s="22">
        <f>IF(B65=0,0,IF(C65&gt;60,0,LOOKUP(Table1[[#This Row],[Medical
Age]],db!$BC$3:$BC$63,db!$BD$3:$BD$63)))</f>
        <v>0</v>
      </c>
      <c r="BF65" s="22">
        <f>BG65*db!$AS$10</f>
        <v>0</v>
      </c>
      <c r="BG65" s="22">
        <f t="shared" si="24"/>
        <v>0</v>
      </c>
      <c r="BH65" s="22">
        <f>(BE65/1000000)*AJ65*(1-db!$AS$10)</f>
        <v>0</v>
      </c>
      <c r="BI65" s="20">
        <f>IF(B65=0,0,IF(C65&gt;59,0,LOOKUP(Table1[[#This Row],[Medical
Age]],db!$BC$3:$BC$63,db!$BE$3:$BE$63)))</f>
        <v>0</v>
      </c>
      <c r="BJ65" s="20">
        <f>(BI65/1000000)*AL65*(1-db!$AS$11)</f>
        <v>0</v>
      </c>
      <c r="BK65" s="20">
        <f>(BI65/1000000)*AL65*(db!$AS$11)</f>
        <v>0</v>
      </c>
      <c r="BL65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65" s="20">
        <f>Table1[[#This Row],[RiskLoading
Rate]]*Table1[[#This Row],[Death Capital (2)]]</f>
        <v>0</v>
      </c>
      <c r="BN65" s="36"/>
      <c r="BO65" s="37">
        <f t="shared" si="25"/>
        <v>0</v>
      </c>
      <c r="BP65" s="35">
        <f t="shared" si="26"/>
        <v>0</v>
      </c>
      <c r="BQ65" s="35">
        <f t="shared" si="27"/>
        <v>0</v>
      </c>
      <c r="BR65" s="37">
        <f t="shared" si="11"/>
        <v>0</v>
      </c>
      <c r="BS65" s="37">
        <f t="shared" si="12"/>
        <v>0</v>
      </c>
      <c r="BT65" s="35">
        <f t="shared" si="13"/>
        <v>0</v>
      </c>
      <c r="BU65" s="35">
        <f t="shared" si="14"/>
        <v>0</v>
      </c>
      <c r="BV65" s="37">
        <f>(db!$AS$4/100)*(L65-BT65-BU65)</f>
        <v>0</v>
      </c>
      <c r="BW65" s="37">
        <f>(db!$AS$8/100)*(L65-BT65-BU65)</f>
        <v>0</v>
      </c>
      <c r="BX65" s="35"/>
      <c r="BY65" s="37"/>
      <c r="BZ65" s="37"/>
      <c r="CA65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65" s="33"/>
      <c r="CC65" s="39">
        <f>ROUND((Table1[[#This Row],[Premium]]-Table1[[#This Row],[All Deductions]]),0)</f>
        <v>0</v>
      </c>
      <c r="CD65" s="39">
        <f>IF(B65=0,0,Table1[[#This Row],[Initial Reserve]]+CE64)</f>
        <v>0</v>
      </c>
      <c r="CE65" s="40">
        <f>ROUND(IF(B65=0,0,((CC65)*(1+db!Y67))+((CE64)*(1+db!U67))),0)</f>
        <v>0</v>
      </c>
      <c r="CF65" s="40">
        <f t="shared" si="28"/>
        <v>0</v>
      </c>
      <c r="CG65" s="15">
        <f t="shared" si="15"/>
        <v>64</v>
      </c>
      <c r="CH65" s="39">
        <f>IF(B65=0,0,((CC65)*(1+db!AH67))+((CH64)*(1+db!AD67)))</f>
        <v>0</v>
      </c>
      <c r="CI65" s="39">
        <f>IF(B65=0,0,((CC65)*(1+db!AH67))+((CI64)*(1+db!AD67)))</f>
        <v>0</v>
      </c>
      <c r="CJ65" s="40">
        <f>IF(B65=0,0,((CC65)*(1+db!AO67))+((CJ64)*(1+db!AK67)))</f>
        <v>0</v>
      </c>
      <c r="CK65" s="40">
        <f>CJ65-(SUM(BX$7:$BX66))</f>
        <v>0</v>
      </c>
      <c r="CL65" s="46"/>
    </row>
    <row r="66" spans="1:90">
      <c r="A66" s="24">
        <f t="shared" si="16"/>
        <v>65</v>
      </c>
      <c r="B66" s="16">
        <f>IF(AND(Changes!Change="Yes", Changes!ChangeType="Change Contract Duration"),IF(B65=0,0,IF(Changes!NewChangedValue&lt;B65+1,0,B65+1)),IF(B65=0,0,IF('Application Annually'!$C$5&lt;B65+1,0,B65+1)))</f>
        <v>0</v>
      </c>
      <c r="C66" s="15">
        <f t="shared" si="17"/>
        <v>0</v>
      </c>
      <c r="D66" s="312">
        <f t="shared" si="18"/>
        <v>92</v>
      </c>
      <c r="E66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66" s="29">
        <f t="shared" si="8"/>
        <v>0</v>
      </c>
      <c r="G66" s="29">
        <f t="shared" si="9"/>
        <v>0</v>
      </c>
      <c r="H66" s="29">
        <f t="shared" ref="H66:H97" si="29" xml:space="preserve"> ROUND(L66 * (1 + SumOfTAX),-3)</f>
        <v>0</v>
      </c>
      <c r="I66" s="29">
        <f>IF(B66&gt;0,IF(AND(Table1[[#This Row],[Year]]&gt;Changes!ValidityYear,Changes!Change="Yes",Changes!ChangeType="Change Value Adjustment"),Changes!$G$22,'Application Annually'!$C$11),0)</f>
        <v>0</v>
      </c>
      <c r="J66" s="29">
        <f>IF(B66&gt;0,IF(AND(Table1[[#This Row],[Year]]&gt;Changes!ValidityYear,Changes!Change="Yes",Changes!ChangeType="Change Value Adjustment"),Changes!$G$24,'Application Annually'!$C$7),0)</f>
        <v>0</v>
      </c>
      <c r="K66" s="29">
        <f>ROUND(IF(B66=0,0,IF(AND(Changes!Change="Yes", Changes!ValidityYear=Table1[[#This Row],[Year]], Changes!ChangeType="Change Premium"), Changes!NewChangedValue, (K65*(1+db!$B$3)))),0)</f>
        <v>0</v>
      </c>
      <c r="L66" s="29">
        <f>ROUND(IF(AND(Changes!Change="Yes",Changes!ValidityYear&lt;=Table1[[#This Row],[Year]],Changes!ChangeType="Paid-Up"),0,IF(B66=0,0,IF(AND(Changes!Change="Yes", Changes!ValidityYear=Table1[[#This Row],[Year]], Changes!ChangeType="Change Premium"), Changes!NewChangedValue, (L65*(1+Table1[[#This Row],[Adjustment Factor of Premium]]/100))))),0)</f>
        <v>0</v>
      </c>
      <c r="M66" s="29">
        <f>IF(Table1[[#This Row],[Year]]=1,ROUND(MIN($L$2 -( Table1[[#This Row],[Riders Risk Premiums]] + Table1[[#This Row],[Acquisition Cost]]) *0.75,Table1[[#This Row],[Death Capital (1)]]* 0.03),0),0)</f>
        <v>0</v>
      </c>
      <c r="N66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66" s="29">
        <f>ROUND(IF(ROW()-1&gt;InsurancePeriod,0,(O65*(1+(Table1[[#This Row],[Adjustment Factor of Premium]]/100)))),0)</f>
        <v>0</v>
      </c>
      <c r="P66" s="29">
        <f>IF(Table1[Year] = 0, 0, SUM(L$2:L66))</f>
        <v>0</v>
      </c>
      <c r="Q66" s="17">
        <f t="shared" ref="Q66:Q97" si="30">ROUND(T66,-3)</f>
        <v>0</v>
      </c>
      <c r="R66" s="17">
        <f>IF(Table1[[#This Row],[Year]]=0,0,IF($C$2&lt;=50,LOOKUP(Table1[[#This Row],[Age]],db!BG67:BG173,db!BH67:BH173),LOOKUP(Table1[[#This Row],[Age]],db!BJ67:BJ173,db!BK67:BK173)))</f>
        <v>0</v>
      </c>
      <c r="S66" s="17">
        <f>IF(AND(Changes!Change="Yes",Changes!ValidityYear&lt;=Table1[[#This Row],[Year]],Changes!ChangeType="Paid-Up",PaidUpOption="Paid-up with no coverage"),0,IF(B66=0,0, IF(AND(Changes!Change="Yes", Changes!ValidityYear=Table1[[#This Row],[Year]], Changes!ChangeType="Change Death Capital"), Changes!NewChangedValue, S65*(1+(Table1[[#This Row],[Adjustment Factor of Death Capital]]/100)))))</f>
        <v>0</v>
      </c>
      <c r="T66" s="17">
        <f>MIN(IF(B66=0,0,Table1[[#This Row],[Death Capital (1)]]),Table1[[#This Row],[Max Sum Insured For Death]])</f>
        <v>0</v>
      </c>
      <c r="U66" s="29">
        <f t="shared" si="10"/>
        <v>0</v>
      </c>
      <c r="V66" s="29">
        <f>IF(AND(Changes!Change="Yes",Changes!ValidityYear&lt;=Table1[[#This Row],[Year]],Changes!ChangeType="Paid-Up",OR(PaidUpOption="Paid-up with no coverage",PaidUpOption="Paid-up with main coverage")),0,IF(B66=0,0,IF(AND(Changes!Change="Yes", Changes!ValidityYear&lt;=Table1[[#This Row],[Year]], Changes!ChangeType="Rider Inclusion/Exclusion", Changes!RiderType="Accident Death"), T66*Changes!NewChangedValue,IF(db!$D$6="Yes",(db!$B$6)*T66,0))))</f>
        <v>0</v>
      </c>
      <c r="W66" s="29">
        <f>MIN(IF(V66&lt;=db!$L$2,V66,db!$L$2),MAX_ACC_CAPITAL)</f>
        <v>0</v>
      </c>
      <c r="X66" s="17">
        <f>IF(AND(Changes!Change="Yes",Changes!ValidityYear&lt;=Table1[[#This Row],[Year]],Changes!ChangeType="Paid-Up",OR(PaidUpOption="Paid-up with no coverage",PaidUpOption="Paid-up with main coverage")),0,IF(OR(B66=0,Table1[[#This Row],[Accident Capital (2)]]=0),0,IF(AND(Changes!Change="Yes", Changes!ValidityYear&lt;=Table1[[#This Row],[Year]], Changes!ChangeType="Rider Inclusion/Exclusion", Changes!RiderType="Accident Disability"), T66*Changes!NewChangedValue,IF(db!$D$7="Yes",(db!$B$7)*T66,0))))</f>
        <v>0</v>
      </c>
      <c r="Y66" s="42">
        <f>IF(C66&gt;69,0,IF(C66=0,0,IF(X66&lt;=db!$L$3,X66,db!$L$3)))</f>
        <v>0</v>
      </c>
      <c r="Z66" s="29">
        <f>IF(AND(Changes!Change="Yes",Changes!ValidityYear&lt;=Table1[[#This Row],[Year]],Changes!ChangeType="Paid-Up",OR(PaidUpOption="Paid-up with no coverage",PaidUpOption="Paid-up with main coverage")),0,IF(OR(B66=0,Table1[[#This Row],[Accident Capital (2)]]=0),0,IF(AND(Changes!Change="Yes", Changes!ValidityYear&lt;=Table1[[#This Row],[Year]], Changes!ChangeType="Rider Inclusion/Exclusion", Changes!RiderType="Accident Medical Cost"), T66*Changes!NewChangedValue,IF(db!$D$9="Yes",(db!$B$9)*T66,0))))</f>
        <v>0</v>
      </c>
      <c r="AA66" s="29">
        <f>ROUND(IF(C66&gt;69,0,IF(C66=0,0,IF(Z66&lt;=db!$L$4,Z66,db!$L$4))),0)</f>
        <v>0</v>
      </c>
      <c r="AB66" s="38">
        <f>IF(AND(Changes!Change = "Yes", Changes!ChangeType = "Rider Inclusion/Exclusion", Changes!RiderType = "WOP"), IF( Changes!ValidityYear &lt;= Table1[[#This Row],[Year]], IF(WOP = "Yes", 0, 1),  IF(WOP = "Yes", 1, 0)), IF(AND(db!$D$8="Yes",C66&lt;=69,ROW()-1&lt;=InsurancePeriod), 1, 0))</f>
        <v>0</v>
      </c>
      <c r="AC66" s="17">
        <f>(AC67+K67)*AB66*((1)/(1+db!AA68))*(LOOKUP(C66,'Mortality Table'!$A$2:$A$108,'Mortality Table'!$E$2:$E$108))</f>
        <v>0</v>
      </c>
      <c r="AD66" s="340">
        <f>IF(AND(Changes!ValidityYear&lt;= Table1[[#This Row],[Year]],Changes!ChangeType="Change Value Adjustment",Changes!Change="Yes"), (AD67+L67)*AB66*((1)/(1+db!AA68))*(LOOKUP(C66,'Mortality Table'!$A$2:$A$108,'Mortality Table'!$E$2:$E$108)),Table1[[#This Row],[WOP Before Adj. BT]])</f>
        <v>0</v>
      </c>
      <c r="AE66" s="341">
        <f>IF(AND(Changes!Change="Yes", Changes!ChangeType="Change Value Adjustment"),Table1[[#This Row],[WOP Capital]],(AE67+O67)*AB66*((1)/(1+db!AA68))*(LOOKUP(D66,'Mortality Table'!$A$2:$A$108,'Mortality Table'!$E$2:$E$108)))</f>
        <v>0</v>
      </c>
      <c r="AF66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66" s="42">
        <f>IF(AND(Changes!Change="Yes", Changes!ValidityYear&lt;=Table1[[#This Row],[Year]], Changes!ChangeType="Rider Inclusion/Exclusion", Changes!RiderType="Disability Annuity"), L66*Changes!NewChangedValue,L66*db!B$10*IF(db!$D$10="Yes",1,0))</f>
        <v>0</v>
      </c>
      <c r="AH66" s="29">
        <f>IF(AND(Changes!Change="Yes",Changes!ValidityYear&lt;=Table1[[#This Row],[Year]],Changes!ChangeType="Paid-Up"),0,Table1[[#This Row],[Code Annuity Capital]]*IF('Annual Calculation'!C66&gt;69,0,(LOOKUP('Annual Calculation'!C66+1,'Mortality Table'!$A$2:$A$108,'Mortality Table'!$O$2:$O$108)-LOOKUP('Annual Calculation'!C66+11,'Mortality Table'!$A$2:$A$108,'Mortality Table'!$O$2:$O$108))/LOOKUP('Annual Calculation'!C66,'Mortality Table'!$A$2:$A$108,'Mortality Table'!$M$2:$M$108)))</f>
        <v>0</v>
      </c>
      <c r="AI66" s="17">
        <f>IF(AND(Changes!Change="Yes",Changes!ValidityYear&lt;=Table1[[#This Row],[Year]],Changes!ChangeType="Paid-Up",OR(PaidUpOption="Paid-up with no coverage",PaidUpOption="Paid-up with main coverage")),0,IF(B66=0,0,IF(AND(Changes!Change="Yes", Changes!ValidityYear&lt;=Table1[[#This Row],[Year]], Changes!ChangeType="Rider Inclusion/Exclusion", Changes!RiderType="Dread Disease"), T66*Changes!NewChangedValue,IF(db!$D$11="Yes",(db!$B$11)*T66,0))))</f>
        <v>0</v>
      </c>
      <c r="AJ66" s="42">
        <f>ROUND(IF(C66&gt;59,0,IF(C66=0,0,IF(AI66&lt;=db!$L$5,AI66,db!$L$5))),0)</f>
        <v>0</v>
      </c>
      <c r="AK66" s="29">
        <f>IF(AND(Changes!Change="Yes",Changes!ValidityYear&lt;=Table1[[#This Row],[Year]],Changes!ChangeType="Paid-Up",OR(PaidUpOption="Paid-up with no coverage",PaidUpOption="Paid-up with main coverage")),0,IF(B66=0,0,IF(AND(Changes!Change="Yes", Changes!ValidityYear&lt;=Table1[[#This Row],[Year]], Changes!ChangeType="Rider Inclusion/Exclusion", Changes!RiderType="Cancer"), T66*Changes!NewChangedValue,IF(db!$D$12="Yes",(db!$B$12)*T66,0))))</f>
        <v>0</v>
      </c>
      <c r="AL66" s="29">
        <f>ROUND(IF(C66&gt;59,0,IF(C66=0,0,IF(AK66&lt;=db!$L$6,AK66,db!$L$6))),0)</f>
        <v>0</v>
      </c>
      <c r="AM66" s="32"/>
      <c r="AN66" s="18">
        <f>IF(B66=0,0,IF(C66&lt;(db!$E$2+5),LOOKUP(C66,'Mortality Table'!$A$2:$A$108,'Mortality Table'!$P$2:$P$108),IF((C66&gt;=db!$E$2+10),LOOKUP(C66,'Mortality Table'!$A$2:$A$108,'Mortality Table'!$R$2:$R$108),LOOKUP(C66,'Mortality Table'!$A$2:$A$108,'Mortality Table'!$Q$2:$Q$108))))</f>
        <v>0</v>
      </c>
      <c r="AO66" s="22">
        <f t="shared" ref="AO66:AO97" si="31">ROUND(AN66*T66,0)</f>
        <v>0</v>
      </c>
      <c r="AP66" s="19">
        <f>IF(B66=0,0, LOOKUP(IF(AND(Changes!Change="Yes", Changes!ValidityYear&lt;=Table1[[#This Row],[Year]], Changes!ChangeType="Change Job Class"),Changes!NewChangedValue, db!$A$8),db!$AX$4:$AX$8,db!$AY$4:$AY$8))</f>
        <v>0</v>
      </c>
      <c r="AQ66" s="20">
        <f>ROUND((AP66/1000)*W66 * (1-db!$AS$9),0)</f>
        <v>0</v>
      </c>
      <c r="AR66" s="20">
        <f>(AP66/1000)*W66 * db!$AS$9</f>
        <v>0</v>
      </c>
      <c r="AS66" s="21">
        <f>IF(B66=0,0, LOOKUP(IF(AND(Changes!Change="Yes", Changes!ValidityYear&lt;=Table1[[#This Row],[Year]], Changes!ChangeType="Change Job Class"),Changes!NewChangedValue, db!$A$8),db!$AX$4:$AX$8,db!$AZ$4:$AZ$8))</f>
        <v>0</v>
      </c>
      <c r="AT66" s="22">
        <f>(AS66/1000)*Y66*(1-db!$AS$9)</f>
        <v>0</v>
      </c>
      <c r="AU66" s="22">
        <f>(AS66/1000)*Y66*(db!$AS$9)</f>
        <v>0</v>
      </c>
      <c r="AV66" s="23">
        <f>IF(B66=0,0, LOOKUP(IF(AND(Changes!Change="Yes", Changes!ValidityYear&lt;=Table1[[#This Row],[Year]], Changes!ChangeType="Change Job Class"),Changes!NewChangedValue, db!$A$8),db!$AX$4:$AX$8,db!$BA$4:$BA$8))</f>
        <v>0</v>
      </c>
      <c r="AW66" s="20">
        <f>ROUND((AV66/(100))*AA66*(1-db!$AS$9),0)</f>
        <v>0</v>
      </c>
      <c r="AX66" s="20">
        <f>ROUND((AV66/(100))*AA66*(db!$AS$9),0)</f>
        <v>0</v>
      </c>
      <c r="AY66" s="21">
        <f>IF(db!$D$8="Yes",AS66,0)</f>
        <v>0</v>
      </c>
      <c r="AZ66" s="22">
        <f>(AY66*AF66)/1000*(1-db!$AS$9)</f>
        <v>0</v>
      </c>
      <c r="BA66" s="22">
        <f>(AY66*AF66)/1000*(db!$AS$9)</f>
        <v>0</v>
      </c>
      <c r="BB66" s="23">
        <f t="shared" ref="BB66:BB97" si="32">AS66</f>
        <v>0</v>
      </c>
      <c r="BC66" s="20">
        <f>(BB66*AH66/1000)*(1-db!$AS$9)</f>
        <v>0</v>
      </c>
      <c r="BD66" s="20">
        <f>(BB66*AH66/1000)*(db!$AS$9)</f>
        <v>0</v>
      </c>
      <c r="BE66" s="22">
        <f>IF(B66=0,0,IF(C66&gt;60,0,LOOKUP(Table1[[#This Row],[Medical
Age]],db!$BC$3:$BC$63,db!$BD$3:$BD$63)))</f>
        <v>0</v>
      </c>
      <c r="BF66" s="22">
        <f>BG66*db!$AS$10</f>
        <v>0</v>
      </c>
      <c r="BG66" s="22">
        <f t="shared" ref="BG66:BG97" si="33">(BE66/1000000)*AJ66</f>
        <v>0</v>
      </c>
      <c r="BH66" s="22">
        <f>(BE66/1000000)*AJ66*(1-db!$AS$10)</f>
        <v>0</v>
      </c>
      <c r="BI66" s="20">
        <f>IF(B66=0,0,IF(C66&gt;59,0,LOOKUP(Table1[[#This Row],[Medical
Age]],db!$BC$3:$BC$63,db!$BE$3:$BE$63)))</f>
        <v>0</v>
      </c>
      <c r="BJ66" s="20">
        <f>(BI66/1000000)*AL66*(1-db!$AS$11)</f>
        <v>0</v>
      </c>
      <c r="BK66" s="20">
        <f>(BI66/1000000)*AL66*(db!$AS$11)</f>
        <v>0</v>
      </c>
      <c r="BL66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66" s="20">
        <f>Table1[[#This Row],[RiskLoading
Rate]]*Table1[[#This Row],[Death Capital (2)]]</f>
        <v>0</v>
      </c>
      <c r="BN66" s="36"/>
      <c r="BO66" s="37">
        <f t="shared" ref="BO66:BO97" si="34">AO66</f>
        <v>0</v>
      </c>
      <c r="BP66" s="35">
        <f t="shared" ref="BP66:BP97" si="35">(BC66+AZ66+AW66+AT66+AQ66)</f>
        <v>0</v>
      </c>
      <c r="BQ66" s="35">
        <f t="shared" ref="BQ66:BQ97" si="36">AR66+AU66+AX66+BA66+BD66</f>
        <v>0</v>
      </c>
      <c r="BR66" s="37">
        <f t="shared" si="11"/>
        <v>0</v>
      </c>
      <c r="BS66" s="37">
        <f t="shared" si="12"/>
        <v>0</v>
      </c>
      <c r="BT66" s="35">
        <f t="shared" si="13"/>
        <v>0</v>
      </c>
      <c r="BU66" s="35">
        <f t="shared" si="14"/>
        <v>0</v>
      </c>
      <c r="BV66" s="37">
        <f>(db!$AS$4/100)*(L66-BT66-BU66)</f>
        <v>0</v>
      </c>
      <c r="BW66" s="37">
        <f>(db!$AS$8/100)*(L66-BT66-BU66)</f>
        <v>0</v>
      </c>
      <c r="BX66" s="35"/>
      <c r="BY66" s="37"/>
      <c r="BZ66" s="37"/>
      <c r="CA66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66" s="33"/>
      <c r="CC66" s="39">
        <f>ROUND((Table1[[#This Row],[Premium]]-Table1[[#This Row],[All Deductions]]),0)</f>
        <v>0</v>
      </c>
      <c r="CD66" s="39">
        <f>IF(B66=0,0,Table1[[#This Row],[Initial Reserve]]+CE65)</f>
        <v>0</v>
      </c>
      <c r="CE66" s="40">
        <f>ROUND(IF(B66=0,0,((CC66)*(1+db!Y68))+((CE65)*(1+db!U68))),0)</f>
        <v>0</v>
      </c>
      <c r="CF66" s="40">
        <f t="shared" si="28"/>
        <v>0</v>
      </c>
      <c r="CG66" s="15">
        <f t="shared" si="15"/>
        <v>65</v>
      </c>
      <c r="CH66" s="39">
        <f>IF(B66=0,0,((CC66)*(1+db!AH68))+((CH65)*(1+db!AD68)))</f>
        <v>0</v>
      </c>
      <c r="CI66" s="39">
        <f>IF(B66=0,0,((CC66)*(1+db!AH68))+((CI65)*(1+db!AD68)))</f>
        <v>0</v>
      </c>
      <c r="CJ66" s="40">
        <f>IF(B66=0,0,((CC66)*(1+db!AO68))+((CJ65)*(1+db!AK68)))</f>
        <v>0</v>
      </c>
      <c r="CK66" s="40">
        <f>CJ66-(SUM(BX$7:$BX67))</f>
        <v>0</v>
      </c>
      <c r="CL66" s="46"/>
    </row>
    <row r="67" spans="1:90">
      <c r="A67" s="24">
        <f t="shared" si="16"/>
        <v>66</v>
      </c>
      <c r="B67" s="16">
        <f>IF(AND(Changes!Change="Yes", Changes!ChangeType="Change Contract Duration"),IF(B66=0,0,IF(Changes!NewChangedValue&lt;B66+1,0,B66+1)),IF(B66=0,0,IF('Application Annually'!$C$5&lt;B66+1,0,B66+1)))</f>
        <v>0</v>
      </c>
      <c r="C67" s="15">
        <f t="shared" si="17"/>
        <v>0</v>
      </c>
      <c r="D67" s="312">
        <f t="shared" si="18"/>
        <v>93</v>
      </c>
      <c r="E67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67" s="29">
        <f t="shared" ref="F67:F107" si="37">ROUND(L67,-3)</f>
        <v>0</v>
      </c>
      <c r="G67" s="29">
        <f t="shared" ref="G67:G107" si="38">ROUND(L67,-3)</f>
        <v>0</v>
      </c>
      <c r="H67" s="29">
        <f t="shared" si="29"/>
        <v>0</v>
      </c>
      <c r="I67" s="29">
        <f>IF(B67&gt;0,IF(AND(Table1[[#This Row],[Year]]&gt;Changes!ValidityYear,Changes!Change="Yes",Changes!ChangeType="Change Value Adjustment"),Changes!$G$22,'Application Annually'!$C$11),0)</f>
        <v>0</v>
      </c>
      <c r="J67" s="29">
        <f>IF(B67&gt;0,IF(AND(Table1[[#This Row],[Year]]&gt;Changes!ValidityYear,Changes!Change="Yes",Changes!ChangeType="Change Value Adjustment"),Changes!$G$24,'Application Annually'!$C$7),0)</f>
        <v>0</v>
      </c>
      <c r="K67" s="29">
        <f>ROUND(IF(B67=0,0,IF(AND(Changes!Change="Yes", Changes!ValidityYear=Table1[[#This Row],[Year]], Changes!ChangeType="Change Premium"), Changes!NewChangedValue, (K66*(1+db!$B$3)))),0)</f>
        <v>0</v>
      </c>
      <c r="L67" s="29">
        <f>ROUND(IF(AND(Changes!Change="Yes",Changes!ValidityYear&lt;=Table1[[#This Row],[Year]],Changes!ChangeType="Paid-Up"),0,IF(B67=0,0,IF(AND(Changes!Change="Yes", Changes!ValidityYear=Table1[[#This Row],[Year]], Changes!ChangeType="Change Premium"), Changes!NewChangedValue, (L66*(1+Table1[[#This Row],[Adjustment Factor of Premium]]/100))))),0)</f>
        <v>0</v>
      </c>
      <c r="M67" s="29">
        <f>IF(Table1[[#This Row],[Year]]=1,ROUND(MIN($L$2 -( Table1[[#This Row],[Riders Risk Premiums]] + Table1[[#This Row],[Acquisition Cost]]) *0.75,Table1[[#This Row],[Death Capital (1)]]* 0.03),0),0)</f>
        <v>0</v>
      </c>
      <c r="N67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67" s="29">
        <f>ROUND(IF(ROW()-1&gt;InsurancePeriod,0,(O66*(1+(Table1[[#This Row],[Adjustment Factor of Premium]]/100)))),0)</f>
        <v>0</v>
      </c>
      <c r="P67" s="29">
        <f>IF(Table1[Year] = 0, 0, SUM(L$2:L67))</f>
        <v>0</v>
      </c>
      <c r="Q67" s="17">
        <f t="shared" si="30"/>
        <v>0</v>
      </c>
      <c r="R67" s="17">
        <f>IF(Table1[[#This Row],[Year]]=0,0,IF($C$2&lt;=50,LOOKUP(Table1[[#This Row],[Age]],db!BG68:BG174,db!BH68:BH174),LOOKUP(Table1[[#This Row],[Age]],db!BJ68:BJ174,db!BK68:BK174)))</f>
        <v>0</v>
      </c>
      <c r="S67" s="17">
        <f>IF(AND(Changes!Change="Yes",Changes!ValidityYear&lt;=Table1[[#This Row],[Year]],Changes!ChangeType="Paid-Up",PaidUpOption="Paid-up with no coverage"),0,IF(B67=0,0, IF(AND(Changes!Change="Yes", Changes!ValidityYear=Table1[[#This Row],[Year]], Changes!ChangeType="Change Death Capital"), Changes!NewChangedValue, S66*(1+(Table1[[#This Row],[Adjustment Factor of Death Capital]]/100)))))</f>
        <v>0</v>
      </c>
      <c r="T67" s="17">
        <f>MIN(IF(B67=0,0,Table1[[#This Row],[Death Capital (1)]]),Table1[[#This Row],[Max Sum Insured For Death]])</f>
        <v>0</v>
      </c>
      <c r="U67" s="29">
        <f t="shared" ref="U67:U107" si="39">ROUND(V67,-3)</f>
        <v>0</v>
      </c>
      <c r="V67" s="29">
        <f>IF(AND(Changes!Change="Yes",Changes!ValidityYear&lt;=Table1[[#This Row],[Year]],Changes!ChangeType="Paid-Up",OR(PaidUpOption="Paid-up with no coverage",PaidUpOption="Paid-up with main coverage")),0,IF(B67=0,0,IF(AND(Changes!Change="Yes", Changes!ValidityYear&lt;=Table1[[#This Row],[Year]], Changes!ChangeType="Rider Inclusion/Exclusion", Changes!RiderType="Accident Death"), T67*Changes!NewChangedValue,IF(db!$D$6="Yes",(db!$B$6)*T67,0))))</f>
        <v>0</v>
      </c>
      <c r="W67" s="29">
        <f>MIN(IF(V67&lt;=db!$L$2,V67,db!$L$2),MAX_ACC_CAPITAL)</f>
        <v>0</v>
      </c>
      <c r="X67" s="17">
        <f>IF(AND(Changes!Change="Yes",Changes!ValidityYear&lt;=Table1[[#This Row],[Year]],Changes!ChangeType="Paid-Up",OR(PaidUpOption="Paid-up with no coverage",PaidUpOption="Paid-up with main coverage")),0,IF(OR(B67=0,Table1[[#This Row],[Accident Capital (2)]]=0),0,IF(AND(Changes!Change="Yes", Changes!ValidityYear&lt;=Table1[[#This Row],[Year]], Changes!ChangeType="Rider Inclusion/Exclusion", Changes!RiderType="Accident Disability"), T67*Changes!NewChangedValue,IF(db!$D$7="Yes",(db!$B$7)*T67,0))))</f>
        <v>0</v>
      </c>
      <c r="Y67" s="42">
        <f>IF(C67&gt;69,0,IF(C67=0,0,IF(X67&lt;=db!$L$3,X67,db!$L$3)))</f>
        <v>0</v>
      </c>
      <c r="Z67" s="29">
        <f>IF(AND(Changes!Change="Yes",Changes!ValidityYear&lt;=Table1[[#This Row],[Year]],Changes!ChangeType="Paid-Up",OR(PaidUpOption="Paid-up with no coverage",PaidUpOption="Paid-up with main coverage")),0,IF(OR(B67=0,Table1[[#This Row],[Accident Capital (2)]]=0),0,IF(AND(Changes!Change="Yes", Changes!ValidityYear&lt;=Table1[[#This Row],[Year]], Changes!ChangeType="Rider Inclusion/Exclusion", Changes!RiderType="Accident Medical Cost"), T67*Changes!NewChangedValue,IF(db!$D$9="Yes",(db!$B$9)*T67,0))))</f>
        <v>0</v>
      </c>
      <c r="AA67" s="29">
        <f>ROUND(IF(C67&gt;69,0,IF(C67=0,0,IF(Z67&lt;=db!$L$4,Z67,db!$L$4))),0)</f>
        <v>0</v>
      </c>
      <c r="AB67" s="38">
        <f>IF(AND(Changes!Change = "Yes", Changes!ChangeType = "Rider Inclusion/Exclusion", Changes!RiderType = "WOP"), IF( Changes!ValidityYear &lt;= Table1[[#This Row],[Year]], IF(WOP = "Yes", 0, 1),  IF(WOP = "Yes", 1, 0)), IF(AND(db!$D$8="Yes",C67&lt;=69,ROW()-1&lt;=InsurancePeriod), 1, 0))</f>
        <v>0</v>
      </c>
      <c r="AC67" s="17">
        <f>(AC68+K68)*AB67*((1)/(1+db!AA69))*(LOOKUP(C67,'Mortality Table'!$A$2:$A$108,'Mortality Table'!$E$2:$E$108))</f>
        <v>0</v>
      </c>
      <c r="AD67" s="340">
        <f>IF(AND(Changes!ValidityYear&lt;= Table1[[#This Row],[Year]],Changes!ChangeType="Change Value Adjustment",Changes!Change="Yes"), (AD68+L68)*AB67*((1)/(1+db!AA69))*(LOOKUP(C67,'Mortality Table'!$A$2:$A$108,'Mortality Table'!$E$2:$E$108)),Table1[[#This Row],[WOP Before Adj. BT]])</f>
        <v>0</v>
      </c>
      <c r="AE67" s="341">
        <f>IF(AND(Changes!Change="Yes", Changes!ChangeType="Change Value Adjustment"),Table1[[#This Row],[WOP Capital]],(AE68+O68)*AB67*((1)/(1+db!AA69))*(LOOKUP(D67,'Mortality Table'!$A$2:$A$108,'Mortality Table'!$E$2:$E$108)))</f>
        <v>0</v>
      </c>
      <c r="AF67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67" s="42">
        <f>IF(AND(Changes!Change="Yes", Changes!ValidityYear&lt;=Table1[[#This Row],[Year]], Changes!ChangeType="Rider Inclusion/Exclusion", Changes!RiderType="Disability Annuity"), L67*Changes!NewChangedValue,L67*db!B$10*IF(db!$D$10="Yes",1,0))</f>
        <v>0</v>
      </c>
      <c r="AH67" s="29">
        <f>IF(AND(Changes!Change="Yes",Changes!ValidityYear&lt;=Table1[[#This Row],[Year]],Changes!ChangeType="Paid-Up"),0,Table1[[#This Row],[Code Annuity Capital]]*IF('Annual Calculation'!C67&gt;69,0,(LOOKUP('Annual Calculation'!C67+1,'Mortality Table'!$A$2:$A$108,'Mortality Table'!$O$2:$O$108)-LOOKUP('Annual Calculation'!C67+11,'Mortality Table'!$A$2:$A$108,'Mortality Table'!$O$2:$O$108))/LOOKUP('Annual Calculation'!C67,'Mortality Table'!$A$2:$A$108,'Mortality Table'!$M$2:$M$108)))</f>
        <v>0</v>
      </c>
      <c r="AI67" s="17">
        <f>IF(AND(Changes!Change="Yes",Changes!ValidityYear&lt;=Table1[[#This Row],[Year]],Changes!ChangeType="Paid-Up",OR(PaidUpOption="Paid-up with no coverage",PaidUpOption="Paid-up with main coverage")),0,IF(B67=0,0,IF(AND(Changes!Change="Yes", Changes!ValidityYear&lt;=Table1[[#This Row],[Year]], Changes!ChangeType="Rider Inclusion/Exclusion", Changes!RiderType="Dread Disease"), T67*Changes!NewChangedValue,IF(db!$D$11="Yes",(db!$B$11)*T67,0))))</f>
        <v>0</v>
      </c>
      <c r="AJ67" s="42">
        <f>ROUND(IF(C67&gt;59,0,IF(C67=0,0,IF(AI67&lt;=db!$L$5,AI67,db!$L$5))),0)</f>
        <v>0</v>
      </c>
      <c r="AK67" s="29">
        <f>IF(AND(Changes!Change="Yes",Changes!ValidityYear&lt;=Table1[[#This Row],[Year]],Changes!ChangeType="Paid-Up",OR(PaidUpOption="Paid-up with no coverage",PaidUpOption="Paid-up with main coverage")),0,IF(B67=0,0,IF(AND(Changes!Change="Yes", Changes!ValidityYear&lt;=Table1[[#This Row],[Year]], Changes!ChangeType="Rider Inclusion/Exclusion", Changes!RiderType="Cancer"), T67*Changes!NewChangedValue,IF(db!$D$12="Yes",(db!$B$12)*T67,0))))</f>
        <v>0</v>
      </c>
      <c r="AL67" s="29">
        <f>ROUND(IF(C67&gt;59,0,IF(C67=0,0,IF(AK67&lt;=db!$L$6,AK67,db!$L$6))),0)</f>
        <v>0</v>
      </c>
      <c r="AM67" s="32"/>
      <c r="AN67" s="18">
        <f>IF(B67=0,0,IF(C67&lt;(db!$E$2+5),LOOKUP(C67,'Mortality Table'!$A$2:$A$108,'Mortality Table'!$P$2:$P$108),IF((C67&gt;=db!$E$2+10),LOOKUP(C67,'Mortality Table'!$A$2:$A$108,'Mortality Table'!$R$2:$R$108),LOOKUP(C67,'Mortality Table'!$A$2:$A$108,'Mortality Table'!$Q$2:$Q$108))))</f>
        <v>0</v>
      </c>
      <c r="AO67" s="22">
        <f t="shared" si="31"/>
        <v>0</v>
      </c>
      <c r="AP67" s="19">
        <f>IF(B67=0,0, LOOKUP(IF(AND(Changes!Change="Yes", Changes!ValidityYear&lt;=Table1[[#This Row],[Year]], Changes!ChangeType="Change Job Class"),Changes!NewChangedValue, db!$A$8),db!$AX$4:$AX$8,db!$AY$4:$AY$8))</f>
        <v>0</v>
      </c>
      <c r="AQ67" s="20">
        <f>ROUND((AP67/1000)*W67 * (1-db!$AS$9),0)</f>
        <v>0</v>
      </c>
      <c r="AR67" s="20">
        <f>(AP67/1000)*W67 * db!$AS$9</f>
        <v>0</v>
      </c>
      <c r="AS67" s="21">
        <f>IF(B67=0,0, LOOKUP(IF(AND(Changes!Change="Yes", Changes!ValidityYear&lt;=Table1[[#This Row],[Year]], Changes!ChangeType="Change Job Class"),Changes!NewChangedValue, db!$A$8),db!$AX$4:$AX$8,db!$AZ$4:$AZ$8))</f>
        <v>0</v>
      </c>
      <c r="AT67" s="22">
        <f>(AS67/1000)*Y67*(1-db!$AS$9)</f>
        <v>0</v>
      </c>
      <c r="AU67" s="22">
        <f>(AS67/1000)*Y67*(db!$AS$9)</f>
        <v>0</v>
      </c>
      <c r="AV67" s="23">
        <f>IF(B67=0,0, LOOKUP(IF(AND(Changes!Change="Yes", Changes!ValidityYear&lt;=Table1[[#This Row],[Year]], Changes!ChangeType="Change Job Class"),Changes!NewChangedValue, db!$A$8),db!$AX$4:$AX$8,db!$BA$4:$BA$8))</f>
        <v>0</v>
      </c>
      <c r="AW67" s="20">
        <f>ROUND((AV67/(100))*AA67*(1-db!$AS$9),0)</f>
        <v>0</v>
      </c>
      <c r="AX67" s="20">
        <f>ROUND((AV67/(100))*AA67*(db!$AS$9),0)</f>
        <v>0</v>
      </c>
      <c r="AY67" s="21">
        <f>IF(db!$D$8="Yes",AS67,0)</f>
        <v>0</v>
      </c>
      <c r="AZ67" s="22">
        <f>(AY67*AF67)/1000*(1-db!$AS$9)</f>
        <v>0</v>
      </c>
      <c r="BA67" s="22">
        <f>(AY67*AF67)/1000*(db!$AS$9)</f>
        <v>0</v>
      </c>
      <c r="BB67" s="23">
        <f t="shared" si="32"/>
        <v>0</v>
      </c>
      <c r="BC67" s="20">
        <f>(BB67*AH67/1000)*(1-db!$AS$9)</f>
        <v>0</v>
      </c>
      <c r="BD67" s="20">
        <f>(BB67*AH67/1000)*(db!$AS$9)</f>
        <v>0</v>
      </c>
      <c r="BE67" s="22">
        <f>IF(B67=0,0,IF(C67&gt;60,0,LOOKUP(Table1[[#This Row],[Medical
Age]],db!$BC$3:$BC$63,db!$BD$3:$BD$63)))</f>
        <v>0</v>
      </c>
      <c r="BF67" s="22">
        <f>BG67*db!$AS$10</f>
        <v>0</v>
      </c>
      <c r="BG67" s="22">
        <f t="shared" si="33"/>
        <v>0</v>
      </c>
      <c r="BH67" s="22">
        <f>(BE67/1000000)*AJ67*(1-db!$AS$10)</f>
        <v>0</v>
      </c>
      <c r="BI67" s="20">
        <f>IF(B67=0,0,IF(C67&gt;59,0,LOOKUP(Table1[[#This Row],[Medical
Age]],db!$BC$3:$BC$63,db!$BE$3:$BE$63)))</f>
        <v>0</v>
      </c>
      <c r="BJ67" s="20">
        <f>(BI67/1000000)*AL67*(1-db!$AS$11)</f>
        <v>0</v>
      </c>
      <c r="BK67" s="20">
        <f>(BI67/1000000)*AL67*(db!$AS$11)</f>
        <v>0</v>
      </c>
      <c r="BL67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67" s="20">
        <f>Table1[[#This Row],[RiskLoading
Rate]]*Table1[[#This Row],[Death Capital (2)]]</f>
        <v>0</v>
      </c>
      <c r="BN67" s="36"/>
      <c r="BO67" s="37">
        <f t="shared" si="34"/>
        <v>0</v>
      </c>
      <c r="BP67" s="35">
        <f t="shared" si="35"/>
        <v>0</v>
      </c>
      <c r="BQ67" s="35">
        <f t="shared" si="36"/>
        <v>0</v>
      </c>
      <c r="BR67" s="37">
        <f t="shared" ref="BR67:BR80" si="40">(BJ67+BH67)</f>
        <v>0</v>
      </c>
      <c r="BS67" s="37">
        <f t="shared" ref="BS67:BS107" si="41">BF67+BK67</f>
        <v>0</v>
      </c>
      <c r="BT67" s="35">
        <f t="shared" ref="BT67:BT107" si="42">ROUND(BR67+BP67,0)</f>
        <v>0</v>
      </c>
      <c r="BU67" s="35">
        <f t="shared" ref="BU67:BU107" si="43">ROUND(BQ67+BS67,0)</f>
        <v>0</v>
      </c>
      <c r="BV67" s="37">
        <f>(db!$AS$4/100)*(L67-BT67-BU67)</f>
        <v>0</v>
      </c>
      <c r="BW67" s="37">
        <f>(db!$AS$8/100)*(L67-BT67-BU67)</f>
        <v>0</v>
      </c>
      <c r="BX67" s="35"/>
      <c r="BY67" s="37"/>
      <c r="BZ67" s="37"/>
      <c r="CA67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67" s="33"/>
      <c r="CC67" s="39">
        <f>ROUND((Table1[[#This Row],[Premium]]-Table1[[#This Row],[All Deductions]]),0)</f>
        <v>0</v>
      </c>
      <c r="CD67" s="39">
        <f>IF(B67=0,0,Table1[[#This Row],[Initial Reserve]]+CE66)</f>
        <v>0</v>
      </c>
      <c r="CE67" s="40">
        <f>ROUND(IF(B67=0,0,((CC67)*(1+db!Y69))+((CE66)*(1+db!U69))),0)</f>
        <v>0</v>
      </c>
      <c r="CF67" s="40">
        <f t="shared" si="28"/>
        <v>0</v>
      </c>
      <c r="CG67" s="15">
        <f t="shared" ref="CG67:CG107" si="44">1+CG66</f>
        <v>66</v>
      </c>
      <c r="CH67" s="39">
        <f>IF(B67=0,0,((CC67)*(1+db!AH69))+((CH66)*(1+db!AD69)))</f>
        <v>0</v>
      </c>
      <c r="CI67" s="39">
        <f>IF(B67=0,0,((CC67)*(1+db!AH69))+((CI66)*(1+db!AD69)))</f>
        <v>0</v>
      </c>
      <c r="CJ67" s="40">
        <f>IF(B67=0,0,((CC67)*(1+db!AO69))+((CJ66)*(1+db!AK69)))</f>
        <v>0</v>
      </c>
      <c r="CK67" s="40">
        <f>CJ67-(SUM(BX$7:$BX68))</f>
        <v>0</v>
      </c>
      <c r="CL67" s="46"/>
    </row>
    <row r="68" spans="1:90">
      <c r="A68" s="24">
        <f t="shared" ref="A68:A107" si="45">A67+1</f>
        <v>67</v>
      </c>
      <c r="B68" s="16">
        <f>IF(AND(Changes!Change="Yes", Changes!ChangeType="Change Contract Duration"),IF(B67=0,0,IF(Changes!NewChangedValue&lt;B67+1,0,B67+1)),IF(B67=0,0,IF('Application Annually'!$C$5&lt;B67+1,0,B67+1)))</f>
        <v>0</v>
      </c>
      <c r="C68" s="15">
        <f t="shared" ref="C68:C80" si="46">IF(B68=0,0,(C67+1))</f>
        <v>0</v>
      </c>
      <c r="D68" s="312">
        <f t="shared" ref="D68:D107" si="47">D67+1</f>
        <v>94</v>
      </c>
      <c r="E68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68" s="29">
        <f t="shared" si="37"/>
        <v>0</v>
      </c>
      <c r="G68" s="29">
        <f t="shared" si="38"/>
        <v>0</v>
      </c>
      <c r="H68" s="29">
        <f t="shared" si="29"/>
        <v>0</v>
      </c>
      <c r="I68" s="29">
        <f>IF(B68&gt;0,IF(AND(Table1[[#This Row],[Year]]&gt;Changes!ValidityYear,Changes!Change="Yes",Changes!ChangeType="Change Value Adjustment"),Changes!$G$22,'Application Annually'!$C$11),0)</f>
        <v>0</v>
      </c>
      <c r="J68" s="29">
        <f>IF(B68&gt;0,IF(AND(Table1[[#This Row],[Year]]&gt;Changes!ValidityYear,Changes!Change="Yes",Changes!ChangeType="Change Value Adjustment"),Changes!$G$24,'Application Annually'!$C$7),0)</f>
        <v>0</v>
      </c>
      <c r="K68" s="29">
        <f>ROUND(IF(B68=0,0,IF(AND(Changes!Change="Yes", Changes!ValidityYear=Table1[[#This Row],[Year]], Changes!ChangeType="Change Premium"), Changes!NewChangedValue, (K67*(1+db!$B$3)))),0)</f>
        <v>0</v>
      </c>
      <c r="L68" s="29">
        <f>ROUND(IF(AND(Changes!Change="Yes",Changes!ValidityYear&lt;=Table1[[#This Row],[Year]],Changes!ChangeType="Paid-Up"),0,IF(B68=0,0,IF(AND(Changes!Change="Yes", Changes!ValidityYear=Table1[[#This Row],[Year]], Changes!ChangeType="Change Premium"), Changes!NewChangedValue, (L67*(1+Table1[[#This Row],[Adjustment Factor of Premium]]/100))))),0)</f>
        <v>0</v>
      </c>
      <c r="M68" s="29">
        <f>IF(Table1[[#This Row],[Year]]=1,ROUND(MIN($L$2 -( Table1[[#This Row],[Riders Risk Premiums]] + Table1[[#This Row],[Acquisition Cost]]) *0.75,Table1[[#This Row],[Death Capital (1)]]* 0.03),0),0)</f>
        <v>0</v>
      </c>
      <c r="N68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68" s="29">
        <f>ROUND(IF(ROW()-1&gt;InsurancePeriod,0,(O67*(1+(Table1[[#This Row],[Adjustment Factor of Premium]]/100)))),0)</f>
        <v>0</v>
      </c>
      <c r="P68" s="29">
        <f>IF(Table1[Year] = 0, 0, SUM(L$2:L68))</f>
        <v>0</v>
      </c>
      <c r="Q68" s="17">
        <f t="shared" si="30"/>
        <v>0</v>
      </c>
      <c r="R68" s="17">
        <f>IF(Table1[[#This Row],[Year]]=0,0,IF($C$2&lt;=50,LOOKUP(Table1[[#This Row],[Age]],db!BG69:BG175,db!BH69:BH175),LOOKUP(Table1[[#This Row],[Age]],db!BJ69:BJ175,db!BK69:BK175)))</f>
        <v>0</v>
      </c>
      <c r="S68" s="17">
        <f>IF(AND(Changes!Change="Yes",Changes!ValidityYear&lt;=Table1[[#This Row],[Year]],Changes!ChangeType="Paid-Up",PaidUpOption="Paid-up with no coverage"),0,IF(B68=0,0, IF(AND(Changes!Change="Yes", Changes!ValidityYear=Table1[[#This Row],[Year]], Changes!ChangeType="Change Death Capital"), Changes!NewChangedValue, S67*(1+(Table1[[#This Row],[Adjustment Factor of Death Capital]]/100)))))</f>
        <v>0</v>
      </c>
      <c r="T68" s="17">
        <f>MIN(IF(B68=0,0,Table1[[#This Row],[Death Capital (1)]]),Table1[[#This Row],[Max Sum Insured For Death]])</f>
        <v>0</v>
      </c>
      <c r="U68" s="29">
        <f t="shared" si="39"/>
        <v>0</v>
      </c>
      <c r="V68" s="29">
        <f>IF(AND(Changes!Change="Yes",Changes!ValidityYear&lt;=Table1[[#This Row],[Year]],Changes!ChangeType="Paid-Up",OR(PaidUpOption="Paid-up with no coverage",PaidUpOption="Paid-up with main coverage")),0,IF(B68=0,0,IF(AND(Changes!Change="Yes", Changes!ValidityYear&lt;=Table1[[#This Row],[Year]], Changes!ChangeType="Rider Inclusion/Exclusion", Changes!RiderType="Accident Death"), T68*Changes!NewChangedValue,IF(db!$D$6="Yes",(db!$B$6)*T68,0))))</f>
        <v>0</v>
      </c>
      <c r="W68" s="29">
        <f>MIN(IF(V68&lt;=db!$L$2,V68,db!$L$2),MAX_ACC_CAPITAL)</f>
        <v>0</v>
      </c>
      <c r="X68" s="17">
        <f>IF(AND(Changes!Change="Yes",Changes!ValidityYear&lt;=Table1[[#This Row],[Year]],Changes!ChangeType="Paid-Up",OR(PaidUpOption="Paid-up with no coverage",PaidUpOption="Paid-up with main coverage")),0,IF(OR(B68=0,Table1[[#This Row],[Accident Capital (2)]]=0),0,IF(AND(Changes!Change="Yes", Changes!ValidityYear&lt;=Table1[[#This Row],[Year]], Changes!ChangeType="Rider Inclusion/Exclusion", Changes!RiderType="Accident Disability"), T68*Changes!NewChangedValue,IF(db!$D$7="Yes",(db!$B$7)*T68,0))))</f>
        <v>0</v>
      </c>
      <c r="Y68" s="42">
        <f>IF(C68&gt;69,0,IF(C68=0,0,IF(X68&lt;=db!$L$3,X68,db!$L$3)))</f>
        <v>0</v>
      </c>
      <c r="Z68" s="29">
        <f>IF(AND(Changes!Change="Yes",Changes!ValidityYear&lt;=Table1[[#This Row],[Year]],Changes!ChangeType="Paid-Up",OR(PaidUpOption="Paid-up with no coverage",PaidUpOption="Paid-up with main coverage")),0,IF(OR(B68=0,Table1[[#This Row],[Accident Capital (2)]]=0),0,IF(AND(Changes!Change="Yes", Changes!ValidityYear&lt;=Table1[[#This Row],[Year]], Changes!ChangeType="Rider Inclusion/Exclusion", Changes!RiderType="Accident Medical Cost"), T68*Changes!NewChangedValue,IF(db!$D$9="Yes",(db!$B$9)*T68,0))))</f>
        <v>0</v>
      </c>
      <c r="AA68" s="29">
        <f>ROUND(IF(C68&gt;69,0,IF(C68=0,0,IF(Z68&lt;=db!$L$4,Z68,db!$L$4))),0)</f>
        <v>0</v>
      </c>
      <c r="AB68" s="38">
        <f>IF(AND(Changes!Change = "Yes", Changes!ChangeType = "Rider Inclusion/Exclusion", Changes!RiderType = "WOP"), IF( Changes!ValidityYear &lt;= Table1[[#This Row],[Year]], IF(WOP = "Yes", 0, 1),  IF(WOP = "Yes", 1, 0)), IF(AND(db!$D$8="Yes",C68&lt;=69,ROW()-1&lt;=InsurancePeriod), 1, 0))</f>
        <v>0</v>
      </c>
      <c r="AC68" s="17">
        <f>(AC69+K69)*AB68*((1)/(1+db!AA70))*(LOOKUP(C68,'Mortality Table'!$A$2:$A$108,'Mortality Table'!$E$2:$E$108))</f>
        <v>0</v>
      </c>
      <c r="AD68" s="340">
        <f>IF(AND(Changes!ValidityYear&lt;= Table1[[#This Row],[Year]],Changes!ChangeType="Change Value Adjustment",Changes!Change="Yes"), (AD69+L69)*AB68*((1)/(1+db!AA70))*(LOOKUP(C68,'Mortality Table'!$A$2:$A$108,'Mortality Table'!$E$2:$E$108)),Table1[[#This Row],[WOP Before Adj. BT]])</f>
        <v>0</v>
      </c>
      <c r="AE68" s="341">
        <f>IF(AND(Changes!Change="Yes", Changes!ChangeType="Change Value Adjustment"),Table1[[#This Row],[WOP Capital]],(AE69+O69)*AB68*((1)/(1+db!AA70))*(LOOKUP(D68,'Mortality Table'!$A$2:$A$108,'Mortality Table'!$E$2:$E$108)))</f>
        <v>0</v>
      </c>
      <c r="AF68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68" s="42">
        <f>IF(AND(Changes!Change="Yes", Changes!ValidityYear&lt;=Table1[[#This Row],[Year]], Changes!ChangeType="Rider Inclusion/Exclusion", Changes!RiderType="Disability Annuity"), L68*Changes!NewChangedValue,L68*db!B$10*IF(db!$D$10="Yes",1,0))</f>
        <v>0</v>
      </c>
      <c r="AH68" s="29">
        <f>IF(AND(Changes!Change="Yes",Changes!ValidityYear&lt;=Table1[[#This Row],[Year]],Changes!ChangeType="Paid-Up"),0,Table1[[#This Row],[Code Annuity Capital]]*IF('Annual Calculation'!C68&gt;69,0,(LOOKUP('Annual Calculation'!C68+1,'Mortality Table'!$A$2:$A$108,'Mortality Table'!$O$2:$O$108)-LOOKUP('Annual Calculation'!C68+11,'Mortality Table'!$A$2:$A$108,'Mortality Table'!$O$2:$O$108))/LOOKUP('Annual Calculation'!C68,'Mortality Table'!$A$2:$A$108,'Mortality Table'!$M$2:$M$108)))</f>
        <v>0</v>
      </c>
      <c r="AI68" s="17">
        <f>IF(AND(Changes!Change="Yes",Changes!ValidityYear&lt;=Table1[[#This Row],[Year]],Changes!ChangeType="Paid-Up",OR(PaidUpOption="Paid-up with no coverage",PaidUpOption="Paid-up with main coverage")),0,IF(B68=0,0,IF(AND(Changes!Change="Yes", Changes!ValidityYear&lt;=Table1[[#This Row],[Year]], Changes!ChangeType="Rider Inclusion/Exclusion", Changes!RiderType="Dread Disease"), T68*Changes!NewChangedValue,IF(db!$D$11="Yes",(db!$B$11)*T68,0))))</f>
        <v>0</v>
      </c>
      <c r="AJ68" s="42">
        <f>ROUND(IF(C68&gt;59,0,IF(C68=0,0,IF(AI68&lt;=db!$L$5,AI68,db!$L$5))),0)</f>
        <v>0</v>
      </c>
      <c r="AK68" s="29">
        <f>IF(AND(Changes!Change="Yes",Changes!ValidityYear&lt;=Table1[[#This Row],[Year]],Changes!ChangeType="Paid-Up",OR(PaidUpOption="Paid-up with no coverage",PaidUpOption="Paid-up with main coverage")),0,IF(B68=0,0,IF(AND(Changes!Change="Yes", Changes!ValidityYear&lt;=Table1[[#This Row],[Year]], Changes!ChangeType="Rider Inclusion/Exclusion", Changes!RiderType="Cancer"), T68*Changes!NewChangedValue,IF(db!$D$12="Yes",(db!$B$12)*T68,0))))</f>
        <v>0</v>
      </c>
      <c r="AL68" s="29">
        <f>ROUND(IF(C68&gt;59,0,IF(C68=0,0,IF(AK68&lt;=db!$L$6,AK68,db!$L$6))),0)</f>
        <v>0</v>
      </c>
      <c r="AM68" s="32"/>
      <c r="AN68" s="18">
        <f>IF(B68=0,0,IF(C68&lt;(db!$E$2+5),LOOKUP(C68,'Mortality Table'!$A$2:$A$108,'Mortality Table'!$P$2:$P$108),IF((C68&gt;=db!$E$2+10),LOOKUP(C68,'Mortality Table'!$A$2:$A$108,'Mortality Table'!$R$2:$R$108),LOOKUP(C68,'Mortality Table'!$A$2:$A$108,'Mortality Table'!$Q$2:$Q$108))))</f>
        <v>0</v>
      </c>
      <c r="AO68" s="22">
        <f t="shared" si="31"/>
        <v>0</v>
      </c>
      <c r="AP68" s="19">
        <f>IF(B68=0,0, LOOKUP(IF(AND(Changes!Change="Yes", Changes!ValidityYear&lt;=Table1[[#This Row],[Year]], Changes!ChangeType="Change Job Class"),Changes!NewChangedValue, db!$A$8),db!$AX$4:$AX$8,db!$AY$4:$AY$8))</f>
        <v>0</v>
      </c>
      <c r="AQ68" s="20">
        <f>ROUND((AP68/1000)*W68 * (1-db!$AS$9),0)</f>
        <v>0</v>
      </c>
      <c r="AR68" s="20">
        <f>(AP68/1000)*W68 * db!$AS$9</f>
        <v>0</v>
      </c>
      <c r="AS68" s="21">
        <f>IF(B68=0,0, LOOKUP(IF(AND(Changes!Change="Yes", Changes!ValidityYear&lt;=Table1[[#This Row],[Year]], Changes!ChangeType="Change Job Class"),Changes!NewChangedValue, db!$A$8),db!$AX$4:$AX$8,db!$AZ$4:$AZ$8))</f>
        <v>0</v>
      </c>
      <c r="AT68" s="22">
        <f>(AS68/1000)*Y68*(1-db!$AS$9)</f>
        <v>0</v>
      </c>
      <c r="AU68" s="22">
        <f>(AS68/1000)*Y68*(db!$AS$9)</f>
        <v>0</v>
      </c>
      <c r="AV68" s="23">
        <f>IF(B68=0,0, LOOKUP(IF(AND(Changes!Change="Yes", Changes!ValidityYear&lt;=Table1[[#This Row],[Year]], Changes!ChangeType="Change Job Class"),Changes!NewChangedValue, db!$A$8),db!$AX$4:$AX$8,db!$BA$4:$BA$8))</f>
        <v>0</v>
      </c>
      <c r="AW68" s="20">
        <f>ROUND((AV68/(100))*AA68*(1-db!$AS$9),0)</f>
        <v>0</v>
      </c>
      <c r="AX68" s="20">
        <f>ROUND((AV68/(100))*AA68*(db!$AS$9),0)</f>
        <v>0</v>
      </c>
      <c r="AY68" s="21">
        <f>IF(db!$D$8="Yes",AS68,0)</f>
        <v>0</v>
      </c>
      <c r="AZ68" s="22">
        <f>(AY68*AF68)/1000*(1-db!$AS$9)</f>
        <v>0</v>
      </c>
      <c r="BA68" s="22">
        <f>(AY68*AF68)/1000*(db!$AS$9)</f>
        <v>0</v>
      </c>
      <c r="BB68" s="23">
        <f t="shared" si="32"/>
        <v>0</v>
      </c>
      <c r="BC68" s="20">
        <f>(BB68*AH68/1000)*(1-db!$AS$9)</f>
        <v>0</v>
      </c>
      <c r="BD68" s="20">
        <f>(BB68*AH68/1000)*(db!$AS$9)</f>
        <v>0</v>
      </c>
      <c r="BE68" s="22">
        <f>IF(B68=0,0,IF(C68&gt;60,0,LOOKUP(Table1[[#This Row],[Medical
Age]],db!$BC$3:$BC$63,db!$BD$3:$BD$63)))</f>
        <v>0</v>
      </c>
      <c r="BF68" s="22">
        <f>BG68*db!$AS$10</f>
        <v>0</v>
      </c>
      <c r="BG68" s="22">
        <f t="shared" si="33"/>
        <v>0</v>
      </c>
      <c r="BH68" s="22">
        <f>(BE68/1000000)*AJ68*(1-db!$AS$10)</f>
        <v>0</v>
      </c>
      <c r="BI68" s="20">
        <f>IF(B68=0,0,IF(C68&gt;59,0,LOOKUP(Table1[[#This Row],[Medical
Age]],db!$BC$3:$BC$63,db!$BE$3:$BE$63)))</f>
        <v>0</v>
      </c>
      <c r="BJ68" s="20">
        <f>(BI68/1000000)*AL68*(1-db!$AS$11)</f>
        <v>0</v>
      </c>
      <c r="BK68" s="20">
        <f>(BI68/1000000)*AL68*(db!$AS$11)</f>
        <v>0</v>
      </c>
      <c r="BL68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68" s="20">
        <f>Table1[[#This Row],[RiskLoading
Rate]]*Table1[[#This Row],[Death Capital (2)]]</f>
        <v>0</v>
      </c>
      <c r="BN68" s="36"/>
      <c r="BO68" s="37">
        <f t="shared" si="34"/>
        <v>0</v>
      </c>
      <c r="BP68" s="35">
        <f t="shared" si="35"/>
        <v>0</v>
      </c>
      <c r="BQ68" s="35">
        <f t="shared" si="36"/>
        <v>0</v>
      </c>
      <c r="BR68" s="37">
        <f t="shared" si="40"/>
        <v>0</v>
      </c>
      <c r="BS68" s="37">
        <f t="shared" si="41"/>
        <v>0</v>
      </c>
      <c r="BT68" s="35">
        <f t="shared" si="42"/>
        <v>0</v>
      </c>
      <c r="BU68" s="35">
        <f t="shared" si="43"/>
        <v>0</v>
      </c>
      <c r="BV68" s="37">
        <f>(db!$AS$4/100)*(L68-BT68-BU68)</f>
        <v>0</v>
      </c>
      <c r="BW68" s="37">
        <f>(db!$AS$8/100)*(L68-BT68-BU68)</f>
        <v>0</v>
      </c>
      <c r="BX68" s="35"/>
      <c r="BY68" s="37"/>
      <c r="BZ68" s="37"/>
      <c r="CA68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68" s="33"/>
      <c r="CC68" s="39">
        <f>ROUND((Table1[[#This Row],[Premium]]-Table1[[#This Row],[All Deductions]]),0)</f>
        <v>0</v>
      </c>
      <c r="CD68" s="39">
        <f>IF(B68=0,0,Table1[[#This Row],[Initial Reserve]]+CE67)</f>
        <v>0</v>
      </c>
      <c r="CE68" s="40">
        <f>ROUND(IF(B68=0,0,((CC68)*(1+db!Y70))+((CE67)*(1+db!U70))),0)</f>
        <v>0</v>
      </c>
      <c r="CF68" s="40">
        <f t="shared" si="28"/>
        <v>0</v>
      </c>
      <c r="CG68" s="15">
        <f t="shared" si="44"/>
        <v>67</v>
      </c>
      <c r="CH68" s="39">
        <f>IF(B68=0,0,((CC68)*(1+db!AH70))+((CH67)*(1+db!AD70)))</f>
        <v>0</v>
      </c>
      <c r="CI68" s="39">
        <f>IF(B68=0,0,((CC68)*(1+db!AH70))+((CI67)*(1+db!AD70)))</f>
        <v>0</v>
      </c>
      <c r="CJ68" s="40">
        <f>IF(B68=0,0,((CC68)*(1+db!AO70))+((CJ67)*(1+db!AK70)))</f>
        <v>0</v>
      </c>
      <c r="CK68" s="40">
        <f>CJ68-(SUM(BX$7:$BX69))</f>
        <v>0</v>
      </c>
      <c r="CL68" s="46"/>
    </row>
    <row r="69" spans="1:90">
      <c r="A69" s="24">
        <f t="shared" si="45"/>
        <v>68</v>
      </c>
      <c r="B69" s="16">
        <f>IF(AND(Changes!Change="Yes", Changes!ChangeType="Change Contract Duration"),IF(B68=0,0,IF(Changes!NewChangedValue&lt;B68+1,0,B68+1)),IF(B68=0,0,IF('Application Annually'!$C$5&lt;B68+1,0,B68+1)))</f>
        <v>0</v>
      </c>
      <c r="C69" s="15">
        <f t="shared" si="46"/>
        <v>0</v>
      </c>
      <c r="D69" s="312">
        <f t="shared" si="47"/>
        <v>95</v>
      </c>
      <c r="E69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69" s="29">
        <f t="shared" si="37"/>
        <v>0</v>
      </c>
      <c r="G69" s="29">
        <f t="shared" si="38"/>
        <v>0</v>
      </c>
      <c r="H69" s="29">
        <f t="shared" si="29"/>
        <v>0</v>
      </c>
      <c r="I69" s="29">
        <f>IF(B69&gt;0,IF(AND(Table1[[#This Row],[Year]]&gt;Changes!ValidityYear,Changes!Change="Yes",Changes!ChangeType="Change Value Adjustment"),Changes!$G$22,'Application Annually'!$C$11),0)</f>
        <v>0</v>
      </c>
      <c r="J69" s="29">
        <f>IF(B69&gt;0,IF(AND(Table1[[#This Row],[Year]]&gt;Changes!ValidityYear,Changes!Change="Yes",Changes!ChangeType="Change Value Adjustment"),Changes!$G$24,'Application Annually'!$C$7),0)</f>
        <v>0</v>
      </c>
      <c r="K69" s="29">
        <f>ROUND(IF(B69=0,0,IF(AND(Changes!Change="Yes", Changes!ValidityYear=Table1[[#This Row],[Year]], Changes!ChangeType="Change Premium"), Changes!NewChangedValue, (K68*(1+db!$B$3)))),0)</f>
        <v>0</v>
      </c>
      <c r="L69" s="29">
        <f>ROUND(IF(AND(Changes!Change="Yes",Changes!ValidityYear&lt;=Table1[[#This Row],[Year]],Changes!ChangeType="Paid-Up"),0,IF(B69=0,0,IF(AND(Changes!Change="Yes", Changes!ValidityYear=Table1[[#This Row],[Year]], Changes!ChangeType="Change Premium"), Changes!NewChangedValue, (L68*(1+Table1[[#This Row],[Adjustment Factor of Premium]]/100))))),0)</f>
        <v>0</v>
      </c>
      <c r="M69" s="29">
        <f>IF(Table1[[#This Row],[Year]]=1,ROUND(MIN($L$2 -( Table1[[#This Row],[Riders Risk Premiums]] + Table1[[#This Row],[Acquisition Cost]]) *0.75,Table1[[#This Row],[Death Capital (1)]]* 0.03),0),0)</f>
        <v>0</v>
      </c>
      <c r="N69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69" s="29">
        <f>ROUND(IF(ROW()-1&gt;InsurancePeriod,0,(O68*(1+(Table1[[#This Row],[Adjustment Factor of Premium]]/100)))),0)</f>
        <v>0</v>
      </c>
      <c r="P69" s="29">
        <f>IF(Table1[Year] = 0, 0, SUM(L$2:L69))</f>
        <v>0</v>
      </c>
      <c r="Q69" s="17">
        <f t="shared" si="30"/>
        <v>0</v>
      </c>
      <c r="R69" s="17">
        <f>IF(Table1[[#This Row],[Year]]=0,0,IF($C$2&lt;=50,LOOKUP(Table1[[#This Row],[Age]],db!BG70:BG176,db!BH70:BH176),LOOKUP(Table1[[#This Row],[Age]],db!BJ70:BJ176,db!BK70:BK176)))</f>
        <v>0</v>
      </c>
      <c r="S69" s="17">
        <f>IF(AND(Changes!Change="Yes",Changes!ValidityYear&lt;=Table1[[#This Row],[Year]],Changes!ChangeType="Paid-Up",PaidUpOption="Paid-up with no coverage"),0,IF(B69=0,0, IF(AND(Changes!Change="Yes", Changes!ValidityYear=Table1[[#This Row],[Year]], Changes!ChangeType="Change Death Capital"), Changes!NewChangedValue, S68*(1+(Table1[[#This Row],[Adjustment Factor of Death Capital]]/100)))))</f>
        <v>0</v>
      </c>
      <c r="T69" s="17">
        <f>MIN(IF(B69=0,0,Table1[[#This Row],[Death Capital (1)]]),Table1[[#This Row],[Max Sum Insured For Death]])</f>
        <v>0</v>
      </c>
      <c r="U69" s="29">
        <f t="shared" si="39"/>
        <v>0</v>
      </c>
      <c r="V69" s="29">
        <f>IF(AND(Changes!Change="Yes",Changes!ValidityYear&lt;=Table1[[#This Row],[Year]],Changes!ChangeType="Paid-Up",OR(PaidUpOption="Paid-up with no coverage",PaidUpOption="Paid-up with main coverage")),0,IF(B69=0,0,IF(AND(Changes!Change="Yes", Changes!ValidityYear&lt;=Table1[[#This Row],[Year]], Changes!ChangeType="Rider Inclusion/Exclusion", Changes!RiderType="Accident Death"), T69*Changes!NewChangedValue,IF(db!$D$6="Yes",(db!$B$6)*T69,0))))</f>
        <v>0</v>
      </c>
      <c r="W69" s="29">
        <f>MIN(IF(V69&lt;=db!$L$2,V69,db!$L$2),MAX_ACC_CAPITAL)</f>
        <v>0</v>
      </c>
      <c r="X69" s="17">
        <f>IF(AND(Changes!Change="Yes",Changes!ValidityYear&lt;=Table1[[#This Row],[Year]],Changes!ChangeType="Paid-Up",OR(PaidUpOption="Paid-up with no coverage",PaidUpOption="Paid-up with main coverage")),0,IF(OR(B69=0,Table1[[#This Row],[Accident Capital (2)]]=0),0,IF(AND(Changes!Change="Yes", Changes!ValidityYear&lt;=Table1[[#This Row],[Year]], Changes!ChangeType="Rider Inclusion/Exclusion", Changes!RiderType="Accident Disability"), T69*Changes!NewChangedValue,IF(db!$D$7="Yes",(db!$B$7)*T69,0))))</f>
        <v>0</v>
      </c>
      <c r="Y69" s="42">
        <f>IF(C69&gt;69,0,IF(C69=0,0,IF(X69&lt;=db!$L$3,X69,db!$L$3)))</f>
        <v>0</v>
      </c>
      <c r="Z69" s="29">
        <f>IF(AND(Changes!Change="Yes",Changes!ValidityYear&lt;=Table1[[#This Row],[Year]],Changes!ChangeType="Paid-Up",OR(PaidUpOption="Paid-up with no coverage",PaidUpOption="Paid-up with main coverage")),0,IF(OR(B69=0,Table1[[#This Row],[Accident Capital (2)]]=0),0,IF(AND(Changes!Change="Yes", Changes!ValidityYear&lt;=Table1[[#This Row],[Year]], Changes!ChangeType="Rider Inclusion/Exclusion", Changes!RiderType="Accident Medical Cost"), T69*Changes!NewChangedValue,IF(db!$D$9="Yes",(db!$B$9)*T69,0))))</f>
        <v>0</v>
      </c>
      <c r="AA69" s="29">
        <f>ROUND(IF(C69&gt;69,0,IF(C69=0,0,IF(Z69&lt;=db!$L$4,Z69,db!$L$4))),0)</f>
        <v>0</v>
      </c>
      <c r="AB69" s="38">
        <f>IF(AND(Changes!Change = "Yes", Changes!ChangeType = "Rider Inclusion/Exclusion", Changes!RiderType = "WOP"), IF( Changes!ValidityYear &lt;= Table1[[#This Row],[Year]], IF(WOP = "Yes", 0, 1),  IF(WOP = "Yes", 1, 0)), IF(AND(db!$D$8="Yes",C69&lt;=69,ROW()-1&lt;=InsurancePeriod), 1, 0))</f>
        <v>0</v>
      </c>
      <c r="AC69" s="17">
        <f>(AC70+K70)*AB69*((1)/(1+db!AA71))*(LOOKUP(C69,'Mortality Table'!$A$2:$A$108,'Mortality Table'!$E$2:$E$108))</f>
        <v>0</v>
      </c>
      <c r="AD69" s="340">
        <f>IF(AND(Changes!ValidityYear&lt;= Table1[[#This Row],[Year]],Changes!ChangeType="Change Value Adjustment",Changes!Change="Yes"), (AD70+L70)*AB69*((1)/(1+db!AA71))*(LOOKUP(C69,'Mortality Table'!$A$2:$A$108,'Mortality Table'!$E$2:$E$108)),Table1[[#This Row],[WOP Before Adj. BT]])</f>
        <v>0</v>
      </c>
      <c r="AE69" s="341">
        <f>IF(AND(Changes!Change="Yes", Changes!ChangeType="Change Value Adjustment"),Table1[[#This Row],[WOP Capital]],(AE70+O70)*AB69*((1)/(1+db!AA71))*(LOOKUP(D69,'Mortality Table'!$A$2:$A$108,'Mortality Table'!$E$2:$E$108)))</f>
        <v>0</v>
      </c>
      <c r="AF69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69" s="42">
        <f>IF(AND(Changes!Change="Yes", Changes!ValidityYear&lt;=Table1[[#This Row],[Year]], Changes!ChangeType="Rider Inclusion/Exclusion", Changes!RiderType="Disability Annuity"), L69*Changes!NewChangedValue,L69*db!B$10*IF(db!$D$10="Yes",1,0))</f>
        <v>0</v>
      </c>
      <c r="AH69" s="29">
        <f>IF(AND(Changes!Change="Yes",Changes!ValidityYear&lt;=Table1[[#This Row],[Year]],Changes!ChangeType="Paid-Up"),0,Table1[[#This Row],[Code Annuity Capital]]*IF('Annual Calculation'!C69&gt;69,0,(LOOKUP('Annual Calculation'!C69+1,'Mortality Table'!$A$2:$A$108,'Mortality Table'!$O$2:$O$108)-LOOKUP('Annual Calculation'!C69+11,'Mortality Table'!$A$2:$A$108,'Mortality Table'!$O$2:$O$108))/LOOKUP('Annual Calculation'!C69,'Mortality Table'!$A$2:$A$108,'Mortality Table'!$M$2:$M$108)))</f>
        <v>0</v>
      </c>
      <c r="AI69" s="17">
        <f>IF(AND(Changes!Change="Yes",Changes!ValidityYear&lt;=Table1[[#This Row],[Year]],Changes!ChangeType="Paid-Up",OR(PaidUpOption="Paid-up with no coverage",PaidUpOption="Paid-up with main coverage")),0,IF(B69=0,0,IF(AND(Changes!Change="Yes", Changes!ValidityYear&lt;=Table1[[#This Row],[Year]], Changes!ChangeType="Rider Inclusion/Exclusion", Changes!RiderType="Dread Disease"), T69*Changes!NewChangedValue,IF(db!$D$11="Yes",(db!$B$11)*T69,0))))</f>
        <v>0</v>
      </c>
      <c r="AJ69" s="42">
        <f>ROUND(IF(C69&gt;59,0,IF(C69=0,0,IF(AI69&lt;=db!$L$5,AI69,db!$L$5))),0)</f>
        <v>0</v>
      </c>
      <c r="AK69" s="29">
        <f>IF(AND(Changes!Change="Yes",Changes!ValidityYear&lt;=Table1[[#This Row],[Year]],Changes!ChangeType="Paid-Up",OR(PaidUpOption="Paid-up with no coverage",PaidUpOption="Paid-up with main coverage")),0,IF(B69=0,0,IF(AND(Changes!Change="Yes", Changes!ValidityYear&lt;=Table1[[#This Row],[Year]], Changes!ChangeType="Rider Inclusion/Exclusion", Changes!RiderType="Cancer"), T69*Changes!NewChangedValue,IF(db!$D$12="Yes",(db!$B$12)*T69,0))))</f>
        <v>0</v>
      </c>
      <c r="AL69" s="29">
        <f>ROUND(IF(C69&gt;59,0,IF(C69=0,0,IF(AK69&lt;=db!$L$6,AK69,db!$L$6))),0)</f>
        <v>0</v>
      </c>
      <c r="AM69" s="32"/>
      <c r="AN69" s="18">
        <f>IF(B69=0,0,IF(C69&lt;(db!$E$2+5),LOOKUP(C69,'Mortality Table'!$A$2:$A$108,'Mortality Table'!$P$2:$P$108),IF((C69&gt;=db!$E$2+10),LOOKUP(C69,'Mortality Table'!$A$2:$A$108,'Mortality Table'!$R$2:$R$108),LOOKUP(C69,'Mortality Table'!$A$2:$A$108,'Mortality Table'!$Q$2:$Q$108))))</f>
        <v>0</v>
      </c>
      <c r="AO69" s="22">
        <f t="shared" si="31"/>
        <v>0</v>
      </c>
      <c r="AP69" s="19">
        <f>IF(B69=0,0, LOOKUP(IF(AND(Changes!Change="Yes", Changes!ValidityYear&lt;=Table1[[#This Row],[Year]], Changes!ChangeType="Change Job Class"),Changes!NewChangedValue, db!$A$8),db!$AX$4:$AX$8,db!$AY$4:$AY$8))</f>
        <v>0</v>
      </c>
      <c r="AQ69" s="20">
        <f>ROUND((AP69/1000)*W69 * (1-db!$AS$9),0)</f>
        <v>0</v>
      </c>
      <c r="AR69" s="20">
        <f>(AP69/1000)*W69 * db!$AS$9</f>
        <v>0</v>
      </c>
      <c r="AS69" s="21">
        <f>IF(B69=0,0, LOOKUP(IF(AND(Changes!Change="Yes", Changes!ValidityYear&lt;=Table1[[#This Row],[Year]], Changes!ChangeType="Change Job Class"),Changes!NewChangedValue, db!$A$8),db!$AX$4:$AX$8,db!$AZ$4:$AZ$8))</f>
        <v>0</v>
      </c>
      <c r="AT69" s="22">
        <f>(AS69/1000)*Y69*(1-db!$AS$9)</f>
        <v>0</v>
      </c>
      <c r="AU69" s="22">
        <f>(AS69/1000)*Y69*(db!$AS$9)</f>
        <v>0</v>
      </c>
      <c r="AV69" s="23">
        <f>IF(B69=0,0, LOOKUP(IF(AND(Changes!Change="Yes", Changes!ValidityYear&lt;=Table1[[#This Row],[Year]], Changes!ChangeType="Change Job Class"),Changes!NewChangedValue, db!$A$8),db!$AX$4:$AX$8,db!$BA$4:$BA$8))</f>
        <v>0</v>
      </c>
      <c r="AW69" s="20">
        <f>ROUND((AV69/(100))*AA69*(1-db!$AS$9),0)</f>
        <v>0</v>
      </c>
      <c r="AX69" s="20">
        <f>ROUND((AV69/(100))*AA69*(db!$AS$9),0)</f>
        <v>0</v>
      </c>
      <c r="AY69" s="21">
        <f>IF(db!$D$8="Yes",AS69,0)</f>
        <v>0</v>
      </c>
      <c r="AZ69" s="22">
        <f>(AY69*AF69)/1000*(1-db!$AS$9)</f>
        <v>0</v>
      </c>
      <c r="BA69" s="22">
        <f>(AY69*AF69)/1000*(db!$AS$9)</f>
        <v>0</v>
      </c>
      <c r="BB69" s="23">
        <f t="shared" si="32"/>
        <v>0</v>
      </c>
      <c r="BC69" s="20">
        <f>(BB69*AH69/1000)*(1-db!$AS$9)</f>
        <v>0</v>
      </c>
      <c r="BD69" s="20">
        <f>(BB69*AH69/1000)*(db!$AS$9)</f>
        <v>0</v>
      </c>
      <c r="BE69" s="22">
        <f>IF(B69=0,0,IF(C69&gt;60,0,LOOKUP(Table1[[#This Row],[Medical
Age]],db!$BC$3:$BC$63,db!$BD$3:$BD$63)))</f>
        <v>0</v>
      </c>
      <c r="BF69" s="22">
        <f>BG69*db!$AS$10</f>
        <v>0</v>
      </c>
      <c r="BG69" s="22">
        <f t="shared" si="33"/>
        <v>0</v>
      </c>
      <c r="BH69" s="22">
        <f>(BE69/1000000)*AJ69*(1-db!$AS$10)</f>
        <v>0</v>
      </c>
      <c r="BI69" s="20">
        <f>IF(B69=0,0,IF(C69&gt;59,0,LOOKUP(Table1[[#This Row],[Medical
Age]],db!$BC$3:$BC$63,db!$BE$3:$BE$63)))</f>
        <v>0</v>
      </c>
      <c r="BJ69" s="20">
        <f>(BI69/1000000)*AL69*(1-db!$AS$11)</f>
        <v>0</v>
      </c>
      <c r="BK69" s="20">
        <f>(BI69/1000000)*AL69*(db!$AS$11)</f>
        <v>0</v>
      </c>
      <c r="BL69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69" s="20">
        <f>Table1[[#This Row],[RiskLoading
Rate]]*Table1[[#This Row],[Death Capital (2)]]</f>
        <v>0</v>
      </c>
      <c r="BN69" s="36"/>
      <c r="BO69" s="37">
        <f t="shared" si="34"/>
        <v>0</v>
      </c>
      <c r="BP69" s="35">
        <f t="shared" si="35"/>
        <v>0</v>
      </c>
      <c r="BQ69" s="35">
        <f t="shared" si="36"/>
        <v>0</v>
      </c>
      <c r="BR69" s="37">
        <f t="shared" si="40"/>
        <v>0</v>
      </c>
      <c r="BS69" s="37">
        <f t="shared" si="41"/>
        <v>0</v>
      </c>
      <c r="BT69" s="35">
        <f t="shared" si="42"/>
        <v>0</v>
      </c>
      <c r="BU69" s="35">
        <f t="shared" si="43"/>
        <v>0</v>
      </c>
      <c r="BV69" s="37">
        <f>(db!$AS$4/100)*(L69-BT69-BU69)</f>
        <v>0</v>
      </c>
      <c r="BW69" s="37">
        <f>(db!$AS$8/100)*(L69-BT69-BU69)</f>
        <v>0</v>
      </c>
      <c r="BX69" s="35"/>
      <c r="BY69" s="37"/>
      <c r="BZ69" s="37"/>
      <c r="CA69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69" s="33"/>
      <c r="CC69" s="39">
        <f>ROUND((Table1[[#This Row],[Premium]]-Table1[[#This Row],[All Deductions]]),0)</f>
        <v>0</v>
      </c>
      <c r="CD69" s="39">
        <f>IF(B69=0,0,Table1[[#This Row],[Initial Reserve]]+CE68)</f>
        <v>0</v>
      </c>
      <c r="CE69" s="40">
        <f>ROUND(IF(B69=0,0,((CC69)*(1+db!Y71))+((CE68)*(1+db!U71))),0)</f>
        <v>0</v>
      </c>
      <c r="CF69" s="40">
        <f t="shared" si="28"/>
        <v>0</v>
      </c>
      <c r="CG69" s="15">
        <f t="shared" si="44"/>
        <v>68</v>
      </c>
      <c r="CH69" s="39">
        <f>IF(B69=0,0,((CC69)*(1+db!AH71))+((CH68)*(1+db!AD71)))</f>
        <v>0</v>
      </c>
      <c r="CI69" s="39">
        <f>IF(B69=0,0,((CC69)*(1+db!AH71))+((CI68)*(1+db!AD71)))</f>
        <v>0</v>
      </c>
      <c r="CJ69" s="40">
        <f>IF(B69=0,0,((CC69)*(1+db!AO71))+((CJ68)*(1+db!AK71)))</f>
        <v>0</v>
      </c>
      <c r="CK69" s="40">
        <f>CJ69-(SUM(BX$7:$BX70))</f>
        <v>0</v>
      </c>
      <c r="CL69" s="46"/>
    </row>
    <row r="70" spans="1:90">
      <c r="A70" s="24">
        <f t="shared" si="45"/>
        <v>69</v>
      </c>
      <c r="B70" s="16">
        <f>IF(AND(Changes!Change="Yes", Changes!ChangeType="Change Contract Duration"),IF(B69=0,0,IF(Changes!NewChangedValue&lt;B69+1,0,B69+1)),IF(B69=0,0,IF('Application Annually'!$C$5&lt;B69+1,0,B69+1)))</f>
        <v>0</v>
      </c>
      <c r="C70" s="15">
        <f t="shared" si="46"/>
        <v>0</v>
      </c>
      <c r="D70" s="312">
        <f t="shared" si="47"/>
        <v>96</v>
      </c>
      <c r="E70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70" s="29">
        <f t="shared" si="37"/>
        <v>0</v>
      </c>
      <c r="G70" s="29">
        <f t="shared" si="38"/>
        <v>0</v>
      </c>
      <c r="H70" s="29">
        <f t="shared" si="29"/>
        <v>0</v>
      </c>
      <c r="I70" s="29">
        <f>IF(B70&gt;0,IF(AND(Table1[[#This Row],[Year]]&gt;Changes!ValidityYear,Changes!Change="Yes",Changes!ChangeType="Change Value Adjustment"),Changes!$G$22,'Application Annually'!$C$11),0)</f>
        <v>0</v>
      </c>
      <c r="J70" s="29">
        <f>IF(B70&gt;0,IF(AND(Table1[[#This Row],[Year]]&gt;Changes!ValidityYear,Changes!Change="Yes",Changes!ChangeType="Change Value Adjustment"),Changes!$G$24,'Application Annually'!$C$7),0)</f>
        <v>0</v>
      </c>
      <c r="K70" s="29">
        <f>ROUND(IF(B70=0,0,IF(AND(Changes!Change="Yes", Changes!ValidityYear=Table1[[#This Row],[Year]], Changes!ChangeType="Change Premium"), Changes!NewChangedValue, (K69*(1+db!$B$3)))),0)</f>
        <v>0</v>
      </c>
      <c r="L70" s="29">
        <f>ROUND(IF(AND(Changes!Change="Yes",Changes!ValidityYear&lt;=Table1[[#This Row],[Year]],Changes!ChangeType="Paid-Up"),0,IF(B70=0,0,IF(AND(Changes!Change="Yes", Changes!ValidityYear=Table1[[#This Row],[Year]], Changes!ChangeType="Change Premium"), Changes!NewChangedValue, (L69*(1+Table1[[#This Row],[Adjustment Factor of Premium]]/100))))),0)</f>
        <v>0</v>
      </c>
      <c r="M70" s="29">
        <f>IF(Table1[[#This Row],[Year]]=1,ROUND(MIN($L$2 -( Table1[[#This Row],[Riders Risk Premiums]] + Table1[[#This Row],[Acquisition Cost]]) *0.75,Table1[[#This Row],[Death Capital (1)]]* 0.03),0),0)</f>
        <v>0</v>
      </c>
      <c r="N70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70" s="29">
        <f>ROUND(IF(ROW()-1&gt;InsurancePeriod,0,(O69*(1+(Table1[[#This Row],[Adjustment Factor of Premium]]/100)))),0)</f>
        <v>0</v>
      </c>
      <c r="P70" s="29">
        <f>IF(Table1[Year] = 0, 0, SUM(L$2:L70))</f>
        <v>0</v>
      </c>
      <c r="Q70" s="17">
        <f t="shared" si="30"/>
        <v>0</v>
      </c>
      <c r="R70" s="17">
        <f>IF(Table1[[#This Row],[Year]]=0,0,IF($C$2&lt;=50,LOOKUP(Table1[[#This Row],[Age]],db!BG71:BG177,db!BH71:BH177),LOOKUP(Table1[[#This Row],[Age]],db!BJ71:BJ177,db!BK71:BK177)))</f>
        <v>0</v>
      </c>
      <c r="S70" s="17">
        <f>IF(AND(Changes!Change="Yes",Changes!ValidityYear&lt;=Table1[[#This Row],[Year]],Changes!ChangeType="Paid-Up",PaidUpOption="Paid-up with no coverage"),0,IF(B70=0,0, IF(AND(Changes!Change="Yes", Changes!ValidityYear=Table1[[#This Row],[Year]], Changes!ChangeType="Change Death Capital"), Changes!NewChangedValue, S69*(1+(Table1[[#This Row],[Adjustment Factor of Death Capital]]/100)))))</f>
        <v>0</v>
      </c>
      <c r="T70" s="17">
        <f>MIN(IF(B70=0,0,Table1[[#This Row],[Death Capital (1)]]),Table1[[#This Row],[Max Sum Insured For Death]])</f>
        <v>0</v>
      </c>
      <c r="U70" s="29">
        <f t="shared" si="39"/>
        <v>0</v>
      </c>
      <c r="V70" s="29">
        <f>IF(AND(Changes!Change="Yes",Changes!ValidityYear&lt;=Table1[[#This Row],[Year]],Changes!ChangeType="Paid-Up",OR(PaidUpOption="Paid-up with no coverage",PaidUpOption="Paid-up with main coverage")),0,IF(B70=0,0,IF(AND(Changes!Change="Yes", Changes!ValidityYear&lt;=Table1[[#This Row],[Year]], Changes!ChangeType="Rider Inclusion/Exclusion", Changes!RiderType="Accident Death"), T70*Changes!NewChangedValue,IF(db!$D$6="Yes",(db!$B$6)*T70,0))))</f>
        <v>0</v>
      </c>
      <c r="W70" s="29">
        <f>MIN(IF(V70&lt;=db!$L$2,V70,db!$L$2),MAX_ACC_CAPITAL)</f>
        <v>0</v>
      </c>
      <c r="X70" s="17">
        <f>IF(AND(Changes!Change="Yes",Changes!ValidityYear&lt;=Table1[[#This Row],[Year]],Changes!ChangeType="Paid-Up",OR(PaidUpOption="Paid-up with no coverage",PaidUpOption="Paid-up with main coverage")),0,IF(OR(B70=0,Table1[[#This Row],[Accident Capital (2)]]=0),0,IF(AND(Changes!Change="Yes", Changes!ValidityYear&lt;=Table1[[#This Row],[Year]], Changes!ChangeType="Rider Inclusion/Exclusion", Changes!RiderType="Accident Disability"), T70*Changes!NewChangedValue,IF(db!$D$7="Yes",(db!$B$7)*T70,0))))</f>
        <v>0</v>
      </c>
      <c r="Y70" s="42">
        <f>IF(C70&gt;69,0,IF(C70=0,0,IF(X70&lt;=db!$L$3,X70,db!$L$3)))</f>
        <v>0</v>
      </c>
      <c r="Z70" s="29">
        <f>IF(AND(Changes!Change="Yes",Changes!ValidityYear&lt;=Table1[[#This Row],[Year]],Changes!ChangeType="Paid-Up",OR(PaidUpOption="Paid-up with no coverage",PaidUpOption="Paid-up with main coverage")),0,IF(OR(B70=0,Table1[[#This Row],[Accident Capital (2)]]=0),0,IF(AND(Changes!Change="Yes", Changes!ValidityYear&lt;=Table1[[#This Row],[Year]], Changes!ChangeType="Rider Inclusion/Exclusion", Changes!RiderType="Accident Medical Cost"), T70*Changes!NewChangedValue,IF(db!$D$9="Yes",(db!$B$9)*T70,0))))</f>
        <v>0</v>
      </c>
      <c r="AA70" s="29">
        <f>ROUND(IF(C70&gt;69,0,IF(C70=0,0,IF(Z70&lt;=db!$L$4,Z70,db!$L$4))),0)</f>
        <v>0</v>
      </c>
      <c r="AB70" s="38">
        <f>IF(AND(Changes!Change = "Yes", Changes!ChangeType = "Rider Inclusion/Exclusion", Changes!RiderType = "WOP"), IF( Changes!ValidityYear &lt;= Table1[[#This Row],[Year]], IF(WOP = "Yes", 0, 1),  IF(WOP = "Yes", 1, 0)), IF(AND(db!$D$8="Yes",C70&lt;=69,ROW()-1&lt;=InsurancePeriod), 1, 0))</f>
        <v>0</v>
      </c>
      <c r="AC70" s="17">
        <f>(AC71+K71)*AB70*((1)/(1+db!AA72))*(LOOKUP(C70,'Mortality Table'!$A$2:$A$108,'Mortality Table'!$E$2:$E$108))</f>
        <v>0</v>
      </c>
      <c r="AD70" s="340">
        <f>IF(AND(Changes!ValidityYear&lt;= Table1[[#This Row],[Year]],Changes!ChangeType="Change Value Adjustment",Changes!Change="Yes"), (AD71+L71)*AB70*((1)/(1+db!AA72))*(LOOKUP(C70,'Mortality Table'!$A$2:$A$108,'Mortality Table'!$E$2:$E$108)),Table1[[#This Row],[WOP Before Adj. BT]])</f>
        <v>0</v>
      </c>
      <c r="AE70" s="341">
        <f>IF(AND(Changes!Change="Yes", Changes!ChangeType="Change Value Adjustment"),Table1[[#This Row],[WOP Capital]],(AE71+O71)*AB70*((1)/(1+db!AA72))*(LOOKUP(D70,'Mortality Table'!$A$2:$A$108,'Mortality Table'!$E$2:$E$108)))</f>
        <v>0</v>
      </c>
      <c r="AF70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70" s="42">
        <f>IF(AND(Changes!Change="Yes", Changes!ValidityYear&lt;=Table1[[#This Row],[Year]], Changes!ChangeType="Rider Inclusion/Exclusion", Changes!RiderType="Disability Annuity"), L70*Changes!NewChangedValue,L70*db!B$10*IF(db!$D$10="Yes",1,0))</f>
        <v>0</v>
      </c>
      <c r="AH70" s="29">
        <f>IF(AND(Changes!Change="Yes",Changes!ValidityYear&lt;=Table1[[#This Row],[Year]],Changes!ChangeType="Paid-Up"),0,Table1[[#This Row],[Code Annuity Capital]]*IF('Annual Calculation'!C70&gt;69,0,(LOOKUP('Annual Calculation'!C70+1,'Mortality Table'!$A$2:$A$108,'Mortality Table'!$O$2:$O$108)-LOOKUP('Annual Calculation'!C70+11,'Mortality Table'!$A$2:$A$108,'Mortality Table'!$O$2:$O$108))/LOOKUP('Annual Calculation'!C70,'Mortality Table'!$A$2:$A$108,'Mortality Table'!$M$2:$M$108)))</f>
        <v>0</v>
      </c>
      <c r="AI70" s="17">
        <f>IF(AND(Changes!Change="Yes",Changes!ValidityYear&lt;=Table1[[#This Row],[Year]],Changes!ChangeType="Paid-Up",OR(PaidUpOption="Paid-up with no coverage",PaidUpOption="Paid-up with main coverage")),0,IF(B70=0,0,IF(AND(Changes!Change="Yes", Changes!ValidityYear&lt;=Table1[[#This Row],[Year]], Changes!ChangeType="Rider Inclusion/Exclusion", Changes!RiderType="Dread Disease"), T70*Changes!NewChangedValue,IF(db!$D$11="Yes",(db!$B$11)*T70,0))))</f>
        <v>0</v>
      </c>
      <c r="AJ70" s="42">
        <f>ROUND(IF(C70&gt;59,0,IF(C70=0,0,IF(AI70&lt;=db!$L$5,AI70,db!$L$5))),0)</f>
        <v>0</v>
      </c>
      <c r="AK70" s="29">
        <f>IF(AND(Changes!Change="Yes",Changes!ValidityYear&lt;=Table1[[#This Row],[Year]],Changes!ChangeType="Paid-Up",OR(PaidUpOption="Paid-up with no coverage",PaidUpOption="Paid-up with main coverage")),0,IF(B70=0,0,IF(AND(Changes!Change="Yes", Changes!ValidityYear&lt;=Table1[[#This Row],[Year]], Changes!ChangeType="Rider Inclusion/Exclusion", Changes!RiderType="Cancer"), T70*Changes!NewChangedValue,IF(db!$D$12="Yes",(db!$B$12)*T70,0))))</f>
        <v>0</v>
      </c>
      <c r="AL70" s="29">
        <f>ROUND(IF(C70&gt;59,0,IF(C70=0,0,IF(AK70&lt;=db!$L$6,AK70,db!$L$6))),0)</f>
        <v>0</v>
      </c>
      <c r="AM70" s="32"/>
      <c r="AN70" s="18">
        <f>IF(B70=0,0,IF(C70&lt;(db!$E$2+5),LOOKUP(C70,'Mortality Table'!$A$2:$A$108,'Mortality Table'!$P$2:$P$108),IF((C70&gt;=db!$E$2+10),LOOKUP(C70,'Mortality Table'!$A$2:$A$108,'Mortality Table'!$R$2:$R$108),LOOKUP(C70,'Mortality Table'!$A$2:$A$108,'Mortality Table'!$Q$2:$Q$108))))</f>
        <v>0</v>
      </c>
      <c r="AO70" s="22">
        <f t="shared" si="31"/>
        <v>0</v>
      </c>
      <c r="AP70" s="19">
        <f>IF(B70=0,0, LOOKUP(IF(AND(Changes!Change="Yes", Changes!ValidityYear&lt;=Table1[[#This Row],[Year]], Changes!ChangeType="Change Job Class"),Changes!NewChangedValue, db!$A$8),db!$AX$4:$AX$8,db!$AY$4:$AY$8))</f>
        <v>0</v>
      </c>
      <c r="AQ70" s="20">
        <f>ROUND((AP70/1000)*W70 * (1-db!$AS$9),0)</f>
        <v>0</v>
      </c>
      <c r="AR70" s="20">
        <f>(AP70/1000)*W70 * db!$AS$9</f>
        <v>0</v>
      </c>
      <c r="AS70" s="21">
        <f>IF(B70=0,0, LOOKUP(IF(AND(Changes!Change="Yes", Changes!ValidityYear&lt;=Table1[[#This Row],[Year]], Changes!ChangeType="Change Job Class"),Changes!NewChangedValue, db!$A$8),db!$AX$4:$AX$8,db!$AZ$4:$AZ$8))</f>
        <v>0</v>
      </c>
      <c r="AT70" s="22">
        <f>(AS70/1000)*Y70*(1-db!$AS$9)</f>
        <v>0</v>
      </c>
      <c r="AU70" s="22">
        <f>(AS70/1000)*Y70*(db!$AS$9)</f>
        <v>0</v>
      </c>
      <c r="AV70" s="23">
        <f>IF(B70=0,0, LOOKUP(IF(AND(Changes!Change="Yes", Changes!ValidityYear&lt;=Table1[[#This Row],[Year]], Changes!ChangeType="Change Job Class"),Changes!NewChangedValue, db!$A$8),db!$AX$4:$AX$8,db!$BA$4:$BA$8))</f>
        <v>0</v>
      </c>
      <c r="AW70" s="20">
        <f>ROUND((AV70/(100))*AA70*(1-db!$AS$9),0)</f>
        <v>0</v>
      </c>
      <c r="AX70" s="20">
        <f>ROUND((AV70/(100))*AA70*(db!$AS$9),0)</f>
        <v>0</v>
      </c>
      <c r="AY70" s="21">
        <f>IF(db!$D$8="Yes",AS70,0)</f>
        <v>0</v>
      </c>
      <c r="AZ70" s="22">
        <f>(AY70*AF70)/1000*(1-db!$AS$9)</f>
        <v>0</v>
      </c>
      <c r="BA70" s="22">
        <f>(AY70*AF70)/1000*(db!$AS$9)</f>
        <v>0</v>
      </c>
      <c r="BB70" s="23">
        <f t="shared" si="32"/>
        <v>0</v>
      </c>
      <c r="BC70" s="20">
        <f>(BB70*AH70/1000)*(1-db!$AS$9)</f>
        <v>0</v>
      </c>
      <c r="BD70" s="20">
        <f>(BB70*AH70/1000)*(db!$AS$9)</f>
        <v>0</v>
      </c>
      <c r="BE70" s="22">
        <f>IF(B70=0,0,IF(C70&gt;60,0,LOOKUP(Table1[[#This Row],[Medical
Age]],db!$BC$3:$BC$63,db!$BD$3:$BD$63)))</f>
        <v>0</v>
      </c>
      <c r="BF70" s="22">
        <f>BG70*db!$AS$10</f>
        <v>0</v>
      </c>
      <c r="BG70" s="22">
        <f t="shared" si="33"/>
        <v>0</v>
      </c>
      <c r="BH70" s="22">
        <f>(BE70/1000000)*AJ70*(1-db!$AS$10)</f>
        <v>0</v>
      </c>
      <c r="BI70" s="20">
        <f>IF(B70=0,0,IF(C70&gt;59,0,LOOKUP(Table1[[#This Row],[Medical
Age]],db!$BC$3:$BC$63,db!$BE$3:$BE$63)))</f>
        <v>0</v>
      </c>
      <c r="BJ70" s="20">
        <f>(BI70/1000000)*AL70*(1-db!$AS$11)</f>
        <v>0</v>
      </c>
      <c r="BK70" s="20">
        <f>(BI70/1000000)*AL70*(db!$AS$11)</f>
        <v>0</v>
      </c>
      <c r="BL70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70" s="20">
        <f>Table1[[#This Row],[RiskLoading
Rate]]*Table1[[#This Row],[Death Capital (2)]]</f>
        <v>0</v>
      </c>
      <c r="BN70" s="36"/>
      <c r="BO70" s="37">
        <f t="shared" si="34"/>
        <v>0</v>
      </c>
      <c r="BP70" s="35">
        <f t="shared" si="35"/>
        <v>0</v>
      </c>
      <c r="BQ70" s="35">
        <f t="shared" si="36"/>
        <v>0</v>
      </c>
      <c r="BR70" s="37">
        <f t="shared" si="40"/>
        <v>0</v>
      </c>
      <c r="BS70" s="37">
        <f t="shared" si="41"/>
        <v>0</v>
      </c>
      <c r="BT70" s="35">
        <f t="shared" si="42"/>
        <v>0</v>
      </c>
      <c r="BU70" s="35">
        <f t="shared" si="43"/>
        <v>0</v>
      </c>
      <c r="BV70" s="37">
        <f>(db!$AS$4/100)*(L70-BT70-BU70)</f>
        <v>0</v>
      </c>
      <c r="BW70" s="37">
        <f>(db!$AS$8/100)*(L70-BT70-BU70)</f>
        <v>0</v>
      </c>
      <c r="BX70" s="35"/>
      <c r="BY70" s="37"/>
      <c r="BZ70" s="37"/>
      <c r="CA70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70" s="33"/>
      <c r="CC70" s="39">
        <f>ROUND((Table1[[#This Row],[Premium]]-Table1[[#This Row],[All Deductions]]),0)</f>
        <v>0</v>
      </c>
      <c r="CD70" s="39">
        <f>IF(B70=0,0,Table1[[#This Row],[Initial Reserve]]+CE69)</f>
        <v>0</v>
      </c>
      <c r="CE70" s="40">
        <f>ROUND(IF(B70=0,0,((CC70)*(1+db!Y72))+((CE69)*(1+db!U72))),0)</f>
        <v>0</v>
      </c>
      <c r="CF70" s="40">
        <f t="shared" si="28"/>
        <v>0</v>
      </c>
      <c r="CG70" s="15">
        <f t="shared" si="44"/>
        <v>69</v>
      </c>
      <c r="CH70" s="39">
        <f>IF(B70=0,0,((CC70)*(1+db!AH72))+((CH69)*(1+db!AD72)))</f>
        <v>0</v>
      </c>
      <c r="CI70" s="39">
        <f>IF(B70=0,0,((CC70)*(1+db!AH72))+((CI69)*(1+db!AD72)))</f>
        <v>0</v>
      </c>
      <c r="CJ70" s="40">
        <f>IF(B70=0,0,((CC70)*(1+db!AO72))+((CJ69)*(1+db!AK72)))</f>
        <v>0</v>
      </c>
      <c r="CK70" s="40">
        <f>CJ70-(SUM(BX$7:$BX71))</f>
        <v>0</v>
      </c>
      <c r="CL70" s="46"/>
    </row>
    <row r="71" spans="1:90">
      <c r="A71" s="24">
        <f t="shared" si="45"/>
        <v>70</v>
      </c>
      <c r="B71" s="16">
        <f>IF(AND(Changes!Change="Yes", Changes!ChangeType="Change Contract Duration"),IF(B70=0,0,IF(Changes!NewChangedValue&lt;B70+1,0,B70+1)),IF(B70=0,0,IF('Application Annually'!$C$5&lt;B70+1,0,B70+1)))</f>
        <v>0</v>
      </c>
      <c r="C71" s="15">
        <f t="shared" si="46"/>
        <v>0</v>
      </c>
      <c r="D71" s="312">
        <f t="shared" si="47"/>
        <v>97</v>
      </c>
      <c r="E71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71" s="29">
        <f t="shared" si="37"/>
        <v>0</v>
      </c>
      <c r="G71" s="29">
        <f t="shared" si="38"/>
        <v>0</v>
      </c>
      <c r="H71" s="29">
        <f t="shared" si="29"/>
        <v>0</v>
      </c>
      <c r="I71" s="29">
        <f>IF(B71&gt;0,IF(AND(Table1[[#This Row],[Year]]&gt;Changes!ValidityYear,Changes!Change="Yes",Changes!ChangeType="Change Value Adjustment"),Changes!$G$22,'Application Annually'!$C$11),0)</f>
        <v>0</v>
      </c>
      <c r="J71" s="29">
        <f>IF(B71&gt;0,IF(AND(Table1[[#This Row],[Year]]&gt;Changes!ValidityYear,Changes!Change="Yes",Changes!ChangeType="Change Value Adjustment"),Changes!$G$24,'Application Annually'!$C$7),0)</f>
        <v>0</v>
      </c>
      <c r="K71" s="29">
        <f>ROUND(IF(B71=0,0,IF(AND(Changes!Change="Yes", Changes!ValidityYear=Table1[[#This Row],[Year]], Changes!ChangeType="Change Premium"), Changes!NewChangedValue, (K70*(1+db!$B$3)))),0)</f>
        <v>0</v>
      </c>
      <c r="L71" s="29">
        <f>ROUND(IF(AND(Changes!Change="Yes",Changes!ValidityYear&lt;=Table1[[#This Row],[Year]],Changes!ChangeType="Paid-Up"),0,IF(B71=0,0,IF(AND(Changes!Change="Yes", Changes!ValidityYear=Table1[[#This Row],[Year]], Changes!ChangeType="Change Premium"), Changes!NewChangedValue, (L70*(1+Table1[[#This Row],[Adjustment Factor of Premium]]/100))))),0)</f>
        <v>0</v>
      </c>
      <c r="M71" s="29">
        <f>IF(Table1[[#This Row],[Year]]=1,ROUND(MIN($L$2 -( Table1[[#This Row],[Riders Risk Premiums]] + Table1[[#This Row],[Acquisition Cost]]) *0.75,Table1[[#This Row],[Death Capital (1)]]* 0.03),0),0)</f>
        <v>0</v>
      </c>
      <c r="N71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71" s="29">
        <f>ROUND(IF(ROW()-1&gt;InsurancePeriod,0,(O70*(1+(Table1[[#This Row],[Adjustment Factor of Premium]]/100)))),0)</f>
        <v>0</v>
      </c>
      <c r="P71" s="29">
        <f>IF(Table1[Year] = 0, 0, SUM(L$2:L71))</f>
        <v>0</v>
      </c>
      <c r="Q71" s="17">
        <f t="shared" si="30"/>
        <v>0</v>
      </c>
      <c r="R71" s="17">
        <f>IF(Table1[[#This Row],[Year]]=0,0,IF($C$2&lt;=50,LOOKUP(Table1[[#This Row],[Age]],db!BG72:BG178,db!BH72:BH178),LOOKUP(Table1[[#This Row],[Age]],db!BJ72:BJ178,db!BK72:BK178)))</f>
        <v>0</v>
      </c>
      <c r="S71" s="17">
        <f>IF(AND(Changes!Change="Yes",Changes!ValidityYear&lt;=Table1[[#This Row],[Year]],Changes!ChangeType="Paid-Up",PaidUpOption="Paid-up with no coverage"),0,IF(B71=0,0, IF(AND(Changes!Change="Yes", Changes!ValidityYear=Table1[[#This Row],[Year]], Changes!ChangeType="Change Death Capital"), Changes!NewChangedValue, S70*(1+(Table1[[#This Row],[Adjustment Factor of Death Capital]]/100)))))</f>
        <v>0</v>
      </c>
      <c r="T71" s="17">
        <f>MIN(IF(B71=0,0,Table1[[#This Row],[Death Capital (1)]]),Table1[[#This Row],[Max Sum Insured For Death]])</f>
        <v>0</v>
      </c>
      <c r="U71" s="29">
        <f t="shared" si="39"/>
        <v>0</v>
      </c>
      <c r="V71" s="29">
        <f>IF(AND(Changes!Change="Yes",Changes!ValidityYear&lt;=Table1[[#This Row],[Year]],Changes!ChangeType="Paid-Up",OR(PaidUpOption="Paid-up with no coverage",PaidUpOption="Paid-up with main coverage")),0,IF(B71=0,0,IF(AND(Changes!Change="Yes", Changes!ValidityYear&lt;=Table1[[#This Row],[Year]], Changes!ChangeType="Rider Inclusion/Exclusion", Changes!RiderType="Accident Death"), T71*Changes!NewChangedValue,IF(db!$D$6="Yes",(db!$B$6)*T71,0))))</f>
        <v>0</v>
      </c>
      <c r="W71" s="29">
        <f>MIN(IF(V71&lt;=db!$L$2,V71,db!$L$2),MAX_ACC_CAPITAL)</f>
        <v>0</v>
      </c>
      <c r="X71" s="17">
        <f>IF(AND(Changes!Change="Yes",Changes!ValidityYear&lt;=Table1[[#This Row],[Year]],Changes!ChangeType="Paid-Up",OR(PaidUpOption="Paid-up with no coverage",PaidUpOption="Paid-up with main coverage")),0,IF(OR(B71=0,Table1[[#This Row],[Accident Capital (2)]]=0),0,IF(AND(Changes!Change="Yes", Changes!ValidityYear&lt;=Table1[[#This Row],[Year]], Changes!ChangeType="Rider Inclusion/Exclusion", Changes!RiderType="Accident Disability"), T71*Changes!NewChangedValue,IF(db!$D$7="Yes",(db!$B$7)*T71,0))))</f>
        <v>0</v>
      </c>
      <c r="Y71" s="42">
        <f>IF(C71&gt;69,0,IF(C71=0,0,IF(X71&lt;=db!$L$3,X71,db!$L$3)))</f>
        <v>0</v>
      </c>
      <c r="Z71" s="29">
        <f>IF(AND(Changes!Change="Yes",Changes!ValidityYear&lt;=Table1[[#This Row],[Year]],Changes!ChangeType="Paid-Up",OR(PaidUpOption="Paid-up with no coverage",PaidUpOption="Paid-up with main coverage")),0,IF(OR(B71=0,Table1[[#This Row],[Accident Capital (2)]]=0),0,IF(AND(Changes!Change="Yes", Changes!ValidityYear&lt;=Table1[[#This Row],[Year]], Changes!ChangeType="Rider Inclusion/Exclusion", Changes!RiderType="Accident Medical Cost"), T71*Changes!NewChangedValue,IF(db!$D$9="Yes",(db!$B$9)*T71,0))))</f>
        <v>0</v>
      </c>
      <c r="AA71" s="29">
        <f>ROUND(IF(C71&gt;69,0,IF(C71=0,0,IF(Z71&lt;=db!$L$4,Z71,db!$L$4))),0)</f>
        <v>0</v>
      </c>
      <c r="AB71" s="38">
        <f>IF(AND(Changes!Change = "Yes", Changes!ChangeType = "Rider Inclusion/Exclusion", Changes!RiderType = "WOP"), IF( Changes!ValidityYear &lt;= Table1[[#This Row],[Year]], IF(WOP = "Yes", 0, 1),  IF(WOP = "Yes", 1, 0)), IF(AND(db!$D$8="Yes",C71&lt;=69,ROW()-1&lt;=InsurancePeriod), 1, 0))</f>
        <v>0</v>
      </c>
      <c r="AC71" s="17">
        <f>(AC72+K72)*AB71*((1)/(1+db!AA73))*(LOOKUP(C71,'Mortality Table'!$A$2:$A$108,'Mortality Table'!$E$2:$E$108))</f>
        <v>0</v>
      </c>
      <c r="AD71" s="340">
        <f>IF(AND(Changes!ValidityYear&lt;= Table1[[#This Row],[Year]],Changes!ChangeType="Change Value Adjustment",Changes!Change="Yes"), (AD72+L72)*AB71*((1)/(1+db!AA73))*(LOOKUP(C71,'Mortality Table'!$A$2:$A$108,'Mortality Table'!$E$2:$E$108)),Table1[[#This Row],[WOP Before Adj. BT]])</f>
        <v>0</v>
      </c>
      <c r="AE71" s="341">
        <f>IF(AND(Changes!Change="Yes", Changes!ChangeType="Change Value Adjustment"),Table1[[#This Row],[WOP Capital]],(AE72+O72)*AB71*((1)/(1+db!AA73))*(LOOKUP(D71,'Mortality Table'!$A$2:$A$108,'Mortality Table'!$E$2:$E$108)))</f>
        <v>0</v>
      </c>
      <c r="AF71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71" s="42">
        <f>IF(AND(Changes!Change="Yes", Changes!ValidityYear&lt;=Table1[[#This Row],[Year]], Changes!ChangeType="Rider Inclusion/Exclusion", Changes!RiderType="Disability Annuity"), L71*Changes!NewChangedValue,L71*db!B$10*IF(db!$D$10="Yes",1,0))</f>
        <v>0</v>
      </c>
      <c r="AH71" s="29">
        <f>IF(AND(Changes!Change="Yes",Changes!ValidityYear&lt;=Table1[[#This Row],[Year]],Changes!ChangeType="Paid-Up"),0,Table1[[#This Row],[Code Annuity Capital]]*IF('Annual Calculation'!C71&gt;69,0,(LOOKUP('Annual Calculation'!C71+1,'Mortality Table'!$A$2:$A$108,'Mortality Table'!$O$2:$O$108)-LOOKUP('Annual Calculation'!C71+11,'Mortality Table'!$A$2:$A$108,'Mortality Table'!$O$2:$O$108))/LOOKUP('Annual Calculation'!C71,'Mortality Table'!$A$2:$A$108,'Mortality Table'!$M$2:$M$108)))</f>
        <v>0</v>
      </c>
      <c r="AI71" s="17">
        <f>IF(AND(Changes!Change="Yes",Changes!ValidityYear&lt;=Table1[[#This Row],[Year]],Changes!ChangeType="Paid-Up",OR(PaidUpOption="Paid-up with no coverage",PaidUpOption="Paid-up with main coverage")),0,IF(B71=0,0,IF(AND(Changes!Change="Yes", Changes!ValidityYear&lt;=Table1[[#This Row],[Year]], Changes!ChangeType="Rider Inclusion/Exclusion", Changes!RiderType="Dread Disease"), T71*Changes!NewChangedValue,IF(db!$D$11="Yes",(db!$B$11)*T71,0))))</f>
        <v>0</v>
      </c>
      <c r="AJ71" s="42">
        <f>ROUND(IF(C71&gt;59,0,IF(C71=0,0,IF(AI71&lt;=db!$L$5,AI71,db!$L$5))),0)</f>
        <v>0</v>
      </c>
      <c r="AK71" s="29">
        <f>IF(AND(Changes!Change="Yes",Changes!ValidityYear&lt;=Table1[[#This Row],[Year]],Changes!ChangeType="Paid-Up",OR(PaidUpOption="Paid-up with no coverage",PaidUpOption="Paid-up with main coverage")),0,IF(B71=0,0,IF(AND(Changes!Change="Yes", Changes!ValidityYear&lt;=Table1[[#This Row],[Year]], Changes!ChangeType="Rider Inclusion/Exclusion", Changes!RiderType="Cancer"), T71*Changes!NewChangedValue,IF(db!$D$12="Yes",(db!$B$12)*T71,0))))</f>
        <v>0</v>
      </c>
      <c r="AL71" s="29">
        <f>ROUND(IF(C71&gt;59,0,IF(C71=0,0,IF(AK71&lt;=db!$L$6,AK71,db!$L$6))),0)</f>
        <v>0</v>
      </c>
      <c r="AM71" s="32"/>
      <c r="AN71" s="18">
        <f>IF(B71=0,0,IF(C71&lt;(db!$E$2+5),LOOKUP(C71,'Mortality Table'!$A$2:$A$108,'Mortality Table'!$P$2:$P$108),IF((C71&gt;=db!$E$2+10),LOOKUP(C71,'Mortality Table'!$A$2:$A$108,'Mortality Table'!$R$2:$R$108),LOOKUP(C71,'Mortality Table'!$A$2:$A$108,'Mortality Table'!$Q$2:$Q$108))))</f>
        <v>0</v>
      </c>
      <c r="AO71" s="22">
        <f t="shared" si="31"/>
        <v>0</v>
      </c>
      <c r="AP71" s="19">
        <f>IF(B71=0,0, LOOKUP(IF(AND(Changes!Change="Yes", Changes!ValidityYear&lt;=Table1[[#This Row],[Year]], Changes!ChangeType="Change Job Class"),Changes!NewChangedValue, db!$A$8),db!$AX$4:$AX$8,db!$AY$4:$AY$8))</f>
        <v>0</v>
      </c>
      <c r="AQ71" s="20">
        <f>ROUND((AP71/1000)*W71 * (1-db!$AS$9),0)</f>
        <v>0</v>
      </c>
      <c r="AR71" s="20">
        <f>(AP71/1000)*W71 * db!$AS$9</f>
        <v>0</v>
      </c>
      <c r="AS71" s="21">
        <f>IF(B71=0,0, LOOKUP(IF(AND(Changes!Change="Yes", Changes!ValidityYear&lt;=Table1[[#This Row],[Year]], Changes!ChangeType="Change Job Class"),Changes!NewChangedValue, db!$A$8),db!$AX$4:$AX$8,db!$AZ$4:$AZ$8))</f>
        <v>0</v>
      </c>
      <c r="AT71" s="22">
        <f>(AS71/1000)*Y71*(1-db!$AS$9)</f>
        <v>0</v>
      </c>
      <c r="AU71" s="22">
        <f>(AS71/1000)*Y71*(db!$AS$9)</f>
        <v>0</v>
      </c>
      <c r="AV71" s="23">
        <f>IF(B71=0,0, LOOKUP(IF(AND(Changes!Change="Yes", Changes!ValidityYear&lt;=Table1[[#This Row],[Year]], Changes!ChangeType="Change Job Class"),Changes!NewChangedValue, db!$A$8),db!$AX$4:$AX$8,db!$BA$4:$BA$8))</f>
        <v>0</v>
      </c>
      <c r="AW71" s="20">
        <f>ROUND((AV71/(100))*AA71*(1-db!$AS$9),0)</f>
        <v>0</v>
      </c>
      <c r="AX71" s="20">
        <f>ROUND((AV71/(100))*AA71*(db!$AS$9),0)</f>
        <v>0</v>
      </c>
      <c r="AY71" s="21">
        <f>IF(db!$D$8="Yes",AS71,0)</f>
        <v>0</v>
      </c>
      <c r="AZ71" s="22">
        <f>(AY71*AF71)/1000*(1-db!$AS$9)</f>
        <v>0</v>
      </c>
      <c r="BA71" s="22">
        <f>(AY71*AF71)/1000*(db!$AS$9)</f>
        <v>0</v>
      </c>
      <c r="BB71" s="23">
        <f t="shared" si="32"/>
        <v>0</v>
      </c>
      <c r="BC71" s="20">
        <f>(BB71*AH71/1000)*(1-db!$AS$9)</f>
        <v>0</v>
      </c>
      <c r="BD71" s="20">
        <f>(BB71*AH71/1000)*(db!$AS$9)</f>
        <v>0</v>
      </c>
      <c r="BE71" s="22">
        <f>IF(B71=0,0,IF(C71&gt;60,0,LOOKUP(Table1[[#This Row],[Medical
Age]],db!$BC$3:$BC$63,db!$BD$3:$BD$63)))</f>
        <v>0</v>
      </c>
      <c r="BF71" s="22">
        <f>BG71*db!$AS$10</f>
        <v>0</v>
      </c>
      <c r="BG71" s="22">
        <f t="shared" si="33"/>
        <v>0</v>
      </c>
      <c r="BH71" s="22">
        <f>(BE71/1000000)*AJ71*(1-db!$AS$10)</f>
        <v>0</v>
      </c>
      <c r="BI71" s="20">
        <f>IF(B71=0,0,IF(C71&gt;59,0,LOOKUP(Table1[[#This Row],[Medical
Age]],db!$BC$3:$BC$63,db!$BE$3:$BE$63)))</f>
        <v>0</v>
      </c>
      <c r="BJ71" s="20">
        <f>(BI71/1000000)*AL71*(1-db!$AS$11)</f>
        <v>0</v>
      </c>
      <c r="BK71" s="20">
        <f>(BI71/1000000)*AL71*(db!$AS$11)</f>
        <v>0</v>
      </c>
      <c r="BL71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71" s="20">
        <f>Table1[[#This Row],[RiskLoading
Rate]]*Table1[[#This Row],[Death Capital (2)]]</f>
        <v>0</v>
      </c>
      <c r="BN71" s="36"/>
      <c r="BO71" s="37">
        <f t="shared" si="34"/>
        <v>0</v>
      </c>
      <c r="BP71" s="35">
        <f t="shared" si="35"/>
        <v>0</v>
      </c>
      <c r="BQ71" s="35">
        <f t="shared" si="36"/>
        <v>0</v>
      </c>
      <c r="BR71" s="37">
        <f t="shared" si="40"/>
        <v>0</v>
      </c>
      <c r="BS71" s="37">
        <f t="shared" si="41"/>
        <v>0</v>
      </c>
      <c r="BT71" s="35">
        <f t="shared" si="42"/>
        <v>0</v>
      </c>
      <c r="BU71" s="35">
        <f t="shared" si="43"/>
        <v>0</v>
      </c>
      <c r="BV71" s="37">
        <f>(db!$AS$4/100)*(L71-BT71-BU71)</f>
        <v>0</v>
      </c>
      <c r="BW71" s="37">
        <f>(db!$AS$8/100)*(L71-BT71-BU71)</f>
        <v>0</v>
      </c>
      <c r="BX71" s="35"/>
      <c r="BY71" s="37"/>
      <c r="BZ71" s="37"/>
      <c r="CA71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71" s="33"/>
      <c r="CC71" s="39">
        <f>ROUND((Table1[[#This Row],[Premium]]-Table1[[#This Row],[All Deductions]]),0)</f>
        <v>0</v>
      </c>
      <c r="CD71" s="39">
        <f>IF(B71=0,0,Table1[[#This Row],[Initial Reserve]]+CE70)</f>
        <v>0</v>
      </c>
      <c r="CE71" s="40">
        <f>ROUND(IF(B71=0,0,((CC71)*(1+db!Y73))+((CE70)*(1+db!U73))),0)</f>
        <v>0</v>
      </c>
      <c r="CF71" s="40">
        <f>ROUND(CE71,-3)</f>
        <v>0</v>
      </c>
      <c r="CG71" s="15">
        <f t="shared" si="44"/>
        <v>70</v>
      </c>
      <c r="CH71" s="39">
        <f>IF(B71=0,0,((CC71)*(1+db!AH73))+((CH70)*(1+db!AD73)))</f>
        <v>0</v>
      </c>
      <c r="CI71" s="39">
        <f>IF(B71=0,0,((CC71)*(1+db!AH73))+((CI70)*(1+db!AD73)))</f>
        <v>0</v>
      </c>
      <c r="CJ71" s="40">
        <f>IF(B71=0,0,((CC71)*(1+db!AO73))+((CJ70)*(1+db!AK73)))</f>
        <v>0</v>
      </c>
      <c r="CK71" s="40">
        <f>CJ71-(SUM(BX$7:$BX72))</f>
        <v>0</v>
      </c>
      <c r="CL71" s="46"/>
    </row>
    <row r="72" spans="1:90" s="28" customFormat="1">
      <c r="A72" s="24">
        <f t="shared" si="45"/>
        <v>71</v>
      </c>
      <c r="B72" s="16">
        <f>IF(AND(Changes!Change="Yes", Changes!ChangeType="Change Contract Duration"),IF(B71=0,0,IF(Changes!NewChangedValue&lt;B71+1,0,B71+1)),IF(B71=0,0,IF('Application Annually'!$C$5&lt;B71+1,0,B71+1)))</f>
        <v>0</v>
      </c>
      <c r="C72" s="15">
        <f t="shared" si="46"/>
        <v>0</v>
      </c>
      <c r="D72" s="312">
        <f t="shared" si="47"/>
        <v>98</v>
      </c>
      <c r="E72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72" s="29">
        <f t="shared" si="37"/>
        <v>0</v>
      </c>
      <c r="G72" s="29">
        <f t="shared" si="38"/>
        <v>0</v>
      </c>
      <c r="H72" s="29">
        <f t="shared" si="29"/>
        <v>0</v>
      </c>
      <c r="I72" s="29">
        <f>IF(B72&gt;0,IF(AND(Table1[[#This Row],[Year]]&gt;Changes!ValidityYear,Changes!Change="Yes",Changes!ChangeType="Change Value Adjustment"),Changes!$G$22,'Application Annually'!$C$11),0)</f>
        <v>0</v>
      </c>
      <c r="J72" s="29">
        <f>IF(B72&gt;0,IF(AND(Table1[[#This Row],[Year]]&gt;Changes!ValidityYear,Changes!Change="Yes",Changes!ChangeType="Change Value Adjustment"),Changes!$G$24,'Application Annually'!$C$7),0)</f>
        <v>0</v>
      </c>
      <c r="K72" s="29">
        <f>ROUND(IF(B72=0,0,IF(AND(Changes!Change="Yes", Changes!ValidityYear=Table1[[#This Row],[Year]], Changes!ChangeType="Change Premium"), Changes!NewChangedValue, (K71*(1+db!$B$3)))),0)</f>
        <v>0</v>
      </c>
      <c r="L72" s="29">
        <f>ROUND(IF(AND(Changes!Change="Yes",Changes!ValidityYear&lt;=Table1[[#This Row],[Year]],Changes!ChangeType="Paid-Up"),0,IF(B72=0,0,IF(AND(Changes!Change="Yes", Changes!ValidityYear=Table1[[#This Row],[Year]], Changes!ChangeType="Change Premium"), Changes!NewChangedValue, (L71*(1+Table1[[#This Row],[Adjustment Factor of Premium]]/100))))),0)</f>
        <v>0</v>
      </c>
      <c r="M72" s="29">
        <f>IF(Table1[[#This Row],[Year]]=1,ROUND(MIN($L$2 -( Table1[[#This Row],[Riders Risk Premiums]] + Table1[[#This Row],[Acquisition Cost]]) *0.75,Table1[[#This Row],[Death Capital (1)]]* 0.03),0),0)</f>
        <v>0</v>
      </c>
      <c r="N72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72" s="29">
        <f>ROUND(IF(ROW()-1&gt;InsurancePeriod,0,(O71*(1+(Table1[[#This Row],[Adjustment Factor of Premium]]/100)))),0)</f>
        <v>0</v>
      </c>
      <c r="P72" s="29">
        <f>IF(Table1[Year] = 0, 0, SUM(L$2:L72))</f>
        <v>0</v>
      </c>
      <c r="Q72" s="17">
        <f t="shared" si="30"/>
        <v>0</v>
      </c>
      <c r="R72" s="17">
        <f>IF(Table1[[#This Row],[Year]]=0,0,IF($C$2&lt;=50,LOOKUP(Table1[[#This Row],[Age]],db!BG73:BG179,db!BH73:BH179),LOOKUP(Table1[[#This Row],[Age]],db!BJ73:BJ179,db!BK73:BK179)))</f>
        <v>0</v>
      </c>
      <c r="S72" s="17">
        <f>IF(AND(Changes!Change="Yes",Changes!ValidityYear&lt;=Table1[[#This Row],[Year]],Changes!ChangeType="Paid-Up",PaidUpOption="Paid-up with no coverage"),0,IF(B72=0,0, IF(AND(Changes!Change="Yes", Changes!ValidityYear=Table1[[#This Row],[Year]], Changes!ChangeType="Change Death Capital"), Changes!NewChangedValue, S71*(1+(Table1[[#This Row],[Adjustment Factor of Death Capital]]/100)))))</f>
        <v>0</v>
      </c>
      <c r="T72" s="17">
        <f>MIN(IF(B72=0,0,Table1[[#This Row],[Death Capital (1)]]),Table1[[#This Row],[Max Sum Insured For Death]])</f>
        <v>0</v>
      </c>
      <c r="U72" s="29">
        <f t="shared" si="39"/>
        <v>0</v>
      </c>
      <c r="V72" s="29">
        <f>IF(AND(Changes!Change="Yes",Changes!ValidityYear&lt;=Table1[[#This Row],[Year]],Changes!ChangeType="Paid-Up",OR(PaidUpOption="Paid-up with no coverage",PaidUpOption="Paid-up with main coverage")),0,IF(B72=0,0,IF(AND(Changes!Change="Yes", Changes!ValidityYear&lt;=Table1[[#This Row],[Year]], Changes!ChangeType="Rider Inclusion/Exclusion", Changes!RiderType="Accident Death"), T72*Changes!NewChangedValue,IF(db!$D$6="Yes",(db!$B$6)*T72,0))))</f>
        <v>0</v>
      </c>
      <c r="W72" s="29">
        <f>MIN(IF(V72&lt;=db!$L$2,V72,db!$L$2),MAX_ACC_CAPITAL)</f>
        <v>0</v>
      </c>
      <c r="X72" s="17">
        <f>IF(AND(Changes!Change="Yes",Changes!ValidityYear&lt;=Table1[[#This Row],[Year]],Changes!ChangeType="Paid-Up",OR(PaidUpOption="Paid-up with no coverage",PaidUpOption="Paid-up with main coverage")),0,IF(OR(B72=0,Table1[[#This Row],[Accident Capital (2)]]=0),0,IF(AND(Changes!Change="Yes", Changes!ValidityYear&lt;=Table1[[#This Row],[Year]], Changes!ChangeType="Rider Inclusion/Exclusion", Changes!RiderType="Accident Disability"), T72*Changes!NewChangedValue,IF(db!$D$7="Yes",(db!$B$7)*T72,0))))</f>
        <v>0</v>
      </c>
      <c r="Y72" s="42">
        <f>IF(C72&gt;69,0,IF(C72=0,0,IF(X72&lt;=db!$L$3,X72,db!$L$3)))</f>
        <v>0</v>
      </c>
      <c r="Z72" s="29">
        <f>IF(AND(Changes!Change="Yes",Changes!ValidityYear&lt;=Table1[[#This Row],[Year]],Changes!ChangeType="Paid-Up",OR(PaidUpOption="Paid-up with no coverage",PaidUpOption="Paid-up with main coverage")),0,IF(OR(B72=0,Table1[[#This Row],[Accident Capital (2)]]=0),0,IF(AND(Changes!Change="Yes", Changes!ValidityYear&lt;=Table1[[#This Row],[Year]], Changes!ChangeType="Rider Inclusion/Exclusion", Changes!RiderType="Accident Medical Cost"), T72*Changes!NewChangedValue,IF(db!$D$9="Yes",(db!$B$9)*T72,0))))</f>
        <v>0</v>
      </c>
      <c r="AA72" s="29">
        <f>ROUND(IF(C72&gt;69,0,IF(C72=0,0,IF(Z72&lt;=db!$L$4,Z72,db!$L$4))),0)</f>
        <v>0</v>
      </c>
      <c r="AB72" s="38">
        <f>IF(AND(Changes!Change = "Yes", Changes!ChangeType = "Rider Inclusion/Exclusion", Changes!RiderType = "WOP"), IF( Changes!ValidityYear &lt;= Table1[[#This Row],[Year]], IF(WOP = "Yes", 0, 1),  IF(WOP = "Yes", 1, 0)), IF(AND(db!$D$8="Yes",C72&lt;=69,ROW()-1&lt;=InsurancePeriod), 1, 0))</f>
        <v>0</v>
      </c>
      <c r="AC72" s="17">
        <f>(AC73+K73)*AB72*((1)/(1+db!AA74))*(LOOKUP(C72,'Mortality Table'!$A$2:$A$108,'Mortality Table'!$E$2:$E$108))</f>
        <v>0</v>
      </c>
      <c r="AD72" s="340">
        <f>IF(AND(Changes!ValidityYear&lt;= Table1[[#This Row],[Year]],Changes!ChangeType="Change Value Adjustment",Changes!Change="Yes"), (AD73+L73)*AB72*((1)/(1+db!AA74))*(LOOKUP(C72,'Mortality Table'!$A$2:$A$108,'Mortality Table'!$E$2:$E$108)),Table1[[#This Row],[WOP Before Adj. BT]])</f>
        <v>0</v>
      </c>
      <c r="AE72" s="341">
        <f>IF(AND(Changes!Change="Yes", Changes!ChangeType="Change Value Adjustment"),Table1[[#This Row],[WOP Capital]],(AE73+O73)*AB72*((1)/(1+db!AA74))*(LOOKUP(D72,'Mortality Table'!$A$2:$A$108,'Mortality Table'!$E$2:$E$108)))</f>
        <v>0</v>
      </c>
      <c r="AF72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72" s="42">
        <f>IF(AND(Changes!Change="Yes", Changes!ValidityYear&lt;=Table1[[#This Row],[Year]], Changes!ChangeType="Rider Inclusion/Exclusion", Changes!RiderType="Disability Annuity"), L72*Changes!NewChangedValue,L72*db!B$10*IF(db!$D$10="Yes",1,0))</f>
        <v>0</v>
      </c>
      <c r="AH72" s="29">
        <f>IF(AND(Changes!Change="Yes",Changes!ValidityYear&lt;=Table1[[#This Row],[Year]],Changes!ChangeType="Paid-Up"),0,Table1[[#This Row],[Code Annuity Capital]]*IF('Annual Calculation'!C72&gt;69,0,(LOOKUP('Annual Calculation'!C72+1,'Mortality Table'!$A$2:$A$108,'Mortality Table'!$O$2:$O$108)-LOOKUP('Annual Calculation'!C72+11,'Mortality Table'!$A$2:$A$108,'Mortality Table'!$O$2:$O$108))/LOOKUP('Annual Calculation'!C72,'Mortality Table'!$A$2:$A$108,'Mortality Table'!$M$2:$M$108)))</f>
        <v>0</v>
      </c>
      <c r="AI72" s="17">
        <f>IF(AND(Changes!Change="Yes",Changes!ValidityYear&lt;=Table1[[#This Row],[Year]],Changes!ChangeType="Paid-Up",OR(PaidUpOption="Paid-up with no coverage",PaidUpOption="Paid-up with main coverage")),0,IF(B72=0,0,IF(AND(Changes!Change="Yes", Changes!ValidityYear&lt;=Table1[[#This Row],[Year]], Changes!ChangeType="Rider Inclusion/Exclusion", Changes!RiderType="Dread Disease"), T72*Changes!NewChangedValue,IF(db!$D$11="Yes",(db!$B$11)*T72,0))))</f>
        <v>0</v>
      </c>
      <c r="AJ72" s="42">
        <f>ROUND(IF(C72&gt;59,0,IF(C72=0,0,IF(AI72&lt;=db!$L$5,AI72,db!$L$5))),0)</f>
        <v>0</v>
      </c>
      <c r="AK72" s="29">
        <f>IF(AND(Changes!Change="Yes",Changes!ValidityYear&lt;=Table1[[#This Row],[Year]],Changes!ChangeType="Paid-Up",OR(PaidUpOption="Paid-up with no coverage",PaidUpOption="Paid-up with main coverage")),0,IF(B72=0,0,IF(AND(Changes!Change="Yes", Changes!ValidityYear&lt;=Table1[[#This Row],[Year]], Changes!ChangeType="Rider Inclusion/Exclusion", Changes!RiderType="Cancer"), T72*Changes!NewChangedValue,IF(db!$D$12="Yes",(db!$B$12)*T72,0))))</f>
        <v>0</v>
      </c>
      <c r="AL72" s="29">
        <f>ROUND(IF(C72&gt;59,0,IF(C72=0,0,IF(AK72&lt;=db!$L$6,AK72,db!$L$6))),0)</f>
        <v>0</v>
      </c>
      <c r="AM72" s="32"/>
      <c r="AN72" s="18">
        <f>IF(B72=0,0,IF(C72&lt;(db!$E$2+5),LOOKUP(C72,'Mortality Table'!$A$2:$A$108,'Mortality Table'!$P$2:$P$108),IF((C72&gt;=db!$E$2+10),LOOKUP(C72,'Mortality Table'!$A$2:$A$108,'Mortality Table'!$R$2:$R$108),LOOKUP(C72,'Mortality Table'!$A$2:$A$108,'Mortality Table'!$Q$2:$Q$108))))</f>
        <v>0</v>
      </c>
      <c r="AO72" s="22">
        <f t="shared" si="31"/>
        <v>0</v>
      </c>
      <c r="AP72" s="19">
        <f>IF(B72=0,0, LOOKUP(IF(AND(Changes!Change="Yes", Changes!ValidityYear&lt;=Table1[[#This Row],[Year]], Changes!ChangeType="Change Job Class"),Changes!NewChangedValue, db!$A$8),db!$AX$4:$AX$8,db!$AY$4:$AY$8))</f>
        <v>0</v>
      </c>
      <c r="AQ72" s="20">
        <f>ROUND((AP72/1000)*W72 * (1-db!$AS$9),0)</f>
        <v>0</v>
      </c>
      <c r="AR72" s="20">
        <f>(AP72/1000)*W72 * db!$AS$9</f>
        <v>0</v>
      </c>
      <c r="AS72" s="21">
        <f>IF(B72=0,0, LOOKUP(IF(AND(Changes!Change="Yes", Changes!ValidityYear&lt;=Table1[[#This Row],[Year]], Changes!ChangeType="Change Job Class"),Changes!NewChangedValue, db!$A$8),db!$AX$4:$AX$8,db!$AZ$4:$AZ$8))</f>
        <v>0</v>
      </c>
      <c r="AT72" s="22">
        <f>(AS72/1000)*Y72*(1-db!$AS$9)</f>
        <v>0</v>
      </c>
      <c r="AU72" s="22">
        <f>(AS72/1000)*Y72*(db!$AS$9)</f>
        <v>0</v>
      </c>
      <c r="AV72" s="23">
        <f>IF(B72=0,0, LOOKUP(IF(AND(Changes!Change="Yes", Changes!ValidityYear&lt;=Table1[[#This Row],[Year]], Changes!ChangeType="Change Job Class"),Changes!NewChangedValue, db!$A$8),db!$AX$4:$AX$8,db!$BA$4:$BA$8))</f>
        <v>0</v>
      </c>
      <c r="AW72" s="20">
        <f>ROUND((AV72/(100))*AA72*(1-db!$AS$9),0)</f>
        <v>0</v>
      </c>
      <c r="AX72" s="20">
        <f>ROUND((AV72/(100))*AA72*(db!$AS$9),0)</f>
        <v>0</v>
      </c>
      <c r="AY72" s="21">
        <f>IF(db!$D$8="Yes",AS72,0)</f>
        <v>0</v>
      </c>
      <c r="AZ72" s="22">
        <f>(AY72*AF72)/1000*(1-db!$AS$9)</f>
        <v>0</v>
      </c>
      <c r="BA72" s="22">
        <f>(AY72*AF72)/1000*(db!$AS$9)</f>
        <v>0</v>
      </c>
      <c r="BB72" s="23">
        <f t="shared" si="32"/>
        <v>0</v>
      </c>
      <c r="BC72" s="20">
        <f>(BB72*AH72/1000)*(1-db!$AS$9)</f>
        <v>0</v>
      </c>
      <c r="BD72" s="20">
        <f>(BB72*AH72/1000)*(db!$AS$9)</f>
        <v>0</v>
      </c>
      <c r="BE72" s="22">
        <f>IF(B72=0,0,IF(C72&gt;60,0,LOOKUP(Table1[[#This Row],[Medical
Age]],db!$BC$3:$BC$63,db!$BD$3:$BD$63)))</f>
        <v>0</v>
      </c>
      <c r="BF72" s="22">
        <f>BG72*db!$AS$10</f>
        <v>0</v>
      </c>
      <c r="BG72" s="22">
        <f t="shared" si="33"/>
        <v>0</v>
      </c>
      <c r="BH72" s="22">
        <f>(BE72/1000000)*AJ72*(1-db!$AS$10)</f>
        <v>0</v>
      </c>
      <c r="BI72" s="20">
        <f>IF(B72=0,0,IF(C72&gt;59,0,LOOKUP(Table1[[#This Row],[Medical
Age]],db!$BC$3:$BC$63,db!$BE$3:$BE$63)))</f>
        <v>0</v>
      </c>
      <c r="BJ72" s="20">
        <f>(BI72/1000000)*AL72*(1-db!$AS$11)</f>
        <v>0</v>
      </c>
      <c r="BK72" s="20">
        <f>(BI72/1000000)*AL72*(db!$AS$11)</f>
        <v>0</v>
      </c>
      <c r="BL72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72" s="20">
        <f>Table1[[#This Row],[RiskLoading
Rate]]*Table1[[#This Row],[Death Capital (2)]]</f>
        <v>0</v>
      </c>
      <c r="BN72" s="36"/>
      <c r="BO72" s="37">
        <f t="shared" si="34"/>
        <v>0</v>
      </c>
      <c r="BP72" s="35">
        <f t="shared" si="35"/>
        <v>0</v>
      </c>
      <c r="BQ72" s="35">
        <f t="shared" si="36"/>
        <v>0</v>
      </c>
      <c r="BR72" s="37">
        <f t="shared" si="40"/>
        <v>0</v>
      </c>
      <c r="BS72" s="37">
        <f t="shared" si="41"/>
        <v>0</v>
      </c>
      <c r="BT72" s="35">
        <f t="shared" si="42"/>
        <v>0</v>
      </c>
      <c r="BU72" s="35">
        <f t="shared" si="43"/>
        <v>0</v>
      </c>
      <c r="BV72" s="37">
        <f>(db!$AS$4/100)*(L72-BT72-BU72)</f>
        <v>0</v>
      </c>
      <c r="BW72" s="37">
        <f>(db!$AS$8/100)*(L72-BT72-BU72)</f>
        <v>0</v>
      </c>
      <c r="BX72" s="35"/>
      <c r="BY72" s="37"/>
      <c r="BZ72" s="37"/>
      <c r="CA72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72" s="33"/>
      <c r="CC72" s="39">
        <f>ROUND((Table1[[#This Row],[Premium]]-Table1[[#This Row],[All Deductions]]),0)</f>
        <v>0</v>
      </c>
      <c r="CD72" s="39">
        <f>IF(B72=0,0,Table1[[#This Row],[Initial Reserve]]+CE71)</f>
        <v>0</v>
      </c>
      <c r="CE72" s="40">
        <f>ROUND(IF(B72=0,0,((CC72)*(1+db!Y74))+((CE71)*(1+db!U74))),0)</f>
        <v>0</v>
      </c>
      <c r="CF72" s="40">
        <f t="shared" ref="CF72:CF107" si="48">ROUND(CE72,-3)</f>
        <v>0</v>
      </c>
      <c r="CG72" s="15">
        <f t="shared" si="44"/>
        <v>71</v>
      </c>
      <c r="CH72" s="39">
        <f>IF(B72=0,0,((CC72)*(1+db!AH74))+((CH71)*(1+db!AD74)))</f>
        <v>0</v>
      </c>
      <c r="CI72" s="39">
        <f>IF(B72=0,0,((CC72)*(1+db!AH74))+((CI71)*(1+db!AD74)))</f>
        <v>0</v>
      </c>
      <c r="CJ72" s="40">
        <f>IF(B72=0,0,((CC72)*(1+db!AO74))+((CJ71)*(1+db!AK74)))</f>
        <v>0</v>
      </c>
      <c r="CK72" s="40">
        <f>CJ72-(SUM(BX$7:$BX73))</f>
        <v>0</v>
      </c>
      <c r="CL72" s="46"/>
    </row>
    <row r="73" spans="1:90">
      <c r="A73" s="24">
        <f t="shared" si="45"/>
        <v>72</v>
      </c>
      <c r="B73" s="16">
        <f>IF(AND(Changes!Change="Yes", Changes!ChangeType="Change Contract Duration"),IF(B72=0,0,IF(Changes!NewChangedValue&lt;B72+1,0,B72+1)),IF(B72=0,0,IF('Application Annually'!$C$5&lt;B72+1,0,B72+1)))</f>
        <v>0</v>
      </c>
      <c r="C73" s="15">
        <f t="shared" si="46"/>
        <v>0</v>
      </c>
      <c r="D73" s="312">
        <f t="shared" si="47"/>
        <v>99</v>
      </c>
      <c r="E73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73" s="29">
        <f t="shared" si="37"/>
        <v>0</v>
      </c>
      <c r="G73" s="29">
        <f t="shared" si="38"/>
        <v>0</v>
      </c>
      <c r="H73" s="29">
        <f t="shared" si="29"/>
        <v>0</v>
      </c>
      <c r="I73" s="29">
        <f>IF(B73&gt;0,IF(AND(Table1[[#This Row],[Year]]&gt;Changes!ValidityYear,Changes!Change="Yes",Changes!ChangeType="Change Value Adjustment"),Changes!$G$22,'Application Annually'!$C$11),0)</f>
        <v>0</v>
      </c>
      <c r="J73" s="29">
        <f>IF(B73&gt;0,IF(AND(Table1[[#This Row],[Year]]&gt;Changes!ValidityYear,Changes!Change="Yes",Changes!ChangeType="Change Value Adjustment"),Changes!$G$24,'Application Annually'!$C$7),0)</f>
        <v>0</v>
      </c>
      <c r="K73" s="29">
        <f>ROUND(IF(B73=0,0,IF(AND(Changes!Change="Yes", Changes!ValidityYear=Table1[[#This Row],[Year]], Changes!ChangeType="Change Premium"), Changes!NewChangedValue, (K72*(1+db!$B$3)))),0)</f>
        <v>0</v>
      </c>
      <c r="L73" s="29">
        <f>ROUND(IF(AND(Changes!Change="Yes",Changes!ValidityYear&lt;=Table1[[#This Row],[Year]],Changes!ChangeType="Paid-Up"),0,IF(B73=0,0,IF(AND(Changes!Change="Yes", Changes!ValidityYear=Table1[[#This Row],[Year]], Changes!ChangeType="Change Premium"), Changes!NewChangedValue, (L72*(1+Table1[[#This Row],[Adjustment Factor of Premium]]/100))))),0)</f>
        <v>0</v>
      </c>
      <c r="M73" s="29">
        <f>IF(Table1[[#This Row],[Year]]=1,ROUND(MIN($L$2 -( Table1[[#This Row],[Riders Risk Premiums]] + Table1[[#This Row],[Acquisition Cost]]) *0.75,Table1[[#This Row],[Death Capital (1)]]* 0.03),0),0)</f>
        <v>0</v>
      </c>
      <c r="N73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73" s="29">
        <f>ROUND(IF(ROW()-1&gt;InsurancePeriod,0,(O72*(1+(Table1[[#This Row],[Adjustment Factor of Premium]]/100)))),0)</f>
        <v>0</v>
      </c>
      <c r="P73" s="29">
        <f>IF(Table1[Year] = 0, 0, SUM(L$2:L73))</f>
        <v>0</v>
      </c>
      <c r="Q73" s="17">
        <f t="shared" si="30"/>
        <v>0</v>
      </c>
      <c r="R73" s="17">
        <f>IF(Table1[[#This Row],[Year]]=0,0,IF($C$2&lt;=50,LOOKUP(Table1[[#This Row],[Age]],db!BG74:BG180,db!BH74:BH180),LOOKUP(Table1[[#This Row],[Age]],db!BJ74:BJ180,db!BK74:BK180)))</f>
        <v>0</v>
      </c>
      <c r="S73" s="17">
        <f>IF(AND(Changes!Change="Yes",Changes!ValidityYear&lt;=Table1[[#This Row],[Year]],Changes!ChangeType="Paid-Up",PaidUpOption="Paid-up with no coverage"),0,IF(B73=0,0, IF(AND(Changes!Change="Yes", Changes!ValidityYear=Table1[[#This Row],[Year]], Changes!ChangeType="Change Death Capital"), Changes!NewChangedValue, S72*(1+(Table1[[#This Row],[Adjustment Factor of Death Capital]]/100)))))</f>
        <v>0</v>
      </c>
      <c r="T73" s="17">
        <f>MIN(IF(B73=0,0,Table1[[#This Row],[Death Capital (1)]]),Table1[[#This Row],[Max Sum Insured For Death]])</f>
        <v>0</v>
      </c>
      <c r="U73" s="29">
        <f t="shared" si="39"/>
        <v>0</v>
      </c>
      <c r="V73" s="29">
        <f>IF(AND(Changes!Change="Yes",Changes!ValidityYear&lt;=Table1[[#This Row],[Year]],Changes!ChangeType="Paid-Up",OR(PaidUpOption="Paid-up with no coverage",PaidUpOption="Paid-up with main coverage")),0,IF(B73=0,0,IF(AND(Changes!Change="Yes", Changes!ValidityYear&lt;=Table1[[#This Row],[Year]], Changes!ChangeType="Rider Inclusion/Exclusion", Changes!RiderType="Accident Death"), T73*Changes!NewChangedValue,IF(db!$D$6="Yes",(db!$B$6)*T73,0))))</f>
        <v>0</v>
      </c>
      <c r="W73" s="29">
        <f>MIN(IF(V73&lt;=db!$L$2,V73,db!$L$2),MAX_ACC_CAPITAL)</f>
        <v>0</v>
      </c>
      <c r="X73" s="17">
        <f>IF(AND(Changes!Change="Yes",Changes!ValidityYear&lt;=Table1[[#This Row],[Year]],Changes!ChangeType="Paid-Up",OR(PaidUpOption="Paid-up with no coverage",PaidUpOption="Paid-up with main coverage")),0,IF(OR(B73=0,Table1[[#This Row],[Accident Capital (2)]]=0),0,IF(AND(Changes!Change="Yes", Changes!ValidityYear&lt;=Table1[[#This Row],[Year]], Changes!ChangeType="Rider Inclusion/Exclusion", Changes!RiderType="Accident Disability"), T73*Changes!NewChangedValue,IF(db!$D$7="Yes",(db!$B$7)*T73,0))))</f>
        <v>0</v>
      </c>
      <c r="Y73" s="42">
        <f>IF(C73&gt;69,0,IF(C73=0,0,IF(X73&lt;=db!$L$3,X73,db!$L$3)))</f>
        <v>0</v>
      </c>
      <c r="Z73" s="29">
        <f>IF(AND(Changes!Change="Yes",Changes!ValidityYear&lt;=Table1[[#This Row],[Year]],Changes!ChangeType="Paid-Up",OR(PaidUpOption="Paid-up with no coverage",PaidUpOption="Paid-up with main coverage")),0,IF(OR(B73=0,Table1[[#This Row],[Accident Capital (2)]]=0),0,IF(AND(Changes!Change="Yes", Changes!ValidityYear&lt;=Table1[[#This Row],[Year]], Changes!ChangeType="Rider Inclusion/Exclusion", Changes!RiderType="Accident Medical Cost"), T73*Changes!NewChangedValue,IF(db!$D$9="Yes",(db!$B$9)*T73,0))))</f>
        <v>0</v>
      </c>
      <c r="AA73" s="29">
        <f>ROUND(IF(C73&gt;69,0,IF(C73=0,0,IF(Z73&lt;=db!$L$4,Z73,db!$L$4))),0)</f>
        <v>0</v>
      </c>
      <c r="AB73" s="38">
        <f>IF(AND(Changes!Change = "Yes", Changes!ChangeType = "Rider Inclusion/Exclusion", Changes!RiderType = "WOP"), IF( Changes!ValidityYear &lt;= Table1[[#This Row],[Year]], IF(WOP = "Yes", 0, 1),  IF(WOP = "Yes", 1, 0)), IF(AND(db!$D$8="Yes",C73&lt;=69,ROW()-1&lt;=InsurancePeriod), 1, 0))</f>
        <v>0</v>
      </c>
      <c r="AC73" s="17">
        <f>(AC74+K74)*AB73*((1)/(1+db!AA75))*(LOOKUP(C73,'Mortality Table'!$A$2:$A$108,'Mortality Table'!$E$2:$E$108))</f>
        <v>0</v>
      </c>
      <c r="AD73" s="340">
        <f>IF(AND(Changes!ValidityYear&lt;= Table1[[#This Row],[Year]],Changes!ChangeType="Change Value Adjustment",Changes!Change="Yes"), (AD74+L74)*AB73*((1)/(1+db!AA75))*(LOOKUP(C73,'Mortality Table'!$A$2:$A$108,'Mortality Table'!$E$2:$E$108)),Table1[[#This Row],[WOP Before Adj. BT]])</f>
        <v>0</v>
      </c>
      <c r="AE73" s="341">
        <f>IF(AND(Changes!Change="Yes", Changes!ChangeType="Change Value Adjustment"),Table1[[#This Row],[WOP Capital]],(AE74+O74)*AB73*((1)/(1+db!AA75))*(LOOKUP(D73,'Mortality Table'!$A$2:$A$108,'Mortality Table'!$E$2:$E$108)))</f>
        <v>0</v>
      </c>
      <c r="AF73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73" s="42">
        <f>IF(AND(Changes!Change="Yes", Changes!ValidityYear&lt;=Table1[[#This Row],[Year]], Changes!ChangeType="Rider Inclusion/Exclusion", Changes!RiderType="Disability Annuity"), L73*Changes!NewChangedValue,L73*db!B$10*IF(db!$D$10="Yes",1,0))</f>
        <v>0</v>
      </c>
      <c r="AH73" s="29">
        <f>IF(AND(Changes!Change="Yes",Changes!ValidityYear&lt;=Table1[[#This Row],[Year]],Changes!ChangeType="Paid-Up"),0,Table1[[#This Row],[Code Annuity Capital]]*IF('Annual Calculation'!C73&gt;69,0,(LOOKUP('Annual Calculation'!C73+1,'Mortality Table'!$A$2:$A$108,'Mortality Table'!$O$2:$O$108)-LOOKUP('Annual Calculation'!C73+11,'Mortality Table'!$A$2:$A$108,'Mortality Table'!$O$2:$O$108))/LOOKUP('Annual Calculation'!C73,'Mortality Table'!$A$2:$A$108,'Mortality Table'!$M$2:$M$108)))</f>
        <v>0</v>
      </c>
      <c r="AI73" s="17">
        <f>IF(AND(Changes!Change="Yes",Changes!ValidityYear&lt;=Table1[[#This Row],[Year]],Changes!ChangeType="Paid-Up",OR(PaidUpOption="Paid-up with no coverage",PaidUpOption="Paid-up with main coverage")),0,IF(B73=0,0,IF(AND(Changes!Change="Yes", Changes!ValidityYear&lt;=Table1[[#This Row],[Year]], Changes!ChangeType="Rider Inclusion/Exclusion", Changes!RiderType="Dread Disease"), T73*Changes!NewChangedValue,IF(db!$D$11="Yes",(db!$B$11)*T73,0))))</f>
        <v>0</v>
      </c>
      <c r="AJ73" s="42">
        <f>ROUND(IF(C73&gt;59,0,IF(C73=0,0,IF(AI73&lt;=db!$L$5,AI73,db!$L$5))),0)</f>
        <v>0</v>
      </c>
      <c r="AK73" s="29">
        <f>IF(AND(Changes!Change="Yes",Changes!ValidityYear&lt;=Table1[[#This Row],[Year]],Changes!ChangeType="Paid-Up",OR(PaidUpOption="Paid-up with no coverage",PaidUpOption="Paid-up with main coverage")),0,IF(B73=0,0,IF(AND(Changes!Change="Yes", Changes!ValidityYear&lt;=Table1[[#This Row],[Year]], Changes!ChangeType="Rider Inclusion/Exclusion", Changes!RiderType="Cancer"), T73*Changes!NewChangedValue,IF(db!$D$12="Yes",(db!$B$12)*T73,0))))</f>
        <v>0</v>
      </c>
      <c r="AL73" s="29">
        <f>ROUND(IF(C73&gt;59,0,IF(C73=0,0,IF(AK73&lt;=db!$L$6,AK73,db!$L$6))),0)</f>
        <v>0</v>
      </c>
      <c r="AM73" s="32"/>
      <c r="AN73" s="18">
        <f>IF(B73=0,0,IF(C73&lt;(db!$E$2+5),LOOKUP(C73,'Mortality Table'!$A$2:$A$108,'Mortality Table'!$P$2:$P$108),IF((C73&gt;=db!$E$2+10),LOOKUP(C73,'Mortality Table'!$A$2:$A$108,'Mortality Table'!$R$2:$R$108),LOOKUP(C73,'Mortality Table'!$A$2:$A$108,'Mortality Table'!$Q$2:$Q$108))))</f>
        <v>0</v>
      </c>
      <c r="AO73" s="22">
        <f t="shared" si="31"/>
        <v>0</v>
      </c>
      <c r="AP73" s="19">
        <f>IF(B73=0,0, LOOKUP(IF(AND(Changes!Change="Yes", Changes!ValidityYear&lt;=Table1[[#This Row],[Year]], Changes!ChangeType="Change Job Class"),Changes!NewChangedValue, db!$A$8),db!$AX$4:$AX$8,db!$AY$4:$AY$8))</f>
        <v>0</v>
      </c>
      <c r="AQ73" s="20">
        <f>ROUND((AP73/1000)*W73 * (1-db!$AS$9),0)</f>
        <v>0</v>
      </c>
      <c r="AR73" s="20">
        <f>(AP73/1000)*W73 * db!$AS$9</f>
        <v>0</v>
      </c>
      <c r="AS73" s="21">
        <f>IF(B73=0,0, LOOKUP(IF(AND(Changes!Change="Yes", Changes!ValidityYear&lt;=Table1[[#This Row],[Year]], Changes!ChangeType="Change Job Class"),Changes!NewChangedValue, db!$A$8),db!$AX$4:$AX$8,db!$AZ$4:$AZ$8))</f>
        <v>0</v>
      </c>
      <c r="AT73" s="22">
        <f>(AS73/1000)*Y73*(1-db!$AS$9)</f>
        <v>0</v>
      </c>
      <c r="AU73" s="22">
        <f>(AS73/1000)*Y73*(db!$AS$9)</f>
        <v>0</v>
      </c>
      <c r="AV73" s="23">
        <f>IF(B73=0,0, LOOKUP(IF(AND(Changes!Change="Yes", Changes!ValidityYear&lt;=Table1[[#This Row],[Year]], Changes!ChangeType="Change Job Class"),Changes!NewChangedValue, db!$A$8),db!$AX$4:$AX$8,db!$BA$4:$BA$8))</f>
        <v>0</v>
      </c>
      <c r="AW73" s="20">
        <f>ROUND((AV73/(100))*AA73*(1-db!$AS$9),0)</f>
        <v>0</v>
      </c>
      <c r="AX73" s="20">
        <f>ROUND((AV73/(100))*AA73*(db!$AS$9),0)</f>
        <v>0</v>
      </c>
      <c r="AY73" s="21">
        <f>IF(db!$D$8="Yes",AS73,0)</f>
        <v>0</v>
      </c>
      <c r="AZ73" s="22">
        <f>(AY73*AF73)/1000*(1-db!$AS$9)</f>
        <v>0</v>
      </c>
      <c r="BA73" s="22">
        <f>(AY73*AF73)/1000*(db!$AS$9)</f>
        <v>0</v>
      </c>
      <c r="BB73" s="23">
        <f t="shared" si="32"/>
        <v>0</v>
      </c>
      <c r="BC73" s="20">
        <f>(BB73*AH73/1000)*(1-db!$AS$9)</f>
        <v>0</v>
      </c>
      <c r="BD73" s="20">
        <f>(BB73*AH73/1000)*(db!$AS$9)</f>
        <v>0</v>
      </c>
      <c r="BE73" s="22">
        <f>IF(B73=0,0,IF(C73&gt;60,0,LOOKUP(Table1[[#This Row],[Medical
Age]],db!$BC$3:$BC$63,db!$BD$3:$BD$63)))</f>
        <v>0</v>
      </c>
      <c r="BF73" s="22">
        <f>BG73*db!$AS$10</f>
        <v>0</v>
      </c>
      <c r="BG73" s="22">
        <f t="shared" si="33"/>
        <v>0</v>
      </c>
      <c r="BH73" s="22">
        <f>(BE73/1000000)*AJ73*(1-db!$AS$10)</f>
        <v>0</v>
      </c>
      <c r="BI73" s="20">
        <f>IF(B73=0,0,IF(C73&gt;59,0,LOOKUP(Table1[[#This Row],[Medical
Age]],db!$BC$3:$BC$63,db!$BE$3:$BE$63)))</f>
        <v>0</v>
      </c>
      <c r="BJ73" s="20">
        <f>(BI73/1000000)*AL73*(1-db!$AS$11)</f>
        <v>0</v>
      </c>
      <c r="BK73" s="20">
        <f>(BI73/1000000)*AL73*(db!$AS$11)</f>
        <v>0</v>
      </c>
      <c r="BL73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73" s="20">
        <f>Table1[[#This Row],[RiskLoading
Rate]]*Table1[[#This Row],[Death Capital (2)]]</f>
        <v>0</v>
      </c>
      <c r="BN73" s="36"/>
      <c r="BO73" s="37">
        <f t="shared" si="34"/>
        <v>0</v>
      </c>
      <c r="BP73" s="35">
        <f t="shared" si="35"/>
        <v>0</v>
      </c>
      <c r="BQ73" s="35">
        <f t="shared" si="36"/>
        <v>0</v>
      </c>
      <c r="BR73" s="37">
        <f t="shared" si="40"/>
        <v>0</v>
      </c>
      <c r="BS73" s="37">
        <f t="shared" si="41"/>
        <v>0</v>
      </c>
      <c r="BT73" s="35">
        <f t="shared" si="42"/>
        <v>0</v>
      </c>
      <c r="BU73" s="35">
        <f t="shared" si="43"/>
        <v>0</v>
      </c>
      <c r="BV73" s="37">
        <f>(db!$AS$4/100)*(L73-BT73-BU73)</f>
        <v>0</v>
      </c>
      <c r="BW73" s="37">
        <f>(db!$AS$8/100)*(L73-BT73-BU73)</f>
        <v>0</v>
      </c>
      <c r="BX73" s="35"/>
      <c r="BY73" s="37"/>
      <c r="BZ73" s="37"/>
      <c r="CA73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73" s="33"/>
      <c r="CC73" s="39">
        <f>ROUND((Table1[[#This Row],[Premium]]-Table1[[#This Row],[All Deductions]]),0)</f>
        <v>0</v>
      </c>
      <c r="CD73" s="39">
        <f>IF(B73=0,0,Table1[[#This Row],[Initial Reserve]]+CE72)</f>
        <v>0</v>
      </c>
      <c r="CE73" s="40">
        <f>ROUND(IF(B73=0,0,((CC73)*(1+db!Y75))+((CE72)*(1+db!U75))),0)</f>
        <v>0</v>
      </c>
      <c r="CF73" s="40">
        <f t="shared" si="48"/>
        <v>0</v>
      </c>
      <c r="CG73" s="15">
        <f t="shared" si="44"/>
        <v>72</v>
      </c>
      <c r="CH73" s="39">
        <f>IF(B73=0,0,((CC73)*(1+db!AH75))+((CH72)*(1+db!AD75)))</f>
        <v>0</v>
      </c>
      <c r="CI73" s="39">
        <f>IF(B73=0,0,((CC73)*(1+db!AH75))+((CI72)*(1+db!AD75)))</f>
        <v>0</v>
      </c>
      <c r="CJ73" s="40">
        <f>IF(B73=0,0,((CC73)*(1+db!AO75))+((CJ72)*(1+db!AK75)))</f>
        <v>0</v>
      </c>
      <c r="CK73" s="40">
        <f>CJ73-(SUM(BX$7:$BX74))</f>
        <v>0</v>
      </c>
      <c r="CL73" s="46"/>
    </row>
    <row r="74" spans="1:90">
      <c r="A74" s="24">
        <f t="shared" si="45"/>
        <v>73</v>
      </c>
      <c r="B74" s="16">
        <f>IF(AND(Changes!Change="Yes", Changes!ChangeType="Change Contract Duration"),IF(B73=0,0,IF(Changes!NewChangedValue&lt;B73+1,0,B73+1)),IF(B73=0,0,IF('Application Annually'!$C$5&lt;B73+1,0,B73+1)))</f>
        <v>0</v>
      </c>
      <c r="C74" s="15">
        <f t="shared" si="46"/>
        <v>0</v>
      </c>
      <c r="D74" s="312">
        <f t="shared" si="47"/>
        <v>100</v>
      </c>
      <c r="E74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74" s="29">
        <f t="shared" si="37"/>
        <v>0</v>
      </c>
      <c r="G74" s="29">
        <f t="shared" si="38"/>
        <v>0</v>
      </c>
      <c r="H74" s="29">
        <f t="shared" si="29"/>
        <v>0</v>
      </c>
      <c r="I74" s="29">
        <f>IF(B74&gt;0,IF(AND(Table1[[#This Row],[Year]]&gt;Changes!ValidityYear,Changes!Change="Yes",Changes!ChangeType="Change Value Adjustment"),Changes!$G$22,'Application Annually'!$C$11),0)</f>
        <v>0</v>
      </c>
      <c r="J74" s="29">
        <f>IF(B74&gt;0,IF(AND(Table1[[#This Row],[Year]]&gt;Changes!ValidityYear,Changes!Change="Yes",Changes!ChangeType="Change Value Adjustment"),Changes!$G$24,'Application Annually'!$C$7),0)</f>
        <v>0</v>
      </c>
      <c r="K74" s="29">
        <f>ROUND(IF(B74=0,0,IF(AND(Changes!Change="Yes", Changes!ValidityYear=Table1[[#This Row],[Year]], Changes!ChangeType="Change Premium"), Changes!NewChangedValue, (K73*(1+db!$B$3)))),0)</f>
        <v>0</v>
      </c>
      <c r="L74" s="29">
        <f>ROUND(IF(AND(Changes!Change="Yes",Changes!ValidityYear&lt;=Table1[[#This Row],[Year]],Changes!ChangeType="Paid-Up"),0,IF(B74=0,0,IF(AND(Changes!Change="Yes", Changes!ValidityYear=Table1[[#This Row],[Year]], Changes!ChangeType="Change Premium"), Changes!NewChangedValue, (L73*(1+Table1[[#This Row],[Adjustment Factor of Premium]]/100))))),0)</f>
        <v>0</v>
      </c>
      <c r="M74" s="29">
        <f>IF(Table1[[#This Row],[Year]]=1,ROUND(MIN($L$2 -( Table1[[#This Row],[Riders Risk Premiums]] + Table1[[#This Row],[Acquisition Cost]]) *0.75,Table1[[#This Row],[Death Capital (1)]]* 0.03),0),0)</f>
        <v>0</v>
      </c>
      <c r="N74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74" s="29">
        <f>ROUND(IF(ROW()-1&gt;InsurancePeriod,0,(O73*(1+(Table1[[#This Row],[Adjustment Factor of Premium]]/100)))),0)</f>
        <v>0</v>
      </c>
      <c r="P74" s="29">
        <f>IF(Table1[Year] = 0, 0, SUM(L$2:L74))</f>
        <v>0</v>
      </c>
      <c r="Q74" s="17">
        <f t="shared" si="30"/>
        <v>0</v>
      </c>
      <c r="R74" s="17">
        <f>IF(Table1[[#This Row],[Year]]=0,0,IF($C$2&lt;=50,LOOKUP(Table1[[#This Row],[Age]],db!BG75:BG181,db!BH75:BH181),LOOKUP(Table1[[#This Row],[Age]],db!BJ75:BJ181,db!BK75:BK181)))</f>
        <v>0</v>
      </c>
      <c r="S74" s="17">
        <f>IF(AND(Changes!Change="Yes",Changes!ValidityYear&lt;=Table1[[#This Row],[Year]],Changes!ChangeType="Paid-Up",PaidUpOption="Paid-up with no coverage"),0,IF(B74=0,0, IF(AND(Changes!Change="Yes", Changes!ValidityYear=Table1[[#This Row],[Year]], Changes!ChangeType="Change Death Capital"), Changes!NewChangedValue, S73*(1+(Table1[[#This Row],[Adjustment Factor of Death Capital]]/100)))))</f>
        <v>0</v>
      </c>
      <c r="T74" s="17">
        <f>MIN(IF(B74=0,0,Table1[[#This Row],[Death Capital (1)]]),Table1[[#This Row],[Max Sum Insured For Death]])</f>
        <v>0</v>
      </c>
      <c r="U74" s="29">
        <f t="shared" si="39"/>
        <v>0</v>
      </c>
      <c r="V74" s="29">
        <f>IF(AND(Changes!Change="Yes",Changes!ValidityYear&lt;=Table1[[#This Row],[Year]],Changes!ChangeType="Paid-Up",OR(PaidUpOption="Paid-up with no coverage",PaidUpOption="Paid-up with main coverage")),0,IF(B74=0,0,IF(AND(Changes!Change="Yes", Changes!ValidityYear&lt;=Table1[[#This Row],[Year]], Changes!ChangeType="Rider Inclusion/Exclusion", Changes!RiderType="Accident Death"), T74*Changes!NewChangedValue,IF(db!$D$6="Yes",(db!$B$6)*T74,0))))</f>
        <v>0</v>
      </c>
      <c r="W74" s="29">
        <f>MIN(IF(V74&lt;=db!$L$2,V74,db!$L$2),MAX_ACC_CAPITAL)</f>
        <v>0</v>
      </c>
      <c r="X74" s="17">
        <f>IF(AND(Changes!Change="Yes",Changes!ValidityYear&lt;=Table1[[#This Row],[Year]],Changes!ChangeType="Paid-Up",OR(PaidUpOption="Paid-up with no coverage",PaidUpOption="Paid-up with main coverage")),0,IF(OR(B74=0,Table1[[#This Row],[Accident Capital (2)]]=0),0,IF(AND(Changes!Change="Yes", Changes!ValidityYear&lt;=Table1[[#This Row],[Year]], Changes!ChangeType="Rider Inclusion/Exclusion", Changes!RiderType="Accident Disability"), T74*Changes!NewChangedValue,IF(db!$D$7="Yes",(db!$B$7)*T74,0))))</f>
        <v>0</v>
      </c>
      <c r="Y74" s="42">
        <f>IF(C74&gt;69,0,IF(C74=0,0,IF(X74&lt;=db!$L$3,X74,db!$L$3)))</f>
        <v>0</v>
      </c>
      <c r="Z74" s="29">
        <f>IF(AND(Changes!Change="Yes",Changes!ValidityYear&lt;=Table1[[#This Row],[Year]],Changes!ChangeType="Paid-Up",OR(PaidUpOption="Paid-up with no coverage",PaidUpOption="Paid-up with main coverage")),0,IF(OR(B74=0,Table1[[#This Row],[Accident Capital (2)]]=0),0,IF(AND(Changes!Change="Yes", Changes!ValidityYear&lt;=Table1[[#This Row],[Year]], Changes!ChangeType="Rider Inclusion/Exclusion", Changes!RiderType="Accident Medical Cost"), T74*Changes!NewChangedValue,IF(db!$D$9="Yes",(db!$B$9)*T74,0))))</f>
        <v>0</v>
      </c>
      <c r="AA74" s="29">
        <f>ROUND(IF(C74&gt;69,0,IF(C74=0,0,IF(Z74&lt;=db!$L$4,Z74,db!$L$4))),0)</f>
        <v>0</v>
      </c>
      <c r="AB74" s="38">
        <f>IF(AND(Changes!Change = "Yes", Changes!ChangeType = "Rider Inclusion/Exclusion", Changes!RiderType = "WOP"), IF( Changes!ValidityYear &lt;= Table1[[#This Row],[Year]], IF(WOP = "Yes", 0, 1),  IF(WOP = "Yes", 1, 0)), IF(AND(db!$D$8="Yes",C74&lt;=69,ROW()-1&lt;=InsurancePeriod), 1, 0))</f>
        <v>0</v>
      </c>
      <c r="AC74" s="17">
        <f>(AC75+K75)*AB74*((1)/(1+db!AA76))*(LOOKUP(C74,'Mortality Table'!$A$2:$A$108,'Mortality Table'!$E$2:$E$108))</f>
        <v>0</v>
      </c>
      <c r="AD74" s="340">
        <f>IF(AND(Changes!ValidityYear&lt;= Table1[[#This Row],[Year]],Changes!ChangeType="Change Value Adjustment",Changes!Change="Yes"), (AD75+L75)*AB74*((1)/(1+db!AA76))*(LOOKUP(C74,'Mortality Table'!$A$2:$A$108,'Mortality Table'!$E$2:$E$108)),Table1[[#This Row],[WOP Before Adj. BT]])</f>
        <v>0</v>
      </c>
      <c r="AE74" s="341">
        <f>IF(AND(Changes!Change="Yes", Changes!ChangeType="Change Value Adjustment"),Table1[[#This Row],[WOP Capital]],(AE75+O75)*AB74*((1)/(1+db!AA76))*(LOOKUP(D74,'Mortality Table'!$A$2:$A$108,'Mortality Table'!$E$2:$E$108)))</f>
        <v>0</v>
      </c>
      <c r="AF74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74" s="42">
        <f>IF(AND(Changes!Change="Yes", Changes!ValidityYear&lt;=Table1[[#This Row],[Year]], Changes!ChangeType="Rider Inclusion/Exclusion", Changes!RiderType="Disability Annuity"), L74*Changes!NewChangedValue,L74*db!B$10*IF(db!$D$10="Yes",1,0))</f>
        <v>0</v>
      </c>
      <c r="AH74" s="29">
        <f>IF(AND(Changes!Change="Yes",Changes!ValidityYear&lt;=Table1[[#This Row],[Year]],Changes!ChangeType="Paid-Up"),0,Table1[[#This Row],[Code Annuity Capital]]*IF('Annual Calculation'!C74&gt;69,0,(LOOKUP('Annual Calculation'!C74+1,'Mortality Table'!$A$2:$A$108,'Mortality Table'!$O$2:$O$108)-LOOKUP('Annual Calculation'!C74+11,'Mortality Table'!$A$2:$A$108,'Mortality Table'!$O$2:$O$108))/LOOKUP('Annual Calculation'!C74,'Mortality Table'!$A$2:$A$108,'Mortality Table'!$M$2:$M$108)))</f>
        <v>0</v>
      </c>
      <c r="AI74" s="17">
        <f>IF(AND(Changes!Change="Yes",Changes!ValidityYear&lt;=Table1[[#This Row],[Year]],Changes!ChangeType="Paid-Up",OR(PaidUpOption="Paid-up with no coverage",PaidUpOption="Paid-up with main coverage")),0,IF(B74=0,0,IF(AND(Changes!Change="Yes", Changes!ValidityYear&lt;=Table1[[#This Row],[Year]], Changes!ChangeType="Rider Inclusion/Exclusion", Changes!RiderType="Dread Disease"), T74*Changes!NewChangedValue,IF(db!$D$11="Yes",(db!$B$11)*T74,0))))</f>
        <v>0</v>
      </c>
      <c r="AJ74" s="42">
        <f>ROUND(IF(C74&gt;59,0,IF(C74=0,0,IF(AI74&lt;=db!$L$5,AI74,db!$L$5))),0)</f>
        <v>0</v>
      </c>
      <c r="AK74" s="29">
        <f>IF(AND(Changes!Change="Yes",Changes!ValidityYear&lt;=Table1[[#This Row],[Year]],Changes!ChangeType="Paid-Up",OR(PaidUpOption="Paid-up with no coverage",PaidUpOption="Paid-up with main coverage")),0,IF(B74=0,0,IF(AND(Changes!Change="Yes", Changes!ValidityYear&lt;=Table1[[#This Row],[Year]], Changes!ChangeType="Rider Inclusion/Exclusion", Changes!RiderType="Cancer"), T74*Changes!NewChangedValue,IF(db!$D$12="Yes",(db!$B$12)*T74,0))))</f>
        <v>0</v>
      </c>
      <c r="AL74" s="29">
        <f>ROUND(IF(C74&gt;59,0,IF(C74=0,0,IF(AK74&lt;=db!$L$6,AK74,db!$L$6))),0)</f>
        <v>0</v>
      </c>
      <c r="AM74" s="32"/>
      <c r="AN74" s="18">
        <f>IF(B74=0,0,IF(C74&lt;(db!$E$2+5),LOOKUP(C74,'Mortality Table'!$A$2:$A$108,'Mortality Table'!$P$2:$P$108),IF((C74&gt;=db!$E$2+10),LOOKUP(C74,'Mortality Table'!$A$2:$A$108,'Mortality Table'!$R$2:$R$108),LOOKUP(C74,'Mortality Table'!$A$2:$A$108,'Mortality Table'!$Q$2:$Q$108))))</f>
        <v>0</v>
      </c>
      <c r="AO74" s="22">
        <f t="shared" si="31"/>
        <v>0</v>
      </c>
      <c r="AP74" s="19">
        <f>IF(B74=0,0, LOOKUP(IF(AND(Changes!Change="Yes", Changes!ValidityYear&lt;=Table1[[#This Row],[Year]], Changes!ChangeType="Change Job Class"),Changes!NewChangedValue, db!$A$8),db!$AX$4:$AX$8,db!$AY$4:$AY$8))</f>
        <v>0</v>
      </c>
      <c r="AQ74" s="20">
        <f>ROUND((AP74/1000)*W74 * (1-db!$AS$9),0)</f>
        <v>0</v>
      </c>
      <c r="AR74" s="20">
        <f>(AP74/1000)*W74 * db!$AS$9</f>
        <v>0</v>
      </c>
      <c r="AS74" s="21">
        <f>IF(B74=0,0, LOOKUP(IF(AND(Changes!Change="Yes", Changes!ValidityYear&lt;=Table1[[#This Row],[Year]], Changes!ChangeType="Change Job Class"),Changes!NewChangedValue, db!$A$8),db!$AX$4:$AX$8,db!$AZ$4:$AZ$8))</f>
        <v>0</v>
      </c>
      <c r="AT74" s="22">
        <f>(AS74/1000)*Y74*(1-db!$AS$9)</f>
        <v>0</v>
      </c>
      <c r="AU74" s="22">
        <f>(AS74/1000)*Y74*(db!$AS$9)</f>
        <v>0</v>
      </c>
      <c r="AV74" s="23">
        <f>IF(B74=0,0, LOOKUP(IF(AND(Changes!Change="Yes", Changes!ValidityYear&lt;=Table1[[#This Row],[Year]], Changes!ChangeType="Change Job Class"),Changes!NewChangedValue, db!$A$8),db!$AX$4:$AX$8,db!$BA$4:$BA$8))</f>
        <v>0</v>
      </c>
      <c r="AW74" s="20">
        <f>ROUND((AV74/(100))*AA74*(1-db!$AS$9),0)</f>
        <v>0</v>
      </c>
      <c r="AX74" s="20">
        <f>ROUND((AV74/(100))*AA74*(db!$AS$9),0)</f>
        <v>0</v>
      </c>
      <c r="AY74" s="21">
        <f>IF(db!$D$8="Yes",AS74,0)</f>
        <v>0</v>
      </c>
      <c r="AZ74" s="22">
        <f>(AY74*AF74)/1000*(1-db!$AS$9)</f>
        <v>0</v>
      </c>
      <c r="BA74" s="22">
        <f>(AY74*AF74)/1000*(db!$AS$9)</f>
        <v>0</v>
      </c>
      <c r="BB74" s="23">
        <f t="shared" si="32"/>
        <v>0</v>
      </c>
      <c r="BC74" s="20">
        <f>(BB74*AH74/1000)*(1-db!$AS$9)</f>
        <v>0</v>
      </c>
      <c r="BD74" s="20">
        <f>(BB74*AH74/1000)*(db!$AS$9)</f>
        <v>0</v>
      </c>
      <c r="BE74" s="22">
        <f>IF(B74=0,0,IF(C74&gt;60,0,LOOKUP(Table1[[#This Row],[Medical
Age]],db!$BC$3:$BC$63,db!$BD$3:$BD$63)))</f>
        <v>0</v>
      </c>
      <c r="BF74" s="22">
        <f>BG74*db!$AS$10</f>
        <v>0</v>
      </c>
      <c r="BG74" s="22">
        <f t="shared" si="33"/>
        <v>0</v>
      </c>
      <c r="BH74" s="22">
        <f>(BE74/1000000)*AJ74*(1-db!$AS$10)</f>
        <v>0</v>
      </c>
      <c r="BI74" s="20">
        <f>IF(B74=0,0,IF(C74&gt;59,0,LOOKUP(Table1[[#This Row],[Medical
Age]],db!$BC$3:$BC$63,db!$BE$3:$BE$63)))</f>
        <v>0</v>
      </c>
      <c r="BJ74" s="20">
        <f>(BI74/1000000)*AL74*(1-db!$AS$11)</f>
        <v>0</v>
      </c>
      <c r="BK74" s="20">
        <f>(BI74/1000000)*AL74*(db!$AS$11)</f>
        <v>0</v>
      </c>
      <c r="BL74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74" s="20">
        <f>Table1[[#This Row],[RiskLoading
Rate]]*Table1[[#This Row],[Death Capital (2)]]</f>
        <v>0</v>
      </c>
      <c r="BN74" s="36"/>
      <c r="BO74" s="37">
        <f t="shared" si="34"/>
        <v>0</v>
      </c>
      <c r="BP74" s="35">
        <f t="shared" si="35"/>
        <v>0</v>
      </c>
      <c r="BQ74" s="35">
        <f t="shared" si="36"/>
        <v>0</v>
      </c>
      <c r="BR74" s="37">
        <f t="shared" si="40"/>
        <v>0</v>
      </c>
      <c r="BS74" s="37">
        <f t="shared" si="41"/>
        <v>0</v>
      </c>
      <c r="BT74" s="35">
        <f t="shared" si="42"/>
        <v>0</v>
      </c>
      <c r="BU74" s="35">
        <f t="shared" si="43"/>
        <v>0</v>
      </c>
      <c r="BV74" s="37">
        <f>(db!$AS$4/100)*(L74-BT74-BU74)</f>
        <v>0</v>
      </c>
      <c r="BW74" s="37">
        <f>(db!$AS$8/100)*(L74-BT74-BU74)</f>
        <v>0</v>
      </c>
      <c r="BX74" s="35"/>
      <c r="BY74" s="37"/>
      <c r="BZ74" s="37"/>
      <c r="CA74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74" s="33"/>
      <c r="CC74" s="39">
        <f>ROUND((Table1[[#This Row],[Premium]]-Table1[[#This Row],[All Deductions]]),0)</f>
        <v>0</v>
      </c>
      <c r="CD74" s="39">
        <f>IF(B74=0,0,Table1[[#This Row],[Initial Reserve]]+CE73)</f>
        <v>0</v>
      </c>
      <c r="CE74" s="40">
        <f>ROUND(IF(B74=0,0,((CC74)*(1+db!Y76))+((CE73)*(1+db!U76))),0)</f>
        <v>0</v>
      </c>
      <c r="CF74" s="40">
        <f t="shared" si="48"/>
        <v>0</v>
      </c>
      <c r="CG74" s="15">
        <f t="shared" si="44"/>
        <v>73</v>
      </c>
      <c r="CH74" s="39">
        <f>IF(B74=0,0,((CC74)*(1+db!AH76))+((CH73)*(1+db!AD76)))</f>
        <v>0</v>
      </c>
      <c r="CI74" s="39">
        <f>IF(B74=0,0,((CC74)*(1+db!AH76))+((CI73)*(1+db!AD76)))</f>
        <v>0</v>
      </c>
      <c r="CJ74" s="40">
        <f>IF(B74=0,0,((CC74)*(1+db!AO76))+((CJ73)*(1+db!AK76)))</f>
        <v>0</v>
      </c>
      <c r="CK74" s="40">
        <f>CJ74-(SUM(BX$7:$BX75))</f>
        <v>0</v>
      </c>
      <c r="CL74" s="46"/>
    </row>
    <row r="75" spans="1:90">
      <c r="A75" s="24">
        <f t="shared" si="45"/>
        <v>74</v>
      </c>
      <c r="B75" s="16">
        <f>IF(AND(Changes!Change="Yes", Changes!ChangeType="Change Contract Duration"),IF(B74=0,0,IF(Changes!NewChangedValue&lt;B74+1,0,B74+1)),IF(B74=0,0,IF('Application Annually'!$C$5&lt;B74+1,0,B74+1)))</f>
        <v>0</v>
      </c>
      <c r="C75" s="15">
        <f t="shared" si="46"/>
        <v>0</v>
      </c>
      <c r="D75" s="312">
        <f t="shared" si="47"/>
        <v>101</v>
      </c>
      <c r="E75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75" s="29">
        <f t="shared" si="37"/>
        <v>0</v>
      </c>
      <c r="G75" s="29">
        <f t="shared" si="38"/>
        <v>0</v>
      </c>
      <c r="H75" s="29">
        <f t="shared" si="29"/>
        <v>0</v>
      </c>
      <c r="I75" s="29">
        <f>IF(B75&gt;0,IF(AND(Table1[[#This Row],[Year]]&gt;Changes!ValidityYear,Changes!Change="Yes",Changes!ChangeType="Change Value Adjustment"),Changes!$G$22,'Application Annually'!$C$11),0)</f>
        <v>0</v>
      </c>
      <c r="J75" s="29">
        <f>IF(B75&gt;0,IF(AND(Table1[[#This Row],[Year]]&gt;Changes!ValidityYear,Changes!Change="Yes",Changes!ChangeType="Change Value Adjustment"),Changes!$G$24,'Application Annually'!$C$7),0)</f>
        <v>0</v>
      </c>
      <c r="K75" s="29">
        <f>ROUND(IF(B75=0,0,IF(AND(Changes!Change="Yes", Changes!ValidityYear=Table1[[#This Row],[Year]], Changes!ChangeType="Change Premium"), Changes!NewChangedValue, (K74*(1+db!$B$3)))),0)</f>
        <v>0</v>
      </c>
      <c r="L75" s="29">
        <f>ROUND(IF(AND(Changes!Change="Yes",Changes!ValidityYear&lt;=Table1[[#This Row],[Year]],Changes!ChangeType="Paid-Up"),0,IF(B75=0,0,IF(AND(Changes!Change="Yes", Changes!ValidityYear=Table1[[#This Row],[Year]], Changes!ChangeType="Change Premium"), Changes!NewChangedValue, (L74*(1+Table1[[#This Row],[Adjustment Factor of Premium]]/100))))),0)</f>
        <v>0</v>
      </c>
      <c r="M75" s="29">
        <f>IF(Table1[[#This Row],[Year]]=1,ROUND(MIN($L$2 -( Table1[[#This Row],[Riders Risk Premiums]] + Table1[[#This Row],[Acquisition Cost]]) *0.75,Table1[[#This Row],[Death Capital (1)]]* 0.03),0),0)</f>
        <v>0</v>
      </c>
      <c r="N75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75" s="29">
        <f>ROUND(IF(ROW()-1&gt;InsurancePeriod,0,(O74*(1+(Table1[[#This Row],[Adjustment Factor of Premium]]/100)))),0)</f>
        <v>0</v>
      </c>
      <c r="P75" s="29">
        <f>IF(Table1[Year] = 0, 0, SUM(L$2:L75))</f>
        <v>0</v>
      </c>
      <c r="Q75" s="17">
        <f t="shared" si="30"/>
        <v>0</v>
      </c>
      <c r="R75" s="17">
        <f>IF(Table1[[#This Row],[Year]]=0,0,IF($C$2&lt;=50,LOOKUP(Table1[[#This Row],[Age]],db!BG76:BG182,db!BH76:BH182),LOOKUP(Table1[[#This Row],[Age]],db!BJ76:BJ182,db!BK76:BK182)))</f>
        <v>0</v>
      </c>
      <c r="S75" s="17">
        <f>IF(AND(Changes!Change="Yes",Changes!ValidityYear&lt;=Table1[[#This Row],[Year]],Changes!ChangeType="Paid-Up",PaidUpOption="Paid-up with no coverage"),0,IF(B75=0,0, IF(AND(Changes!Change="Yes", Changes!ValidityYear=Table1[[#This Row],[Year]], Changes!ChangeType="Change Death Capital"), Changes!NewChangedValue, S74*(1+(Table1[[#This Row],[Adjustment Factor of Death Capital]]/100)))))</f>
        <v>0</v>
      </c>
      <c r="T75" s="17">
        <f>MIN(IF(B75=0,0,Table1[[#This Row],[Death Capital (1)]]),Table1[[#This Row],[Max Sum Insured For Death]])</f>
        <v>0</v>
      </c>
      <c r="U75" s="29">
        <f t="shared" si="39"/>
        <v>0</v>
      </c>
      <c r="V75" s="29">
        <f>IF(AND(Changes!Change="Yes",Changes!ValidityYear&lt;=Table1[[#This Row],[Year]],Changes!ChangeType="Paid-Up",OR(PaidUpOption="Paid-up with no coverage",PaidUpOption="Paid-up with main coverage")),0,IF(B75=0,0,IF(AND(Changes!Change="Yes", Changes!ValidityYear&lt;=Table1[[#This Row],[Year]], Changes!ChangeType="Rider Inclusion/Exclusion", Changes!RiderType="Accident Death"), T75*Changes!NewChangedValue,IF(db!$D$6="Yes",(db!$B$6)*T75,0))))</f>
        <v>0</v>
      </c>
      <c r="W75" s="29">
        <f>MIN(IF(V75&lt;=db!$L$2,V75,db!$L$2),MAX_ACC_CAPITAL)</f>
        <v>0</v>
      </c>
      <c r="X75" s="17">
        <f>IF(AND(Changes!Change="Yes",Changes!ValidityYear&lt;=Table1[[#This Row],[Year]],Changes!ChangeType="Paid-Up",OR(PaidUpOption="Paid-up with no coverage",PaidUpOption="Paid-up with main coverage")),0,IF(OR(B75=0,Table1[[#This Row],[Accident Capital (2)]]=0),0,IF(AND(Changes!Change="Yes", Changes!ValidityYear&lt;=Table1[[#This Row],[Year]], Changes!ChangeType="Rider Inclusion/Exclusion", Changes!RiderType="Accident Disability"), T75*Changes!NewChangedValue,IF(db!$D$7="Yes",(db!$B$7)*T75,0))))</f>
        <v>0</v>
      </c>
      <c r="Y75" s="42">
        <f>IF(C75&gt;69,0,IF(C75=0,0,IF(X75&lt;=db!$L$3,X75,db!$L$3)))</f>
        <v>0</v>
      </c>
      <c r="Z75" s="29">
        <f>IF(AND(Changes!Change="Yes",Changes!ValidityYear&lt;=Table1[[#This Row],[Year]],Changes!ChangeType="Paid-Up",OR(PaidUpOption="Paid-up with no coverage",PaidUpOption="Paid-up with main coverage")),0,IF(OR(B75=0,Table1[[#This Row],[Accident Capital (2)]]=0),0,IF(AND(Changes!Change="Yes", Changes!ValidityYear&lt;=Table1[[#This Row],[Year]], Changes!ChangeType="Rider Inclusion/Exclusion", Changes!RiderType="Accident Medical Cost"), T75*Changes!NewChangedValue,IF(db!$D$9="Yes",(db!$B$9)*T75,0))))</f>
        <v>0</v>
      </c>
      <c r="AA75" s="29">
        <f>ROUND(IF(C75&gt;69,0,IF(C75=0,0,IF(Z75&lt;=db!$L$4,Z75,db!$L$4))),0)</f>
        <v>0</v>
      </c>
      <c r="AB75" s="38">
        <f>IF(AND(Changes!Change = "Yes", Changes!ChangeType = "Rider Inclusion/Exclusion", Changes!RiderType = "WOP"), IF( Changes!ValidityYear &lt;= Table1[[#This Row],[Year]], IF(WOP = "Yes", 0, 1),  IF(WOP = "Yes", 1, 0)), IF(AND(db!$D$8="Yes",C75&lt;=69,ROW()-1&lt;=InsurancePeriod), 1, 0))</f>
        <v>0</v>
      </c>
      <c r="AC75" s="17">
        <f>(AC76+K76)*AB75*((1)/(1+db!AA77))*(LOOKUP(C75,'Mortality Table'!$A$2:$A$108,'Mortality Table'!$E$2:$E$108))</f>
        <v>0</v>
      </c>
      <c r="AD75" s="340">
        <f>IF(AND(Changes!ValidityYear&lt;= Table1[[#This Row],[Year]],Changes!ChangeType="Change Value Adjustment",Changes!Change="Yes"), (AD76+L76)*AB75*((1)/(1+db!AA77))*(LOOKUP(C75,'Mortality Table'!$A$2:$A$108,'Mortality Table'!$E$2:$E$108)),Table1[[#This Row],[WOP Before Adj. BT]])</f>
        <v>0</v>
      </c>
      <c r="AE75" s="341">
        <f>IF(AND(Changes!Change="Yes", Changes!ChangeType="Change Value Adjustment"),Table1[[#This Row],[WOP Capital]],(AE76+O76)*AB75*((1)/(1+db!AA77))*(LOOKUP(D75,'Mortality Table'!$A$2:$A$108,'Mortality Table'!$E$2:$E$108)))</f>
        <v>0</v>
      </c>
      <c r="AF75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75" s="42">
        <f>IF(AND(Changes!Change="Yes", Changes!ValidityYear&lt;=Table1[[#This Row],[Year]], Changes!ChangeType="Rider Inclusion/Exclusion", Changes!RiderType="Disability Annuity"), L75*Changes!NewChangedValue,L75*db!B$10*IF(db!$D$10="Yes",1,0))</f>
        <v>0</v>
      </c>
      <c r="AH75" s="29">
        <f>IF(AND(Changes!Change="Yes",Changes!ValidityYear&lt;=Table1[[#This Row],[Year]],Changes!ChangeType="Paid-Up"),0,Table1[[#This Row],[Code Annuity Capital]]*IF('Annual Calculation'!C75&gt;69,0,(LOOKUP('Annual Calculation'!C75+1,'Mortality Table'!$A$2:$A$108,'Mortality Table'!$O$2:$O$108)-LOOKUP('Annual Calculation'!C75+11,'Mortality Table'!$A$2:$A$108,'Mortality Table'!$O$2:$O$108))/LOOKUP('Annual Calculation'!C75,'Mortality Table'!$A$2:$A$108,'Mortality Table'!$M$2:$M$108)))</f>
        <v>0</v>
      </c>
      <c r="AI75" s="17">
        <f>IF(AND(Changes!Change="Yes",Changes!ValidityYear&lt;=Table1[[#This Row],[Year]],Changes!ChangeType="Paid-Up",OR(PaidUpOption="Paid-up with no coverage",PaidUpOption="Paid-up with main coverage")),0,IF(B75=0,0,IF(AND(Changes!Change="Yes", Changes!ValidityYear&lt;=Table1[[#This Row],[Year]], Changes!ChangeType="Rider Inclusion/Exclusion", Changes!RiderType="Dread Disease"), T75*Changes!NewChangedValue,IF(db!$D$11="Yes",(db!$B$11)*T75,0))))</f>
        <v>0</v>
      </c>
      <c r="AJ75" s="42">
        <f>ROUND(IF(C75&gt;59,0,IF(C75=0,0,IF(AI75&lt;=db!$L$5,AI75,db!$L$5))),0)</f>
        <v>0</v>
      </c>
      <c r="AK75" s="29">
        <f>IF(AND(Changes!Change="Yes",Changes!ValidityYear&lt;=Table1[[#This Row],[Year]],Changes!ChangeType="Paid-Up",OR(PaidUpOption="Paid-up with no coverage",PaidUpOption="Paid-up with main coverage")),0,IF(B75=0,0,IF(AND(Changes!Change="Yes", Changes!ValidityYear&lt;=Table1[[#This Row],[Year]], Changes!ChangeType="Rider Inclusion/Exclusion", Changes!RiderType="Cancer"), T75*Changes!NewChangedValue,IF(db!$D$12="Yes",(db!$B$12)*T75,0))))</f>
        <v>0</v>
      </c>
      <c r="AL75" s="29">
        <f>ROUND(IF(C75&gt;59,0,IF(C75=0,0,IF(AK75&lt;=db!$L$6,AK75,db!$L$6))),0)</f>
        <v>0</v>
      </c>
      <c r="AM75" s="32"/>
      <c r="AN75" s="18">
        <f>IF(B75=0,0,IF(C75&lt;(db!$E$2+5),LOOKUP(C75,'Mortality Table'!$A$2:$A$108,'Mortality Table'!$P$2:$P$108),IF((C75&gt;=db!$E$2+10),LOOKUP(C75,'Mortality Table'!$A$2:$A$108,'Mortality Table'!$R$2:$R$108),LOOKUP(C75,'Mortality Table'!$A$2:$A$108,'Mortality Table'!$Q$2:$Q$108))))</f>
        <v>0</v>
      </c>
      <c r="AO75" s="22">
        <f t="shared" si="31"/>
        <v>0</v>
      </c>
      <c r="AP75" s="19">
        <f>IF(B75=0,0, LOOKUP(IF(AND(Changes!Change="Yes", Changes!ValidityYear&lt;=Table1[[#This Row],[Year]], Changes!ChangeType="Change Job Class"),Changes!NewChangedValue, db!$A$8),db!$AX$4:$AX$8,db!$AY$4:$AY$8))</f>
        <v>0</v>
      </c>
      <c r="AQ75" s="20">
        <f>ROUND((AP75/1000)*W75 * (1-db!$AS$9),0)</f>
        <v>0</v>
      </c>
      <c r="AR75" s="20">
        <f>(AP75/1000)*W75 * db!$AS$9</f>
        <v>0</v>
      </c>
      <c r="AS75" s="21">
        <f>IF(B75=0,0, LOOKUP(IF(AND(Changes!Change="Yes", Changes!ValidityYear&lt;=Table1[[#This Row],[Year]], Changes!ChangeType="Change Job Class"),Changes!NewChangedValue, db!$A$8),db!$AX$4:$AX$8,db!$AZ$4:$AZ$8))</f>
        <v>0</v>
      </c>
      <c r="AT75" s="22">
        <f>(AS75/1000)*Y75*(1-db!$AS$9)</f>
        <v>0</v>
      </c>
      <c r="AU75" s="22">
        <f>(AS75/1000)*Y75*(db!$AS$9)</f>
        <v>0</v>
      </c>
      <c r="AV75" s="23">
        <f>IF(B75=0,0, LOOKUP(IF(AND(Changes!Change="Yes", Changes!ValidityYear&lt;=Table1[[#This Row],[Year]], Changes!ChangeType="Change Job Class"),Changes!NewChangedValue, db!$A$8),db!$AX$4:$AX$8,db!$BA$4:$BA$8))</f>
        <v>0</v>
      </c>
      <c r="AW75" s="20">
        <f>ROUND((AV75/(100))*AA75*(1-db!$AS$9),0)</f>
        <v>0</v>
      </c>
      <c r="AX75" s="20">
        <f>ROUND((AV75/(100))*AA75*(db!$AS$9),0)</f>
        <v>0</v>
      </c>
      <c r="AY75" s="21">
        <f>IF(db!$D$8="Yes",AS75,0)</f>
        <v>0</v>
      </c>
      <c r="AZ75" s="22">
        <f>(AY75*AF75)/1000*(1-db!$AS$9)</f>
        <v>0</v>
      </c>
      <c r="BA75" s="22">
        <f>(AY75*AF75)/1000*(db!$AS$9)</f>
        <v>0</v>
      </c>
      <c r="BB75" s="23">
        <f t="shared" si="32"/>
        <v>0</v>
      </c>
      <c r="BC75" s="20">
        <f>(BB75*AH75/1000)*(1-db!$AS$9)</f>
        <v>0</v>
      </c>
      <c r="BD75" s="20">
        <f>(BB75*AH75/1000)*(db!$AS$9)</f>
        <v>0</v>
      </c>
      <c r="BE75" s="22">
        <f>IF(B75=0,0,IF(C75&gt;60,0,LOOKUP(Table1[[#This Row],[Medical
Age]],db!$BC$3:$BC$63,db!$BD$3:$BD$63)))</f>
        <v>0</v>
      </c>
      <c r="BF75" s="22">
        <f>BG75*db!$AS$10</f>
        <v>0</v>
      </c>
      <c r="BG75" s="22">
        <f t="shared" si="33"/>
        <v>0</v>
      </c>
      <c r="BH75" s="22">
        <f>(BE75/1000000)*AJ75*(1-db!$AS$10)</f>
        <v>0</v>
      </c>
      <c r="BI75" s="20">
        <f>IF(B75=0,0,IF(C75&gt;59,0,LOOKUP(Table1[[#This Row],[Medical
Age]],db!$BC$3:$BC$63,db!$BE$3:$BE$63)))</f>
        <v>0</v>
      </c>
      <c r="BJ75" s="20">
        <f>(BI75/1000000)*AL75*(1-db!$AS$11)</f>
        <v>0</v>
      </c>
      <c r="BK75" s="20">
        <f>(BI75/1000000)*AL75*(db!$AS$11)</f>
        <v>0</v>
      </c>
      <c r="BL75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75" s="20">
        <f>Table1[[#This Row],[RiskLoading
Rate]]*Table1[[#This Row],[Death Capital (2)]]</f>
        <v>0</v>
      </c>
      <c r="BN75" s="36"/>
      <c r="BO75" s="37">
        <f t="shared" si="34"/>
        <v>0</v>
      </c>
      <c r="BP75" s="35">
        <f t="shared" si="35"/>
        <v>0</v>
      </c>
      <c r="BQ75" s="35">
        <f t="shared" si="36"/>
        <v>0</v>
      </c>
      <c r="BR75" s="37">
        <f t="shared" si="40"/>
        <v>0</v>
      </c>
      <c r="BS75" s="37">
        <f t="shared" si="41"/>
        <v>0</v>
      </c>
      <c r="BT75" s="35">
        <f t="shared" si="42"/>
        <v>0</v>
      </c>
      <c r="BU75" s="35">
        <f t="shared" si="43"/>
        <v>0</v>
      </c>
      <c r="BV75" s="37">
        <f>(db!$AS$4/100)*(L75-BT75-BU75)</f>
        <v>0</v>
      </c>
      <c r="BW75" s="37">
        <f>(db!$AS$8/100)*(L75-BT75-BU75)</f>
        <v>0</v>
      </c>
      <c r="BX75" s="35"/>
      <c r="BY75" s="37"/>
      <c r="BZ75" s="37"/>
      <c r="CA75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75" s="33"/>
      <c r="CC75" s="39">
        <f>ROUND((Table1[[#This Row],[Premium]]-Table1[[#This Row],[All Deductions]]),0)</f>
        <v>0</v>
      </c>
      <c r="CD75" s="39">
        <f>IF(B75=0,0,Table1[[#This Row],[Initial Reserve]]+CE74)</f>
        <v>0</v>
      </c>
      <c r="CE75" s="40">
        <f>ROUND(IF(B75=0,0,((CC75)*(1+db!Y77))+((CE74)*(1+db!U77))),0)</f>
        <v>0</v>
      </c>
      <c r="CF75" s="40">
        <f t="shared" si="48"/>
        <v>0</v>
      </c>
      <c r="CG75" s="15">
        <f t="shared" si="44"/>
        <v>74</v>
      </c>
      <c r="CH75" s="39">
        <f>IF(B75=0,0,((CC75)*(1+db!AH77))+((CH74)*(1+db!AD77)))</f>
        <v>0</v>
      </c>
      <c r="CI75" s="39">
        <f>IF(B75=0,0,((CC75)*(1+db!AH77))+((CI74)*(1+db!AD77)))</f>
        <v>0</v>
      </c>
      <c r="CJ75" s="40">
        <f>IF(B75=0,0,((CC75)*(1+db!AO77))+((CJ74)*(1+db!AK77)))</f>
        <v>0</v>
      </c>
      <c r="CK75" s="40">
        <f>CJ75-(SUM(BX$7:$BX76))</f>
        <v>0</v>
      </c>
      <c r="CL75" s="46"/>
    </row>
    <row r="76" spans="1:90">
      <c r="A76" s="24">
        <f t="shared" si="45"/>
        <v>75</v>
      </c>
      <c r="B76" s="16">
        <f>IF(AND(Changes!Change="Yes", Changes!ChangeType="Change Contract Duration"),IF(B75=0,0,IF(Changes!NewChangedValue&lt;B75+1,0,B75+1)),IF(B75=0,0,IF('Application Annually'!$C$5&lt;B75+1,0,B75+1)))</f>
        <v>0</v>
      </c>
      <c r="C76" s="15">
        <f t="shared" si="46"/>
        <v>0</v>
      </c>
      <c r="D76" s="312">
        <f t="shared" si="47"/>
        <v>102</v>
      </c>
      <c r="E76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76" s="29">
        <f t="shared" si="37"/>
        <v>0</v>
      </c>
      <c r="G76" s="29">
        <f t="shared" si="38"/>
        <v>0</v>
      </c>
      <c r="H76" s="29">
        <f t="shared" si="29"/>
        <v>0</v>
      </c>
      <c r="I76" s="29">
        <f>IF(B76&gt;0,IF(AND(Table1[[#This Row],[Year]]&gt;Changes!ValidityYear,Changes!Change="Yes",Changes!ChangeType="Change Value Adjustment"),Changes!$G$22,'Application Annually'!$C$11),0)</f>
        <v>0</v>
      </c>
      <c r="J76" s="29">
        <f>IF(B76&gt;0,IF(AND(Table1[[#This Row],[Year]]&gt;Changes!ValidityYear,Changes!Change="Yes",Changes!ChangeType="Change Value Adjustment"),Changes!$G$24,'Application Annually'!$C$7),0)</f>
        <v>0</v>
      </c>
      <c r="K76" s="29">
        <f>ROUND(IF(B76=0,0,IF(AND(Changes!Change="Yes", Changes!ValidityYear=Table1[[#This Row],[Year]], Changes!ChangeType="Change Premium"), Changes!NewChangedValue, (K75*(1+db!$B$3)))),0)</f>
        <v>0</v>
      </c>
      <c r="L76" s="29">
        <f>ROUND(IF(AND(Changes!Change="Yes",Changes!ValidityYear&lt;=Table1[[#This Row],[Year]],Changes!ChangeType="Paid-Up"),0,IF(B76=0,0,IF(AND(Changes!Change="Yes", Changes!ValidityYear=Table1[[#This Row],[Year]], Changes!ChangeType="Change Premium"), Changes!NewChangedValue, (L75*(1+Table1[[#This Row],[Adjustment Factor of Premium]]/100))))),0)</f>
        <v>0</v>
      </c>
      <c r="M76" s="29">
        <f>IF(Table1[[#This Row],[Year]]=1,ROUND(MIN($L$2 -( Table1[[#This Row],[Riders Risk Premiums]] + Table1[[#This Row],[Acquisition Cost]]) *0.75,Table1[[#This Row],[Death Capital (1)]]* 0.03),0),0)</f>
        <v>0</v>
      </c>
      <c r="N76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76" s="29">
        <f>ROUND(IF(ROW()-1&gt;InsurancePeriod,0,(O75*(1+(Table1[[#This Row],[Adjustment Factor of Premium]]/100)))),0)</f>
        <v>0</v>
      </c>
      <c r="P76" s="29">
        <f>IF(Table1[Year] = 0, 0, SUM(L$2:L76))</f>
        <v>0</v>
      </c>
      <c r="Q76" s="17">
        <f t="shared" si="30"/>
        <v>0</v>
      </c>
      <c r="R76" s="17">
        <f>IF(Table1[[#This Row],[Year]]=0,0,IF($C$2&lt;=50,LOOKUP(Table1[[#This Row],[Age]],db!BG77:BG183,db!BH77:BH183),LOOKUP(Table1[[#This Row],[Age]],db!BJ77:BJ183,db!BK77:BK183)))</f>
        <v>0</v>
      </c>
      <c r="S76" s="17">
        <f>IF(AND(Changes!Change="Yes",Changes!ValidityYear&lt;=Table1[[#This Row],[Year]],Changes!ChangeType="Paid-Up",PaidUpOption="Paid-up with no coverage"),0,IF(B76=0,0, IF(AND(Changes!Change="Yes", Changes!ValidityYear=Table1[[#This Row],[Year]], Changes!ChangeType="Change Death Capital"), Changes!NewChangedValue, S75*(1+(Table1[[#This Row],[Adjustment Factor of Death Capital]]/100)))))</f>
        <v>0</v>
      </c>
      <c r="T76" s="17">
        <f>MIN(IF(B76=0,0,Table1[[#This Row],[Death Capital (1)]]),Table1[[#This Row],[Max Sum Insured For Death]])</f>
        <v>0</v>
      </c>
      <c r="U76" s="29">
        <f t="shared" si="39"/>
        <v>0</v>
      </c>
      <c r="V76" s="29">
        <f>IF(AND(Changes!Change="Yes",Changes!ValidityYear&lt;=Table1[[#This Row],[Year]],Changes!ChangeType="Paid-Up",OR(PaidUpOption="Paid-up with no coverage",PaidUpOption="Paid-up with main coverage")),0,IF(B76=0,0,IF(AND(Changes!Change="Yes", Changes!ValidityYear&lt;=Table1[[#This Row],[Year]], Changes!ChangeType="Rider Inclusion/Exclusion", Changes!RiderType="Accident Death"), T76*Changes!NewChangedValue,IF(db!$D$6="Yes",(db!$B$6)*T76,0))))</f>
        <v>0</v>
      </c>
      <c r="W76" s="29">
        <f>MIN(IF(V76&lt;=db!$L$2,V76,db!$L$2),MAX_ACC_CAPITAL)</f>
        <v>0</v>
      </c>
      <c r="X76" s="17">
        <f>IF(AND(Changes!Change="Yes",Changes!ValidityYear&lt;=Table1[[#This Row],[Year]],Changes!ChangeType="Paid-Up",OR(PaidUpOption="Paid-up with no coverage",PaidUpOption="Paid-up with main coverage")),0,IF(OR(B76=0,Table1[[#This Row],[Accident Capital (2)]]=0),0,IF(AND(Changes!Change="Yes", Changes!ValidityYear&lt;=Table1[[#This Row],[Year]], Changes!ChangeType="Rider Inclusion/Exclusion", Changes!RiderType="Accident Disability"), T76*Changes!NewChangedValue,IF(db!$D$7="Yes",(db!$B$7)*T76,0))))</f>
        <v>0</v>
      </c>
      <c r="Y76" s="42">
        <f>IF(C76&gt;69,0,IF(C76=0,0,IF(X76&lt;=db!$L$3,X76,db!$L$3)))</f>
        <v>0</v>
      </c>
      <c r="Z76" s="29">
        <f>IF(AND(Changes!Change="Yes",Changes!ValidityYear&lt;=Table1[[#This Row],[Year]],Changes!ChangeType="Paid-Up",OR(PaidUpOption="Paid-up with no coverage",PaidUpOption="Paid-up with main coverage")),0,IF(OR(B76=0,Table1[[#This Row],[Accident Capital (2)]]=0),0,IF(AND(Changes!Change="Yes", Changes!ValidityYear&lt;=Table1[[#This Row],[Year]], Changes!ChangeType="Rider Inclusion/Exclusion", Changes!RiderType="Accident Medical Cost"), T76*Changes!NewChangedValue,IF(db!$D$9="Yes",(db!$B$9)*T76,0))))</f>
        <v>0</v>
      </c>
      <c r="AA76" s="29">
        <f>ROUND(IF(C76&gt;69,0,IF(C76=0,0,IF(Z76&lt;=db!$L$4,Z76,db!$L$4))),0)</f>
        <v>0</v>
      </c>
      <c r="AB76" s="38">
        <f>IF(AND(Changes!Change = "Yes", Changes!ChangeType = "Rider Inclusion/Exclusion", Changes!RiderType = "WOP"), IF( Changes!ValidityYear &lt;= Table1[[#This Row],[Year]], IF(WOP = "Yes", 0, 1),  IF(WOP = "Yes", 1, 0)), IF(AND(db!$D$8="Yes",C76&lt;=69,ROW()-1&lt;=InsurancePeriod), 1, 0))</f>
        <v>0</v>
      </c>
      <c r="AC76" s="17">
        <f>(AC77+K77)*AB76*((1)/(1+db!AA78))*(LOOKUP(C76,'Mortality Table'!$A$2:$A$108,'Mortality Table'!$E$2:$E$108))</f>
        <v>0</v>
      </c>
      <c r="AD76" s="340">
        <f>IF(AND(Changes!ValidityYear&lt;= Table1[[#This Row],[Year]],Changes!ChangeType="Change Value Adjustment",Changes!Change="Yes"), (AD77+L77)*AB76*((1)/(1+db!AA78))*(LOOKUP(C76,'Mortality Table'!$A$2:$A$108,'Mortality Table'!$E$2:$E$108)),Table1[[#This Row],[WOP Before Adj. BT]])</f>
        <v>0</v>
      </c>
      <c r="AE76" s="341">
        <f>IF(AND(Changes!Change="Yes", Changes!ChangeType="Change Value Adjustment"),Table1[[#This Row],[WOP Capital]],(AE77+O77)*AB76*((1)/(1+db!AA78))*(LOOKUP(D76,'Mortality Table'!$A$2:$A$108,'Mortality Table'!$E$2:$E$108)))</f>
        <v>0</v>
      </c>
      <c r="AF76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76" s="42">
        <f>IF(AND(Changes!Change="Yes", Changes!ValidityYear&lt;=Table1[[#This Row],[Year]], Changes!ChangeType="Rider Inclusion/Exclusion", Changes!RiderType="Disability Annuity"), L76*Changes!NewChangedValue,L76*db!B$10*IF(db!$D$10="Yes",1,0))</f>
        <v>0</v>
      </c>
      <c r="AH76" s="29">
        <f>IF(AND(Changes!Change="Yes",Changes!ValidityYear&lt;=Table1[[#This Row],[Year]],Changes!ChangeType="Paid-Up"),0,Table1[[#This Row],[Code Annuity Capital]]*IF('Annual Calculation'!C76&gt;69,0,(LOOKUP('Annual Calculation'!C76+1,'Mortality Table'!$A$2:$A$108,'Mortality Table'!$O$2:$O$108)-LOOKUP('Annual Calculation'!C76+11,'Mortality Table'!$A$2:$A$108,'Mortality Table'!$O$2:$O$108))/LOOKUP('Annual Calculation'!C76,'Mortality Table'!$A$2:$A$108,'Mortality Table'!$M$2:$M$108)))</f>
        <v>0</v>
      </c>
      <c r="AI76" s="17">
        <f>IF(AND(Changes!Change="Yes",Changes!ValidityYear&lt;=Table1[[#This Row],[Year]],Changes!ChangeType="Paid-Up",OR(PaidUpOption="Paid-up with no coverage",PaidUpOption="Paid-up with main coverage")),0,IF(B76=0,0,IF(AND(Changes!Change="Yes", Changes!ValidityYear&lt;=Table1[[#This Row],[Year]], Changes!ChangeType="Rider Inclusion/Exclusion", Changes!RiderType="Dread Disease"), T76*Changes!NewChangedValue,IF(db!$D$11="Yes",(db!$B$11)*T76,0))))</f>
        <v>0</v>
      </c>
      <c r="AJ76" s="42">
        <f>ROUND(IF(C76&gt;59,0,IF(C76=0,0,IF(AI76&lt;=db!$L$5,AI76,db!$L$5))),0)</f>
        <v>0</v>
      </c>
      <c r="AK76" s="29">
        <f>IF(AND(Changes!Change="Yes",Changes!ValidityYear&lt;=Table1[[#This Row],[Year]],Changes!ChangeType="Paid-Up",OR(PaidUpOption="Paid-up with no coverage",PaidUpOption="Paid-up with main coverage")),0,IF(B76=0,0,IF(AND(Changes!Change="Yes", Changes!ValidityYear&lt;=Table1[[#This Row],[Year]], Changes!ChangeType="Rider Inclusion/Exclusion", Changes!RiderType="Cancer"), T76*Changes!NewChangedValue,IF(db!$D$12="Yes",(db!$B$12)*T76,0))))</f>
        <v>0</v>
      </c>
      <c r="AL76" s="29">
        <f>ROUND(IF(C76&gt;59,0,IF(C76=0,0,IF(AK76&lt;=db!$L$6,AK76,db!$L$6))),0)</f>
        <v>0</v>
      </c>
      <c r="AM76" s="32"/>
      <c r="AN76" s="18">
        <f>IF(B76=0,0,IF(C76&lt;(db!$E$2+5),LOOKUP(C76,'Mortality Table'!$A$2:$A$108,'Mortality Table'!$P$2:$P$108),IF((C76&gt;=db!$E$2+10),LOOKUP(C76,'Mortality Table'!$A$2:$A$108,'Mortality Table'!$R$2:$R$108),LOOKUP(C76,'Mortality Table'!$A$2:$A$108,'Mortality Table'!$Q$2:$Q$108))))</f>
        <v>0</v>
      </c>
      <c r="AO76" s="22">
        <f t="shared" si="31"/>
        <v>0</v>
      </c>
      <c r="AP76" s="19">
        <f>IF(B76=0,0, LOOKUP(IF(AND(Changes!Change="Yes", Changes!ValidityYear&lt;=Table1[[#This Row],[Year]], Changes!ChangeType="Change Job Class"),Changes!NewChangedValue, db!$A$8),db!$AX$4:$AX$8,db!$AY$4:$AY$8))</f>
        <v>0</v>
      </c>
      <c r="AQ76" s="20">
        <f>ROUND((AP76/1000)*W76 * (1-db!$AS$9),0)</f>
        <v>0</v>
      </c>
      <c r="AR76" s="20">
        <f>(AP76/1000)*W76 * db!$AS$9</f>
        <v>0</v>
      </c>
      <c r="AS76" s="21">
        <f>IF(B76=0,0, LOOKUP(IF(AND(Changes!Change="Yes", Changes!ValidityYear&lt;=Table1[[#This Row],[Year]], Changes!ChangeType="Change Job Class"),Changes!NewChangedValue, db!$A$8),db!$AX$4:$AX$8,db!$AZ$4:$AZ$8))</f>
        <v>0</v>
      </c>
      <c r="AT76" s="22">
        <f>(AS76/1000)*Y76*(1-db!$AS$9)</f>
        <v>0</v>
      </c>
      <c r="AU76" s="22">
        <f>(AS76/1000)*Y76*(db!$AS$9)</f>
        <v>0</v>
      </c>
      <c r="AV76" s="23">
        <f>IF(B76=0,0, LOOKUP(IF(AND(Changes!Change="Yes", Changes!ValidityYear&lt;=Table1[[#This Row],[Year]], Changes!ChangeType="Change Job Class"),Changes!NewChangedValue, db!$A$8),db!$AX$4:$AX$8,db!$BA$4:$BA$8))</f>
        <v>0</v>
      </c>
      <c r="AW76" s="20">
        <f>ROUND((AV76/(100))*AA76*(1-db!$AS$9),0)</f>
        <v>0</v>
      </c>
      <c r="AX76" s="20">
        <f>ROUND((AV76/(100))*AA76*(db!$AS$9),0)</f>
        <v>0</v>
      </c>
      <c r="AY76" s="21">
        <f>IF(db!$D$8="Yes",AS76,0)</f>
        <v>0</v>
      </c>
      <c r="AZ76" s="22">
        <f>(AY76*AF76)/1000*(1-db!$AS$9)</f>
        <v>0</v>
      </c>
      <c r="BA76" s="22">
        <f>(AY76*AF76)/1000*(db!$AS$9)</f>
        <v>0</v>
      </c>
      <c r="BB76" s="23">
        <f t="shared" si="32"/>
        <v>0</v>
      </c>
      <c r="BC76" s="20">
        <f>(BB76*AH76/1000)*(1-db!$AS$9)</f>
        <v>0</v>
      </c>
      <c r="BD76" s="20">
        <f>(BB76*AH76/1000)*(db!$AS$9)</f>
        <v>0</v>
      </c>
      <c r="BE76" s="22">
        <f>IF(B76=0,0,IF(C76&gt;60,0,LOOKUP(Table1[[#This Row],[Medical
Age]],db!$BC$3:$BC$63,db!$BD$3:$BD$63)))</f>
        <v>0</v>
      </c>
      <c r="BF76" s="22">
        <f>BG76*db!$AS$10</f>
        <v>0</v>
      </c>
      <c r="BG76" s="22">
        <f t="shared" si="33"/>
        <v>0</v>
      </c>
      <c r="BH76" s="22">
        <f>(BE76/1000000)*AJ76*(1-db!$AS$10)</f>
        <v>0</v>
      </c>
      <c r="BI76" s="20">
        <f>IF(B76=0,0,IF(C76&gt;59,0,LOOKUP(Table1[[#This Row],[Medical
Age]],db!$BC$3:$BC$63,db!$BE$3:$BE$63)))</f>
        <v>0</v>
      </c>
      <c r="BJ76" s="20">
        <f>(BI76/1000000)*AL76*(1-db!$AS$11)</f>
        <v>0</v>
      </c>
      <c r="BK76" s="20">
        <f>(BI76/1000000)*AL76*(db!$AS$11)</f>
        <v>0</v>
      </c>
      <c r="BL76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76" s="20">
        <f>Table1[[#This Row],[RiskLoading
Rate]]*Table1[[#This Row],[Death Capital (2)]]</f>
        <v>0</v>
      </c>
      <c r="BN76" s="36"/>
      <c r="BO76" s="37">
        <f t="shared" si="34"/>
        <v>0</v>
      </c>
      <c r="BP76" s="35">
        <f t="shared" si="35"/>
        <v>0</v>
      </c>
      <c r="BQ76" s="35">
        <f t="shared" si="36"/>
        <v>0</v>
      </c>
      <c r="BR76" s="37">
        <f t="shared" si="40"/>
        <v>0</v>
      </c>
      <c r="BS76" s="37">
        <f t="shared" si="41"/>
        <v>0</v>
      </c>
      <c r="BT76" s="35">
        <f t="shared" si="42"/>
        <v>0</v>
      </c>
      <c r="BU76" s="35">
        <f t="shared" si="43"/>
        <v>0</v>
      </c>
      <c r="BV76" s="37">
        <f>(db!$AS$4/100)*(L76-BT76-BU76)</f>
        <v>0</v>
      </c>
      <c r="BW76" s="37">
        <f>(db!$AS$8/100)*(L76-BT76-BU76)</f>
        <v>0</v>
      </c>
      <c r="BX76" s="35"/>
      <c r="BY76" s="37"/>
      <c r="BZ76" s="37"/>
      <c r="CA76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76" s="33"/>
      <c r="CC76" s="39">
        <f>ROUND((Table1[[#This Row],[Premium]]-Table1[[#This Row],[All Deductions]]),0)</f>
        <v>0</v>
      </c>
      <c r="CD76" s="39">
        <f>IF(B76=0,0,Table1[[#This Row],[Initial Reserve]]+CE75)</f>
        <v>0</v>
      </c>
      <c r="CE76" s="40">
        <f>ROUND(IF(B76=0,0,((CC76)*(1+db!Y78))+((CE75)*(1+db!U78))),0)</f>
        <v>0</v>
      </c>
      <c r="CF76" s="40">
        <f t="shared" si="48"/>
        <v>0</v>
      </c>
      <c r="CG76" s="15">
        <f t="shared" si="44"/>
        <v>75</v>
      </c>
      <c r="CH76" s="39">
        <f>IF(B76=0,0,((CC76)*(1+db!AH78))+((CH75)*(1+db!AD78)))</f>
        <v>0</v>
      </c>
      <c r="CI76" s="39">
        <f>IF(B76=0,0,((CC76)*(1+db!AH78))+((CI75)*(1+db!AD78)))</f>
        <v>0</v>
      </c>
      <c r="CJ76" s="40">
        <f>IF(B76=0,0,((CC76)*(1+db!AO78))+((CJ75)*(1+db!AK78)))</f>
        <v>0</v>
      </c>
      <c r="CK76" s="40">
        <f>CJ76-(SUM(BX$7:$BX77))</f>
        <v>0</v>
      </c>
      <c r="CL76" s="46"/>
    </row>
    <row r="77" spans="1:90">
      <c r="A77" s="24">
        <f t="shared" si="45"/>
        <v>76</v>
      </c>
      <c r="B77" s="16">
        <f>IF(AND(Changes!Change="Yes", Changes!ChangeType="Change Contract Duration"),IF(B76=0,0,IF(Changes!NewChangedValue&lt;B76+1,0,B76+1)),IF(B76=0,0,IF('Application Annually'!$C$5&lt;B76+1,0,B76+1)))</f>
        <v>0</v>
      </c>
      <c r="C77" s="15">
        <f t="shared" si="46"/>
        <v>0</v>
      </c>
      <c r="D77" s="312">
        <f t="shared" si="47"/>
        <v>103</v>
      </c>
      <c r="E77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77" s="29">
        <f t="shared" si="37"/>
        <v>0</v>
      </c>
      <c r="G77" s="29">
        <f t="shared" si="38"/>
        <v>0</v>
      </c>
      <c r="H77" s="29">
        <f t="shared" si="29"/>
        <v>0</v>
      </c>
      <c r="I77" s="29">
        <f>IF(B77&gt;0,IF(AND(Table1[[#This Row],[Year]]&gt;Changes!ValidityYear,Changes!Change="Yes",Changes!ChangeType="Change Value Adjustment"),Changes!$G$22,'Application Annually'!$C$11),0)</f>
        <v>0</v>
      </c>
      <c r="J77" s="29">
        <f>IF(B77&gt;0,IF(AND(Table1[[#This Row],[Year]]&gt;Changes!ValidityYear,Changes!Change="Yes",Changes!ChangeType="Change Value Adjustment"),Changes!$G$24,'Application Annually'!$C$7),0)</f>
        <v>0</v>
      </c>
      <c r="K77" s="29">
        <f>ROUND(IF(B77=0,0,IF(AND(Changes!Change="Yes", Changes!ValidityYear=Table1[[#This Row],[Year]], Changes!ChangeType="Change Premium"), Changes!NewChangedValue, (K76*(1+db!$B$3)))),0)</f>
        <v>0</v>
      </c>
      <c r="L77" s="29">
        <f>ROUND(IF(AND(Changes!Change="Yes",Changes!ValidityYear&lt;=Table1[[#This Row],[Year]],Changes!ChangeType="Paid-Up"),0,IF(B77=0,0,IF(AND(Changes!Change="Yes", Changes!ValidityYear=Table1[[#This Row],[Year]], Changes!ChangeType="Change Premium"), Changes!NewChangedValue, (L76*(1+Table1[[#This Row],[Adjustment Factor of Premium]]/100))))),0)</f>
        <v>0</v>
      </c>
      <c r="M77" s="29">
        <f>IF(Table1[[#This Row],[Year]]=1,ROUND(MIN($L$2 -( Table1[[#This Row],[Riders Risk Premiums]] + Table1[[#This Row],[Acquisition Cost]]) *0.75,Table1[[#This Row],[Death Capital (1)]]* 0.03),0),0)</f>
        <v>0</v>
      </c>
      <c r="N77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77" s="29">
        <f>ROUND(IF(ROW()-1&gt;InsurancePeriod,0,(O76*(1+(Table1[[#This Row],[Adjustment Factor of Premium]]/100)))),0)</f>
        <v>0</v>
      </c>
      <c r="P77" s="29">
        <f>IF(Table1[Year] = 0, 0, SUM(L$2:L77))</f>
        <v>0</v>
      </c>
      <c r="Q77" s="17">
        <f t="shared" si="30"/>
        <v>0</v>
      </c>
      <c r="R77" s="17">
        <f>IF(Table1[[#This Row],[Year]]=0,0,IF($C$2&lt;=50,LOOKUP(Table1[[#This Row],[Age]],db!BG78:BG184,db!BH78:BH184),LOOKUP(Table1[[#This Row],[Age]],db!BJ78:BJ184,db!BK78:BK184)))</f>
        <v>0</v>
      </c>
      <c r="S77" s="17">
        <f>IF(AND(Changes!Change="Yes",Changes!ValidityYear&lt;=Table1[[#This Row],[Year]],Changes!ChangeType="Paid-Up",PaidUpOption="Paid-up with no coverage"),0,IF(B77=0,0, IF(AND(Changes!Change="Yes", Changes!ValidityYear=Table1[[#This Row],[Year]], Changes!ChangeType="Change Death Capital"), Changes!NewChangedValue, S76*(1+(Table1[[#This Row],[Adjustment Factor of Death Capital]]/100)))))</f>
        <v>0</v>
      </c>
      <c r="T77" s="17">
        <f>MIN(IF(B77=0,0,Table1[[#This Row],[Death Capital (1)]]),Table1[[#This Row],[Max Sum Insured For Death]])</f>
        <v>0</v>
      </c>
      <c r="U77" s="29">
        <f t="shared" si="39"/>
        <v>0</v>
      </c>
      <c r="V77" s="29">
        <f>IF(AND(Changes!Change="Yes",Changes!ValidityYear&lt;=Table1[[#This Row],[Year]],Changes!ChangeType="Paid-Up",OR(PaidUpOption="Paid-up with no coverage",PaidUpOption="Paid-up with main coverage")),0,IF(B77=0,0,IF(AND(Changes!Change="Yes", Changes!ValidityYear&lt;=Table1[[#This Row],[Year]], Changes!ChangeType="Rider Inclusion/Exclusion", Changes!RiderType="Accident Death"), T77*Changes!NewChangedValue,IF(db!$D$6="Yes",(db!$B$6)*T77,0))))</f>
        <v>0</v>
      </c>
      <c r="W77" s="29">
        <f>MIN(IF(V77&lt;=db!$L$2,V77,db!$L$2),MAX_ACC_CAPITAL)</f>
        <v>0</v>
      </c>
      <c r="X77" s="17">
        <f>IF(AND(Changes!Change="Yes",Changes!ValidityYear&lt;=Table1[[#This Row],[Year]],Changes!ChangeType="Paid-Up",OR(PaidUpOption="Paid-up with no coverage",PaidUpOption="Paid-up with main coverage")),0,IF(OR(B77=0,Table1[[#This Row],[Accident Capital (2)]]=0),0,IF(AND(Changes!Change="Yes", Changes!ValidityYear&lt;=Table1[[#This Row],[Year]], Changes!ChangeType="Rider Inclusion/Exclusion", Changes!RiderType="Accident Disability"), T77*Changes!NewChangedValue,IF(db!$D$7="Yes",(db!$B$7)*T77,0))))</f>
        <v>0</v>
      </c>
      <c r="Y77" s="42">
        <f>IF(C77&gt;69,0,IF(C77=0,0,IF(X77&lt;=db!$L$3,X77,db!$L$3)))</f>
        <v>0</v>
      </c>
      <c r="Z77" s="29">
        <f>IF(AND(Changes!Change="Yes",Changes!ValidityYear&lt;=Table1[[#This Row],[Year]],Changes!ChangeType="Paid-Up",OR(PaidUpOption="Paid-up with no coverage",PaidUpOption="Paid-up with main coverage")),0,IF(OR(B77=0,Table1[[#This Row],[Accident Capital (2)]]=0),0,IF(AND(Changes!Change="Yes", Changes!ValidityYear&lt;=Table1[[#This Row],[Year]], Changes!ChangeType="Rider Inclusion/Exclusion", Changes!RiderType="Accident Medical Cost"), T77*Changes!NewChangedValue,IF(db!$D$9="Yes",(db!$B$9)*T77,0))))</f>
        <v>0</v>
      </c>
      <c r="AA77" s="29">
        <f>ROUND(IF(C77&gt;69,0,IF(C77=0,0,IF(Z77&lt;=db!$L$4,Z77,db!$L$4))),0)</f>
        <v>0</v>
      </c>
      <c r="AB77" s="38">
        <f>IF(AND(Changes!Change = "Yes", Changes!ChangeType = "Rider Inclusion/Exclusion", Changes!RiderType = "WOP"), IF( Changes!ValidityYear &lt;= Table1[[#This Row],[Year]], IF(WOP = "Yes", 0, 1),  IF(WOP = "Yes", 1, 0)), IF(AND(db!$D$8="Yes",C77&lt;=69,ROW()-1&lt;=InsurancePeriod), 1, 0))</f>
        <v>0</v>
      </c>
      <c r="AC77" s="17">
        <f>(AC78+K78)*AB77*((1)/(1+db!AA79))*(LOOKUP(C77,'Mortality Table'!$A$2:$A$108,'Mortality Table'!$E$2:$E$108))</f>
        <v>0</v>
      </c>
      <c r="AD77" s="340">
        <f>IF(AND(Changes!ValidityYear&lt;= Table1[[#This Row],[Year]],Changes!ChangeType="Change Value Adjustment",Changes!Change="Yes"), (AD78+L78)*AB77*((1)/(1+db!AA79))*(LOOKUP(C77,'Mortality Table'!$A$2:$A$108,'Mortality Table'!$E$2:$E$108)),Table1[[#This Row],[WOP Before Adj. BT]])</f>
        <v>0</v>
      </c>
      <c r="AE77" s="341">
        <f>IF(AND(Changes!Change="Yes", Changes!ChangeType="Change Value Adjustment"),Table1[[#This Row],[WOP Capital]],(AE78+O78)*AB77*((1)/(1+db!AA79))*(LOOKUP(D77,'Mortality Table'!$A$2:$A$108,'Mortality Table'!$E$2:$E$108)))</f>
        <v>0</v>
      </c>
      <c r="AF77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77" s="42">
        <f>IF(AND(Changes!Change="Yes", Changes!ValidityYear&lt;=Table1[[#This Row],[Year]], Changes!ChangeType="Rider Inclusion/Exclusion", Changes!RiderType="Disability Annuity"), L77*Changes!NewChangedValue,L77*db!B$10*IF(db!$D$10="Yes",1,0))</f>
        <v>0</v>
      </c>
      <c r="AH77" s="29">
        <f>IF(AND(Changes!Change="Yes",Changes!ValidityYear&lt;=Table1[[#This Row],[Year]],Changes!ChangeType="Paid-Up"),0,Table1[[#This Row],[Code Annuity Capital]]*IF('Annual Calculation'!C77&gt;69,0,(LOOKUP('Annual Calculation'!C77+1,'Mortality Table'!$A$2:$A$108,'Mortality Table'!$O$2:$O$108)-LOOKUP('Annual Calculation'!C77+11,'Mortality Table'!$A$2:$A$108,'Mortality Table'!$O$2:$O$108))/LOOKUP('Annual Calculation'!C77,'Mortality Table'!$A$2:$A$108,'Mortality Table'!$M$2:$M$108)))</f>
        <v>0</v>
      </c>
      <c r="AI77" s="17">
        <f>IF(AND(Changes!Change="Yes",Changes!ValidityYear&lt;=Table1[[#This Row],[Year]],Changes!ChangeType="Paid-Up",OR(PaidUpOption="Paid-up with no coverage",PaidUpOption="Paid-up with main coverage")),0,IF(B77=0,0,IF(AND(Changes!Change="Yes", Changes!ValidityYear&lt;=Table1[[#This Row],[Year]], Changes!ChangeType="Rider Inclusion/Exclusion", Changes!RiderType="Dread Disease"), T77*Changes!NewChangedValue,IF(db!$D$11="Yes",(db!$B$11)*T77,0))))</f>
        <v>0</v>
      </c>
      <c r="AJ77" s="42">
        <f>ROUND(IF(C77&gt;59,0,IF(C77=0,0,IF(AI77&lt;=db!$L$5,AI77,db!$L$5))),0)</f>
        <v>0</v>
      </c>
      <c r="AK77" s="29">
        <f>IF(AND(Changes!Change="Yes",Changes!ValidityYear&lt;=Table1[[#This Row],[Year]],Changes!ChangeType="Paid-Up",OR(PaidUpOption="Paid-up with no coverage",PaidUpOption="Paid-up with main coverage")),0,IF(B77=0,0,IF(AND(Changes!Change="Yes", Changes!ValidityYear&lt;=Table1[[#This Row],[Year]], Changes!ChangeType="Rider Inclusion/Exclusion", Changes!RiderType="Cancer"), T77*Changes!NewChangedValue,IF(db!$D$12="Yes",(db!$B$12)*T77,0))))</f>
        <v>0</v>
      </c>
      <c r="AL77" s="29">
        <f>ROUND(IF(C77&gt;59,0,IF(C77=0,0,IF(AK77&lt;=db!$L$6,AK77,db!$L$6))),0)</f>
        <v>0</v>
      </c>
      <c r="AM77" s="32"/>
      <c r="AN77" s="18">
        <f>IF(B77=0,0,IF(C77&lt;(db!$E$2+5),LOOKUP(C77,'Mortality Table'!$A$2:$A$108,'Mortality Table'!$P$2:$P$108),IF((C77&gt;=db!$E$2+10),LOOKUP(C77,'Mortality Table'!$A$2:$A$108,'Mortality Table'!$R$2:$R$108),LOOKUP(C77,'Mortality Table'!$A$2:$A$108,'Mortality Table'!$Q$2:$Q$108))))</f>
        <v>0</v>
      </c>
      <c r="AO77" s="22">
        <f t="shared" si="31"/>
        <v>0</v>
      </c>
      <c r="AP77" s="19">
        <f>IF(B77=0,0, LOOKUP(IF(AND(Changes!Change="Yes", Changes!ValidityYear&lt;=Table1[[#This Row],[Year]], Changes!ChangeType="Change Job Class"),Changes!NewChangedValue, db!$A$8),db!$AX$4:$AX$8,db!$AY$4:$AY$8))</f>
        <v>0</v>
      </c>
      <c r="AQ77" s="20">
        <f>ROUND((AP77/1000)*W77 * (1-db!$AS$9),0)</f>
        <v>0</v>
      </c>
      <c r="AR77" s="20">
        <f>(AP77/1000)*W77 * db!$AS$9</f>
        <v>0</v>
      </c>
      <c r="AS77" s="21">
        <f>IF(B77=0,0, LOOKUP(IF(AND(Changes!Change="Yes", Changes!ValidityYear&lt;=Table1[[#This Row],[Year]], Changes!ChangeType="Change Job Class"),Changes!NewChangedValue, db!$A$8),db!$AX$4:$AX$8,db!$AZ$4:$AZ$8))</f>
        <v>0</v>
      </c>
      <c r="AT77" s="22">
        <f>(AS77/1000)*Y77*(1-db!$AS$9)</f>
        <v>0</v>
      </c>
      <c r="AU77" s="22">
        <f>(AS77/1000)*Y77*(db!$AS$9)</f>
        <v>0</v>
      </c>
      <c r="AV77" s="23">
        <f>IF(B77=0,0, LOOKUP(IF(AND(Changes!Change="Yes", Changes!ValidityYear&lt;=Table1[[#This Row],[Year]], Changes!ChangeType="Change Job Class"),Changes!NewChangedValue, db!$A$8),db!$AX$4:$AX$8,db!$BA$4:$BA$8))</f>
        <v>0</v>
      </c>
      <c r="AW77" s="20">
        <f>ROUND((AV77/(100))*AA77*(1-db!$AS$9),0)</f>
        <v>0</v>
      </c>
      <c r="AX77" s="20">
        <f>ROUND((AV77/(100))*AA77*(db!$AS$9),0)</f>
        <v>0</v>
      </c>
      <c r="AY77" s="21">
        <f>IF(db!$D$8="Yes",AS77,0)</f>
        <v>0</v>
      </c>
      <c r="AZ77" s="22">
        <f>(AY77*AF77)/1000*(1-db!$AS$9)</f>
        <v>0</v>
      </c>
      <c r="BA77" s="22">
        <f>(AY77*AF77)/1000*(db!$AS$9)</f>
        <v>0</v>
      </c>
      <c r="BB77" s="23">
        <f t="shared" si="32"/>
        <v>0</v>
      </c>
      <c r="BC77" s="20">
        <f>(BB77*AH77/1000)*(1-db!$AS$9)</f>
        <v>0</v>
      </c>
      <c r="BD77" s="20">
        <f>(BB77*AH77/1000)*(db!$AS$9)</f>
        <v>0</v>
      </c>
      <c r="BE77" s="22">
        <f>IF(B77=0,0,IF(C77&gt;60,0,LOOKUP(Table1[[#This Row],[Medical
Age]],db!$BC$3:$BC$63,db!$BD$3:$BD$63)))</f>
        <v>0</v>
      </c>
      <c r="BF77" s="22">
        <f>BG77*db!$AS$10</f>
        <v>0</v>
      </c>
      <c r="BG77" s="22">
        <f t="shared" si="33"/>
        <v>0</v>
      </c>
      <c r="BH77" s="22">
        <f>(BE77/1000000)*AJ77*(1-db!$AS$10)</f>
        <v>0</v>
      </c>
      <c r="BI77" s="20">
        <f>IF(B77=0,0,IF(C77&gt;59,0,LOOKUP(Table1[[#This Row],[Medical
Age]],db!$BC$3:$BC$63,db!$BE$3:$BE$63)))</f>
        <v>0</v>
      </c>
      <c r="BJ77" s="20">
        <f>(BI77/1000000)*AL77*(1-db!$AS$11)</f>
        <v>0</v>
      </c>
      <c r="BK77" s="20">
        <f>(BI77/1000000)*AL77*(db!$AS$11)</f>
        <v>0</v>
      </c>
      <c r="BL77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77" s="20">
        <f>Table1[[#This Row],[RiskLoading
Rate]]*Table1[[#This Row],[Death Capital (2)]]</f>
        <v>0</v>
      </c>
      <c r="BN77" s="36"/>
      <c r="BO77" s="37">
        <f t="shared" si="34"/>
        <v>0</v>
      </c>
      <c r="BP77" s="35">
        <f t="shared" si="35"/>
        <v>0</v>
      </c>
      <c r="BQ77" s="35">
        <f t="shared" si="36"/>
        <v>0</v>
      </c>
      <c r="BR77" s="37">
        <f t="shared" si="40"/>
        <v>0</v>
      </c>
      <c r="BS77" s="37">
        <f t="shared" si="41"/>
        <v>0</v>
      </c>
      <c r="BT77" s="35">
        <f t="shared" si="42"/>
        <v>0</v>
      </c>
      <c r="BU77" s="35">
        <f t="shared" si="43"/>
        <v>0</v>
      </c>
      <c r="BV77" s="37">
        <f>(db!$AS$4/100)*(L77-BT77-BU77)</f>
        <v>0</v>
      </c>
      <c r="BW77" s="37">
        <f>(db!$AS$8/100)*(L77-BT77-BU77)</f>
        <v>0</v>
      </c>
      <c r="BX77" s="35"/>
      <c r="BY77" s="37"/>
      <c r="BZ77" s="37"/>
      <c r="CA77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77" s="33"/>
      <c r="CC77" s="39">
        <f>ROUND((Table1[[#This Row],[Premium]]-Table1[[#This Row],[All Deductions]]),0)</f>
        <v>0</v>
      </c>
      <c r="CD77" s="39">
        <f>IF(B77=0,0,Table1[[#This Row],[Initial Reserve]]+CE76)</f>
        <v>0</v>
      </c>
      <c r="CE77" s="40">
        <f>ROUND(IF(B77=0,0,((CC77)*(1+db!Y79))+((CE76)*(1+db!U79))),0)</f>
        <v>0</v>
      </c>
      <c r="CF77" s="40">
        <f t="shared" si="48"/>
        <v>0</v>
      </c>
      <c r="CG77" s="15">
        <f t="shared" si="44"/>
        <v>76</v>
      </c>
      <c r="CH77" s="39">
        <f>IF(B77=0,0,((CC77)*(1+db!AH79))+((CH76)*(1+db!AD79)))</f>
        <v>0</v>
      </c>
      <c r="CI77" s="39">
        <f>IF(B77=0,0,((CC77)*(1+db!AH79))+((CI76)*(1+db!AD79)))</f>
        <v>0</v>
      </c>
      <c r="CJ77" s="40">
        <f>IF(B77=0,0,((CC77)*(1+db!AO79))+((CJ76)*(1+db!AK79)))</f>
        <v>0</v>
      </c>
      <c r="CK77" s="40">
        <f>CJ77-(SUM(BX$7:$BX78))</f>
        <v>0</v>
      </c>
      <c r="CL77" s="46"/>
    </row>
    <row r="78" spans="1:90">
      <c r="A78" s="24">
        <f t="shared" si="45"/>
        <v>77</v>
      </c>
      <c r="B78" s="16">
        <f>IF(AND(Changes!Change="Yes", Changes!ChangeType="Change Contract Duration"),IF(B77=0,0,IF(Changes!NewChangedValue&lt;B77+1,0,B77+1)),IF(B77=0,0,IF('Application Annually'!$C$5&lt;B77+1,0,B77+1)))</f>
        <v>0</v>
      </c>
      <c r="C78" s="15">
        <f t="shared" si="46"/>
        <v>0</v>
      </c>
      <c r="D78" s="312">
        <f t="shared" si="47"/>
        <v>104</v>
      </c>
      <c r="E78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78" s="29">
        <f t="shared" si="37"/>
        <v>0</v>
      </c>
      <c r="G78" s="29">
        <f t="shared" si="38"/>
        <v>0</v>
      </c>
      <c r="H78" s="29">
        <f t="shared" si="29"/>
        <v>0</v>
      </c>
      <c r="I78" s="29">
        <f>IF(B78&gt;0,IF(AND(Table1[[#This Row],[Year]]&gt;Changes!ValidityYear,Changes!Change="Yes",Changes!ChangeType="Change Value Adjustment"),Changes!$G$22,'Application Annually'!$C$11),0)</f>
        <v>0</v>
      </c>
      <c r="J78" s="29">
        <f>IF(B78&gt;0,IF(AND(Table1[[#This Row],[Year]]&gt;Changes!ValidityYear,Changes!Change="Yes",Changes!ChangeType="Change Value Adjustment"),Changes!$G$24,'Application Annually'!$C$7),0)</f>
        <v>0</v>
      </c>
      <c r="K78" s="29">
        <f>ROUND(IF(B78=0,0,IF(AND(Changes!Change="Yes", Changes!ValidityYear=Table1[[#This Row],[Year]], Changes!ChangeType="Change Premium"), Changes!NewChangedValue, (K77*(1+db!$B$3)))),0)</f>
        <v>0</v>
      </c>
      <c r="L78" s="29">
        <f>ROUND(IF(AND(Changes!Change="Yes",Changes!ValidityYear&lt;=Table1[[#This Row],[Year]],Changes!ChangeType="Paid-Up"),0,IF(B78=0,0,IF(AND(Changes!Change="Yes", Changes!ValidityYear=Table1[[#This Row],[Year]], Changes!ChangeType="Change Premium"), Changes!NewChangedValue, (L77*(1+Table1[[#This Row],[Adjustment Factor of Premium]]/100))))),0)</f>
        <v>0</v>
      </c>
      <c r="M78" s="29">
        <f>IF(Table1[[#This Row],[Year]]=1,ROUND(MIN($L$2 -( Table1[[#This Row],[Riders Risk Premiums]] + Table1[[#This Row],[Acquisition Cost]]) *0.75,Table1[[#This Row],[Death Capital (1)]]* 0.03),0),0)</f>
        <v>0</v>
      </c>
      <c r="N78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78" s="29">
        <f>ROUND(IF(ROW()-1&gt;InsurancePeriod,0,(O77*(1+(Table1[[#This Row],[Adjustment Factor of Premium]]/100)))),0)</f>
        <v>0</v>
      </c>
      <c r="P78" s="29">
        <f>IF(Table1[Year] = 0, 0, SUM(L$2:L78))</f>
        <v>0</v>
      </c>
      <c r="Q78" s="17">
        <f t="shared" si="30"/>
        <v>0</v>
      </c>
      <c r="R78" s="17">
        <f>IF(Table1[[#This Row],[Year]]=0,0,IF($C$2&lt;=50,LOOKUP(Table1[[#This Row],[Age]],db!BG79:BG185,db!BH79:BH185),LOOKUP(Table1[[#This Row],[Age]],db!BJ79:BJ185,db!BK79:BK185)))</f>
        <v>0</v>
      </c>
      <c r="S78" s="17">
        <f>IF(AND(Changes!Change="Yes",Changes!ValidityYear&lt;=Table1[[#This Row],[Year]],Changes!ChangeType="Paid-Up",PaidUpOption="Paid-up with no coverage"),0,IF(B78=0,0, IF(AND(Changes!Change="Yes", Changes!ValidityYear=Table1[[#This Row],[Year]], Changes!ChangeType="Change Death Capital"), Changes!NewChangedValue, S77*(1+(Table1[[#This Row],[Adjustment Factor of Death Capital]]/100)))))</f>
        <v>0</v>
      </c>
      <c r="T78" s="17">
        <f>MIN(IF(B78=0,0,Table1[[#This Row],[Death Capital (1)]]),Table1[[#This Row],[Max Sum Insured For Death]])</f>
        <v>0</v>
      </c>
      <c r="U78" s="29">
        <f t="shared" si="39"/>
        <v>0</v>
      </c>
      <c r="V78" s="29">
        <f>IF(AND(Changes!Change="Yes",Changes!ValidityYear&lt;=Table1[[#This Row],[Year]],Changes!ChangeType="Paid-Up",OR(PaidUpOption="Paid-up with no coverage",PaidUpOption="Paid-up with main coverage")),0,IF(B78=0,0,IF(AND(Changes!Change="Yes", Changes!ValidityYear&lt;=Table1[[#This Row],[Year]], Changes!ChangeType="Rider Inclusion/Exclusion", Changes!RiderType="Accident Death"), T78*Changes!NewChangedValue,IF(db!$D$6="Yes",(db!$B$6)*T78,0))))</f>
        <v>0</v>
      </c>
      <c r="W78" s="29">
        <f>MIN(IF(V78&lt;=db!$L$2,V78,db!$L$2),MAX_ACC_CAPITAL)</f>
        <v>0</v>
      </c>
      <c r="X78" s="17">
        <f>IF(AND(Changes!Change="Yes",Changes!ValidityYear&lt;=Table1[[#This Row],[Year]],Changes!ChangeType="Paid-Up",OR(PaidUpOption="Paid-up with no coverage",PaidUpOption="Paid-up with main coverage")),0,IF(OR(B78=0,Table1[[#This Row],[Accident Capital (2)]]=0),0,IF(AND(Changes!Change="Yes", Changes!ValidityYear&lt;=Table1[[#This Row],[Year]], Changes!ChangeType="Rider Inclusion/Exclusion", Changes!RiderType="Accident Disability"), T78*Changes!NewChangedValue,IF(db!$D$7="Yes",(db!$B$7)*T78,0))))</f>
        <v>0</v>
      </c>
      <c r="Y78" s="42">
        <f>IF(C78&gt;69,0,IF(C78=0,0,IF(X78&lt;=db!$L$3,X78,db!$L$3)))</f>
        <v>0</v>
      </c>
      <c r="Z78" s="29">
        <f>IF(AND(Changes!Change="Yes",Changes!ValidityYear&lt;=Table1[[#This Row],[Year]],Changes!ChangeType="Paid-Up",OR(PaidUpOption="Paid-up with no coverage",PaidUpOption="Paid-up with main coverage")),0,IF(OR(B78=0,Table1[[#This Row],[Accident Capital (2)]]=0),0,IF(AND(Changes!Change="Yes", Changes!ValidityYear&lt;=Table1[[#This Row],[Year]], Changes!ChangeType="Rider Inclusion/Exclusion", Changes!RiderType="Accident Medical Cost"), T78*Changes!NewChangedValue,IF(db!$D$9="Yes",(db!$B$9)*T78,0))))</f>
        <v>0</v>
      </c>
      <c r="AA78" s="29">
        <f>ROUND(IF(C78&gt;69,0,IF(C78=0,0,IF(Z78&lt;=db!$L$4,Z78,db!$L$4))),0)</f>
        <v>0</v>
      </c>
      <c r="AB78" s="38">
        <f>IF(AND(Changes!Change = "Yes", Changes!ChangeType = "Rider Inclusion/Exclusion", Changes!RiderType = "WOP"), IF( Changes!ValidityYear &lt;= Table1[[#This Row],[Year]], IF(WOP = "Yes", 0, 1),  IF(WOP = "Yes", 1, 0)), IF(AND(db!$D$8="Yes",C78&lt;=69,ROW()-1&lt;=InsurancePeriod), 1, 0))</f>
        <v>0</v>
      </c>
      <c r="AC78" s="17">
        <f>(AC79+K79)*AB78*((1)/(1+db!AA80))*(LOOKUP(C78,'Mortality Table'!$A$2:$A$108,'Mortality Table'!$E$2:$E$108))</f>
        <v>0</v>
      </c>
      <c r="AD78" s="340">
        <f>IF(AND(Changes!ValidityYear&lt;= Table1[[#This Row],[Year]],Changes!ChangeType="Change Value Adjustment",Changes!Change="Yes"), (AD79+L79)*AB78*((1)/(1+db!AA80))*(LOOKUP(C78,'Mortality Table'!$A$2:$A$108,'Mortality Table'!$E$2:$E$108)),Table1[[#This Row],[WOP Before Adj. BT]])</f>
        <v>0</v>
      </c>
      <c r="AE78" s="341">
        <f>IF(AND(Changes!Change="Yes", Changes!ChangeType="Change Value Adjustment"),Table1[[#This Row],[WOP Capital]],(AE79+O79)*AB78*((1)/(1+db!AA80))*(LOOKUP(D78,'Mortality Table'!$A$2:$A$108,'Mortality Table'!$E$2:$E$108)))</f>
        <v>0</v>
      </c>
      <c r="AF78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78" s="42">
        <f>IF(AND(Changes!Change="Yes", Changes!ValidityYear&lt;=Table1[[#This Row],[Year]], Changes!ChangeType="Rider Inclusion/Exclusion", Changes!RiderType="Disability Annuity"), L78*Changes!NewChangedValue,L78*db!B$10*IF(db!$D$10="Yes",1,0))</f>
        <v>0</v>
      </c>
      <c r="AH78" s="29">
        <f>IF(AND(Changes!Change="Yes",Changes!ValidityYear&lt;=Table1[[#This Row],[Year]],Changes!ChangeType="Paid-Up"),0,Table1[[#This Row],[Code Annuity Capital]]*IF('Annual Calculation'!C78&gt;69,0,(LOOKUP('Annual Calculation'!C78+1,'Mortality Table'!$A$2:$A$108,'Mortality Table'!$O$2:$O$108)-LOOKUP('Annual Calculation'!C78+11,'Mortality Table'!$A$2:$A$108,'Mortality Table'!$O$2:$O$108))/LOOKUP('Annual Calculation'!C78,'Mortality Table'!$A$2:$A$108,'Mortality Table'!$M$2:$M$108)))</f>
        <v>0</v>
      </c>
      <c r="AI78" s="17">
        <f>IF(AND(Changes!Change="Yes",Changes!ValidityYear&lt;=Table1[[#This Row],[Year]],Changes!ChangeType="Paid-Up",OR(PaidUpOption="Paid-up with no coverage",PaidUpOption="Paid-up with main coverage")),0,IF(B78=0,0,IF(AND(Changes!Change="Yes", Changes!ValidityYear&lt;=Table1[[#This Row],[Year]], Changes!ChangeType="Rider Inclusion/Exclusion", Changes!RiderType="Dread Disease"), T78*Changes!NewChangedValue,IF(db!$D$11="Yes",(db!$B$11)*T78,0))))</f>
        <v>0</v>
      </c>
      <c r="AJ78" s="42">
        <f>ROUND(IF(C78&gt;59,0,IF(C78=0,0,IF(AI78&lt;=db!$L$5,AI78,db!$L$5))),0)</f>
        <v>0</v>
      </c>
      <c r="AK78" s="29">
        <f>IF(AND(Changes!Change="Yes",Changes!ValidityYear&lt;=Table1[[#This Row],[Year]],Changes!ChangeType="Paid-Up",OR(PaidUpOption="Paid-up with no coverage",PaidUpOption="Paid-up with main coverage")),0,IF(B78=0,0,IF(AND(Changes!Change="Yes", Changes!ValidityYear&lt;=Table1[[#This Row],[Year]], Changes!ChangeType="Rider Inclusion/Exclusion", Changes!RiderType="Cancer"), T78*Changes!NewChangedValue,IF(db!$D$12="Yes",(db!$B$12)*T78,0))))</f>
        <v>0</v>
      </c>
      <c r="AL78" s="29">
        <f>ROUND(IF(C78&gt;59,0,IF(C78=0,0,IF(AK78&lt;=db!$L$6,AK78,db!$L$6))),0)</f>
        <v>0</v>
      </c>
      <c r="AM78" s="32"/>
      <c r="AN78" s="18">
        <f>IF(B78=0,0,IF(C78&lt;(db!$E$2+5),LOOKUP(C78,'Mortality Table'!$A$2:$A$108,'Mortality Table'!$P$2:$P$108),IF((C78&gt;=db!$E$2+10),LOOKUP(C78,'Mortality Table'!$A$2:$A$108,'Mortality Table'!$R$2:$R$108),LOOKUP(C78,'Mortality Table'!$A$2:$A$108,'Mortality Table'!$Q$2:$Q$108))))</f>
        <v>0</v>
      </c>
      <c r="AO78" s="22">
        <f t="shared" si="31"/>
        <v>0</v>
      </c>
      <c r="AP78" s="19">
        <f>IF(B78=0,0, LOOKUP(IF(AND(Changes!Change="Yes", Changes!ValidityYear&lt;=Table1[[#This Row],[Year]], Changes!ChangeType="Change Job Class"),Changes!NewChangedValue, db!$A$8),db!$AX$4:$AX$8,db!$AY$4:$AY$8))</f>
        <v>0</v>
      </c>
      <c r="AQ78" s="20">
        <f>ROUND((AP78/1000)*W78 * (1-db!$AS$9),0)</f>
        <v>0</v>
      </c>
      <c r="AR78" s="20">
        <f>(AP78/1000)*W78 * db!$AS$9</f>
        <v>0</v>
      </c>
      <c r="AS78" s="21">
        <f>IF(B78=0,0, LOOKUP(IF(AND(Changes!Change="Yes", Changes!ValidityYear&lt;=Table1[[#This Row],[Year]], Changes!ChangeType="Change Job Class"),Changes!NewChangedValue, db!$A$8),db!$AX$4:$AX$8,db!$AZ$4:$AZ$8))</f>
        <v>0</v>
      </c>
      <c r="AT78" s="22">
        <f>(AS78/1000)*Y78*(1-db!$AS$9)</f>
        <v>0</v>
      </c>
      <c r="AU78" s="22">
        <f>(AS78/1000)*Y78*(db!$AS$9)</f>
        <v>0</v>
      </c>
      <c r="AV78" s="23">
        <f>IF(B78=0,0, LOOKUP(IF(AND(Changes!Change="Yes", Changes!ValidityYear&lt;=Table1[[#This Row],[Year]], Changes!ChangeType="Change Job Class"),Changes!NewChangedValue, db!$A$8),db!$AX$4:$AX$8,db!$BA$4:$BA$8))</f>
        <v>0</v>
      </c>
      <c r="AW78" s="20">
        <f>ROUND((AV78/(100))*AA78*(1-db!$AS$9),0)</f>
        <v>0</v>
      </c>
      <c r="AX78" s="20">
        <f>ROUND((AV78/(100))*AA78*(db!$AS$9),0)</f>
        <v>0</v>
      </c>
      <c r="AY78" s="21">
        <f>IF(db!$D$8="Yes",AS78,0)</f>
        <v>0</v>
      </c>
      <c r="AZ78" s="22">
        <f>(AY78*AF78)/1000*(1-db!$AS$9)</f>
        <v>0</v>
      </c>
      <c r="BA78" s="22">
        <f>(AY78*AF78)/1000*(db!$AS$9)</f>
        <v>0</v>
      </c>
      <c r="BB78" s="23">
        <f t="shared" si="32"/>
        <v>0</v>
      </c>
      <c r="BC78" s="20">
        <f>(BB78*AH78/1000)*(1-db!$AS$9)</f>
        <v>0</v>
      </c>
      <c r="BD78" s="20">
        <f>(BB78*AH78/1000)*(db!$AS$9)</f>
        <v>0</v>
      </c>
      <c r="BE78" s="22">
        <f>IF(B78=0,0,IF(C78&gt;60,0,LOOKUP(Table1[[#This Row],[Medical
Age]],db!$BC$3:$BC$63,db!$BD$3:$BD$63)))</f>
        <v>0</v>
      </c>
      <c r="BF78" s="22">
        <f>BG78*db!$AS$10</f>
        <v>0</v>
      </c>
      <c r="BG78" s="22">
        <f t="shared" si="33"/>
        <v>0</v>
      </c>
      <c r="BH78" s="22">
        <f>(BE78/1000000)*AJ78*(1-db!$AS$10)</f>
        <v>0</v>
      </c>
      <c r="BI78" s="20">
        <f>IF(B78=0,0,IF(C78&gt;59,0,LOOKUP(Table1[[#This Row],[Medical
Age]],db!$BC$3:$BC$63,db!$BE$3:$BE$63)))</f>
        <v>0</v>
      </c>
      <c r="BJ78" s="20">
        <f>(BI78/1000000)*AL78*(1-db!$AS$11)</f>
        <v>0</v>
      </c>
      <c r="BK78" s="20">
        <f>(BI78/1000000)*AL78*(db!$AS$11)</f>
        <v>0</v>
      </c>
      <c r="BL78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78" s="20">
        <f>Table1[[#This Row],[RiskLoading
Rate]]*Table1[[#This Row],[Death Capital (2)]]</f>
        <v>0</v>
      </c>
      <c r="BN78" s="36"/>
      <c r="BO78" s="37">
        <f t="shared" si="34"/>
        <v>0</v>
      </c>
      <c r="BP78" s="35">
        <f t="shared" si="35"/>
        <v>0</v>
      </c>
      <c r="BQ78" s="35">
        <f t="shared" si="36"/>
        <v>0</v>
      </c>
      <c r="BR78" s="37">
        <f t="shared" si="40"/>
        <v>0</v>
      </c>
      <c r="BS78" s="37">
        <f t="shared" si="41"/>
        <v>0</v>
      </c>
      <c r="BT78" s="35">
        <f t="shared" si="42"/>
        <v>0</v>
      </c>
      <c r="BU78" s="35">
        <f t="shared" si="43"/>
        <v>0</v>
      </c>
      <c r="BV78" s="37">
        <f>(db!$AS$4/100)*(L78-BT78-BU78)</f>
        <v>0</v>
      </c>
      <c r="BW78" s="37">
        <f>(db!$AS$8/100)*(L78-BT78-BU78)</f>
        <v>0</v>
      </c>
      <c r="BX78" s="35"/>
      <c r="BY78" s="37"/>
      <c r="BZ78" s="37"/>
      <c r="CA78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78" s="33"/>
      <c r="CC78" s="39">
        <f>ROUND((Table1[[#This Row],[Premium]]-Table1[[#This Row],[All Deductions]]),0)</f>
        <v>0</v>
      </c>
      <c r="CD78" s="39">
        <f>IF(B78=0,0,Table1[[#This Row],[Initial Reserve]]+CE77)</f>
        <v>0</v>
      </c>
      <c r="CE78" s="40">
        <f>ROUND(IF(B78=0,0,((CC78)*(1+db!Y80))+((CE77)*(1+db!U80))),0)</f>
        <v>0</v>
      </c>
      <c r="CF78" s="40">
        <f t="shared" si="48"/>
        <v>0</v>
      </c>
      <c r="CG78" s="15">
        <f t="shared" si="44"/>
        <v>77</v>
      </c>
      <c r="CH78" s="39">
        <f>IF(B78=0,0,((CC78)*(1+db!AH80))+((CH77)*(1+db!AD80)))</f>
        <v>0</v>
      </c>
      <c r="CI78" s="39">
        <f>IF(B78=0,0,((CC78)*(1+db!AH80))+((CI77)*(1+db!AD80)))</f>
        <v>0</v>
      </c>
      <c r="CJ78" s="40">
        <f>IF(B78=0,0,((CC78)*(1+db!AO80))+((CJ77)*(1+db!AK80)))</f>
        <v>0</v>
      </c>
      <c r="CK78" s="40">
        <f>CJ78-(SUM(BX$7:$BX79))</f>
        <v>0</v>
      </c>
      <c r="CL78" s="46"/>
    </row>
    <row r="79" spans="1:90">
      <c r="A79" s="24">
        <f t="shared" si="45"/>
        <v>78</v>
      </c>
      <c r="B79" s="16">
        <f>IF(AND(Changes!Change="Yes", Changes!ChangeType="Change Contract Duration"),IF(B78=0,0,IF(Changes!NewChangedValue&lt;B78+1,0,B78+1)),IF(B78=0,0,IF('Application Annually'!$C$5&lt;B78+1,0,B78+1)))</f>
        <v>0</v>
      </c>
      <c r="C79" s="15">
        <f t="shared" si="46"/>
        <v>0</v>
      </c>
      <c r="D79" s="312">
        <f t="shared" si="47"/>
        <v>105</v>
      </c>
      <c r="E79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79" s="29">
        <f t="shared" si="37"/>
        <v>0</v>
      </c>
      <c r="G79" s="29">
        <f t="shared" si="38"/>
        <v>0</v>
      </c>
      <c r="H79" s="29">
        <f t="shared" si="29"/>
        <v>0</v>
      </c>
      <c r="I79" s="29">
        <f>IF(B79&gt;0,IF(AND(Table1[[#This Row],[Year]]&gt;Changes!ValidityYear,Changes!Change="Yes",Changes!ChangeType="Change Value Adjustment"),Changes!$G$22,'Application Annually'!$C$11),0)</f>
        <v>0</v>
      </c>
      <c r="J79" s="29">
        <f>IF(B79&gt;0,IF(AND(Table1[[#This Row],[Year]]&gt;Changes!ValidityYear,Changes!Change="Yes",Changes!ChangeType="Change Value Adjustment"),Changes!$G$24,'Application Annually'!$C$7),0)</f>
        <v>0</v>
      </c>
      <c r="K79" s="29">
        <f>ROUND(IF(B79=0,0,IF(AND(Changes!Change="Yes", Changes!ValidityYear=Table1[[#This Row],[Year]], Changes!ChangeType="Change Premium"), Changes!NewChangedValue, (K78*(1+db!$B$3)))),0)</f>
        <v>0</v>
      </c>
      <c r="L79" s="29">
        <f>ROUND(IF(AND(Changes!Change="Yes",Changes!ValidityYear&lt;=Table1[[#This Row],[Year]],Changes!ChangeType="Paid-Up"),0,IF(B79=0,0,IF(AND(Changes!Change="Yes", Changes!ValidityYear=Table1[[#This Row],[Year]], Changes!ChangeType="Change Premium"), Changes!NewChangedValue, (L78*(1+Table1[[#This Row],[Adjustment Factor of Premium]]/100))))),0)</f>
        <v>0</v>
      </c>
      <c r="M79" s="29">
        <f>IF(Table1[[#This Row],[Year]]=1,ROUND(MIN($L$2 -( Table1[[#This Row],[Riders Risk Premiums]] + Table1[[#This Row],[Acquisition Cost]]) *0.75,Table1[[#This Row],[Death Capital (1)]]* 0.03),0),0)</f>
        <v>0</v>
      </c>
      <c r="N79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79" s="29">
        <f>ROUND(IF(ROW()-1&gt;InsurancePeriod,0,(O78*(1+(Table1[[#This Row],[Adjustment Factor of Premium]]/100)))),0)</f>
        <v>0</v>
      </c>
      <c r="P79" s="29">
        <f>IF(Table1[Year] = 0, 0, SUM(L$2:L79))</f>
        <v>0</v>
      </c>
      <c r="Q79" s="17">
        <f t="shared" si="30"/>
        <v>0</v>
      </c>
      <c r="R79" s="17">
        <f>IF(Table1[[#This Row],[Year]]=0,0,IF($C$2&lt;=50,LOOKUP(Table1[[#This Row],[Age]],db!BG80:BG186,db!BH80:BH186),LOOKUP(Table1[[#This Row],[Age]],db!BJ80:BJ186,db!BK80:BK186)))</f>
        <v>0</v>
      </c>
      <c r="S79" s="17">
        <f>IF(AND(Changes!Change="Yes",Changes!ValidityYear&lt;=Table1[[#This Row],[Year]],Changes!ChangeType="Paid-Up",PaidUpOption="Paid-up with no coverage"),0,IF(B79=0,0, IF(AND(Changes!Change="Yes", Changes!ValidityYear=Table1[[#This Row],[Year]], Changes!ChangeType="Change Death Capital"), Changes!NewChangedValue, S78*(1+(Table1[[#This Row],[Adjustment Factor of Death Capital]]/100)))))</f>
        <v>0</v>
      </c>
      <c r="T79" s="17">
        <f>MIN(IF(B79=0,0,Table1[[#This Row],[Death Capital (1)]]),Table1[[#This Row],[Max Sum Insured For Death]])</f>
        <v>0</v>
      </c>
      <c r="U79" s="29">
        <f t="shared" si="39"/>
        <v>0</v>
      </c>
      <c r="V79" s="29">
        <f>IF(AND(Changes!Change="Yes",Changes!ValidityYear&lt;=Table1[[#This Row],[Year]],Changes!ChangeType="Paid-Up",OR(PaidUpOption="Paid-up with no coverage",PaidUpOption="Paid-up with main coverage")),0,IF(B79=0,0,IF(AND(Changes!Change="Yes", Changes!ValidityYear&lt;=Table1[[#This Row],[Year]], Changes!ChangeType="Rider Inclusion/Exclusion", Changes!RiderType="Accident Death"), T79*Changes!NewChangedValue,IF(db!$D$6="Yes",(db!$B$6)*T79,0))))</f>
        <v>0</v>
      </c>
      <c r="W79" s="29">
        <f>MIN(IF(V79&lt;=db!$L$2,V79,db!$L$2),MAX_ACC_CAPITAL)</f>
        <v>0</v>
      </c>
      <c r="X79" s="17">
        <f>IF(AND(Changes!Change="Yes",Changes!ValidityYear&lt;=Table1[[#This Row],[Year]],Changes!ChangeType="Paid-Up",OR(PaidUpOption="Paid-up with no coverage",PaidUpOption="Paid-up with main coverage")),0,IF(OR(B79=0,Table1[[#This Row],[Accident Capital (2)]]=0),0,IF(AND(Changes!Change="Yes", Changes!ValidityYear&lt;=Table1[[#This Row],[Year]], Changes!ChangeType="Rider Inclusion/Exclusion", Changes!RiderType="Accident Disability"), T79*Changes!NewChangedValue,IF(db!$D$7="Yes",(db!$B$7)*T79,0))))</f>
        <v>0</v>
      </c>
      <c r="Y79" s="42">
        <f>IF(C79&gt;69,0,IF(C79=0,0,IF(X79&lt;=db!$L$3,X79,db!$L$3)))</f>
        <v>0</v>
      </c>
      <c r="Z79" s="29">
        <f>IF(AND(Changes!Change="Yes",Changes!ValidityYear&lt;=Table1[[#This Row],[Year]],Changes!ChangeType="Paid-Up",OR(PaidUpOption="Paid-up with no coverage",PaidUpOption="Paid-up with main coverage")),0,IF(OR(B79=0,Table1[[#This Row],[Accident Capital (2)]]=0),0,IF(AND(Changes!Change="Yes", Changes!ValidityYear&lt;=Table1[[#This Row],[Year]], Changes!ChangeType="Rider Inclusion/Exclusion", Changes!RiderType="Accident Medical Cost"), T79*Changes!NewChangedValue,IF(db!$D$9="Yes",(db!$B$9)*T79,0))))</f>
        <v>0</v>
      </c>
      <c r="AA79" s="29">
        <f>ROUND(IF(C79&gt;69,0,IF(C79=0,0,IF(Z79&lt;=db!$L$4,Z79,db!$L$4))),0)</f>
        <v>0</v>
      </c>
      <c r="AB79" s="38">
        <f>IF(AND(Changes!Change = "Yes", Changes!ChangeType = "Rider Inclusion/Exclusion", Changes!RiderType = "WOP"), IF( Changes!ValidityYear &lt;= Table1[[#This Row],[Year]], IF(WOP = "Yes", 0, 1),  IF(WOP = "Yes", 1, 0)), IF(AND(db!$D$8="Yes",C79&lt;=69,ROW()-1&lt;=InsurancePeriod), 1, 0))</f>
        <v>0</v>
      </c>
      <c r="AC79" s="17">
        <f>(AC80+K80)*AB79*((1)/(1+db!AA81))*(LOOKUP(C79,'Mortality Table'!$A$2:$A$108,'Mortality Table'!$E$2:$E$108))</f>
        <v>0</v>
      </c>
      <c r="AD79" s="340">
        <f>IF(AND(Changes!ValidityYear&lt;= Table1[[#This Row],[Year]],Changes!ChangeType="Change Value Adjustment",Changes!Change="Yes"), (AD80+L80)*AB79*((1)/(1+db!AA81))*(LOOKUP(C79,'Mortality Table'!$A$2:$A$108,'Mortality Table'!$E$2:$E$108)),Table1[[#This Row],[WOP Before Adj. BT]])</f>
        <v>0</v>
      </c>
      <c r="AE79" s="341">
        <f>IF(AND(Changes!Change="Yes", Changes!ChangeType="Change Value Adjustment"),Table1[[#This Row],[WOP Capital]],(AE80+O80)*AB79*((1)/(1+db!AA81))*(LOOKUP(D79,'Mortality Table'!$A$2:$A$108,'Mortality Table'!$E$2:$E$108)))</f>
        <v>0</v>
      </c>
      <c r="AF79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79" s="42">
        <f>IF(AND(Changes!Change="Yes", Changes!ValidityYear&lt;=Table1[[#This Row],[Year]], Changes!ChangeType="Rider Inclusion/Exclusion", Changes!RiderType="Disability Annuity"), L79*Changes!NewChangedValue,L79*db!B$10*IF(db!$D$10="Yes",1,0))</f>
        <v>0</v>
      </c>
      <c r="AH79" s="29">
        <f>IF(AND(Changes!Change="Yes",Changes!ValidityYear&lt;=Table1[[#This Row],[Year]],Changes!ChangeType="Paid-Up"),0,Table1[[#This Row],[Code Annuity Capital]]*IF('Annual Calculation'!C79&gt;69,0,(LOOKUP('Annual Calculation'!C79+1,'Mortality Table'!$A$2:$A$108,'Mortality Table'!$O$2:$O$108)-LOOKUP('Annual Calculation'!C79+11,'Mortality Table'!$A$2:$A$108,'Mortality Table'!$O$2:$O$108))/LOOKUP('Annual Calculation'!C79,'Mortality Table'!$A$2:$A$108,'Mortality Table'!$M$2:$M$108)))</f>
        <v>0</v>
      </c>
      <c r="AI79" s="17">
        <f>IF(AND(Changes!Change="Yes",Changes!ValidityYear&lt;=Table1[[#This Row],[Year]],Changes!ChangeType="Paid-Up",OR(PaidUpOption="Paid-up with no coverage",PaidUpOption="Paid-up with main coverage")),0,IF(B79=0,0,IF(AND(Changes!Change="Yes", Changes!ValidityYear&lt;=Table1[[#This Row],[Year]], Changes!ChangeType="Rider Inclusion/Exclusion", Changes!RiderType="Dread Disease"), T79*Changes!NewChangedValue,IF(db!$D$11="Yes",(db!$B$11)*T79,0))))</f>
        <v>0</v>
      </c>
      <c r="AJ79" s="42">
        <f>ROUND(IF(C79&gt;59,0,IF(C79=0,0,IF(AI79&lt;=db!$L$5,AI79,db!$L$5))),0)</f>
        <v>0</v>
      </c>
      <c r="AK79" s="29">
        <f>IF(AND(Changes!Change="Yes",Changes!ValidityYear&lt;=Table1[[#This Row],[Year]],Changes!ChangeType="Paid-Up",OR(PaidUpOption="Paid-up with no coverage",PaidUpOption="Paid-up with main coverage")),0,IF(B79=0,0,IF(AND(Changes!Change="Yes", Changes!ValidityYear&lt;=Table1[[#This Row],[Year]], Changes!ChangeType="Rider Inclusion/Exclusion", Changes!RiderType="Cancer"), T79*Changes!NewChangedValue,IF(db!$D$12="Yes",(db!$B$12)*T79,0))))</f>
        <v>0</v>
      </c>
      <c r="AL79" s="29">
        <f>ROUND(IF(C79&gt;59,0,IF(C79=0,0,IF(AK79&lt;=db!$L$6,AK79,db!$L$6))),0)</f>
        <v>0</v>
      </c>
      <c r="AM79" s="32"/>
      <c r="AN79" s="18">
        <f>IF(B79=0,0,IF(C79&lt;(db!$E$2+5),LOOKUP(C79,'Mortality Table'!$A$2:$A$108,'Mortality Table'!$P$2:$P$108),IF((C79&gt;=db!$E$2+10),LOOKUP(C79,'Mortality Table'!$A$2:$A$108,'Mortality Table'!$R$2:$R$108),LOOKUP(C79,'Mortality Table'!$A$2:$A$108,'Mortality Table'!$Q$2:$Q$108))))</f>
        <v>0</v>
      </c>
      <c r="AO79" s="22">
        <f t="shared" si="31"/>
        <v>0</v>
      </c>
      <c r="AP79" s="19">
        <f>IF(B79=0,0, LOOKUP(IF(AND(Changes!Change="Yes", Changes!ValidityYear&lt;=Table1[[#This Row],[Year]], Changes!ChangeType="Change Job Class"),Changes!NewChangedValue, db!$A$8),db!$AX$4:$AX$8,db!$AY$4:$AY$8))</f>
        <v>0</v>
      </c>
      <c r="AQ79" s="20">
        <f>ROUND((AP79/1000)*W79 * (1-db!$AS$9),0)</f>
        <v>0</v>
      </c>
      <c r="AR79" s="20">
        <f>(AP79/1000)*W79 * db!$AS$9</f>
        <v>0</v>
      </c>
      <c r="AS79" s="21">
        <f>IF(B79=0,0, LOOKUP(IF(AND(Changes!Change="Yes", Changes!ValidityYear&lt;=Table1[[#This Row],[Year]], Changes!ChangeType="Change Job Class"),Changes!NewChangedValue, db!$A$8),db!$AX$4:$AX$8,db!$AZ$4:$AZ$8))</f>
        <v>0</v>
      </c>
      <c r="AT79" s="22">
        <f>(AS79/1000)*Y79*(1-db!$AS$9)</f>
        <v>0</v>
      </c>
      <c r="AU79" s="22">
        <f>(AS79/1000)*Y79*(db!$AS$9)</f>
        <v>0</v>
      </c>
      <c r="AV79" s="23">
        <f>IF(B79=0,0, LOOKUP(IF(AND(Changes!Change="Yes", Changes!ValidityYear&lt;=Table1[[#This Row],[Year]], Changes!ChangeType="Change Job Class"),Changes!NewChangedValue, db!$A$8),db!$AX$4:$AX$8,db!$BA$4:$BA$8))</f>
        <v>0</v>
      </c>
      <c r="AW79" s="20">
        <f>ROUND((AV79/(100))*AA79*(1-db!$AS$9),0)</f>
        <v>0</v>
      </c>
      <c r="AX79" s="20">
        <f>ROUND((AV79/(100))*AA79*(db!$AS$9),0)</f>
        <v>0</v>
      </c>
      <c r="AY79" s="21">
        <f>IF(db!$D$8="Yes",AS79,0)</f>
        <v>0</v>
      </c>
      <c r="AZ79" s="22">
        <f>(AY79*AF79)/1000*(1-db!$AS$9)</f>
        <v>0</v>
      </c>
      <c r="BA79" s="22">
        <f>(AY79*AF79)/1000*(db!$AS$9)</f>
        <v>0</v>
      </c>
      <c r="BB79" s="23">
        <f t="shared" si="32"/>
        <v>0</v>
      </c>
      <c r="BC79" s="20">
        <f>(BB79*AH79/1000)*(1-db!$AS$9)</f>
        <v>0</v>
      </c>
      <c r="BD79" s="20">
        <f>(BB79*AH79/1000)*(db!$AS$9)</f>
        <v>0</v>
      </c>
      <c r="BE79" s="22">
        <f>IF(B79=0,0,IF(C79&gt;60,0,LOOKUP(Table1[[#This Row],[Medical
Age]],db!$BC$3:$BC$63,db!$BD$3:$BD$63)))</f>
        <v>0</v>
      </c>
      <c r="BF79" s="22">
        <f>BG79*db!$AS$10</f>
        <v>0</v>
      </c>
      <c r="BG79" s="22">
        <f t="shared" si="33"/>
        <v>0</v>
      </c>
      <c r="BH79" s="22">
        <f>(BE79/1000000)*AJ79*(1-db!$AS$10)</f>
        <v>0</v>
      </c>
      <c r="BI79" s="20">
        <f>IF(B79=0,0,IF(C79&gt;59,0,LOOKUP(Table1[[#This Row],[Medical
Age]],db!$BC$3:$BC$63,db!$BE$3:$BE$63)))</f>
        <v>0</v>
      </c>
      <c r="BJ79" s="20">
        <f>(BI79/1000000)*AL79*(1-db!$AS$11)</f>
        <v>0</v>
      </c>
      <c r="BK79" s="20">
        <f>(BI79/1000000)*AL79*(db!$AS$11)</f>
        <v>0</v>
      </c>
      <c r="BL79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79" s="20">
        <f>Table1[[#This Row],[RiskLoading
Rate]]*Table1[[#This Row],[Death Capital (2)]]</f>
        <v>0</v>
      </c>
      <c r="BN79" s="36"/>
      <c r="BO79" s="37">
        <f t="shared" si="34"/>
        <v>0</v>
      </c>
      <c r="BP79" s="35">
        <f t="shared" si="35"/>
        <v>0</v>
      </c>
      <c r="BQ79" s="35">
        <f t="shared" si="36"/>
        <v>0</v>
      </c>
      <c r="BR79" s="37">
        <f t="shared" si="40"/>
        <v>0</v>
      </c>
      <c r="BS79" s="37">
        <f t="shared" si="41"/>
        <v>0</v>
      </c>
      <c r="BT79" s="35">
        <f t="shared" si="42"/>
        <v>0</v>
      </c>
      <c r="BU79" s="35">
        <f t="shared" si="43"/>
        <v>0</v>
      </c>
      <c r="BV79" s="37">
        <f>(db!$AS$4/100)*(L79-BT79-BU79)</f>
        <v>0</v>
      </c>
      <c r="BW79" s="37">
        <f>(db!$AS$8/100)*(L79-BT79-BU79)</f>
        <v>0</v>
      </c>
      <c r="BX79" s="35"/>
      <c r="BY79" s="37"/>
      <c r="BZ79" s="37"/>
      <c r="CA79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79" s="33"/>
      <c r="CC79" s="39">
        <f>ROUND((Table1[[#This Row],[Premium]]-Table1[[#This Row],[All Deductions]]),0)</f>
        <v>0</v>
      </c>
      <c r="CD79" s="39">
        <f>IF(B79=0,0,Table1[[#This Row],[Initial Reserve]]+CE78)</f>
        <v>0</v>
      </c>
      <c r="CE79" s="40">
        <f>ROUND(IF(B79=0,0,((CC79)*(1+db!Y81))+((CE78)*(1+db!U81))),0)</f>
        <v>0</v>
      </c>
      <c r="CF79" s="40">
        <f t="shared" si="48"/>
        <v>0</v>
      </c>
      <c r="CG79" s="15">
        <f t="shared" si="44"/>
        <v>78</v>
      </c>
      <c r="CH79" s="39">
        <f>IF(B79=0,0,((CC79)*(1+db!AH81))+((CH78)*(1+db!AD81)))</f>
        <v>0</v>
      </c>
      <c r="CI79" s="39">
        <f>IF(B79=0,0,((CC79)*(1+db!AH81))+((CI78)*(1+db!AD81)))</f>
        <v>0</v>
      </c>
      <c r="CJ79" s="40">
        <f>IF(B79=0,0,((CC79)*(1+db!AO81))+((CJ78)*(1+db!AK81)))</f>
        <v>0</v>
      </c>
      <c r="CK79" s="40">
        <f>CJ79-(SUM(BX$7:$BX80))</f>
        <v>0</v>
      </c>
      <c r="CL79" s="46"/>
    </row>
    <row r="80" spans="1:90">
      <c r="A80" s="24">
        <f t="shared" si="45"/>
        <v>79</v>
      </c>
      <c r="B80" s="16">
        <f>IF(AND(Changes!Change="Yes", Changes!ChangeType="Change Contract Duration"),IF(B79=0,0,IF(Changes!NewChangedValue&lt;B79+1,0,B79+1)),IF(B79=0,0,IF('Application Annually'!$C$5&lt;B79+1,0,B79+1)))</f>
        <v>0</v>
      </c>
      <c r="C80" s="15">
        <f t="shared" si="46"/>
        <v>0</v>
      </c>
      <c r="D80" s="312">
        <f t="shared" si="47"/>
        <v>106</v>
      </c>
      <c r="E80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80" s="29">
        <f t="shared" si="37"/>
        <v>0</v>
      </c>
      <c r="G80" s="29">
        <f t="shared" si="38"/>
        <v>0</v>
      </c>
      <c r="H80" s="29">
        <f t="shared" si="29"/>
        <v>0</v>
      </c>
      <c r="I80" s="29">
        <f>IF(B80&gt;0,IF(AND(Table1[[#This Row],[Year]]&gt;Changes!ValidityYear,Changes!Change="Yes",Changes!ChangeType="Change Value Adjustment"),Changes!$G$22,'Application Annually'!$C$11),0)</f>
        <v>0</v>
      </c>
      <c r="J80" s="29">
        <f>IF(B80&gt;0,IF(AND(Table1[[#This Row],[Year]]&gt;Changes!ValidityYear,Changes!Change="Yes",Changes!ChangeType="Change Value Adjustment"),Changes!$G$24,'Application Annually'!$C$7),0)</f>
        <v>0</v>
      </c>
      <c r="K80" s="29">
        <f>ROUND(IF(B80=0,0,IF(AND(Changes!Change="Yes", Changes!ValidityYear=Table1[[#This Row],[Year]], Changes!ChangeType="Change Premium"), Changes!NewChangedValue, (K79*(1+db!$B$3)))),0)</f>
        <v>0</v>
      </c>
      <c r="L80" s="29">
        <f>ROUND(IF(AND(Changes!Change="Yes",Changes!ValidityYear&lt;=Table1[[#This Row],[Year]],Changes!ChangeType="Paid-Up"),0,IF(B80=0,0,IF(AND(Changes!Change="Yes", Changes!ValidityYear=Table1[[#This Row],[Year]], Changes!ChangeType="Change Premium"), Changes!NewChangedValue, (L79*(1+Table1[[#This Row],[Adjustment Factor of Premium]]/100))))),0)</f>
        <v>0</v>
      </c>
      <c r="M80" s="29">
        <f>IF(Table1[[#This Row],[Year]]=1,ROUND(MIN($L$2 -( Table1[[#This Row],[Riders Risk Premiums]] + Table1[[#This Row],[Acquisition Cost]]) *0.75,Table1[[#This Row],[Death Capital (1)]]* 0.03),0),0)</f>
        <v>0</v>
      </c>
      <c r="N80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80" s="29">
        <f>ROUND(IF(ROW()-1&gt;InsurancePeriod,0,(O79*(1+(Table1[[#This Row],[Adjustment Factor of Premium]]/100)))),0)</f>
        <v>0</v>
      </c>
      <c r="P80" s="29">
        <f>IF(Table1[Year] = 0, 0, SUM(L$2:L80))</f>
        <v>0</v>
      </c>
      <c r="Q80" s="17">
        <f t="shared" si="30"/>
        <v>0</v>
      </c>
      <c r="R80" s="17">
        <f>IF(Table1[[#This Row],[Year]]=0,0,IF($C$2&lt;=50,LOOKUP(Table1[[#This Row],[Age]],db!BG81:BG187,db!BH81:BH187),LOOKUP(Table1[[#This Row],[Age]],db!BJ81:BJ187,db!BK81:BK187)))</f>
        <v>0</v>
      </c>
      <c r="S80" s="17">
        <f>IF(AND(Changes!Change="Yes",Changes!ValidityYear&lt;=Table1[[#This Row],[Year]],Changes!ChangeType="Paid-Up",PaidUpOption="Paid-up with no coverage"),0,IF(B80=0,0, IF(AND(Changes!Change="Yes", Changes!ValidityYear=Table1[[#This Row],[Year]], Changes!ChangeType="Change Death Capital"), Changes!NewChangedValue, S79*(1+(Table1[[#This Row],[Adjustment Factor of Death Capital]]/100)))))</f>
        <v>0</v>
      </c>
      <c r="T80" s="17">
        <f>MIN(IF(B80=0,0,Table1[[#This Row],[Death Capital (1)]]),Table1[[#This Row],[Max Sum Insured For Death]])</f>
        <v>0</v>
      </c>
      <c r="U80" s="29">
        <f t="shared" si="39"/>
        <v>0</v>
      </c>
      <c r="V80" s="29">
        <f>IF(AND(Changes!Change="Yes",Changes!ValidityYear&lt;=Table1[[#This Row],[Year]],Changes!ChangeType="Paid-Up",OR(PaidUpOption="Paid-up with no coverage",PaidUpOption="Paid-up with main coverage")),0,IF(B80=0,0,IF(AND(Changes!Change="Yes", Changes!ValidityYear&lt;=Table1[[#This Row],[Year]], Changes!ChangeType="Rider Inclusion/Exclusion", Changes!RiderType="Accident Death"), T80*Changes!NewChangedValue,IF(db!$D$6="Yes",(db!$B$6)*T80,0))))</f>
        <v>0</v>
      </c>
      <c r="W80" s="29">
        <f>MIN(IF(V80&lt;=db!$L$2,V80,db!$L$2),MAX_ACC_CAPITAL)</f>
        <v>0</v>
      </c>
      <c r="X80" s="17">
        <f>IF(AND(Changes!Change="Yes",Changes!ValidityYear&lt;=Table1[[#This Row],[Year]],Changes!ChangeType="Paid-Up",OR(PaidUpOption="Paid-up with no coverage",PaidUpOption="Paid-up with main coverage")),0,IF(OR(B80=0,Table1[[#This Row],[Accident Capital (2)]]=0),0,IF(AND(Changes!Change="Yes", Changes!ValidityYear&lt;=Table1[[#This Row],[Year]], Changes!ChangeType="Rider Inclusion/Exclusion", Changes!RiderType="Accident Disability"), T80*Changes!NewChangedValue,IF(db!$D$7="Yes",(db!$B$7)*T80,0))))</f>
        <v>0</v>
      </c>
      <c r="Y80" s="42">
        <f>IF(C80&gt;69,0,IF(C80=0,0,IF(X80&lt;=db!$L$3,X80,db!$L$3)))</f>
        <v>0</v>
      </c>
      <c r="Z80" s="29">
        <f>IF(AND(Changes!Change="Yes",Changes!ValidityYear&lt;=Table1[[#This Row],[Year]],Changes!ChangeType="Paid-Up",OR(PaidUpOption="Paid-up with no coverage",PaidUpOption="Paid-up with main coverage")),0,IF(OR(B80=0,Table1[[#This Row],[Accident Capital (2)]]=0),0,IF(AND(Changes!Change="Yes", Changes!ValidityYear&lt;=Table1[[#This Row],[Year]], Changes!ChangeType="Rider Inclusion/Exclusion", Changes!RiderType="Accident Medical Cost"), T80*Changes!NewChangedValue,IF(db!$D$9="Yes",(db!$B$9)*T80,0))))</f>
        <v>0</v>
      </c>
      <c r="AA80" s="29">
        <f>ROUND(IF(C80&gt;69,0,IF(C80=0,0,IF(Z80&lt;=db!$L$4,Z80,db!$L$4))),0)</f>
        <v>0</v>
      </c>
      <c r="AB80" s="38">
        <f>IF(AND(Changes!Change = "Yes", Changes!ChangeType = "Rider Inclusion/Exclusion", Changes!RiderType = "WOP"), IF( Changes!ValidityYear &lt;= Table1[[#This Row],[Year]], IF(WOP = "Yes", 0, 1),  IF(WOP = "Yes", 1, 0)), IF(AND(db!$D$8="Yes",C80&lt;=69,ROW()-1&lt;=InsurancePeriod), 1, 0))</f>
        <v>0</v>
      </c>
      <c r="AC80" s="17">
        <f>(AC81+K81)*AB80*((1)/(1+db!AA82))*(LOOKUP(C80,'Mortality Table'!$A$2:$A$108,'Mortality Table'!$E$2:$E$108))</f>
        <v>0</v>
      </c>
      <c r="AD80" s="340">
        <f>IF(AND(Changes!ValidityYear&lt;= Table1[[#This Row],[Year]],Changes!ChangeType="Change Value Adjustment",Changes!Change="Yes"), (AD81+L81)*AB80*((1)/(1+db!AA82))*(LOOKUP(C80,'Mortality Table'!$A$2:$A$108,'Mortality Table'!$E$2:$E$108)),Table1[[#This Row],[WOP Before Adj. BT]])</f>
        <v>0</v>
      </c>
      <c r="AE80" s="341">
        <f>IF(AND(Changes!Change="Yes", Changes!ChangeType="Change Value Adjustment"),Table1[[#This Row],[WOP Capital]],(AE81+O81)*AB80*((1)/(1+db!AA82))*(LOOKUP(D80,'Mortality Table'!$A$2:$A$108,'Mortality Table'!$E$2:$E$108)))</f>
        <v>0</v>
      </c>
      <c r="AF80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80" s="42">
        <f>IF(AND(Changes!Change="Yes", Changes!ValidityYear&lt;=Table1[[#This Row],[Year]], Changes!ChangeType="Rider Inclusion/Exclusion", Changes!RiderType="Disability Annuity"), L80*Changes!NewChangedValue,L80*db!B$10*IF(db!$D$10="Yes",1,0))</f>
        <v>0</v>
      </c>
      <c r="AH80" s="29">
        <f>IF(AND(Changes!Change="Yes",Changes!ValidityYear&lt;=Table1[[#This Row],[Year]],Changes!ChangeType="Paid-Up"),0,Table1[[#This Row],[Code Annuity Capital]]*IF('Annual Calculation'!C80&gt;69,0,(LOOKUP('Annual Calculation'!C80+1,'Mortality Table'!$A$2:$A$108,'Mortality Table'!$O$2:$O$108)-LOOKUP('Annual Calculation'!C80+11,'Mortality Table'!$A$2:$A$108,'Mortality Table'!$O$2:$O$108))/LOOKUP('Annual Calculation'!C80,'Mortality Table'!$A$2:$A$108,'Mortality Table'!$M$2:$M$108)))</f>
        <v>0</v>
      </c>
      <c r="AI80" s="17">
        <f>IF(AND(Changes!Change="Yes",Changes!ValidityYear&lt;=Table1[[#This Row],[Year]],Changes!ChangeType="Paid-Up",OR(PaidUpOption="Paid-up with no coverage",PaidUpOption="Paid-up with main coverage")),0,IF(B80=0,0,IF(AND(Changes!Change="Yes", Changes!ValidityYear&lt;=Table1[[#This Row],[Year]], Changes!ChangeType="Rider Inclusion/Exclusion", Changes!RiderType="Dread Disease"), T80*Changes!NewChangedValue,IF(db!$D$11="Yes",(db!$B$11)*T80,0))))</f>
        <v>0</v>
      </c>
      <c r="AJ80" s="42">
        <f>ROUND(IF(C80&gt;59,0,IF(C80=0,0,IF(AI80&lt;=db!$L$5,AI80,db!$L$5))),0)</f>
        <v>0</v>
      </c>
      <c r="AK80" s="29">
        <f>IF(AND(Changes!Change="Yes",Changes!ValidityYear&lt;=Table1[[#This Row],[Year]],Changes!ChangeType="Paid-Up",OR(PaidUpOption="Paid-up with no coverage",PaidUpOption="Paid-up with main coverage")),0,IF(B80=0,0,IF(AND(Changes!Change="Yes", Changes!ValidityYear&lt;=Table1[[#This Row],[Year]], Changes!ChangeType="Rider Inclusion/Exclusion", Changes!RiderType="Cancer"), T80*Changes!NewChangedValue,IF(db!$D$12="Yes",(db!$B$12)*T80,0))))</f>
        <v>0</v>
      </c>
      <c r="AL80" s="29">
        <f>ROUND(IF(C80&gt;59,0,IF(C80=0,0,IF(AK80&lt;=db!$L$6,AK80,db!$L$6))),0)</f>
        <v>0</v>
      </c>
      <c r="AM80" s="32"/>
      <c r="AN80" s="18">
        <f>IF(B80=0,0,IF(C80&lt;(db!$E$2+5),LOOKUP(C80,'Mortality Table'!$A$2:$A$108,'Mortality Table'!$P$2:$P$108),IF((C80&gt;=db!$E$2+10),LOOKUP(C80,'Mortality Table'!$A$2:$A$108,'Mortality Table'!$R$2:$R$108),LOOKUP(C80,'Mortality Table'!$A$2:$A$108,'Mortality Table'!$Q$2:$Q$108))))</f>
        <v>0</v>
      </c>
      <c r="AO80" s="22">
        <f t="shared" si="31"/>
        <v>0</v>
      </c>
      <c r="AP80" s="19">
        <f>IF(B80=0,0, LOOKUP(IF(AND(Changes!Change="Yes", Changes!ValidityYear&lt;=Table1[[#This Row],[Year]], Changes!ChangeType="Change Job Class"),Changes!NewChangedValue, db!$A$8),db!$AX$4:$AX$8,db!$AY$4:$AY$8))</f>
        <v>0</v>
      </c>
      <c r="AQ80" s="20">
        <f>ROUND((AP80/1000)*W80 * (1-db!$AS$9),0)</f>
        <v>0</v>
      </c>
      <c r="AR80" s="20">
        <f>(AP80/1000)*W80 * db!$AS$9</f>
        <v>0</v>
      </c>
      <c r="AS80" s="21">
        <f>IF(B80=0,0, LOOKUP(IF(AND(Changes!Change="Yes", Changes!ValidityYear&lt;=Table1[[#This Row],[Year]], Changes!ChangeType="Change Job Class"),Changes!NewChangedValue, db!$A$8),db!$AX$4:$AX$8,db!$AZ$4:$AZ$8))</f>
        <v>0</v>
      </c>
      <c r="AT80" s="22">
        <f>(AS80/1000)*Y80*(1-db!$AS$9)</f>
        <v>0</v>
      </c>
      <c r="AU80" s="22">
        <f>(AS80/1000)*Y80*(db!$AS$9)</f>
        <v>0</v>
      </c>
      <c r="AV80" s="23">
        <f>IF(B80=0,0, LOOKUP(IF(AND(Changes!Change="Yes", Changes!ValidityYear&lt;=Table1[[#This Row],[Year]], Changes!ChangeType="Change Job Class"),Changes!NewChangedValue, db!$A$8),db!$AX$4:$AX$8,db!$BA$4:$BA$8))</f>
        <v>0</v>
      </c>
      <c r="AW80" s="20">
        <f>ROUND((AV80/(100))*AA80*(1-db!$AS$9),0)</f>
        <v>0</v>
      </c>
      <c r="AX80" s="20">
        <f>ROUND((AV80/(100))*AA80*(db!$AS$9),0)</f>
        <v>0</v>
      </c>
      <c r="AY80" s="21">
        <f>IF(db!$D$8="Yes",AS80,0)</f>
        <v>0</v>
      </c>
      <c r="AZ80" s="22">
        <f>(AY80*AF80)/1000*(1-db!$AS$9)</f>
        <v>0</v>
      </c>
      <c r="BA80" s="22">
        <f>(AY80*AF80)/1000*(db!$AS$9)</f>
        <v>0</v>
      </c>
      <c r="BB80" s="23">
        <f t="shared" si="32"/>
        <v>0</v>
      </c>
      <c r="BC80" s="20">
        <f>(BB80*AH80/1000)*(1-db!$AS$9)</f>
        <v>0</v>
      </c>
      <c r="BD80" s="20">
        <f>(BB80*AH80/1000)*(db!$AS$9)</f>
        <v>0</v>
      </c>
      <c r="BE80" s="22">
        <f>IF(B80=0,0,IF(C80&gt;60,0,LOOKUP(Table1[[#This Row],[Medical
Age]],db!$BC$3:$BC$63,db!$BD$3:$BD$63)))</f>
        <v>0</v>
      </c>
      <c r="BF80" s="22">
        <f>BG80*db!$AS$10</f>
        <v>0</v>
      </c>
      <c r="BG80" s="22">
        <f t="shared" si="33"/>
        <v>0</v>
      </c>
      <c r="BH80" s="22">
        <f>(BE80/1000000)*AJ80*(1-db!$AS$10)</f>
        <v>0</v>
      </c>
      <c r="BI80" s="20">
        <f>IF(B80=0,0,IF(C80&gt;59,0,LOOKUP(Table1[[#This Row],[Medical
Age]],db!$BC$3:$BC$63,db!$BE$3:$BE$63)))</f>
        <v>0</v>
      </c>
      <c r="BJ80" s="20">
        <f>(BI80/1000000)*AL80*(1-db!$AS$11)</f>
        <v>0</v>
      </c>
      <c r="BK80" s="20">
        <f>(BI80/1000000)*AL80*(db!$AS$11)</f>
        <v>0</v>
      </c>
      <c r="BL80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80" s="20">
        <f>Table1[[#This Row],[RiskLoading
Rate]]*Table1[[#This Row],[Death Capital (2)]]</f>
        <v>0</v>
      </c>
      <c r="BN80" s="36"/>
      <c r="BO80" s="37">
        <f t="shared" si="34"/>
        <v>0</v>
      </c>
      <c r="BP80" s="35">
        <f t="shared" si="35"/>
        <v>0</v>
      </c>
      <c r="BQ80" s="35">
        <f t="shared" si="36"/>
        <v>0</v>
      </c>
      <c r="BR80" s="37">
        <f t="shared" si="40"/>
        <v>0</v>
      </c>
      <c r="BS80" s="37">
        <f t="shared" si="41"/>
        <v>0</v>
      </c>
      <c r="BT80" s="35">
        <f t="shared" si="42"/>
        <v>0</v>
      </c>
      <c r="BU80" s="35">
        <f t="shared" si="43"/>
        <v>0</v>
      </c>
      <c r="BV80" s="37">
        <f>(db!$AS$4/100)*(L80-BT80-BU80)</f>
        <v>0</v>
      </c>
      <c r="BW80" s="37">
        <f>(db!$AS$8/100)*(L80-BT80-BU80)</f>
        <v>0</v>
      </c>
      <c r="BX80" s="35"/>
      <c r="BY80" s="37"/>
      <c r="BZ80" s="37"/>
      <c r="CA80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80" s="33"/>
      <c r="CC80" s="39">
        <f>ROUND((Table1[[#This Row],[Premium]]-Table1[[#This Row],[All Deductions]]),0)</f>
        <v>0</v>
      </c>
      <c r="CD80" s="39">
        <f>IF(B80=0,0,Table1[[#This Row],[Initial Reserve]]+CE79)</f>
        <v>0</v>
      </c>
      <c r="CE80" s="40">
        <f>ROUND(IF(B80=0,0,((CC80)*(1+db!Y82))+((CE79)*(1+db!U82))),0)</f>
        <v>0</v>
      </c>
      <c r="CF80" s="40">
        <f t="shared" si="48"/>
        <v>0</v>
      </c>
      <c r="CG80" s="15">
        <f t="shared" si="44"/>
        <v>79</v>
      </c>
      <c r="CH80" s="39">
        <f>IF(B80=0,0,((CC80)*(1+db!AH82))+((CH79)*(1+db!AD82)))</f>
        <v>0</v>
      </c>
      <c r="CI80" s="39">
        <f>IF(B80=0,0,((CC80)*(1+db!AH82))+((CI79)*(1+db!AD82)))</f>
        <v>0</v>
      </c>
      <c r="CJ80" s="40">
        <f>IF(B80=0,0,((CC80)*(1+db!AO82))+((CJ79)*(1+db!AK82)))</f>
        <v>0</v>
      </c>
      <c r="CK80" s="40">
        <f>CJ80-(SUM(BX$7:$BX81))</f>
        <v>0</v>
      </c>
      <c r="CL80" s="46"/>
    </row>
    <row r="81" spans="1:89">
      <c r="A81" s="24">
        <f t="shared" si="45"/>
        <v>80</v>
      </c>
      <c r="B81" s="16">
        <f>IF(AND(Changes!Change="Yes", Changes!ChangeType="Change Contract Duration"),IF(B80=0,0,IF(Changes!NewChangedValue&lt;B80+1,0,B80+1)),IF(B80=0,0,IF('Application Annually'!$C$5&lt;B80+1,0,B80+1)))</f>
        <v>0</v>
      </c>
      <c r="C81" s="15">
        <f t="shared" ref="C81:C107" si="49">IF(B81=0,0,(C80+1))</f>
        <v>0</v>
      </c>
      <c r="D81" s="312">
        <f t="shared" si="47"/>
        <v>107</v>
      </c>
      <c r="E81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81" s="29">
        <f t="shared" si="37"/>
        <v>0</v>
      </c>
      <c r="G81" s="29">
        <f t="shared" si="38"/>
        <v>0</v>
      </c>
      <c r="H81" s="29">
        <f t="shared" si="29"/>
        <v>0</v>
      </c>
      <c r="I81" s="29">
        <f>IF(B81&gt;0,IF(AND(Table1[[#This Row],[Year]]&gt;Changes!ValidityYear,Changes!Change="Yes",Changes!ChangeType="Change Value Adjustment"),Changes!$G$22,'Application Annually'!$C$11),0)</f>
        <v>0</v>
      </c>
      <c r="J81" s="29">
        <f>IF(B81&gt;0,IF(AND(Table1[[#This Row],[Year]]&gt;Changes!ValidityYear,Changes!Change="Yes",Changes!ChangeType="Change Value Adjustment"),Changes!$G$24,'Application Annually'!$C$7),0)</f>
        <v>0</v>
      </c>
      <c r="K81" s="29">
        <f>ROUND(IF(B81=0,0,IF(AND(Changes!Change="Yes", Changes!ValidityYear=Table1[[#This Row],[Year]], Changes!ChangeType="Change Premium"), Changes!NewChangedValue, (K80*(1+db!$B$3)))),0)</f>
        <v>0</v>
      </c>
      <c r="L81" s="29">
        <f>ROUND(IF(AND(Changes!Change="Yes",Changes!ValidityYear&lt;=Table1[[#This Row],[Year]],Changes!ChangeType="Paid-Up"),0,IF(B81=0,0,IF(AND(Changes!Change="Yes", Changes!ValidityYear=Table1[[#This Row],[Year]], Changes!ChangeType="Change Premium"), Changes!NewChangedValue, (L80*(1+Table1[[#This Row],[Adjustment Factor of Premium]]/100))))),0)</f>
        <v>0</v>
      </c>
      <c r="M81" s="29">
        <f>IF(Table1[[#This Row],[Year]]=1,ROUND(MIN($L$2 -( Table1[[#This Row],[Riders Risk Premiums]] + Table1[[#This Row],[Acquisition Cost]]) *0.75,Table1[[#This Row],[Death Capital (1)]]* 0.03),0),0)</f>
        <v>0</v>
      </c>
      <c r="N81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81" s="29">
        <f>ROUND(IF(ROW()-1&gt;InsurancePeriod,0,(O80*(1+(Table1[[#This Row],[Adjustment Factor of Premium]]/100)))),0)</f>
        <v>0</v>
      </c>
      <c r="P81" s="29">
        <f>IF(Table1[Year] = 0, 0, SUM(L$2:L81))</f>
        <v>0</v>
      </c>
      <c r="Q81" s="17">
        <f t="shared" si="30"/>
        <v>0</v>
      </c>
      <c r="R81" s="17">
        <f>IF(Table1[[#This Row],[Year]]=0,0,IF($C$2&lt;=50,LOOKUP(Table1[[#This Row],[Age]],db!BG82:BG188,db!BH82:BH188),LOOKUP(Table1[[#This Row],[Age]],db!BJ82:BJ188,db!BK82:BK188)))</f>
        <v>0</v>
      </c>
      <c r="S81" s="17">
        <f>IF(AND(Changes!Change="Yes",Changes!ValidityYear&lt;=Table1[[#This Row],[Year]],Changes!ChangeType="Paid-Up",PaidUpOption="Paid-up with no coverage"),0,IF(B81=0,0, IF(AND(Changes!Change="Yes", Changes!ValidityYear=Table1[[#This Row],[Year]], Changes!ChangeType="Change Death Capital"), Changes!NewChangedValue, S80*(1+(Table1[[#This Row],[Adjustment Factor of Death Capital]]/100)))))</f>
        <v>0</v>
      </c>
      <c r="T81" s="17">
        <f>MIN(IF(B81=0,0,Table1[[#This Row],[Death Capital (1)]]),Table1[[#This Row],[Max Sum Insured For Death]])</f>
        <v>0</v>
      </c>
      <c r="U81" s="29">
        <f t="shared" si="39"/>
        <v>0</v>
      </c>
      <c r="V81" s="29">
        <f>IF(AND(Changes!Change="Yes",Changes!ValidityYear&lt;=Table1[[#This Row],[Year]],Changes!ChangeType="Paid-Up",OR(PaidUpOption="Paid-up with no coverage",PaidUpOption="Paid-up with main coverage")),0,IF(B81=0,0,IF(AND(Changes!Change="Yes", Changes!ValidityYear&lt;=Table1[[#This Row],[Year]], Changes!ChangeType="Rider Inclusion/Exclusion", Changes!RiderType="Accident Death"), T81*Changes!NewChangedValue,IF(db!$D$6="Yes",(db!$B$6)*T81,0))))</f>
        <v>0</v>
      </c>
      <c r="W81" s="29">
        <f>MIN(IF(V81&lt;=db!$L$2,V81,db!$L$2),MAX_ACC_CAPITAL)</f>
        <v>0</v>
      </c>
      <c r="X81" s="17">
        <f>IF(AND(Changes!Change="Yes",Changes!ValidityYear&lt;=Table1[[#This Row],[Year]],Changes!ChangeType="Paid-Up",OR(PaidUpOption="Paid-up with no coverage",PaidUpOption="Paid-up with main coverage")),0,IF(OR(B81=0,Table1[[#This Row],[Accident Capital (2)]]=0),0,IF(AND(Changes!Change="Yes", Changes!ValidityYear&lt;=Table1[[#This Row],[Year]], Changes!ChangeType="Rider Inclusion/Exclusion", Changes!RiderType="Accident Disability"), T81*Changes!NewChangedValue,IF(db!$D$7="Yes",(db!$B$7)*T81,0))))</f>
        <v>0</v>
      </c>
      <c r="Y81" s="42">
        <f>IF(C81&gt;69,0,IF(C81=0,0,IF(X81&lt;=db!$L$3,X81,db!$L$3)))</f>
        <v>0</v>
      </c>
      <c r="Z81" s="29">
        <f>IF(AND(Changes!Change="Yes",Changes!ValidityYear&lt;=Table1[[#This Row],[Year]],Changes!ChangeType="Paid-Up",OR(PaidUpOption="Paid-up with no coverage",PaidUpOption="Paid-up with main coverage")),0,IF(OR(B81=0,Table1[[#This Row],[Accident Capital (2)]]=0),0,IF(AND(Changes!Change="Yes", Changes!ValidityYear&lt;=Table1[[#This Row],[Year]], Changes!ChangeType="Rider Inclusion/Exclusion", Changes!RiderType="Accident Medical Cost"), T81*Changes!NewChangedValue,IF(db!$D$9="Yes",(db!$B$9)*T81,0))))</f>
        <v>0</v>
      </c>
      <c r="AA81" s="29">
        <f>ROUND(IF(C81&gt;69,0,IF(C81=0,0,IF(Z81&lt;=db!$L$4,Z81,db!$L$4))),0)</f>
        <v>0</v>
      </c>
      <c r="AB81" s="38">
        <f>IF(AND(Changes!Change = "Yes", Changes!ChangeType = "Rider Inclusion/Exclusion", Changes!RiderType = "WOP"), IF( Changes!ValidityYear &lt;= Table1[[#This Row],[Year]], IF(WOP = "Yes", 0, 1),  IF(WOP = "Yes", 1, 0)), IF(AND(db!$D$8="Yes",C81&lt;=69,ROW()-1&lt;=InsurancePeriod), 1, 0))</f>
        <v>0</v>
      </c>
      <c r="AC81" s="17">
        <f>(AC82+K82)*AB81*((1)/(1+db!AA83))*(LOOKUP(C81,'Mortality Table'!$A$2:$A$108,'Mortality Table'!$E$2:$E$108))</f>
        <v>0</v>
      </c>
      <c r="AD81" s="340">
        <f>IF(AND(Changes!ValidityYear&lt;= Table1[[#This Row],[Year]],Changes!ChangeType="Change Value Adjustment",Changes!Change="Yes"), (AD82+L82)*AB81*((1)/(1+db!AA83))*(LOOKUP(C81,'Mortality Table'!$A$2:$A$108,'Mortality Table'!$E$2:$E$108)),Table1[[#This Row],[WOP Before Adj. BT]])</f>
        <v>0</v>
      </c>
      <c r="AE81" s="341">
        <f>IF(AND(Changes!Change="Yes", Changes!ChangeType="Change Value Adjustment"),Table1[[#This Row],[WOP Capital]],(AE82+O82)*AB81*((1)/(1+db!AA83))*(LOOKUP(D81,'Mortality Table'!$A$2:$A$108,'Mortality Table'!$E$2:$E$108)))</f>
        <v>0</v>
      </c>
      <c r="AF81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81" s="42">
        <f>IF(AND(Changes!Change="Yes", Changes!ValidityYear&lt;=Table1[[#This Row],[Year]], Changes!ChangeType="Rider Inclusion/Exclusion", Changes!RiderType="Disability Annuity"), L81*Changes!NewChangedValue,L81*db!B$10*IF(db!$D$10="Yes",1,0))</f>
        <v>0</v>
      </c>
      <c r="AH81" s="29">
        <f>IF(AND(Changes!Change="Yes",Changes!ValidityYear&lt;=Table1[[#This Row],[Year]],Changes!ChangeType="Paid-Up"),0,Table1[[#This Row],[Code Annuity Capital]]*IF('Annual Calculation'!C81&gt;69,0,(LOOKUP('Annual Calculation'!C81+1,'Mortality Table'!$A$2:$A$108,'Mortality Table'!$O$2:$O$108)-LOOKUP('Annual Calculation'!C81+11,'Mortality Table'!$A$2:$A$108,'Mortality Table'!$O$2:$O$108))/LOOKUP('Annual Calculation'!C81,'Mortality Table'!$A$2:$A$108,'Mortality Table'!$M$2:$M$108)))</f>
        <v>0</v>
      </c>
      <c r="AI81" s="17">
        <f>IF(AND(Changes!Change="Yes",Changes!ValidityYear&lt;=Table1[[#This Row],[Year]],Changes!ChangeType="Paid-Up",OR(PaidUpOption="Paid-up with no coverage",PaidUpOption="Paid-up with main coverage")),0,IF(B81=0,0,IF(AND(Changes!Change="Yes", Changes!ValidityYear&lt;=Table1[[#This Row],[Year]], Changes!ChangeType="Rider Inclusion/Exclusion", Changes!RiderType="Dread Disease"), T81*Changes!NewChangedValue,IF(db!$D$11="Yes",(db!$B$11)*T81,0))))</f>
        <v>0</v>
      </c>
      <c r="AJ81" s="42">
        <f>ROUND(IF(C81&gt;59,0,IF(C81=0,0,IF(AI81&lt;=db!$L$5,AI81,db!$L$5))),0)</f>
        <v>0</v>
      </c>
      <c r="AK81" s="29">
        <f>IF(AND(Changes!Change="Yes",Changes!ValidityYear&lt;=Table1[[#This Row],[Year]],Changes!ChangeType="Paid-Up",OR(PaidUpOption="Paid-up with no coverage",PaidUpOption="Paid-up with main coverage")),0,IF(B81=0,0,IF(AND(Changes!Change="Yes", Changes!ValidityYear&lt;=Table1[[#This Row],[Year]], Changes!ChangeType="Rider Inclusion/Exclusion", Changes!RiderType="Cancer"), T81*Changes!NewChangedValue,IF(db!$D$12="Yes",(db!$B$12)*T81,0))))</f>
        <v>0</v>
      </c>
      <c r="AL81" s="29">
        <f>ROUND(IF(C81&gt;59,0,IF(C81=0,0,IF(AK81&lt;=db!$L$6,AK81,db!$L$6))),0)</f>
        <v>0</v>
      </c>
      <c r="AM81" s="32"/>
      <c r="AN81" s="18">
        <f>IF(B81=0,0,IF(C81&lt;(db!$E$2+5),LOOKUP(C81,'Mortality Table'!$A$2:$A$108,'Mortality Table'!$P$2:$P$108),IF((C81&gt;=db!$E$2+10),LOOKUP(C81,'Mortality Table'!$A$2:$A$108,'Mortality Table'!$R$2:$R$108),LOOKUP(C81,'Mortality Table'!$A$2:$A$108,'Mortality Table'!$Q$2:$Q$108))))</f>
        <v>0</v>
      </c>
      <c r="AO81" s="22">
        <f t="shared" si="31"/>
        <v>0</v>
      </c>
      <c r="AP81" s="19">
        <f>IF(B81=0,0, LOOKUP(IF(AND(Changes!Change="Yes", Changes!ValidityYear&lt;=Table1[[#This Row],[Year]], Changes!ChangeType="Change Job Class"),Changes!NewChangedValue, db!$A$8),db!$AX$4:$AX$8,db!$AY$4:$AY$8))</f>
        <v>0</v>
      </c>
      <c r="AQ81" s="20">
        <f>ROUND((AP81/1000)*W81 * (1-db!$AS$9),0)</f>
        <v>0</v>
      </c>
      <c r="AR81" s="20">
        <f>(AP81/1000)*W81 * db!$AS$9</f>
        <v>0</v>
      </c>
      <c r="AS81" s="21">
        <f>IF(B81=0,0, LOOKUP(IF(AND(Changes!Change="Yes", Changes!ValidityYear&lt;=Table1[[#This Row],[Year]], Changes!ChangeType="Change Job Class"),Changes!NewChangedValue, db!$A$8),db!$AX$4:$AX$8,db!$AZ$4:$AZ$8))</f>
        <v>0</v>
      </c>
      <c r="AT81" s="22">
        <f>(AS81/1000)*Y81*(1-db!$AS$9)</f>
        <v>0</v>
      </c>
      <c r="AU81" s="22">
        <f>(AS81/1000)*Y81*(db!$AS$9)</f>
        <v>0</v>
      </c>
      <c r="AV81" s="23">
        <f>IF(B81=0,0, LOOKUP(IF(AND(Changes!Change="Yes", Changes!ValidityYear&lt;=Table1[[#This Row],[Year]], Changes!ChangeType="Change Job Class"),Changes!NewChangedValue, db!$A$8),db!$AX$4:$AX$8,db!$BA$4:$BA$8))</f>
        <v>0</v>
      </c>
      <c r="AW81" s="20">
        <f>ROUND((AV81/(100))*AA81*(1-db!$AS$9),0)</f>
        <v>0</v>
      </c>
      <c r="AX81" s="20">
        <f>ROUND((AV81/(100))*AA81*(db!$AS$9),0)</f>
        <v>0</v>
      </c>
      <c r="AY81" s="21">
        <f>IF(db!$D$8="Yes",AS81,0)</f>
        <v>0</v>
      </c>
      <c r="AZ81" s="22">
        <f>(AY81*AF81)/1000*(1-db!$AS$9)</f>
        <v>0</v>
      </c>
      <c r="BA81" s="22">
        <f>(AY81*AF81)/1000*(db!$AS$9)</f>
        <v>0</v>
      </c>
      <c r="BB81" s="23">
        <f t="shared" si="32"/>
        <v>0</v>
      </c>
      <c r="BC81" s="20">
        <f>(BB81*AH81/1000)*(1-db!$AS$9)</f>
        <v>0</v>
      </c>
      <c r="BD81" s="20">
        <f>(BB81*AH81/1000)*(db!$AS$9)</f>
        <v>0</v>
      </c>
      <c r="BE81" s="22">
        <f>IF(B81=0,0,IF(C81&gt;60,0,LOOKUP(Table1[[#This Row],[Medical
Age]],db!$BC$3:$BC$63,db!$BD$3:$BD$63)))</f>
        <v>0</v>
      </c>
      <c r="BF81" s="22">
        <f>BG81*db!$AS$10</f>
        <v>0</v>
      </c>
      <c r="BG81" s="22">
        <f t="shared" si="33"/>
        <v>0</v>
      </c>
      <c r="BH81" s="22">
        <f>(BE81/1000000)*AJ81*(1-db!$AS$10)</f>
        <v>0</v>
      </c>
      <c r="BI81" s="20">
        <f>IF(B81=0,0,IF(C81&gt;59,0,LOOKUP(Table1[[#This Row],[Medical
Age]],db!$BC$3:$BC$63,db!$BE$3:$BE$63)))</f>
        <v>0</v>
      </c>
      <c r="BJ81" s="20">
        <f>(BI81/1000000)*AL81*(1-db!$AS$11)</f>
        <v>0</v>
      </c>
      <c r="BK81" s="20">
        <f>(BI81/1000000)*AL81*(db!$AS$11)</f>
        <v>0</v>
      </c>
      <c r="BL81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81" s="20">
        <f>Table1[[#This Row],[RiskLoading
Rate]]*Table1[[#This Row],[Death Capital (2)]]</f>
        <v>0</v>
      </c>
      <c r="BN81" s="36"/>
      <c r="BO81" s="37">
        <f t="shared" si="34"/>
        <v>0</v>
      </c>
      <c r="BP81" s="35">
        <f t="shared" si="35"/>
        <v>0</v>
      </c>
      <c r="BQ81" s="35">
        <f t="shared" si="36"/>
        <v>0</v>
      </c>
      <c r="BR81" s="37">
        <f t="shared" ref="BR81:BR107" si="50">(BJ81+BH81)</f>
        <v>0</v>
      </c>
      <c r="BS81" s="37">
        <f t="shared" si="41"/>
        <v>0</v>
      </c>
      <c r="BT81" s="35">
        <f t="shared" si="42"/>
        <v>0</v>
      </c>
      <c r="BU81" s="35">
        <f t="shared" si="43"/>
        <v>0</v>
      </c>
      <c r="BV81" s="37">
        <f>(db!$AS$4/100)*(L81-BT81-BU81)</f>
        <v>0</v>
      </c>
      <c r="BW81" s="37">
        <f>(db!$AS$8/100)*(L81-BT81-BU81)</f>
        <v>0</v>
      </c>
      <c r="BX81" s="35"/>
      <c r="BY81" s="37"/>
      <c r="BZ81" s="37"/>
      <c r="CA81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81" s="33"/>
      <c r="CC81" s="39">
        <f>ROUND((Table1[[#This Row],[Premium]]-Table1[[#This Row],[All Deductions]]),0)</f>
        <v>0</v>
      </c>
      <c r="CD81" s="39">
        <f>IF(B81=0,0,Table1[[#This Row],[Initial Reserve]]+CE80)</f>
        <v>0</v>
      </c>
      <c r="CE81" s="40">
        <f>ROUND(IF(B81=0,0,((CC81)*(1+db!Y83))+((CE80)*(1+db!U83))),0)</f>
        <v>0</v>
      </c>
      <c r="CF81" s="40">
        <f t="shared" si="48"/>
        <v>0</v>
      </c>
      <c r="CG81" s="15">
        <f t="shared" si="44"/>
        <v>80</v>
      </c>
      <c r="CH81" s="39">
        <f>IF(B81=0,0,((CC81)*(1+db!AH83))+((CH80)*(1+db!AD83)))</f>
        <v>0</v>
      </c>
      <c r="CI81" s="39">
        <f>IF(B81=0,0,((CC81)*(1+db!AH83))+((CI80)*(1+db!AD83)))</f>
        <v>0</v>
      </c>
      <c r="CJ81" s="40">
        <f>IF(B81=0,0,((CC81)*(1+db!AO83))+((CJ80)*(1+db!AK83)))</f>
        <v>0</v>
      </c>
      <c r="CK81" s="40">
        <f>CJ81-(SUM(BX$7:$BX82))</f>
        <v>0</v>
      </c>
    </row>
    <row r="82" spans="1:89">
      <c r="A82" s="24">
        <f t="shared" si="45"/>
        <v>81</v>
      </c>
      <c r="B82" s="16">
        <f>IF(AND(Changes!Change="Yes", Changes!ChangeType="Change Contract Duration"),IF(B81=0,0,IF(Changes!NewChangedValue&lt;B81+1,0,B81+1)),IF(B81=0,0,IF('Application Annually'!$C$5&lt;B81+1,0,B81+1)))</f>
        <v>0</v>
      </c>
      <c r="C82" s="15">
        <f t="shared" si="49"/>
        <v>0</v>
      </c>
      <c r="D82" s="312">
        <f t="shared" si="47"/>
        <v>108</v>
      </c>
      <c r="E82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82" s="29">
        <f t="shared" si="37"/>
        <v>0</v>
      </c>
      <c r="G82" s="29">
        <f t="shared" si="38"/>
        <v>0</v>
      </c>
      <c r="H82" s="29">
        <f t="shared" si="29"/>
        <v>0</v>
      </c>
      <c r="I82" s="29">
        <f>IF(B82&gt;0,IF(AND(Table1[[#This Row],[Year]]&gt;Changes!ValidityYear,Changes!Change="Yes",Changes!ChangeType="Change Value Adjustment"),Changes!$G$22,'Application Annually'!$C$11),0)</f>
        <v>0</v>
      </c>
      <c r="J82" s="29">
        <f>IF(B82&gt;0,IF(AND(Table1[[#This Row],[Year]]&gt;Changes!ValidityYear,Changes!Change="Yes",Changes!ChangeType="Change Value Adjustment"),Changes!$G$24,'Application Annually'!$C$7),0)</f>
        <v>0</v>
      </c>
      <c r="K82" s="29">
        <f>ROUND(IF(B82=0,0,IF(AND(Changes!Change="Yes", Changes!ValidityYear=Table1[[#This Row],[Year]], Changes!ChangeType="Change Premium"), Changes!NewChangedValue, (K81*(1+db!$B$3)))),0)</f>
        <v>0</v>
      </c>
      <c r="L82" s="29">
        <f>ROUND(IF(AND(Changes!Change="Yes",Changes!ValidityYear&lt;=Table1[[#This Row],[Year]],Changes!ChangeType="Paid-Up"),0,IF(B82=0,0,IF(AND(Changes!Change="Yes", Changes!ValidityYear=Table1[[#This Row],[Year]], Changes!ChangeType="Change Premium"), Changes!NewChangedValue, (L81*(1+Table1[[#This Row],[Adjustment Factor of Premium]]/100))))),0)</f>
        <v>0</v>
      </c>
      <c r="M82" s="29">
        <f>IF(Table1[[#This Row],[Year]]=1,ROUND(MIN($L$2 -( Table1[[#This Row],[Riders Risk Premiums]] + Table1[[#This Row],[Acquisition Cost]]) *0.75,Table1[[#This Row],[Death Capital (1)]]* 0.03),0),0)</f>
        <v>0</v>
      </c>
      <c r="N82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82" s="29">
        <f>ROUND(IF(ROW()-1&gt;InsurancePeriod,0,(O81*(1+(Table1[[#This Row],[Adjustment Factor of Premium]]/100)))),0)</f>
        <v>0</v>
      </c>
      <c r="P82" s="29">
        <f>IF(Table1[Year] = 0, 0, SUM(L$2:L82))</f>
        <v>0</v>
      </c>
      <c r="Q82" s="17">
        <f t="shared" si="30"/>
        <v>0</v>
      </c>
      <c r="R82" s="17">
        <f>IF(Table1[[#This Row],[Year]]=0,0,IF($C$2&lt;=50,LOOKUP(Table1[[#This Row],[Age]],db!BG83:BG189,db!BH83:BH189),LOOKUP(Table1[[#This Row],[Age]],db!BJ83:BJ189,db!BK83:BK189)))</f>
        <v>0</v>
      </c>
      <c r="S82" s="17">
        <f>IF(AND(Changes!Change="Yes",Changes!ValidityYear&lt;=Table1[[#This Row],[Year]],Changes!ChangeType="Paid-Up",PaidUpOption="Paid-up with no coverage"),0,IF(B82=0,0, IF(AND(Changes!Change="Yes", Changes!ValidityYear=Table1[[#This Row],[Year]], Changes!ChangeType="Change Death Capital"), Changes!NewChangedValue, S81*(1+(Table1[[#This Row],[Adjustment Factor of Death Capital]]/100)))))</f>
        <v>0</v>
      </c>
      <c r="T82" s="17">
        <f>MIN(IF(B82=0,0,Table1[[#This Row],[Death Capital (1)]]),Table1[[#This Row],[Max Sum Insured For Death]])</f>
        <v>0</v>
      </c>
      <c r="U82" s="29">
        <f t="shared" si="39"/>
        <v>0</v>
      </c>
      <c r="V82" s="29">
        <f>IF(AND(Changes!Change="Yes",Changes!ValidityYear&lt;=Table1[[#This Row],[Year]],Changes!ChangeType="Paid-Up",OR(PaidUpOption="Paid-up with no coverage",PaidUpOption="Paid-up with main coverage")),0,IF(B82=0,0,IF(AND(Changes!Change="Yes", Changes!ValidityYear&lt;=Table1[[#This Row],[Year]], Changes!ChangeType="Rider Inclusion/Exclusion", Changes!RiderType="Accident Death"), T82*Changes!NewChangedValue,IF(db!$D$6="Yes",(db!$B$6)*T82,0))))</f>
        <v>0</v>
      </c>
      <c r="W82" s="29">
        <f>MIN(IF(V82&lt;=db!$L$2,V82,db!$L$2),MAX_ACC_CAPITAL)</f>
        <v>0</v>
      </c>
      <c r="X82" s="17">
        <f>IF(AND(Changes!Change="Yes",Changes!ValidityYear&lt;=Table1[[#This Row],[Year]],Changes!ChangeType="Paid-Up",OR(PaidUpOption="Paid-up with no coverage",PaidUpOption="Paid-up with main coverage")),0,IF(OR(B82=0,Table1[[#This Row],[Accident Capital (2)]]=0),0,IF(AND(Changes!Change="Yes", Changes!ValidityYear&lt;=Table1[[#This Row],[Year]], Changes!ChangeType="Rider Inclusion/Exclusion", Changes!RiderType="Accident Disability"), T82*Changes!NewChangedValue,IF(db!$D$7="Yes",(db!$B$7)*T82,0))))</f>
        <v>0</v>
      </c>
      <c r="Y82" s="42">
        <f>IF(C82&gt;69,0,IF(C82=0,0,IF(X82&lt;=db!$L$3,X82,db!$L$3)))</f>
        <v>0</v>
      </c>
      <c r="Z82" s="29">
        <f>IF(AND(Changes!Change="Yes",Changes!ValidityYear&lt;=Table1[[#This Row],[Year]],Changes!ChangeType="Paid-Up",OR(PaidUpOption="Paid-up with no coverage",PaidUpOption="Paid-up with main coverage")),0,IF(OR(B82=0,Table1[[#This Row],[Accident Capital (2)]]=0),0,IF(AND(Changes!Change="Yes", Changes!ValidityYear&lt;=Table1[[#This Row],[Year]], Changes!ChangeType="Rider Inclusion/Exclusion", Changes!RiderType="Accident Medical Cost"), T82*Changes!NewChangedValue,IF(db!$D$9="Yes",(db!$B$9)*T82,0))))</f>
        <v>0</v>
      </c>
      <c r="AA82" s="29">
        <f>ROUND(IF(C82&gt;69,0,IF(C82=0,0,IF(Z82&lt;=db!$L$4,Z82,db!$L$4))),0)</f>
        <v>0</v>
      </c>
      <c r="AB82" s="38">
        <f>IF(AND(Changes!Change = "Yes", Changes!ChangeType = "Rider Inclusion/Exclusion", Changes!RiderType = "WOP"), IF( Changes!ValidityYear &lt;= Table1[[#This Row],[Year]], IF(WOP = "Yes", 0, 1),  IF(WOP = "Yes", 1, 0)), IF(AND(db!$D$8="Yes",C82&lt;=69,ROW()-1&lt;=InsurancePeriod), 1, 0))</f>
        <v>0</v>
      </c>
      <c r="AC82" s="17">
        <f>(AC83+K83)*AB82*((1)/(1+db!AA84))*(LOOKUP(C82,'Mortality Table'!$A$2:$A$108,'Mortality Table'!$E$2:$E$108))</f>
        <v>0</v>
      </c>
      <c r="AD82" s="340">
        <f>IF(AND(Changes!ValidityYear&lt;= Table1[[#This Row],[Year]],Changes!ChangeType="Change Value Adjustment",Changes!Change="Yes"), (AD83+L83)*AB82*((1)/(1+db!AA84))*(LOOKUP(C82,'Mortality Table'!$A$2:$A$108,'Mortality Table'!$E$2:$E$108)),Table1[[#This Row],[WOP Before Adj. BT]])</f>
        <v>0</v>
      </c>
      <c r="AE82" s="341">
        <f>IF(AND(Changes!Change="Yes", Changes!ChangeType="Change Value Adjustment"),Table1[[#This Row],[WOP Capital]],(AE83+O83)*AB82*((1)/(1+db!AA84))*(LOOKUP(D82,'Mortality Table'!$A$2:$A$108,'Mortality Table'!$E$2:$E$108)))</f>
        <v>0</v>
      </c>
      <c r="AF82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82" s="42">
        <f>IF(AND(Changes!Change="Yes", Changes!ValidityYear&lt;=Table1[[#This Row],[Year]], Changes!ChangeType="Rider Inclusion/Exclusion", Changes!RiderType="Disability Annuity"), L82*Changes!NewChangedValue,L82*db!B$10*IF(db!$D$10="Yes",1,0))</f>
        <v>0</v>
      </c>
      <c r="AH82" s="29">
        <f>IF(AND(Changes!Change="Yes",Changes!ValidityYear&lt;=Table1[[#This Row],[Year]],Changes!ChangeType="Paid-Up"),0,Table1[[#This Row],[Code Annuity Capital]]*IF('Annual Calculation'!C82&gt;69,0,(LOOKUP('Annual Calculation'!C82+1,'Mortality Table'!$A$2:$A$108,'Mortality Table'!$O$2:$O$108)-LOOKUP('Annual Calculation'!C82+11,'Mortality Table'!$A$2:$A$108,'Mortality Table'!$O$2:$O$108))/LOOKUP('Annual Calculation'!C82,'Mortality Table'!$A$2:$A$108,'Mortality Table'!$M$2:$M$108)))</f>
        <v>0</v>
      </c>
      <c r="AI82" s="17">
        <f>IF(AND(Changes!Change="Yes",Changes!ValidityYear&lt;=Table1[[#This Row],[Year]],Changes!ChangeType="Paid-Up",OR(PaidUpOption="Paid-up with no coverage",PaidUpOption="Paid-up with main coverage")),0,IF(B82=0,0,IF(AND(Changes!Change="Yes", Changes!ValidityYear&lt;=Table1[[#This Row],[Year]], Changes!ChangeType="Rider Inclusion/Exclusion", Changes!RiderType="Dread Disease"), T82*Changes!NewChangedValue,IF(db!$D$11="Yes",(db!$B$11)*T82,0))))</f>
        <v>0</v>
      </c>
      <c r="AJ82" s="42">
        <f>ROUND(IF(C82&gt;59,0,IF(C82=0,0,IF(AI82&lt;=db!$L$5,AI82,db!$L$5))),0)</f>
        <v>0</v>
      </c>
      <c r="AK82" s="29">
        <f>IF(AND(Changes!Change="Yes",Changes!ValidityYear&lt;=Table1[[#This Row],[Year]],Changes!ChangeType="Paid-Up",OR(PaidUpOption="Paid-up with no coverage",PaidUpOption="Paid-up with main coverage")),0,IF(B82=0,0,IF(AND(Changes!Change="Yes", Changes!ValidityYear&lt;=Table1[[#This Row],[Year]], Changes!ChangeType="Rider Inclusion/Exclusion", Changes!RiderType="Cancer"), T82*Changes!NewChangedValue,IF(db!$D$12="Yes",(db!$B$12)*T82,0))))</f>
        <v>0</v>
      </c>
      <c r="AL82" s="29">
        <f>ROUND(IF(C82&gt;59,0,IF(C82=0,0,IF(AK82&lt;=db!$L$6,AK82,db!$L$6))),0)</f>
        <v>0</v>
      </c>
      <c r="AM82" s="32"/>
      <c r="AN82" s="18">
        <f>IF(B82=0,0,IF(C82&lt;(db!$E$2+5),LOOKUP(C82,'Mortality Table'!$A$2:$A$108,'Mortality Table'!$P$2:$P$108),IF((C82&gt;=db!$E$2+10),LOOKUP(C82,'Mortality Table'!$A$2:$A$108,'Mortality Table'!$R$2:$R$108),LOOKUP(C82,'Mortality Table'!$A$2:$A$108,'Mortality Table'!$Q$2:$Q$108))))</f>
        <v>0</v>
      </c>
      <c r="AO82" s="22">
        <f t="shared" si="31"/>
        <v>0</v>
      </c>
      <c r="AP82" s="19">
        <f>IF(B82=0,0, LOOKUP(IF(AND(Changes!Change="Yes", Changes!ValidityYear&lt;=Table1[[#This Row],[Year]], Changes!ChangeType="Change Job Class"),Changes!NewChangedValue, db!$A$8),db!$AX$4:$AX$8,db!$AY$4:$AY$8))</f>
        <v>0</v>
      </c>
      <c r="AQ82" s="20">
        <f>ROUND((AP82/1000)*W82 * (1-db!$AS$9),0)</f>
        <v>0</v>
      </c>
      <c r="AR82" s="20">
        <f>(AP82/1000)*W82 * db!$AS$9</f>
        <v>0</v>
      </c>
      <c r="AS82" s="21">
        <f>IF(B82=0,0, LOOKUP(IF(AND(Changes!Change="Yes", Changes!ValidityYear&lt;=Table1[[#This Row],[Year]], Changes!ChangeType="Change Job Class"),Changes!NewChangedValue, db!$A$8),db!$AX$4:$AX$8,db!$AZ$4:$AZ$8))</f>
        <v>0</v>
      </c>
      <c r="AT82" s="22">
        <f>(AS82/1000)*Y82*(1-db!$AS$9)</f>
        <v>0</v>
      </c>
      <c r="AU82" s="22">
        <f>(AS82/1000)*Y82*(db!$AS$9)</f>
        <v>0</v>
      </c>
      <c r="AV82" s="23">
        <f>IF(B82=0,0, LOOKUP(IF(AND(Changes!Change="Yes", Changes!ValidityYear&lt;=Table1[[#This Row],[Year]], Changes!ChangeType="Change Job Class"),Changes!NewChangedValue, db!$A$8),db!$AX$4:$AX$8,db!$BA$4:$BA$8))</f>
        <v>0</v>
      </c>
      <c r="AW82" s="20">
        <f>ROUND((AV82/(100))*AA82*(1-db!$AS$9),0)</f>
        <v>0</v>
      </c>
      <c r="AX82" s="20">
        <f>ROUND((AV82/(100))*AA82*(db!$AS$9),0)</f>
        <v>0</v>
      </c>
      <c r="AY82" s="21">
        <f>IF(db!$D$8="Yes",AS82,0)</f>
        <v>0</v>
      </c>
      <c r="AZ82" s="22">
        <f>(AY82*AF82)/1000*(1-db!$AS$9)</f>
        <v>0</v>
      </c>
      <c r="BA82" s="22">
        <f>(AY82*AF82)/1000*(db!$AS$9)</f>
        <v>0</v>
      </c>
      <c r="BB82" s="23">
        <f t="shared" si="32"/>
        <v>0</v>
      </c>
      <c r="BC82" s="20">
        <f>(BB82*AH82/1000)*(1-db!$AS$9)</f>
        <v>0</v>
      </c>
      <c r="BD82" s="20">
        <f>(BB82*AH82/1000)*(db!$AS$9)</f>
        <v>0</v>
      </c>
      <c r="BE82" s="22">
        <f>IF(B82=0,0,IF(C82&gt;60,0,LOOKUP(Table1[[#This Row],[Medical
Age]],db!$BC$3:$BC$63,db!$BD$3:$BD$63)))</f>
        <v>0</v>
      </c>
      <c r="BF82" s="22">
        <f>BG82*db!$AS$10</f>
        <v>0</v>
      </c>
      <c r="BG82" s="22">
        <f t="shared" si="33"/>
        <v>0</v>
      </c>
      <c r="BH82" s="22">
        <f>(BE82/1000000)*AJ82*(1-db!$AS$10)</f>
        <v>0</v>
      </c>
      <c r="BI82" s="20">
        <f>IF(B82=0,0,IF(C82&gt;59,0,LOOKUP(Table1[[#This Row],[Medical
Age]],db!$BC$3:$BC$63,db!$BE$3:$BE$63)))</f>
        <v>0</v>
      </c>
      <c r="BJ82" s="20">
        <f>(BI82/1000000)*AL82*(1-db!$AS$11)</f>
        <v>0</v>
      </c>
      <c r="BK82" s="20">
        <f>(BI82/1000000)*AL82*(db!$AS$11)</f>
        <v>0</v>
      </c>
      <c r="BL82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82" s="20">
        <f>Table1[[#This Row],[RiskLoading
Rate]]*Table1[[#This Row],[Death Capital (2)]]</f>
        <v>0</v>
      </c>
      <c r="BN82" s="36"/>
      <c r="BO82" s="37">
        <f t="shared" si="34"/>
        <v>0</v>
      </c>
      <c r="BP82" s="35">
        <f t="shared" si="35"/>
        <v>0</v>
      </c>
      <c r="BQ82" s="35">
        <f t="shared" si="36"/>
        <v>0</v>
      </c>
      <c r="BR82" s="37">
        <f t="shared" si="50"/>
        <v>0</v>
      </c>
      <c r="BS82" s="37">
        <f t="shared" si="41"/>
        <v>0</v>
      </c>
      <c r="BT82" s="35">
        <f t="shared" si="42"/>
        <v>0</v>
      </c>
      <c r="BU82" s="35">
        <f t="shared" si="43"/>
        <v>0</v>
      </c>
      <c r="BV82" s="37">
        <f>(db!$AS$4/100)*(L82-BT82-BU82)</f>
        <v>0</v>
      </c>
      <c r="BW82" s="37">
        <f>(db!$AS$8/100)*(L82-BT82-BU82)</f>
        <v>0</v>
      </c>
      <c r="BX82" s="35"/>
      <c r="BY82" s="37"/>
      <c r="BZ82" s="37"/>
      <c r="CA82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82" s="33"/>
      <c r="CC82" s="39">
        <f>ROUND((Table1[[#This Row],[Premium]]-Table1[[#This Row],[All Deductions]]),0)</f>
        <v>0</v>
      </c>
      <c r="CD82" s="39">
        <f>IF(B82=0,0,Table1[[#This Row],[Initial Reserve]]+CE81)</f>
        <v>0</v>
      </c>
      <c r="CE82" s="40">
        <f>ROUND(IF(B82=0,0,((CC82)*(1+db!Y84))+((CE81)*(1+db!U84))),0)</f>
        <v>0</v>
      </c>
      <c r="CF82" s="40">
        <f t="shared" si="48"/>
        <v>0</v>
      </c>
      <c r="CG82" s="15">
        <f t="shared" si="44"/>
        <v>81</v>
      </c>
      <c r="CH82" s="39">
        <f>IF(B82=0,0,((CC82)*(1+db!AH84))+((CH81)*(1+db!AD84)))</f>
        <v>0</v>
      </c>
      <c r="CI82" s="39">
        <f>IF(B82=0,0,((CC82)*(1+db!AH84))+((CI81)*(1+db!AD84)))</f>
        <v>0</v>
      </c>
      <c r="CJ82" s="40">
        <f>IF(B82=0,0,((CC82)*(1+db!AO84))+((CJ81)*(1+db!AK84)))</f>
        <v>0</v>
      </c>
      <c r="CK82" s="40">
        <f>CJ82-(SUM(BX$7:$BX83))</f>
        <v>0</v>
      </c>
    </row>
    <row r="83" spans="1:89">
      <c r="A83" s="24">
        <f t="shared" si="45"/>
        <v>82</v>
      </c>
      <c r="B83" s="16">
        <f>IF(AND(Changes!Change="Yes", Changes!ChangeType="Change Contract Duration"),IF(B82=0,0,IF(Changes!NewChangedValue&lt;B82+1,0,B82+1)),IF(B82=0,0,IF('Application Annually'!$C$5&lt;B82+1,0,B82+1)))</f>
        <v>0</v>
      </c>
      <c r="C83" s="15">
        <f t="shared" si="49"/>
        <v>0</v>
      </c>
      <c r="D83" s="312">
        <f t="shared" si="47"/>
        <v>109</v>
      </c>
      <c r="E83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83" s="29">
        <f t="shared" si="37"/>
        <v>0</v>
      </c>
      <c r="G83" s="29">
        <f t="shared" si="38"/>
        <v>0</v>
      </c>
      <c r="H83" s="29">
        <f t="shared" si="29"/>
        <v>0</v>
      </c>
      <c r="I83" s="29">
        <f>IF(B83&gt;0,IF(AND(Table1[[#This Row],[Year]]&gt;Changes!ValidityYear,Changes!Change="Yes",Changes!ChangeType="Change Value Adjustment"),Changes!$G$22,'Application Annually'!$C$11),0)</f>
        <v>0</v>
      </c>
      <c r="J83" s="29">
        <f>IF(B83&gt;0,IF(AND(Table1[[#This Row],[Year]]&gt;Changes!ValidityYear,Changes!Change="Yes",Changes!ChangeType="Change Value Adjustment"),Changes!$G$24,'Application Annually'!$C$7),0)</f>
        <v>0</v>
      </c>
      <c r="K83" s="29">
        <f>ROUND(IF(B83=0,0,IF(AND(Changes!Change="Yes", Changes!ValidityYear=Table1[[#This Row],[Year]], Changes!ChangeType="Change Premium"), Changes!NewChangedValue, (K82*(1+db!$B$3)))),0)</f>
        <v>0</v>
      </c>
      <c r="L83" s="29">
        <f>ROUND(IF(AND(Changes!Change="Yes",Changes!ValidityYear&lt;=Table1[[#This Row],[Year]],Changes!ChangeType="Paid-Up"),0,IF(B83=0,0,IF(AND(Changes!Change="Yes", Changes!ValidityYear=Table1[[#This Row],[Year]], Changes!ChangeType="Change Premium"), Changes!NewChangedValue, (L82*(1+Table1[[#This Row],[Adjustment Factor of Premium]]/100))))),0)</f>
        <v>0</v>
      </c>
      <c r="M83" s="29">
        <f>IF(Table1[[#This Row],[Year]]=1,ROUND(MIN($L$2 -( Table1[[#This Row],[Riders Risk Premiums]] + Table1[[#This Row],[Acquisition Cost]]) *0.75,Table1[[#This Row],[Death Capital (1)]]* 0.03),0),0)</f>
        <v>0</v>
      </c>
      <c r="N83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83" s="29">
        <f>ROUND(IF(ROW()-1&gt;InsurancePeriod,0,(O82*(1+(Table1[[#This Row],[Adjustment Factor of Premium]]/100)))),0)</f>
        <v>0</v>
      </c>
      <c r="P83" s="29">
        <f>IF(Table1[Year] = 0, 0, SUM(L$2:L83))</f>
        <v>0</v>
      </c>
      <c r="Q83" s="17">
        <f t="shared" si="30"/>
        <v>0</v>
      </c>
      <c r="R83" s="17">
        <f>IF(Table1[[#This Row],[Year]]=0,0,IF($C$2&lt;=50,LOOKUP(Table1[[#This Row],[Age]],db!BG84:BG190,db!BH84:BH190),LOOKUP(Table1[[#This Row],[Age]],db!BJ84:BJ190,db!BK84:BK190)))</f>
        <v>0</v>
      </c>
      <c r="S83" s="17">
        <f>IF(AND(Changes!Change="Yes",Changes!ValidityYear&lt;=Table1[[#This Row],[Year]],Changes!ChangeType="Paid-Up",PaidUpOption="Paid-up with no coverage"),0,IF(B83=0,0, IF(AND(Changes!Change="Yes", Changes!ValidityYear=Table1[[#This Row],[Year]], Changes!ChangeType="Change Death Capital"), Changes!NewChangedValue, S82*(1+(Table1[[#This Row],[Adjustment Factor of Death Capital]]/100)))))</f>
        <v>0</v>
      </c>
      <c r="T83" s="17">
        <f>MIN(IF(B83=0,0,Table1[[#This Row],[Death Capital (1)]]),Table1[[#This Row],[Max Sum Insured For Death]])</f>
        <v>0</v>
      </c>
      <c r="U83" s="29">
        <f t="shared" si="39"/>
        <v>0</v>
      </c>
      <c r="V83" s="29">
        <f>IF(AND(Changes!Change="Yes",Changes!ValidityYear&lt;=Table1[[#This Row],[Year]],Changes!ChangeType="Paid-Up",OR(PaidUpOption="Paid-up with no coverage",PaidUpOption="Paid-up with main coverage")),0,IF(B83=0,0,IF(AND(Changes!Change="Yes", Changes!ValidityYear&lt;=Table1[[#This Row],[Year]], Changes!ChangeType="Rider Inclusion/Exclusion", Changes!RiderType="Accident Death"), T83*Changes!NewChangedValue,IF(db!$D$6="Yes",(db!$B$6)*T83,0))))</f>
        <v>0</v>
      </c>
      <c r="W83" s="29">
        <f>MIN(IF(V83&lt;=db!$L$2,V83,db!$L$2),MAX_ACC_CAPITAL)</f>
        <v>0</v>
      </c>
      <c r="X83" s="17">
        <f>IF(AND(Changes!Change="Yes",Changes!ValidityYear&lt;=Table1[[#This Row],[Year]],Changes!ChangeType="Paid-Up",OR(PaidUpOption="Paid-up with no coverage",PaidUpOption="Paid-up with main coverage")),0,IF(OR(B83=0,Table1[[#This Row],[Accident Capital (2)]]=0),0,IF(AND(Changes!Change="Yes", Changes!ValidityYear&lt;=Table1[[#This Row],[Year]], Changes!ChangeType="Rider Inclusion/Exclusion", Changes!RiderType="Accident Disability"), T83*Changes!NewChangedValue,IF(db!$D$7="Yes",(db!$B$7)*T83,0))))</f>
        <v>0</v>
      </c>
      <c r="Y83" s="42">
        <f>IF(C83&gt;69,0,IF(C83=0,0,IF(X83&lt;=db!$L$3,X83,db!$L$3)))</f>
        <v>0</v>
      </c>
      <c r="Z83" s="29">
        <f>IF(AND(Changes!Change="Yes",Changes!ValidityYear&lt;=Table1[[#This Row],[Year]],Changes!ChangeType="Paid-Up",OR(PaidUpOption="Paid-up with no coverage",PaidUpOption="Paid-up with main coverage")),0,IF(OR(B83=0,Table1[[#This Row],[Accident Capital (2)]]=0),0,IF(AND(Changes!Change="Yes", Changes!ValidityYear&lt;=Table1[[#This Row],[Year]], Changes!ChangeType="Rider Inclusion/Exclusion", Changes!RiderType="Accident Medical Cost"), T83*Changes!NewChangedValue,IF(db!$D$9="Yes",(db!$B$9)*T83,0))))</f>
        <v>0</v>
      </c>
      <c r="AA83" s="29">
        <f>ROUND(IF(C83&gt;69,0,IF(C83=0,0,IF(Z83&lt;=db!$L$4,Z83,db!$L$4))),0)</f>
        <v>0</v>
      </c>
      <c r="AB83" s="38">
        <f>IF(AND(Changes!Change = "Yes", Changes!ChangeType = "Rider Inclusion/Exclusion", Changes!RiderType = "WOP"), IF( Changes!ValidityYear &lt;= Table1[[#This Row],[Year]], IF(WOP = "Yes", 0, 1),  IF(WOP = "Yes", 1, 0)), IF(AND(db!$D$8="Yes",C83&lt;=69,ROW()-1&lt;=InsurancePeriod), 1, 0))</f>
        <v>0</v>
      </c>
      <c r="AC83" s="17">
        <f>(AC84+K84)*AB83*((1)/(1+db!AA85))*(LOOKUP(C83,'Mortality Table'!$A$2:$A$108,'Mortality Table'!$E$2:$E$108))</f>
        <v>0</v>
      </c>
      <c r="AD83" s="340">
        <f>IF(AND(Changes!ValidityYear&lt;= Table1[[#This Row],[Year]],Changes!ChangeType="Change Value Adjustment",Changes!Change="Yes"), (AD84+L84)*AB83*((1)/(1+db!AA85))*(LOOKUP(C83,'Mortality Table'!$A$2:$A$108,'Mortality Table'!$E$2:$E$108)),Table1[[#This Row],[WOP Before Adj. BT]])</f>
        <v>0</v>
      </c>
      <c r="AE83" s="341">
        <f>IF(AND(Changes!Change="Yes", Changes!ChangeType="Change Value Adjustment"),Table1[[#This Row],[WOP Capital]],(AE84+O84)*AB83*((1)/(1+db!AA85))*(LOOKUP(D83,'Mortality Table'!$A$2:$A$108,'Mortality Table'!$E$2:$E$108)))</f>
        <v>0</v>
      </c>
      <c r="AF83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83" s="42">
        <f>IF(AND(Changes!Change="Yes", Changes!ValidityYear&lt;=Table1[[#This Row],[Year]], Changes!ChangeType="Rider Inclusion/Exclusion", Changes!RiderType="Disability Annuity"), L83*Changes!NewChangedValue,L83*db!B$10*IF(db!$D$10="Yes",1,0))</f>
        <v>0</v>
      </c>
      <c r="AH83" s="29">
        <f>IF(AND(Changes!Change="Yes",Changes!ValidityYear&lt;=Table1[[#This Row],[Year]],Changes!ChangeType="Paid-Up"),0,Table1[[#This Row],[Code Annuity Capital]]*IF('Annual Calculation'!C83&gt;69,0,(LOOKUP('Annual Calculation'!C83+1,'Mortality Table'!$A$2:$A$108,'Mortality Table'!$O$2:$O$108)-LOOKUP('Annual Calculation'!C83+11,'Mortality Table'!$A$2:$A$108,'Mortality Table'!$O$2:$O$108))/LOOKUP('Annual Calculation'!C83,'Mortality Table'!$A$2:$A$108,'Mortality Table'!$M$2:$M$108)))</f>
        <v>0</v>
      </c>
      <c r="AI83" s="17">
        <f>IF(AND(Changes!Change="Yes",Changes!ValidityYear&lt;=Table1[[#This Row],[Year]],Changes!ChangeType="Paid-Up",OR(PaidUpOption="Paid-up with no coverage",PaidUpOption="Paid-up with main coverage")),0,IF(B83=0,0,IF(AND(Changes!Change="Yes", Changes!ValidityYear&lt;=Table1[[#This Row],[Year]], Changes!ChangeType="Rider Inclusion/Exclusion", Changes!RiderType="Dread Disease"), T83*Changes!NewChangedValue,IF(db!$D$11="Yes",(db!$B$11)*T83,0))))</f>
        <v>0</v>
      </c>
      <c r="AJ83" s="42">
        <f>ROUND(IF(C83&gt;59,0,IF(C83=0,0,IF(AI83&lt;=db!$L$5,AI83,db!$L$5))),0)</f>
        <v>0</v>
      </c>
      <c r="AK83" s="29">
        <f>IF(AND(Changes!Change="Yes",Changes!ValidityYear&lt;=Table1[[#This Row],[Year]],Changes!ChangeType="Paid-Up",OR(PaidUpOption="Paid-up with no coverage",PaidUpOption="Paid-up with main coverage")),0,IF(B83=0,0,IF(AND(Changes!Change="Yes", Changes!ValidityYear&lt;=Table1[[#This Row],[Year]], Changes!ChangeType="Rider Inclusion/Exclusion", Changes!RiderType="Cancer"), T83*Changes!NewChangedValue,IF(db!$D$12="Yes",(db!$B$12)*T83,0))))</f>
        <v>0</v>
      </c>
      <c r="AL83" s="29">
        <f>ROUND(IF(C83&gt;59,0,IF(C83=0,0,IF(AK83&lt;=db!$L$6,AK83,db!$L$6))),0)</f>
        <v>0</v>
      </c>
      <c r="AM83" s="32"/>
      <c r="AN83" s="18">
        <f>IF(B83=0,0,IF(C83&lt;(db!$E$2+5),LOOKUP(C83,'Mortality Table'!$A$2:$A$108,'Mortality Table'!$P$2:$P$108),IF((C83&gt;=db!$E$2+10),LOOKUP(C83,'Mortality Table'!$A$2:$A$108,'Mortality Table'!$R$2:$R$108),LOOKUP(C83,'Mortality Table'!$A$2:$A$108,'Mortality Table'!$Q$2:$Q$108))))</f>
        <v>0</v>
      </c>
      <c r="AO83" s="22">
        <f t="shared" si="31"/>
        <v>0</v>
      </c>
      <c r="AP83" s="19">
        <f>IF(B83=0,0, LOOKUP(IF(AND(Changes!Change="Yes", Changes!ValidityYear&lt;=Table1[[#This Row],[Year]], Changes!ChangeType="Change Job Class"),Changes!NewChangedValue, db!$A$8),db!$AX$4:$AX$8,db!$AY$4:$AY$8))</f>
        <v>0</v>
      </c>
      <c r="AQ83" s="20">
        <f>ROUND((AP83/1000)*W83 * (1-db!$AS$9),0)</f>
        <v>0</v>
      </c>
      <c r="AR83" s="20">
        <f>(AP83/1000)*W83 * db!$AS$9</f>
        <v>0</v>
      </c>
      <c r="AS83" s="21">
        <f>IF(B83=0,0, LOOKUP(IF(AND(Changes!Change="Yes", Changes!ValidityYear&lt;=Table1[[#This Row],[Year]], Changes!ChangeType="Change Job Class"),Changes!NewChangedValue, db!$A$8),db!$AX$4:$AX$8,db!$AZ$4:$AZ$8))</f>
        <v>0</v>
      </c>
      <c r="AT83" s="22">
        <f>(AS83/1000)*Y83*(1-db!$AS$9)</f>
        <v>0</v>
      </c>
      <c r="AU83" s="22">
        <f>(AS83/1000)*Y83*(db!$AS$9)</f>
        <v>0</v>
      </c>
      <c r="AV83" s="23">
        <f>IF(B83=0,0, LOOKUP(IF(AND(Changes!Change="Yes", Changes!ValidityYear&lt;=Table1[[#This Row],[Year]], Changes!ChangeType="Change Job Class"),Changes!NewChangedValue, db!$A$8),db!$AX$4:$AX$8,db!$BA$4:$BA$8))</f>
        <v>0</v>
      </c>
      <c r="AW83" s="20">
        <f>ROUND((AV83/(100))*AA83*(1-db!$AS$9),0)</f>
        <v>0</v>
      </c>
      <c r="AX83" s="20">
        <f>ROUND((AV83/(100))*AA83*(db!$AS$9),0)</f>
        <v>0</v>
      </c>
      <c r="AY83" s="21">
        <f>IF(db!$D$8="Yes",AS83,0)</f>
        <v>0</v>
      </c>
      <c r="AZ83" s="22">
        <f>(AY83*AF83)/1000*(1-db!$AS$9)</f>
        <v>0</v>
      </c>
      <c r="BA83" s="22">
        <f>(AY83*AF83)/1000*(db!$AS$9)</f>
        <v>0</v>
      </c>
      <c r="BB83" s="23">
        <f t="shared" si="32"/>
        <v>0</v>
      </c>
      <c r="BC83" s="20">
        <f>(BB83*AH83/1000)*(1-db!$AS$9)</f>
        <v>0</v>
      </c>
      <c r="BD83" s="20">
        <f>(BB83*AH83/1000)*(db!$AS$9)</f>
        <v>0</v>
      </c>
      <c r="BE83" s="22">
        <f>IF(B83=0,0,IF(C83&gt;60,0,LOOKUP(Table1[[#This Row],[Medical
Age]],db!$BC$3:$BC$63,db!$BD$3:$BD$63)))</f>
        <v>0</v>
      </c>
      <c r="BF83" s="22">
        <f>BG83*db!$AS$10</f>
        <v>0</v>
      </c>
      <c r="BG83" s="22">
        <f t="shared" si="33"/>
        <v>0</v>
      </c>
      <c r="BH83" s="22">
        <f>(BE83/1000000)*AJ83*(1-db!$AS$10)</f>
        <v>0</v>
      </c>
      <c r="BI83" s="20">
        <f>IF(B83=0,0,IF(C83&gt;59,0,LOOKUP(Table1[[#This Row],[Medical
Age]],db!$BC$3:$BC$63,db!$BE$3:$BE$63)))</f>
        <v>0</v>
      </c>
      <c r="BJ83" s="20">
        <f>(BI83/1000000)*AL83*(1-db!$AS$11)</f>
        <v>0</v>
      </c>
      <c r="BK83" s="20">
        <f>(BI83/1000000)*AL83*(db!$AS$11)</f>
        <v>0</v>
      </c>
      <c r="BL83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83" s="20">
        <f>Table1[[#This Row],[RiskLoading
Rate]]*Table1[[#This Row],[Death Capital (2)]]</f>
        <v>0</v>
      </c>
      <c r="BN83" s="36"/>
      <c r="BO83" s="37">
        <f t="shared" si="34"/>
        <v>0</v>
      </c>
      <c r="BP83" s="35">
        <f t="shared" si="35"/>
        <v>0</v>
      </c>
      <c r="BQ83" s="35">
        <f t="shared" si="36"/>
        <v>0</v>
      </c>
      <c r="BR83" s="37">
        <f t="shared" si="50"/>
        <v>0</v>
      </c>
      <c r="BS83" s="37">
        <f t="shared" si="41"/>
        <v>0</v>
      </c>
      <c r="BT83" s="35">
        <f t="shared" si="42"/>
        <v>0</v>
      </c>
      <c r="BU83" s="35">
        <f t="shared" si="43"/>
        <v>0</v>
      </c>
      <c r="BV83" s="37">
        <f>(db!$AS$4/100)*(L83-BT83-BU83)</f>
        <v>0</v>
      </c>
      <c r="BW83" s="37">
        <f>(db!$AS$8/100)*(L83-BT83-BU83)</f>
        <v>0</v>
      </c>
      <c r="BX83" s="35"/>
      <c r="BY83" s="37"/>
      <c r="BZ83" s="37"/>
      <c r="CA83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83" s="33"/>
      <c r="CC83" s="39">
        <f>ROUND((Table1[[#This Row],[Premium]]-Table1[[#This Row],[All Deductions]]),0)</f>
        <v>0</v>
      </c>
      <c r="CD83" s="39">
        <f>IF(B83=0,0,Table1[[#This Row],[Initial Reserve]]+CE82)</f>
        <v>0</v>
      </c>
      <c r="CE83" s="40">
        <f>ROUND(IF(B83=0,0,((CC83)*(1+db!Y85))+((CE82)*(1+db!U85))),0)</f>
        <v>0</v>
      </c>
      <c r="CF83" s="40">
        <f t="shared" si="48"/>
        <v>0</v>
      </c>
      <c r="CG83" s="15">
        <f t="shared" si="44"/>
        <v>82</v>
      </c>
      <c r="CH83" s="39">
        <f>IF(B83=0,0,((CC83)*(1+db!AH85))+((CH82)*(1+db!AD85)))</f>
        <v>0</v>
      </c>
      <c r="CI83" s="39">
        <f>IF(B83=0,0,((CC83)*(1+db!AH85))+((CI82)*(1+db!AD85)))</f>
        <v>0</v>
      </c>
      <c r="CJ83" s="40">
        <f>IF(B83=0,0,((CC83)*(1+db!AO85))+((CJ82)*(1+db!AK85)))</f>
        <v>0</v>
      </c>
      <c r="CK83" s="40">
        <f>CJ83-(SUM(BX$7:$BX84))</f>
        <v>0</v>
      </c>
    </row>
    <row r="84" spans="1:89">
      <c r="A84" s="24">
        <f t="shared" si="45"/>
        <v>83</v>
      </c>
      <c r="B84" s="16">
        <f>IF(AND(Changes!Change="Yes", Changes!ChangeType="Change Contract Duration"),IF(B83=0,0,IF(Changes!NewChangedValue&lt;B83+1,0,B83+1)),IF(B83=0,0,IF('Application Annually'!$C$5&lt;B83+1,0,B83+1)))</f>
        <v>0</v>
      </c>
      <c r="C84" s="15">
        <f t="shared" si="49"/>
        <v>0</v>
      </c>
      <c r="D84" s="312">
        <f t="shared" si="47"/>
        <v>110</v>
      </c>
      <c r="E84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84" s="29">
        <f t="shared" si="37"/>
        <v>0</v>
      </c>
      <c r="G84" s="29">
        <f t="shared" si="38"/>
        <v>0</v>
      </c>
      <c r="H84" s="29">
        <f t="shared" si="29"/>
        <v>0</v>
      </c>
      <c r="I84" s="29">
        <f>IF(B84&gt;0,IF(AND(Table1[[#This Row],[Year]]&gt;Changes!ValidityYear,Changes!Change="Yes",Changes!ChangeType="Change Value Adjustment"),Changes!$G$22,'Application Annually'!$C$11),0)</f>
        <v>0</v>
      </c>
      <c r="J84" s="29">
        <f>IF(B84&gt;0,IF(AND(Table1[[#This Row],[Year]]&gt;Changes!ValidityYear,Changes!Change="Yes",Changes!ChangeType="Change Value Adjustment"),Changes!$G$24,'Application Annually'!$C$7),0)</f>
        <v>0</v>
      </c>
      <c r="K84" s="29">
        <f>ROUND(IF(B84=0,0,IF(AND(Changes!Change="Yes", Changes!ValidityYear=Table1[[#This Row],[Year]], Changes!ChangeType="Change Premium"), Changes!NewChangedValue, (K83*(1+db!$B$3)))),0)</f>
        <v>0</v>
      </c>
      <c r="L84" s="29">
        <f>ROUND(IF(AND(Changes!Change="Yes",Changes!ValidityYear&lt;=Table1[[#This Row],[Year]],Changes!ChangeType="Paid-Up"),0,IF(B84=0,0,IF(AND(Changes!Change="Yes", Changes!ValidityYear=Table1[[#This Row],[Year]], Changes!ChangeType="Change Premium"), Changes!NewChangedValue, (L83*(1+Table1[[#This Row],[Adjustment Factor of Premium]]/100))))),0)</f>
        <v>0</v>
      </c>
      <c r="M84" s="29">
        <f>IF(Table1[[#This Row],[Year]]=1,ROUND(MIN($L$2 -( Table1[[#This Row],[Riders Risk Premiums]] + Table1[[#This Row],[Acquisition Cost]]) *0.75,Table1[[#This Row],[Death Capital (1)]]* 0.03),0),0)</f>
        <v>0</v>
      </c>
      <c r="N84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84" s="29">
        <f>ROUND(IF(ROW()-1&gt;InsurancePeriod,0,(O83*(1+(Table1[[#This Row],[Adjustment Factor of Premium]]/100)))),0)</f>
        <v>0</v>
      </c>
      <c r="P84" s="29">
        <f>IF(Table1[Year] = 0, 0, SUM(L$2:L84))</f>
        <v>0</v>
      </c>
      <c r="Q84" s="17">
        <f t="shared" si="30"/>
        <v>0</v>
      </c>
      <c r="R84" s="17">
        <f>IF(Table1[[#This Row],[Year]]=0,0,IF($C$2&lt;=50,LOOKUP(Table1[[#This Row],[Age]],db!BG85:BG191,db!BH85:BH191),LOOKUP(Table1[[#This Row],[Age]],db!BJ85:BJ191,db!BK85:BK191)))</f>
        <v>0</v>
      </c>
      <c r="S84" s="17">
        <f>IF(AND(Changes!Change="Yes",Changes!ValidityYear&lt;=Table1[[#This Row],[Year]],Changes!ChangeType="Paid-Up",PaidUpOption="Paid-up with no coverage"),0,IF(B84=0,0, IF(AND(Changes!Change="Yes", Changes!ValidityYear=Table1[[#This Row],[Year]], Changes!ChangeType="Change Death Capital"), Changes!NewChangedValue, S83*(1+(Table1[[#This Row],[Adjustment Factor of Death Capital]]/100)))))</f>
        <v>0</v>
      </c>
      <c r="T84" s="17">
        <f>MIN(IF(B84=0,0,Table1[[#This Row],[Death Capital (1)]]),Table1[[#This Row],[Max Sum Insured For Death]])</f>
        <v>0</v>
      </c>
      <c r="U84" s="29">
        <f t="shared" si="39"/>
        <v>0</v>
      </c>
      <c r="V84" s="29">
        <f>IF(AND(Changes!Change="Yes",Changes!ValidityYear&lt;=Table1[[#This Row],[Year]],Changes!ChangeType="Paid-Up",OR(PaidUpOption="Paid-up with no coverage",PaidUpOption="Paid-up with main coverage")),0,IF(B84=0,0,IF(AND(Changes!Change="Yes", Changes!ValidityYear&lt;=Table1[[#This Row],[Year]], Changes!ChangeType="Rider Inclusion/Exclusion", Changes!RiderType="Accident Death"), T84*Changes!NewChangedValue,IF(db!$D$6="Yes",(db!$B$6)*T84,0))))</f>
        <v>0</v>
      </c>
      <c r="W84" s="29">
        <f>MIN(IF(V84&lt;=db!$L$2,V84,db!$L$2),MAX_ACC_CAPITAL)</f>
        <v>0</v>
      </c>
      <c r="X84" s="17">
        <f>IF(AND(Changes!Change="Yes",Changes!ValidityYear&lt;=Table1[[#This Row],[Year]],Changes!ChangeType="Paid-Up",OR(PaidUpOption="Paid-up with no coverage",PaidUpOption="Paid-up with main coverage")),0,IF(OR(B84=0,Table1[[#This Row],[Accident Capital (2)]]=0),0,IF(AND(Changes!Change="Yes", Changes!ValidityYear&lt;=Table1[[#This Row],[Year]], Changes!ChangeType="Rider Inclusion/Exclusion", Changes!RiderType="Accident Disability"), T84*Changes!NewChangedValue,IF(db!$D$7="Yes",(db!$B$7)*T84,0))))</f>
        <v>0</v>
      </c>
      <c r="Y84" s="42">
        <f>IF(C84&gt;69,0,IF(C84=0,0,IF(X84&lt;=db!$L$3,X84,db!$L$3)))</f>
        <v>0</v>
      </c>
      <c r="Z84" s="29">
        <f>IF(AND(Changes!Change="Yes",Changes!ValidityYear&lt;=Table1[[#This Row],[Year]],Changes!ChangeType="Paid-Up",OR(PaidUpOption="Paid-up with no coverage",PaidUpOption="Paid-up with main coverage")),0,IF(OR(B84=0,Table1[[#This Row],[Accident Capital (2)]]=0),0,IF(AND(Changes!Change="Yes", Changes!ValidityYear&lt;=Table1[[#This Row],[Year]], Changes!ChangeType="Rider Inclusion/Exclusion", Changes!RiderType="Accident Medical Cost"), T84*Changes!NewChangedValue,IF(db!$D$9="Yes",(db!$B$9)*T84,0))))</f>
        <v>0</v>
      </c>
      <c r="AA84" s="29">
        <f>ROUND(IF(C84&gt;69,0,IF(C84=0,0,IF(Z84&lt;=db!$L$4,Z84,db!$L$4))),0)</f>
        <v>0</v>
      </c>
      <c r="AB84" s="38">
        <f>IF(AND(Changes!Change = "Yes", Changes!ChangeType = "Rider Inclusion/Exclusion", Changes!RiderType = "WOP"), IF( Changes!ValidityYear &lt;= Table1[[#This Row],[Year]], IF(WOP = "Yes", 0, 1),  IF(WOP = "Yes", 1, 0)), IF(AND(db!$D$8="Yes",C84&lt;=69,ROW()-1&lt;=InsurancePeriod), 1, 0))</f>
        <v>0</v>
      </c>
      <c r="AC84" s="17">
        <f>(AC85+K85)*AB84*((1)/(1+db!AA86))*(LOOKUP(C84,'Mortality Table'!$A$2:$A$108,'Mortality Table'!$E$2:$E$108))</f>
        <v>0</v>
      </c>
      <c r="AD84" s="340">
        <f>IF(AND(Changes!ValidityYear&lt;= Table1[[#This Row],[Year]],Changes!ChangeType="Change Value Adjustment",Changes!Change="Yes"), (AD85+L85)*AB84*((1)/(1+db!AA86))*(LOOKUP(C84,'Mortality Table'!$A$2:$A$108,'Mortality Table'!$E$2:$E$108)),Table1[[#This Row],[WOP Before Adj. BT]])</f>
        <v>0</v>
      </c>
      <c r="AE84" s="341">
        <f>IF(AND(Changes!Change="Yes", Changes!ChangeType="Change Value Adjustment"),Table1[[#This Row],[WOP Capital]],(AE85+O85)*AB84*((1)/(1+db!AA86))*(LOOKUP(D84,'Mortality Table'!$A$2:$A$108,'Mortality Table'!$E$2:$E$108)))</f>
        <v>0</v>
      </c>
      <c r="AF84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84" s="42">
        <f>IF(AND(Changes!Change="Yes", Changes!ValidityYear&lt;=Table1[[#This Row],[Year]], Changes!ChangeType="Rider Inclusion/Exclusion", Changes!RiderType="Disability Annuity"), L84*Changes!NewChangedValue,L84*db!B$10*IF(db!$D$10="Yes",1,0))</f>
        <v>0</v>
      </c>
      <c r="AH84" s="29">
        <f>IF(AND(Changes!Change="Yes",Changes!ValidityYear&lt;=Table1[[#This Row],[Year]],Changes!ChangeType="Paid-Up"),0,Table1[[#This Row],[Code Annuity Capital]]*IF('Annual Calculation'!C84&gt;69,0,(LOOKUP('Annual Calculation'!C84+1,'Mortality Table'!$A$2:$A$108,'Mortality Table'!$O$2:$O$108)-LOOKUP('Annual Calculation'!C84+11,'Mortality Table'!$A$2:$A$108,'Mortality Table'!$O$2:$O$108))/LOOKUP('Annual Calculation'!C84,'Mortality Table'!$A$2:$A$108,'Mortality Table'!$M$2:$M$108)))</f>
        <v>0</v>
      </c>
      <c r="AI84" s="17">
        <f>IF(AND(Changes!Change="Yes",Changes!ValidityYear&lt;=Table1[[#This Row],[Year]],Changes!ChangeType="Paid-Up",OR(PaidUpOption="Paid-up with no coverage",PaidUpOption="Paid-up with main coverage")),0,IF(B84=0,0,IF(AND(Changes!Change="Yes", Changes!ValidityYear&lt;=Table1[[#This Row],[Year]], Changes!ChangeType="Rider Inclusion/Exclusion", Changes!RiderType="Dread Disease"), T84*Changes!NewChangedValue,IF(db!$D$11="Yes",(db!$B$11)*T84,0))))</f>
        <v>0</v>
      </c>
      <c r="AJ84" s="42">
        <f>ROUND(IF(C84&gt;59,0,IF(C84=0,0,IF(AI84&lt;=db!$L$5,AI84,db!$L$5))),0)</f>
        <v>0</v>
      </c>
      <c r="AK84" s="29">
        <f>IF(AND(Changes!Change="Yes",Changes!ValidityYear&lt;=Table1[[#This Row],[Year]],Changes!ChangeType="Paid-Up",OR(PaidUpOption="Paid-up with no coverage",PaidUpOption="Paid-up with main coverage")),0,IF(B84=0,0,IF(AND(Changes!Change="Yes", Changes!ValidityYear&lt;=Table1[[#This Row],[Year]], Changes!ChangeType="Rider Inclusion/Exclusion", Changes!RiderType="Cancer"), T84*Changes!NewChangedValue,IF(db!$D$12="Yes",(db!$B$12)*T84,0))))</f>
        <v>0</v>
      </c>
      <c r="AL84" s="29">
        <f>ROUND(IF(C84&gt;59,0,IF(C84=0,0,IF(AK84&lt;=db!$L$6,AK84,db!$L$6))),0)</f>
        <v>0</v>
      </c>
      <c r="AM84" s="32"/>
      <c r="AN84" s="18">
        <f>IF(B84=0,0,IF(C84&lt;(db!$E$2+5),LOOKUP(C84,'Mortality Table'!$A$2:$A$108,'Mortality Table'!$P$2:$P$108),IF((C84&gt;=db!$E$2+10),LOOKUP(C84,'Mortality Table'!$A$2:$A$108,'Mortality Table'!$R$2:$R$108),LOOKUP(C84,'Mortality Table'!$A$2:$A$108,'Mortality Table'!$Q$2:$Q$108))))</f>
        <v>0</v>
      </c>
      <c r="AO84" s="22">
        <f t="shared" si="31"/>
        <v>0</v>
      </c>
      <c r="AP84" s="19">
        <f>IF(B84=0,0, LOOKUP(IF(AND(Changes!Change="Yes", Changes!ValidityYear&lt;=Table1[[#This Row],[Year]], Changes!ChangeType="Change Job Class"),Changes!NewChangedValue, db!$A$8),db!$AX$4:$AX$8,db!$AY$4:$AY$8))</f>
        <v>0</v>
      </c>
      <c r="AQ84" s="20">
        <f>ROUND((AP84/1000)*W84 * (1-db!$AS$9),0)</f>
        <v>0</v>
      </c>
      <c r="AR84" s="20">
        <f>(AP84/1000)*W84 * db!$AS$9</f>
        <v>0</v>
      </c>
      <c r="AS84" s="21">
        <f>IF(B84=0,0, LOOKUP(IF(AND(Changes!Change="Yes", Changes!ValidityYear&lt;=Table1[[#This Row],[Year]], Changes!ChangeType="Change Job Class"),Changes!NewChangedValue, db!$A$8),db!$AX$4:$AX$8,db!$AZ$4:$AZ$8))</f>
        <v>0</v>
      </c>
      <c r="AT84" s="22">
        <f>(AS84/1000)*Y84*(1-db!$AS$9)</f>
        <v>0</v>
      </c>
      <c r="AU84" s="22">
        <f>(AS84/1000)*Y84*(db!$AS$9)</f>
        <v>0</v>
      </c>
      <c r="AV84" s="23">
        <f>IF(B84=0,0, LOOKUP(IF(AND(Changes!Change="Yes", Changes!ValidityYear&lt;=Table1[[#This Row],[Year]], Changes!ChangeType="Change Job Class"),Changes!NewChangedValue, db!$A$8),db!$AX$4:$AX$8,db!$BA$4:$BA$8))</f>
        <v>0</v>
      </c>
      <c r="AW84" s="20">
        <f>ROUND((AV84/(100))*AA84*(1-db!$AS$9),0)</f>
        <v>0</v>
      </c>
      <c r="AX84" s="20">
        <f>ROUND((AV84/(100))*AA84*(db!$AS$9),0)</f>
        <v>0</v>
      </c>
      <c r="AY84" s="21">
        <f>IF(db!$D$8="Yes",AS84,0)</f>
        <v>0</v>
      </c>
      <c r="AZ84" s="22">
        <f>(AY84*AF84)/1000*(1-db!$AS$9)</f>
        <v>0</v>
      </c>
      <c r="BA84" s="22">
        <f>(AY84*AF84)/1000*(db!$AS$9)</f>
        <v>0</v>
      </c>
      <c r="BB84" s="23">
        <f t="shared" si="32"/>
        <v>0</v>
      </c>
      <c r="BC84" s="20">
        <f>(BB84*AH84/1000)*(1-db!$AS$9)</f>
        <v>0</v>
      </c>
      <c r="BD84" s="20">
        <f>(BB84*AH84/1000)*(db!$AS$9)</f>
        <v>0</v>
      </c>
      <c r="BE84" s="22">
        <f>IF(B84=0,0,IF(C84&gt;60,0,LOOKUP(Table1[[#This Row],[Medical
Age]],db!$BC$3:$BC$63,db!$BD$3:$BD$63)))</f>
        <v>0</v>
      </c>
      <c r="BF84" s="22">
        <f>BG84*db!$AS$10</f>
        <v>0</v>
      </c>
      <c r="BG84" s="22">
        <f t="shared" si="33"/>
        <v>0</v>
      </c>
      <c r="BH84" s="22">
        <f>(BE84/1000000)*AJ84*(1-db!$AS$10)</f>
        <v>0</v>
      </c>
      <c r="BI84" s="20">
        <f>IF(B84=0,0,IF(C84&gt;59,0,LOOKUP(Table1[[#This Row],[Medical
Age]],db!$BC$3:$BC$63,db!$BE$3:$BE$63)))</f>
        <v>0</v>
      </c>
      <c r="BJ84" s="20">
        <f>(BI84/1000000)*AL84*(1-db!$AS$11)</f>
        <v>0</v>
      </c>
      <c r="BK84" s="20">
        <f>(BI84/1000000)*AL84*(db!$AS$11)</f>
        <v>0</v>
      </c>
      <c r="BL84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84" s="20">
        <f>Table1[[#This Row],[RiskLoading
Rate]]*Table1[[#This Row],[Death Capital (2)]]</f>
        <v>0</v>
      </c>
      <c r="BN84" s="36"/>
      <c r="BO84" s="37">
        <f t="shared" si="34"/>
        <v>0</v>
      </c>
      <c r="BP84" s="35">
        <f t="shared" si="35"/>
        <v>0</v>
      </c>
      <c r="BQ84" s="35">
        <f t="shared" si="36"/>
        <v>0</v>
      </c>
      <c r="BR84" s="37">
        <f t="shared" si="50"/>
        <v>0</v>
      </c>
      <c r="BS84" s="37">
        <f t="shared" si="41"/>
        <v>0</v>
      </c>
      <c r="BT84" s="35">
        <f t="shared" si="42"/>
        <v>0</v>
      </c>
      <c r="BU84" s="35">
        <f t="shared" si="43"/>
        <v>0</v>
      </c>
      <c r="BV84" s="37">
        <f>(db!$AS$4/100)*(L84-BT84-BU84)</f>
        <v>0</v>
      </c>
      <c r="BW84" s="37">
        <f>(db!$AS$8/100)*(L84-BT84-BU84)</f>
        <v>0</v>
      </c>
      <c r="BX84" s="35"/>
      <c r="BY84" s="37"/>
      <c r="BZ84" s="37"/>
      <c r="CA84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84" s="33"/>
      <c r="CC84" s="39">
        <f>ROUND((Table1[[#This Row],[Premium]]-Table1[[#This Row],[All Deductions]]),0)</f>
        <v>0</v>
      </c>
      <c r="CD84" s="39">
        <f>IF(B84=0,0,Table1[[#This Row],[Initial Reserve]]+CE83)</f>
        <v>0</v>
      </c>
      <c r="CE84" s="40">
        <f>ROUND(IF(B84=0,0,((CC84)*(1+db!Y86))+((CE83)*(1+db!U86))),0)</f>
        <v>0</v>
      </c>
      <c r="CF84" s="40">
        <f t="shared" si="48"/>
        <v>0</v>
      </c>
      <c r="CG84" s="15">
        <f t="shared" si="44"/>
        <v>83</v>
      </c>
      <c r="CH84" s="39">
        <f>IF(B84=0,0,((CC84)*(1+db!AH86))+((CH83)*(1+db!AD86)))</f>
        <v>0</v>
      </c>
      <c r="CI84" s="39">
        <f>IF(B84=0,0,((CC84)*(1+db!AH86))+((CI83)*(1+db!AD86)))</f>
        <v>0</v>
      </c>
      <c r="CJ84" s="40">
        <f>IF(B84=0,0,((CC84)*(1+db!AO86))+((CJ83)*(1+db!AK86)))</f>
        <v>0</v>
      </c>
      <c r="CK84" s="40">
        <f>CJ84-(SUM(BX$7:$BX85))</f>
        <v>0</v>
      </c>
    </row>
    <row r="85" spans="1:89">
      <c r="A85" s="24">
        <f t="shared" si="45"/>
        <v>84</v>
      </c>
      <c r="B85" s="16">
        <f>IF(AND(Changes!Change="Yes", Changes!ChangeType="Change Contract Duration"),IF(B84=0,0,IF(Changes!NewChangedValue&lt;B84+1,0,B84+1)),IF(B84=0,0,IF('Application Annually'!$C$5&lt;B84+1,0,B84+1)))</f>
        <v>0</v>
      </c>
      <c r="C85" s="15">
        <f t="shared" si="49"/>
        <v>0</v>
      </c>
      <c r="D85" s="312">
        <f t="shared" si="47"/>
        <v>111</v>
      </c>
      <c r="E85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85" s="29">
        <f t="shared" si="37"/>
        <v>0</v>
      </c>
      <c r="G85" s="29">
        <f t="shared" si="38"/>
        <v>0</v>
      </c>
      <c r="H85" s="29">
        <f t="shared" si="29"/>
        <v>0</v>
      </c>
      <c r="I85" s="29">
        <f>IF(B85&gt;0,IF(AND(Table1[[#This Row],[Year]]&gt;Changes!ValidityYear,Changes!Change="Yes",Changes!ChangeType="Change Value Adjustment"),Changes!$G$22,'Application Annually'!$C$11),0)</f>
        <v>0</v>
      </c>
      <c r="J85" s="29">
        <f>IF(B85&gt;0,IF(AND(Table1[[#This Row],[Year]]&gt;Changes!ValidityYear,Changes!Change="Yes",Changes!ChangeType="Change Value Adjustment"),Changes!$G$24,'Application Annually'!$C$7),0)</f>
        <v>0</v>
      </c>
      <c r="K85" s="29">
        <f>ROUND(IF(B85=0,0,IF(AND(Changes!Change="Yes", Changes!ValidityYear=Table1[[#This Row],[Year]], Changes!ChangeType="Change Premium"), Changes!NewChangedValue, (K84*(1+db!$B$3)))),0)</f>
        <v>0</v>
      </c>
      <c r="L85" s="29">
        <f>ROUND(IF(AND(Changes!Change="Yes",Changes!ValidityYear&lt;=Table1[[#This Row],[Year]],Changes!ChangeType="Paid-Up"),0,IF(B85=0,0,IF(AND(Changes!Change="Yes", Changes!ValidityYear=Table1[[#This Row],[Year]], Changes!ChangeType="Change Premium"), Changes!NewChangedValue, (L84*(1+Table1[[#This Row],[Adjustment Factor of Premium]]/100))))),0)</f>
        <v>0</v>
      </c>
      <c r="M85" s="29">
        <f>IF(Table1[[#This Row],[Year]]=1,ROUND(MIN($L$2 -( Table1[[#This Row],[Riders Risk Premiums]] + Table1[[#This Row],[Acquisition Cost]]) *0.75,Table1[[#This Row],[Death Capital (1)]]* 0.03),0),0)</f>
        <v>0</v>
      </c>
      <c r="N85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85" s="29">
        <f>ROUND(IF(ROW()-1&gt;InsurancePeriod,0,(O84*(1+(Table1[[#This Row],[Adjustment Factor of Premium]]/100)))),0)</f>
        <v>0</v>
      </c>
      <c r="P85" s="29">
        <f>IF(Table1[Year] = 0, 0, SUM(L$2:L85))</f>
        <v>0</v>
      </c>
      <c r="Q85" s="17">
        <f t="shared" si="30"/>
        <v>0</v>
      </c>
      <c r="R85" s="17">
        <f>IF(Table1[[#This Row],[Year]]=0,0,IF($C$2&lt;=50,LOOKUP(Table1[[#This Row],[Age]],db!BG86:BG192,db!BH86:BH192),LOOKUP(Table1[[#This Row],[Age]],db!BJ86:BJ192,db!BK86:BK192)))</f>
        <v>0</v>
      </c>
      <c r="S85" s="17">
        <f>IF(AND(Changes!Change="Yes",Changes!ValidityYear&lt;=Table1[[#This Row],[Year]],Changes!ChangeType="Paid-Up",PaidUpOption="Paid-up with no coverage"),0,IF(B85=0,0, IF(AND(Changes!Change="Yes", Changes!ValidityYear=Table1[[#This Row],[Year]], Changes!ChangeType="Change Death Capital"), Changes!NewChangedValue, S84*(1+(Table1[[#This Row],[Adjustment Factor of Death Capital]]/100)))))</f>
        <v>0</v>
      </c>
      <c r="T85" s="17">
        <f>MIN(IF(B85=0,0,Table1[[#This Row],[Death Capital (1)]]),Table1[[#This Row],[Max Sum Insured For Death]])</f>
        <v>0</v>
      </c>
      <c r="U85" s="29">
        <f t="shared" si="39"/>
        <v>0</v>
      </c>
      <c r="V85" s="29">
        <f>IF(AND(Changes!Change="Yes",Changes!ValidityYear&lt;=Table1[[#This Row],[Year]],Changes!ChangeType="Paid-Up",OR(PaidUpOption="Paid-up with no coverage",PaidUpOption="Paid-up with main coverage")),0,IF(B85=0,0,IF(AND(Changes!Change="Yes", Changes!ValidityYear&lt;=Table1[[#This Row],[Year]], Changes!ChangeType="Rider Inclusion/Exclusion", Changes!RiderType="Accident Death"), T85*Changes!NewChangedValue,IF(db!$D$6="Yes",(db!$B$6)*T85,0))))</f>
        <v>0</v>
      </c>
      <c r="W85" s="29">
        <f>MIN(IF(V85&lt;=db!$L$2,V85,db!$L$2),MAX_ACC_CAPITAL)</f>
        <v>0</v>
      </c>
      <c r="X85" s="17">
        <f>IF(AND(Changes!Change="Yes",Changes!ValidityYear&lt;=Table1[[#This Row],[Year]],Changes!ChangeType="Paid-Up",OR(PaidUpOption="Paid-up with no coverage",PaidUpOption="Paid-up with main coverage")),0,IF(OR(B85=0,Table1[[#This Row],[Accident Capital (2)]]=0),0,IF(AND(Changes!Change="Yes", Changes!ValidityYear&lt;=Table1[[#This Row],[Year]], Changes!ChangeType="Rider Inclusion/Exclusion", Changes!RiderType="Accident Disability"), T85*Changes!NewChangedValue,IF(db!$D$7="Yes",(db!$B$7)*T85,0))))</f>
        <v>0</v>
      </c>
      <c r="Y85" s="42">
        <f>IF(C85&gt;69,0,IF(C85=0,0,IF(X85&lt;=db!$L$3,X85,db!$L$3)))</f>
        <v>0</v>
      </c>
      <c r="Z85" s="29">
        <f>IF(AND(Changes!Change="Yes",Changes!ValidityYear&lt;=Table1[[#This Row],[Year]],Changes!ChangeType="Paid-Up",OR(PaidUpOption="Paid-up with no coverage",PaidUpOption="Paid-up with main coverage")),0,IF(OR(B85=0,Table1[[#This Row],[Accident Capital (2)]]=0),0,IF(AND(Changes!Change="Yes", Changes!ValidityYear&lt;=Table1[[#This Row],[Year]], Changes!ChangeType="Rider Inclusion/Exclusion", Changes!RiderType="Accident Medical Cost"), T85*Changes!NewChangedValue,IF(db!$D$9="Yes",(db!$B$9)*T85,0))))</f>
        <v>0</v>
      </c>
      <c r="AA85" s="29">
        <f>ROUND(IF(C85&gt;69,0,IF(C85=0,0,IF(Z85&lt;=db!$L$4,Z85,db!$L$4))),0)</f>
        <v>0</v>
      </c>
      <c r="AB85" s="38">
        <f>IF(AND(Changes!Change = "Yes", Changes!ChangeType = "Rider Inclusion/Exclusion", Changes!RiderType = "WOP"), IF( Changes!ValidityYear &lt;= Table1[[#This Row],[Year]], IF(WOP = "Yes", 0, 1),  IF(WOP = "Yes", 1, 0)), IF(AND(db!$D$8="Yes",C85&lt;=69,ROW()-1&lt;=InsurancePeriod), 1, 0))</f>
        <v>0</v>
      </c>
      <c r="AC85" s="17">
        <f>(AC86+K86)*AB85*((1)/(1+db!AA87))*(LOOKUP(C85,'Mortality Table'!$A$2:$A$108,'Mortality Table'!$E$2:$E$108))</f>
        <v>0</v>
      </c>
      <c r="AD85" s="340">
        <f>IF(AND(Changes!ValidityYear&lt;= Table1[[#This Row],[Year]],Changes!ChangeType="Change Value Adjustment",Changes!Change="Yes"), (AD86+L86)*AB85*((1)/(1+db!AA87))*(LOOKUP(C85,'Mortality Table'!$A$2:$A$108,'Mortality Table'!$E$2:$E$108)),Table1[[#This Row],[WOP Before Adj. BT]])</f>
        <v>0</v>
      </c>
      <c r="AE85" s="341">
        <f>IF(AND(Changes!Change="Yes", Changes!ChangeType="Change Value Adjustment"),Table1[[#This Row],[WOP Capital]],(AE86+O86)*AB85*((1)/(1+db!AA87))*(LOOKUP(D85,'Mortality Table'!$A$2:$A$108,'Mortality Table'!$E$2:$E$108)))</f>
        <v>0</v>
      </c>
      <c r="AF85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85" s="42">
        <f>IF(AND(Changes!Change="Yes", Changes!ValidityYear&lt;=Table1[[#This Row],[Year]], Changes!ChangeType="Rider Inclusion/Exclusion", Changes!RiderType="Disability Annuity"), L85*Changes!NewChangedValue,L85*db!B$10*IF(db!$D$10="Yes",1,0))</f>
        <v>0</v>
      </c>
      <c r="AH85" s="29">
        <f>IF(AND(Changes!Change="Yes",Changes!ValidityYear&lt;=Table1[[#This Row],[Year]],Changes!ChangeType="Paid-Up"),0,Table1[[#This Row],[Code Annuity Capital]]*IF('Annual Calculation'!C85&gt;69,0,(LOOKUP('Annual Calculation'!C85+1,'Mortality Table'!$A$2:$A$108,'Mortality Table'!$O$2:$O$108)-LOOKUP('Annual Calculation'!C85+11,'Mortality Table'!$A$2:$A$108,'Mortality Table'!$O$2:$O$108))/LOOKUP('Annual Calculation'!C85,'Mortality Table'!$A$2:$A$108,'Mortality Table'!$M$2:$M$108)))</f>
        <v>0</v>
      </c>
      <c r="AI85" s="17">
        <f>IF(AND(Changes!Change="Yes",Changes!ValidityYear&lt;=Table1[[#This Row],[Year]],Changes!ChangeType="Paid-Up",OR(PaidUpOption="Paid-up with no coverage",PaidUpOption="Paid-up with main coverage")),0,IF(B85=0,0,IF(AND(Changes!Change="Yes", Changes!ValidityYear&lt;=Table1[[#This Row],[Year]], Changes!ChangeType="Rider Inclusion/Exclusion", Changes!RiderType="Dread Disease"), T85*Changes!NewChangedValue,IF(db!$D$11="Yes",(db!$B$11)*T85,0))))</f>
        <v>0</v>
      </c>
      <c r="AJ85" s="42">
        <f>ROUND(IF(C85&gt;59,0,IF(C85=0,0,IF(AI85&lt;=db!$L$5,AI85,db!$L$5))),0)</f>
        <v>0</v>
      </c>
      <c r="AK85" s="29">
        <f>IF(AND(Changes!Change="Yes",Changes!ValidityYear&lt;=Table1[[#This Row],[Year]],Changes!ChangeType="Paid-Up",OR(PaidUpOption="Paid-up with no coverage",PaidUpOption="Paid-up with main coverage")),0,IF(B85=0,0,IF(AND(Changes!Change="Yes", Changes!ValidityYear&lt;=Table1[[#This Row],[Year]], Changes!ChangeType="Rider Inclusion/Exclusion", Changes!RiderType="Cancer"), T85*Changes!NewChangedValue,IF(db!$D$12="Yes",(db!$B$12)*T85,0))))</f>
        <v>0</v>
      </c>
      <c r="AL85" s="29">
        <f>ROUND(IF(C85&gt;59,0,IF(C85=0,0,IF(AK85&lt;=db!$L$6,AK85,db!$L$6))),0)</f>
        <v>0</v>
      </c>
      <c r="AM85" s="32"/>
      <c r="AN85" s="18">
        <f>IF(B85=0,0,IF(C85&lt;(db!$E$2+5),LOOKUP(C85,'Mortality Table'!$A$2:$A$108,'Mortality Table'!$P$2:$P$108),IF((C85&gt;=db!$E$2+10),LOOKUP(C85,'Mortality Table'!$A$2:$A$108,'Mortality Table'!$R$2:$R$108),LOOKUP(C85,'Mortality Table'!$A$2:$A$108,'Mortality Table'!$Q$2:$Q$108))))</f>
        <v>0</v>
      </c>
      <c r="AO85" s="22">
        <f t="shared" si="31"/>
        <v>0</v>
      </c>
      <c r="AP85" s="19">
        <f>IF(B85=0,0, LOOKUP(IF(AND(Changes!Change="Yes", Changes!ValidityYear&lt;=Table1[[#This Row],[Year]], Changes!ChangeType="Change Job Class"),Changes!NewChangedValue, db!$A$8),db!$AX$4:$AX$8,db!$AY$4:$AY$8))</f>
        <v>0</v>
      </c>
      <c r="AQ85" s="20">
        <f>ROUND((AP85/1000)*W85 * (1-db!$AS$9),0)</f>
        <v>0</v>
      </c>
      <c r="AR85" s="20">
        <f>(AP85/1000)*W85 * db!$AS$9</f>
        <v>0</v>
      </c>
      <c r="AS85" s="21">
        <f>IF(B85=0,0, LOOKUP(IF(AND(Changes!Change="Yes", Changes!ValidityYear&lt;=Table1[[#This Row],[Year]], Changes!ChangeType="Change Job Class"),Changes!NewChangedValue, db!$A$8),db!$AX$4:$AX$8,db!$AZ$4:$AZ$8))</f>
        <v>0</v>
      </c>
      <c r="AT85" s="22">
        <f>(AS85/1000)*Y85*(1-db!$AS$9)</f>
        <v>0</v>
      </c>
      <c r="AU85" s="22">
        <f>(AS85/1000)*Y85*(db!$AS$9)</f>
        <v>0</v>
      </c>
      <c r="AV85" s="23">
        <f>IF(B85=0,0, LOOKUP(IF(AND(Changes!Change="Yes", Changes!ValidityYear&lt;=Table1[[#This Row],[Year]], Changes!ChangeType="Change Job Class"),Changes!NewChangedValue, db!$A$8),db!$AX$4:$AX$8,db!$BA$4:$BA$8))</f>
        <v>0</v>
      </c>
      <c r="AW85" s="20">
        <f>ROUND((AV85/(100))*AA85*(1-db!$AS$9),0)</f>
        <v>0</v>
      </c>
      <c r="AX85" s="20">
        <f>ROUND((AV85/(100))*AA85*(db!$AS$9),0)</f>
        <v>0</v>
      </c>
      <c r="AY85" s="21">
        <f>IF(db!$D$8="Yes",AS85,0)</f>
        <v>0</v>
      </c>
      <c r="AZ85" s="22">
        <f>(AY85*AF85)/1000*(1-db!$AS$9)</f>
        <v>0</v>
      </c>
      <c r="BA85" s="22">
        <f>(AY85*AF85)/1000*(db!$AS$9)</f>
        <v>0</v>
      </c>
      <c r="BB85" s="23">
        <f t="shared" si="32"/>
        <v>0</v>
      </c>
      <c r="BC85" s="20">
        <f>(BB85*AH85/1000)*(1-db!$AS$9)</f>
        <v>0</v>
      </c>
      <c r="BD85" s="20">
        <f>(BB85*AH85/1000)*(db!$AS$9)</f>
        <v>0</v>
      </c>
      <c r="BE85" s="22">
        <f>IF(B85=0,0,IF(C85&gt;60,0,LOOKUP(Table1[[#This Row],[Medical
Age]],db!$BC$3:$BC$63,db!$BD$3:$BD$63)))</f>
        <v>0</v>
      </c>
      <c r="BF85" s="22">
        <f>BG85*db!$AS$10</f>
        <v>0</v>
      </c>
      <c r="BG85" s="22">
        <f t="shared" si="33"/>
        <v>0</v>
      </c>
      <c r="BH85" s="22">
        <f>(BE85/1000000)*AJ85*(1-db!$AS$10)</f>
        <v>0</v>
      </c>
      <c r="BI85" s="20">
        <f>IF(B85=0,0,IF(C85&gt;59,0,LOOKUP(Table1[[#This Row],[Medical
Age]],db!$BC$3:$BC$63,db!$BE$3:$BE$63)))</f>
        <v>0</v>
      </c>
      <c r="BJ85" s="20">
        <f>(BI85/1000000)*AL85*(1-db!$AS$11)</f>
        <v>0</v>
      </c>
      <c r="BK85" s="20">
        <f>(BI85/1000000)*AL85*(db!$AS$11)</f>
        <v>0</v>
      </c>
      <c r="BL85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85" s="20">
        <f>Table1[[#This Row],[RiskLoading
Rate]]*Table1[[#This Row],[Death Capital (2)]]</f>
        <v>0</v>
      </c>
      <c r="BN85" s="36"/>
      <c r="BO85" s="37">
        <f t="shared" si="34"/>
        <v>0</v>
      </c>
      <c r="BP85" s="35">
        <f t="shared" si="35"/>
        <v>0</v>
      </c>
      <c r="BQ85" s="35">
        <f t="shared" si="36"/>
        <v>0</v>
      </c>
      <c r="BR85" s="37">
        <f t="shared" si="50"/>
        <v>0</v>
      </c>
      <c r="BS85" s="37">
        <f t="shared" si="41"/>
        <v>0</v>
      </c>
      <c r="BT85" s="35">
        <f t="shared" si="42"/>
        <v>0</v>
      </c>
      <c r="BU85" s="35">
        <f t="shared" si="43"/>
        <v>0</v>
      </c>
      <c r="BV85" s="37">
        <f>(db!$AS$4/100)*(L85-BT85-BU85)</f>
        <v>0</v>
      </c>
      <c r="BW85" s="37">
        <f>(db!$AS$8/100)*(L85-BT85-BU85)</f>
        <v>0</v>
      </c>
      <c r="BX85" s="35"/>
      <c r="BY85" s="37"/>
      <c r="BZ85" s="37"/>
      <c r="CA85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85" s="33"/>
      <c r="CC85" s="39">
        <f>ROUND((Table1[[#This Row],[Premium]]-Table1[[#This Row],[All Deductions]]),0)</f>
        <v>0</v>
      </c>
      <c r="CD85" s="39">
        <f>IF(B85=0,0,Table1[[#This Row],[Initial Reserve]]+CE84)</f>
        <v>0</v>
      </c>
      <c r="CE85" s="40">
        <f>ROUND(IF(B85=0,0,((CC85)*(1+db!Y87))+((CE84)*(1+db!U87))),0)</f>
        <v>0</v>
      </c>
      <c r="CF85" s="40">
        <f t="shared" si="48"/>
        <v>0</v>
      </c>
      <c r="CG85" s="15">
        <f t="shared" si="44"/>
        <v>84</v>
      </c>
      <c r="CH85" s="39">
        <f>IF(B85=0,0,((CC85)*(1+db!AH87))+((CH84)*(1+db!AD87)))</f>
        <v>0</v>
      </c>
      <c r="CI85" s="39">
        <f>IF(B85=0,0,((CC85)*(1+db!AH87))+((CI84)*(1+db!AD87)))</f>
        <v>0</v>
      </c>
      <c r="CJ85" s="40">
        <f>IF(B85=0,0,((CC85)*(1+db!AO87))+((CJ84)*(1+db!AK87)))</f>
        <v>0</v>
      </c>
      <c r="CK85" s="40">
        <f>CJ85-(SUM(BX$7:$BX86))</f>
        <v>0</v>
      </c>
    </row>
    <row r="86" spans="1:89">
      <c r="A86" s="24">
        <f t="shared" si="45"/>
        <v>85</v>
      </c>
      <c r="B86" s="16">
        <f>IF(AND(Changes!Change="Yes", Changes!ChangeType="Change Contract Duration"),IF(B85=0,0,IF(Changes!NewChangedValue&lt;B85+1,0,B85+1)),IF(B85=0,0,IF('Application Annually'!$C$5&lt;B85+1,0,B85+1)))</f>
        <v>0</v>
      </c>
      <c r="C86" s="15">
        <f t="shared" si="49"/>
        <v>0</v>
      </c>
      <c r="D86" s="312">
        <f t="shared" si="47"/>
        <v>112</v>
      </c>
      <c r="E86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86" s="29">
        <f t="shared" si="37"/>
        <v>0</v>
      </c>
      <c r="G86" s="29">
        <f t="shared" si="38"/>
        <v>0</v>
      </c>
      <c r="H86" s="29">
        <f t="shared" si="29"/>
        <v>0</v>
      </c>
      <c r="I86" s="29">
        <f>IF(B86&gt;0,IF(AND(Table1[[#This Row],[Year]]&gt;Changes!ValidityYear,Changes!Change="Yes",Changes!ChangeType="Change Value Adjustment"),Changes!$G$22,'Application Annually'!$C$11),0)</f>
        <v>0</v>
      </c>
      <c r="J86" s="29">
        <f>IF(B86&gt;0,IF(AND(Table1[[#This Row],[Year]]&gt;Changes!ValidityYear,Changes!Change="Yes",Changes!ChangeType="Change Value Adjustment"),Changes!$G$24,'Application Annually'!$C$7),0)</f>
        <v>0</v>
      </c>
      <c r="K86" s="29">
        <f>ROUND(IF(B86=0,0,IF(AND(Changes!Change="Yes", Changes!ValidityYear=Table1[[#This Row],[Year]], Changes!ChangeType="Change Premium"), Changes!NewChangedValue, (K85*(1+db!$B$3)))),0)</f>
        <v>0</v>
      </c>
      <c r="L86" s="29">
        <f>ROUND(IF(AND(Changes!Change="Yes",Changes!ValidityYear&lt;=Table1[[#This Row],[Year]],Changes!ChangeType="Paid-Up"),0,IF(B86=0,0,IF(AND(Changes!Change="Yes", Changes!ValidityYear=Table1[[#This Row],[Year]], Changes!ChangeType="Change Premium"), Changes!NewChangedValue, (L85*(1+Table1[[#This Row],[Adjustment Factor of Premium]]/100))))),0)</f>
        <v>0</v>
      </c>
      <c r="M86" s="29">
        <f>IF(Table1[[#This Row],[Year]]=1,ROUND(MIN($L$2 -( Table1[[#This Row],[Riders Risk Premiums]] + Table1[[#This Row],[Acquisition Cost]]) *0.75,Table1[[#This Row],[Death Capital (1)]]* 0.03),0),0)</f>
        <v>0</v>
      </c>
      <c r="N86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86" s="29">
        <f>ROUND(IF(ROW()-1&gt;InsurancePeriod,0,(O85*(1+(Table1[[#This Row],[Adjustment Factor of Premium]]/100)))),0)</f>
        <v>0</v>
      </c>
      <c r="P86" s="29">
        <f>IF(Table1[Year] = 0, 0, SUM(L$2:L86))</f>
        <v>0</v>
      </c>
      <c r="Q86" s="17">
        <f t="shared" si="30"/>
        <v>0</v>
      </c>
      <c r="R86" s="17">
        <f>IF(Table1[[#This Row],[Year]]=0,0,IF($C$2&lt;=50,LOOKUP(Table1[[#This Row],[Age]],db!BG87:BG193,db!BH87:BH193),LOOKUP(Table1[[#This Row],[Age]],db!BJ87:BJ193,db!BK87:BK193)))</f>
        <v>0</v>
      </c>
      <c r="S86" s="17">
        <f>IF(AND(Changes!Change="Yes",Changes!ValidityYear&lt;=Table1[[#This Row],[Year]],Changes!ChangeType="Paid-Up",PaidUpOption="Paid-up with no coverage"),0,IF(B86=0,0, IF(AND(Changes!Change="Yes", Changes!ValidityYear=Table1[[#This Row],[Year]], Changes!ChangeType="Change Death Capital"), Changes!NewChangedValue, S85*(1+(Table1[[#This Row],[Adjustment Factor of Death Capital]]/100)))))</f>
        <v>0</v>
      </c>
      <c r="T86" s="17">
        <f>MIN(IF(B86=0,0,Table1[[#This Row],[Death Capital (1)]]),Table1[[#This Row],[Max Sum Insured For Death]])</f>
        <v>0</v>
      </c>
      <c r="U86" s="29">
        <f t="shared" si="39"/>
        <v>0</v>
      </c>
      <c r="V86" s="29">
        <f>IF(AND(Changes!Change="Yes",Changes!ValidityYear&lt;=Table1[[#This Row],[Year]],Changes!ChangeType="Paid-Up",OR(PaidUpOption="Paid-up with no coverage",PaidUpOption="Paid-up with main coverage")),0,IF(B86=0,0,IF(AND(Changes!Change="Yes", Changes!ValidityYear&lt;=Table1[[#This Row],[Year]], Changes!ChangeType="Rider Inclusion/Exclusion", Changes!RiderType="Accident Death"), T86*Changes!NewChangedValue,IF(db!$D$6="Yes",(db!$B$6)*T86,0))))</f>
        <v>0</v>
      </c>
      <c r="W86" s="29">
        <f>MIN(IF(V86&lt;=db!$L$2,V86,db!$L$2),MAX_ACC_CAPITAL)</f>
        <v>0</v>
      </c>
      <c r="X86" s="17">
        <f>IF(AND(Changes!Change="Yes",Changes!ValidityYear&lt;=Table1[[#This Row],[Year]],Changes!ChangeType="Paid-Up",OR(PaidUpOption="Paid-up with no coverage",PaidUpOption="Paid-up with main coverage")),0,IF(OR(B86=0,Table1[[#This Row],[Accident Capital (2)]]=0),0,IF(AND(Changes!Change="Yes", Changes!ValidityYear&lt;=Table1[[#This Row],[Year]], Changes!ChangeType="Rider Inclusion/Exclusion", Changes!RiderType="Accident Disability"), T86*Changes!NewChangedValue,IF(db!$D$7="Yes",(db!$B$7)*T86,0))))</f>
        <v>0</v>
      </c>
      <c r="Y86" s="42">
        <f>IF(C86&gt;69,0,IF(C86=0,0,IF(X86&lt;=db!$L$3,X86,db!$L$3)))</f>
        <v>0</v>
      </c>
      <c r="Z86" s="29">
        <f>IF(AND(Changes!Change="Yes",Changes!ValidityYear&lt;=Table1[[#This Row],[Year]],Changes!ChangeType="Paid-Up",OR(PaidUpOption="Paid-up with no coverage",PaidUpOption="Paid-up with main coverage")),0,IF(OR(B86=0,Table1[[#This Row],[Accident Capital (2)]]=0),0,IF(AND(Changes!Change="Yes", Changes!ValidityYear&lt;=Table1[[#This Row],[Year]], Changes!ChangeType="Rider Inclusion/Exclusion", Changes!RiderType="Accident Medical Cost"), T86*Changes!NewChangedValue,IF(db!$D$9="Yes",(db!$B$9)*T86,0))))</f>
        <v>0</v>
      </c>
      <c r="AA86" s="29">
        <f>ROUND(IF(C86&gt;69,0,IF(C86=0,0,IF(Z86&lt;=db!$L$4,Z86,db!$L$4))),0)</f>
        <v>0</v>
      </c>
      <c r="AB86" s="38">
        <f>IF(AND(Changes!Change = "Yes", Changes!ChangeType = "Rider Inclusion/Exclusion", Changes!RiderType = "WOP"), IF( Changes!ValidityYear &lt;= Table1[[#This Row],[Year]], IF(WOP = "Yes", 0, 1),  IF(WOP = "Yes", 1, 0)), IF(AND(db!$D$8="Yes",C86&lt;=69,ROW()-1&lt;=InsurancePeriod), 1, 0))</f>
        <v>0</v>
      </c>
      <c r="AC86" s="17">
        <f>(AC87+K87)*AB86*((1)/(1+db!AA88))*(LOOKUP(C86,'Mortality Table'!$A$2:$A$108,'Mortality Table'!$E$2:$E$108))</f>
        <v>0</v>
      </c>
      <c r="AD86" s="340">
        <f>IF(AND(Changes!ValidityYear&lt;= Table1[[#This Row],[Year]],Changes!ChangeType="Change Value Adjustment",Changes!Change="Yes"), (AD87+L87)*AB86*((1)/(1+db!AA88))*(LOOKUP(C86,'Mortality Table'!$A$2:$A$108,'Mortality Table'!$E$2:$E$108)),Table1[[#This Row],[WOP Before Adj. BT]])</f>
        <v>0</v>
      </c>
      <c r="AE86" s="341">
        <f>IF(AND(Changes!Change="Yes", Changes!ChangeType="Change Value Adjustment"),Table1[[#This Row],[WOP Capital]],(AE87+O87)*AB86*((1)/(1+db!AA88))*(LOOKUP(D86,'Mortality Table'!$A$2:$A$108,'Mortality Table'!$E$2:$E$108)))</f>
        <v>0</v>
      </c>
      <c r="AF86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86" s="42">
        <f>IF(AND(Changes!Change="Yes", Changes!ValidityYear&lt;=Table1[[#This Row],[Year]], Changes!ChangeType="Rider Inclusion/Exclusion", Changes!RiderType="Disability Annuity"), L86*Changes!NewChangedValue,L86*db!B$10*IF(db!$D$10="Yes",1,0))</f>
        <v>0</v>
      </c>
      <c r="AH86" s="29">
        <f>IF(AND(Changes!Change="Yes",Changes!ValidityYear&lt;=Table1[[#This Row],[Year]],Changes!ChangeType="Paid-Up"),0,Table1[[#This Row],[Code Annuity Capital]]*IF('Annual Calculation'!C86&gt;69,0,(LOOKUP('Annual Calculation'!C86+1,'Mortality Table'!$A$2:$A$108,'Mortality Table'!$O$2:$O$108)-LOOKUP('Annual Calculation'!C86+11,'Mortality Table'!$A$2:$A$108,'Mortality Table'!$O$2:$O$108))/LOOKUP('Annual Calculation'!C86,'Mortality Table'!$A$2:$A$108,'Mortality Table'!$M$2:$M$108)))</f>
        <v>0</v>
      </c>
      <c r="AI86" s="17">
        <f>IF(AND(Changes!Change="Yes",Changes!ValidityYear&lt;=Table1[[#This Row],[Year]],Changes!ChangeType="Paid-Up",OR(PaidUpOption="Paid-up with no coverage",PaidUpOption="Paid-up with main coverage")),0,IF(B86=0,0,IF(AND(Changes!Change="Yes", Changes!ValidityYear&lt;=Table1[[#This Row],[Year]], Changes!ChangeType="Rider Inclusion/Exclusion", Changes!RiderType="Dread Disease"), T86*Changes!NewChangedValue,IF(db!$D$11="Yes",(db!$B$11)*T86,0))))</f>
        <v>0</v>
      </c>
      <c r="AJ86" s="42">
        <f>ROUND(IF(C86&gt;59,0,IF(C86=0,0,IF(AI86&lt;=db!$L$5,AI86,db!$L$5))),0)</f>
        <v>0</v>
      </c>
      <c r="AK86" s="29">
        <f>IF(AND(Changes!Change="Yes",Changes!ValidityYear&lt;=Table1[[#This Row],[Year]],Changes!ChangeType="Paid-Up",OR(PaidUpOption="Paid-up with no coverage",PaidUpOption="Paid-up with main coverage")),0,IF(B86=0,0,IF(AND(Changes!Change="Yes", Changes!ValidityYear&lt;=Table1[[#This Row],[Year]], Changes!ChangeType="Rider Inclusion/Exclusion", Changes!RiderType="Cancer"), T86*Changes!NewChangedValue,IF(db!$D$12="Yes",(db!$B$12)*T86,0))))</f>
        <v>0</v>
      </c>
      <c r="AL86" s="29">
        <f>ROUND(IF(C86&gt;59,0,IF(C86=0,0,IF(AK86&lt;=db!$L$6,AK86,db!$L$6))),0)</f>
        <v>0</v>
      </c>
      <c r="AM86" s="32"/>
      <c r="AN86" s="18">
        <f>IF(B86=0,0,IF(C86&lt;(db!$E$2+5),LOOKUP(C86,'Mortality Table'!$A$2:$A$108,'Mortality Table'!$P$2:$P$108),IF((C86&gt;=db!$E$2+10),LOOKUP(C86,'Mortality Table'!$A$2:$A$108,'Mortality Table'!$R$2:$R$108),LOOKUP(C86,'Mortality Table'!$A$2:$A$108,'Mortality Table'!$Q$2:$Q$108))))</f>
        <v>0</v>
      </c>
      <c r="AO86" s="22">
        <f t="shared" si="31"/>
        <v>0</v>
      </c>
      <c r="AP86" s="19">
        <f>IF(B86=0,0, LOOKUP(IF(AND(Changes!Change="Yes", Changes!ValidityYear&lt;=Table1[[#This Row],[Year]], Changes!ChangeType="Change Job Class"),Changes!NewChangedValue, db!$A$8),db!$AX$4:$AX$8,db!$AY$4:$AY$8))</f>
        <v>0</v>
      </c>
      <c r="AQ86" s="20">
        <f>ROUND((AP86/1000)*W86 * (1-db!$AS$9),0)</f>
        <v>0</v>
      </c>
      <c r="AR86" s="20">
        <f>(AP86/1000)*W86 * db!$AS$9</f>
        <v>0</v>
      </c>
      <c r="AS86" s="21">
        <f>IF(B86=0,0, LOOKUP(IF(AND(Changes!Change="Yes", Changes!ValidityYear&lt;=Table1[[#This Row],[Year]], Changes!ChangeType="Change Job Class"),Changes!NewChangedValue, db!$A$8),db!$AX$4:$AX$8,db!$AZ$4:$AZ$8))</f>
        <v>0</v>
      </c>
      <c r="AT86" s="22">
        <f>(AS86/1000)*Y86*(1-db!$AS$9)</f>
        <v>0</v>
      </c>
      <c r="AU86" s="22">
        <f>(AS86/1000)*Y86*(db!$AS$9)</f>
        <v>0</v>
      </c>
      <c r="AV86" s="23">
        <f>IF(B86=0,0, LOOKUP(IF(AND(Changes!Change="Yes", Changes!ValidityYear&lt;=Table1[[#This Row],[Year]], Changes!ChangeType="Change Job Class"),Changes!NewChangedValue, db!$A$8),db!$AX$4:$AX$8,db!$BA$4:$BA$8))</f>
        <v>0</v>
      </c>
      <c r="AW86" s="20">
        <f>ROUND((AV86/(100))*AA86*(1-db!$AS$9),0)</f>
        <v>0</v>
      </c>
      <c r="AX86" s="20">
        <f>ROUND((AV86/(100))*AA86*(db!$AS$9),0)</f>
        <v>0</v>
      </c>
      <c r="AY86" s="21">
        <f>IF(db!$D$8="Yes",AS86,0)</f>
        <v>0</v>
      </c>
      <c r="AZ86" s="22">
        <f>(AY86*AF86)/1000*(1-db!$AS$9)</f>
        <v>0</v>
      </c>
      <c r="BA86" s="22">
        <f>(AY86*AF86)/1000*(db!$AS$9)</f>
        <v>0</v>
      </c>
      <c r="BB86" s="23">
        <f t="shared" si="32"/>
        <v>0</v>
      </c>
      <c r="BC86" s="20">
        <f>(BB86*AH86/1000)*(1-db!$AS$9)</f>
        <v>0</v>
      </c>
      <c r="BD86" s="20">
        <f>(BB86*AH86/1000)*(db!$AS$9)</f>
        <v>0</v>
      </c>
      <c r="BE86" s="22">
        <f>IF(B86=0,0,IF(C86&gt;60,0,LOOKUP(Table1[[#This Row],[Medical
Age]],db!$BC$3:$BC$63,db!$BD$3:$BD$63)))</f>
        <v>0</v>
      </c>
      <c r="BF86" s="22">
        <f>BG86*db!$AS$10</f>
        <v>0</v>
      </c>
      <c r="BG86" s="22">
        <f t="shared" si="33"/>
        <v>0</v>
      </c>
      <c r="BH86" s="22">
        <f>(BE86/1000000)*AJ86*(1-db!$AS$10)</f>
        <v>0</v>
      </c>
      <c r="BI86" s="20">
        <f>IF(B86=0,0,IF(C86&gt;59,0,LOOKUP(Table1[[#This Row],[Medical
Age]],db!$BC$3:$BC$63,db!$BE$3:$BE$63)))</f>
        <v>0</v>
      </c>
      <c r="BJ86" s="20">
        <f>(BI86/1000000)*AL86*(1-db!$AS$11)</f>
        <v>0</v>
      </c>
      <c r="BK86" s="20">
        <f>(BI86/1000000)*AL86*(db!$AS$11)</f>
        <v>0</v>
      </c>
      <c r="BL86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86" s="20">
        <f>Table1[[#This Row],[RiskLoading
Rate]]*Table1[[#This Row],[Death Capital (2)]]</f>
        <v>0</v>
      </c>
      <c r="BN86" s="36"/>
      <c r="BO86" s="37">
        <f t="shared" si="34"/>
        <v>0</v>
      </c>
      <c r="BP86" s="35">
        <f t="shared" si="35"/>
        <v>0</v>
      </c>
      <c r="BQ86" s="35">
        <f t="shared" si="36"/>
        <v>0</v>
      </c>
      <c r="BR86" s="37">
        <f t="shared" si="50"/>
        <v>0</v>
      </c>
      <c r="BS86" s="37">
        <f t="shared" si="41"/>
        <v>0</v>
      </c>
      <c r="BT86" s="35">
        <f t="shared" si="42"/>
        <v>0</v>
      </c>
      <c r="BU86" s="35">
        <f t="shared" si="43"/>
        <v>0</v>
      </c>
      <c r="BV86" s="37">
        <f>(db!$AS$4/100)*(L86-BT86-BU86)</f>
        <v>0</v>
      </c>
      <c r="BW86" s="37">
        <f>(db!$AS$8/100)*(L86-BT86-BU86)</f>
        <v>0</v>
      </c>
      <c r="BX86" s="35"/>
      <c r="BY86" s="37"/>
      <c r="BZ86" s="37"/>
      <c r="CA86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86" s="33"/>
      <c r="CC86" s="39">
        <f>ROUND((Table1[[#This Row],[Premium]]-Table1[[#This Row],[All Deductions]]),0)</f>
        <v>0</v>
      </c>
      <c r="CD86" s="39">
        <f>IF(B86=0,0,Table1[[#This Row],[Initial Reserve]]+CE85)</f>
        <v>0</v>
      </c>
      <c r="CE86" s="40">
        <f>ROUND(IF(B86=0,0,((CC86)*(1+db!Y88))+((CE85)*(1+db!U88))),0)</f>
        <v>0</v>
      </c>
      <c r="CF86" s="40">
        <f t="shared" si="48"/>
        <v>0</v>
      </c>
      <c r="CG86" s="15">
        <f t="shared" si="44"/>
        <v>85</v>
      </c>
      <c r="CH86" s="39">
        <f>IF(B86=0,0,((CC86)*(1+db!AH88))+((CH85)*(1+db!AD88)))</f>
        <v>0</v>
      </c>
      <c r="CI86" s="39">
        <f>IF(B86=0,0,((CC86)*(1+db!AH88))+((CI85)*(1+db!AD88)))</f>
        <v>0</v>
      </c>
      <c r="CJ86" s="40">
        <f>IF(B86=0,0,((CC86)*(1+db!AO88))+((CJ85)*(1+db!AK88)))</f>
        <v>0</v>
      </c>
      <c r="CK86" s="40">
        <f>CJ86-(SUM(BX$7:$BX87))</f>
        <v>0</v>
      </c>
    </row>
    <row r="87" spans="1:89">
      <c r="A87" s="24">
        <f t="shared" si="45"/>
        <v>86</v>
      </c>
      <c r="B87" s="16">
        <f>IF(AND(Changes!Change="Yes", Changes!ChangeType="Change Contract Duration"),IF(B86=0,0,IF(Changes!NewChangedValue&lt;B86+1,0,B86+1)),IF(B86=0,0,IF('Application Annually'!$C$5&lt;B86+1,0,B86+1)))</f>
        <v>0</v>
      </c>
      <c r="C87" s="15">
        <f t="shared" si="49"/>
        <v>0</v>
      </c>
      <c r="D87" s="312">
        <f t="shared" si="47"/>
        <v>113</v>
      </c>
      <c r="E87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87" s="29">
        <f t="shared" si="37"/>
        <v>0</v>
      </c>
      <c r="G87" s="29">
        <f t="shared" si="38"/>
        <v>0</v>
      </c>
      <c r="H87" s="29">
        <f t="shared" si="29"/>
        <v>0</v>
      </c>
      <c r="I87" s="29">
        <f>IF(B87&gt;0,IF(AND(Table1[[#This Row],[Year]]&gt;Changes!ValidityYear,Changes!Change="Yes",Changes!ChangeType="Change Value Adjustment"),Changes!$G$22,'Application Annually'!$C$11),0)</f>
        <v>0</v>
      </c>
      <c r="J87" s="29">
        <f>IF(B87&gt;0,IF(AND(Table1[[#This Row],[Year]]&gt;Changes!ValidityYear,Changes!Change="Yes",Changes!ChangeType="Change Value Adjustment"),Changes!$G$24,'Application Annually'!$C$7),0)</f>
        <v>0</v>
      </c>
      <c r="K87" s="29">
        <f>ROUND(IF(B87=0,0,IF(AND(Changes!Change="Yes", Changes!ValidityYear=Table1[[#This Row],[Year]], Changes!ChangeType="Change Premium"), Changes!NewChangedValue, (K86*(1+db!$B$3)))),0)</f>
        <v>0</v>
      </c>
      <c r="L87" s="29">
        <f>ROUND(IF(AND(Changes!Change="Yes",Changes!ValidityYear&lt;=Table1[[#This Row],[Year]],Changes!ChangeType="Paid-Up"),0,IF(B87=0,0,IF(AND(Changes!Change="Yes", Changes!ValidityYear=Table1[[#This Row],[Year]], Changes!ChangeType="Change Premium"), Changes!NewChangedValue, (L86*(1+Table1[[#This Row],[Adjustment Factor of Premium]]/100))))),0)</f>
        <v>0</v>
      </c>
      <c r="M87" s="29">
        <f>IF(Table1[[#This Row],[Year]]=1,ROUND(MIN($L$2 -( Table1[[#This Row],[Riders Risk Premiums]] + Table1[[#This Row],[Acquisition Cost]]) *0.75,Table1[[#This Row],[Death Capital (1)]]* 0.03),0),0)</f>
        <v>0</v>
      </c>
      <c r="N87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87" s="29">
        <f>ROUND(IF(ROW()-1&gt;InsurancePeriod,0,(O86*(1+(Table1[[#This Row],[Adjustment Factor of Premium]]/100)))),0)</f>
        <v>0</v>
      </c>
      <c r="P87" s="29">
        <f>IF(Table1[Year] = 0, 0, SUM(L$2:L87))</f>
        <v>0</v>
      </c>
      <c r="Q87" s="17">
        <f t="shared" si="30"/>
        <v>0</v>
      </c>
      <c r="R87" s="17">
        <f>IF(Table1[[#This Row],[Year]]=0,0,IF($C$2&lt;=50,LOOKUP(Table1[[#This Row],[Age]],db!BG88:BG194,db!BH88:BH194),LOOKUP(Table1[[#This Row],[Age]],db!BJ88:BJ194,db!BK88:BK194)))</f>
        <v>0</v>
      </c>
      <c r="S87" s="17">
        <f>IF(AND(Changes!Change="Yes",Changes!ValidityYear&lt;=Table1[[#This Row],[Year]],Changes!ChangeType="Paid-Up",PaidUpOption="Paid-up with no coverage"),0,IF(B87=0,0, IF(AND(Changes!Change="Yes", Changes!ValidityYear=Table1[[#This Row],[Year]], Changes!ChangeType="Change Death Capital"), Changes!NewChangedValue, S86*(1+(Table1[[#This Row],[Adjustment Factor of Death Capital]]/100)))))</f>
        <v>0</v>
      </c>
      <c r="T87" s="17">
        <f>MIN(IF(B87=0,0,Table1[[#This Row],[Death Capital (1)]]),Table1[[#This Row],[Max Sum Insured For Death]])</f>
        <v>0</v>
      </c>
      <c r="U87" s="29">
        <f t="shared" si="39"/>
        <v>0</v>
      </c>
      <c r="V87" s="29">
        <f>IF(AND(Changes!Change="Yes",Changes!ValidityYear&lt;=Table1[[#This Row],[Year]],Changes!ChangeType="Paid-Up",OR(PaidUpOption="Paid-up with no coverage",PaidUpOption="Paid-up with main coverage")),0,IF(B87=0,0,IF(AND(Changes!Change="Yes", Changes!ValidityYear&lt;=Table1[[#This Row],[Year]], Changes!ChangeType="Rider Inclusion/Exclusion", Changes!RiderType="Accident Death"), T87*Changes!NewChangedValue,IF(db!$D$6="Yes",(db!$B$6)*T87,0))))</f>
        <v>0</v>
      </c>
      <c r="W87" s="29">
        <f>MIN(IF(V87&lt;=db!$L$2,V87,db!$L$2),MAX_ACC_CAPITAL)</f>
        <v>0</v>
      </c>
      <c r="X87" s="17">
        <f>IF(AND(Changes!Change="Yes",Changes!ValidityYear&lt;=Table1[[#This Row],[Year]],Changes!ChangeType="Paid-Up",OR(PaidUpOption="Paid-up with no coverage",PaidUpOption="Paid-up with main coverage")),0,IF(OR(B87=0,Table1[[#This Row],[Accident Capital (2)]]=0),0,IF(AND(Changes!Change="Yes", Changes!ValidityYear&lt;=Table1[[#This Row],[Year]], Changes!ChangeType="Rider Inclusion/Exclusion", Changes!RiderType="Accident Disability"), T87*Changes!NewChangedValue,IF(db!$D$7="Yes",(db!$B$7)*T87,0))))</f>
        <v>0</v>
      </c>
      <c r="Y87" s="42">
        <f>IF(C87&gt;69,0,IF(C87=0,0,IF(X87&lt;=db!$L$3,X87,db!$L$3)))</f>
        <v>0</v>
      </c>
      <c r="Z87" s="29">
        <f>IF(AND(Changes!Change="Yes",Changes!ValidityYear&lt;=Table1[[#This Row],[Year]],Changes!ChangeType="Paid-Up",OR(PaidUpOption="Paid-up with no coverage",PaidUpOption="Paid-up with main coverage")),0,IF(OR(B87=0,Table1[[#This Row],[Accident Capital (2)]]=0),0,IF(AND(Changes!Change="Yes", Changes!ValidityYear&lt;=Table1[[#This Row],[Year]], Changes!ChangeType="Rider Inclusion/Exclusion", Changes!RiderType="Accident Medical Cost"), T87*Changes!NewChangedValue,IF(db!$D$9="Yes",(db!$B$9)*T87,0))))</f>
        <v>0</v>
      </c>
      <c r="AA87" s="29">
        <f>ROUND(IF(C87&gt;69,0,IF(C87=0,0,IF(Z87&lt;=db!$L$4,Z87,db!$L$4))),0)</f>
        <v>0</v>
      </c>
      <c r="AB87" s="38">
        <f>IF(AND(Changes!Change = "Yes", Changes!ChangeType = "Rider Inclusion/Exclusion", Changes!RiderType = "WOP"), IF( Changes!ValidityYear &lt;= Table1[[#This Row],[Year]], IF(WOP = "Yes", 0, 1),  IF(WOP = "Yes", 1, 0)), IF(AND(db!$D$8="Yes",C87&lt;=69,ROW()-1&lt;=InsurancePeriod), 1, 0))</f>
        <v>0</v>
      </c>
      <c r="AC87" s="17">
        <f>(AC88+K88)*AB87*((1)/(1+db!AA89))*(LOOKUP(C87,'Mortality Table'!$A$2:$A$108,'Mortality Table'!$E$2:$E$108))</f>
        <v>0</v>
      </c>
      <c r="AD87" s="340">
        <f>IF(AND(Changes!ValidityYear&lt;= Table1[[#This Row],[Year]],Changes!ChangeType="Change Value Adjustment",Changes!Change="Yes"), (AD88+L88)*AB87*((1)/(1+db!AA89))*(LOOKUP(C87,'Mortality Table'!$A$2:$A$108,'Mortality Table'!$E$2:$E$108)),Table1[[#This Row],[WOP Before Adj. BT]])</f>
        <v>0</v>
      </c>
      <c r="AE87" s="341">
        <f>IF(AND(Changes!Change="Yes", Changes!ChangeType="Change Value Adjustment"),Table1[[#This Row],[WOP Capital]],(AE88+O88)*AB87*((1)/(1+db!AA89))*(LOOKUP(D87,'Mortality Table'!$A$2:$A$108,'Mortality Table'!$E$2:$E$108)))</f>
        <v>0</v>
      </c>
      <c r="AF87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87" s="42">
        <f>IF(AND(Changes!Change="Yes", Changes!ValidityYear&lt;=Table1[[#This Row],[Year]], Changes!ChangeType="Rider Inclusion/Exclusion", Changes!RiderType="Disability Annuity"), L87*Changes!NewChangedValue,L87*db!B$10*IF(db!$D$10="Yes",1,0))</f>
        <v>0</v>
      </c>
      <c r="AH87" s="29">
        <f>IF(AND(Changes!Change="Yes",Changes!ValidityYear&lt;=Table1[[#This Row],[Year]],Changes!ChangeType="Paid-Up"),0,Table1[[#This Row],[Code Annuity Capital]]*IF('Annual Calculation'!C87&gt;69,0,(LOOKUP('Annual Calculation'!C87+1,'Mortality Table'!$A$2:$A$108,'Mortality Table'!$O$2:$O$108)-LOOKUP('Annual Calculation'!C87+11,'Mortality Table'!$A$2:$A$108,'Mortality Table'!$O$2:$O$108))/LOOKUP('Annual Calculation'!C87,'Mortality Table'!$A$2:$A$108,'Mortality Table'!$M$2:$M$108)))</f>
        <v>0</v>
      </c>
      <c r="AI87" s="17">
        <f>IF(AND(Changes!Change="Yes",Changes!ValidityYear&lt;=Table1[[#This Row],[Year]],Changes!ChangeType="Paid-Up",OR(PaidUpOption="Paid-up with no coverage",PaidUpOption="Paid-up with main coverage")),0,IF(B87=0,0,IF(AND(Changes!Change="Yes", Changes!ValidityYear&lt;=Table1[[#This Row],[Year]], Changes!ChangeType="Rider Inclusion/Exclusion", Changes!RiderType="Dread Disease"), T87*Changes!NewChangedValue,IF(db!$D$11="Yes",(db!$B$11)*T87,0))))</f>
        <v>0</v>
      </c>
      <c r="AJ87" s="42">
        <f>ROUND(IF(C87&gt;59,0,IF(C87=0,0,IF(AI87&lt;=db!$L$5,AI87,db!$L$5))),0)</f>
        <v>0</v>
      </c>
      <c r="AK87" s="29">
        <f>IF(AND(Changes!Change="Yes",Changes!ValidityYear&lt;=Table1[[#This Row],[Year]],Changes!ChangeType="Paid-Up",OR(PaidUpOption="Paid-up with no coverage",PaidUpOption="Paid-up with main coverage")),0,IF(B87=0,0,IF(AND(Changes!Change="Yes", Changes!ValidityYear&lt;=Table1[[#This Row],[Year]], Changes!ChangeType="Rider Inclusion/Exclusion", Changes!RiderType="Cancer"), T87*Changes!NewChangedValue,IF(db!$D$12="Yes",(db!$B$12)*T87,0))))</f>
        <v>0</v>
      </c>
      <c r="AL87" s="29">
        <f>ROUND(IF(C87&gt;59,0,IF(C87=0,0,IF(AK87&lt;=db!$L$6,AK87,db!$L$6))),0)</f>
        <v>0</v>
      </c>
      <c r="AM87" s="32"/>
      <c r="AN87" s="18">
        <f>IF(B87=0,0,IF(C87&lt;(db!$E$2+5),LOOKUP(C87,'Mortality Table'!$A$2:$A$108,'Mortality Table'!$P$2:$P$108),IF((C87&gt;=db!$E$2+10),LOOKUP(C87,'Mortality Table'!$A$2:$A$108,'Mortality Table'!$R$2:$R$108),LOOKUP(C87,'Mortality Table'!$A$2:$A$108,'Mortality Table'!$Q$2:$Q$108))))</f>
        <v>0</v>
      </c>
      <c r="AO87" s="22">
        <f t="shared" si="31"/>
        <v>0</v>
      </c>
      <c r="AP87" s="19">
        <f>IF(B87=0,0, LOOKUP(IF(AND(Changes!Change="Yes", Changes!ValidityYear&lt;=Table1[[#This Row],[Year]], Changes!ChangeType="Change Job Class"),Changes!NewChangedValue, db!$A$8),db!$AX$4:$AX$8,db!$AY$4:$AY$8))</f>
        <v>0</v>
      </c>
      <c r="AQ87" s="20">
        <f>ROUND((AP87/1000)*W87 * (1-db!$AS$9),0)</f>
        <v>0</v>
      </c>
      <c r="AR87" s="20">
        <f>(AP87/1000)*W87 * db!$AS$9</f>
        <v>0</v>
      </c>
      <c r="AS87" s="21">
        <f>IF(B87=0,0, LOOKUP(IF(AND(Changes!Change="Yes", Changes!ValidityYear&lt;=Table1[[#This Row],[Year]], Changes!ChangeType="Change Job Class"),Changes!NewChangedValue, db!$A$8),db!$AX$4:$AX$8,db!$AZ$4:$AZ$8))</f>
        <v>0</v>
      </c>
      <c r="AT87" s="22">
        <f>(AS87/1000)*Y87*(1-db!$AS$9)</f>
        <v>0</v>
      </c>
      <c r="AU87" s="22">
        <f>(AS87/1000)*Y87*(db!$AS$9)</f>
        <v>0</v>
      </c>
      <c r="AV87" s="23">
        <f>IF(B87=0,0, LOOKUP(IF(AND(Changes!Change="Yes", Changes!ValidityYear&lt;=Table1[[#This Row],[Year]], Changes!ChangeType="Change Job Class"),Changes!NewChangedValue, db!$A$8),db!$AX$4:$AX$8,db!$BA$4:$BA$8))</f>
        <v>0</v>
      </c>
      <c r="AW87" s="20">
        <f>ROUND((AV87/(100))*AA87*(1-db!$AS$9),0)</f>
        <v>0</v>
      </c>
      <c r="AX87" s="20">
        <f>ROUND((AV87/(100))*AA87*(db!$AS$9),0)</f>
        <v>0</v>
      </c>
      <c r="AY87" s="21">
        <f>IF(db!$D$8="Yes",AS87,0)</f>
        <v>0</v>
      </c>
      <c r="AZ87" s="22">
        <f>(AY87*AF87)/1000*(1-db!$AS$9)</f>
        <v>0</v>
      </c>
      <c r="BA87" s="22">
        <f>(AY87*AF87)/1000*(db!$AS$9)</f>
        <v>0</v>
      </c>
      <c r="BB87" s="23">
        <f t="shared" si="32"/>
        <v>0</v>
      </c>
      <c r="BC87" s="20">
        <f>(BB87*AH87/1000)*(1-db!$AS$9)</f>
        <v>0</v>
      </c>
      <c r="BD87" s="20">
        <f>(BB87*AH87/1000)*(db!$AS$9)</f>
        <v>0</v>
      </c>
      <c r="BE87" s="22">
        <f>IF(B87=0,0,IF(C87&gt;60,0,LOOKUP(Table1[[#This Row],[Medical
Age]],db!$BC$3:$BC$63,db!$BD$3:$BD$63)))</f>
        <v>0</v>
      </c>
      <c r="BF87" s="22">
        <f>BG87*db!$AS$10</f>
        <v>0</v>
      </c>
      <c r="BG87" s="22">
        <f t="shared" si="33"/>
        <v>0</v>
      </c>
      <c r="BH87" s="22">
        <f>(BE87/1000000)*AJ87*(1-db!$AS$10)</f>
        <v>0</v>
      </c>
      <c r="BI87" s="20">
        <f>IF(B87=0,0,IF(C87&gt;59,0,LOOKUP(Table1[[#This Row],[Medical
Age]],db!$BC$3:$BC$63,db!$BE$3:$BE$63)))</f>
        <v>0</v>
      </c>
      <c r="BJ87" s="20">
        <f>(BI87/1000000)*AL87*(1-db!$AS$11)</f>
        <v>0</v>
      </c>
      <c r="BK87" s="20">
        <f>(BI87/1000000)*AL87*(db!$AS$11)</f>
        <v>0</v>
      </c>
      <c r="BL87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87" s="20">
        <f>Table1[[#This Row],[RiskLoading
Rate]]*Table1[[#This Row],[Death Capital (2)]]</f>
        <v>0</v>
      </c>
      <c r="BN87" s="36"/>
      <c r="BO87" s="37">
        <f t="shared" si="34"/>
        <v>0</v>
      </c>
      <c r="BP87" s="35">
        <f t="shared" si="35"/>
        <v>0</v>
      </c>
      <c r="BQ87" s="35">
        <f t="shared" si="36"/>
        <v>0</v>
      </c>
      <c r="BR87" s="37">
        <f t="shared" si="50"/>
        <v>0</v>
      </c>
      <c r="BS87" s="37">
        <f t="shared" si="41"/>
        <v>0</v>
      </c>
      <c r="BT87" s="35">
        <f t="shared" si="42"/>
        <v>0</v>
      </c>
      <c r="BU87" s="35">
        <f t="shared" si="43"/>
        <v>0</v>
      </c>
      <c r="BV87" s="37">
        <f>(db!$AS$4/100)*(L87-BT87-BU87)</f>
        <v>0</v>
      </c>
      <c r="BW87" s="37">
        <f>(db!$AS$8/100)*(L87-BT87-BU87)</f>
        <v>0</v>
      </c>
      <c r="BX87" s="35"/>
      <c r="BY87" s="37"/>
      <c r="BZ87" s="37"/>
      <c r="CA87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87" s="33"/>
      <c r="CC87" s="39">
        <f>ROUND((Table1[[#This Row],[Premium]]-Table1[[#This Row],[All Deductions]]),0)</f>
        <v>0</v>
      </c>
      <c r="CD87" s="39">
        <f>IF(B87=0,0,Table1[[#This Row],[Initial Reserve]]+CE86)</f>
        <v>0</v>
      </c>
      <c r="CE87" s="40">
        <f>ROUND(IF(B87=0,0,((CC87)*(1+db!Y89))+((CE86)*(1+db!U89))),0)</f>
        <v>0</v>
      </c>
      <c r="CF87" s="40">
        <f t="shared" si="48"/>
        <v>0</v>
      </c>
      <c r="CG87" s="15">
        <f t="shared" si="44"/>
        <v>86</v>
      </c>
      <c r="CH87" s="39">
        <f>IF(B87=0,0,((CC87)*(1+db!AH89))+((CH86)*(1+db!AD89)))</f>
        <v>0</v>
      </c>
      <c r="CI87" s="39">
        <f>IF(B87=0,0,((CC87)*(1+db!AH89))+((CI86)*(1+db!AD89)))</f>
        <v>0</v>
      </c>
      <c r="CJ87" s="40">
        <f>IF(B87=0,0,((CC87)*(1+db!AO89))+((CJ86)*(1+db!AK89)))</f>
        <v>0</v>
      </c>
      <c r="CK87" s="40">
        <f>CJ87-(SUM(BX$7:$BX88))</f>
        <v>0</v>
      </c>
    </row>
    <row r="88" spans="1:89">
      <c r="A88" s="24">
        <f t="shared" si="45"/>
        <v>87</v>
      </c>
      <c r="B88" s="16">
        <f>IF(AND(Changes!Change="Yes", Changes!ChangeType="Change Contract Duration"),IF(B87=0,0,IF(Changes!NewChangedValue&lt;B87+1,0,B87+1)),IF(B87=0,0,IF('Application Annually'!$C$5&lt;B87+1,0,B87+1)))</f>
        <v>0</v>
      </c>
      <c r="C88" s="15">
        <f t="shared" si="49"/>
        <v>0</v>
      </c>
      <c r="D88" s="312">
        <f t="shared" si="47"/>
        <v>114</v>
      </c>
      <c r="E88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88" s="29">
        <f t="shared" si="37"/>
        <v>0</v>
      </c>
      <c r="G88" s="29">
        <f t="shared" si="38"/>
        <v>0</v>
      </c>
      <c r="H88" s="29">
        <f t="shared" si="29"/>
        <v>0</v>
      </c>
      <c r="I88" s="29">
        <f>IF(B88&gt;0,IF(AND(Table1[[#This Row],[Year]]&gt;Changes!ValidityYear,Changes!Change="Yes",Changes!ChangeType="Change Value Adjustment"),Changes!$G$22,'Application Annually'!$C$11),0)</f>
        <v>0</v>
      </c>
      <c r="J88" s="29">
        <f>IF(B88&gt;0,IF(AND(Table1[[#This Row],[Year]]&gt;Changes!ValidityYear,Changes!Change="Yes",Changes!ChangeType="Change Value Adjustment"),Changes!$G$24,'Application Annually'!$C$7),0)</f>
        <v>0</v>
      </c>
      <c r="K88" s="29">
        <f>ROUND(IF(B88=0,0,IF(AND(Changes!Change="Yes", Changes!ValidityYear=Table1[[#This Row],[Year]], Changes!ChangeType="Change Premium"), Changes!NewChangedValue, (K87*(1+db!$B$3)))),0)</f>
        <v>0</v>
      </c>
      <c r="L88" s="29">
        <f>ROUND(IF(AND(Changes!Change="Yes",Changes!ValidityYear&lt;=Table1[[#This Row],[Year]],Changes!ChangeType="Paid-Up"),0,IF(B88=0,0,IF(AND(Changes!Change="Yes", Changes!ValidityYear=Table1[[#This Row],[Year]], Changes!ChangeType="Change Premium"), Changes!NewChangedValue, (L87*(1+Table1[[#This Row],[Adjustment Factor of Premium]]/100))))),0)</f>
        <v>0</v>
      </c>
      <c r="M88" s="29">
        <f>IF(Table1[[#This Row],[Year]]=1,ROUND(MIN($L$2 -( Table1[[#This Row],[Riders Risk Premiums]] + Table1[[#This Row],[Acquisition Cost]]) *0.75,Table1[[#This Row],[Death Capital (1)]]* 0.03),0),0)</f>
        <v>0</v>
      </c>
      <c r="N88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88" s="29">
        <f>ROUND(IF(ROW()-1&gt;InsurancePeriod,0,(O87*(1+(Table1[[#This Row],[Adjustment Factor of Premium]]/100)))),0)</f>
        <v>0</v>
      </c>
      <c r="P88" s="29">
        <f>IF(Table1[Year] = 0, 0, SUM(L$2:L88))</f>
        <v>0</v>
      </c>
      <c r="Q88" s="17">
        <f t="shared" si="30"/>
        <v>0</v>
      </c>
      <c r="R88" s="17">
        <f>IF(Table1[[#This Row],[Year]]=0,0,IF($C$2&lt;=50,LOOKUP(Table1[[#This Row],[Age]],db!BG89:BG195,db!BH89:BH195),LOOKUP(Table1[[#This Row],[Age]],db!BJ89:BJ195,db!BK89:BK195)))</f>
        <v>0</v>
      </c>
      <c r="S88" s="17">
        <f>IF(AND(Changes!Change="Yes",Changes!ValidityYear&lt;=Table1[[#This Row],[Year]],Changes!ChangeType="Paid-Up",PaidUpOption="Paid-up with no coverage"),0,IF(B88=0,0, IF(AND(Changes!Change="Yes", Changes!ValidityYear=Table1[[#This Row],[Year]], Changes!ChangeType="Change Death Capital"), Changes!NewChangedValue, S87*(1+(Table1[[#This Row],[Adjustment Factor of Death Capital]]/100)))))</f>
        <v>0</v>
      </c>
      <c r="T88" s="17">
        <f>MIN(IF(B88=0,0,Table1[[#This Row],[Death Capital (1)]]),Table1[[#This Row],[Max Sum Insured For Death]])</f>
        <v>0</v>
      </c>
      <c r="U88" s="29">
        <f t="shared" si="39"/>
        <v>0</v>
      </c>
      <c r="V88" s="29">
        <f>IF(AND(Changes!Change="Yes",Changes!ValidityYear&lt;=Table1[[#This Row],[Year]],Changes!ChangeType="Paid-Up",OR(PaidUpOption="Paid-up with no coverage",PaidUpOption="Paid-up with main coverage")),0,IF(B88=0,0,IF(AND(Changes!Change="Yes", Changes!ValidityYear&lt;=Table1[[#This Row],[Year]], Changes!ChangeType="Rider Inclusion/Exclusion", Changes!RiderType="Accident Death"), T88*Changes!NewChangedValue,IF(db!$D$6="Yes",(db!$B$6)*T88,0))))</f>
        <v>0</v>
      </c>
      <c r="W88" s="29">
        <f>MIN(IF(V88&lt;=db!$L$2,V88,db!$L$2),MAX_ACC_CAPITAL)</f>
        <v>0</v>
      </c>
      <c r="X88" s="17">
        <f>IF(AND(Changes!Change="Yes",Changes!ValidityYear&lt;=Table1[[#This Row],[Year]],Changes!ChangeType="Paid-Up",OR(PaidUpOption="Paid-up with no coverage",PaidUpOption="Paid-up with main coverage")),0,IF(OR(B88=0,Table1[[#This Row],[Accident Capital (2)]]=0),0,IF(AND(Changes!Change="Yes", Changes!ValidityYear&lt;=Table1[[#This Row],[Year]], Changes!ChangeType="Rider Inclusion/Exclusion", Changes!RiderType="Accident Disability"), T88*Changes!NewChangedValue,IF(db!$D$7="Yes",(db!$B$7)*T88,0))))</f>
        <v>0</v>
      </c>
      <c r="Y88" s="42">
        <f>IF(C88&gt;69,0,IF(C88=0,0,IF(X88&lt;=db!$L$3,X88,db!$L$3)))</f>
        <v>0</v>
      </c>
      <c r="Z88" s="29">
        <f>IF(AND(Changes!Change="Yes",Changes!ValidityYear&lt;=Table1[[#This Row],[Year]],Changes!ChangeType="Paid-Up",OR(PaidUpOption="Paid-up with no coverage",PaidUpOption="Paid-up with main coverage")),0,IF(OR(B88=0,Table1[[#This Row],[Accident Capital (2)]]=0),0,IF(AND(Changes!Change="Yes", Changes!ValidityYear&lt;=Table1[[#This Row],[Year]], Changes!ChangeType="Rider Inclusion/Exclusion", Changes!RiderType="Accident Medical Cost"), T88*Changes!NewChangedValue,IF(db!$D$9="Yes",(db!$B$9)*T88,0))))</f>
        <v>0</v>
      </c>
      <c r="AA88" s="29">
        <f>ROUND(IF(C88&gt;69,0,IF(C88=0,0,IF(Z88&lt;=db!$L$4,Z88,db!$L$4))),0)</f>
        <v>0</v>
      </c>
      <c r="AB88" s="38">
        <f>IF(AND(Changes!Change = "Yes", Changes!ChangeType = "Rider Inclusion/Exclusion", Changes!RiderType = "WOP"), IF( Changes!ValidityYear &lt;= Table1[[#This Row],[Year]], IF(WOP = "Yes", 0, 1),  IF(WOP = "Yes", 1, 0)), IF(AND(db!$D$8="Yes",C88&lt;=69,ROW()-1&lt;=InsurancePeriod), 1, 0))</f>
        <v>0</v>
      </c>
      <c r="AC88" s="17">
        <f>(AC89+K89)*AB88*((1)/(1+db!AA90))*(LOOKUP(C88,'Mortality Table'!$A$2:$A$108,'Mortality Table'!$E$2:$E$108))</f>
        <v>0</v>
      </c>
      <c r="AD88" s="340">
        <f>IF(AND(Changes!ValidityYear&lt;= Table1[[#This Row],[Year]],Changes!ChangeType="Change Value Adjustment",Changes!Change="Yes"), (AD89+L89)*AB88*((1)/(1+db!AA90))*(LOOKUP(C88,'Mortality Table'!$A$2:$A$108,'Mortality Table'!$E$2:$E$108)),Table1[[#This Row],[WOP Before Adj. BT]])</f>
        <v>0</v>
      </c>
      <c r="AE88" s="341">
        <f>IF(AND(Changes!Change="Yes", Changes!ChangeType="Change Value Adjustment"),Table1[[#This Row],[WOP Capital]],(AE89+O89)*AB88*((1)/(1+db!AA90))*(LOOKUP(D88,'Mortality Table'!$A$2:$A$108,'Mortality Table'!$E$2:$E$108)))</f>
        <v>0</v>
      </c>
      <c r="AF88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88" s="42">
        <f>IF(AND(Changes!Change="Yes", Changes!ValidityYear&lt;=Table1[[#This Row],[Year]], Changes!ChangeType="Rider Inclusion/Exclusion", Changes!RiderType="Disability Annuity"), L88*Changes!NewChangedValue,L88*db!B$10*IF(db!$D$10="Yes",1,0))</f>
        <v>0</v>
      </c>
      <c r="AH88" s="29">
        <f>IF(AND(Changes!Change="Yes",Changes!ValidityYear&lt;=Table1[[#This Row],[Year]],Changes!ChangeType="Paid-Up"),0,Table1[[#This Row],[Code Annuity Capital]]*IF('Annual Calculation'!C88&gt;69,0,(LOOKUP('Annual Calculation'!C88+1,'Mortality Table'!$A$2:$A$108,'Mortality Table'!$O$2:$O$108)-LOOKUP('Annual Calculation'!C88+11,'Mortality Table'!$A$2:$A$108,'Mortality Table'!$O$2:$O$108))/LOOKUP('Annual Calculation'!C88,'Mortality Table'!$A$2:$A$108,'Mortality Table'!$M$2:$M$108)))</f>
        <v>0</v>
      </c>
      <c r="AI88" s="17">
        <f>IF(AND(Changes!Change="Yes",Changes!ValidityYear&lt;=Table1[[#This Row],[Year]],Changes!ChangeType="Paid-Up",OR(PaidUpOption="Paid-up with no coverage",PaidUpOption="Paid-up with main coverage")),0,IF(B88=0,0,IF(AND(Changes!Change="Yes", Changes!ValidityYear&lt;=Table1[[#This Row],[Year]], Changes!ChangeType="Rider Inclusion/Exclusion", Changes!RiderType="Dread Disease"), T88*Changes!NewChangedValue,IF(db!$D$11="Yes",(db!$B$11)*T88,0))))</f>
        <v>0</v>
      </c>
      <c r="AJ88" s="42">
        <f>ROUND(IF(C88&gt;59,0,IF(C88=0,0,IF(AI88&lt;=db!$L$5,AI88,db!$L$5))),0)</f>
        <v>0</v>
      </c>
      <c r="AK88" s="29">
        <f>IF(AND(Changes!Change="Yes",Changes!ValidityYear&lt;=Table1[[#This Row],[Year]],Changes!ChangeType="Paid-Up",OR(PaidUpOption="Paid-up with no coverage",PaidUpOption="Paid-up with main coverage")),0,IF(B88=0,0,IF(AND(Changes!Change="Yes", Changes!ValidityYear&lt;=Table1[[#This Row],[Year]], Changes!ChangeType="Rider Inclusion/Exclusion", Changes!RiderType="Cancer"), T88*Changes!NewChangedValue,IF(db!$D$12="Yes",(db!$B$12)*T88,0))))</f>
        <v>0</v>
      </c>
      <c r="AL88" s="29">
        <f>ROUND(IF(C88&gt;59,0,IF(C88=0,0,IF(AK88&lt;=db!$L$6,AK88,db!$L$6))),0)</f>
        <v>0</v>
      </c>
      <c r="AM88" s="32"/>
      <c r="AN88" s="18">
        <f>IF(B88=0,0,IF(C88&lt;(db!$E$2+5),LOOKUP(C88,'Mortality Table'!$A$2:$A$108,'Mortality Table'!$P$2:$P$108),IF((C88&gt;=db!$E$2+10),LOOKUP(C88,'Mortality Table'!$A$2:$A$108,'Mortality Table'!$R$2:$R$108),LOOKUP(C88,'Mortality Table'!$A$2:$A$108,'Mortality Table'!$Q$2:$Q$108))))</f>
        <v>0</v>
      </c>
      <c r="AO88" s="22">
        <f t="shared" si="31"/>
        <v>0</v>
      </c>
      <c r="AP88" s="19">
        <f>IF(B88=0,0, LOOKUP(IF(AND(Changes!Change="Yes", Changes!ValidityYear&lt;=Table1[[#This Row],[Year]], Changes!ChangeType="Change Job Class"),Changes!NewChangedValue, db!$A$8),db!$AX$4:$AX$8,db!$AY$4:$AY$8))</f>
        <v>0</v>
      </c>
      <c r="AQ88" s="20">
        <f>ROUND((AP88/1000)*W88 * (1-db!$AS$9),0)</f>
        <v>0</v>
      </c>
      <c r="AR88" s="20">
        <f>(AP88/1000)*W88 * db!$AS$9</f>
        <v>0</v>
      </c>
      <c r="AS88" s="21">
        <f>IF(B88=0,0, LOOKUP(IF(AND(Changes!Change="Yes", Changes!ValidityYear&lt;=Table1[[#This Row],[Year]], Changes!ChangeType="Change Job Class"),Changes!NewChangedValue, db!$A$8),db!$AX$4:$AX$8,db!$AZ$4:$AZ$8))</f>
        <v>0</v>
      </c>
      <c r="AT88" s="22">
        <f>(AS88/1000)*Y88*(1-db!$AS$9)</f>
        <v>0</v>
      </c>
      <c r="AU88" s="22">
        <f>(AS88/1000)*Y88*(db!$AS$9)</f>
        <v>0</v>
      </c>
      <c r="AV88" s="23">
        <f>IF(B88=0,0, LOOKUP(IF(AND(Changes!Change="Yes", Changes!ValidityYear&lt;=Table1[[#This Row],[Year]], Changes!ChangeType="Change Job Class"),Changes!NewChangedValue, db!$A$8),db!$AX$4:$AX$8,db!$BA$4:$BA$8))</f>
        <v>0</v>
      </c>
      <c r="AW88" s="20">
        <f>ROUND((AV88/(100))*AA88*(1-db!$AS$9),0)</f>
        <v>0</v>
      </c>
      <c r="AX88" s="20">
        <f>ROUND((AV88/(100))*AA88*(db!$AS$9),0)</f>
        <v>0</v>
      </c>
      <c r="AY88" s="21">
        <f>IF(db!$D$8="Yes",AS88,0)</f>
        <v>0</v>
      </c>
      <c r="AZ88" s="22">
        <f>(AY88*AF88)/1000*(1-db!$AS$9)</f>
        <v>0</v>
      </c>
      <c r="BA88" s="22">
        <f>(AY88*AF88)/1000*(db!$AS$9)</f>
        <v>0</v>
      </c>
      <c r="BB88" s="23">
        <f t="shared" si="32"/>
        <v>0</v>
      </c>
      <c r="BC88" s="20">
        <f>(BB88*AH88/1000)*(1-db!$AS$9)</f>
        <v>0</v>
      </c>
      <c r="BD88" s="20">
        <f>(BB88*AH88/1000)*(db!$AS$9)</f>
        <v>0</v>
      </c>
      <c r="BE88" s="22">
        <f>IF(B88=0,0,IF(C88&gt;60,0,LOOKUP(Table1[[#This Row],[Medical
Age]],db!$BC$3:$BC$63,db!$BD$3:$BD$63)))</f>
        <v>0</v>
      </c>
      <c r="BF88" s="22">
        <f>BG88*db!$AS$10</f>
        <v>0</v>
      </c>
      <c r="BG88" s="22">
        <f t="shared" si="33"/>
        <v>0</v>
      </c>
      <c r="BH88" s="22">
        <f>(BE88/1000000)*AJ88*(1-db!$AS$10)</f>
        <v>0</v>
      </c>
      <c r="BI88" s="20">
        <f>IF(B88=0,0,IF(C88&gt;59,0,LOOKUP(Table1[[#This Row],[Medical
Age]],db!$BC$3:$BC$63,db!$BE$3:$BE$63)))</f>
        <v>0</v>
      </c>
      <c r="BJ88" s="20">
        <f>(BI88/1000000)*AL88*(1-db!$AS$11)</f>
        <v>0</v>
      </c>
      <c r="BK88" s="20">
        <f>(BI88/1000000)*AL88*(db!$AS$11)</f>
        <v>0</v>
      </c>
      <c r="BL88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88" s="20">
        <f>Table1[[#This Row],[RiskLoading
Rate]]*Table1[[#This Row],[Death Capital (2)]]</f>
        <v>0</v>
      </c>
      <c r="BN88" s="36"/>
      <c r="BO88" s="37">
        <f t="shared" si="34"/>
        <v>0</v>
      </c>
      <c r="BP88" s="35">
        <f t="shared" si="35"/>
        <v>0</v>
      </c>
      <c r="BQ88" s="35">
        <f t="shared" si="36"/>
        <v>0</v>
      </c>
      <c r="BR88" s="37">
        <f t="shared" si="50"/>
        <v>0</v>
      </c>
      <c r="BS88" s="37">
        <f t="shared" si="41"/>
        <v>0</v>
      </c>
      <c r="BT88" s="35">
        <f t="shared" si="42"/>
        <v>0</v>
      </c>
      <c r="BU88" s="35">
        <f t="shared" si="43"/>
        <v>0</v>
      </c>
      <c r="BV88" s="37">
        <f>(db!$AS$4/100)*(L88-BT88-BU88)</f>
        <v>0</v>
      </c>
      <c r="BW88" s="37">
        <f>(db!$AS$8/100)*(L88-BT88-BU88)</f>
        <v>0</v>
      </c>
      <c r="BX88" s="35"/>
      <c r="BY88" s="37"/>
      <c r="BZ88" s="37"/>
      <c r="CA88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88" s="33"/>
      <c r="CC88" s="39">
        <f>ROUND((Table1[[#This Row],[Premium]]-Table1[[#This Row],[All Deductions]]),0)</f>
        <v>0</v>
      </c>
      <c r="CD88" s="39">
        <f>IF(B88=0,0,Table1[[#This Row],[Initial Reserve]]+CE87)</f>
        <v>0</v>
      </c>
      <c r="CE88" s="40">
        <f>ROUND(IF(B88=0,0,((CC88)*(1+db!Y90))+((CE87)*(1+db!U90))),0)</f>
        <v>0</v>
      </c>
      <c r="CF88" s="40">
        <f t="shared" si="48"/>
        <v>0</v>
      </c>
      <c r="CG88" s="15">
        <f t="shared" si="44"/>
        <v>87</v>
      </c>
      <c r="CH88" s="39">
        <f>IF(B88=0,0,((CC88)*(1+db!AH90))+((CH87)*(1+db!AD90)))</f>
        <v>0</v>
      </c>
      <c r="CI88" s="39">
        <f>IF(B88=0,0,((CC88)*(1+db!AH90))+((CI87)*(1+db!AD90)))</f>
        <v>0</v>
      </c>
      <c r="CJ88" s="40">
        <f>IF(B88=0,0,((CC88)*(1+db!AO90))+((CJ87)*(1+db!AK90)))</f>
        <v>0</v>
      </c>
      <c r="CK88" s="40">
        <f>CJ88-(SUM(BX$7:$BX89))</f>
        <v>0</v>
      </c>
    </row>
    <row r="89" spans="1:89">
      <c r="A89" s="24">
        <f t="shared" si="45"/>
        <v>88</v>
      </c>
      <c r="B89" s="16">
        <f>IF(AND(Changes!Change="Yes", Changes!ChangeType="Change Contract Duration"),IF(B88=0,0,IF(Changes!NewChangedValue&lt;B88+1,0,B88+1)),IF(B88=0,0,IF('Application Annually'!$C$5&lt;B88+1,0,B88+1)))</f>
        <v>0</v>
      </c>
      <c r="C89" s="15">
        <f t="shared" si="49"/>
        <v>0</v>
      </c>
      <c r="D89" s="312">
        <f t="shared" si="47"/>
        <v>115</v>
      </c>
      <c r="E89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89" s="29">
        <f t="shared" si="37"/>
        <v>0</v>
      </c>
      <c r="G89" s="29">
        <f t="shared" si="38"/>
        <v>0</v>
      </c>
      <c r="H89" s="29">
        <f t="shared" si="29"/>
        <v>0</v>
      </c>
      <c r="I89" s="29">
        <f>IF(B89&gt;0,IF(AND(Table1[[#This Row],[Year]]&gt;Changes!ValidityYear,Changes!Change="Yes",Changes!ChangeType="Change Value Adjustment"),Changes!$G$22,'Application Annually'!$C$11),0)</f>
        <v>0</v>
      </c>
      <c r="J89" s="29">
        <f>IF(B89&gt;0,IF(AND(Table1[[#This Row],[Year]]&gt;Changes!ValidityYear,Changes!Change="Yes",Changes!ChangeType="Change Value Adjustment"),Changes!$G$24,'Application Annually'!$C$7),0)</f>
        <v>0</v>
      </c>
      <c r="K89" s="29">
        <f>ROUND(IF(B89=0,0,IF(AND(Changes!Change="Yes", Changes!ValidityYear=Table1[[#This Row],[Year]], Changes!ChangeType="Change Premium"), Changes!NewChangedValue, (K88*(1+db!$B$3)))),0)</f>
        <v>0</v>
      </c>
      <c r="L89" s="29">
        <f>ROUND(IF(AND(Changes!Change="Yes",Changes!ValidityYear&lt;=Table1[[#This Row],[Year]],Changes!ChangeType="Paid-Up"),0,IF(B89=0,0,IF(AND(Changes!Change="Yes", Changes!ValidityYear=Table1[[#This Row],[Year]], Changes!ChangeType="Change Premium"), Changes!NewChangedValue, (L88*(1+Table1[[#This Row],[Adjustment Factor of Premium]]/100))))),0)</f>
        <v>0</v>
      </c>
      <c r="M89" s="29">
        <f>IF(Table1[[#This Row],[Year]]=1,ROUND(MIN($L$2 -( Table1[[#This Row],[Riders Risk Premiums]] + Table1[[#This Row],[Acquisition Cost]]) *0.75,Table1[[#This Row],[Death Capital (1)]]* 0.03),0),0)</f>
        <v>0</v>
      </c>
      <c r="N89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89" s="29">
        <f>ROUND(IF(ROW()-1&gt;InsurancePeriod,0,(O88*(1+(Table1[[#This Row],[Adjustment Factor of Premium]]/100)))),0)</f>
        <v>0</v>
      </c>
      <c r="P89" s="29">
        <f>IF(Table1[Year] = 0, 0, SUM(L$2:L89))</f>
        <v>0</v>
      </c>
      <c r="Q89" s="17">
        <f t="shared" si="30"/>
        <v>0</v>
      </c>
      <c r="R89" s="17">
        <f>IF(Table1[[#This Row],[Year]]=0,0,IF($C$2&lt;=50,LOOKUP(Table1[[#This Row],[Age]],db!BG90:BG196,db!BH90:BH196),LOOKUP(Table1[[#This Row],[Age]],db!BJ90:BJ196,db!BK90:BK196)))</f>
        <v>0</v>
      </c>
      <c r="S89" s="17">
        <f>IF(AND(Changes!Change="Yes",Changes!ValidityYear&lt;=Table1[[#This Row],[Year]],Changes!ChangeType="Paid-Up",PaidUpOption="Paid-up with no coverage"),0,IF(B89=0,0, IF(AND(Changes!Change="Yes", Changes!ValidityYear=Table1[[#This Row],[Year]], Changes!ChangeType="Change Death Capital"), Changes!NewChangedValue, S88*(1+(Table1[[#This Row],[Adjustment Factor of Death Capital]]/100)))))</f>
        <v>0</v>
      </c>
      <c r="T89" s="17">
        <f>MIN(IF(B89=0,0,Table1[[#This Row],[Death Capital (1)]]),Table1[[#This Row],[Max Sum Insured For Death]])</f>
        <v>0</v>
      </c>
      <c r="U89" s="29">
        <f t="shared" si="39"/>
        <v>0</v>
      </c>
      <c r="V89" s="29">
        <f>IF(AND(Changes!Change="Yes",Changes!ValidityYear&lt;=Table1[[#This Row],[Year]],Changes!ChangeType="Paid-Up",OR(PaidUpOption="Paid-up with no coverage",PaidUpOption="Paid-up with main coverage")),0,IF(B89=0,0,IF(AND(Changes!Change="Yes", Changes!ValidityYear&lt;=Table1[[#This Row],[Year]], Changes!ChangeType="Rider Inclusion/Exclusion", Changes!RiderType="Accident Death"), T89*Changes!NewChangedValue,IF(db!$D$6="Yes",(db!$B$6)*T89,0))))</f>
        <v>0</v>
      </c>
      <c r="W89" s="29">
        <f>MIN(IF(V89&lt;=db!$L$2,V89,db!$L$2),MAX_ACC_CAPITAL)</f>
        <v>0</v>
      </c>
      <c r="X89" s="17">
        <f>IF(AND(Changes!Change="Yes",Changes!ValidityYear&lt;=Table1[[#This Row],[Year]],Changes!ChangeType="Paid-Up",OR(PaidUpOption="Paid-up with no coverage",PaidUpOption="Paid-up with main coverage")),0,IF(OR(B89=0,Table1[[#This Row],[Accident Capital (2)]]=0),0,IF(AND(Changes!Change="Yes", Changes!ValidityYear&lt;=Table1[[#This Row],[Year]], Changes!ChangeType="Rider Inclusion/Exclusion", Changes!RiderType="Accident Disability"), T89*Changes!NewChangedValue,IF(db!$D$7="Yes",(db!$B$7)*T89,0))))</f>
        <v>0</v>
      </c>
      <c r="Y89" s="42">
        <f>IF(C89&gt;69,0,IF(C89=0,0,IF(X89&lt;=db!$L$3,X89,db!$L$3)))</f>
        <v>0</v>
      </c>
      <c r="Z89" s="29">
        <f>IF(AND(Changes!Change="Yes",Changes!ValidityYear&lt;=Table1[[#This Row],[Year]],Changes!ChangeType="Paid-Up",OR(PaidUpOption="Paid-up with no coverage",PaidUpOption="Paid-up with main coverage")),0,IF(OR(B89=0,Table1[[#This Row],[Accident Capital (2)]]=0),0,IF(AND(Changes!Change="Yes", Changes!ValidityYear&lt;=Table1[[#This Row],[Year]], Changes!ChangeType="Rider Inclusion/Exclusion", Changes!RiderType="Accident Medical Cost"), T89*Changes!NewChangedValue,IF(db!$D$9="Yes",(db!$B$9)*T89,0))))</f>
        <v>0</v>
      </c>
      <c r="AA89" s="29">
        <f>ROUND(IF(C89&gt;69,0,IF(C89=0,0,IF(Z89&lt;=db!$L$4,Z89,db!$L$4))),0)</f>
        <v>0</v>
      </c>
      <c r="AB89" s="38">
        <f>IF(AND(Changes!Change = "Yes", Changes!ChangeType = "Rider Inclusion/Exclusion", Changes!RiderType = "WOP"), IF( Changes!ValidityYear &lt;= Table1[[#This Row],[Year]], IF(WOP = "Yes", 0, 1),  IF(WOP = "Yes", 1, 0)), IF(AND(db!$D$8="Yes",C89&lt;=69,ROW()-1&lt;=InsurancePeriod), 1, 0))</f>
        <v>0</v>
      </c>
      <c r="AC89" s="17">
        <f>(AC90+K90)*AB89*((1)/(1+db!AA91))*(LOOKUP(C89,'Mortality Table'!$A$2:$A$108,'Mortality Table'!$E$2:$E$108))</f>
        <v>0</v>
      </c>
      <c r="AD89" s="340">
        <f>IF(AND(Changes!ValidityYear&lt;= Table1[[#This Row],[Year]],Changes!ChangeType="Change Value Adjustment",Changes!Change="Yes"), (AD90+L90)*AB89*((1)/(1+db!AA91))*(LOOKUP(C89,'Mortality Table'!$A$2:$A$108,'Mortality Table'!$E$2:$E$108)),Table1[[#This Row],[WOP Before Adj. BT]])</f>
        <v>0</v>
      </c>
      <c r="AE89" s="341">
        <f>IF(AND(Changes!Change="Yes", Changes!ChangeType="Change Value Adjustment"),Table1[[#This Row],[WOP Capital]],(AE90+O90)*AB89*((1)/(1+db!AA91))*(LOOKUP(D89,'Mortality Table'!$A$2:$A$108,'Mortality Table'!$E$2:$E$108)))</f>
        <v>0</v>
      </c>
      <c r="AF89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89" s="42">
        <f>IF(AND(Changes!Change="Yes", Changes!ValidityYear&lt;=Table1[[#This Row],[Year]], Changes!ChangeType="Rider Inclusion/Exclusion", Changes!RiderType="Disability Annuity"), L89*Changes!NewChangedValue,L89*db!B$10*IF(db!$D$10="Yes",1,0))</f>
        <v>0</v>
      </c>
      <c r="AH89" s="29">
        <f>IF(AND(Changes!Change="Yes",Changes!ValidityYear&lt;=Table1[[#This Row],[Year]],Changes!ChangeType="Paid-Up"),0,Table1[[#This Row],[Code Annuity Capital]]*IF('Annual Calculation'!C89&gt;69,0,(LOOKUP('Annual Calculation'!C89+1,'Mortality Table'!$A$2:$A$108,'Mortality Table'!$O$2:$O$108)-LOOKUP('Annual Calculation'!C89+11,'Mortality Table'!$A$2:$A$108,'Mortality Table'!$O$2:$O$108))/LOOKUP('Annual Calculation'!C89,'Mortality Table'!$A$2:$A$108,'Mortality Table'!$M$2:$M$108)))</f>
        <v>0</v>
      </c>
      <c r="AI89" s="17">
        <f>IF(AND(Changes!Change="Yes",Changes!ValidityYear&lt;=Table1[[#This Row],[Year]],Changes!ChangeType="Paid-Up",OR(PaidUpOption="Paid-up with no coverage",PaidUpOption="Paid-up with main coverage")),0,IF(B89=0,0,IF(AND(Changes!Change="Yes", Changes!ValidityYear&lt;=Table1[[#This Row],[Year]], Changes!ChangeType="Rider Inclusion/Exclusion", Changes!RiderType="Dread Disease"), T89*Changes!NewChangedValue,IF(db!$D$11="Yes",(db!$B$11)*T89,0))))</f>
        <v>0</v>
      </c>
      <c r="AJ89" s="42">
        <f>ROUND(IF(C89&gt;59,0,IF(C89=0,0,IF(AI89&lt;=db!$L$5,AI89,db!$L$5))),0)</f>
        <v>0</v>
      </c>
      <c r="AK89" s="29">
        <f>IF(AND(Changes!Change="Yes",Changes!ValidityYear&lt;=Table1[[#This Row],[Year]],Changes!ChangeType="Paid-Up",OR(PaidUpOption="Paid-up with no coverage",PaidUpOption="Paid-up with main coverage")),0,IF(B89=0,0,IF(AND(Changes!Change="Yes", Changes!ValidityYear&lt;=Table1[[#This Row],[Year]], Changes!ChangeType="Rider Inclusion/Exclusion", Changes!RiderType="Cancer"), T89*Changes!NewChangedValue,IF(db!$D$12="Yes",(db!$B$12)*T89,0))))</f>
        <v>0</v>
      </c>
      <c r="AL89" s="29">
        <f>ROUND(IF(C89&gt;59,0,IF(C89=0,0,IF(AK89&lt;=db!$L$6,AK89,db!$L$6))),0)</f>
        <v>0</v>
      </c>
      <c r="AM89" s="32"/>
      <c r="AN89" s="18">
        <f>IF(B89=0,0,IF(C89&lt;(db!$E$2+5),LOOKUP(C89,'Mortality Table'!$A$2:$A$108,'Mortality Table'!$P$2:$P$108),IF((C89&gt;=db!$E$2+10),LOOKUP(C89,'Mortality Table'!$A$2:$A$108,'Mortality Table'!$R$2:$R$108),LOOKUP(C89,'Mortality Table'!$A$2:$A$108,'Mortality Table'!$Q$2:$Q$108))))</f>
        <v>0</v>
      </c>
      <c r="AO89" s="22">
        <f t="shared" si="31"/>
        <v>0</v>
      </c>
      <c r="AP89" s="19">
        <f>IF(B89=0,0, LOOKUP(IF(AND(Changes!Change="Yes", Changes!ValidityYear&lt;=Table1[[#This Row],[Year]], Changes!ChangeType="Change Job Class"),Changes!NewChangedValue, db!$A$8),db!$AX$4:$AX$8,db!$AY$4:$AY$8))</f>
        <v>0</v>
      </c>
      <c r="AQ89" s="20">
        <f>ROUND((AP89/1000)*W89 * (1-db!$AS$9),0)</f>
        <v>0</v>
      </c>
      <c r="AR89" s="20">
        <f>(AP89/1000)*W89 * db!$AS$9</f>
        <v>0</v>
      </c>
      <c r="AS89" s="21">
        <f>IF(B89=0,0, LOOKUP(IF(AND(Changes!Change="Yes", Changes!ValidityYear&lt;=Table1[[#This Row],[Year]], Changes!ChangeType="Change Job Class"),Changes!NewChangedValue, db!$A$8),db!$AX$4:$AX$8,db!$AZ$4:$AZ$8))</f>
        <v>0</v>
      </c>
      <c r="AT89" s="22">
        <f>(AS89/1000)*Y89*(1-db!$AS$9)</f>
        <v>0</v>
      </c>
      <c r="AU89" s="22">
        <f>(AS89/1000)*Y89*(db!$AS$9)</f>
        <v>0</v>
      </c>
      <c r="AV89" s="23">
        <f>IF(B89=0,0, LOOKUP(IF(AND(Changes!Change="Yes", Changes!ValidityYear&lt;=Table1[[#This Row],[Year]], Changes!ChangeType="Change Job Class"),Changes!NewChangedValue, db!$A$8),db!$AX$4:$AX$8,db!$BA$4:$BA$8))</f>
        <v>0</v>
      </c>
      <c r="AW89" s="20">
        <f>ROUND((AV89/(100))*AA89*(1-db!$AS$9),0)</f>
        <v>0</v>
      </c>
      <c r="AX89" s="20">
        <f>ROUND((AV89/(100))*AA89*(db!$AS$9),0)</f>
        <v>0</v>
      </c>
      <c r="AY89" s="21">
        <f>IF(db!$D$8="Yes",AS89,0)</f>
        <v>0</v>
      </c>
      <c r="AZ89" s="22">
        <f>(AY89*AF89)/1000*(1-db!$AS$9)</f>
        <v>0</v>
      </c>
      <c r="BA89" s="22">
        <f>(AY89*AF89)/1000*(db!$AS$9)</f>
        <v>0</v>
      </c>
      <c r="BB89" s="23">
        <f t="shared" si="32"/>
        <v>0</v>
      </c>
      <c r="BC89" s="20">
        <f>(BB89*AH89/1000)*(1-db!$AS$9)</f>
        <v>0</v>
      </c>
      <c r="BD89" s="20">
        <f>(BB89*AH89/1000)*(db!$AS$9)</f>
        <v>0</v>
      </c>
      <c r="BE89" s="22">
        <f>IF(B89=0,0,IF(C89&gt;60,0,LOOKUP(Table1[[#This Row],[Medical
Age]],db!$BC$3:$BC$63,db!$BD$3:$BD$63)))</f>
        <v>0</v>
      </c>
      <c r="BF89" s="22">
        <f>BG89*db!$AS$10</f>
        <v>0</v>
      </c>
      <c r="BG89" s="22">
        <f t="shared" si="33"/>
        <v>0</v>
      </c>
      <c r="BH89" s="22">
        <f>(BE89/1000000)*AJ89*(1-db!$AS$10)</f>
        <v>0</v>
      </c>
      <c r="BI89" s="20">
        <f>IF(B89=0,0,IF(C89&gt;59,0,LOOKUP(Table1[[#This Row],[Medical
Age]],db!$BC$3:$BC$63,db!$BE$3:$BE$63)))</f>
        <v>0</v>
      </c>
      <c r="BJ89" s="20">
        <f>(BI89/1000000)*AL89*(1-db!$AS$11)</f>
        <v>0</v>
      </c>
      <c r="BK89" s="20">
        <f>(BI89/1000000)*AL89*(db!$AS$11)</f>
        <v>0</v>
      </c>
      <c r="BL89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89" s="20">
        <f>Table1[[#This Row],[RiskLoading
Rate]]*Table1[[#This Row],[Death Capital (2)]]</f>
        <v>0</v>
      </c>
      <c r="BN89" s="36"/>
      <c r="BO89" s="37">
        <f t="shared" si="34"/>
        <v>0</v>
      </c>
      <c r="BP89" s="35">
        <f t="shared" si="35"/>
        <v>0</v>
      </c>
      <c r="BQ89" s="35">
        <f t="shared" si="36"/>
        <v>0</v>
      </c>
      <c r="BR89" s="37">
        <f t="shared" si="50"/>
        <v>0</v>
      </c>
      <c r="BS89" s="37">
        <f t="shared" si="41"/>
        <v>0</v>
      </c>
      <c r="BT89" s="35">
        <f t="shared" si="42"/>
        <v>0</v>
      </c>
      <c r="BU89" s="35">
        <f t="shared" si="43"/>
        <v>0</v>
      </c>
      <c r="BV89" s="37">
        <f>(db!$AS$4/100)*(L89-BT89-BU89)</f>
        <v>0</v>
      </c>
      <c r="BW89" s="37">
        <f>(db!$AS$8/100)*(L89-BT89-BU89)</f>
        <v>0</v>
      </c>
      <c r="BX89" s="35"/>
      <c r="BY89" s="37"/>
      <c r="BZ89" s="37"/>
      <c r="CA89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89" s="33"/>
      <c r="CC89" s="39">
        <f>ROUND((Table1[[#This Row],[Premium]]-Table1[[#This Row],[All Deductions]]),0)</f>
        <v>0</v>
      </c>
      <c r="CD89" s="39">
        <f>IF(B89=0,0,Table1[[#This Row],[Initial Reserve]]+CE88)</f>
        <v>0</v>
      </c>
      <c r="CE89" s="40">
        <f>ROUND(IF(B89=0,0,((CC89)*(1+db!Y91))+((CE88)*(1+db!U91))),0)</f>
        <v>0</v>
      </c>
      <c r="CF89" s="40">
        <f t="shared" si="48"/>
        <v>0</v>
      </c>
      <c r="CG89" s="15">
        <f t="shared" si="44"/>
        <v>88</v>
      </c>
      <c r="CH89" s="39">
        <f>IF(B89=0,0,((CC89)*(1+db!AH91))+((CH88)*(1+db!AD91)))</f>
        <v>0</v>
      </c>
      <c r="CI89" s="39">
        <f>IF(B89=0,0,((CC89)*(1+db!AH91))+((CI88)*(1+db!AD91)))</f>
        <v>0</v>
      </c>
      <c r="CJ89" s="40">
        <f>IF(B89=0,0,((CC89)*(1+db!AO91))+((CJ88)*(1+db!AK91)))</f>
        <v>0</v>
      </c>
      <c r="CK89" s="40">
        <f>CJ89-(SUM(BX$7:$BX90))</f>
        <v>0</v>
      </c>
    </row>
    <row r="90" spans="1:89">
      <c r="A90" s="24">
        <f t="shared" si="45"/>
        <v>89</v>
      </c>
      <c r="B90" s="16">
        <f>IF(AND(Changes!Change="Yes", Changes!ChangeType="Change Contract Duration"),IF(B89=0,0,IF(Changes!NewChangedValue&lt;B89+1,0,B89+1)),IF(B89=0,0,IF('Application Annually'!$C$5&lt;B89+1,0,B89+1)))</f>
        <v>0</v>
      </c>
      <c r="C90" s="15">
        <f t="shared" si="49"/>
        <v>0</v>
      </c>
      <c r="D90" s="312">
        <f t="shared" si="47"/>
        <v>116</v>
      </c>
      <c r="E90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90" s="29">
        <f t="shared" si="37"/>
        <v>0</v>
      </c>
      <c r="G90" s="29">
        <f t="shared" si="38"/>
        <v>0</v>
      </c>
      <c r="H90" s="29">
        <f t="shared" si="29"/>
        <v>0</v>
      </c>
      <c r="I90" s="29">
        <f>IF(B90&gt;0,IF(AND(Table1[[#This Row],[Year]]&gt;Changes!ValidityYear,Changes!Change="Yes",Changes!ChangeType="Change Value Adjustment"),Changes!$G$22,'Application Annually'!$C$11),0)</f>
        <v>0</v>
      </c>
      <c r="J90" s="29">
        <f>IF(B90&gt;0,IF(AND(Table1[[#This Row],[Year]]&gt;Changes!ValidityYear,Changes!Change="Yes",Changes!ChangeType="Change Value Adjustment"),Changes!$G$24,'Application Annually'!$C$7),0)</f>
        <v>0</v>
      </c>
      <c r="K90" s="29">
        <f>ROUND(IF(B90=0,0,IF(AND(Changes!Change="Yes", Changes!ValidityYear=Table1[[#This Row],[Year]], Changes!ChangeType="Change Premium"), Changes!NewChangedValue, (K89*(1+db!$B$3)))),0)</f>
        <v>0</v>
      </c>
      <c r="L90" s="29">
        <f>ROUND(IF(AND(Changes!Change="Yes",Changes!ValidityYear&lt;=Table1[[#This Row],[Year]],Changes!ChangeType="Paid-Up"),0,IF(B90=0,0,IF(AND(Changes!Change="Yes", Changes!ValidityYear=Table1[[#This Row],[Year]], Changes!ChangeType="Change Premium"), Changes!NewChangedValue, (L89*(1+Table1[[#This Row],[Adjustment Factor of Premium]]/100))))),0)</f>
        <v>0</v>
      </c>
      <c r="M90" s="29">
        <f>IF(Table1[[#This Row],[Year]]=1,ROUND(MIN($L$2 -( Table1[[#This Row],[Riders Risk Premiums]] + Table1[[#This Row],[Acquisition Cost]]) *0.75,Table1[[#This Row],[Death Capital (1)]]* 0.03),0),0)</f>
        <v>0</v>
      </c>
      <c r="N90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90" s="29">
        <f>ROUND(IF(ROW()-1&gt;InsurancePeriod,0,(O89*(1+(Table1[[#This Row],[Adjustment Factor of Premium]]/100)))),0)</f>
        <v>0</v>
      </c>
      <c r="P90" s="29">
        <f>IF(Table1[Year] = 0, 0, SUM(L$2:L90))</f>
        <v>0</v>
      </c>
      <c r="Q90" s="17">
        <f t="shared" si="30"/>
        <v>0</v>
      </c>
      <c r="R90" s="17">
        <f>IF(Table1[[#This Row],[Year]]=0,0,IF($C$2&lt;=50,LOOKUP(Table1[[#This Row],[Age]],db!BG91:BG197,db!BH91:BH197),LOOKUP(Table1[[#This Row],[Age]],db!BJ91:BJ197,db!BK91:BK197)))</f>
        <v>0</v>
      </c>
      <c r="S90" s="17">
        <f>IF(AND(Changes!Change="Yes",Changes!ValidityYear&lt;=Table1[[#This Row],[Year]],Changes!ChangeType="Paid-Up",PaidUpOption="Paid-up with no coverage"),0,IF(B90=0,0, IF(AND(Changes!Change="Yes", Changes!ValidityYear=Table1[[#This Row],[Year]], Changes!ChangeType="Change Death Capital"), Changes!NewChangedValue, S89*(1+(Table1[[#This Row],[Adjustment Factor of Death Capital]]/100)))))</f>
        <v>0</v>
      </c>
      <c r="T90" s="17">
        <f>MIN(IF(B90=0,0,Table1[[#This Row],[Death Capital (1)]]),Table1[[#This Row],[Max Sum Insured For Death]])</f>
        <v>0</v>
      </c>
      <c r="U90" s="29">
        <f t="shared" si="39"/>
        <v>0</v>
      </c>
      <c r="V90" s="29">
        <f>IF(AND(Changes!Change="Yes",Changes!ValidityYear&lt;=Table1[[#This Row],[Year]],Changes!ChangeType="Paid-Up",OR(PaidUpOption="Paid-up with no coverage",PaidUpOption="Paid-up with main coverage")),0,IF(B90=0,0,IF(AND(Changes!Change="Yes", Changes!ValidityYear&lt;=Table1[[#This Row],[Year]], Changes!ChangeType="Rider Inclusion/Exclusion", Changes!RiderType="Accident Death"), T90*Changes!NewChangedValue,IF(db!$D$6="Yes",(db!$B$6)*T90,0))))</f>
        <v>0</v>
      </c>
      <c r="W90" s="29">
        <f>MIN(IF(V90&lt;=db!$L$2,V90,db!$L$2),MAX_ACC_CAPITAL)</f>
        <v>0</v>
      </c>
      <c r="X90" s="17">
        <f>IF(AND(Changes!Change="Yes",Changes!ValidityYear&lt;=Table1[[#This Row],[Year]],Changes!ChangeType="Paid-Up",OR(PaidUpOption="Paid-up with no coverage",PaidUpOption="Paid-up with main coverage")),0,IF(OR(B90=0,Table1[[#This Row],[Accident Capital (2)]]=0),0,IF(AND(Changes!Change="Yes", Changes!ValidityYear&lt;=Table1[[#This Row],[Year]], Changes!ChangeType="Rider Inclusion/Exclusion", Changes!RiderType="Accident Disability"), T90*Changes!NewChangedValue,IF(db!$D$7="Yes",(db!$B$7)*T90,0))))</f>
        <v>0</v>
      </c>
      <c r="Y90" s="42">
        <f>IF(C90&gt;69,0,IF(C90=0,0,IF(X90&lt;=db!$L$3,X90,db!$L$3)))</f>
        <v>0</v>
      </c>
      <c r="Z90" s="29">
        <f>IF(AND(Changes!Change="Yes",Changes!ValidityYear&lt;=Table1[[#This Row],[Year]],Changes!ChangeType="Paid-Up",OR(PaidUpOption="Paid-up with no coverage",PaidUpOption="Paid-up with main coverage")),0,IF(OR(B90=0,Table1[[#This Row],[Accident Capital (2)]]=0),0,IF(AND(Changes!Change="Yes", Changes!ValidityYear&lt;=Table1[[#This Row],[Year]], Changes!ChangeType="Rider Inclusion/Exclusion", Changes!RiderType="Accident Medical Cost"), T90*Changes!NewChangedValue,IF(db!$D$9="Yes",(db!$B$9)*T90,0))))</f>
        <v>0</v>
      </c>
      <c r="AA90" s="29">
        <f>ROUND(IF(C90&gt;69,0,IF(C90=0,0,IF(Z90&lt;=db!$L$4,Z90,db!$L$4))),0)</f>
        <v>0</v>
      </c>
      <c r="AB90" s="38">
        <f>IF(AND(Changes!Change = "Yes", Changes!ChangeType = "Rider Inclusion/Exclusion", Changes!RiderType = "WOP"), IF( Changes!ValidityYear &lt;= Table1[[#This Row],[Year]], IF(WOP = "Yes", 0, 1),  IF(WOP = "Yes", 1, 0)), IF(AND(db!$D$8="Yes",C90&lt;=69,ROW()-1&lt;=InsurancePeriod), 1, 0))</f>
        <v>0</v>
      </c>
      <c r="AC90" s="17">
        <f>(AC91+K91)*AB90*((1)/(1+db!AA92))*(LOOKUP(C90,'Mortality Table'!$A$2:$A$108,'Mortality Table'!$E$2:$E$108))</f>
        <v>0</v>
      </c>
      <c r="AD90" s="340">
        <f>IF(AND(Changes!ValidityYear&lt;= Table1[[#This Row],[Year]],Changes!ChangeType="Change Value Adjustment",Changes!Change="Yes"), (AD91+L91)*AB90*((1)/(1+db!AA92))*(LOOKUP(C90,'Mortality Table'!$A$2:$A$108,'Mortality Table'!$E$2:$E$108)),Table1[[#This Row],[WOP Before Adj. BT]])</f>
        <v>0</v>
      </c>
      <c r="AE90" s="341">
        <f>IF(AND(Changes!Change="Yes", Changes!ChangeType="Change Value Adjustment"),Table1[[#This Row],[WOP Capital]],(AE91+O91)*AB90*((1)/(1+db!AA92))*(LOOKUP(D90,'Mortality Table'!$A$2:$A$108,'Mortality Table'!$E$2:$E$108)))</f>
        <v>0</v>
      </c>
      <c r="AF90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90" s="42">
        <f>IF(AND(Changes!Change="Yes", Changes!ValidityYear&lt;=Table1[[#This Row],[Year]], Changes!ChangeType="Rider Inclusion/Exclusion", Changes!RiderType="Disability Annuity"), L90*Changes!NewChangedValue,L90*db!B$10*IF(db!$D$10="Yes",1,0))</f>
        <v>0</v>
      </c>
      <c r="AH90" s="29">
        <f>IF(AND(Changes!Change="Yes",Changes!ValidityYear&lt;=Table1[[#This Row],[Year]],Changes!ChangeType="Paid-Up"),0,Table1[[#This Row],[Code Annuity Capital]]*IF('Annual Calculation'!C90&gt;69,0,(LOOKUP('Annual Calculation'!C90+1,'Mortality Table'!$A$2:$A$108,'Mortality Table'!$O$2:$O$108)-LOOKUP('Annual Calculation'!C90+11,'Mortality Table'!$A$2:$A$108,'Mortality Table'!$O$2:$O$108))/LOOKUP('Annual Calculation'!C90,'Mortality Table'!$A$2:$A$108,'Mortality Table'!$M$2:$M$108)))</f>
        <v>0</v>
      </c>
      <c r="AI90" s="17">
        <f>IF(AND(Changes!Change="Yes",Changes!ValidityYear&lt;=Table1[[#This Row],[Year]],Changes!ChangeType="Paid-Up",OR(PaidUpOption="Paid-up with no coverage",PaidUpOption="Paid-up with main coverage")),0,IF(B90=0,0,IF(AND(Changes!Change="Yes", Changes!ValidityYear&lt;=Table1[[#This Row],[Year]], Changes!ChangeType="Rider Inclusion/Exclusion", Changes!RiderType="Dread Disease"), T90*Changes!NewChangedValue,IF(db!$D$11="Yes",(db!$B$11)*T90,0))))</f>
        <v>0</v>
      </c>
      <c r="AJ90" s="42">
        <f>ROUND(IF(C90&gt;59,0,IF(C90=0,0,IF(AI90&lt;=db!$L$5,AI90,db!$L$5))),0)</f>
        <v>0</v>
      </c>
      <c r="AK90" s="29">
        <f>IF(AND(Changes!Change="Yes",Changes!ValidityYear&lt;=Table1[[#This Row],[Year]],Changes!ChangeType="Paid-Up",OR(PaidUpOption="Paid-up with no coverage",PaidUpOption="Paid-up with main coverage")),0,IF(B90=0,0,IF(AND(Changes!Change="Yes", Changes!ValidityYear&lt;=Table1[[#This Row],[Year]], Changes!ChangeType="Rider Inclusion/Exclusion", Changes!RiderType="Cancer"), T90*Changes!NewChangedValue,IF(db!$D$12="Yes",(db!$B$12)*T90,0))))</f>
        <v>0</v>
      </c>
      <c r="AL90" s="29">
        <f>ROUND(IF(C90&gt;59,0,IF(C90=0,0,IF(AK90&lt;=db!$L$6,AK90,db!$L$6))),0)</f>
        <v>0</v>
      </c>
      <c r="AM90" s="32"/>
      <c r="AN90" s="18">
        <f>IF(B90=0,0,IF(C90&lt;(db!$E$2+5),LOOKUP(C90,'Mortality Table'!$A$2:$A$108,'Mortality Table'!$P$2:$P$108),IF((C90&gt;=db!$E$2+10),LOOKUP(C90,'Mortality Table'!$A$2:$A$108,'Mortality Table'!$R$2:$R$108),LOOKUP(C90,'Mortality Table'!$A$2:$A$108,'Mortality Table'!$Q$2:$Q$108))))</f>
        <v>0</v>
      </c>
      <c r="AO90" s="22">
        <f t="shared" si="31"/>
        <v>0</v>
      </c>
      <c r="AP90" s="19">
        <f>IF(B90=0,0, LOOKUP(IF(AND(Changes!Change="Yes", Changes!ValidityYear&lt;=Table1[[#This Row],[Year]], Changes!ChangeType="Change Job Class"),Changes!NewChangedValue, db!$A$8),db!$AX$4:$AX$8,db!$AY$4:$AY$8))</f>
        <v>0</v>
      </c>
      <c r="AQ90" s="20">
        <f>ROUND((AP90/1000)*W90 * (1-db!$AS$9),0)</f>
        <v>0</v>
      </c>
      <c r="AR90" s="20">
        <f>(AP90/1000)*W90 * db!$AS$9</f>
        <v>0</v>
      </c>
      <c r="AS90" s="21">
        <f>IF(B90=0,0, LOOKUP(IF(AND(Changes!Change="Yes", Changes!ValidityYear&lt;=Table1[[#This Row],[Year]], Changes!ChangeType="Change Job Class"),Changes!NewChangedValue, db!$A$8),db!$AX$4:$AX$8,db!$AZ$4:$AZ$8))</f>
        <v>0</v>
      </c>
      <c r="AT90" s="22">
        <f>(AS90/1000)*Y90*(1-db!$AS$9)</f>
        <v>0</v>
      </c>
      <c r="AU90" s="22">
        <f>(AS90/1000)*Y90*(db!$AS$9)</f>
        <v>0</v>
      </c>
      <c r="AV90" s="23">
        <f>IF(B90=0,0, LOOKUP(IF(AND(Changes!Change="Yes", Changes!ValidityYear&lt;=Table1[[#This Row],[Year]], Changes!ChangeType="Change Job Class"),Changes!NewChangedValue, db!$A$8),db!$AX$4:$AX$8,db!$BA$4:$BA$8))</f>
        <v>0</v>
      </c>
      <c r="AW90" s="20">
        <f>ROUND((AV90/(100))*AA90*(1-db!$AS$9),0)</f>
        <v>0</v>
      </c>
      <c r="AX90" s="20">
        <f>ROUND((AV90/(100))*AA90*(db!$AS$9),0)</f>
        <v>0</v>
      </c>
      <c r="AY90" s="21">
        <f>IF(db!$D$8="Yes",AS90,0)</f>
        <v>0</v>
      </c>
      <c r="AZ90" s="22">
        <f>(AY90*AF90)/1000*(1-db!$AS$9)</f>
        <v>0</v>
      </c>
      <c r="BA90" s="22">
        <f>(AY90*AF90)/1000*(db!$AS$9)</f>
        <v>0</v>
      </c>
      <c r="BB90" s="23">
        <f t="shared" si="32"/>
        <v>0</v>
      </c>
      <c r="BC90" s="20">
        <f>(BB90*AH90/1000)*(1-db!$AS$9)</f>
        <v>0</v>
      </c>
      <c r="BD90" s="20">
        <f>(BB90*AH90/1000)*(db!$AS$9)</f>
        <v>0</v>
      </c>
      <c r="BE90" s="22">
        <f>IF(B90=0,0,IF(C90&gt;60,0,LOOKUP(Table1[[#This Row],[Medical
Age]],db!$BC$3:$BC$63,db!$BD$3:$BD$63)))</f>
        <v>0</v>
      </c>
      <c r="BF90" s="22">
        <f>BG90*db!$AS$10</f>
        <v>0</v>
      </c>
      <c r="BG90" s="22">
        <f t="shared" si="33"/>
        <v>0</v>
      </c>
      <c r="BH90" s="22">
        <f>(BE90/1000000)*AJ90*(1-db!$AS$10)</f>
        <v>0</v>
      </c>
      <c r="BI90" s="20">
        <f>IF(B90=0,0,IF(C90&gt;59,0,LOOKUP(Table1[[#This Row],[Medical
Age]],db!$BC$3:$BC$63,db!$BE$3:$BE$63)))</f>
        <v>0</v>
      </c>
      <c r="BJ90" s="20">
        <f>(BI90/1000000)*AL90*(1-db!$AS$11)</f>
        <v>0</v>
      </c>
      <c r="BK90" s="20">
        <f>(BI90/1000000)*AL90*(db!$AS$11)</f>
        <v>0</v>
      </c>
      <c r="BL90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90" s="20">
        <f>Table1[[#This Row],[RiskLoading
Rate]]*Table1[[#This Row],[Death Capital (2)]]</f>
        <v>0</v>
      </c>
      <c r="BN90" s="36"/>
      <c r="BO90" s="37">
        <f t="shared" si="34"/>
        <v>0</v>
      </c>
      <c r="BP90" s="35">
        <f t="shared" si="35"/>
        <v>0</v>
      </c>
      <c r="BQ90" s="35">
        <f t="shared" si="36"/>
        <v>0</v>
      </c>
      <c r="BR90" s="37">
        <f t="shared" si="50"/>
        <v>0</v>
      </c>
      <c r="BS90" s="37">
        <f t="shared" si="41"/>
        <v>0</v>
      </c>
      <c r="BT90" s="35">
        <f t="shared" si="42"/>
        <v>0</v>
      </c>
      <c r="BU90" s="35">
        <f t="shared" si="43"/>
        <v>0</v>
      </c>
      <c r="BV90" s="37">
        <f>(db!$AS$4/100)*(L90-BT90-BU90)</f>
        <v>0</v>
      </c>
      <c r="BW90" s="37">
        <f>(db!$AS$8/100)*(L90-BT90-BU90)</f>
        <v>0</v>
      </c>
      <c r="BX90" s="35"/>
      <c r="BY90" s="37"/>
      <c r="BZ90" s="37"/>
      <c r="CA90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90" s="33"/>
      <c r="CC90" s="39">
        <f>ROUND((Table1[[#This Row],[Premium]]-Table1[[#This Row],[All Deductions]]),0)</f>
        <v>0</v>
      </c>
      <c r="CD90" s="39">
        <f>IF(B90=0,0,Table1[[#This Row],[Initial Reserve]]+CE89)</f>
        <v>0</v>
      </c>
      <c r="CE90" s="40">
        <f>ROUND(IF(B90=0,0,((CC90)*(1+db!Y92))+((CE89)*(1+db!U92))),0)</f>
        <v>0</v>
      </c>
      <c r="CF90" s="40">
        <f t="shared" si="48"/>
        <v>0</v>
      </c>
      <c r="CG90" s="15">
        <f t="shared" si="44"/>
        <v>89</v>
      </c>
      <c r="CH90" s="39">
        <f>IF(B90=0,0,((CC90)*(1+db!AH92))+((CH89)*(1+db!AD92)))</f>
        <v>0</v>
      </c>
      <c r="CI90" s="39">
        <f>IF(B90=0,0,((CC90)*(1+db!AH92))+((CI89)*(1+db!AD92)))</f>
        <v>0</v>
      </c>
      <c r="CJ90" s="40">
        <f>IF(B90=0,0,((CC90)*(1+db!AO92))+((CJ89)*(1+db!AK92)))</f>
        <v>0</v>
      </c>
      <c r="CK90" s="40">
        <f>CJ90-(SUM(BX$7:$BX91))</f>
        <v>0</v>
      </c>
    </row>
    <row r="91" spans="1:89">
      <c r="A91" s="24">
        <f t="shared" si="45"/>
        <v>90</v>
      </c>
      <c r="B91" s="16">
        <f>IF(AND(Changes!Change="Yes", Changes!ChangeType="Change Contract Duration"),IF(B90=0,0,IF(Changes!NewChangedValue&lt;B90+1,0,B90+1)),IF(B90=0,0,IF('Application Annually'!$C$5&lt;B90+1,0,B90+1)))</f>
        <v>0</v>
      </c>
      <c r="C91" s="15">
        <f t="shared" si="49"/>
        <v>0</v>
      </c>
      <c r="D91" s="312">
        <f t="shared" si="47"/>
        <v>117</v>
      </c>
      <c r="E91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91" s="29">
        <f t="shared" si="37"/>
        <v>0</v>
      </c>
      <c r="G91" s="29">
        <f t="shared" si="38"/>
        <v>0</v>
      </c>
      <c r="H91" s="29">
        <f t="shared" si="29"/>
        <v>0</v>
      </c>
      <c r="I91" s="29">
        <f>IF(B91&gt;0,IF(AND(Table1[[#This Row],[Year]]&gt;Changes!ValidityYear,Changes!Change="Yes",Changes!ChangeType="Change Value Adjustment"),Changes!$G$22,'Application Annually'!$C$11),0)</f>
        <v>0</v>
      </c>
      <c r="J91" s="29">
        <f>IF(B91&gt;0,IF(AND(Table1[[#This Row],[Year]]&gt;Changes!ValidityYear,Changes!Change="Yes",Changes!ChangeType="Change Value Adjustment"),Changes!$G$24,'Application Annually'!$C$7),0)</f>
        <v>0</v>
      </c>
      <c r="K91" s="29">
        <f>ROUND(IF(B91=0,0,IF(AND(Changes!Change="Yes", Changes!ValidityYear=Table1[[#This Row],[Year]], Changes!ChangeType="Change Premium"), Changes!NewChangedValue, (K90*(1+db!$B$3)))),0)</f>
        <v>0</v>
      </c>
      <c r="L91" s="29">
        <f>ROUND(IF(AND(Changes!Change="Yes",Changes!ValidityYear&lt;=Table1[[#This Row],[Year]],Changes!ChangeType="Paid-Up"),0,IF(B91=0,0,IF(AND(Changes!Change="Yes", Changes!ValidityYear=Table1[[#This Row],[Year]], Changes!ChangeType="Change Premium"), Changes!NewChangedValue, (L90*(1+Table1[[#This Row],[Adjustment Factor of Premium]]/100))))),0)</f>
        <v>0</v>
      </c>
      <c r="M91" s="29">
        <f>IF(Table1[[#This Row],[Year]]=1,ROUND(MIN($L$2 -( Table1[[#This Row],[Riders Risk Premiums]] + Table1[[#This Row],[Acquisition Cost]]) *0.75,Table1[[#This Row],[Death Capital (1)]]* 0.03),0),0)</f>
        <v>0</v>
      </c>
      <c r="N91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91" s="29">
        <f>ROUND(IF(ROW()-1&gt;InsurancePeriod,0,(O90*(1+(Table1[[#This Row],[Adjustment Factor of Premium]]/100)))),0)</f>
        <v>0</v>
      </c>
      <c r="P91" s="29">
        <f>IF(Table1[Year] = 0, 0, SUM(L$2:L91))</f>
        <v>0</v>
      </c>
      <c r="Q91" s="17">
        <f t="shared" si="30"/>
        <v>0</v>
      </c>
      <c r="R91" s="17">
        <f>IF(Table1[[#This Row],[Year]]=0,0,IF($C$2&lt;=50,LOOKUP(Table1[[#This Row],[Age]],db!BG92:BG198,db!BH92:BH198),LOOKUP(Table1[[#This Row],[Age]],db!BJ92:BJ198,db!BK92:BK198)))</f>
        <v>0</v>
      </c>
      <c r="S91" s="17">
        <f>IF(AND(Changes!Change="Yes",Changes!ValidityYear&lt;=Table1[[#This Row],[Year]],Changes!ChangeType="Paid-Up",PaidUpOption="Paid-up with no coverage"),0,IF(B91=0,0, IF(AND(Changes!Change="Yes", Changes!ValidityYear=Table1[[#This Row],[Year]], Changes!ChangeType="Change Death Capital"), Changes!NewChangedValue, S90*(1+(Table1[[#This Row],[Adjustment Factor of Death Capital]]/100)))))</f>
        <v>0</v>
      </c>
      <c r="T91" s="17">
        <f>MIN(IF(B91=0,0,Table1[[#This Row],[Death Capital (1)]]),Table1[[#This Row],[Max Sum Insured For Death]])</f>
        <v>0</v>
      </c>
      <c r="U91" s="29">
        <f t="shared" si="39"/>
        <v>0</v>
      </c>
      <c r="V91" s="29">
        <f>IF(AND(Changes!Change="Yes",Changes!ValidityYear&lt;=Table1[[#This Row],[Year]],Changes!ChangeType="Paid-Up",OR(PaidUpOption="Paid-up with no coverage",PaidUpOption="Paid-up with main coverage")),0,IF(B91=0,0,IF(AND(Changes!Change="Yes", Changes!ValidityYear&lt;=Table1[[#This Row],[Year]], Changes!ChangeType="Rider Inclusion/Exclusion", Changes!RiderType="Accident Death"), T91*Changes!NewChangedValue,IF(db!$D$6="Yes",(db!$B$6)*T91,0))))</f>
        <v>0</v>
      </c>
      <c r="W91" s="29">
        <f>MIN(IF(V91&lt;=db!$L$2,V91,db!$L$2),MAX_ACC_CAPITAL)</f>
        <v>0</v>
      </c>
      <c r="X91" s="17">
        <f>IF(AND(Changes!Change="Yes",Changes!ValidityYear&lt;=Table1[[#This Row],[Year]],Changes!ChangeType="Paid-Up",OR(PaidUpOption="Paid-up with no coverage",PaidUpOption="Paid-up with main coverage")),0,IF(OR(B91=0,Table1[[#This Row],[Accident Capital (2)]]=0),0,IF(AND(Changes!Change="Yes", Changes!ValidityYear&lt;=Table1[[#This Row],[Year]], Changes!ChangeType="Rider Inclusion/Exclusion", Changes!RiderType="Accident Disability"), T91*Changes!NewChangedValue,IF(db!$D$7="Yes",(db!$B$7)*T91,0))))</f>
        <v>0</v>
      </c>
      <c r="Y91" s="42">
        <f>IF(C91&gt;69,0,IF(C91=0,0,IF(X91&lt;=db!$L$3,X91,db!$L$3)))</f>
        <v>0</v>
      </c>
      <c r="Z91" s="29">
        <f>IF(AND(Changes!Change="Yes",Changes!ValidityYear&lt;=Table1[[#This Row],[Year]],Changes!ChangeType="Paid-Up",OR(PaidUpOption="Paid-up with no coverage",PaidUpOption="Paid-up with main coverage")),0,IF(OR(B91=0,Table1[[#This Row],[Accident Capital (2)]]=0),0,IF(AND(Changes!Change="Yes", Changes!ValidityYear&lt;=Table1[[#This Row],[Year]], Changes!ChangeType="Rider Inclusion/Exclusion", Changes!RiderType="Accident Medical Cost"), T91*Changes!NewChangedValue,IF(db!$D$9="Yes",(db!$B$9)*T91,0))))</f>
        <v>0</v>
      </c>
      <c r="AA91" s="29">
        <f>ROUND(IF(C91&gt;69,0,IF(C91=0,0,IF(Z91&lt;=db!$L$4,Z91,db!$L$4))),0)</f>
        <v>0</v>
      </c>
      <c r="AB91" s="38">
        <f>IF(AND(Changes!Change = "Yes", Changes!ChangeType = "Rider Inclusion/Exclusion", Changes!RiderType = "WOP"), IF( Changes!ValidityYear &lt;= Table1[[#This Row],[Year]], IF(WOP = "Yes", 0, 1),  IF(WOP = "Yes", 1, 0)), IF(AND(db!$D$8="Yes",C91&lt;=69,ROW()-1&lt;=InsurancePeriod), 1, 0))</f>
        <v>0</v>
      </c>
      <c r="AC91" s="17">
        <f>(AC92+K92)*AB91*((1)/(1+db!AA93))*(LOOKUP(C91,'Mortality Table'!$A$2:$A$108,'Mortality Table'!$E$2:$E$108))</f>
        <v>0</v>
      </c>
      <c r="AD91" s="340">
        <f>IF(AND(Changes!ValidityYear&lt;= Table1[[#This Row],[Year]],Changes!ChangeType="Change Value Adjustment",Changes!Change="Yes"), (AD92+L92)*AB91*((1)/(1+db!AA93))*(LOOKUP(C91,'Mortality Table'!$A$2:$A$108,'Mortality Table'!$E$2:$E$108)),Table1[[#This Row],[WOP Before Adj. BT]])</f>
        <v>0</v>
      </c>
      <c r="AE91" s="341">
        <f>IF(AND(Changes!Change="Yes", Changes!ChangeType="Change Value Adjustment"),Table1[[#This Row],[WOP Capital]],(AE92+O92)*AB91*((1)/(1+db!AA93))*(LOOKUP(D91,'Mortality Table'!$A$2:$A$108,'Mortality Table'!$E$2:$E$108)))</f>
        <v>0</v>
      </c>
      <c r="AF91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91" s="42">
        <f>IF(AND(Changes!Change="Yes", Changes!ValidityYear&lt;=Table1[[#This Row],[Year]], Changes!ChangeType="Rider Inclusion/Exclusion", Changes!RiderType="Disability Annuity"), L91*Changes!NewChangedValue,L91*db!B$10*IF(db!$D$10="Yes",1,0))</f>
        <v>0</v>
      </c>
      <c r="AH91" s="29">
        <f>IF(AND(Changes!Change="Yes",Changes!ValidityYear&lt;=Table1[[#This Row],[Year]],Changes!ChangeType="Paid-Up"),0,Table1[[#This Row],[Code Annuity Capital]]*IF('Annual Calculation'!C91&gt;69,0,(LOOKUP('Annual Calculation'!C91+1,'Mortality Table'!$A$2:$A$108,'Mortality Table'!$O$2:$O$108)-LOOKUP('Annual Calculation'!C91+11,'Mortality Table'!$A$2:$A$108,'Mortality Table'!$O$2:$O$108))/LOOKUP('Annual Calculation'!C91,'Mortality Table'!$A$2:$A$108,'Mortality Table'!$M$2:$M$108)))</f>
        <v>0</v>
      </c>
      <c r="AI91" s="17">
        <f>IF(AND(Changes!Change="Yes",Changes!ValidityYear&lt;=Table1[[#This Row],[Year]],Changes!ChangeType="Paid-Up",OR(PaidUpOption="Paid-up with no coverage",PaidUpOption="Paid-up with main coverage")),0,IF(B91=0,0,IF(AND(Changes!Change="Yes", Changes!ValidityYear&lt;=Table1[[#This Row],[Year]], Changes!ChangeType="Rider Inclusion/Exclusion", Changes!RiderType="Dread Disease"), T91*Changes!NewChangedValue,IF(db!$D$11="Yes",(db!$B$11)*T91,0))))</f>
        <v>0</v>
      </c>
      <c r="AJ91" s="42">
        <f>ROUND(IF(C91&gt;59,0,IF(C91=0,0,IF(AI91&lt;=db!$L$5,AI91,db!$L$5))),0)</f>
        <v>0</v>
      </c>
      <c r="AK91" s="29">
        <f>IF(AND(Changes!Change="Yes",Changes!ValidityYear&lt;=Table1[[#This Row],[Year]],Changes!ChangeType="Paid-Up",OR(PaidUpOption="Paid-up with no coverage",PaidUpOption="Paid-up with main coverage")),0,IF(B91=0,0,IF(AND(Changes!Change="Yes", Changes!ValidityYear&lt;=Table1[[#This Row],[Year]], Changes!ChangeType="Rider Inclusion/Exclusion", Changes!RiderType="Cancer"), T91*Changes!NewChangedValue,IF(db!$D$12="Yes",(db!$B$12)*T91,0))))</f>
        <v>0</v>
      </c>
      <c r="AL91" s="29">
        <f>ROUND(IF(C91&gt;59,0,IF(C91=0,0,IF(AK91&lt;=db!$L$6,AK91,db!$L$6))),0)</f>
        <v>0</v>
      </c>
      <c r="AM91" s="32"/>
      <c r="AN91" s="18">
        <f>IF(B91=0,0,IF(C91&lt;(db!$E$2+5),LOOKUP(C91,'Mortality Table'!$A$2:$A$108,'Mortality Table'!$P$2:$P$108),IF((C91&gt;=db!$E$2+10),LOOKUP(C91,'Mortality Table'!$A$2:$A$108,'Mortality Table'!$R$2:$R$108),LOOKUP(C91,'Mortality Table'!$A$2:$A$108,'Mortality Table'!$Q$2:$Q$108))))</f>
        <v>0</v>
      </c>
      <c r="AO91" s="22">
        <f t="shared" si="31"/>
        <v>0</v>
      </c>
      <c r="AP91" s="19">
        <f>IF(B91=0,0, LOOKUP(IF(AND(Changes!Change="Yes", Changes!ValidityYear&lt;=Table1[[#This Row],[Year]], Changes!ChangeType="Change Job Class"),Changes!NewChangedValue, db!$A$8),db!$AX$4:$AX$8,db!$AY$4:$AY$8))</f>
        <v>0</v>
      </c>
      <c r="AQ91" s="20">
        <f>ROUND((AP91/1000)*W91 * (1-db!$AS$9),0)</f>
        <v>0</v>
      </c>
      <c r="AR91" s="20">
        <f>(AP91/1000)*W91 * db!$AS$9</f>
        <v>0</v>
      </c>
      <c r="AS91" s="21">
        <f>IF(B91=0,0, LOOKUP(IF(AND(Changes!Change="Yes", Changes!ValidityYear&lt;=Table1[[#This Row],[Year]], Changes!ChangeType="Change Job Class"),Changes!NewChangedValue, db!$A$8),db!$AX$4:$AX$8,db!$AZ$4:$AZ$8))</f>
        <v>0</v>
      </c>
      <c r="AT91" s="22">
        <f>(AS91/1000)*Y91*(1-db!$AS$9)</f>
        <v>0</v>
      </c>
      <c r="AU91" s="22">
        <f>(AS91/1000)*Y91*(db!$AS$9)</f>
        <v>0</v>
      </c>
      <c r="AV91" s="23">
        <f>IF(B91=0,0, LOOKUP(IF(AND(Changes!Change="Yes", Changes!ValidityYear&lt;=Table1[[#This Row],[Year]], Changes!ChangeType="Change Job Class"),Changes!NewChangedValue, db!$A$8),db!$AX$4:$AX$8,db!$BA$4:$BA$8))</f>
        <v>0</v>
      </c>
      <c r="AW91" s="20">
        <f>ROUND((AV91/(100))*AA91*(1-db!$AS$9),0)</f>
        <v>0</v>
      </c>
      <c r="AX91" s="20">
        <f>ROUND((AV91/(100))*AA91*(db!$AS$9),0)</f>
        <v>0</v>
      </c>
      <c r="AY91" s="21">
        <f>IF(db!$D$8="Yes",AS91,0)</f>
        <v>0</v>
      </c>
      <c r="AZ91" s="22">
        <f>(AY91*AF91)/1000*(1-db!$AS$9)</f>
        <v>0</v>
      </c>
      <c r="BA91" s="22">
        <f>(AY91*AF91)/1000*(db!$AS$9)</f>
        <v>0</v>
      </c>
      <c r="BB91" s="23">
        <f t="shared" si="32"/>
        <v>0</v>
      </c>
      <c r="BC91" s="20">
        <f>(BB91*AH91/1000)*(1-db!$AS$9)</f>
        <v>0</v>
      </c>
      <c r="BD91" s="20">
        <f>(BB91*AH91/1000)*(db!$AS$9)</f>
        <v>0</v>
      </c>
      <c r="BE91" s="22">
        <f>IF(B91=0,0,IF(C91&gt;60,0,LOOKUP(Table1[[#This Row],[Medical
Age]],db!$BC$3:$BC$63,db!$BD$3:$BD$63)))</f>
        <v>0</v>
      </c>
      <c r="BF91" s="22">
        <f>BG91*db!$AS$10</f>
        <v>0</v>
      </c>
      <c r="BG91" s="22">
        <f t="shared" si="33"/>
        <v>0</v>
      </c>
      <c r="BH91" s="22">
        <f>(BE91/1000000)*AJ91*(1-db!$AS$10)</f>
        <v>0</v>
      </c>
      <c r="BI91" s="20">
        <f>IF(B91=0,0,IF(C91&gt;59,0,LOOKUP(Table1[[#This Row],[Medical
Age]],db!$BC$3:$BC$63,db!$BE$3:$BE$63)))</f>
        <v>0</v>
      </c>
      <c r="BJ91" s="20">
        <f>(BI91/1000000)*AL91*(1-db!$AS$11)</f>
        <v>0</v>
      </c>
      <c r="BK91" s="20">
        <f>(BI91/1000000)*AL91*(db!$AS$11)</f>
        <v>0</v>
      </c>
      <c r="BL91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91" s="20">
        <f>Table1[[#This Row],[RiskLoading
Rate]]*Table1[[#This Row],[Death Capital (2)]]</f>
        <v>0</v>
      </c>
      <c r="BN91" s="36"/>
      <c r="BO91" s="37">
        <f t="shared" si="34"/>
        <v>0</v>
      </c>
      <c r="BP91" s="35">
        <f t="shared" si="35"/>
        <v>0</v>
      </c>
      <c r="BQ91" s="35">
        <f t="shared" si="36"/>
        <v>0</v>
      </c>
      <c r="BR91" s="37">
        <f t="shared" si="50"/>
        <v>0</v>
      </c>
      <c r="BS91" s="37">
        <f t="shared" si="41"/>
        <v>0</v>
      </c>
      <c r="BT91" s="35">
        <f t="shared" si="42"/>
        <v>0</v>
      </c>
      <c r="BU91" s="35">
        <f t="shared" si="43"/>
        <v>0</v>
      </c>
      <c r="BV91" s="37">
        <f>(db!$AS$4/100)*(L91-BT91-BU91)</f>
        <v>0</v>
      </c>
      <c r="BW91" s="37">
        <f>(db!$AS$8/100)*(L91-BT91-BU91)</f>
        <v>0</v>
      </c>
      <c r="BX91" s="35"/>
      <c r="BY91" s="37"/>
      <c r="BZ91" s="37"/>
      <c r="CA91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91" s="33"/>
      <c r="CC91" s="39">
        <f>ROUND((Table1[[#This Row],[Premium]]-Table1[[#This Row],[All Deductions]]),0)</f>
        <v>0</v>
      </c>
      <c r="CD91" s="39">
        <f>IF(B91=0,0,Table1[[#This Row],[Initial Reserve]]+CE90)</f>
        <v>0</v>
      </c>
      <c r="CE91" s="40">
        <f>ROUND(IF(B91=0,0,((CC91)*(1+db!Y93))+((CE90)*(1+db!U93))),0)</f>
        <v>0</v>
      </c>
      <c r="CF91" s="40">
        <f t="shared" si="48"/>
        <v>0</v>
      </c>
      <c r="CG91" s="15">
        <f t="shared" si="44"/>
        <v>90</v>
      </c>
      <c r="CH91" s="39">
        <f>IF(B91=0,0,((CC91)*(1+db!AH93))+((CH90)*(1+db!AD93)))</f>
        <v>0</v>
      </c>
      <c r="CI91" s="39">
        <f>IF(B91=0,0,((CC91)*(1+db!AH93))+((CI90)*(1+db!AD93)))</f>
        <v>0</v>
      </c>
      <c r="CJ91" s="40">
        <f>IF(B91=0,0,((CC91)*(1+db!AO93))+((CJ90)*(1+db!AK93)))</f>
        <v>0</v>
      </c>
      <c r="CK91" s="40">
        <f>CJ91-(SUM(BX$7:$BX92))</f>
        <v>0</v>
      </c>
    </row>
    <row r="92" spans="1:89">
      <c r="A92" s="24">
        <f t="shared" si="45"/>
        <v>91</v>
      </c>
      <c r="B92" s="16">
        <f>IF(AND(Changes!Change="Yes", Changes!ChangeType="Change Contract Duration"),IF(B91=0,0,IF(Changes!NewChangedValue&lt;B91+1,0,B91+1)),IF(B91=0,0,IF('Application Annually'!$C$5&lt;B91+1,0,B91+1)))</f>
        <v>0</v>
      </c>
      <c r="C92" s="15">
        <f t="shared" si="49"/>
        <v>0</v>
      </c>
      <c r="D92" s="312">
        <f t="shared" si="47"/>
        <v>118</v>
      </c>
      <c r="E92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92" s="29">
        <f t="shared" si="37"/>
        <v>0</v>
      </c>
      <c r="G92" s="29">
        <f t="shared" si="38"/>
        <v>0</v>
      </c>
      <c r="H92" s="29">
        <f t="shared" si="29"/>
        <v>0</v>
      </c>
      <c r="I92" s="29">
        <f>IF(B92&gt;0,IF(AND(Table1[[#This Row],[Year]]&gt;Changes!ValidityYear,Changes!Change="Yes",Changes!ChangeType="Change Value Adjustment"),Changes!$G$22,'Application Annually'!$C$11),0)</f>
        <v>0</v>
      </c>
      <c r="J92" s="29">
        <f>IF(B92&gt;0,IF(AND(Table1[[#This Row],[Year]]&gt;Changes!ValidityYear,Changes!Change="Yes",Changes!ChangeType="Change Value Adjustment"),Changes!$G$24,'Application Annually'!$C$7),0)</f>
        <v>0</v>
      </c>
      <c r="K92" s="29">
        <f>ROUND(IF(B92=0,0,IF(AND(Changes!Change="Yes", Changes!ValidityYear=Table1[[#This Row],[Year]], Changes!ChangeType="Change Premium"), Changes!NewChangedValue, (K91*(1+db!$B$3)))),0)</f>
        <v>0</v>
      </c>
      <c r="L92" s="29">
        <f>ROUND(IF(AND(Changes!Change="Yes",Changes!ValidityYear&lt;=Table1[[#This Row],[Year]],Changes!ChangeType="Paid-Up"),0,IF(B92=0,0,IF(AND(Changes!Change="Yes", Changes!ValidityYear=Table1[[#This Row],[Year]], Changes!ChangeType="Change Premium"), Changes!NewChangedValue, (L91*(1+Table1[[#This Row],[Adjustment Factor of Premium]]/100))))),0)</f>
        <v>0</v>
      </c>
      <c r="M92" s="29">
        <f>IF(Table1[[#This Row],[Year]]=1,ROUND(MIN($L$2 -( Table1[[#This Row],[Riders Risk Premiums]] + Table1[[#This Row],[Acquisition Cost]]) *0.75,Table1[[#This Row],[Death Capital (1)]]* 0.03),0),0)</f>
        <v>0</v>
      </c>
      <c r="N92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92" s="29">
        <f>ROUND(IF(ROW()-1&gt;InsurancePeriod,0,(O91*(1+(Table1[[#This Row],[Adjustment Factor of Premium]]/100)))),0)</f>
        <v>0</v>
      </c>
      <c r="P92" s="29">
        <f>IF(Table1[Year] = 0, 0, SUM(L$2:L92))</f>
        <v>0</v>
      </c>
      <c r="Q92" s="17">
        <f t="shared" si="30"/>
        <v>0</v>
      </c>
      <c r="R92" s="17">
        <f>IF(Table1[[#This Row],[Year]]=0,0,IF($C$2&lt;=50,LOOKUP(Table1[[#This Row],[Age]],db!BG93:BG199,db!BH93:BH199),LOOKUP(Table1[[#This Row],[Age]],db!BJ93:BJ199,db!BK93:BK199)))</f>
        <v>0</v>
      </c>
      <c r="S92" s="17">
        <f>IF(AND(Changes!Change="Yes",Changes!ValidityYear&lt;=Table1[[#This Row],[Year]],Changes!ChangeType="Paid-Up",PaidUpOption="Paid-up with no coverage"),0,IF(B92=0,0, IF(AND(Changes!Change="Yes", Changes!ValidityYear=Table1[[#This Row],[Year]], Changes!ChangeType="Change Death Capital"), Changes!NewChangedValue, S91*(1+(Table1[[#This Row],[Adjustment Factor of Death Capital]]/100)))))</f>
        <v>0</v>
      </c>
      <c r="T92" s="17">
        <f>MIN(IF(B92=0,0,Table1[[#This Row],[Death Capital (1)]]),Table1[[#This Row],[Max Sum Insured For Death]])</f>
        <v>0</v>
      </c>
      <c r="U92" s="29">
        <f t="shared" si="39"/>
        <v>0</v>
      </c>
      <c r="V92" s="29">
        <f>IF(AND(Changes!Change="Yes",Changes!ValidityYear&lt;=Table1[[#This Row],[Year]],Changes!ChangeType="Paid-Up",OR(PaidUpOption="Paid-up with no coverage",PaidUpOption="Paid-up with main coverage")),0,IF(B92=0,0,IF(AND(Changes!Change="Yes", Changes!ValidityYear&lt;=Table1[[#This Row],[Year]], Changes!ChangeType="Rider Inclusion/Exclusion", Changes!RiderType="Accident Death"), T92*Changes!NewChangedValue,IF(db!$D$6="Yes",(db!$B$6)*T92,0))))</f>
        <v>0</v>
      </c>
      <c r="W92" s="29">
        <f>MIN(IF(V92&lt;=db!$L$2,V92,db!$L$2),MAX_ACC_CAPITAL)</f>
        <v>0</v>
      </c>
      <c r="X92" s="17">
        <f>IF(AND(Changes!Change="Yes",Changes!ValidityYear&lt;=Table1[[#This Row],[Year]],Changes!ChangeType="Paid-Up",OR(PaidUpOption="Paid-up with no coverage",PaidUpOption="Paid-up with main coverage")),0,IF(OR(B92=0,Table1[[#This Row],[Accident Capital (2)]]=0),0,IF(AND(Changes!Change="Yes", Changes!ValidityYear&lt;=Table1[[#This Row],[Year]], Changes!ChangeType="Rider Inclusion/Exclusion", Changes!RiderType="Accident Disability"), T92*Changes!NewChangedValue,IF(db!$D$7="Yes",(db!$B$7)*T92,0))))</f>
        <v>0</v>
      </c>
      <c r="Y92" s="42">
        <f>IF(C92&gt;69,0,IF(C92=0,0,IF(X92&lt;=db!$L$3,X92,db!$L$3)))</f>
        <v>0</v>
      </c>
      <c r="Z92" s="29">
        <f>IF(AND(Changes!Change="Yes",Changes!ValidityYear&lt;=Table1[[#This Row],[Year]],Changes!ChangeType="Paid-Up",OR(PaidUpOption="Paid-up with no coverage",PaidUpOption="Paid-up with main coverage")),0,IF(OR(B92=0,Table1[[#This Row],[Accident Capital (2)]]=0),0,IF(AND(Changes!Change="Yes", Changes!ValidityYear&lt;=Table1[[#This Row],[Year]], Changes!ChangeType="Rider Inclusion/Exclusion", Changes!RiderType="Accident Medical Cost"), T92*Changes!NewChangedValue,IF(db!$D$9="Yes",(db!$B$9)*T92,0))))</f>
        <v>0</v>
      </c>
      <c r="AA92" s="29">
        <f>ROUND(IF(C92&gt;69,0,IF(C92=0,0,IF(Z92&lt;=db!$L$4,Z92,db!$L$4))),0)</f>
        <v>0</v>
      </c>
      <c r="AB92" s="38">
        <f>IF(AND(Changes!Change = "Yes", Changes!ChangeType = "Rider Inclusion/Exclusion", Changes!RiderType = "WOP"), IF( Changes!ValidityYear &lt;= Table1[[#This Row],[Year]], IF(WOP = "Yes", 0, 1),  IF(WOP = "Yes", 1, 0)), IF(AND(db!$D$8="Yes",C92&lt;=69,ROW()-1&lt;=InsurancePeriod), 1, 0))</f>
        <v>0</v>
      </c>
      <c r="AC92" s="17">
        <f>(AC93+K93)*AB92*((1)/(1+db!AA94))*(LOOKUP(C92,'Mortality Table'!$A$2:$A$108,'Mortality Table'!$E$2:$E$108))</f>
        <v>0</v>
      </c>
      <c r="AD92" s="340">
        <f>IF(AND(Changes!ValidityYear&lt;= Table1[[#This Row],[Year]],Changes!ChangeType="Change Value Adjustment",Changes!Change="Yes"), (AD93+L93)*AB92*((1)/(1+db!AA94))*(LOOKUP(C92,'Mortality Table'!$A$2:$A$108,'Mortality Table'!$E$2:$E$108)),Table1[[#This Row],[WOP Before Adj. BT]])</f>
        <v>0</v>
      </c>
      <c r="AE92" s="341">
        <f>IF(AND(Changes!Change="Yes", Changes!ChangeType="Change Value Adjustment"),Table1[[#This Row],[WOP Capital]],(AE93+O93)*AB92*((1)/(1+db!AA94))*(LOOKUP(D92,'Mortality Table'!$A$2:$A$108,'Mortality Table'!$E$2:$E$108)))</f>
        <v>0</v>
      </c>
      <c r="AF92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92" s="42">
        <f>IF(AND(Changes!Change="Yes", Changes!ValidityYear&lt;=Table1[[#This Row],[Year]], Changes!ChangeType="Rider Inclusion/Exclusion", Changes!RiderType="Disability Annuity"), L92*Changes!NewChangedValue,L92*db!B$10*IF(db!$D$10="Yes",1,0))</f>
        <v>0</v>
      </c>
      <c r="AH92" s="29">
        <f>IF(AND(Changes!Change="Yes",Changes!ValidityYear&lt;=Table1[[#This Row],[Year]],Changes!ChangeType="Paid-Up"),0,Table1[[#This Row],[Code Annuity Capital]]*IF('Annual Calculation'!C92&gt;69,0,(LOOKUP('Annual Calculation'!C92+1,'Mortality Table'!$A$2:$A$108,'Mortality Table'!$O$2:$O$108)-LOOKUP('Annual Calculation'!C92+11,'Mortality Table'!$A$2:$A$108,'Mortality Table'!$O$2:$O$108))/LOOKUP('Annual Calculation'!C92,'Mortality Table'!$A$2:$A$108,'Mortality Table'!$M$2:$M$108)))</f>
        <v>0</v>
      </c>
      <c r="AI92" s="17">
        <f>IF(AND(Changes!Change="Yes",Changes!ValidityYear&lt;=Table1[[#This Row],[Year]],Changes!ChangeType="Paid-Up",OR(PaidUpOption="Paid-up with no coverage",PaidUpOption="Paid-up with main coverage")),0,IF(B92=0,0,IF(AND(Changes!Change="Yes", Changes!ValidityYear&lt;=Table1[[#This Row],[Year]], Changes!ChangeType="Rider Inclusion/Exclusion", Changes!RiderType="Dread Disease"), T92*Changes!NewChangedValue,IF(db!$D$11="Yes",(db!$B$11)*T92,0))))</f>
        <v>0</v>
      </c>
      <c r="AJ92" s="42">
        <f>ROUND(IF(C92&gt;59,0,IF(C92=0,0,IF(AI92&lt;=db!$L$5,AI92,db!$L$5))),0)</f>
        <v>0</v>
      </c>
      <c r="AK92" s="29">
        <f>IF(AND(Changes!Change="Yes",Changes!ValidityYear&lt;=Table1[[#This Row],[Year]],Changes!ChangeType="Paid-Up",OR(PaidUpOption="Paid-up with no coverage",PaidUpOption="Paid-up with main coverage")),0,IF(B92=0,0,IF(AND(Changes!Change="Yes", Changes!ValidityYear&lt;=Table1[[#This Row],[Year]], Changes!ChangeType="Rider Inclusion/Exclusion", Changes!RiderType="Cancer"), T92*Changes!NewChangedValue,IF(db!$D$12="Yes",(db!$B$12)*T92,0))))</f>
        <v>0</v>
      </c>
      <c r="AL92" s="29">
        <f>ROUND(IF(C92&gt;59,0,IF(C92=0,0,IF(AK92&lt;=db!$L$6,AK92,db!$L$6))),0)</f>
        <v>0</v>
      </c>
      <c r="AM92" s="32"/>
      <c r="AN92" s="18">
        <f>IF(B92=0,0,IF(C92&lt;(db!$E$2+5),LOOKUP(C92,'Mortality Table'!$A$2:$A$108,'Mortality Table'!$P$2:$P$108),IF((C92&gt;=db!$E$2+10),LOOKUP(C92,'Mortality Table'!$A$2:$A$108,'Mortality Table'!$R$2:$R$108),LOOKUP(C92,'Mortality Table'!$A$2:$A$108,'Mortality Table'!$Q$2:$Q$108))))</f>
        <v>0</v>
      </c>
      <c r="AO92" s="22">
        <f t="shared" si="31"/>
        <v>0</v>
      </c>
      <c r="AP92" s="19">
        <f>IF(B92=0,0, LOOKUP(IF(AND(Changes!Change="Yes", Changes!ValidityYear&lt;=Table1[[#This Row],[Year]], Changes!ChangeType="Change Job Class"),Changes!NewChangedValue, db!$A$8),db!$AX$4:$AX$8,db!$AY$4:$AY$8))</f>
        <v>0</v>
      </c>
      <c r="AQ92" s="20">
        <f>ROUND((AP92/1000)*W92 * (1-db!$AS$9),0)</f>
        <v>0</v>
      </c>
      <c r="AR92" s="20">
        <f>(AP92/1000)*W92 * db!$AS$9</f>
        <v>0</v>
      </c>
      <c r="AS92" s="21">
        <f>IF(B92=0,0, LOOKUP(IF(AND(Changes!Change="Yes", Changes!ValidityYear&lt;=Table1[[#This Row],[Year]], Changes!ChangeType="Change Job Class"),Changes!NewChangedValue, db!$A$8),db!$AX$4:$AX$8,db!$AZ$4:$AZ$8))</f>
        <v>0</v>
      </c>
      <c r="AT92" s="22">
        <f>(AS92/1000)*Y92*(1-db!$AS$9)</f>
        <v>0</v>
      </c>
      <c r="AU92" s="22">
        <f>(AS92/1000)*Y92*(db!$AS$9)</f>
        <v>0</v>
      </c>
      <c r="AV92" s="23">
        <f>IF(B92=0,0, LOOKUP(IF(AND(Changes!Change="Yes", Changes!ValidityYear&lt;=Table1[[#This Row],[Year]], Changes!ChangeType="Change Job Class"),Changes!NewChangedValue, db!$A$8),db!$AX$4:$AX$8,db!$BA$4:$BA$8))</f>
        <v>0</v>
      </c>
      <c r="AW92" s="20">
        <f>ROUND((AV92/(100))*AA92*(1-db!$AS$9),0)</f>
        <v>0</v>
      </c>
      <c r="AX92" s="20">
        <f>ROUND((AV92/(100))*AA92*(db!$AS$9),0)</f>
        <v>0</v>
      </c>
      <c r="AY92" s="21">
        <f>IF(db!$D$8="Yes",AS92,0)</f>
        <v>0</v>
      </c>
      <c r="AZ92" s="22">
        <f>(AY92*AF92)/1000*(1-db!$AS$9)</f>
        <v>0</v>
      </c>
      <c r="BA92" s="22">
        <f>(AY92*AF92)/1000*(db!$AS$9)</f>
        <v>0</v>
      </c>
      <c r="BB92" s="23">
        <f t="shared" si="32"/>
        <v>0</v>
      </c>
      <c r="BC92" s="20">
        <f>(BB92*AH92/1000)*(1-db!$AS$9)</f>
        <v>0</v>
      </c>
      <c r="BD92" s="20">
        <f>(BB92*AH92/1000)*(db!$AS$9)</f>
        <v>0</v>
      </c>
      <c r="BE92" s="22">
        <f>IF(B92=0,0,IF(C92&gt;60,0,LOOKUP(Table1[[#This Row],[Medical
Age]],db!$BC$3:$BC$63,db!$BD$3:$BD$63)))</f>
        <v>0</v>
      </c>
      <c r="BF92" s="22">
        <f>BG92*db!$AS$10</f>
        <v>0</v>
      </c>
      <c r="BG92" s="22">
        <f t="shared" si="33"/>
        <v>0</v>
      </c>
      <c r="BH92" s="22">
        <f>(BE92/1000000)*AJ92*(1-db!$AS$10)</f>
        <v>0</v>
      </c>
      <c r="BI92" s="20">
        <f>IF(B92=0,0,IF(C92&gt;59,0,LOOKUP(Table1[[#This Row],[Medical
Age]],db!$BC$3:$BC$63,db!$BE$3:$BE$63)))</f>
        <v>0</v>
      </c>
      <c r="BJ92" s="20">
        <f>(BI92/1000000)*AL92*(1-db!$AS$11)</f>
        <v>0</v>
      </c>
      <c r="BK92" s="20">
        <f>(BI92/1000000)*AL92*(db!$AS$11)</f>
        <v>0</v>
      </c>
      <c r="BL92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92" s="20">
        <f>Table1[[#This Row],[RiskLoading
Rate]]*Table1[[#This Row],[Death Capital (2)]]</f>
        <v>0</v>
      </c>
      <c r="BN92" s="36"/>
      <c r="BO92" s="37">
        <f t="shared" si="34"/>
        <v>0</v>
      </c>
      <c r="BP92" s="35">
        <f t="shared" si="35"/>
        <v>0</v>
      </c>
      <c r="BQ92" s="35">
        <f t="shared" si="36"/>
        <v>0</v>
      </c>
      <c r="BR92" s="37">
        <f t="shared" si="50"/>
        <v>0</v>
      </c>
      <c r="BS92" s="37">
        <f t="shared" si="41"/>
        <v>0</v>
      </c>
      <c r="BT92" s="35">
        <f t="shared" si="42"/>
        <v>0</v>
      </c>
      <c r="BU92" s="35">
        <f t="shared" si="43"/>
        <v>0</v>
      </c>
      <c r="BV92" s="37">
        <f>(db!$AS$4/100)*(L92-BT92-BU92)</f>
        <v>0</v>
      </c>
      <c r="BW92" s="37">
        <f>(db!$AS$8/100)*(L92-BT92-BU92)</f>
        <v>0</v>
      </c>
      <c r="BX92" s="35"/>
      <c r="BY92" s="37"/>
      <c r="BZ92" s="37"/>
      <c r="CA92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92" s="33"/>
      <c r="CC92" s="39">
        <f>ROUND((Table1[[#This Row],[Premium]]-Table1[[#This Row],[All Deductions]]),0)</f>
        <v>0</v>
      </c>
      <c r="CD92" s="39">
        <f>IF(B92=0,0,Table1[[#This Row],[Initial Reserve]]+CE91)</f>
        <v>0</v>
      </c>
      <c r="CE92" s="40">
        <f>ROUND(IF(B92=0,0,((CC92)*(1+db!Y94))+((CE91)*(1+db!U94))),0)</f>
        <v>0</v>
      </c>
      <c r="CF92" s="40">
        <f t="shared" si="48"/>
        <v>0</v>
      </c>
      <c r="CG92" s="15">
        <f t="shared" si="44"/>
        <v>91</v>
      </c>
      <c r="CH92" s="39">
        <f>IF(B92=0,0,((CC92)*(1+db!AH94))+((CH91)*(1+db!AD94)))</f>
        <v>0</v>
      </c>
      <c r="CI92" s="39">
        <f>IF(B92=0,0,((CC92)*(1+db!AH94))+((CI91)*(1+db!AD94)))</f>
        <v>0</v>
      </c>
      <c r="CJ92" s="40">
        <f>IF(B92=0,0,((CC92)*(1+db!AO94))+((CJ91)*(1+db!AK94)))</f>
        <v>0</v>
      </c>
      <c r="CK92" s="40">
        <f>CJ92-(SUM(BX$7:$BX93))</f>
        <v>0</v>
      </c>
    </row>
    <row r="93" spans="1:89">
      <c r="A93" s="24">
        <f t="shared" si="45"/>
        <v>92</v>
      </c>
      <c r="B93" s="16">
        <f>IF(AND(Changes!Change="Yes", Changes!ChangeType="Change Contract Duration"),IF(B92=0,0,IF(Changes!NewChangedValue&lt;B92+1,0,B92+1)),IF(B92=0,0,IF('Application Annually'!$C$5&lt;B92+1,0,B92+1)))</f>
        <v>0</v>
      </c>
      <c r="C93" s="15">
        <f t="shared" si="49"/>
        <v>0</v>
      </c>
      <c r="D93" s="312">
        <f t="shared" si="47"/>
        <v>119</v>
      </c>
      <c r="E93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93" s="29">
        <f t="shared" si="37"/>
        <v>0</v>
      </c>
      <c r="G93" s="29">
        <f t="shared" si="38"/>
        <v>0</v>
      </c>
      <c r="H93" s="29">
        <f t="shared" si="29"/>
        <v>0</v>
      </c>
      <c r="I93" s="29">
        <f>IF(B93&gt;0,IF(AND(Table1[[#This Row],[Year]]&gt;Changes!ValidityYear,Changes!Change="Yes",Changes!ChangeType="Change Value Adjustment"),Changes!$G$22,'Application Annually'!$C$11),0)</f>
        <v>0</v>
      </c>
      <c r="J93" s="29">
        <f>IF(B93&gt;0,IF(AND(Table1[[#This Row],[Year]]&gt;Changes!ValidityYear,Changes!Change="Yes",Changes!ChangeType="Change Value Adjustment"),Changes!$G$24,'Application Annually'!$C$7),0)</f>
        <v>0</v>
      </c>
      <c r="K93" s="29">
        <f>ROUND(IF(B93=0,0,IF(AND(Changes!Change="Yes", Changes!ValidityYear=Table1[[#This Row],[Year]], Changes!ChangeType="Change Premium"), Changes!NewChangedValue, (K92*(1+db!$B$3)))),0)</f>
        <v>0</v>
      </c>
      <c r="L93" s="29">
        <f>ROUND(IF(AND(Changes!Change="Yes",Changes!ValidityYear&lt;=Table1[[#This Row],[Year]],Changes!ChangeType="Paid-Up"),0,IF(B93=0,0,IF(AND(Changes!Change="Yes", Changes!ValidityYear=Table1[[#This Row],[Year]], Changes!ChangeType="Change Premium"), Changes!NewChangedValue, (L92*(1+Table1[[#This Row],[Adjustment Factor of Premium]]/100))))),0)</f>
        <v>0</v>
      </c>
      <c r="M93" s="29">
        <f>IF(Table1[[#This Row],[Year]]=1,ROUND(MIN($L$2 -( Table1[[#This Row],[Riders Risk Premiums]] + Table1[[#This Row],[Acquisition Cost]]) *0.75,Table1[[#This Row],[Death Capital (1)]]* 0.03),0),0)</f>
        <v>0</v>
      </c>
      <c r="N93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93" s="29">
        <f>ROUND(IF(ROW()-1&gt;InsurancePeriod,0,(O92*(1+(Table1[[#This Row],[Adjustment Factor of Premium]]/100)))),0)</f>
        <v>0</v>
      </c>
      <c r="P93" s="29">
        <f>IF(Table1[Year] = 0, 0, SUM(L$2:L93))</f>
        <v>0</v>
      </c>
      <c r="Q93" s="17">
        <f t="shared" si="30"/>
        <v>0</v>
      </c>
      <c r="R93" s="17">
        <f>IF(Table1[[#This Row],[Year]]=0,0,IF($C$2&lt;=50,LOOKUP(Table1[[#This Row],[Age]],db!BG94:BG200,db!BH94:BH200),LOOKUP(Table1[[#This Row],[Age]],db!BJ94:BJ200,db!BK94:BK200)))</f>
        <v>0</v>
      </c>
      <c r="S93" s="17">
        <f>IF(AND(Changes!Change="Yes",Changes!ValidityYear&lt;=Table1[[#This Row],[Year]],Changes!ChangeType="Paid-Up",PaidUpOption="Paid-up with no coverage"),0,IF(B93=0,0, IF(AND(Changes!Change="Yes", Changes!ValidityYear=Table1[[#This Row],[Year]], Changes!ChangeType="Change Death Capital"), Changes!NewChangedValue, S92*(1+(Table1[[#This Row],[Adjustment Factor of Death Capital]]/100)))))</f>
        <v>0</v>
      </c>
      <c r="T93" s="17">
        <f>MIN(IF(B93=0,0,Table1[[#This Row],[Death Capital (1)]]),Table1[[#This Row],[Max Sum Insured For Death]])</f>
        <v>0</v>
      </c>
      <c r="U93" s="29">
        <f t="shared" si="39"/>
        <v>0</v>
      </c>
      <c r="V93" s="29">
        <f>IF(AND(Changes!Change="Yes",Changes!ValidityYear&lt;=Table1[[#This Row],[Year]],Changes!ChangeType="Paid-Up",OR(PaidUpOption="Paid-up with no coverage",PaidUpOption="Paid-up with main coverage")),0,IF(B93=0,0,IF(AND(Changes!Change="Yes", Changes!ValidityYear&lt;=Table1[[#This Row],[Year]], Changes!ChangeType="Rider Inclusion/Exclusion", Changes!RiderType="Accident Death"), T93*Changes!NewChangedValue,IF(db!$D$6="Yes",(db!$B$6)*T93,0))))</f>
        <v>0</v>
      </c>
      <c r="W93" s="29">
        <f>MIN(IF(V93&lt;=db!$L$2,V93,db!$L$2),MAX_ACC_CAPITAL)</f>
        <v>0</v>
      </c>
      <c r="X93" s="17">
        <f>IF(AND(Changes!Change="Yes",Changes!ValidityYear&lt;=Table1[[#This Row],[Year]],Changes!ChangeType="Paid-Up",OR(PaidUpOption="Paid-up with no coverage",PaidUpOption="Paid-up with main coverage")),0,IF(OR(B93=0,Table1[[#This Row],[Accident Capital (2)]]=0),0,IF(AND(Changes!Change="Yes", Changes!ValidityYear&lt;=Table1[[#This Row],[Year]], Changes!ChangeType="Rider Inclusion/Exclusion", Changes!RiderType="Accident Disability"), T93*Changes!NewChangedValue,IF(db!$D$7="Yes",(db!$B$7)*T93,0))))</f>
        <v>0</v>
      </c>
      <c r="Y93" s="42">
        <f>IF(C93&gt;69,0,IF(C93=0,0,IF(X93&lt;=db!$L$3,X93,db!$L$3)))</f>
        <v>0</v>
      </c>
      <c r="Z93" s="29">
        <f>IF(AND(Changes!Change="Yes",Changes!ValidityYear&lt;=Table1[[#This Row],[Year]],Changes!ChangeType="Paid-Up",OR(PaidUpOption="Paid-up with no coverage",PaidUpOption="Paid-up with main coverage")),0,IF(OR(B93=0,Table1[[#This Row],[Accident Capital (2)]]=0),0,IF(AND(Changes!Change="Yes", Changes!ValidityYear&lt;=Table1[[#This Row],[Year]], Changes!ChangeType="Rider Inclusion/Exclusion", Changes!RiderType="Accident Medical Cost"), T93*Changes!NewChangedValue,IF(db!$D$9="Yes",(db!$B$9)*T93,0))))</f>
        <v>0</v>
      </c>
      <c r="AA93" s="29">
        <f>ROUND(IF(C93&gt;69,0,IF(C93=0,0,IF(Z93&lt;=db!$L$4,Z93,db!$L$4))),0)</f>
        <v>0</v>
      </c>
      <c r="AB93" s="38">
        <f>IF(AND(Changes!Change = "Yes", Changes!ChangeType = "Rider Inclusion/Exclusion", Changes!RiderType = "WOP"), IF( Changes!ValidityYear &lt;= Table1[[#This Row],[Year]], IF(WOP = "Yes", 0, 1),  IF(WOP = "Yes", 1, 0)), IF(AND(db!$D$8="Yes",C93&lt;=69,ROW()-1&lt;=InsurancePeriod), 1, 0))</f>
        <v>0</v>
      </c>
      <c r="AC93" s="17">
        <f>(AC94+K94)*AB93*((1)/(1+db!AA95))*(LOOKUP(C93,'Mortality Table'!$A$2:$A$108,'Mortality Table'!$E$2:$E$108))</f>
        <v>0</v>
      </c>
      <c r="AD93" s="340">
        <f>IF(AND(Changes!ValidityYear&lt;= Table1[[#This Row],[Year]],Changes!ChangeType="Change Value Adjustment",Changes!Change="Yes"), (AD94+L94)*AB93*((1)/(1+db!AA95))*(LOOKUP(C93,'Mortality Table'!$A$2:$A$108,'Mortality Table'!$E$2:$E$108)),Table1[[#This Row],[WOP Before Adj. BT]])</f>
        <v>0</v>
      </c>
      <c r="AE93" s="341">
        <f>IF(AND(Changes!Change="Yes", Changes!ChangeType="Change Value Adjustment"),Table1[[#This Row],[WOP Capital]],(AE94+O94)*AB93*((1)/(1+db!AA95))*(LOOKUP(D93,'Mortality Table'!$A$2:$A$108,'Mortality Table'!$E$2:$E$108)))</f>
        <v>0</v>
      </c>
      <c r="AF93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93" s="42">
        <f>IF(AND(Changes!Change="Yes", Changes!ValidityYear&lt;=Table1[[#This Row],[Year]], Changes!ChangeType="Rider Inclusion/Exclusion", Changes!RiderType="Disability Annuity"), L93*Changes!NewChangedValue,L93*db!B$10*IF(db!$D$10="Yes",1,0))</f>
        <v>0</v>
      </c>
      <c r="AH93" s="29">
        <f>IF(AND(Changes!Change="Yes",Changes!ValidityYear&lt;=Table1[[#This Row],[Year]],Changes!ChangeType="Paid-Up"),0,Table1[[#This Row],[Code Annuity Capital]]*IF('Annual Calculation'!C93&gt;69,0,(LOOKUP('Annual Calculation'!C93+1,'Mortality Table'!$A$2:$A$108,'Mortality Table'!$O$2:$O$108)-LOOKUP('Annual Calculation'!C93+11,'Mortality Table'!$A$2:$A$108,'Mortality Table'!$O$2:$O$108))/LOOKUP('Annual Calculation'!C93,'Mortality Table'!$A$2:$A$108,'Mortality Table'!$M$2:$M$108)))</f>
        <v>0</v>
      </c>
      <c r="AI93" s="17">
        <f>IF(AND(Changes!Change="Yes",Changes!ValidityYear&lt;=Table1[[#This Row],[Year]],Changes!ChangeType="Paid-Up",OR(PaidUpOption="Paid-up with no coverage",PaidUpOption="Paid-up with main coverage")),0,IF(B93=0,0,IF(AND(Changes!Change="Yes", Changes!ValidityYear&lt;=Table1[[#This Row],[Year]], Changes!ChangeType="Rider Inclusion/Exclusion", Changes!RiderType="Dread Disease"), T93*Changes!NewChangedValue,IF(db!$D$11="Yes",(db!$B$11)*T93,0))))</f>
        <v>0</v>
      </c>
      <c r="AJ93" s="42">
        <f>ROUND(IF(C93&gt;59,0,IF(C93=0,0,IF(AI93&lt;=db!$L$5,AI93,db!$L$5))),0)</f>
        <v>0</v>
      </c>
      <c r="AK93" s="29">
        <f>IF(AND(Changes!Change="Yes",Changes!ValidityYear&lt;=Table1[[#This Row],[Year]],Changes!ChangeType="Paid-Up",OR(PaidUpOption="Paid-up with no coverage",PaidUpOption="Paid-up with main coverage")),0,IF(B93=0,0,IF(AND(Changes!Change="Yes", Changes!ValidityYear&lt;=Table1[[#This Row],[Year]], Changes!ChangeType="Rider Inclusion/Exclusion", Changes!RiderType="Cancer"), T93*Changes!NewChangedValue,IF(db!$D$12="Yes",(db!$B$12)*T93,0))))</f>
        <v>0</v>
      </c>
      <c r="AL93" s="29">
        <f>ROUND(IF(C93&gt;59,0,IF(C93=0,0,IF(AK93&lt;=db!$L$6,AK93,db!$L$6))),0)</f>
        <v>0</v>
      </c>
      <c r="AM93" s="32"/>
      <c r="AN93" s="18">
        <f>IF(B93=0,0,IF(C93&lt;(db!$E$2+5),LOOKUP(C93,'Mortality Table'!$A$2:$A$108,'Mortality Table'!$P$2:$P$108),IF((C93&gt;=db!$E$2+10),LOOKUP(C93,'Mortality Table'!$A$2:$A$108,'Mortality Table'!$R$2:$R$108),LOOKUP(C93,'Mortality Table'!$A$2:$A$108,'Mortality Table'!$Q$2:$Q$108))))</f>
        <v>0</v>
      </c>
      <c r="AO93" s="22">
        <f t="shared" si="31"/>
        <v>0</v>
      </c>
      <c r="AP93" s="19">
        <f>IF(B93=0,0, LOOKUP(IF(AND(Changes!Change="Yes", Changes!ValidityYear&lt;=Table1[[#This Row],[Year]], Changes!ChangeType="Change Job Class"),Changes!NewChangedValue, db!$A$8),db!$AX$4:$AX$8,db!$AY$4:$AY$8))</f>
        <v>0</v>
      </c>
      <c r="AQ93" s="20">
        <f>ROUND((AP93/1000)*W93 * (1-db!$AS$9),0)</f>
        <v>0</v>
      </c>
      <c r="AR93" s="20">
        <f>(AP93/1000)*W93 * db!$AS$9</f>
        <v>0</v>
      </c>
      <c r="AS93" s="21">
        <f>IF(B93=0,0, LOOKUP(IF(AND(Changes!Change="Yes", Changes!ValidityYear&lt;=Table1[[#This Row],[Year]], Changes!ChangeType="Change Job Class"),Changes!NewChangedValue, db!$A$8),db!$AX$4:$AX$8,db!$AZ$4:$AZ$8))</f>
        <v>0</v>
      </c>
      <c r="AT93" s="22">
        <f>(AS93/1000)*Y93*(1-db!$AS$9)</f>
        <v>0</v>
      </c>
      <c r="AU93" s="22">
        <f>(AS93/1000)*Y93*(db!$AS$9)</f>
        <v>0</v>
      </c>
      <c r="AV93" s="23">
        <f>IF(B93=0,0, LOOKUP(IF(AND(Changes!Change="Yes", Changes!ValidityYear&lt;=Table1[[#This Row],[Year]], Changes!ChangeType="Change Job Class"),Changes!NewChangedValue, db!$A$8),db!$AX$4:$AX$8,db!$BA$4:$BA$8))</f>
        <v>0</v>
      </c>
      <c r="AW93" s="20">
        <f>ROUND((AV93/(100))*AA93*(1-db!$AS$9),0)</f>
        <v>0</v>
      </c>
      <c r="AX93" s="20">
        <f>ROUND((AV93/(100))*AA93*(db!$AS$9),0)</f>
        <v>0</v>
      </c>
      <c r="AY93" s="21">
        <f>IF(db!$D$8="Yes",AS93,0)</f>
        <v>0</v>
      </c>
      <c r="AZ93" s="22">
        <f>(AY93*AF93)/1000*(1-db!$AS$9)</f>
        <v>0</v>
      </c>
      <c r="BA93" s="22">
        <f>(AY93*AF93)/1000*(db!$AS$9)</f>
        <v>0</v>
      </c>
      <c r="BB93" s="23">
        <f t="shared" si="32"/>
        <v>0</v>
      </c>
      <c r="BC93" s="20">
        <f>(BB93*AH93/1000)*(1-db!$AS$9)</f>
        <v>0</v>
      </c>
      <c r="BD93" s="20">
        <f>(BB93*AH93/1000)*(db!$AS$9)</f>
        <v>0</v>
      </c>
      <c r="BE93" s="22">
        <f>IF(B93=0,0,IF(C93&gt;60,0,LOOKUP(Table1[[#This Row],[Medical
Age]],db!$BC$3:$BC$63,db!$BD$3:$BD$63)))</f>
        <v>0</v>
      </c>
      <c r="BF93" s="22">
        <f>BG93*db!$AS$10</f>
        <v>0</v>
      </c>
      <c r="BG93" s="22">
        <f t="shared" si="33"/>
        <v>0</v>
      </c>
      <c r="BH93" s="22">
        <f>(BE93/1000000)*AJ93*(1-db!$AS$10)</f>
        <v>0</v>
      </c>
      <c r="BI93" s="20">
        <f>IF(B93=0,0,IF(C93&gt;59,0,LOOKUP(Table1[[#This Row],[Medical
Age]],db!$BC$3:$BC$63,db!$BE$3:$BE$63)))</f>
        <v>0</v>
      </c>
      <c r="BJ93" s="20">
        <f>(BI93/1000000)*AL93*(1-db!$AS$11)</f>
        <v>0</v>
      </c>
      <c r="BK93" s="20">
        <f>(BI93/1000000)*AL93*(db!$AS$11)</f>
        <v>0</v>
      </c>
      <c r="BL93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93" s="20">
        <f>Table1[[#This Row],[RiskLoading
Rate]]*Table1[[#This Row],[Death Capital (2)]]</f>
        <v>0</v>
      </c>
      <c r="BN93" s="36"/>
      <c r="BO93" s="37">
        <f t="shared" si="34"/>
        <v>0</v>
      </c>
      <c r="BP93" s="35">
        <f t="shared" si="35"/>
        <v>0</v>
      </c>
      <c r="BQ93" s="35">
        <f t="shared" si="36"/>
        <v>0</v>
      </c>
      <c r="BR93" s="37">
        <f t="shared" si="50"/>
        <v>0</v>
      </c>
      <c r="BS93" s="37">
        <f t="shared" si="41"/>
        <v>0</v>
      </c>
      <c r="BT93" s="35">
        <f t="shared" si="42"/>
        <v>0</v>
      </c>
      <c r="BU93" s="35">
        <f t="shared" si="43"/>
        <v>0</v>
      </c>
      <c r="BV93" s="37">
        <f>(db!$AS$4/100)*(L93-BT93-BU93)</f>
        <v>0</v>
      </c>
      <c r="BW93" s="37">
        <f>(db!$AS$8/100)*(L93-BT93-BU93)</f>
        <v>0</v>
      </c>
      <c r="BX93" s="35"/>
      <c r="BY93" s="37"/>
      <c r="BZ93" s="37"/>
      <c r="CA93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93" s="33"/>
      <c r="CC93" s="39">
        <f>ROUND((Table1[[#This Row],[Premium]]-Table1[[#This Row],[All Deductions]]),0)</f>
        <v>0</v>
      </c>
      <c r="CD93" s="39">
        <f>IF(B93=0,0,Table1[[#This Row],[Initial Reserve]]+CE92)</f>
        <v>0</v>
      </c>
      <c r="CE93" s="40">
        <f>ROUND(IF(B93=0,0,((CC93)*(1+db!Y95))+((CE92)*(1+db!U95))),0)</f>
        <v>0</v>
      </c>
      <c r="CF93" s="40">
        <f t="shared" si="48"/>
        <v>0</v>
      </c>
      <c r="CG93" s="15">
        <f t="shared" si="44"/>
        <v>92</v>
      </c>
      <c r="CH93" s="39">
        <f>IF(B93=0,0,((CC93)*(1+db!AH95))+((CH92)*(1+db!AD95)))</f>
        <v>0</v>
      </c>
      <c r="CI93" s="39">
        <f>IF(B93=0,0,((CC93)*(1+db!AH95))+((CI92)*(1+db!AD95)))</f>
        <v>0</v>
      </c>
      <c r="CJ93" s="40">
        <f>IF(B93=0,0,((CC93)*(1+db!AO95))+((CJ92)*(1+db!AK95)))</f>
        <v>0</v>
      </c>
      <c r="CK93" s="40">
        <f>CJ93-(SUM(BX$7:$BX94))</f>
        <v>0</v>
      </c>
    </row>
    <row r="94" spans="1:89">
      <c r="A94" s="24">
        <f t="shared" si="45"/>
        <v>93</v>
      </c>
      <c r="B94" s="16">
        <f>IF(AND(Changes!Change="Yes", Changes!ChangeType="Change Contract Duration"),IF(B93=0,0,IF(Changes!NewChangedValue&lt;B93+1,0,B93+1)),IF(B93=0,0,IF('Application Annually'!$C$5&lt;B93+1,0,B93+1)))</f>
        <v>0</v>
      </c>
      <c r="C94" s="15">
        <f t="shared" si="49"/>
        <v>0</v>
      </c>
      <c r="D94" s="312">
        <f t="shared" si="47"/>
        <v>120</v>
      </c>
      <c r="E94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94" s="29">
        <f t="shared" si="37"/>
        <v>0</v>
      </c>
      <c r="G94" s="29">
        <f t="shared" si="38"/>
        <v>0</v>
      </c>
      <c r="H94" s="29">
        <f t="shared" si="29"/>
        <v>0</v>
      </c>
      <c r="I94" s="29">
        <f>IF(B94&gt;0,IF(AND(Table1[[#This Row],[Year]]&gt;Changes!ValidityYear,Changes!Change="Yes",Changes!ChangeType="Change Value Adjustment"),Changes!$G$22,'Application Annually'!$C$11),0)</f>
        <v>0</v>
      </c>
      <c r="J94" s="29">
        <f>IF(B94&gt;0,IF(AND(Table1[[#This Row],[Year]]&gt;Changes!ValidityYear,Changes!Change="Yes",Changes!ChangeType="Change Value Adjustment"),Changes!$G$24,'Application Annually'!$C$7),0)</f>
        <v>0</v>
      </c>
      <c r="K94" s="29">
        <f>ROUND(IF(B94=0,0,IF(AND(Changes!Change="Yes", Changes!ValidityYear=Table1[[#This Row],[Year]], Changes!ChangeType="Change Premium"), Changes!NewChangedValue, (K93*(1+db!$B$3)))),0)</f>
        <v>0</v>
      </c>
      <c r="L94" s="29">
        <f>ROUND(IF(AND(Changes!Change="Yes",Changes!ValidityYear&lt;=Table1[[#This Row],[Year]],Changes!ChangeType="Paid-Up"),0,IF(B94=0,0,IF(AND(Changes!Change="Yes", Changes!ValidityYear=Table1[[#This Row],[Year]], Changes!ChangeType="Change Premium"), Changes!NewChangedValue, (L93*(1+Table1[[#This Row],[Adjustment Factor of Premium]]/100))))),0)</f>
        <v>0</v>
      </c>
      <c r="M94" s="29">
        <f>IF(Table1[[#This Row],[Year]]=1,ROUND(MIN($L$2 -( Table1[[#This Row],[Riders Risk Premiums]] + Table1[[#This Row],[Acquisition Cost]]) *0.75,Table1[[#This Row],[Death Capital (1)]]* 0.03),0),0)</f>
        <v>0</v>
      </c>
      <c r="N94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94" s="29">
        <f>ROUND(IF(ROW()-1&gt;InsurancePeriod,0,(O93*(1+(Table1[[#This Row],[Adjustment Factor of Premium]]/100)))),0)</f>
        <v>0</v>
      </c>
      <c r="P94" s="29">
        <f>IF(Table1[Year] = 0, 0, SUM(L$2:L94))</f>
        <v>0</v>
      </c>
      <c r="Q94" s="17">
        <f t="shared" si="30"/>
        <v>0</v>
      </c>
      <c r="R94" s="17">
        <f>IF(Table1[[#This Row],[Year]]=0,0,IF($C$2&lt;=50,LOOKUP(Table1[[#This Row],[Age]],db!BG95:BG201,db!BH95:BH201),LOOKUP(Table1[[#This Row],[Age]],db!BJ95:BJ201,db!BK95:BK201)))</f>
        <v>0</v>
      </c>
      <c r="S94" s="17">
        <f>IF(AND(Changes!Change="Yes",Changes!ValidityYear&lt;=Table1[[#This Row],[Year]],Changes!ChangeType="Paid-Up",PaidUpOption="Paid-up with no coverage"),0,IF(B94=0,0, IF(AND(Changes!Change="Yes", Changes!ValidityYear=Table1[[#This Row],[Year]], Changes!ChangeType="Change Death Capital"), Changes!NewChangedValue, S93*(1+(Table1[[#This Row],[Adjustment Factor of Death Capital]]/100)))))</f>
        <v>0</v>
      </c>
      <c r="T94" s="17">
        <f>MIN(IF(B94=0,0,Table1[[#This Row],[Death Capital (1)]]),Table1[[#This Row],[Max Sum Insured For Death]])</f>
        <v>0</v>
      </c>
      <c r="U94" s="29">
        <f t="shared" si="39"/>
        <v>0</v>
      </c>
      <c r="V94" s="29">
        <f>IF(AND(Changes!Change="Yes",Changes!ValidityYear&lt;=Table1[[#This Row],[Year]],Changes!ChangeType="Paid-Up",OR(PaidUpOption="Paid-up with no coverage",PaidUpOption="Paid-up with main coverage")),0,IF(B94=0,0,IF(AND(Changes!Change="Yes", Changes!ValidityYear&lt;=Table1[[#This Row],[Year]], Changes!ChangeType="Rider Inclusion/Exclusion", Changes!RiderType="Accident Death"), T94*Changes!NewChangedValue,IF(db!$D$6="Yes",(db!$B$6)*T94,0))))</f>
        <v>0</v>
      </c>
      <c r="W94" s="29">
        <f>MIN(IF(V94&lt;=db!$L$2,V94,db!$L$2),MAX_ACC_CAPITAL)</f>
        <v>0</v>
      </c>
      <c r="X94" s="17">
        <f>IF(AND(Changes!Change="Yes",Changes!ValidityYear&lt;=Table1[[#This Row],[Year]],Changes!ChangeType="Paid-Up",OR(PaidUpOption="Paid-up with no coverage",PaidUpOption="Paid-up with main coverage")),0,IF(OR(B94=0,Table1[[#This Row],[Accident Capital (2)]]=0),0,IF(AND(Changes!Change="Yes", Changes!ValidityYear&lt;=Table1[[#This Row],[Year]], Changes!ChangeType="Rider Inclusion/Exclusion", Changes!RiderType="Accident Disability"), T94*Changes!NewChangedValue,IF(db!$D$7="Yes",(db!$B$7)*T94,0))))</f>
        <v>0</v>
      </c>
      <c r="Y94" s="42">
        <f>IF(C94&gt;69,0,IF(C94=0,0,IF(X94&lt;=db!$L$3,X94,db!$L$3)))</f>
        <v>0</v>
      </c>
      <c r="Z94" s="29">
        <f>IF(AND(Changes!Change="Yes",Changes!ValidityYear&lt;=Table1[[#This Row],[Year]],Changes!ChangeType="Paid-Up",OR(PaidUpOption="Paid-up with no coverage",PaidUpOption="Paid-up with main coverage")),0,IF(OR(B94=0,Table1[[#This Row],[Accident Capital (2)]]=0),0,IF(AND(Changes!Change="Yes", Changes!ValidityYear&lt;=Table1[[#This Row],[Year]], Changes!ChangeType="Rider Inclusion/Exclusion", Changes!RiderType="Accident Medical Cost"), T94*Changes!NewChangedValue,IF(db!$D$9="Yes",(db!$B$9)*T94,0))))</f>
        <v>0</v>
      </c>
      <c r="AA94" s="29">
        <f>ROUND(IF(C94&gt;69,0,IF(C94=0,0,IF(Z94&lt;=db!$L$4,Z94,db!$L$4))),0)</f>
        <v>0</v>
      </c>
      <c r="AB94" s="38">
        <f>IF(AND(Changes!Change = "Yes", Changes!ChangeType = "Rider Inclusion/Exclusion", Changes!RiderType = "WOP"), IF( Changes!ValidityYear &lt;= Table1[[#This Row],[Year]], IF(WOP = "Yes", 0, 1),  IF(WOP = "Yes", 1, 0)), IF(AND(db!$D$8="Yes",C94&lt;=69,ROW()-1&lt;=InsurancePeriod), 1, 0))</f>
        <v>0</v>
      </c>
      <c r="AC94" s="17">
        <f>(AC95+K95)*AB94*((1)/(1+db!AA96))*(LOOKUP(C94,'Mortality Table'!$A$2:$A$108,'Mortality Table'!$E$2:$E$108))</f>
        <v>0</v>
      </c>
      <c r="AD94" s="340">
        <f>IF(AND(Changes!ValidityYear&lt;= Table1[[#This Row],[Year]],Changes!ChangeType="Change Value Adjustment",Changes!Change="Yes"), (AD95+L95)*AB94*((1)/(1+db!AA96))*(LOOKUP(C94,'Mortality Table'!$A$2:$A$108,'Mortality Table'!$E$2:$E$108)),Table1[[#This Row],[WOP Before Adj. BT]])</f>
        <v>0</v>
      </c>
      <c r="AE94" s="341">
        <f>IF(AND(Changes!Change="Yes", Changes!ChangeType="Change Value Adjustment"),Table1[[#This Row],[WOP Capital]],(AE95+O95)*AB94*((1)/(1+db!AA96))*(LOOKUP(D94,'Mortality Table'!$A$2:$A$108,'Mortality Table'!$E$2:$E$108)))</f>
        <v>0</v>
      </c>
      <c r="AF94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94" s="42">
        <f>IF(AND(Changes!Change="Yes", Changes!ValidityYear&lt;=Table1[[#This Row],[Year]], Changes!ChangeType="Rider Inclusion/Exclusion", Changes!RiderType="Disability Annuity"), L94*Changes!NewChangedValue,L94*db!B$10*IF(db!$D$10="Yes",1,0))</f>
        <v>0</v>
      </c>
      <c r="AH94" s="29">
        <f>IF(AND(Changes!Change="Yes",Changes!ValidityYear&lt;=Table1[[#This Row],[Year]],Changes!ChangeType="Paid-Up"),0,Table1[[#This Row],[Code Annuity Capital]]*IF('Annual Calculation'!C94&gt;69,0,(LOOKUP('Annual Calculation'!C94+1,'Mortality Table'!$A$2:$A$108,'Mortality Table'!$O$2:$O$108)-LOOKUP('Annual Calculation'!C94+11,'Mortality Table'!$A$2:$A$108,'Mortality Table'!$O$2:$O$108))/LOOKUP('Annual Calculation'!C94,'Mortality Table'!$A$2:$A$108,'Mortality Table'!$M$2:$M$108)))</f>
        <v>0</v>
      </c>
      <c r="AI94" s="17">
        <f>IF(AND(Changes!Change="Yes",Changes!ValidityYear&lt;=Table1[[#This Row],[Year]],Changes!ChangeType="Paid-Up",OR(PaidUpOption="Paid-up with no coverage",PaidUpOption="Paid-up with main coverage")),0,IF(B94=0,0,IF(AND(Changes!Change="Yes", Changes!ValidityYear&lt;=Table1[[#This Row],[Year]], Changes!ChangeType="Rider Inclusion/Exclusion", Changes!RiderType="Dread Disease"), T94*Changes!NewChangedValue,IF(db!$D$11="Yes",(db!$B$11)*T94,0))))</f>
        <v>0</v>
      </c>
      <c r="AJ94" s="42">
        <f>ROUND(IF(C94&gt;59,0,IF(C94=0,0,IF(AI94&lt;=db!$L$5,AI94,db!$L$5))),0)</f>
        <v>0</v>
      </c>
      <c r="AK94" s="29">
        <f>IF(AND(Changes!Change="Yes",Changes!ValidityYear&lt;=Table1[[#This Row],[Year]],Changes!ChangeType="Paid-Up",OR(PaidUpOption="Paid-up with no coverage",PaidUpOption="Paid-up with main coverage")),0,IF(B94=0,0,IF(AND(Changes!Change="Yes", Changes!ValidityYear&lt;=Table1[[#This Row],[Year]], Changes!ChangeType="Rider Inclusion/Exclusion", Changes!RiderType="Cancer"), T94*Changes!NewChangedValue,IF(db!$D$12="Yes",(db!$B$12)*T94,0))))</f>
        <v>0</v>
      </c>
      <c r="AL94" s="29">
        <f>ROUND(IF(C94&gt;59,0,IF(C94=0,0,IF(AK94&lt;=db!$L$6,AK94,db!$L$6))),0)</f>
        <v>0</v>
      </c>
      <c r="AM94" s="32"/>
      <c r="AN94" s="18">
        <f>IF(B94=0,0,IF(C94&lt;(db!$E$2+5),LOOKUP(C94,'Mortality Table'!$A$2:$A$108,'Mortality Table'!$P$2:$P$108),IF((C94&gt;=db!$E$2+10),LOOKUP(C94,'Mortality Table'!$A$2:$A$108,'Mortality Table'!$R$2:$R$108),LOOKUP(C94,'Mortality Table'!$A$2:$A$108,'Mortality Table'!$Q$2:$Q$108))))</f>
        <v>0</v>
      </c>
      <c r="AO94" s="22">
        <f t="shared" si="31"/>
        <v>0</v>
      </c>
      <c r="AP94" s="19">
        <f>IF(B94=0,0, LOOKUP(IF(AND(Changes!Change="Yes", Changes!ValidityYear&lt;=Table1[[#This Row],[Year]], Changes!ChangeType="Change Job Class"),Changes!NewChangedValue, db!$A$8),db!$AX$4:$AX$8,db!$AY$4:$AY$8))</f>
        <v>0</v>
      </c>
      <c r="AQ94" s="20">
        <f>ROUND((AP94/1000)*W94 * (1-db!$AS$9),0)</f>
        <v>0</v>
      </c>
      <c r="AR94" s="20">
        <f>(AP94/1000)*W94 * db!$AS$9</f>
        <v>0</v>
      </c>
      <c r="AS94" s="21">
        <f>IF(B94=0,0, LOOKUP(IF(AND(Changes!Change="Yes", Changes!ValidityYear&lt;=Table1[[#This Row],[Year]], Changes!ChangeType="Change Job Class"),Changes!NewChangedValue, db!$A$8),db!$AX$4:$AX$8,db!$AZ$4:$AZ$8))</f>
        <v>0</v>
      </c>
      <c r="AT94" s="22">
        <f>(AS94/1000)*Y94*(1-db!$AS$9)</f>
        <v>0</v>
      </c>
      <c r="AU94" s="22">
        <f>(AS94/1000)*Y94*(db!$AS$9)</f>
        <v>0</v>
      </c>
      <c r="AV94" s="23">
        <f>IF(B94=0,0, LOOKUP(IF(AND(Changes!Change="Yes", Changes!ValidityYear&lt;=Table1[[#This Row],[Year]], Changes!ChangeType="Change Job Class"),Changes!NewChangedValue, db!$A$8),db!$AX$4:$AX$8,db!$BA$4:$BA$8))</f>
        <v>0</v>
      </c>
      <c r="AW94" s="20">
        <f>ROUND((AV94/(100))*AA94*(1-db!$AS$9),0)</f>
        <v>0</v>
      </c>
      <c r="AX94" s="20">
        <f>ROUND((AV94/(100))*AA94*(db!$AS$9),0)</f>
        <v>0</v>
      </c>
      <c r="AY94" s="21">
        <f>IF(db!$D$8="Yes",AS94,0)</f>
        <v>0</v>
      </c>
      <c r="AZ94" s="22">
        <f>(AY94*AF94)/1000*(1-db!$AS$9)</f>
        <v>0</v>
      </c>
      <c r="BA94" s="22">
        <f>(AY94*AF94)/1000*(db!$AS$9)</f>
        <v>0</v>
      </c>
      <c r="BB94" s="23">
        <f t="shared" si="32"/>
        <v>0</v>
      </c>
      <c r="BC94" s="20">
        <f>(BB94*AH94/1000)*(1-db!$AS$9)</f>
        <v>0</v>
      </c>
      <c r="BD94" s="20">
        <f>(BB94*AH94/1000)*(db!$AS$9)</f>
        <v>0</v>
      </c>
      <c r="BE94" s="22">
        <f>IF(B94=0,0,IF(C94&gt;60,0,LOOKUP(Table1[[#This Row],[Medical
Age]],db!$BC$3:$BC$63,db!$BD$3:$BD$63)))</f>
        <v>0</v>
      </c>
      <c r="BF94" s="22">
        <f>BG94*db!$AS$10</f>
        <v>0</v>
      </c>
      <c r="BG94" s="22">
        <f t="shared" si="33"/>
        <v>0</v>
      </c>
      <c r="BH94" s="22">
        <f>(BE94/1000000)*AJ94*(1-db!$AS$10)</f>
        <v>0</v>
      </c>
      <c r="BI94" s="20">
        <f>IF(B94=0,0,IF(C94&gt;59,0,LOOKUP(Table1[[#This Row],[Medical
Age]],db!$BC$3:$BC$63,db!$BE$3:$BE$63)))</f>
        <v>0</v>
      </c>
      <c r="BJ94" s="20">
        <f>(BI94/1000000)*AL94*(1-db!$AS$11)</f>
        <v>0</v>
      </c>
      <c r="BK94" s="20">
        <f>(BI94/1000000)*AL94*(db!$AS$11)</f>
        <v>0</v>
      </c>
      <c r="BL94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94" s="20">
        <f>Table1[[#This Row],[RiskLoading
Rate]]*Table1[[#This Row],[Death Capital (2)]]</f>
        <v>0</v>
      </c>
      <c r="BN94" s="36"/>
      <c r="BO94" s="37">
        <f t="shared" si="34"/>
        <v>0</v>
      </c>
      <c r="BP94" s="35">
        <f t="shared" si="35"/>
        <v>0</v>
      </c>
      <c r="BQ94" s="35">
        <f t="shared" si="36"/>
        <v>0</v>
      </c>
      <c r="BR94" s="37">
        <f t="shared" si="50"/>
        <v>0</v>
      </c>
      <c r="BS94" s="37">
        <f t="shared" si="41"/>
        <v>0</v>
      </c>
      <c r="BT94" s="35">
        <f t="shared" si="42"/>
        <v>0</v>
      </c>
      <c r="BU94" s="35">
        <f t="shared" si="43"/>
        <v>0</v>
      </c>
      <c r="BV94" s="37">
        <f>(db!$AS$4/100)*(L94-BT94-BU94)</f>
        <v>0</v>
      </c>
      <c r="BW94" s="37">
        <f>(db!$AS$8/100)*(L94-BT94-BU94)</f>
        <v>0</v>
      </c>
      <c r="BX94" s="35"/>
      <c r="BY94" s="37"/>
      <c r="BZ94" s="37"/>
      <c r="CA94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94" s="33"/>
      <c r="CC94" s="39">
        <f>ROUND((Table1[[#This Row],[Premium]]-Table1[[#This Row],[All Deductions]]),0)</f>
        <v>0</v>
      </c>
      <c r="CD94" s="39">
        <f>IF(B94=0,0,Table1[[#This Row],[Initial Reserve]]+CE93)</f>
        <v>0</v>
      </c>
      <c r="CE94" s="40">
        <f>ROUND(IF(B94=0,0,((CC94)*(1+db!Y96))+((CE93)*(1+db!U96))),0)</f>
        <v>0</v>
      </c>
      <c r="CF94" s="40">
        <f t="shared" si="48"/>
        <v>0</v>
      </c>
      <c r="CG94" s="15">
        <f t="shared" si="44"/>
        <v>93</v>
      </c>
      <c r="CH94" s="39">
        <f>IF(B94=0,0,((CC94)*(1+db!AH96))+((CH93)*(1+db!AD96)))</f>
        <v>0</v>
      </c>
      <c r="CI94" s="39">
        <f>IF(B94=0,0,((CC94)*(1+db!AH96))+((CI93)*(1+db!AD96)))</f>
        <v>0</v>
      </c>
      <c r="CJ94" s="40">
        <f>IF(B94=0,0,((CC94)*(1+db!AO96))+((CJ93)*(1+db!AK96)))</f>
        <v>0</v>
      </c>
      <c r="CK94" s="40">
        <f>CJ94-(SUM(BX$7:$BX95))</f>
        <v>0</v>
      </c>
    </row>
    <row r="95" spans="1:89">
      <c r="A95" s="24">
        <f t="shared" si="45"/>
        <v>94</v>
      </c>
      <c r="B95" s="16">
        <f>IF(AND(Changes!Change="Yes", Changes!ChangeType="Change Contract Duration"),IF(B94=0,0,IF(Changes!NewChangedValue&lt;B94+1,0,B94+1)),IF(B94=0,0,IF('Application Annually'!$C$5&lt;B94+1,0,B94+1)))</f>
        <v>0</v>
      </c>
      <c r="C95" s="15">
        <f t="shared" si="49"/>
        <v>0</v>
      </c>
      <c r="D95" s="312">
        <f t="shared" si="47"/>
        <v>121</v>
      </c>
      <c r="E95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95" s="29">
        <f t="shared" si="37"/>
        <v>0</v>
      </c>
      <c r="G95" s="29">
        <f t="shared" si="38"/>
        <v>0</v>
      </c>
      <c r="H95" s="29">
        <f t="shared" si="29"/>
        <v>0</v>
      </c>
      <c r="I95" s="29">
        <f>IF(B95&gt;0,IF(AND(Table1[[#This Row],[Year]]&gt;Changes!ValidityYear,Changes!Change="Yes",Changes!ChangeType="Change Value Adjustment"),Changes!$G$22,'Application Annually'!$C$11),0)</f>
        <v>0</v>
      </c>
      <c r="J95" s="29">
        <f>IF(B95&gt;0,IF(AND(Table1[[#This Row],[Year]]&gt;Changes!ValidityYear,Changes!Change="Yes",Changes!ChangeType="Change Value Adjustment"),Changes!$G$24,'Application Annually'!$C$7),0)</f>
        <v>0</v>
      </c>
      <c r="K95" s="29">
        <f>ROUND(IF(B95=0,0,IF(AND(Changes!Change="Yes", Changes!ValidityYear=Table1[[#This Row],[Year]], Changes!ChangeType="Change Premium"), Changes!NewChangedValue, (K94*(1+db!$B$3)))),0)</f>
        <v>0</v>
      </c>
      <c r="L95" s="29">
        <f>ROUND(IF(AND(Changes!Change="Yes",Changes!ValidityYear&lt;=Table1[[#This Row],[Year]],Changes!ChangeType="Paid-Up"),0,IF(B95=0,0,IF(AND(Changes!Change="Yes", Changes!ValidityYear=Table1[[#This Row],[Year]], Changes!ChangeType="Change Premium"), Changes!NewChangedValue, (L94*(1+Table1[[#This Row],[Adjustment Factor of Premium]]/100))))),0)</f>
        <v>0</v>
      </c>
      <c r="M95" s="29">
        <f>IF(Table1[[#This Row],[Year]]=1,ROUND(MIN($L$2 -( Table1[[#This Row],[Riders Risk Premiums]] + Table1[[#This Row],[Acquisition Cost]]) *0.75,Table1[[#This Row],[Death Capital (1)]]* 0.03),0),0)</f>
        <v>0</v>
      </c>
      <c r="N95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95" s="29">
        <f>ROUND(IF(ROW()-1&gt;InsurancePeriod,0,(O94*(1+(Table1[[#This Row],[Adjustment Factor of Premium]]/100)))),0)</f>
        <v>0</v>
      </c>
      <c r="P95" s="29">
        <f>IF(Table1[Year] = 0, 0, SUM(L$2:L95))</f>
        <v>0</v>
      </c>
      <c r="Q95" s="17">
        <f t="shared" si="30"/>
        <v>0</v>
      </c>
      <c r="R95" s="17">
        <f>IF(Table1[[#This Row],[Year]]=0,0,IF($C$2&lt;=50,LOOKUP(Table1[[#This Row],[Age]],db!BG96:BG202,db!BH96:BH202),LOOKUP(Table1[[#This Row],[Age]],db!BJ96:BJ202,db!BK96:BK202)))</f>
        <v>0</v>
      </c>
      <c r="S95" s="17">
        <f>IF(AND(Changes!Change="Yes",Changes!ValidityYear&lt;=Table1[[#This Row],[Year]],Changes!ChangeType="Paid-Up",PaidUpOption="Paid-up with no coverage"),0,IF(B95=0,0, IF(AND(Changes!Change="Yes", Changes!ValidityYear=Table1[[#This Row],[Year]], Changes!ChangeType="Change Death Capital"), Changes!NewChangedValue, S94*(1+(Table1[[#This Row],[Adjustment Factor of Death Capital]]/100)))))</f>
        <v>0</v>
      </c>
      <c r="T95" s="17">
        <f>MIN(IF(B95=0,0,Table1[[#This Row],[Death Capital (1)]]),Table1[[#This Row],[Max Sum Insured For Death]])</f>
        <v>0</v>
      </c>
      <c r="U95" s="29">
        <f t="shared" si="39"/>
        <v>0</v>
      </c>
      <c r="V95" s="29">
        <f>IF(AND(Changes!Change="Yes",Changes!ValidityYear&lt;=Table1[[#This Row],[Year]],Changes!ChangeType="Paid-Up",OR(PaidUpOption="Paid-up with no coverage",PaidUpOption="Paid-up with main coverage")),0,IF(B95=0,0,IF(AND(Changes!Change="Yes", Changes!ValidityYear&lt;=Table1[[#This Row],[Year]], Changes!ChangeType="Rider Inclusion/Exclusion", Changes!RiderType="Accident Death"), T95*Changes!NewChangedValue,IF(db!$D$6="Yes",(db!$B$6)*T95,0))))</f>
        <v>0</v>
      </c>
      <c r="W95" s="29">
        <f>MIN(IF(V95&lt;=db!$L$2,V95,db!$L$2),MAX_ACC_CAPITAL)</f>
        <v>0</v>
      </c>
      <c r="X95" s="17">
        <f>IF(AND(Changes!Change="Yes",Changes!ValidityYear&lt;=Table1[[#This Row],[Year]],Changes!ChangeType="Paid-Up",OR(PaidUpOption="Paid-up with no coverage",PaidUpOption="Paid-up with main coverage")),0,IF(OR(B95=0,Table1[[#This Row],[Accident Capital (2)]]=0),0,IF(AND(Changes!Change="Yes", Changes!ValidityYear&lt;=Table1[[#This Row],[Year]], Changes!ChangeType="Rider Inclusion/Exclusion", Changes!RiderType="Accident Disability"), T95*Changes!NewChangedValue,IF(db!$D$7="Yes",(db!$B$7)*T95,0))))</f>
        <v>0</v>
      </c>
      <c r="Y95" s="42">
        <f>IF(C95&gt;69,0,IF(C95=0,0,IF(X95&lt;=db!$L$3,X95,db!$L$3)))</f>
        <v>0</v>
      </c>
      <c r="Z95" s="29">
        <f>IF(AND(Changes!Change="Yes",Changes!ValidityYear&lt;=Table1[[#This Row],[Year]],Changes!ChangeType="Paid-Up",OR(PaidUpOption="Paid-up with no coverage",PaidUpOption="Paid-up with main coverage")),0,IF(OR(B95=0,Table1[[#This Row],[Accident Capital (2)]]=0),0,IF(AND(Changes!Change="Yes", Changes!ValidityYear&lt;=Table1[[#This Row],[Year]], Changes!ChangeType="Rider Inclusion/Exclusion", Changes!RiderType="Accident Medical Cost"), T95*Changes!NewChangedValue,IF(db!$D$9="Yes",(db!$B$9)*T95,0))))</f>
        <v>0</v>
      </c>
      <c r="AA95" s="29">
        <f>ROUND(IF(C95&gt;69,0,IF(C95=0,0,IF(Z95&lt;=db!$L$4,Z95,db!$L$4))),0)</f>
        <v>0</v>
      </c>
      <c r="AB95" s="38">
        <f>IF(AND(Changes!Change = "Yes", Changes!ChangeType = "Rider Inclusion/Exclusion", Changes!RiderType = "WOP"), IF( Changes!ValidityYear &lt;= Table1[[#This Row],[Year]], IF(WOP = "Yes", 0, 1),  IF(WOP = "Yes", 1, 0)), IF(AND(db!$D$8="Yes",C95&lt;=69,ROW()-1&lt;=InsurancePeriod), 1, 0))</f>
        <v>0</v>
      </c>
      <c r="AC95" s="17">
        <f>(AC96+K96)*AB95*((1)/(1+db!AA97))*(LOOKUP(C95,'Mortality Table'!$A$2:$A$108,'Mortality Table'!$E$2:$E$108))</f>
        <v>0</v>
      </c>
      <c r="AD95" s="340">
        <f>IF(AND(Changes!ValidityYear&lt;= Table1[[#This Row],[Year]],Changes!ChangeType="Change Value Adjustment",Changes!Change="Yes"), (AD96+L96)*AB95*((1)/(1+db!AA97))*(LOOKUP(C95,'Mortality Table'!$A$2:$A$108,'Mortality Table'!$E$2:$E$108)),Table1[[#This Row],[WOP Before Adj. BT]])</f>
        <v>0</v>
      </c>
      <c r="AE95" s="341">
        <f>IF(AND(Changes!Change="Yes", Changes!ChangeType="Change Value Adjustment"),Table1[[#This Row],[WOP Capital]],(AE96+O96)*AB95*((1)/(1+db!AA97))*(LOOKUP(D95,'Mortality Table'!$A$2:$A$108,'Mortality Table'!$E$2:$E$108)))</f>
        <v>0</v>
      </c>
      <c r="AF95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95" s="42">
        <f>IF(AND(Changes!Change="Yes", Changes!ValidityYear&lt;=Table1[[#This Row],[Year]], Changes!ChangeType="Rider Inclusion/Exclusion", Changes!RiderType="Disability Annuity"), L95*Changes!NewChangedValue,L95*db!B$10*IF(db!$D$10="Yes",1,0))</f>
        <v>0</v>
      </c>
      <c r="AH95" s="29">
        <f>IF(AND(Changes!Change="Yes",Changes!ValidityYear&lt;=Table1[[#This Row],[Year]],Changes!ChangeType="Paid-Up"),0,Table1[[#This Row],[Code Annuity Capital]]*IF('Annual Calculation'!C95&gt;69,0,(LOOKUP('Annual Calculation'!C95+1,'Mortality Table'!$A$2:$A$108,'Mortality Table'!$O$2:$O$108)-LOOKUP('Annual Calculation'!C95+11,'Mortality Table'!$A$2:$A$108,'Mortality Table'!$O$2:$O$108))/LOOKUP('Annual Calculation'!C95,'Mortality Table'!$A$2:$A$108,'Mortality Table'!$M$2:$M$108)))</f>
        <v>0</v>
      </c>
      <c r="AI95" s="17">
        <f>IF(AND(Changes!Change="Yes",Changes!ValidityYear&lt;=Table1[[#This Row],[Year]],Changes!ChangeType="Paid-Up",OR(PaidUpOption="Paid-up with no coverage",PaidUpOption="Paid-up with main coverage")),0,IF(B95=0,0,IF(AND(Changes!Change="Yes", Changes!ValidityYear&lt;=Table1[[#This Row],[Year]], Changes!ChangeType="Rider Inclusion/Exclusion", Changes!RiderType="Dread Disease"), T95*Changes!NewChangedValue,IF(db!$D$11="Yes",(db!$B$11)*T95,0))))</f>
        <v>0</v>
      </c>
      <c r="AJ95" s="42">
        <f>ROUND(IF(C95&gt;59,0,IF(C95=0,0,IF(AI95&lt;=db!$L$5,AI95,db!$L$5))),0)</f>
        <v>0</v>
      </c>
      <c r="AK95" s="29">
        <f>IF(AND(Changes!Change="Yes",Changes!ValidityYear&lt;=Table1[[#This Row],[Year]],Changes!ChangeType="Paid-Up",OR(PaidUpOption="Paid-up with no coverage",PaidUpOption="Paid-up with main coverage")),0,IF(B95=0,0,IF(AND(Changes!Change="Yes", Changes!ValidityYear&lt;=Table1[[#This Row],[Year]], Changes!ChangeType="Rider Inclusion/Exclusion", Changes!RiderType="Cancer"), T95*Changes!NewChangedValue,IF(db!$D$12="Yes",(db!$B$12)*T95,0))))</f>
        <v>0</v>
      </c>
      <c r="AL95" s="29">
        <f>ROUND(IF(C95&gt;59,0,IF(C95=0,0,IF(AK95&lt;=db!$L$6,AK95,db!$L$6))),0)</f>
        <v>0</v>
      </c>
      <c r="AM95" s="32"/>
      <c r="AN95" s="18">
        <f>IF(B95=0,0,IF(C95&lt;(db!$E$2+5),LOOKUP(C95,'Mortality Table'!$A$2:$A$108,'Mortality Table'!$P$2:$P$108),IF((C95&gt;=db!$E$2+10),LOOKUP(C95,'Mortality Table'!$A$2:$A$108,'Mortality Table'!$R$2:$R$108),LOOKUP(C95,'Mortality Table'!$A$2:$A$108,'Mortality Table'!$Q$2:$Q$108))))</f>
        <v>0</v>
      </c>
      <c r="AO95" s="22">
        <f t="shared" si="31"/>
        <v>0</v>
      </c>
      <c r="AP95" s="19">
        <f>IF(B95=0,0, LOOKUP(IF(AND(Changes!Change="Yes", Changes!ValidityYear&lt;=Table1[[#This Row],[Year]], Changes!ChangeType="Change Job Class"),Changes!NewChangedValue, db!$A$8),db!$AX$4:$AX$8,db!$AY$4:$AY$8))</f>
        <v>0</v>
      </c>
      <c r="AQ95" s="20">
        <f>ROUND((AP95/1000)*W95 * (1-db!$AS$9),0)</f>
        <v>0</v>
      </c>
      <c r="AR95" s="20">
        <f>(AP95/1000)*W95 * db!$AS$9</f>
        <v>0</v>
      </c>
      <c r="AS95" s="21">
        <f>IF(B95=0,0, LOOKUP(IF(AND(Changes!Change="Yes", Changes!ValidityYear&lt;=Table1[[#This Row],[Year]], Changes!ChangeType="Change Job Class"),Changes!NewChangedValue, db!$A$8),db!$AX$4:$AX$8,db!$AZ$4:$AZ$8))</f>
        <v>0</v>
      </c>
      <c r="AT95" s="22">
        <f>(AS95/1000)*Y95*(1-db!$AS$9)</f>
        <v>0</v>
      </c>
      <c r="AU95" s="22">
        <f>(AS95/1000)*Y95*(db!$AS$9)</f>
        <v>0</v>
      </c>
      <c r="AV95" s="23">
        <f>IF(B95=0,0, LOOKUP(IF(AND(Changes!Change="Yes", Changes!ValidityYear&lt;=Table1[[#This Row],[Year]], Changes!ChangeType="Change Job Class"),Changes!NewChangedValue, db!$A$8),db!$AX$4:$AX$8,db!$BA$4:$BA$8))</f>
        <v>0</v>
      </c>
      <c r="AW95" s="20">
        <f>ROUND((AV95/(100))*AA95*(1-db!$AS$9),0)</f>
        <v>0</v>
      </c>
      <c r="AX95" s="20">
        <f>ROUND((AV95/(100))*AA95*(db!$AS$9),0)</f>
        <v>0</v>
      </c>
      <c r="AY95" s="21">
        <f>IF(db!$D$8="Yes",AS95,0)</f>
        <v>0</v>
      </c>
      <c r="AZ95" s="22">
        <f>(AY95*AF95)/1000*(1-db!$AS$9)</f>
        <v>0</v>
      </c>
      <c r="BA95" s="22">
        <f>(AY95*AF95)/1000*(db!$AS$9)</f>
        <v>0</v>
      </c>
      <c r="BB95" s="23">
        <f t="shared" si="32"/>
        <v>0</v>
      </c>
      <c r="BC95" s="20">
        <f>(BB95*AH95/1000)*(1-db!$AS$9)</f>
        <v>0</v>
      </c>
      <c r="BD95" s="20">
        <f>(BB95*AH95/1000)*(db!$AS$9)</f>
        <v>0</v>
      </c>
      <c r="BE95" s="22">
        <f>IF(B95=0,0,IF(C95&gt;60,0,LOOKUP(Table1[[#This Row],[Medical
Age]],db!$BC$3:$BC$63,db!$BD$3:$BD$63)))</f>
        <v>0</v>
      </c>
      <c r="BF95" s="22">
        <f>BG95*db!$AS$10</f>
        <v>0</v>
      </c>
      <c r="BG95" s="22">
        <f t="shared" si="33"/>
        <v>0</v>
      </c>
      <c r="BH95" s="22">
        <f>(BE95/1000000)*AJ95*(1-db!$AS$10)</f>
        <v>0</v>
      </c>
      <c r="BI95" s="20">
        <f>IF(B95=0,0,IF(C95&gt;59,0,LOOKUP(Table1[[#This Row],[Medical
Age]],db!$BC$3:$BC$63,db!$BE$3:$BE$63)))</f>
        <v>0</v>
      </c>
      <c r="BJ95" s="20">
        <f>(BI95/1000000)*AL95*(1-db!$AS$11)</f>
        <v>0</v>
      </c>
      <c r="BK95" s="20">
        <f>(BI95/1000000)*AL95*(db!$AS$11)</f>
        <v>0</v>
      </c>
      <c r="BL95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95" s="20">
        <f>Table1[[#This Row],[RiskLoading
Rate]]*Table1[[#This Row],[Death Capital (2)]]</f>
        <v>0</v>
      </c>
      <c r="BN95" s="36"/>
      <c r="BO95" s="37">
        <f t="shared" si="34"/>
        <v>0</v>
      </c>
      <c r="BP95" s="35">
        <f t="shared" si="35"/>
        <v>0</v>
      </c>
      <c r="BQ95" s="35">
        <f t="shared" si="36"/>
        <v>0</v>
      </c>
      <c r="BR95" s="37">
        <f t="shared" si="50"/>
        <v>0</v>
      </c>
      <c r="BS95" s="37">
        <f t="shared" si="41"/>
        <v>0</v>
      </c>
      <c r="BT95" s="35">
        <f t="shared" si="42"/>
        <v>0</v>
      </c>
      <c r="BU95" s="35">
        <f t="shared" si="43"/>
        <v>0</v>
      </c>
      <c r="BV95" s="37">
        <f>(db!$AS$4/100)*(L95-BT95-BU95)</f>
        <v>0</v>
      </c>
      <c r="BW95" s="37">
        <f>(db!$AS$8/100)*(L95-BT95-BU95)</f>
        <v>0</v>
      </c>
      <c r="BX95" s="35"/>
      <c r="BY95" s="37"/>
      <c r="BZ95" s="37"/>
      <c r="CA95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95" s="33"/>
      <c r="CC95" s="39">
        <f>ROUND((Table1[[#This Row],[Premium]]-Table1[[#This Row],[All Deductions]]),0)</f>
        <v>0</v>
      </c>
      <c r="CD95" s="39">
        <f>IF(B95=0,0,Table1[[#This Row],[Initial Reserve]]+CE94)</f>
        <v>0</v>
      </c>
      <c r="CE95" s="40">
        <f>ROUND(IF(B95=0,0,((CC95)*(1+db!Y97))+((CE94)*(1+db!U97))),0)</f>
        <v>0</v>
      </c>
      <c r="CF95" s="40">
        <f t="shared" si="48"/>
        <v>0</v>
      </c>
      <c r="CG95" s="15">
        <f t="shared" si="44"/>
        <v>94</v>
      </c>
      <c r="CH95" s="39">
        <f>IF(B95=0,0,((CC95)*(1+db!AH97))+((CH94)*(1+db!AD97)))</f>
        <v>0</v>
      </c>
      <c r="CI95" s="39">
        <f>IF(B95=0,0,((CC95)*(1+db!AH97))+((CI94)*(1+db!AD97)))</f>
        <v>0</v>
      </c>
      <c r="CJ95" s="40">
        <f>IF(B95=0,0,((CC95)*(1+db!AO97))+((CJ94)*(1+db!AK97)))</f>
        <v>0</v>
      </c>
      <c r="CK95" s="40">
        <f>CJ95-(SUM(BX$7:$BX96))</f>
        <v>0</v>
      </c>
    </row>
    <row r="96" spans="1:89">
      <c r="A96" s="24">
        <f t="shared" si="45"/>
        <v>95</v>
      </c>
      <c r="B96" s="16">
        <f>IF(AND(Changes!Change="Yes", Changes!ChangeType="Change Contract Duration"),IF(B95=0,0,IF(Changes!NewChangedValue&lt;B95+1,0,B95+1)),IF(B95=0,0,IF('Application Annually'!$C$5&lt;B95+1,0,B95+1)))</f>
        <v>0</v>
      </c>
      <c r="C96" s="15">
        <f t="shared" si="49"/>
        <v>0</v>
      </c>
      <c r="D96" s="312">
        <f t="shared" si="47"/>
        <v>122</v>
      </c>
      <c r="E96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96" s="29">
        <f t="shared" si="37"/>
        <v>0</v>
      </c>
      <c r="G96" s="29">
        <f t="shared" si="38"/>
        <v>0</v>
      </c>
      <c r="H96" s="29">
        <f t="shared" si="29"/>
        <v>0</v>
      </c>
      <c r="I96" s="29">
        <f>IF(B96&gt;0,IF(AND(Table1[[#This Row],[Year]]&gt;Changes!ValidityYear,Changes!Change="Yes",Changes!ChangeType="Change Value Adjustment"),Changes!$G$22,'Application Annually'!$C$11),0)</f>
        <v>0</v>
      </c>
      <c r="J96" s="29">
        <f>IF(B96&gt;0,IF(AND(Table1[[#This Row],[Year]]&gt;Changes!ValidityYear,Changes!Change="Yes",Changes!ChangeType="Change Value Adjustment"),Changes!$G$24,'Application Annually'!$C$7),0)</f>
        <v>0</v>
      </c>
      <c r="K96" s="29">
        <f>ROUND(IF(B96=0,0,IF(AND(Changes!Change="Yes", Changes!ValidityYear=Table1[[#This Row],[Year]], Changes!ChangeType="Change Premium"), Changes!NewChangedValue, (K95*(1+db!$B$3)))),0)</f>
        <v>0</v>
      </c>
      <c r="L96" s="29">
        <f>ROUND(IF(AND(Changes!Change="Yes",Changes!ValidityYear&lt;=Table1[[#This Row],[Year]],Changes!ChangeType="Paid-Up"),0,IF(B96=0,0,IF(AND(Changes!Change="Yes", Changes!ValidityYear=Table1[[#This Row],[Year]], Changes!ChangeType="Change Premium"), Changes!NewChangedValue, (L95*(1+Table1[[#This Row],[Adjustment Factor of Premium]]/100))))),0)</f>
        <v>0</v>
      </c>
      <c r="M96" s="29">
        <f>IF(Table1[[#This Row],[Year]]=1,ROUND(MIN($L$2 -( Table1[[#This Row],[Riders Risk Premiums]] + Table1[[#This Row],[Acquisition Cost]]) *0.75,Table1[[#This Row],[Death Capital (1)]]* 0.03),0),0)</f>
        <v>0</v>
      </c>
      <c r="N96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96" s="29">
        <f>ROUND(IF(ROW()-1&gt;InsurancePeriod,0,(O95*(1+(Table1[[#This Row],[Adjustment Factor of Premium]]/100)))),0)</f>
        <v>0</v>
      </c>
      <c r="P96" s="29">
        <f>IF(Table1[Year] = 0, 0, SUM(L$2:L96))</f>
        <v>0</v>
      </c>
      <c r="Q96" s="17">
        <f t="shared" si="30"/>
        <v>0</v>
      </c>
      <c r="R96" s="17">
        <f>IF(Table1[[#This Row],[Year]]=0,0,IF($C$2&lt;=50,LOOKUP(Table1[[#This Row],[Age]],db!BG97:BG203,db!BH97:BH203),LOOKUP(Table1[[#This Row],[Age]],db!BJ97:BJ203,db!BK97:BK203)))</f>
        <v>0</v>
      </c>
      <c r="S96" s="17">
        <f>IF(AND(Changes!Change="Yes",Changes!ValidityYear&lt;=Table1[[#This Row],[Year]],Changes!ChangeType="Paid-Up",PaidUpOption="Paid-up with no coverage"),0,IF(B96=0,0, IF(AND(Changes!Change="Yes", Changes!ValidityYear=Table1[[#This Row],[Year]], Changes!ChangeType="Change Death Capital"), Changes!NewChangedValue, S95*(1+(Table1[[#This Row],[Adjustment Factor of Death Capital]]/100)))))</f>
        <v>0</v>
      </c>
      <c r="T96" s="17">
        <f>MIN(IF(B96=0,0,Table1[[#This Row],[Death Capital (1)]]),Table1[[#This Row],[Max Sum Insured For Death]])</f>
        <v>0</v>
      </c>
      <c r="U96" s="29">
        <f t="shared" si="39"/>
        <v>0</v>
      </c>
      <c r="V96" s="29">
        <f>IF(AND(Changes!Change="Yes",Changes!ValidityYear&lt;=Table1[[#This Row],[Year]],Changes!ChangeType="Paid-Up",OR(PaidUpOption="Paid-up with no coverage",PaidUpOption="Paid-up with main coverage")),0,IF(B96=0,0,IF(AND(Changes!Change="Yes", Changes!ValidityYear&lt;=Table1[[#This Row],[Year]], Changes!ChangeType="Rider Inclusion/Exclusion", Changes!RiderType="Accident Death"), T96*Changes!NewChangedValue,IF(db!$D$6="Yes",(db!$B$6)*T96,0))))</f>
        <v>0</v>
      </c>
      <c r="W96" s="29">
        <f>MIN(IF(V96&lt;=db!$L$2,V96,db!$L$2),MAX_ACC_CAPITAL)</f>
        <v>0</v>
      </c>
      <c r="X96" s="17">
        <f>IF(AND(Changes!Change="Yes",Changes!ValidityYear&lt;=Table1[[#This Row],[Year]],Changes!ChangeType="Paid-Up",OR(PaidUpOption="Paid-up with no coverage",PaidUpOption="Paid-up with main coverage")),0,IF(OR(B96=0,Table1[[#This Row],[Accident Capital (2)]]=0),0,IF(AND(Changes!Change="Yes", Changes!ValidityYear&lt;=Table1[[#This Row],[Year]], Changes!ChangeType="Rider Inclusion/Exclusion", Changes!RiderType="Accident Disability"), T96*Changes!NewChangedValue,IF(db!$D$7="Yes",(db!$B$7)*T96,0))))</f>
        <v>0</v>
      </c>
      <c r="Y96" s="42">
        <f>IF(C96&gt;69,0,IF(C96=0,0,IF(X96&lt;=db!$L$3,X96,db!$L$3)))</f>
        <v>0</v>
      </c>
      <c r="Z96" s="29">
        <f>IF(AND(Changes!Change="Yes",Changes!ValidityYear&lt;=Table1[[#This Row],[Year]],Changes!ChangeType="Paid-Up",OR(PaidUpOption="Paid-up with no coverage",PaidUpOption="Paid-up with main coverage")),0,IF(OR(B96=0,Table1[[#This Row],[Accident Capital (2)]]=0),0,IF(AND(Changes!Change="Yes", Changes!ValidityYear&lt;=Table1[[#This Row],[Year]], Changes!ChangeType="Rider Inclusion/Exclusion", Changes!RiderType="Accident Medical Cost"), T96*Changes!NewChangedValue,IF(db!$D$9="Yes",(db!$B$9)*T96,0))))</f>
        <v>0</v>
      </c>
      <c r="AA96" s="29">
        <f>ROUND(IF(C96&gt;69,0,IF(C96=0,0,IF(Z96&lt;=db!$L$4,Z96,db!$L$4))),0)</f>
        <v>0</v>
      </c>
      <c r="AB96" s="38">
        <f>IF(AND(Changes!Change = "Yes", Changes!ChangeType = "Rider Inclusion/Exclusion", Changes!RiderType = "WOP"), IF( Changes!ValidityYear &lt;= Table1[[#This Row],[Year]], IF(WOP = "Yes", 0, 1),  IF(WOP = "Yes", 1, 0)), IF(AND(db!$D$8="Yes",C96&lt;=69,ROW()-1&lt;=InsurancePeriod), 1, 0))</f>
        <v>0</v>
      </c>
      <c r="AC96" s="17">
        <f>(AC97+K97)*AB96*((1)/(1+db!AA98))*(LOOKUP(C96,'Mortality Table'!$A$2:$A$108,'Mortality Table'!$E$2:$E$108))</f>
        <v>0</v>
      </c>
      <c r="AD96" s="340">
        <f>IF(AND(Changes!ValidityYear&lt;= Table1[[#This Row],[Year]],Changes!ChangeType="Change Value Adjustment",Changes!Change="Yes"), (AD97+L97)*AB96*((1)/(1+db!AA98))*(LOOKUP(C96,'Mortality Table'!$A$2:$A$108,'Mortality Table'!$E$2:$E$108)),Table1[[#This Row],[WOP Before Adj. BT]])</f>
        <v>0</v>
      </c>
      <c r="AE96" s="341">
        <f>IF(AND(Changes!Change="Yes", Changes!ChangeType="Change Value Adjustment"),Table1[[#This Row],[WOP Capital]],(AE97+O97)*AB96*((1)/(1+db!AA98))*(LOOKUP(D96,'Mortality Table'!$A$2:$A$108,'Mortality Table'!$E$2:$E$108)))</f>
        <v>0</v>
      </c>
      <c r="AF96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96" s="42">
        <f>IF(AND(Changes!Change="Yes", Changes!ValidityYear&lt;=Table1[[#This Row],[Year]], Changes!ChangeType="Rider Inclusion/Exclusion", Changes!RiderType="Disability Annuity"), L96*Changes!NewChangedValue,L96*db!B$10*IF(db!$D$10="Yes",1,0))</f>
        <v>0</v>
      </c>
      <c r="AH96" s="29">
        <f>IF(AND(Changes!Change="Yes",Changes!ValidityYear&lt;=Table1[[#This Row],[Year]],Changes!ChangeType="Paid-Up"),0,Table1[[#This Row],[Code Annuity Capital]]*IF('Annual Calculation'!C96&gt;69,0,(LOOKUP('Annual Calculation'!C96+1,'Mortality Table'!$A$2:$A$108,'Mortality Table'!$O$2:$O$108)-LOOKUP('Annual Calculation'!C96+11,'Mortality Table'!$A$2:$A$108,'Mortality Table'!$O$2:$O$108))/LOOKUP('Annual Calculation'!C96,'Mortality Table'!$A$2:$A$108,'Mortality Table'!$M$2:$M$108)))</f>
        <v>0</v>
      </c>
      <c r="AI96" s="17">
        <f>IF(AND(Changes!Change="Yes",Changes!ValidityYear&lt;=Table1[[#This Row],[Year]],Changes!ChangeType="Paid-Up",OR(PaidUpOption="Paid-up with no coverage",PaidUpOption="Paid-up with main coverage")),0,IF(B96=0,0,IF(AND(Changes!Change="Yes", Changes!ValidityYear&lt;=Table1[[#This Row],[Year]], Changes!ChangeType="Rider Inclusion/Exclusion", Changes!RiderType="Dread Disease"), T96*Changes!NewChangedValue,IF(db!$D$11="Yes",(db!$B$11)*T96,0))))</f>
        <v>0</v>
      </c>
      <c r="AJ96" s="42">
        <f>ROUND(IF(C96&gt;59,0,IF(C96=0,0,IF(AI96&lt;=db!$L$5,AI96,db!$L$5))),0)</f>
        <v>0</v>
      </c>
      <c r="AK96" s="29">
        <f>IF(AND(Changes!Change="Yes",Changes!ValidityYear&lt;=Table1[[#This Row],[Year]],Changes!ChangeType="Paid-Up",OR(PaidUpOption="Paid-up with no coverage",PaidUpOption="Paid-up with main coverage")),0,IF(B96=0,0,IF(AND(Changes!Change="Yes", Changes!ValidityYear&lt;=Table1[[#This Row],[Year]], Changes!ChangeType="Rider Inclusion/Exclusion", Changes!RiderType="Cancer"), T96*Changes!NewChangedValue,IF(db!$D$12="Yes",(db!$B$12)*T96,0))))</f>
        <v>0</v>
      </c>
      <c r="AL96" s="29">
        <f>ROUND(IF(C96&gt;59,0,IF(C96=0,0,IF(AK96&lt;=db!$L$6,AK96,db!$L$6))),0)</f>
        <v>0</v>
      </c>
      <c r="AM96" s="32"/>
      <c r="AN96" s="18">
        <f>IF(B96=0,0,IF(C96&lt;(db!$E$2+5),LOOKUP(C96,'Mortality Table'!$A$2:$A$108,'Mortality Table'!$P$2:$P$108),IF((C96&gt;=db!$E$2+10),LOOKUP(C96,'Mortality Table'!$A$2:$A$108,'Mortality Table'!$R$2:$R$108),LOOKUP(C96,'Mortality Table'!$A$2:$A$108,'Mortality Table'!$Q$2:$Q$108))))</f>
        <v>0</v>
      </c>
      <c r="AO96" s="22">
        <f t="shared" si="31"/>
        <v>0</v>
      </c>
      <c r="AP96" s="19">
        <f>IF(B96=0,0, LOOKUP(IF(AND(Changes!Change="Yes", Changes!ValidityYear&lt;=Table1[[#This Row],[Year]], Changes!ChangeType="Change Job Class"),Changes!NewChangedValue, db!$A$8),db!$AX$4:$AX$8,db!$AY$4:$AY$8))</f>
        <v>0</v>
      </c>
      <c r="AQ96" s="20">
        <f>ROUND((AP96/1000)*W96 * (1-db!$AS$9),0)</f>
        <v>0</v>
      </c>
      <c r="AR96" s="20">
        <f>(AP96/1000)*W96 * db!$AS$9</f>
        <v>0</v>
      </c>
      <c r="AS96" s="21">
        <f>IF(B96=0,0, LOOKUP(IF(AND(Changes!Change="Yes", Changes!ValidityYear&lt;=Table1[[#This Row],[Year]], Changes!ChangeType="Change Job Class"),Changes!NewChangedValue, db!$A$8),db!$AX$4:$AX$8,db!$AZ$4:$AZ$8))</f>
        <v>0</v>
      </c>
      <c r="AT96" s="22">
        <f>(AS96/1000)*Y96*(1-db!$AS$9)</f>
        <v>0</v>
      </c>
      <c r="AU96" s="22">
        <f>(AS96/1000)*Y96*(db!$AS$9)</f>
        <v>0</v>
      </c>
      <c r="AV96" s="23">
        <f>IF(B96=0,0, LOOKUP(IF(AND(Changes!Change="Yes", Changes!ValidityYear&lt;=Table1[[#This Row],[Year]], Changes!ChangeType="Change Job Class"),Changes!NewChangedValue, db!$A$8),db!$AX$4:$AX$8,db!$BA$4:$BA$8))</f>
        <v>0</v>
      </c>
      <c r="AW96" s="20">
        <f>ROUND((AV96/(100))*AA96*(1-db!$AS$9),0)</f>
        <v>0</v>
      </c>
      <c r="AX96" s="20">
        <f>ROUND((AV96/(100))*AA96*(db!$AS$9),0)</f>
        <v>0</v>
      </c>
      <c r="AY96" s="21">
        <f>IF(db!$D$8="Yes",AS96,0)</f>
        <v>0</v>
      </c>
      <c r="AZ96" s="22">
        <f>(AY96*AF96)/1000*(1-db!$AS$9)</f>
        <v>0</v>
      </c>
      <c r="BA96" s="22">
        <f>(AY96*AF96)/1000*(db!$AS$9)</f>
        <v>0</v>
      </c>
      <c r="BB96" s="23">
        <f t="shared" si="32"/>
        <v>0</v>
      </c>
      <c r="BC96" s="20">
        <f>(BB96*AH96/1000)*(1-db!$AS$9)</f>
        <v>0</v>
      </c>
      <c r="BD96" s="20">
        <f>(BB96*AH96/1000)*(db!$AS$9)</f>
        <v>0</v>
      </c>
      <c r="BE96" s="22">
        <f>IF(B96=0,0,IF(C96&gt;60,0,LOOKUP(Table1[[#This Row],[Medical
Age]],db!$BC$3:$BC$63,db!$BD$3:$BD$63)))</f>
        <v>0</v>
      </c>
      <c r="BF96" s="22">
        <f>BG96*db!$AS$10</f>
        <v>0</v>
      </c>
      <c r="BG96" s="22">
        <f t="shared" si="33"/>
        <v>0</v>
      </c>
      <c r="BH96" s="22">
        <f>(BE96/1000000)*AJ96*(1-db!$AS$10)</f>
        <v>0</v>
      </c>
      <c r="BI96" s="20">
        <f>IF(B96=0,0,IF(C96&gt;59,0,LOOKUP(Table1[[#This Row],[Medical
Age]],db!$BC$3:$BC$63,db!$BE$3:$BE$63)))</f>
        <v>0</v>
      </c>
      <c r="BJ96" s="20">
        <f>(BI96/1000000)*AL96*(1-db!$AS$11)</f>
        <v>0</v>
      </c>
      <c r="BK96" s="20">
        <f>(BI96/1000000)*AL96*(db!$AS$11)</f>
        <v>0</v>
      </c>
      <c r="BL96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96" s="20">
        <f>Table1[[#This Row],[RiskLoading
Rate]]*Table1[[#This Row],[Death Capital (2)]]</f>
        <v>0</v>
      </c>
      <c r="BN96" s="36"/>
      <c r="BO96" s="37">
        <f t="shared" si="34"/>
        <v>0</v>
      </c>
      <c r="BP96" s="35">
        <f t="shared" si="35"/>
        <v>0</v>
      </c>
      <c r="BQ96" s="35">
        <f t="shared" si="36"/>
        <v>0</v>
      </c>
      <c r="BR96" s="37">
        <f t="shared" si="50"/>
        <v>0</v>
      </c>
      <c r="BS96" s="37">
        <f t="shared" si="41"/>
        <v>0</v>
      </c>
      <c r="BT96" s="35">
        <f t="shared" si="42"/>
        <v>0</v>
      </c>
      <c r="BU96" s="35">
        <f t="shared" si="43"/>
        <v>0</v>
      </c>
      <c r="BV96" s="37">
        <f>(db!$AS$4/100)*(L96-BT96-BU96)</f>
        <v>0</v>
      </c>
      <c r="BW96" s="37">
        <f>(db!$AS$8/100)*(L96-BT96-BU96)</f>
        <v>0</v>
      </c>
      <c r="BX96" s="35"/>
      <c r="BY96" s="37"/>
      <c r="BZ96" s="37"/>
      <c r="CA96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96" s="33"/>
      <c r="CC96" s="39">
        <f>ROUND((Table1[[#This Row],[Premium]]-Table1[[#This Row],[All Deductions]]),0)</f>
        <v>0</v>
      </c>
      <c r="CD96" s="39">
        <f>IF(B96=0,0,Table1[[#This Row],[Initial Reserve]]+CE95)</f>
        <v>0</v>
      </c>
      <c r="CE96" s="40">
        <f>ROUND(IF(B96=0,0,((CC96)*(1+db!Y98))+((CE95)*(1+db!U98))),0)</f>
        <v>0</v>
      </c>
      <c r="CF96" s="40">
        <f t="shared" si="48"/>
        <v>0</v>
      </c>
      <c r="CG96" s="15">
        <f t="shared" si="44"/>
        <v>95</v>
      </c>
      <c r="CH96" s="39">
        <f>IF(B96=0,0,((CC96)*(1+db!AH98))+((CH95)*(1+db!AD98)))</f>
        <v>0</v>
      </c>
      <c r="CI96" s="39">
        <f>IF(B96=0,0,((CC96)*(1+db!AH98))+((CI95)*(1+db!AD98)))</f>
        <v>0</v>
      </c>
      <c r="CJ96" s="40">
        <f>IF(B96=0,0,((CC96)*(1+db!AO98))+((CJ95)*(1+db!AK98)))</f>
        <v>0</v>
      </c>
      <c r="CK96" s="40">
        <f>CJ96-(SUM(BX$7:$BX97))</f>
        <v>0</v>
      </c>
    </row>
    <row r="97" spans="1:90">
      <c r="A97" s="24">
        <f t="shared" si="45"/>
        <v>96</v>
      </c>
      <c r="B97" s="16">
        <f>IF(AND(Changes!Change="Yes", Changes!ChangeType="Change Contract Duration"),IF(B96=0,0,IF(Changes!NewChangedValue&lt;B96+1,0,B96+1)),IF(B96=0,0,IF('Application Annually'!$C$5&lt;B96+1,0,B96+1)))</f>
        <v>0</v>
      </c>
      <c r="C97" s="15">
        <f t="shared" si="49"/>
        <v>0</v>
      </c>
      <c r="D97" s="312">
        <f t="shared" si="47"/>
        <v>123</v>
      </c>
      <c r="E97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97" s="29">
        <f t="shared" si="37"/>
        <v>0</v>
      </c>
      <c r="G97" s="29">
        <f t="shared" si="38"/>
        <v>0</v>
      </c>
      <c r="H97" s="29">
        <f t="shared" si="29"/>
        <v>0</v>
      </c>
      <c r="I97" s="29">
        <f>IF(B97&gt;0,IF(AND(Table1[[#This Row],[Year]]&gt;Changes!ValidityYear,Changes!Change="Yes",Changes!ChangeType="Change Value Adjustment"),Changes!$G$22,'Application Annually'!$C$11),0)</f>
        <v>0</v>
      </c>
      <c r="J97" s="29">
        <f>IF(B97&gt;0,IF(AND(Table1[[#This Row],[Year]]&gt;Changes!ValidityYear,Changes!Change="Yes",Changes!ChangeType="Change Value Adjustment"),Changes!$G$24,'Application Annually'!$C$7),0)</f>
        <v>0</v>
      </c>
      <c r="K97" s="29">
        <f>ROUND(IF(B97=0,0,IF(AND(Changes!Change="Yes", Changes!ValidityYear=Table1[[#This Row],[Year]], Changes!ChangeType="Change Premium"), Changes!NewChangedValue, (K96*(1+db!$B$3)))),0)</f>
        <v>0</v>
      </c>
      <c r="L97" s="29">
        <f>ROUND(IF(AND(Changes!Change="Yes",Changes!ValidityYear&lt;=Table1[[#This Row],[Year]],Changes!ChangeType="Paid-Up"),0,IF(B97=0,0,IF(AND(Changes!Change="Yes", Changes!ValidityYear=Table1[[#This Row],[Year]], Changes!ChangeType="Change Premium"), Changes!NewChangedValue, (L96*(1+Table1[[#This Row],[Adjustment Factor of Premium]]/100))))),0)</f>
        <v>0</v>
      </c>
      <c r="M97" s="29">
        <f>IF(Table1[[#This Row],[Year]]=1,ROUND(MIN($L$2 -( Table1[[#This Row],[Riders Risk Premiums]] + Table1[[#This Row],[Acquisition Cost]]) *0.75,Table1[[#This Row],[Death Capital (1)]]* 0.03),0),0)</f>
        <v>0</v>
      </c>
      <c r="N97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97" s="29">
        <f>ROUND(IF(ROW()-1&gt;InsurancePeriod,0,(O96*(1+(Table1[[#This Row],[Adjustment Factor of Premium]]/100)))),0)</f>
        <v>0</v>
      </c>
      <c r="P97" s="29">
        <f>IF(Table1[Year] = 0, 0, SUM(L$2:L97))</f>
        <v>0</v>
      </c>
      <c r="Q97" s="17">
        <f t="shared" si="30"/>
        <v>0</v>
      </c>
      <c r="R97" s="17">
        <f>IF(Table1[[#This Row],[Year]]=0,0,IF($C$2&lt;=50,LOOKUP(Table1[[#This Row],[Age]],db!BG98:BG204,db!BH98:BH204),LOOKUP(Table1[[#This Row],[Age]],db!BJ98:BJ204,db!BK98:BK204)))</f>
        <v>0</v>
      </c>
      <c r="S97" s="17">
        <f>IF(AND(Changes!Change="Yes",Changes!ValidityYear&lt;=Table1[[#This Row],[Year]],Changes!ChangeType="Paid-Up",PaidUpOption="Paid-up with no coverage"),0,IF(B97=0,0, IF(AND(Changes!Change="Yes", Changes!ValidityYear=Table1[[#This Row],[Year]], Changes!ChangeType="Change Death Capital"), Changes!NewChangedValue, S96*(1+(Table1[[#This Row],[Adjustment Factor of Death Capital]]/100)))))</f>
        <v>0</v>
      </c>
      <c r="T97" s="17">
        <f>MIN(IF(B97=0,0,Table1[[#This Row],[Death Capital (1)]]),Table1[[#This Row],[Max Sum Insured For Death]])</f>
        <v>0</v>
      </c>
      <c r="U97" s="29">
        <f t="shared" si="39"/>
        <v>0</v>
      </c>
      <c r="V97" s="29">
        <f>IF(AND(Changes!Change="Yes",Changes!ValidityYear&lt;=Table1[[#This Row],[Year]],Changes!ChangeType="Paid-Up",OR(PaidUpOption="Paid-up with no coverage",PaidUpOption="Paid-up with main coverage")),0,IF(B97=0,0,IF(AND(Changes!Change="Yes", Changes!ValidityYear&lt;=Table1[[#This Row],[Year]], Changes!ChangeType="Rider Inclusion/Exclusion", Changes!RiderType="Accident Death"), T97*Changes!NewChangedValue,IF(db!$D$6="Yes",(db!$B$6)*T97,0))))</f>
        <v>0</v>
      </c>
      <c r="W97" s="29">
        <f>MIN(IF(V97&lt;=db!$L$2,V97,db!$L$2),MAX_ACC_CAPITAL)</f>
        <v>0</v>
      </c>
      <c r="X97" s="17">
        <f>IF(AND(Changes!Change="Yes",Changes!ValidityYear&lt;=Table1[[#This Row],[Year]],Changes!ChangeType="Paid-Up",OR(PaidUpOption="Paid-up with no coverage",PaidUpOption="Paid-up with main coverage")),0,IF(OR(B97=0,Table1[[#This Row],[Accident Capital (2)]]=0),0,IF(AND(Changes!Change="Yes", Changes!ValidityYear&lt;=Table1[[#This Row],[Year]], Changes!ChangeType="Rider Inclusion/Exclusion", Changes!RiderType="Accident Disability"), T97*Changes!NewChangedValue,IF(db!$D$7="Yes",(db!$B$7)*T97,0))))</f>
        <v>0</v>
      </c>
      <c r="Y97" s="42">
        <f>IF(C97&gt;69,0,IF(C97=0,0,IF(X97&lt;=db!$L$3,X97,db!$L$3)))</f>
        <v>0</v>
      </c>
      <c r="Z97" s="29">
        <f>IF(AND(Changes!Change="Yes",Changes!ValidityYear&lt;=Table1[[#This Row],[Year]],Changes!ChangeType="Paid-Up",OR(PaidUpOption="Paid-up with no coverage",PaidUpOption="Paid-up with main coverage")),0,IF(OR(B97=0,Table1[[#This Row],[Accident Capital (2)]]=0),0,IF(AND(Changes!Change="Yes", Changes!ValidityYear&lt;=Table1[[#This Row],[Year]], Changes!ChangeType="Rider Inclusion/Exclusion", Changes!RiderType="Accident Medical Cost"), T97*Changes!NewChangedValue,IF(db!$D$9="Yes",(db!$B$9)*T97,0))))</f>
        <v>0</v>
      </c>
      <c r="AA97" s="29">
        <f>ROUND(IF(C97&gt;69,0,IF(C97=0,0,IF(Z97&lt;=db!$L$4,Z97,db!$L$4))),0)</f>
        <v>0</v>
      </c>
      <c r="AB97" s="38">
        <f>IF(AND(Changes!Change = "Yes", Changes!ChangeType = "Rider Inclusion/Exclusion", Changes!RiderType = "WOP"), IF( Changes!ValidityYear &lt;= Table1[[#This Row],[Year]], IF(WOP = "Yes", 0, 1),  IF(WOP = "Yes", 1, 0)), IF(AND(db!$D$8="Yes",C97&lt;=69,ROW()-1&lt;=InsurancePeriod), 1, 0))</f>
        <v>0</v>
      </c>
      <c r="AC97" s="17">
        <f>(AC98+K98)*AB97*((1)/(1+db!AA99))*(LOOKUP(C97,'Mortality Table'!$A$2:$A$108,'Mortality Table'!$E$2:$E$108))</f>
        <v>0</v>
      </c>
      <c r="AD97" s="340">
        <f>IF(AND(Changes!ValidityYear&lt;= Table1[[#This Row],[Year]],Changes!ChangeType="Change Value Adjustment",Changes!Change="Yes"), (AD98+L98)*AB97*((1)/(1+db!AA99))*(LOOKUP(C97,'Mortality Table'!$A$2:$A$108,'Mortality Table'!$E$2:$E$108)),Table1[[#This Row],[WOP Before Adj. BT]])</f>
        <v>0</v>
      </c>
      <c r="AE97" s="341">
        <f>IF(AND(Changes!Change="Yes", Changes!ChangeType="Change Value Adjustment"),Table1[[#This Row],[WOP Capital]],(AE98+O98)*AB97*((1)/(1+db!AA99))*(LOOKUP(D97,'Mortality Table'!$A$2:$A$108,'Mortality Table'!$E$2:$E$108)))</f>
        <v>0</v>
      </c>
      <c r="AF97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97" s="42">
        <f>IF(AND(Changes!Change="Yes", Changes!ValidityYear&lt;=Table1[[#This Row],[Year]], Changes!ChangeType="Rider Inclusion/Exclusion", Changes!RiderType="Disability Annuity"), L97*Changes!NewChangedValue,L97*db!B$10*IF(db!$D$10="Yes",1,0))</f>
        <v>0</v>
      </c>
      <c r="AH97" s="29">
        <f>IF(AND(Changes!Change="Yes",Changes!ValidityYear&lt;=Table1[[#This Row],[Year]],Changes!ChangeType="Paid-Up"),0,Table1[[#This Row],[Code Annuity Capital]]*IF('Annual Calculation'!C97&gt;69,0,(LOOKUP('Annual Calculation'!C97+1,'Mortality Table'!$A$2:$A$108,'Mortality Table'!$O$2:$O$108)-LOOKUP('Annual Calculation'!C97+11,'Mortality Table'!$A$2:$A$108,'Mortality Table'!$O$2:$O$108))/LOOKUP('Annual Calculation'!C97,'Mortality Table'!$A$2:$A$108,'Mortality Table'!$M$2:$M$108)))</f>
        <v>0</v>
      </c>
      <c r="AI97" s="17">
        <f>IF(AND(Changes!Change="Yes",Changes!ValidityYear&lt;=Table1[[#This Row],[Year]],Changes!ChangeType="Paid-Up",OR(PaidUpOption="Paid-up with no coverage",PaidUpOption="Paid-up with main coverage")),0,IF(B97=0,0,IF(AND(Changes!Change="Yes", Changes!ValidityYear&lt;=Table1[[#This Row],[Year]], Changes!ChangeType="Rider Inclusion/Exclusion", Changes!RiderType="Dread Disease"), T97*Changes!NewChangedValue,IF(db!$D$11="Yes",(db!$B$11)*T97,0))))</f>
        <v>0</v>
      </c>
      <c r="AJ97" s="42">
        <f>ROUND(IF(C97&gt;59,0,IF(C97=0,0,IF(AI97&lt;=db!$L$5,AI97,db!$L$5))),0)</f>
        <v>0</v>
      </c>
      <c r="AK97" s="29">
        <f>IF(AND(Changes!Change="Yes",Changes!ValidityYear&lt;=Table1[[#This Row],[Year]],Changes!ChangeType="Paid-Up",OR(PaidUpOption="Paid-up with no coverage",PaidUpOption="Paid-up with main coverage")),0,IF(B97=0,0,IF(AND(Changes!Change="Yes", Changes!ValidityYear&lt;=Table1[[#This Row],[Year]], Changes!ChangeType="Rider Inclusion/Exclusion", Changes!RiderType="Cancer"), T97*Changes!NewChangedValue,IF(db!$D$12="Yes",(db!$B$12)*T97,0))))</f>
        <v>0</v>
      </c>
      <c r="AL97" s="29">
        <f>ROUND(IF(C97&gt;59,0,IF(C97=0,0,IF(AK97&lt;=db!$L$6,AK97,db!$L$6))),0)</f>
        <v>0</v>
      </c>
      <c r="AM97" s="32"/>
      <c r="AN97" s="18">
        <f>IF(B97=0,0,IF(C97&lt;(db!$E$2+5),LOOKUP(C97,'Mortality Table'!$A$2:$A$108,'Mortality Table'!$P$2:$P$108),IF((C97&gt;=db!$E$2+10),LOOKUP(C97,'Mortality Table'!$A$2:$A$108,'Mortality Table'!$R$2:$R$108),LOOKUP(C97,'Mortality Table'!$A$2:$A$108,'Mortality Table'!$Q$2:$Q$108))))</f>
        <v>0</v>
      </c>
      <c r="AO97" s="22">
        <f t="shared" si="31"/>
        <v>0</v>
      </c>
      <c r="AP97" s="19">
        <f>IF(B97=0,0, LOOKUP(IF(AND(Changes!Change="Yes", Changes!ValidityYear&lt;=Table1[[#This Row],[Year]], Changes!ChangeType="Change Job Class"),Changes!NewChangedValue, db!$A$8),db!$AX$4:$AX$8,db!$AY$4:$AY$8))</f>
        <v>0</v>
      </c>
      <c r="AQ97" s="20">
        <f>ROUND((AP97/1000)*W97 * (1-db!$AS$9),0)</f>
        <v>0</v>
      </c>
      <c r="AR97" s="20">
        <f>(AP97/1000)*W97 * db!$AS$9</f>
        <v>0</v>
      </c>
      <c r="AS97" s="21">
        <f>IF(B97=0,0, LOOKUP(IF(AND(Changes!Change="Yes", Changes!ValidityYear&lt;=Table1[[#This Row],[Year]], Changes!ChangeType="Change Job Class"),Changes!NewChangedValue, db!$A$8),db!$AX$4:$AX$8,db!$AZ$4:$AZ$8))</f>
        <v>0</v>
      </c>
      <c r="AT97" s="22">
        <f>(AS97/1000)*Y97*(1-db!$AS$9)</f>
        <v>0</v>
      </c>
      <c r="AU97" s="22">
        <f>(AS97/1000)*Y97*(db!$AS$9)</f>
        <v>0</v>
      </c>
      <c r="AV97" s="23">
        <f>IF(B97=0,0, LOOKUP(IF(AND(Changes!Change="Yes", Changes!ValidityYear&lt;=Table1[[#This Row],[Year]], Changes!ChangeType="Change Job Class"),Changes!NewChangedValue, db!$A$8),db!$AX$4:$AX$8,db!$BA$4:$BA$8))</f>
        <v>0</v>
      </c>
      <c r="AW97" s="20">
        <f>ROUND((AV97/(100))*AA97*(1-db!$AS$9),0)</f>
        <v>0</v>
      </c>
      <c r="AX97" s="20">
        <f>ROUND((AV97/(100))*AA97*(db!$AS$9),0)</f>
        <v>0</v>
      </c>
      <c r="AY97" s="21">
        <f>IF(db!$D$8="Yes",AS97,0)</f>
        <v>0</v>
      </c>
      <c r="AZ97" s="22">
        <f>(AY97*AF97)/1000*(1-db!$AS$9)</f>
        <v>0</v>
      </c>
      <c r="BA97" s="22">
        <f>(AY97*AF97)/1000*(db!$AS$9)</f>
        <v>0</v>
      </c>
      <c r="BB97" s="23">
        <f t="shared" si="32"/>
        <v>0</v>
      </c>
      <c r="BC97" s="20">
        <f>(BB97*AH97/1000)*(1-db!$AS$9)</f>
        <v>0</v>
      </c>
      <c r="BD97" s="20">
        <f>(BB97*AH97/1000)*(db!$AS$9)</f>
        <v>0</v>
      </c>
      <c r="BE97" s="22">
        <f>IF(B97=0,0,IF(C97&gt;60,0,LOOKUP(Table1[[#This Row],[Medical
Age]],db!$BC$3:$BC$63,db!$BD$3:$BD$63)))</f>
        <v>0</v>
      </c>
      <c r="BF97" s="22">
        <f>BG97*db!$AS$10</f>
        <v>0</v>
      </c>
      <c r="BG97" s="22">
        <f t="shared" si="33"/>
        <v>0</v>
      </c>
      <c r="BH97" s="22">
        <f>(BE97/1000000)*AJ97*(1-db!$AS$10)</f>
        <v>0</v>
      </c>
      <c r="BI97" s="20">
        <f>IF(B97=0,0,IF(C97&gt;59,0,LOOKUP(Table1[[#This Row],[Medical
Age]],db!$BC$3:$BC$63,db!$BE$3:$BE$63)))</f>
        <v>0</v>
      </c>
      <c r="BJ97" s="20">
        <f>(BI97/1000000)*AL97*(1-db!$AS$11)</f>
        <v>0</v>
      </c>
      <c r="BK97" s="20">
        <f>(BI97/1000000)*AL97*(db!$AS$11)</f>
        <v>0</v>
      </c>
      <c r="BL97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97" s="20">
        <f>Table1[[#This Row],[RiskLoading
Rate]]*Table1[[#This Row],[Death Capital (2)]]</f>
        <v>0</v>
      </c>
      <c r="BN97" s="36"/>
      <c r="BO97" s="37">
        <f t="shared" si="34"/>
        <v>0</v>
      </c>
      <c r="BP97" s="35">
        <f t="shared" si="35"/>
        <v>0</v>
      </c>
      <c r="BQ97" s="35">
        <f t="shared" si="36"/>
        <v>0</v>
      </c>
      <c r="BR97" s="37">
        <f t="shared" si="50"/>
        <v>0</v>
      </c>
      <c r="BS97" s="37">
        <f t="shared" si="41"/>
        <v>0</v>
      </c>
      <c r="BT97" s="35">
        <f t="shared" si="42"/>
        <v>0</v>
      </c>
      <c r="BU97" s="35">
        <f t="shared" si="43"/>
        <v>0</v>
      </c>
      <c r="BV97" s="37">
        <f>(db!$AS$4/100)*(L97-BT97-BU97)</f>
        <v>0</v>
      </c>
      <c r="BW97" s="37">
        <f>(db!$AS$8/100)*(L97-BT97-BU97)</f>
        <v>0</v>
      </c>
      <c r="BX97" s="35"/>
      <c r="BY97" s="37"/>
      <c r="BZ97" s="37"/>
      <c r="CA97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97" s="33"/>
      <c r="CC97" s="39">
        <f>ROUND((Table1[[#This Row],[Premium]]-Table1[[#This Row],[All Deductions]]),0)</f>
        <v>0</v>
      </c>
      <c r="CD97" s="39">
        <f>IF(B97=0,0,Table1[[#This Row],[Initial Reserve]]+CE96)</f>
        <v>0</v>
      </c>
      <c r="CE97" s="40">
        <f>ROUND(IF(B97=0,0,((CC97)*(1+db!Y99))+((CE96)*(1+db!U99))),0)</f>
        <v>0</v>
      </c>
      <c r="CF97" s="40">
        <f t="shared" si="48"/>
        <v>0</v>
      </c>
      <c r="CG97" s="15">
        <f t="shared" si="44"/>
        <v>96</v>
      </c>
      <c r="CH97" s="39">
        <f>IF(B97=0,0,((CC97)*(1+db!AH99))+((CH96)*(1+db!AD99)))</f>
        <v>0</v>
      </c>
      <c r="CI97" s="39">
        <f>IF(B97=0,0,((CC97)*(1+db!AH99))+((CI96)*(1+db!AD99)))</f>
        <v>0</v>
      </c>
      <c r="CJ97" s="40">
        <f>IF(B97=0,0,((CC97)*(1+db!AO99))+((CJ96)*(1+db!AK99)))</f>
        <v>0</v>
      </c>
      <c r="CK97" s="40">
        <f>CJ97-(SUM(BX$7:$BX98))</f>
        <v>0</v>
      </c>
    </row>
    <row r="98" spans="1:90">
      <c r="A98" s="24">
        <f t="shared" si="45"/>
        <v>97</v>
      </c>
      <c r="B98" s="16">
        <f>IF(AND(Changes!Change="Yes", Changes!ChangeType="Change Contract Duration"),IF(B97=0,0,IF(Changes!NewChangedValue&lt;B97+1,0,B97+1)),IF(B97=0,0,IF('Application Annually'!$C$5&lt;B97+1,0,B97+1)))</f>
        <v>0</v>
      </c>
      <c r="C98" s="15">
        <f t="shared" si="49"/>
        <v>0</v>
      </c>
      <c r="D98" s="312">
        <f t="shared" si="47"/>
        <v>124</v>
      </c>
      <c r="E98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98" s="29">
        <f t="shared" si="37"/>
        <v>0</v>
      </c>
      <c r="G98" s="29">
        <f t="shared" si="38"/>
        <v>0</v>
      </c>
      <c r="H98" s="29">
        <f t="shared" ref="H98:H107" si="51" xml:space="preserve"> ROUND(L98 * (1 + SumOfTAX),-3)</f>
        <v>0</v>
      </c>
      <c r="I98" s="29">
        <f>IF(B98&gt;0,IF(AND(Table1[[#This Row],[Year]]&gt;Changes!ValidityYear,Changes!Change="Yes",Changes!ChangeType="Change Value Adjustment"),Changes!$G$22,'Application Annually'!$C$11),0)</f>
        <v>0</v>
      </c>
      <c r="J98" s="29">
        <f>IF(B98&gt;0,IF(AND(Table1[[#This Row],[Year]]&gt;Changes!ValidityYear,Changes!Change="Yes",Changes!ChangeType="Change Value Adjustment"),Changes!$G$24,'Application Annually'!$C$7),0)</f>
        <v>0</v>
      </c>
      <c r="K98" s="29">
        <f>ROUND(IF(B98=0,0,IF(AND(Changes!Change="Yes", Changes!ValidityYear=Table1[[#This Row],[Year]], Changes!ChangeType="Change Premium"), Changes!NewChangedValue, (K97*(1+db!$B$3)))),0)</f>
        <v>0</v>
      </c>
      <c r="L98" s="29">
        <f>ROUND(IF(AND(Changes!Change="Yes",Changes!ValidityYear&lt;=Table1[[#This Row],[Year]],Changes!ChangeType="Paid-Up"),0,IF(B98=0,0,IF(AND(Changes!Change="Yes", Changes!ValidityYear=Table1[[#This Row],[Year]], Changes!ChangeType="Change Premium"), Changes!NewChangedValue, (L97*(1+Table1[[#This Row],[Adjustment Factor of Premium]]/100))))),0)</f>
        <v>0</v>
      </c>
      <c r="M98" s="29">
        <f>IF(Table1[[#This Row],[Year]]=1,ROUND(MIN($L$2 -( Table1[[#This Row],[Riders Risk Premiums]] + Table1[[#This Row],[Acquisition Cost]]) *0.75,Table1[[#This Row],[Death Capital (1)]]* 0.03),0),0)</f>
        <v>0</v>
      </c>
      <c r="N98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98" s="29">
        <f>ROUND(IF(ROW()-1&gt;InsurancePeriod,0,(O97*(1+(Table1[[#This Row],[Adjustment Factor of Premium]]/100)))),0)</f>
        <v>0</v>
      </c>
      <c r="P98" s="29">
        <f>IF(Table1[Year] = 0, 0, SUM(L$2:L98))</f>
        <v>0</v>
      </c>
      <c r="Q98" s="17">
        <f t="shared" ref="Q98:Q107" si="52">ROUND(T98,-3)</f>
        <v>0</v>
      </c>
      <c r="R98" s="17">
        <f>IF(Table1[[#This Row],[Year]]=0,0,IF($C$2&lt;=50,LOOKUP(Table1[[#This Row],[Age]],db!BG99:BG205,db!BH99:BH205),LOOKUP(Table1[[#This Row],[Age]],db!BJ99:BJ205,db!BK99:BK205)))</f>
        <v>0</v>
      </c>
      <c r="S98" s="17">
        <f>IF(AND(Changes!Change="Yes",Changes!ValidityYear&lt;=Table1[[#This Row],[Year]],Changes!ChangeType="Paid-Up",PaidUpOption="Paid-up with no coverage"),0,IF(B98=0,0, IF(AND(Changes!Change="Yes", Changes!ValidityYear=Table1[[#This Row],[Year]], Changes!ChangeType="Change Death Capital"), Changes!NewChangedValue, S97*(1+(Table1[[#This Row],[Adjustment Factor of Death Capital]]/100)))))</f>
        <v>0</v>
      </c>
      <c r="T98" s="17">
        <f>MIN(IF(B98=0,0,Table1[[#This Row],[Death Capital (1)]]),Table1[[#This Row],[Max Sum Insured For Death]])</f>
        <v>0</v>
      </c>
      <c r="U98" s="29">
        <f t="shared" si="39"/>
        <v>0</v>
      </c>
      <c r="V98" s="29">
        <f>IF(AND(Changes!Change="Yes",Changes!ValidityYear&lt;=Table1[[#This Row],[Year]],Changes!ChangeType="Paid-Up",OR(PaidUpOption="Paid-up with no coverage",PaidUpOption="Paid-up with main coverage")),0,IF(B98=0,0,IF(AND(Changes!Change="Yes", Changes!ValidityYear&lt;=Table1[[#This Row],[Year]], Changes!ChangeType="Rider Inclusion/Exclusion", Changes!RiderType="Accident Death"), T98*Changes!NewChangedValue,IF(db!$D$6="Yes",(db!$B$6)*T98,0))))</f>
        <v>0</v>
      </c>
      <c r="W98" s="29">
        <f>MIN(IF(V98&lt;=db!$L$2,V98,db!$L$2),MAX_ACC_CAPITAL)</f>
        <v>0</v>
      </c>
      <c r="X98" s="17">
        <f>IF(AND(Changes!Change="Yes",Changes!ValidityYear&lt;=Table1[[#This Row],[Year]],Changes!ChangeType="Paid-Up",OR(PaidUpOption="Paid-up with no coverage",PaidUpOption="Paid-up with main coverage")),0,IF(OR(B98=0,Table1[[#This Row],[Accident Capital (2)]]=0),0,IF(AND(Changes!Change="Yes", Changes!ValidityYear&lt;=Table1[[#This Row],[Year]], Changes!ChangeType="Rider Inclusion/Exclusion", Changes!RiderType="Accident Disability"), T98*Changes!NewChangedValue,IF(db!$D$7="Yes",(db!$B$7)*T98,0))))</f>
        <v>0</v>
      </c>
      <c r="Y98" s="42">
        <f>IF(C98&gt;69,0,IF(C98=0,0,IF(X98&lt;=db!$L$3,X98,db!$L$3)))</f>
        <v>0</v>
      </c>
      <c r="Z98" s="29">
        <f>IF(AND(Changes!Change="Yes",Changes!ValidityYear&lt;=Table1[[#This Row],[Year]],Changes!ChangeType="Paid-Up",OR(PaidUpOption="Paid-up with no coverage",PaidUpOption="Paid-up with main coverage")),0,IF(OR(B98=0,Table1[[#This Row],[Accident Capital (2)]]=0),0,IF(AND(Changes!Change="Yes", Changes!ValidityYear&lt;=Table1[[#This Row],[Year]], Changes!ChangeType="Rider Inclusion/Exclusion", Changes!RiderType="Accident Medical Cost"), T98*Changes!NewChangedValue,IF(db!$D$9="Yes",(db!$B$9)*T98,0))))</f>
        <v>0</v>
      </c>
      <c r="AA98" s="29">
        <f>ROUND(IF(C98&gt;69,0,IF(C98=0,0,IF(Z98&lt;=db!$L$4,Z98,db!$L$4))),0)</f>
        <v>0</v>
      </c>
      <c r="AB98" s="38">
        <f>IF(AND(Changes!Change = "Yes", Changes!ChangeType = "Rider Inclusion/Exclusion", Changes!RiderType = "WOP"), IF( Changes!ValidityYear &lt;= Table1[[#This Row],[Year]], IF(WOP = "Yes", 0, 1),  IF(WOP = "Yes", 1, 0)), IF(AND(db!$D$8="Yes",C98&lt;=69,ROW()-1&lt;=InsurancePeriod), 1, 0))</f>
        <v>0</v>
      </c>
      <c r="AC98" s="17">
        <f>(AC99+K99)*AB98*((1)/(1+db!AA100))*(LOOKUP(C98,'Mortality Table'!$A$2:$A$108,'Mortality Table'!$E$2:$E$108))</f>
        <v>0</v>
      </c>
      <c r="AD98" s="340">
        <f>IF(AND(Changes!ValidityYear&lt;= Table1[[#This Row],[Year]],Changes!ChangeType="Change Value Adjustment",Changes!Change="Yes"), (AD99+L99)*AB98*((1)/(1+db!AA100))*(LOOKUP(C98,'Mortality Table'!$A$2:$A$108,'Mortality Table'!$E$2:$E$108)),Table1[[#This Row],[WOP Before Adj. BT]])</f>
        <v>0</v>
      </c>
      <c r="AE98" s="341">
        <f>IF(AND(Changes!Change="Yes", Changes!ChangeType="Change Value Adjustment"),Table1[[#This Row],[WOP Capital]],(AE99+O99)*AB98*((1)/(1+db!AA100))*(LOOKUP(D98,'Mortality Table'!$A$2:$A$108,'Mortality Table'!$E$2:$E$108)))</f>
        <v>0</v>
      </c>
      <c r="AF98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98" s="42">
        <f>IF(AND(Changes!Change="Yes", Changes!ValidityYear&lt;=Table1[[#This Row],[Year]], Changes!ChangeType="Rider Inclusion/Exclusion", Changes!RiderType="Disability Annuity"), L98*Changes!NewChangedValue,L98*db!B$10*IF(db!$D$10="Yes",1,0))</f>
        <v>0</v>
      </c>
      <c r="AH98" s="29">
        <f>IF(AND(Changes!Change="Yes",Changes!ValidityYear&lt;=Table1[[#This Row],[Year]],Changes!ChangeType="Paid-Up"),0,Table1[[#This Row],[Code Annuity Capital]]*IF('Annual Calculation'!C98&gt;69,0,(LOOKUP('Annual Calculation'!C98+1,'Mortality Table'!$A$2:$A$108,'Mortality Table'!$O$2:$O$108)-LOOKUP('Annual Calculation'!C98+11,'Mortality Table'!$A$2:$A$108,'Mortality Table'!$O$2:$O$108))/LOOKUP('Annual Calculation'!C98,'Mortality Table'!$A$2:$A$108,'Mortality Table'!$M$2:$M$108)))</f>
        <v>0</v>
      </c>
      <c r="AI98" s="17">
        <f>IF(AND(Changes!Change="Yes",Changes!ValidityYear&lt;=Table1[[#This Row],[Year]],Changes!ChangeType="Paid-Up",OR(PaidUpOption="Paid-up with no coverage",PaidUpOption="Paid-up with main coverage")),0,IF(B98=0,0,IF(AND(Changes!Change="Yes", Changes!ValidityYear&lt;=Table1[[#This Row],[Year]], Changes!ChangeType="Rider Inclusion/Exclusion", Changes!RiderType="Dread Disease"), T98*Changes!NewChangedValue,IF(db!$D$11="Yes",(db!$B$11)*T98,0))))</f>
        <v>0</v>
      </c>
      <c r="AJ98" s="42">
        <f>ROUND(IF(C98&gt;59,0,IF(C98=0,0,IF(AI98&lt;=db!$L$5,AI98,db!$L$5))),0)</f>
        <v>0</v>
      </c>
      <c r="AK98" s="29">
        <f>IF(AND(Changes!Change="Yes",Changes!ValidityYear&lt;=Table1[[#This Row],[Year]],Changes!ChangeType="Paid-Up",OR(PaidUpOption="Paid-up with no coverage",PaidUpOption="Paid-up with main coverage")),0,IF(B98=0,0,IF(AND(Changes!Change="Yes", Changes!ValidityYear&lt;=Table1[[#This Row],[Year]], Changes!ChangeType="Rider Inclusion/Exclusion", Changes!RiderType="Cancer"), T98*Changes!NewChangedValue,IF(db!$D$12="Yes",(db!$B$12)*T98,0))))</f>
        <v>0</v>
      </c>
      <c r="AL98" s="29">
        <f>ROUND(IF(C98&gt;59,0,IF(C98=0,0,IF(AK98&lt;=db!$L$6,AK98,db!$L$6))),0)</f>
        <v>0</v>
      </c>
      <c r="AM98" s="32"/>
      <c r="AN98" s="18">
        <f>IF(B98=0,0,IF(C98&lt;(db!$E$2+5),LOOKUP(C98,'Mortality Table'!$A$2:$A$108,'Mortality Table'!$P$2:$P$108),IF((C98&gt;=db!$E$2+10),LOOKUP(C98,'Mortality Table'!$A$2:$A$108,'Mortality Table'!$R$2:$R$108),LOOKUP(C98,'Mortality Table'!$A$2:$A$108,'Mortality Table'!$Q$2:$Q$108))))</f>
        <v>0</v>
      </c>
      <c r="AO98" s="22">
        <f t="shared" ref="AO98:AO107" si="53">ROUND(AN98*T98,0)</f>
        <v>0</v>
      </c>
      <c r="AP98" s="19">
        <f>IF(B98=0,0, LOOKUP(IF(AND(Changes!Change="Yes", Changes!ValidityYear&lt;=Table1[[#This Row],[Year]], Changes!ChangeType="Change Job Class"),Changes!NewChangedValue, db!$A$8),db!$AX$4:$AX$8,db!$AY$4:$AY$8))</f>
        <v>0</v>
      </c>
      <c r="AQ98" s="20">
        <f>ROUND((AP98/1000)*W98 * (1-db!$AS$9),0)</f>
        <v>0</v>
      </c>
      <c r="AR98" s="20">
        <f>(AP98/1000)*W98 * db!$AS$9</f>
        <v>0</v>
      </c>
      <c r="AS98" s="21">
        <f>IF(B98=0,0, LOOKUP(IF(AND(Changes!Change="Yes", Changes!ValidityYear&lt;=Table1[[#This Row],[Year]], Changes!ChangeType="Change Job Class"),Changes!NewChangedValue, db!$A$8),db!$AX$4:$AX$8,db!$AZ$4:$AZ$8))</f>
        <v>0</v>
      </c>
      <c r="AT98" s="22">
        <f>(AS98/1000)*Y98*(1-db!$AS$9)</f>
        <v>0</v>
      </c>
      <c r="AU98" s="22">
        <f>(AS98/1000)*Y98*(db!$AS$9)</f>
        <v>0</v>
      </c>
      <c r="AV98" s="23">
        <f>IF(B98=0,0, LOOKUP(IF(AND(Changes!Change="Yes", Changes!ValidityYear&lt;=Table1[[#This Row],[Year]], Changes!ChangeType="Change Job Class"),Changes!NewChangedValue, db!$A$8),db!$AX$4:$AX$8,db!$BA$4:$BA$8))</f>
        <v>0</v>
      </c>
      <c r="AW98" s="20">
        <f>ROUND((AV98/(100))*AA98*(1-db!$AS$9),0)</f>
        <v>0</v>
      </c>
      <c r="AX98" s="20">
        <f>ROUND((AV98/(100))*AA98*(db!$AS$9),0)</f>
        <v>0</v>
      </c>
      <c r="AY98" s="21">
        <f>IF(db!$D$8="Yes",AS98,0)</f>
        <v>0</v>
      </c>
      <c r="AZ98" s="22">
        <f>(AY98*AF98)/1000*(1-db!$AS$9)</f>
        <v>0</v>
      </c>
      <c r="BA98" s="22">
        <f>(AY98*AF98)/1000*(db!$AS$9)</f>
        <v>0</v>
      </c>
      <c r="BB98" s="23">
        <f t="shared" ref="BB98:BB107" si="54">AS98</f>
        <v>0</v>
      </c>
      <c r="BC98" s="20">
        <f>(BB98*AH98/1000)*(1-db!$AS$9)</f>
        <v>0</v>
      </c>
      <c r="BD98" s="20">
        <f>(BB98*AH98/1000)*(db!$AS$9)</f>
        <v>0</v>
      </c>
      <c r="BE98" s="22">
        <f>IF(B98=0,0,IF(C98&gt;60,0,LOOKUP(Table1[[#This Row],[Medical
Age]],db!$BC$3:$BC$63,db!$BD$3:$BD$63)))</f>
        <v>0</v>
      </c>
      <c r="BF98" s="22">
        <f>BG98*db!$AS$10</f>
        <v>0</v>
      </c>
      <c r="BG98" s="22">
        <f t="shared" ref="BG98:BG107" si="55">(BE98/1000000)*AJ98</f>
        <v>0</v>
      </c>
      <c r="BH98" s="22">
        <f>(BE98/1000000)*AJ98*(1-db!$AS$10)</f>
        <v>0</v>
      </c>
      <c r="BI98" s="20">
        <f>IF(B98=0,0,IF(C98&gt;59,0,LOOKUP(Table1[[#This Row],[Medical
Age]],db!$BC$3:$BC$63,db!$BE$3:$BE$63)))</f>
        <v>0</v>
      </c>
      <c r="BJ98" s="20">
        <f>(BI98/1000000)*AL98*(1-db!$AS$11)</f>
        <v>0</v>
      </c>
      <c r="BK98" s="20">
        <f>(BI98/1000000)*AL98*(db!$AS$11)</f>
        <v>0</v>
      </c>
      <c r="BL98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98" s="20">
        <f>Table1[[#This Row],[RiskLoading
Rate]]*Table1[[#This Row],[Death Capital (2)]]</f>
        <v>0</v>
      </c>
      <c r="BN98" s="36"/>
      <c r="BO98" s="37">
        <f t="shared" ref="BO98:BO107" si="56">AO98</f>
        <v>0</v>
      </c>
      <c r="BP98" s="35">
        <f t="shared" ref="BP98:BP107" si="57">(BC98+AZ98+AW98+AT98+AQ98)</f>
        <v>0</v>
      </c>
      <c r="BQ98" s="35">
        <f t="shared" ref="BQ98:BQ107" si="58">AR98+AU98+AX98+BA98+BD98</f>
        <v>0</v>
      </c>
      <c r="BR98" s="37">
        <f t="shared" si="50"/>
        <v>0</v>
      </c>
      <c r="BS98" s="37">
        <f t="shared" si="41"/>
        <v>0</v>
      </c>
      <c r="BT98" s="35">
        <f t="shared" si="42"/>
        <v>0</v>
      </c>
      <c r="BU98" s="35">
        <f t="shared" si="43"/>
        <v>0</v>
      </c>
      <c r="BV98" s="37">
        <f>(db!$AS$4/100)*(L98-BT98-BU98)</f>
        <v>0</v>
      </c>
      <c r="BW98" s="37">
        <f>(db!$AS$8/100)*(L98-BT98-BU98)</f>
        <v>0</v>
      </c>
      <c r="BX98" s="35"/>
      <c r="BY98" s="37"/>
      <c r="BZ98" s="37"/>
      <c r="CA98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98" s="33"/>
      <c r="CC98" s="39">
        <f>ROUND((Table1[[#This Row],[Premium]]-Table1[[#This Row],[All Deductions]]),0)</f>
        <v>0</v>
      </c>
      <c r="CD98" s="39">
        <f>IF(B98=0,0,Table1[[#This Row],[Initial Reserve]]+CE97)</f>
        <v>0</v>
      </c>
      <c r="CE98" s="40">
        <f>ROUND(IF(B98=0,0,((CC98)*(1+db!Y100))+((CE97)*(1+db!U100))),0)</f>
        <v>0</v>
      </c>
      <c r="CF98" s="40">
        <f t="shared" si="48"/>
        <v>0</v>
      </c>
      <c r="CG98" s="15">
        <f t="shared" si="44"/>
        <v>97</v>
      </c>
      <c r="CH98" s="39">
        <f>IF(B98=0,0,((CC98)*(1+db!AH100))+((CH97)*(1+db!AD100)))</f>
        <v>0</v>
      </c>
      <c r="CI98" s="39">
        <f>IF(B98=0,0,((CC98)*(1+db!AH100))+((CI97)*(1+db!AD100)))</f>
        <v>0</v>
      </c>
      <c r="CJ98" s="40">
        <f>IF(B98=0,0,((CC98)*(1+db!AO100))+((CJ97)*(1+db!AK100)))</f>
        <v>0</v>
      </c>
      <c r="CK98" s="40">
        <f>CJ98-(SUM(BX$7:$BX99))</f>
        <v>0</v>
      </c>
    </row>
    <row r="99" spans="1:90">
      <c r="A99" s="24">
        <f t="shared" si="45"/>
        <v>98</v>
      </c>
      <c r="B99" s="16">
        <f>IF(AND(Changes!Change="Yes", Changes!ChangeType="Change Contract Duration"),IF(B98=0,0,IF(Changes!NewChangedValue&lt;B98+1,0,B98+1)),IF(B98=0,0,IF('Application Annually'!$C$5&lt;B98+1,0,B98+1)))</f>
        <v>0</v>
      </c>
      <c r="C99" s="15">
        <f t="shared" si="49"/>
        <v>0</v>
      </c>
      <c r="D99" s="312">
        <f t="shared" si="47"/>
        <v>125</v>
      </c>
      <c r="E99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99" s="29">
        <f t="shared" si="37"/>
        <v>0</v>
      </c>
      <c r="G99" s="29">
        <f t="shared" si="38"/>
        <v>0</v>
      </c>
      <c r="H99" s="29">
        <f t="shared" si="51"/>
        <v>0</v>
      </c>
      <c r="I99" s="29">
        <f>IF(B99&gt;0,IF(AND(Table1[[#This Row],[Year]]&gt;Changes!ValidityYear,Changes!Change="Yes",Changes!ChangeType="Change Value Adjustment"),Changes!$G$22,'Application Annually'!$C$11),0)</f>
        <v>0</v>
      </c>
      <c r="J99" s="29">
        <f>IF(B99&gt;0,IF(AND(Table1[[#This Row],[Year]]&gt;Changes!ValidityYear,Changes!Change="Yes",Changes!ChangeType="Change Value Adjustment"),Changes!$G$24,'Application Annually'!$C$7),0)</f>
        <v>0</v>
      </c>
      <c r="K99" s="29">
        <f>ROUND(IF(B99=0,0,IF(AND(Changes!Change="Yes", Changes!ValidityYear=Table1[[#This Row],[Year]], Changes!ChangeType="Change Premium"), Changes!NewChangedValue, (K98*(1+db!$B$3)))),0)</f>
        <v>0</v>
      </c>
      <c r="L99" s="29">
        <f>ROUND(IF(AND(Changes!Change="Yes",Changes!ValidityYear&lt;=Table1[[#This Row],[Year]],Changes!ChangeType="Paid-Up"),0,IF(B99=0,0,IF(AND(Changes!Change="Yes", Changes!ValidityYear=Table1[[#This Row],[Year]], Changes!ChangeType="Change Premium"), Changes!NewChangedValue, (L98*(1+Table1[[#This Row],[Adjustment Factor of Premium]]/100))))),0)</f>
        <v>0</v>
      </c>
      <c r="M99" s="29">
        <f>IF(Table1[[#This Row],[Year]]=1,ROUND(MIN($L$2 -( Table1[[#This Row],[Riders Risk Premiums]] + Table1[[#This Row],[Acquisition Cost]]) *0.75,Table1[[#This Row],[Death Capital (1)]]* 0.03),0),0)</f>
        <v>0</v>
      </c>
      <c r="N99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99" s="29">
        <f>ROUND(IF(ROW()-1&gt;InsurancePeriod,0,(O98*(1+(Table1[[#This Row],[Adjustment Factor of Premium]]/100)))),0)</f>
        <v>0</v>
      </c>
      <c r="P99" s="29">
        <f>IF(Table1[Year] = 0, 0, SUM(L$2:L99))</f>
        <v>0</v>
      </c>
      <c r="Q99" s="17">
        <f t="shared" si="52"/>
        <v>0</v>
      </c>
      <c r="R99" s="17">
        <f>IF(Table1[[#This Row],[Year]]=0,0,IF($C$2&lt;=50,LOOKUP(Table1[[#This Row],[Age]],db!BG100:BG206,db!BH100:BH206),LOOKUP(Table1[[#This Row],[Age]],db!BJ100:BJ206,db!BK100:BK206)))</f>
        <v>0</v>
      </c>
      <c r="S99" s="17">
        <f>IF(AND(Changes!Change="Yes",Changes!ValidityYear&lt;=Table1[[#This Row],[Year]],Changes!ChangeType="Paid-Up",PaidUpOption="Paid-up with no coverage"),0,IF(B99=0,0, IF(AND(Changes!Change="Yes", Changes!ValidityYear=Table1[[#This Row],[Year]], Changes!ChangeType="Change Death Capital"), Changes!NewChangedValue, S98*(1+(Table1[[#This Row],[Adjustment Factor of Death Capital]]/100)))))</f>
        <v>0</v>
      </c>
      <c r="T99" s="17">
        <f>MIN(IF(B99=0,0,Table1[[#This Row],[Death Capital (1)]]),Table1[[#This Row],[Max Sum Insured For Death]])</f>
        <v>0</v>
      </c>
      <c r="U99" s="29">
        <f t="shared" si="39"/>
        <v>0</v>
      </c>
      <c r="V99" s="29">
        <f>IF(AND(Changes!Change="Yes",Changes!ValidityYear&lt;=Table1[[#This Row],[Year]],Changes!ChangeType="Paid-Up",OR(PaidUpOption="Paid-up with no coverage",PaidUpOption="Paid-up with main coverage")),0,IF(B99=0,0,IF(AND(Changes!Change="Yes", Changes!ValidityYear&lt;=Table1[[#This Row],[Year]], Changes!ChangeType="Rider Inclusion/Exclusion", Changes!RiderType="Accident Death"), T99*Changes!NewChangedValue,IF(db!$D$6="Yes",(db!$B$6)*T99,0))))</f>
        <v>0</v>
      </c>
      <c r="W99" s="29">
        <f>MIN(IF(V99&lt;=db!$L$2,V99,db!$L$2),MAX_ACC_CAPITAL)</f>
        <v>0</v>
      </c>
      <c r="X99" s="17">
        <f>IF(AND(Changes!Change="Yes",Changes!ValidityYear&lt;=Table1[[#This Row],[Year]],Changes!ChangeType="Paid-Up",OR(PaidUpOption="Paid-up with no coverage",PaidUpOption="Paid-up with main coverage")),0,IF(OR(B99=0,Table1[[#This Row],[Accident Capital (2)]]=0),0,IF(AND(Changes!Change="Yes", Changes!ValidityYear&lt;=Table1[[#This Row],[Year]], Changes!ChangeType="Rider Inclusion/Exclusion", Changes!RiderType="Accident Disability"), T99*Changes!NewChangedValue,IF(db!$D$7="Yes",(db!$B$7)*T99,0))))</f>
        <v>0</v>
      </c>
      <c r="Y99" s="42">
        <f>IF(C99&gt;69,0,IF(C99=0,0,IF(X99&lt;=db!$L$3,X99,db!$L$3)))</f>
        <v>0</v>
      </c>
      <c r="Z99" s="29">
        <f>IF(AND(Changes!Change="Yes",Changes!ValidityYear&lt;=Table1[[#This Row],[Year]],Changes!ChangeType="Paid-Up",OR(PaidUpOption="Paid-up with no coverage",PaidUpOption="Paid-up with main coverage")),0,IF(OR(B99=0,Table1[[#This Row],[Accident Capital (2)]]=0),0,IF(AND(Changes!Change="Yes", Changes!ValidityYear&lt;=Table1[[#This Row],[Year]], Changes!ChangeType="Rider Inclusion/Exclusion", Changes!RiderType="Accident Medical Cost"), T99*Changes!NewChangedValue,IF(db!$D$9="Yes",(db!$B$9)*T99,0))))</f>
        <v>0</v>
      </c>
      <c r="AA99" s="29">
        <f>ROUND(IF(C99&gt;69,0,IF(C99=0,0,IF(Z99&lt;=db!$L$4,Z99,db!$L$4))),0)</f>
        <v>0</v>
      </c>
      <c r="AB99" s="38">
        <f>IF(AND(Changes!Change = "Yes", Changes!ChangeType = "Rider Inclusion/Exclusion", Changes!RiderType = "WOP"), IF( Changes!ValidityYear &lt;= Table1[[#This Row],[Year]], IF(WOP = "Yes", 0, 1),  IF(WOP = "Yes", 1, 0)), IF(AND(db!$D$8="Yes",C99&lt;=69,ROW()-1&lt;=InsurancePeriod), 1, 0))</f>
        <v>0</v>
      </c>
      <c r="AC99" s="17">
        <f>(AC100+K100)*AB99*((1)/(1+db!AA101))*(LOOKUP(C99,'Mortality Table'!$A$2:$A$108,'Mortality Table'!$E$2:$E$108))</f>
        <v>0</v>
      </c>
      <c r="AD99" s="340">
        <f>IF(AND(Changes!ValidityYear&lt;= Table1[[#This Row],[Year]],Changes!ChangeType="Change Value Adjustment",Changes!Change="Yes"), (AD100+L100)*AB99*((1)/(1+db!AA101))*(LOOKUP(C99,'Mortality Table'!$A$2:$A$108,'Mortality Table'!$E$2:$E$108)),Table1[[#This Row],[WOP Before Adj. BT]])</f>
        <v>0</v>
      </c>
      <c r="AE99" s="341">
        <f>IF(AND(Changes!Change="Yes", Changes!ChangeType="Change Value Adjustment"),Table1[[#This Row],[WOP Capital]],(AE100+O100)*AB99*((1)/(1+db!AA101))*(LOOKUP(D99,'Mortality Table'!$A$2:$A$108,'Mortality Table'!$E$2:$E$108)))</f>
        <v>0</v>
      </c>
      <c r="AF99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99" s="42">
        <f>IF(AND(Changes!Change="Yes", Changes!ValidityYear&lt;=Table1[[#This Row],[Year]], Changes!ChangeType="Rider Inclusion/Exclusion", Changes!RiderType="Disability Annuity"), L99*Changes!NewChangedValue,L99*db!B$10*IF(db!$D$10="Yes",1,0))</f>
        <v>0</v>
      </c>
      <c r="AH99" s="29">
        <f>IF(AND(Changes!Change="Yes",Changes!ValidityYear&lt;=Table1[[#This Row],[Year]],Changes!ChangeType="Paid-Up"),0,Table1[[#This Row],[Code Annuity Capital]]*IF('Annual Calculation'!C99&gt;69,0,(LOOKUP('Annual Calculation'!C99+1,'Mortality Table'!$A$2:$A$108,'Mortality Table'!$O$2:$O$108)-LOOKUP('Annual Calculation'!C99+11,'Mortality Table'!$A$2:$A$108,'Mortality Table'!$O$2:$O$108))/LOOKUP('Annual Calculation'!C99,'Mortality Table'!$A$2:$A$108,'Mortality Table'!$M$2:$M$108)))</f>
        <v>0</v>
      </c>
      <c r="AI99" s="17">
        <f>IF(AND(Changes!Change="Yes",Changes!ValidityYear&lt;=Table1[[#This Row],[Year]],Changes!ChangeType="Paid-Up",OR(PaidUpOption="Paid-up with no coverage",PaidUpOption="Paid-up with main coverage")),0,IF(B99=0,0,IF(AND(Changes!Change="Yes", Changes!ValidityYear&lt;=Table1[[#This Row],[Year]], Changes!ChangeType="Rider Inclusion/Exclusion", Changes!RiderType="Dread Disease"), T99*Changes!NewChangedValue,IF(db!$D$11="Yes",(db!$B$11)*T99,0))))</f>
        <v>0</v>
      </c>
      <c r="AJ99" s="42">
        <f>ROUND(IF(C99&gt;59,0,IF(C99=0,0,IF(AI99&lt;=db!$L$5,AI99,db!$L$5))),0)</f>
        <v>0</v>
      </c>
      <c r="AK99" s="29">
        <f>IF(AND(Changes!Change="Yes",Changes!ValidityYear&lt;=Table1[[#This Row],[Year]],Changes!ChangeType="Paid-Up",OR(PaidUpOption="Paid-up with no coverage",PaidUpOption="Paid-up with main coverage")),0,IF(B99=0,0,IF(AND(Changes!Change="Yes", Changes!ValidityYear&lt;=Table1[[#This Row],[Year]], Changes!ChangeType="Rider Inclusion/Exclusion", Changes!RiderType="Cancer"), T99*Changes!NewChangedValue,IF(db!$D$12="Yes",(db!$B$12)*T99,0))))</f>
        <v>0</v>
      </c>
      <c r="AL99" s="29">
        <f>ROUND(IF(C99&gt;59,0,IF(C99=0,0,IF(AK99&lt;=db!$L$6,AK99,db!$L$6))),0)</f>
        <v>0</v>
      </c>
      <c r="AM99" s="32"/>
      <c r="AN99" s="18">
        <f>IF(B99=0,0,IF(C99&lt;(db!$E$2+5),LOOKUP(C99,'Mortality Table'!$A$2:$A$108,'Mortality Table'!$P$2:$P$108),IF((C99&gt;=db!$E$2+10),LOOKUP(C99,'Mortality Table'!$A$2:$A$108,'Mortality Table'!$R$2:$R$108),LOOKUP(C99,'Mortality Table'!$A$2:$A$108,'Mortality Table'!$Q$2:$Q$108))))</f>
        <v>0</v>
      </c>
      <c r="AO99" s="22">
        <f t="shared" si="53"/>
        <v>0</v>
      </c>
      <c r="AP99" s="19">
        <f>IF(B99=0,0, LOOKUP(IF(AND(Changes!Change="Yes", Changes!ValidityYear&lt;=Table1[[#This Row],[Year]], Changes!ChangeType="Change Job Class"),Changes!NewChangedValue, db!$A$8),db!$AX$4:$AX$8,db!$AY$4:$AY$8))</f>
        <v>0</v>
      </c>
      <c r="AQ99" s="20">
        <f>ROUND((AP99/1000)*W99 * (1-db!$AS$9),0)</f>
        <v>0</v>
      </c>
      <c r="AR99" s="20">
        <f>(AP99/1000)*W99 * db!$AS$9</f>
        <v>0</v>
      </c>
      <c r="AS99" s="21">
        <f>IF(B99=0,0, LOOKUP(IF(AND(Changes!Change="Yes", Changes!ValidityYear&lt;=Table1[[#This Row],[Year]], Changes!ChangeType="Change Job Class"),Changes!NewChangedValue, db!$A$8),db!$AX$4:$AX$8,db!$AZ$4:$AZ$8))</f>
        <v>0</v>
      </c>
      <c r="AT99" s="22">
        <f>(AS99/1000)*Y99*(1-db!$AS$9)</f>
        <v>0</v>
      </c>
      <c r="AU99" s="22">
        <f>(AS99/1000)*Y99*(db!$AS$9)</f>
        <v>0</v>
      </c>
      <c r="AV99" s="23">
        <f>IF(B99=0,0, LOOKUP(IF(AND(Changes!Change="Yes", Changes!ValidityYear&lt;=Table1[[#This Row],[Year]], Changes!ChangeType="Change Job Class"),Changes!NewChangedValue, db!$A$8),db!$AX$4:$AX$8,db!$BA$4:$BA$8))</f>
        <v>0</v>
      </c>
      <c r="AW99" s="20">
        <f>ROUND((AV99/(100))*AA99*(1-db!$AS$9),0)</f>
        <v>0</v>
      </c>
      <c r="AX99" s="20">
        <f>ROUND((AV99/(100))*AA99*(db!$AS$9),0)</f>
        <v>0</v>
      </c>
      <c r="AY99" s="21">
        <f>IF(db!$D$8="Yes",AS99,0)</f>
        <v>0</v>
      </c>
      <c r="AZ99" s="22">
        <f>(AY99*AF99)/1000*(1-db!$AS$9)</f>
        <v>0</v>
      </c>
      <c r="BA99" s="22">
        <f>(AY99*AF99)/1000*(db!$AS$9)</f>
        <v>0</v>
      </c>
      <c r="BB99" s="23">
        <f t="shared" si="54"/>
        <v>0</v>
      </c>
      <c r="BC99" s="20">
        <f>(BB99*AH99/1000)*(1-db!$AS$9)</f>
        <v>0</v>
      </c>
      <c r="BD99" s="20">
        <f>(BB99*AH99/1000)*(db!$AS$9)</f>
        <v>0</v>
      </c>
      <c r="BE99" s="22">
        <f>IF(B99=0,0,IF(C99&gt;60,0,LOOKUP(Table1[[#This Row],[Medical
Age]],db!$BC$3:$BC$63,db!$BD$3:$BD$63)))</f>
        <v>0</v>
      </c>
      <c r="BF99" s="22">
        <f>BG99*db!$AS$10</f>
        <v>0</v>
      </c>
      <c r="BG99" s="22">
        <f t="shared" si="55"/>
        <v>0</v>
      </c>
      <c r="BH99" s="22">
        <f>(BE99/1000000)*AJ99*(1-db!$AS$10)</f>
        <v>0</v>
      </c>
      <c r="BI99" s="20">
        <f>IF(B99=0,0,IF(C99&gt;59,0,LOOKUP(Table1[[#This Row],[Medical
Age]],db!$BC$3:$BC$63,db!$BE$3:$BE$63)))</f>
        <v>0</v>
      </c>
      <c r="BJ99" s="20">
        <f>(BI99/1000000)*AL99*(1-db!$AS$11)</f>
        <v>0</v>
      </c>
      <c r="BK99" s="20">
        <f>(BI99/1000000)*AL99*(db!$AS$11)</f>
        <v>0</v>
      </c>
      <c r="BL99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99" s="20">
        <f>Table1[[#This Row],[RiskLoading
Rate]]*Table1[[#This Row],[Death Capital (2)]]</f>
        <v>0</v>
      </c>
      <c r="BN99" s="36"/>
      <c r="BO99" s="37">
        <f t="shared" si="56"/>
        <v>0</v>
      </c>
      <c r="BP99" s="35">
        <f t="shared" si="57"/>
        <v>0</v>
      </c>
      <c r="BQ99" s="35">
        <f t="shared" si="58"/>
        <v>0</v>
      </c>
      <c r="BR99" s="37">
        <f t="shared" si="50"/>
        <v>0</v>
      </c>
      <c r="BS99" s="37">
        <f t="shared" si="41"/>
        <v>0</v>
      </c>
      <c r="BT99" s="35">
        <f t="shared" si="42"/>
        <v>0</v>
      </c>
      <c r="BU99" s="35">
        <f t="shared" si="43"/>
        <v>0</v>
      </c>
      <c r="BV99" s="37">
        <f>(db!$AS$4/100)*(L99-BT99-BU99)</f>
        <v>0</v>
      </c>
      <c r="BW99" s="37">
        <f>(db!$AS$8/100)*(L99-BT99-BU99)</f>
        <v>0</v>
      </c>
      <c r="BX99" s="35"/>
      <c r="BY99" s="37"/>
      <c r="BZ99" s="37"/>
      <c r="CA99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99" s="33"/>
      <c r="CC99" s="39">
        <f>ROUND((Table1[[#This Row],[Premium]]-Table1[[#This Row],[All Deductions]]),0)</f>
        <v>0</v>
      </c>
      <c r="CD99" s="39">
        <f>IF(B99=0,0,Table1[[#This Row],[Initial Reserve]]+CE98)</f>
        <v>0</v>
      </c>
      <c r="CE99" s="40">
        <f>ROUND(IF(B99=0,0,((CC99)*(1+db!Y101))+((CE98)*(1+db!U101))),0)</f>
        <v>0</v>
      </c>
      <c r="CF99" s="40">
        <f t="shared" si="48"/>
        <v>0</v>
      </c>
      <c r="CG99" s="15">
        <f t="shared" si="44"/>
        <v>98</v>
      </c>
      <c r="CH99" s="39">
        <f>IF(B99=0,0,((CC99)*(1+db!AH101))+((CH98)*(1+db!AD101)))</f>
        <v>0</v>
      </c>
      <c r="CI99" s="39">
        <f>IF(B99=0,0,((CC99)*(1+db!AH101))+((CI98)*(1+db!AD101)))</f>
        <v>0</v>
      </c>
      <c r="CJ99" s="40">
        <f>IF(B99=0,0,((CC99)*(1+db!AO101))+((CJ98)*(1+db!AK101)))</f>
        <v>0</v>
      </c>
      <c r="CK99" s="40">
        <f>CJ99-(SUM(BX$7:$BX100))</f>
        <v>0</v>
      </c>
    </row>
    <row r="100" spans="1:90">
      <c r="A100" s="24">
        <f t="shared" si="45"/>
        <v>99</v>
      </c>
      <c r="B100" s="16">
        <f>IF(AND(Changes!Change="Yes", Changes!ChangeType="Change Contract Duration"),IF(B99=0,0,IF(Changes!NewChangedValue&lt;B99+1,0,B99+1)),IF(B99=0,0,IF('Application Annually'!$C$5&lt;B99+1,0,B99+1)))</f>
        <v>0</v>
      </c>
      <c r="C100" s="15">
        <f t="shared" si="49"/>
        <v>0</v>
      </c>
      <c r="D100" s="312">
        <f t="shared" si="47"/>
        <v>126</v>
      </c>
      <c r="E100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100" s="29">
        <f t="shared" si="37"/>
        <v>0</v>
      </c>
      <c r="G100" s="29">
        <f t="shared" si="38"/>
        <v>0</v>
      </c>
      <c r="H100" s="29">
        <f t="shared" si="51"/>
        <v>0</v>
      </c>
      <c r="I100" s="29">
        <f>IF(B100&gt;0,IF(AND(Table1[[#This Row],[Year]]&gt;Changes!ValidityYear,Changes!Change="Yes",Changes!ChangeType="Change Value Adjustment"),Changes!$G$22,'Application Annually'!$C$11),0)</f>
        <v>0</v>
      </c>
      <c r="J100" s="29">
        <f>IF(B100&gt;0,IF(AND(Table1[[#This Row],[Year]]&gt;Changes!ValidityYear,Changes!Change="Yes",Changes!ChangeType="Change Value Adjustment"),Changes!$G$24,'Application Annually'!$C$7),0)</f>
        <v>0</v>
      </c>
      <c r="K100" s="29">
        <f>ROUND(IF(B100=0,0,IF(AND(Changes!Change="Yes", Changes!ValidityYear=Table1[[#This Row],[Year]], Changes!ChangeType="Change Premium"), Changes!NewChangedValue, (K99*(1+db!$B$3)))),0)</f>
        <v>0</v>
      </c>
      <c r="L100" s="29">
        <f>ROUND(IF(AND(Changes!Change="Yes",Changes!ValidityYear&lt;=Table1[[#This Row],[Year]],Changes!ChangeType="Paid-Up"),0,IF(B100=0,0,IF(AND(Changes!Change="Yes", Changes!ValidityYear=Table1[[#This Row],[Year]], Changes!ChangeType="Change Premium"), Changes!NewChangedValue, (L99*(1+Table1[[#This Row],[Adjustment Factor of Premium]]/100))))),0)</f>
        <v>0</v>
      </c>
      <c r="M100" s="29">
        <f>IF(Table1[[#This Row],[Year]]=1,ROUND(MIN($L$2 -( Table1[[#This Row],[Riders Risk Premiums]] + Table1[[#This Row],[Acquisition Cost]]) *0.75,Table1[[#This Row],[Death Capital (1)]]* 0.03),0),0)</f>
        <v>0</v>
      </c>
      <c r="N100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00" s="29">
        <f>ROUND(IF(ROW()-1&gt;InsurancePeriod,0,(O99*(1+(Table1[[#This Row],[Adjustment Factor of Premium]]/100)))),0)</f>
        <v>0</v>
      </c>
      <c r="P100" s="29">
        <f>IF(Table1[Year] = 0, 0, SUM(L$2:L100))</f>
        <v>0</v>
      </c>
      <c r="Q100" s="17">
        <f t="shared" si="52"/>
        <v>0</v>
      </c>
      <c r="R100" s="17">
        <f>IF(Table1[[#This Row],[Year]]=0,0,IF($C$2&lt;=50,LOOKUP(Table1[[#This Row],[Age]],db!BG101:BG207,db!BH101:BH207),LOOKUP(Table1[[#This Row],[Age]],db!BJ101:BJ207,db!BK101:BK207)))</f>
        <v>0</v>
      </c>
      <c r="S100" s="17">
        <f>IF(AND(Changes!Change="Yes",Changes!ValidityYear&lt;=Table1[[#This Row],[Year]],Changes!ChangeType="Paid-Up",PaidUpOption="Paid-up with no coverage"),0,IF(B100=0,0, IF(AND(Changes!Change="Yes", Changes!ValidityYear=Table1[[#This Row],[Year]], Changes!ChangeType="Change Death Capital"), Changes!NewChangedValue, S99*(1+(Table1[[#This Row],[Adjustment Factor of Death Capital]]/100)))))</f>
        <v>0</v>
      </c>
      <c r="T100" s="17">
        <f>MIN(IF(B100=0,0,Table1[[#This Row],[Death Capital (1)]]),Table1[[#This Row],[Max Sum Insured For Death]])</f>
        <v>0</v>
      </c>
      <c r="U100" s="29">
        <f t="shared" si="39"/>
        <v>0</v>
      </c>
      <c r="V100" s="29">
        <f>IF(AND(Changes!Change="Yes",Changes!ValidityYear&lt;=Table1[[#This Row],[Year]],Changes!ChangeType="Paid-Up",OR(PaidUpOption="Paid-up with no coverage",PaidUpOption="Paid-up with main coverage")),0,IF(B100=0,0,IF(AND(Changes!Change="Yes", Changes!ValidityYear&lt;=Table1[[#This Row],[Year]], Changes!ChangeType="Rider Inclusion/Exclusion", Changes!RiderType="Accident Death"), T100*Changes!NewChangedValue,IF(db!$D$6="Yes",(db!$B$6)*T100,0))))</f>
        <v>0</v>
      </c>
      <c r="W100" s="29">
        <f>MIN(IF(V100&lt;=db!$L$2,V100,db!$L$2),MAX_ACC_CAPITAL)</f>
        <v>0</v>
      </c>
      <c r="X100" s="17">
        <f>IF(AND(Changes!Change="Yes",Changes!ValidityYear&lt;=Table1[[#This Row],[Year]],Changes!ChangeType="Paid-Up",OR(PaidUpOption="Paid-up with no coverage",PaidUpOption="Paid-up with main coverage")),0,IF(OR(B100=0,Table1[[#This Row],[Accident Capital (2)]]=0),0,IF(AND(Changes!Change="Yes", Changes!ValidityYear&lt;=Table1[[#This Row],[Year]], Changes!ChangeType="Rider Inclusion/Exclusion", Changes!RiderType="Accident Disability"), T100*Changes!NewChangedValue,IF(db!$D$7="Yes",(db!$B$7)*T100,0))))</f>
        <v>0</v>
      </c>
      <c r="Y100" s="42">
        <f>IF(C100&gt;69,0,IF(C100=0,0,IF(X100&lt;=db!$L$3,X100,db!$L$3)))</f>
        <v>0</v>
      </c>
      <c r="Z100" s="29">
        <f>IF(AND(Changes!Change="Yes",Changes!ValidityYear&lt;=Table1[[#This Row],[Year]],Changes!ChangeType="Paid-Up",OR(PaidUpOption="Paid-up with no coverage",PaidUpOption="Paid-up with main coverage")),0,IF(OR(B100=0,Table1[[#This Row],[Accident Capital (2)]]=0),0,IF(AND(Changes!Change="Yes", Changes!ValidityYear&lt;=Table1[[#This Row],[Year]], Changes!ChangeType="Rider Inclusion/Exclusion", Changes!RiderType="Accident Medical Cost"), T100*Changes!NewChangedValue,IF(db!$D$9="Yes",(db!$B$9)*T100,0))))</f>
        <v>0</v>
      </c>
      <c r="AA100" s="29">
        <f>ROUND(IF(C100&gt;69,0,IF(C100=0,0,IF(Z100&lt;=db!$L$4,Z100,db!$L$4))),0)</f>
        <v>0</v>
      </c>
      <c r="AB100" s="38">
        <f>IF(AND(Changes!Change = "Yes", Changes!ChangeType = "Rider Inclusion/Exclusion", Changes!RiderType = "WOP"), IF( Changes!ValidityYear &lt;= Table1[[#This Row],[Year]], IF(WOP = "Yes", 0, 1),  IF(WOP = "Yes", 1, 0)), IF(AND(db!$D$8="Yes",C100&lt;=69,ROW()-1&lt;=InsurancePeriod), 1, 0))</f>
        <v>0</v>
      </c>
      <c r="AC100" s="17">
        <f>(AC101+K101)*AB100*((1)/(1+db!AA102))*(LOOKUP(C100,'Mortality Table'!$A$2:$A$108,'Mortality Table'!$E$2:$E$108))</f>
        <v>0</v>
      </c>
      <c r="AD100" s="340">
        <f>IF(AND(Changes!ValidityYear&lt;= Table1[[#This Row],[Year]],Changes!ChangeType="Change Value Adjustment",Changes!Change="Yes"), (AD101+L101)*AB100*((1)/(1+db!AA102))*(LOOKUP(C100,'Mortality Table'!$A$2:$A$108,'Mortality Table'!$E$2:$E$108)),Table1[[#This Row],[WOP Before Adj. BT]])</f>
        <v>0</v>
      </c>
      <c r="AE100" s="341">
        <f>IF(AND(Changes!Change="Yes", Changes!ChangeType="Change Value Adjustment"),Table1[[#This Row],[WOP Capital]],(AE101+O101)*AB100*((1)/(1+db!AA102))*(LOOKUP(D100,'Mortality Table'!$A$2:$A$108,'Mortality Table'!$E$2:$E$108)))</f>
        <v>0</v>
      </c>
      <c r="AF100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100" s="42">
        <f>IF(AND(Changes!Change="Yes", Changes!ValidityYear&lt;=Table1[[#This Row],[Year]], Changes!ChangeType="Rider Inclusion/Exclusion", Changes!RiderType="Disability Annuity"), L100*Changes!NewChangedValue,L100*db!B$10*IF(db!$D$10="Yes",1,0))</f>
        <v>0</v>
      </c>
      <c r="AH100" s="29">
        <f>IF(AND(Changes!Change="Yes",Changes!ValidityYear&lt;=Table1[[#This Row],[Year]],Changes!ChangeType="Paid-Up"),0,Table1[[#This Row],[Code Annuity Capital]]*IF('Annual Calculation'!C100&gt;69,0,(LOOKUP('Annual Calculation'!C100+1,'Mortality Table'!$A$2:$A$108,'Mortality Table'!$O$2:$O$108)-LOOKUP('Annual Calculation'!C100+11,'Mortality Table'!$A$2:$A$108,'Mortality Table'!$O$2:$O$108))/LOOKUP('Annual Calculation'!C100,'Mortality Table'!$A$2:$A$108,'Mortality Table'!$M$2:$M$108)))</f>
        <v>0</v>
      </c>
      <c r="AI100" s="17">
        <f>IF(AND(Changes!Change="Yes",Changes!ValidityYear&lt;=Table1[[#This Row],[Year]],Changes!ChangeType="Paid-Up",OR(PaidUpOption="Paid-up with no coverage",PaidUpOption="Paid-up with main coverage")),0,IF(B100=0,0,IF(AND(Changes!Change="Yes", Changes!ValidityYear&lt;=Table1[[#This Row],[Year]], Changes!ChangeType="Rider Inclusion/Exclusion", Changes!RiderType="Dread Disease"), T100*Changes!NewChangedValue,IF(db!$D$11="Yes",(db!$B$11)*T100,0))))</f>
        <v>0</v>
      </c>
      <c r="AJ100" s="42">
        <f>ROUND(IF(C100&gt;59,0,IF(C100=0,0,IF(AI100&lt;=db!$L$5,AI100,db!$L$5))),0)</f>
        <v>0</v>
      </c>
      <c r="AK100" s="29">
        <f>IF(AND(Changes!Change="Yes",Changes!ValidityYear&lt;=Table1[[#This Row],[Year]],Changes!ChangeType="Paid-Up",OR(PaidUpOption="Paid-up with no coverage",PaidUpOption="Paid-up with main coverage")),0,IF(B100=0,0,IF(AND(Changes!Change="Yes", Changes!ValidityYear&lt;=Table1[[#This Row],[Year]], Changes!ChangeType="Rider Inclusion/Exclusion", Changes!RiderType="Cancer"), T100*Changes!NewChangedValue,IF(db!$D$12="Yes",(db!$B$12)*T100,0))))</f>
        <v>0</v>
      </c>
      <c r="AL100" s="29">
        <f>ROUND(IF(C100&gt;59,0,IF(C100=0,0,IF(AK100&lt;=db!$L$6,AK100,db!$L$6))),0)</f>
        <v>0</v>
      </c>
      <c r="AM100" s="32"/>
      <c r="AN100" s="18">
        <f>IF(B100=0,0,IF(C100&lt;(db!$E$2+5),LOOKUP(C100,'Mortality Table'!$A$2:$A$108,'Mortality Table'!$P$2:$P$108),IF((C100&gt;=db!$E$2+10),LOOKUP(C100,'Mortality Table'!$A$2:$A$108,'Mortality Table'!$R$2:$R$108),LOOKUP(C100,'Mortality Table'!$A$2:$A$108,'Mortality Table'!$Q$2:$Q$108))))</f>
        <v>0</v>
      </c>
      <c r="AO100" s="22">
        <f t="shared" si="53"/>
        <v>0</v>
      </c>
      <c r="AP100" s="19">
        <f>IF(B100=0,0, LOOKUP(IF(AND(Changes!Change="Yes", Changes!ValidityYear&lt;=Table1[[#This Row],[Year]], Changes!ChangeType="Change Job Class"),Changes!NewChangedValue, db!$A$8),db!$AX$4:$AX$8,db!$AY$4:$AY$8))</f>
        <v>0</v>
      </c>
      <c r="AQ100" s="20">
        <f>ROUND((AP100/1000)*W100 * (1-db!$AS$9),0)</f>
        <v>0</v>
      </c>
      <c r="AR100" s="20">
        <f>(AP100/1000)*W100 * db!$AS$9</f>
        <v>0</v>
      </c>
      <c r="AS100" s="21">
        <f>IF(B100=0,0, LOOKUP(IF(AND(Changes!Change="Yes", Changes!ValidityYear&lt;=Table1[[#This Row],[Year]], Changes!ChangeType="Change Job Class"),Changes!NewChangedValue, db!$A$8),db!$AX$4:$AX$8,db!$AZ$4:$AZ$8))</f>
        <v>0</v>
      </c>
      <c r="AT100" s="22">
        <f>(AS100/1000)*Y100*(1-db!$AS$9)</f>
        <v>0</v>
      </c>
      <c r="AU100" s="22">
        <f>(AS100/1000)*Y100*(db!$AS$9)</f>
        <v>0</v>
      </c>
      <c r="AV100" s="23">
        <f>IF(B100=0,0, LOOKUP(IF(AND(Changes!Change="Yes", Changes!ValidityYear&lt;=Table1[[#This Row],[Year]], Changes!ChangeType="Change Job Class"),Changes!NewChangedValue, db!$A$8),db!$AX$4:$AX$8,db!$BA$4:$BA$8))</f>
        <v>0</v>
      </c>
      <c r="AW100" s="20">
        <f>ROUND((AV100/(100))*AA100*(1-db!$AS$9),0)</f>
        <v>0</v>
      </c>
      <c r="AX100" s="20">
        <f>ROUND((AV100/(100))*AA100*(db!$AS$9),0)</f>
        <v>0</v>
      </c>
      <c r="AY100" s="21">
        <f>IF(db!$D$8="Yes",AS100,0)</f>
        <v>0</v>
      </c>
      <c r="AZ100" s="22">
        <f>(AY100*AF100)/1000*(1-db!$AS$9)</f>
        <v>0</v>
      </c>
      <c r="BA100" s="22">
        <f>(AY100*AF100)/1000*(db!$AS$9)</f>
        <v>0</v>
      </c>
      <c r="BB100" s="23">
        <f t="shared" si="54"/>
        <v>0</v>
      </c>
      <c r="BC100" s="20">
        <f>(BB100*AH100/1000)*(1-db!$AS$9)</f>
        <v>0</v>
      </c>
      <c r="BD100" s="20">
        <f>(BB100*AH100/1000)*(db!$AS$9)</f>
        <v>0</v>
      </c>
      <c r="BE100" s="22">
        <f>IF(B100=0,0,IF(C100&gt;60,0,LOOKUP(Table1[[#This Row],[Medical
Age]],db!$BC$3:$BC$63,db!$BD$3:$BD$63)))</f>
        <v>0</v>
      </c>
      <c r="BF100" s="22">
        <f>BG100*db!$AS$10</f>
        <v>0</v>
      </c>
      <c r="BG100" s="22">
        <f t="shared" si="55"/>
        <v>0</v>
      </c>
      <c r="BH100" s="22">
        <f>(BE100/1000000)*AJ100*(1-db!$AS$10)</f>
        <v>0</v>
      </c>
      <c r="BI100" s="20">
        <f>IF(B100=0,0,IF(C100&gt;59,0,LOOKUP(Table1[[#This Row],[Medical
Age]],db!$BC$3:$BC$63,db!$BE$3:$BE$63)))</f>
        <v>0</v>
      </c>
      <c r="BJ100" s="20">
        <f>(BI100/1000000)*AL100*(1-db!$AS$11)</f>
        <v>0</v>
      </c>
      <c r="BK100" s="20">
        <f>(BI100/1000000)*AL100*(db!$AS$11)</f>
        <v>0</v>
      </c>
      <c r="BL100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100" s="20">
        <f>Table1[[#This Row],[RiskLoading
Rate]]*Table1[[#This Row],[Death Capital (2)]]</f>
        <v>0</v>
      </c>
      <c r="BN100" s="36"/>
      <c r="BO100" s="37">
        <f t="shared" si="56"/>
        <v>0</v>
      </c>
      <c r="BP100" s="35">
        <f t="shared" si="57"/>
        <v>0</v>
      </c>
      <c r="BQ100" s="35">
        <f t="shared" si="58"/>
        <v>0</v>
      </c>
      <c r="BR100" s="37">
        <f t="shared" si="50"/>
        <v>0</v>
      </c>
      <c r="BS100" s="37">
        <f t="shared" si="41"/>
        <v>0</v>
      </c>
      <c r="BT100" s="35">
        <f t="shared" si="42"/>
        <v>0</v>
      </c>
      <c r="BU100" s="35">
        <f t="shared" si="43"/>
        <v>0</v>
      </c>
      <c r="BV100" s="37">
        <f>(db!$AS$4/100)*(L100-BT100-BU100)</f>
        <v>0</v>
      </c>
      <c r="BW100" s="37">
        <f>(db!$AS$8/100)*(L100-BT100-BU100)</f>
        <v>0</v>
      </c>
      <c r="BX100" s="35"/>
      <c r="BY100" s="37"/>
      <c r="BZ100" s="37"/>
      <c r="CA100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100" s="33"/>
      <c r="CC100" s="39">
        <f>ROUND((Table1[[#This Row],[Premium]]-Table1[[#This Row],[All Deductions]]),0)</f>
        <v>0</v>
      </c>
      <c r="CD100" s="39">
        <f>IF(B100=0,0,Table1[[#This Row],[Initial Reserve]]+CE99)</f>
        <v>0</v>
      </c>
      <c r="CE100" s="40">
        <f>ROUND(IF(B100=0,0,((CC100)*(1+db!Y102))+((CE99)*(1+db!U102))),0)</f>
        <v>0</v>
      </c>
      <c r="CF100" s="40">
        <f t="shared" si="48"/>
        <v>0</v>
      </c>
      <c r="CG100" s="15">
        <f t="shared" si="44"/>
        <v>99</v>
      </c>
      <c r="CH100" s="39">
        <f>IF(B100=0,0,((CC100)*(1+db!AH102))+((CH99)*(1+db!AD102)))</f>
        <v>0</v>
      </c>
      <c r="CI100" s="39">
        <f>IF(B100=0,0,((CC100)*(1+db!AH102))+((CI99)*(1+db!AD102)))</f>
        <v>0</v>
      </c>
      <c r="CJ100" s="40">
        <f>IF(B100=0,0,((CC100)*(1+db!AO102))+((CJ99)*(1+db!AK102)))</f>
        <v>0</v>
      </c>
      <c r="CK100" s="40">
        <f>CJ100-(SUM(BX$7:$BX101))</f>
        <v>0</v>
      </c>
    </row>
    <row r="101" spans="1:90">
      <c r="A101" s="24">
        <f t="shared" si="45"/>
        <v>100</v>
      </c>
      <c r="B101" s="16">
        <f>IF(AND(Changes!Change="Yes", Changes!ChangeType="Change Contract Duration"),IF(B100=0,0,IF(Changes!NewChangedValue&lt;B100+1,0,B100+1)),IF(B100=0,0,IF('Application Annually'!$C$5&lt;B100+1,0,B100+1)))</f>
        <v>0</v>
      </c>
      <c r="C101" s="15">
        <f t="shared" si="49"/>
        <v>0</v>
      </c>
      <c r="D101" s="312">
        <f t="shared" si="47"/>
        <v>127</v>
      </c>
      <c r="E101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101" s="29">
        <f t="shared" si="37"/>
        <v>0</v>
      </c>
      <c r="G101" s="29">
        <f t="shared" si="38"/>
        <v>0</v>
      </c>
      <c r="H101" s="29">
        <f t="shared" si="51"/>
        <v>0</v>
      </c>
      <c r="I101" s="29">
        <f>IF(B101&gt;0,IF(AND(Table1[[#This Row],[Year]]&gt;Changes!ValidityYear,Changes!Change="Yes",Changes!ChangeType="Change Value Adjustment"),Changes!$G$22,'Application Annually'!$C$11),0)</f>
        <v>0</v>
      </c>
      <c r="J101" s="29">
        <f>IF(B101&gt;0,IF(AND(Table1[[#This Row],[Year]]&gt;Changes!ValidityYear,Changes!Change="Yes",Changes!ChangeType="Change Value Adjustment"),Changes!$G$24,'Application Annually'!$C$7),0)</f>
        <v>0</v>
      </c>
      <c r="K101" s="29">
        <f>ROUND(IF(B101=0,0,IF(AND(Changes!Change="Yes", Changes!ValidityYear=Table1[[#This Row],[Year]], Changes!ChangeType="Change Premium"), Changes!NewChangedValue, (K100*(1+db!$B$3)))),0)</f>
        <v>0</v>
      </c>
      <c r="L101" s="29">
        <f>ROUND(IF(AND(Changes!Change="Yes",Changes!ValidityYear&lt;=Table1[[#This Row],[Year]],Changes!ChangeType="Paid-Up"),0,IF(B101=0,0,IF(AND(Changes!Change="Yes", Changes!ValidityYear=Table1[[#This Row],[Year]], Changes!ChangeType="Change Premium"), Changes!NewChangedValue, (L100*(1+Table1[[#This Row],[Adjustment Factor of Premium]]/100))))),0)</f>
        <v>0</v>
      </c>
      <c r="M101" s="29">
        <f>IF(Table1[[#This Row],[Year]]=1,ROUND(MIN($L$2 -( Table1[[#This Row],[Riders Risk Premiums]] + Table1[[#This Row],[Acquisition Cost]]) *0.75,Table1[[#This Row],[Death Capital (1)]]* 0.03),0),0)</f>
        <v>0</v>
      </c>
      <c r="N101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01" s="29">
        <f>ROUND(IF(ROW()-1&gt;InsurancePeriod,0,(O100*(1+(Table1[[#This Row],[Adjustment Factor of Premium]]/100)))),0)</f>
        <v>0</v>
      </c>
      <c r="P101" s="29">
        <f>IF(Table1[Year] = 0, 0, SUM(L$2:L101))</f>
        <v>0</v>
      </c>
      <c r="Q101" s="17">
        <f t="shared" si="52"/>
        <v>0</v>
      </c>
      <c r="R101" s="17">
        <f>IF(Table1[[#This Row],[Year]]=0,0,IF($C$2&lt;=50,LOOKUP(Table1[[#This Row],[Age]],db!BG102:BG208,db!BH102:BH208),LOOKUP(Table1[[#This Row],[Age]],db!BJ102:BJ208,db!BK102:BK208)))</f>
        <v>0</v>
      </c>
      <c r="S101" s="17">
        <f>IF(AND(Changes!Change="Yes",Changes!ValidityYear&lt;=Table1[[#This Row],[Year]],Changes!ChangeType="Paid-Up",PaidUpOption="Paid-up with no coverage"),0,IF(B101=0,0, IF(AND(Changes!Change="Yes", Changes!ValidityYear=Table1[[#This Row],[Year]], Changes!ChangeType="Change Death Capital"), Changes!NewChangedValue, S100*(1+(Table1[[#This Row],[Adjustment Factor of Death Capital]]/100)))))</f>
        <v>0</v>
      </c>
      <c r="T101" s="17">
        <f>MIN(IF(B101=0,0,Table1[[#This Row],[Death Capital (1)]]),Table1[[#This Row],[Max Sum Insured For Death]])</f>
        <v>0</v>
      </c>
      <c r="U101" s="29">
        <f t="shared" si="39"/>
        <v>0</v>
      </c>
      <c r="V101" s="29">
        <f>IF(AND(Changes!Change="Yes",Changes!ValidityYear&lt;=Table1[[#This Row],[Year]],Changes!ChangeType="Paid-Up",OR(PaidUpOption="Paid-up with no coverage",PaidUpOption="Paid-up with main coverage")),0,IF(B101=0,0,IF(AND(Changes!Change="Yes", Changes!ValidityYear&lt;=Table1[[#This Row],[Year]], Changes!ChangeType="Rider Inclusion/Exclusion", Changes!RiderType="Accident Death"), T101*Changes!NewChangedValue,IF(db!$D$6="Yes",(db!$B$6)*T101,0))))</f>
        <v>0</v>
      </c>
      <c r="W101" s="29">
        <f>MIN(IF(V101&lt;=db!$L$2,V101,db!$L$2),MAX_ACC_CAPITAL)</f>
        <v>0</v>
      </c>
      <c r="X101" s="17">
        <f>IF(AND(Changes!Change="Yes",Changes!ValidityYear&lt;=Table1[[#This Row],[Year]],Changes!ChangeType="Paid-Up",OR(PaidUpOption="Paid-up with no coverage",PaidUpOption="Paid-up with main coverage")),0,IF(OR(B101=0,Table1[[#This Row],[Accident Capital (2)]]=0),0,IF(AND(Changes!Change="Yes", Changes!ValidityYear&lt;=Table1[[#This Row],[Year]], Changes!ChangeType="Rider Inclusion/Exclusion", Changes!RiderType="Accident Disability"), T101*Changes!NewChangedValue,IF(db!$D$7="Yes",(db!$B$7)*T101,0))))</f>
        <v>0</v>
      </c>
      <c r="Y101" s="42">
        <f>IF(C101&gt;69,0,IF(C101=0,0,IF(X101&lt;=db!$L$3,X101,db!$L$3)))</f>
        <v>0</v>
      </c>
      <c r="Z101" s="29">
        <f>IF(AND(Changes!Change="Yes",Changes!ValidityYear&lt;=Table1[[#This Row],[Year]],Changes!ChangeType="Paid-Up",OR(PaidUpOption="Paid-up with no coverage",PaidUpOption="Paid-up with main coverage")),0,IF(OR(B101=0,Table1[[#This Row],[Accident Capital (2)]]=0),0,IF(AND(Changes!Change="Yes", Changes!ValidityYear&lt;=Table1[[#This Row],[Year]], Changes!ChangeType="Rider Inclusion/Exclusion", Changes!RiderType="Accident Medical Cost"), T101*Changes!NewChangedValue,IF(db!$D$9="Yes",(db!$B$9)*T101,0))))</f>
        <v>0</v>
      </c>
      <c r="AA101" s="29">
        <f>ROUND(IF(C101&gt;69,0,IF(C101=0,0,IF(Z101&lt;=db!$L$4,Z101,db!$L$4))),0)</f>
        <v>0</v>
      </c>
      <c r="AB101" s="38">
        <f>IF(AND(Changes!Change = "Yes", Changes!ChangeType = "Rider Inclusion/Exclusion", Changes!RiderType = "WOP"), IF( Changes!ValidityYear &lt;= Table1[[#This Row],[Year]], IF(WOP = "Yes", 0, 1),  IF(WOP = "Yes", 1, 0)), IF(AND(db!$D$8="Yes",C101&lt;=69,ROW()-1&lt;=InsurancePeriod), 1, 0))</f>
        <v>0</v>
      </c>
      <c r="AC101" s="17">
        <f>(AC102+K102)*AB101*((1)/(1+db!AA103))*(LOOKUP(C101,'Mortality Table'!$A$2:$A$108,'Mortality Table'!$E$2:$E$108))</f>
        <v>0</v>
      </c>
      <c r="AD101" s="340">
        <f>IF(AND(Changes!ValidityYear&lt;= Table1[[#This Row],[Year]],Changes!ChangeType="Change Value Adjustment",Changes!Change="Yes"), (AD102+L102)*AB101*((1)/(1+db!AA103))*(LOOKUP(C101,'Mortality Table'!$A$2:$A$108,'Mortality Table'!$E$2:$E$108)),Table1[[#This Row],[WOP Before Adj. BT]])</f>
        <v>0</v>
      </c>
      <c r="AE101" s="341">
        <f>IF(AND(Changes!Change="Yes", Changes!ChangeType="Change Value Adjustment"),Table1[[#This Row],[WOP Capital]],(AE102+O102)*AB101*((1)/(1+db!AA103))*(LOOKUP(D101,'Mortality Table'!$A$2:$A$108,'Mortality Table'!$E$2:$E$108)))</f>
        <v>0</v>
      </c>
      <c r="AF101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101" s="42">
        <f>IF(AND(Changes!Change="Yes", Changes!ValidityYear&lt;=Table1[[#This Row],[Year]], Changes!ChangeType="Rider Inclusion/Exclusion", Changes!RiderType="Disability Annuity"), L101*Changes!NewChangedValue,L101*db!B$10*IF(db!$D$10="Yes",1,0))</f>
        <v>0</v>
      </c>
      <c r="AH101" s="29">
        <f>IF(AND(Changes!Change="Yes",Changes!ValidityYear&lt;=Table1[[#This Row],[Year]],Changes!ChangeType="Paid-Up"),0,Table1[[#This Row],[Code Annuity Capital]]*IF('Annual Calculation'!C101&gt;69,0,(LOOKUP('Annual Calculation'!C101+1,'Mortality Table'!$A$2:$A$108,'Mortality Table'!$O$2:$O$108)-LOOKUP('Annual Calculation'!C101+11,'Mortality Table'!$A$2:$A$108,'Mortality Table'!$O$2:$O$108))/LOOKUP('Annual Calculation'!C101,'Mortality Table'!$A$2:$A$108,'Mortality Table'!$M$2:$M$108)))</f>
        <v>0</v>
      </c>
      <c r="AI101" s="17">
        <f>IF(AND(Changes!Change="Yes",Changes!ValidityYear&lt;=Table1[[#This Row],[Year]],Changes!ChangeType="Paid-Up",OR(PaidUpOption="Paid-up with no coverage",PaidUpOption="Paid-up with main coverage")),0,IF(B101=0,0,IF(AND(Changes!Change="Yes", Changes!ValidityYear&lt;=Table1[[#This Row],[Year]], Changes!ChangeType="Rider Inclusion/Exclusion", Changes!RiderType="Dread Disease"), T101*Changes!NewChangedValue,IF(db!$D$11="Yes",(db!$B$11)*T101,0))))</f>
        <v>0</v>
      </c>
      <c r="AJ101" s="42">
        <f>ROUND(IF(C101&gt;59,0,IF(C101=0,0,IF(AI101&lt;=db!$L$5,AI101,db!$L$5))),0)</f>
        <v>0</v>
      </c>
      <c r="AK101" s="29">
        <f>IF(AND(Changes!Change="Yes",Changes!ValidityYear&lt;=Table1[[#This Row],[Year]],Changes!ChangeType="Paid-Up",OR(PaidUpOption="Paid-up with no coverage",PaidUpOption="Paid-up with main coverage")),0,IF(B101=0,0,IF(AND(Changes!Change="Yes", Changes!ValidityYear&lt;=Table1[[#This Row],[Year]], Changes!ChangeType="Rider Inclusion/Exclusion", Changes!RiderType="Cancer"), T101*Changes!NewChangedValue,IF(db!$D$12="Yes",(db!$B$12)*T101,0))))</f>
        <v>0</v>
      </c>
      <c r="AL101" s="29">
        <f>ROUND(IF(C101&gt;59,0,IF(C101=0,0,IF(AK101&lt;=db!$L$6,AK101,db!$L$6))),0)</f>
        <v>0</v>
      </c>
      <c r="AM101" s="32"/>
      <c r="AN101" s="18">
        <f>IF(B101=0,0,IF(C101&lt;(db!$E$2+5),LOOKUP(C101,'Mortality Table'!$A$2:$A$108,'Mortality Table'!$P$2:$P$108),IF((C101&gt;=db!$E$2+10),LOOKUP(C101,'Mortality Table'!$A$2:$A$108,'Mortality Table'!$R$2:$R$108),LOOKUP(C101,'Mortality Table'!$A$2:$A$108,'Mortality Table'!$Q$2:$Q$108))))</f>
        <v>0</v>
      </c>
      <c r="AO101" s="22">
        <f t="shared" si="53"/>
        <v>0</v>
      </c>
      <c r="AP101" s="19">
        <f>IF(B101=0,0, LOOKUP(IF(AND(Changes!Change="Yes", Changes!ValidityYear&lt;=Table1[[#This Row],[Year]], Changes!ChangeType="Change Job Class"),Changes!NewChangedValue, db!$A$8),db!$AX$4:$AX$8,db!$AY$4:$AY$8))</f>
        <v>0</v>
      </c>
      <c r="AQ101" s="20">
        <f>ROUND((AP101/1000)*W101 * (1-db!$AS$9),0)</f>
        <v>0</v>
      </c>
      <c r="AR101" s="20">
        <f>(AP101/1000)*W101 * db!$AS$9</f>
        <v>0</v>
      </c>
      <c r="AS101" s="21">
        <f>IF(B101=0,0, LOOKUP(IF(AND(Changes!Change="Yes", Changes!ValidityYear&lt;=Table1[[#This Row],[Year]], Changes!ChangeType="Change Job Class"),Changes!NewChangedValue, db!$A$8),db!$AX$4:$AX$8,db!$AZ$4:$AZ$8))</f>
        <v>0</v>
      </c>
      <c r="AT101" s="22">
        <f>(AS101/1000)*Y101*(1-db!$AS$9)</f>
        <v>0</v>
      </c>
      <c r="AU101" s="22">
        <f>(AS101/1000)*Y101*(db!$AS$9)</f>
        <v>0</v>
      </c>
      <c r="AV101" s="23">
        <f>IF(B101=0,0, LOOKUP(IF(AND(Changes!Change="Yes", Changes!ValidityYear&lt;=Table1[[#This Row],[Year]], Changes!ChangeType="Change Job Class"),Changes!NewChangedValue, db!$A$8),db!$AX$4:$AX$8,db!$BA$4:$BA$8))</f>
        <v>0</v>
      </c>
      <c r="AW101" s="20">
        <f>ROUND((AV101/(100))*AA101*(1-db!$AS$9),0)</f>
        <v>0</v>
      </c>
      <c r="AX101" s="20">
        <f>ROUND((AV101/(100))*AA101*(db!$AS$9),0)</f>
        <v>0</v>
      </c>
      <c r="AY101" s="21">
        <f>IF(db!$D$8="Yes",AS101,0)</f>
        <v>0</v>
      </c>
      <c r="AZ101" s="22">
        <f>(AY101*AF101)/1000*(1-db!$AS$9)</f>
        <v>0</v>
      </c>
      <c r="BA101" s="22">
        <f>(AY101*AF101)/1000*(db!$AS$9)</f>
        <v>0</v>
      </c>
      <c r="BB101" s="23">
        <f t="shared" si="54"/>
        <v>0</v>
      </c>
      <c r="BC101" s="20">
        <f>(BB101*AH101/1000)*(1-db!$AS$9)</f>
        <v>0</v>
      </c>
      <c r="BD101" s="20">
        <f>(BB101*AH101/1000)*(db!$AS$9)</f>
        <v>0</v>
      </c>
      <c r="BE101" s="22">
        <f>IF(B101=0,0,IF(C101&gt;60,0,LOOKUP(Table1[[#This Row],[Medical
Age]],db!$BC$3:$BC$63,db!$BD$3:$BD$63)))</f>
        <v>0</v>
      </c>
      <c r="BF101" s="22">
        <f>BG101*db!$AS$10</f>
        <v>0</v>
      </c>
      <c r="BG101" s="22">
        <f t="shared" si="55"/>
        <v>0</v>
      </c>
      <c r="BH101" s="22">
        <f>(BE101/1000000)*AJ101*(1-db!$AS$10)</f>
        <v>0</v>
      </c>
      <c r="BI101" s="20">
        <f>IF(B101=0,0,IF(C101&gt;59,0,LOOKUP(Table1[[#This Row],[Medical
Age]],db!$BC$3:$BC$63,db!$BE$3:$BE$63)))</f>
        <v>0</v>
      </c>
      <c r="BJ101" s="20">
        <f>(BI101/1000000)*AL101*(1-db!$AS$11)</f>
        <v>0</v>
      </c>
      <c r="BK101" s="20">
        <f>(BI101/1000000)*AL101*(db!$AS$11)</f>
        <v>0</v>
      </c>
      <c r="BL101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101" s="20">
        <f>Table1[[#This Row],[RiskLoading
Rate]]*Table1[[#This Row],[Death Capital (2)]]</f>
        <v>0</v>
      </c>
      <c r="BN101" s="36"/>
      <c r="BO101" s="37">
        <f t="shared" si="56"/>
        <v>0</v>
      </c>
      <c r="BP101" s="35">
        <f t="shared" si="57"/>
        <v>0</v>
      </c>
      <c r="BQ101" s="35">
        <f t="shared" si="58"/>
        <v>0</v>
      </c>
      <c r="BR101" s="37">
        <f t="shared" si="50"/>
        <v>0</v>
      </c>
      <c r="BS101" s="37">
        <f t="shared" si="41"/>
        <v>0</v>
      </c>
      <c r="BT101" s="35">
        <f t="shared" si="42"/>
        <v>0</v>
      </c>
      <c r="BU101" s="35">
        <f t="shared" si="43"/>
        <v>0</v>
      </c>
      <c r="BV101" s="37">
        <f>(db!$AS$4/100)*(L101-BT101-BU101)</f>
        <v>0</v>
      </c>
      <c r="BW101" s="37">
        <f>(db!$AS$8/100)*(L101-BT101-BU101)</f>
        <v>0</v>
      </c>
      <c r="BX101" s="35"/>
      <c r="BY101" s="37"/>
      <c r="BZ101" s="37"/>
      <c r="CA101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101" s="33"/>
      <c r="CC101" s="39">
        <f>ROUND((Table1[[#This Row],[Premium]]-Table1[[#This Row],[All Deductions]]),0)</f>
        <v>0</v>
      </c>
      <c r="CD101" s="39">
        <f>IF(B101=0,0,Table1[[#This Row],[Initial Reserve]]+CE100)</f>
        <v>0</v>
      </c>
      <c r="CE101" s="40">
        <f>ROUND(IF(B101=0,0,((CC101)*(1+db!Y103))+((CE100)*(1+db!U103))),0)</f>
        <v>0</v>
      </c>
      <c r="CF101" s="40">
        <f t="shared" si="48"/>
        <v>0</v>
      </c>
      <c r="CG101" s="15">
        <f t="shared" si="44"/>
        <v>100</v>
      </c>
      <c r="CH101" s="39">
        <f>IF(B101=0,0,((CC101)*(1+db!AH103))+((CH100)*(1+db!AD103)))</f>
        <v>0</v>
      </c>
      <c r="CI101" s="39">
        <f>IF(B101=0,0,((CC101)*(1+db!AH103))+((CI100)*(1+db!AD103)))</f>
        <v>0</v>
      </c>
      <c r="CJ101" s="40">
        <f>IF(B101=0,0,((CC101)*(1+db!AO103))+((CJ100)*(1+db!AK103)))</f>
        <v>0</v>
      </c>
      <c r="CK101" s="40">
        <f>CJ101-(SUM(BX$7:$BX102))</f>
        <v>0</v>
      </c>
    </row>
    <row r="102" spans="1:90">
      <c r="A102" s="24">
        <f t="shared" si="45"/>
        <v>101</v>
      </c>
      <c r="B102" s="16">
        <f>IF(AND(Changes!Change="Yes", Changes!ChangeType="Change Contract Duration"),IF(B101=0,0,IF(Changes!NewChangedValue&lt;B101+1,0,B101+1)),IF(B101=0,0,IF('Application Annually'!$C$5&lt;B101+1,0,B101+1)))</f>
        <v>0</v>
      </c>
      <c r="C102" s="15">
        <f t="shared" si="49"/>
        <v>0</v>
      </c>
      <c r="D102" s="312">
        <f t="shared" si="47"/>
        <v>128</v>
      </c>
      <c r="E102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102" s="29">
        <f t="shared" si="37"/>
        <v>0</v>
      </c>
      <c r="G102" s="29">
        <f t="shared" si="38"/>
        <v>0</v>
      </c>
      <c r="H102" s="29">
        <f t="shared" si="51"/>
        <v>0</v>
      </c>
      <c r="I102" s="29">
        <f>IF(B102&gt;0,IF(AND(Table1[[#This Row],[Year]]&gt;Changes!ValidityYear,Changes!Change="Yes",Changes!ChangeType="Change Value Adjustment"),Changes!$G$22,'Application Annually'!$C$11),0)</f>
        <v>0</v>
      </c>
      <c r="J102" s="29">
        <f>IF(B102&gt;0,IF(AND(Table1[[#This Row],[Year]]&gt;Changes!ValidityYear,Changes!Change="Yes",Changes!ChangeType="Change Value Adjustment"),Changes!$G$24,'Application Annually'!$C$7),0)</f>
        <v>0</v>
      </c>
      <c r="K102" s="29">
        <f>ROUND(IF(B102=0,0,IF(AND(Changes!Change="Yes", Changes!ValidityYear=Table1[[#This Row],[Year]], Changes!ChangeType="Change Premium"), Changes!NewChangedValue, (K101*(1+db!$B$3)))),0)</f>
        <v>0</v>
      </c>
      <c r="L102" s="29">
        <f>ROUND(IF(AND(Changes!Change="Yes",Changes!ValidityYear&lt;=Table1[[#This Row],[Year]],Changes!ChangeType="Paid-Up"),0,IF(B102=0,0,IF(AND(Changes!Change="Yes", Changes!ValidityYear=Table1[[#This Row],[Year]], Changes!ChangeType="Change Premium"), Changes!NewChangedValue, (L101*(1+Table1[[#This Row],[Adjustment Factor of Premium]]/100))))),0)</f>
        <v>0</v>
      </c>
      <c r="M102" s="29">
        <f>IF(Table1[[#This Row],[Year]]=1,ROUND(MIN($L$2 -( Table1[[#This Row],[Riders Risk Premiums]] + Table1[[#This Row],[Acquisition Cost]]) *0.75,Table1[[#This Row],[Death Capital (1)]]* 0.03),0),0)</f>
        <v>0</v>
      </c>
      <c r="N102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02" s="29">
        <f>ROUND(IF(ROW()-1&gt;InsurancePeriod,0,(O101*(1+(Table1[[#This Row],[Adjustment Factor of Premium]]/100)))),0)</f>
        <v>0</v>
      </c>
      <c r="P102" s="29">
        <f>IF(Table1[Year] = 0, 0, SUM(L$2:L102))</f>
        <v>0</v>
      </c>
      <c r="Q102" s="17">
        <f t="shared" si="52"/>
        <v>0</v>
      </c>
      <c r="R102" s="17">
        <f>IF(Table1[[#This Row],[Year]]=0,0,IF($C$2&lt;=50,LOOKUP(Table1[[#This Row],[Age]],db!BG103:BG209,db!BH103:BH209),LOOKUP(Table1[[#This Row],[Age]],db!BJ103:BJ209,db!BK103:BK209)))</f>
        <v>0</v>
      </c>
      <c r="S102" s="17">
        <f>IF(AND(Changes!Change="Yes",Changes!ValidityYear&lt;=Table1[[#This Row],[Year]],Changes!ChangeType="Paid-Up",PaidUpOption="Paid-up with no coverage"),0,IF(B102=0,0, IF(AND(Changes!Change="Yes", Changes!ValidityYear=Table1[[#This Row],[Year]], Changes!ChangeType="Change Death Capital"), Changes!NewChangedValue, S101*(1+(Table1[[#This Row],[Adjustment Factor of Death Capital]]/100)))))</f>
        <v>0</v>
      </c>
      <c r="T102" s="17">
        <f>MIN(IF(B102=0,0,Table1[[#This Row],[Death Capital (1)]]),Table1[[#This Row],[Max Sum Insured For Death]])</f>
        <v>0</v>
      </c>
      <c r="U102" s="29">
        <f t="shared" si="39"/>
        <v>0</v>
      </c>
      <c r="V102" s="29">
        <f>IF(AND(Changes!Change="Yes",Changes!ValidityYear&lt;=Table1[[#This Row],[Year]],Changes!ChangeType="Paid-Up",OR(PaidUpOption="Paid-up with no coverage",PaidUpOption="Paid-up with main coverage")),0,IF(B102=0,0,IF(AND(Changes!Change="Yes", Changes!ValidityYear&lt;=Table1[[#This Row],[Year]], Changes!ChangeType="Rider Inclusion/Exclusion", Changes!RiderType="Accident Death"), T102*Changes!NewChangedValue,IF(db!$D$6="Yes",(db!$B$6)*T102,0))))</f>
        <v>0</v>
      </c>
      <c r="W102" s="29">
        <f>MIN(IF(V102&lt;=db!$L$2,V102,db!$L$2),MAX_ACC_CAPITAL)</f>
        <v>0</v>
      </c>
      <c r="X102" s="17">
        <f>IF(AND(Changes!Change="Yes",Changes!ValidityYear&lt;=Table1[[#This Row],[Year]],Changes!ChangeType="Paid-Up",OR(PaidUpOption="Paid-up with no coverage",PaidUpOption="Paid-up with main coverage")),0,IF(OR(B102=0,Table1[[#This Row],[Accident Capital (2)]]=0),0,IF(AND(Changes!Change="Yes", Changes!ValidityYear&lt;=Table1[[#This Row],[Year]], Changes!ChangeType="Rider Inclusion/Exclusion", Changes!RiderType="Accident Disability"), T102*Changes!NewChangedValue,IF(db!$D$7="Yes",(db!$B$7)*T102,0))))</f>
        <v>0</v>
      </c>
      <c r="Y102" s="42">
        <f>IF(C102&gt;69,0,IF(C102=0,0,IF(X102&lt;=db!$L$3,X102,db!$L$3)))</f>
        <v>0</v>
      </c>
      <c r="Z102" s="29">
        <f>IF(AND(Changes!Change="Yes",Changes!ValidityYear&lt;=Table1[[#This Row],[Year]],Changes!ChangeType="Paid-Up",OR(PaidUpOption="Paid-up with no coverage",PaidUpOption="Paid-up with main coverage")),0,IF(OR(B102=0,Table1[[#This Row],[Accident Capital (2)]]=0),0,IF(AND(Changes!Change="Yes", Changes!ValidityYear&lt;=Table1[[#This Row],[Year]], Changes!ChangeType="Rider Inclusion/Exclusion", Changes!RiderType="Accident Medical Cost"), T102*Changes!NewChangedValue,IF(db!$D$9="Yes",(db!$B$9)*T102,0))))</f>
        <v>0</v>
      </c>
      <c r="AA102" s="29">
        <f>ROUND(IF(C102&gt;69,0,IF(C102=0,0,IF(Z102&lt;=db!$L$4,Z102,db!$L$4))),0)</f>
        <v>0</v>
      </c>
      <c r="AB102" s="38">
        <f>IF(AND(Changes!Change = "Yes", Changes!ChangeType = "Rider Inclusion/Exclusion", Changes!RiderType = "WOP"), IF( Changes!ValidityYear &lt;= Table1[[#This Row],[Year]], IF(WOP = "Yes", 0, 1),  IF(WOP = "Yes", 1, 0)), IF(AND(db!$D$8="Yes",C102&lt;=69,ROW()-1&lt;=InsurancePeriod), 1, 0))</f>
        <v>0</v>
      </c>
      <c r="AC102" s="17">
        <f>(AC103+K103)*AB102*((1)/(1+db!AA104))*(LOOKUP(C102,'Mortality Table'!$A$2:$A$108,'Mortality Table'!$E$2:$E$108))</f>
        <v>0</v>
      </c>
      <c r="AD102" s="340">
        <f>IF(AND(Changes!ValidityYear&lt;= Table1[[#This Row],[Year]],Changes!ChangeType="Change Value Adjustment",Changes!Change="Yes"), (AD103+L103)*AB102*((1)/(1+db!AA104))*(LOOKUP(C102,'Mortality Table'!$A$2:$A$108,'Mortality Table'!$E$2:$E$108)),Table1[[#This Row],[WOP Before Adj. BT]])</f>
        <v>0</v>
      </c>
      <c r="AE102" s="341">
        <f>IF(AND(Changes!Change="Yes", Changes!ChangeType="Change Value Adjustment"),Table1[[#This Row],[WOP Capital]],(AE103+O103)*AB102*((1)/(1+db!AA104))*(LOOKUP(D102,'Mortality Table'!$A$2:$A$108,'Mortality Table'!$E$2:$E$108)))</f>
        <v>0</v>
      </c>
      <c r="AF102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102" s="42">
        <f>IF(AND(Changes!Change="Yes", Changes!ValidityYear&lt;=Table1[[#This Row],[Year]], Changes!ChangeType="Rider Inclusion/Exclusion", Changes!RiderType="Disability Annuity"), L102*Changes!NewChangedValue,L102*db!B$10*IF(db!$D$10="Yes",1,0))</f>
        <v>0</v>
      </c>
      <c r="AH102" s="29">
        <f>IF(AND(Changes!Change="Yes",Changes!ValidityYear&lt;=Table1[[#This Row],[Year]],Changes!ChangeType="Paid-Up"),0,Table1[[#This Row],[Code Annuity Capital]]*IF('Annual Calculation'!C102&gt;69,0,(LOOKUP('Annual Calculation'!C102+1,'Mortality Table'!$A$2:$A$108,'Mortality Table'!$O$2:$O$108)-LOOKUP('Annual Calculation'!C102+11,'Mortality Table'!$A$2:$A$108,'Mortality Table'!$O$2:$O$108))/LOOKUP('Annual Calculation'!C102,'Mortality Table'!$A$2:$A$108,'Mortality Table'!$M$2:$M$108)))</f>
        <v>0</v>
      </c>
      <c r="AI102" s="17">
        <f>IF(AND(Changes!Change="Yes",Changes!ValidityYear&lt;=Table1[[#This Row],[Year]],Changes!ChangeType="Paid-Up",OR(PaidUpOption="Paid-up with no coverage",PaidUpOption="Paid-up with main coverage")),0,IF(B102=0,0,IF(AND(Changes!Change="Yes", Changes!ValidityYear&lt;=Table1[[#This Row],[Year]], Changes!ChangeType="Rider Inclusion/Exclusion", Changes!RiderType="Dread Disease"), T102*Changes!NewChangedValue,IF(db!$D$11="Yes",(db!$B$11)*T102,0))))</f>
        <v>0</v>
      </c>
      <c r="AJ102" s="42">
        <f>ROUND(IF(C102&gt;59,0,IF(C102=0,0,IF(AI102&lt;=db!$L$5,AI102,db!$L$5))),0)</f>
        <v>0</v>
      </c>
      <c r="AK102" s="29">
        <f>IF(AND(Changes!Change="Yes",Changes!ValidityYear&lt;=Table1[[#This Row],[Year]],Changes!ChangeType="Paid-Up",OR(PaidUpOption="Paid-up with no coverage",PaidUpOption="Paid-up with main coverage")),0,IF(B102=0,0,IF(AND(Changes!Change="Yes", Changes!ValidityYear&lt;=Table1[[#This Row],[Year]], Changes!ChangeType="Rider Inclusion/Exclusion", Changes!RiderType="Cancer"), T102*Changes!NewChangedValue,IF(db!$D$12="Yes",(db!$B$12)*T102,0))))</f>
        <v>0</v>
      </c>
      <c r="AL102" s="29">
        <f>ROUND(IF(C102&gt;59,0,IF(C102=0,0,IF(AK102&lt;=db!$L$6,AK102,db!$L$6))),0)</f>
        <v>0</v>
      </c>
      <c r="AM102" s="32"/>
      <c r="AN102" s="18">
        <f>IF(B102=0,0,IF(C102&lt;(db!$E$2+5),LOOKUP(C102,'Mortality Table'!$A$2:$A$108,'Mortality Table'!$P$2:$P$108),IF((C102&gt;=db!$E$2+10),LOOKUP(C102,'Mortality Table'!$A$2:$A$108,'Mortality Table'!$R$2:$R$108),LOOKUP(C102,'Mortality Table'!$A$2:$A$108,'Mortality Table'!$Q$2:$Q$108))))</f>
        <v>0</v>
      </c>
      <c r="AO102" s="22">
        <f t="shared" si="53"/>
        <v>0</v>
      </c>
      <c r="AP102" s="19">
        <f>IF(B102=0,0, LOOKUP(IF(AND(Changes!Change="Yes", Changes!ValidityYear&lt;=Table1[[#This Row],[Year]], Changes!ChangeType="Change Job Class"),Changes!NewChangedValue, db!$A$8),db!$AX$4:$AX$8,db!$AY$4:$AY$8))</f>
        <v>0</v>
      </c>
      <c r="AQ102" s="20">
        <f>ROUND((AP102/1000)*W102 * (1-db!$AS$9),0)</f>
        <v>0</v>
      </c>
      <c r="AR102" s="20">
        <f>(AP102/1000)*W102 * db!$AS$9</f>
        <v>0</v>
      </c>
      <c r="AS102" s="21">
        <f>IF(B102=0,0, LOOKUP(IF(AND(Changes!Change="Yes", Changes!ValidityYear&lt;=Table1[[#This Row],[Year]], Changes!ChangeType="Change Job Class"),Changes!NewChangedValue, db!$A$8),db!$AX$4:$AX$8,db!$AZ$4:$AZ$8))</f>
        <v>0</v>
      </c>
      <c r="AT102" s="22">
        <f>(AS102/1000)*Y102*(1-db!$AS$9)</f>
        <v>0</v>
      </c>
      <c r="AU102" s="22">
        <f>(AS102/1000)*Y102*(db!$AS$9)</f>
        <v>0</v>
      </c>
      <c r="AV102" s="23">
        <f>IF(B102=0,0, LOOKUP(IF(AND(Changes!Change="Yes", Changes!ValidityYear&lt;=Table1[[#This Row],[Year]], Changes!ChangeType="Change Job Class"),Changes!NewChangedValue, db!$A$8),db!$AX$4:$AX$8,db!$BA$4:$BA$8))</f>
        <v>0</v>
      </c>
      <c r="AW102" s="20">
        <f>ROUND((AV102/(100))*AA102*(1-db!$AS$9),0)</f>
        <v>0</v>
      </c>
      <c r="AX102" s="20">
        <f>ROUND((AV102/(100))*AA102*(db!$AS$9),0)</f>
        <v>0</v>
      </c>
      <c r="AY102" s="21">
        <f>IF(db!$D$8="Yes",AS102,0)</f>
        <v>0</v>
      </c>
      <c r="AZ102" s="22">
        <f>(AY102*AF102)/1000*(1-db!$AS$9)</f>
        <v>0</v>
      </c>
      <c r="BA102" s="22">
        <f>(AY102*AF102)/1000*(db!$AS$9)</f>
        <v>0</v>
      </c>
      <c r="BB102" s="23">
        <f t="shared" si="54"/>
        <v>0</v>
      </c>
      <c r="BC102" s="20">
        <f>(BB102*AH102/1000)*(1-db!$AS$9)</f>
        <v>0</v>
      </c>
      <c r="BD102" s="20">
        <f>(BB102*AH102/1000)*(db!$AS$9)</f>
        <v>0</v>
      </c>
      <c r="BE102" s="22">
        <f>IF(B102=0,0,IF(C102&gt;60,0,LOOKUP(Table1[[#This Row],[Medical
Age]],db!$BC$3:$BC$63,db!$BD$3:$BD$63)))</f>
        <v>0</v>
      </c>
      <c r="BF102" s="22">
        <f>BG102*db!$AS$10</f>
        <v>0</v>
      </c>
      <c r="BG102" s="22">
        <f t="shared" si="55"/>
        <v>0</v>
      </c>
      <c r="BH102" s="22">
        <f>(BE102/1000000)*AJ102*(1-db!$AS$10)</f>
        <v>0</v>
      </c>
      <c r="BI102" s="20">
        <f>IF(B102=0,0,IF(C102&gt;59,0,LOOKUP(Table1[[#This Row],[Medical
Age]],db!$BC$3:$BC$63,db!$BE$3:$BE$63)))</f>
        <v>0</v>
      </c>
      <c r="BJ102" s="20">
        <f>(BI102/1000000)*AL102*(1-db!$AS$11)</f>
        <v>0</v>
      </c>
      <c r="BK102" s="20">
        <f>(BI102/1000000)*AL102*(db!$AS$11)</f>
        <v>0</v>
      </c>
      <c r="BL102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102" s="20">
        <f>Table1[[#This Row],[RiskLoading
Rate]]*Table1[[#This Row],[Death Capital (2)]]</f>
        <v>0</v>
      </c>
      <c r="BN102" s="36"/>
      <c r="BO102" s="37">
        <f t="shared" si="56"/>
        <v>0</v>
      </c>
      <c r="BP102" s="35">
        <f t="shared" si="57"/>
        <v>0</v>
      </c>
      <c r="BQ102" s="35">
        <f t="shared" si="58"/>
        <v>0</v>
      </c>
      <c r="BR102" s="37">
        <f t="shared" si="50"/>
        <v>0</v>
      </c>
      <c r="BS102" s="37">
        <f t="shared" si="41"/>
        <v>0</v>
      </c>
      <c r="BT102" s="35">
        <f t="shared" si="42"/>
        <v>0</v>
      </c>
      <c r="BU102" s="35">
        <f t="shared" si="43"/>
        <v>0</v>
      </c>
      <c r="BV102" s="37">
        <f>(db!$AS$4/100)*(L102-BT102-BU102)</f>
        <v>0</v>
      </c>
      <c r="BW102" s="37">
        <f>(db!$AS$8/100)*(L102-BT102-BU102)</f>
        <v>0</v>
      </c>
      <c r="BX102" s="35"/>
      <c r="BY102" s="37"/>
      <c r="BZ102" s="37"/>
      <c r="CA102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102" s="33"/>
      <c r="CC102" s="39">
        <f>ROUND((Table1[[#This Row],[Premium]]-Table1[[#This Row],[All Deductions]]),0)</f>
        <v>0</v>
      </c>
      <c r="CD102" s="39">
        <f>IF(B102=0,0,Table1[[#This Row],[Initial Reserve]]+CE101)</f>
        <v>0</v>
      </c>
      <c r="CE102" s="40">
        <f>ROUND(IF(B102=0,0,((CC102)*(1+db!Y104))+((CE101)*(1+db!U104))),0)</f>
        <v>0</v>
      </c>
      <c r="CF102" s="40">
        <f t="shared" si="48"/>
        <v>0</v>
      </c>
      <c r="CG102" s="15">
        <f t="shared" si="44"/>
        <v>101</v>
      </c>
      <c r="CH102" s="39">
        <f>IF(B102=0,0,((CC102)*(1+db!AH104))+((CH101)*(1+db!AD104)))</f>
        <v>0</v>
      </c>
      <c r="CI102" s="39">
        <f>IF(B102=0,0,((CC102)*(1+db!AH104))+((CI101)*(1+db!AD104)))</f>
        <v>0</v>
      </c>
      <c r="CJ102" s="40">
        <f>IF(B102=0,0,((CC102)*(1+db!AO104))+((CJ101)*(1+db!AK104)))</f>
        <v>0</v>
      </c>
      <c r="CK102" s="40">
        <f>CJ102-(SUM(BX$7:$BX103))</f>
        <v>0</v>
      </c>
    </row>
    <row r="103" spans="1:90">
      <c r="A103" s="24">
        <f t="shared" si="45"/>
        <v>102</v>
      </c>
      <c r="B103" s="16">
        <f>IF(AND(Changes!Change="Yes", Changes!ChangeType="Change Contract Duration"),IF(B102=0,0,IF(Changes!NewChangedValue&lt;B102+1,0,B102+1)),IF(B102=0,0,IF('Application Annually'!$C$5&lt;B102+1,0,B102+1)))</f>
        <v>0</v>
      </c>
      <c r="C103" s="15">
        <f t="shared" si="49"/>
        <v>0</v>
      </c>
      <c r="D103" s="312">
        <f t="shared" si="47"/>
        <v>129</v>
      </c>
      <c r="E103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103" s="29">
        <f t="shared" si="37"/>
        <v>0</v>
      </c>
      <c r="G103" s="29">
        <f t="shared" si="38"/>
        <v>0</v>
      </c>
      <c r="H103" s="29">
        <f t="shared" si="51"/>
        <v>0</v>
      </c>
      <c r="I103" s="29">
        <f>IF(B103&gt;0,IF(AND(Table1[[#This Row],[Year]]&gt;Changes!ValidityYear,Changes!Change="Yes",Changes!ChangeType="Change Value Adjustment"),Changes!$G$22,'Application Annually'!$C$11),0)</f>
        <v>0</v>
      </c>
      <c r="J103" s="29">
        <f>IF(B103&gt;0,IF(AND(Table1[[#This Row],[Year]]&gt;Changes!ValidityYear,Changes!Change="Yes",Changes!ChangeType="Change Value Adjustment"),Changes!$G$24,'Application Annually'!$C$7),0)</f>
        <v>0</v>
      </c>
      <c r="K103" s="29">
        <f>ROUND(IF(B103=0,0,IF(AND(Changes!Change="Yes", Changes!ValidityYear=Table1[[#This Row],[Year]], Changes!ChangeType="Change Premium"), Changes!NewChangedValue, (K102*(1+db!$B$3)))),0)</f>
        <v>0</v>
      </c>
      <c r="L103" s="29">
        <f>ROUND(IF(AND(Changes!Change="Yes",Changes!ValidityYear&lt;=Table1[[#This Row],[Year]],Changes!ChangeType="Paid-Up"),0,IF(B103=0,0,IF(AND(Changes!Change="Yes", Changes!ValidityYear=Table1[[#This Row],[Year]], Changes!ChangeType="Change Premium"), Changes!NewChangedValue, (L102*(1+Table1[[#This Row],[Adjustment Factor of Premium]]/100))))),0)</f>
        <v>0</v>
      </c>
      <c r="M103" s="29">
        <f>IF(Table1[[#This Row],[Year]]=1,ROUND(MIN($L$2 -( Table1[[#This Row],[Riders Risk Premiums]] + Table1[[#This Row],[Acquisition Cost]]) *0.75,Table1[[#This Row],[Death Capital (1)]]* 0.03),0),0)</f>
        <v>0</v>
      </c>
      <c r="N103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03" s="29">
        <f>ROUND(IF(ROW()-1&gt;InsurancePeriod,0,(O102*(1+(Table1[[#This Row],[Adjustment Factor of Premium]]/100)))),0)</f>
        <v>0</v>
      </c>
      <c r="P103" s="29">
        <f>IF(Table1[Year] = 0, 0, SUM(L$2:L103))</f>
        <v>0</v>
      </c>
      <c r="Q103" s="17">
        <f t="shared" si="52"/>
        <v>0</v>
      </c>
      <c r="R103" s="17">
        <f>IF(Table1[[#This Row],[Year]]=0,0,IF($C$2&lt;=50,LOOKUP(Table1[[#This Row],[Age]],db!BG104:BG210,db!BH104:BH210),LOOKUP(Table1[[#This Row],[Age]],db!BJ104:BJ210,db!BK104:BK210)))</f>
        <v>0</v>
      </c>
      <c r="S103" s="17">
        <f>IF(AND(Changes!Change="Yes",Changes!ValidityYear&lt;=Table1[[#This Row],[Year]],Changes!ChangeType="Paid-Up",PaidUpOption="Paid-up with no coverage"),0,IF(B103=0,0, IF(AND(Changes!Change="Yes", Changes!ValidityYear=Table1[[#This Row],[Year]], Changes!ChangeType="Change Death Capital"), Changes!NewChangedValue, S102*(1+(Table1[[#This Row],[Adjustment Factor of Death Capital]]/100)))))</f>
        <v>0</v>
      </c>
      <c r="T103" s="17">
        <f>MIN(IF(B103=0,0,Table1[[#This Row],[Death Capital (1)]]),Table1[[#This Row],[Max Sum Insured For Death]])</f>
        <v>0</v>
      </c>
      <c r="U103" s="29">
        <f t="shared" si="39"/>
        <v>0</v>
      </c>
      <c r="V103" s="29">
        <f>IF(AND(Changes!Change="Yes",Changes!ValidityYear&lt;=Table1[[#This Row],[Year]],Changes!ChangeType="Paid-Up",OR(PaidUpOption="Paid-up with no coverage",PaidUpOption="Paid-up with main coverage")),0,IF(B103=0,0,IF(AND(Changes!Change="Yes", Changes!ValidityYear&lt;=Table1[[#This Row],[Year]], Changes!ChangeType="Rider Inclusion/Exclusion", Changes!RiderType="Accident Death"), T103*Changes!NewChangedValue,IF(db!$D$6="Yes",(db!$B$6)*T103,0))))</f>
        <v>0</v>
      </c>
      <c r="W103" s="29">
        <f>MIN(IF(V103&lt;=db!$L$2,V103,db!$L$2),MAX_ACC_CAPITAL)</f>
        <v>0</v>
      </c>
      <c r="X103" s="17">
        <f>IF(AND(Changes!Change="Yes",Changes!ValidityYear&lt;=Table1[[#This Row],[Year]],Changes!ChangeType="Paid-Up",OR(PaidUpOption="Paid-up with no coverage",PaidUpOption="Paid-up with main coverage")),0,IF(OR(B103=0,Table1[[#This Row],[Accident Capital (2)]]=0),0,IF(AND(Changes!Change="Yes", Changes!ValidityYear&lt;=Table1[[#This Row],[Year]], Changes!ChangeType="Rider Inclusion/Exclusion", Changes!RiderType="Accident Disability"), T103*Changes!NewChangedValue,IF(db!$D$7="Yes",(db!$B$7)*T103,0))))</f>
        <v>0</v>
      </c>
      <c r="Y103" s="42">
        <f>IF(C103&gt;69,0,IF(C103=0,0,IF(X103&lt;=db!$L$3,X103,db!$L$3)))</f>
        <v>0</v>
      </c>
      <c r="Z103" s="29">
        <f>IF(AND(Changes!Change="Yes",Changes!ValidityYear&lt;=Table1[[#This Row],[Year]],Changes!ChangeType="Paid-Up",OR(PaidUpOption="Paid-up with no coverage",PaidUpOption="Paid-up with main coverage")),0,IF(OR(B103=0,Table1[[#This Row],[Accident Capital (2)]]=0),0,IF(AND(Changes!Change="Yes", Changes!ValidityYear&lt;=Table1[[#This Row],[Year]], Changes!ChangeType="Rider Inclusion/Exclusion", Changes!RiderType="Accident Medical Cost"), T103*Changes!NewChangedValue,IF(db!$D$9="Yes",(db!$B$9)*T103,0))))</f>
        <v>0</v>
      </c>
      <c r="AA103" s="29">
        <f>ROUND(IF(C103&gt;69,0,IF(C103=0,0,IF(Z103&lt;=db!$L$4,Z103,db!$L$4))),0)</f>
        <v>0</v>
      </c>
      <c r="AB103" s="38">
        <f>IF(AND(Changes!Change = "Yes", Changes!ChangeType = "Rider Inclusion/Exclusion", Changes!RiderType = "WOP"), IF( Changes!ValidityYear &lt;= Table1[[#This Row],[Year]], IF(WOP = "Yes", 0, 1),  IF(WOP = "Yes", 1, 0)), IF(AND(db!$D$8="Yes",C103&lt;=69,ROW()-1&lt;=InsurancePeriod), 1, 0))</f>
        <v>0</v>
      </c>
      <c r="AC103" s="17">
        <f>(AC104+K104)*AB103*((1)/(1+db!AA105))*(LOOKUP(C103,'Mortality Table'!$A$2:$A$108,'Mortality Table'!$E$2:$E$108))</f>
        <v>0</v>
      </c>
      <c r="AD103" s="340">
        <f>IF(AND(Changes!ValidityYear&lt;= Table1[[#This Row],[Year]],Changes!ChangeType="Change Value Adjustment",Changes!Change="Yes"), (AD104+L104)*AB103*((1)/(1+db!AA105))*(LOOKUP(C103,'Mortality Table'!$A$2:$A$108,'Mortality Table'!$E$2:$E$108)),Table1[[#This Row],[WOP Before Adj. BT]])</f>
        <v>0</v>
      </c>
      <c r="AE103" s="341">
        <f>IF(AND(Changes!Change="Yes", Changes!ChangeType="Change Value Adjustment"),Table1[[#This Row],[WOP Capital]],(AE104+O104)*AB103*((1)/(1+db!AA105))*(LOOKUP(D103,'Mortality Table'!$A$2:$A$108,'Mortality Table'!$E$2:$E$108)))</f>
        <v>0</v>
      </c>
      <c r="AF103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103" s="42">
        <f>IF(AND(Changes!Change="Yes", Changes!ValidityYear&lt;=Table1[[#This Row],[Year]], Changes!ChangeType="Rider Inclusion/Exclusion", Changes!RiderType="Disability Annuity"), L103*Changes!NewChangedValue,L103*db!B$10*IF(db!$D$10="Yes",1,0))</f>
        <v>0</v>
      </c>
      <c r="AH103" s="29">
        <f>IF(AND(Changes!Change="Yes",Changes!ValidityYear&lt;=Table1[[#This Row],[Year]],Changes!ChangeType="Paid-Up"),0,Table1[[#This Row],[Code Annuity Capital]]*IF('Annual Calculation'!C103&gt;69,0,(LOOKUP('Annual Calculation'!C103+1,'Mortality Table'!$A$2:$A$108,'Mortality Table'!$O$2:$O$108)-LOOKUP('Annual Calculation'!C103+11,'Mortality Table'!$A$2:$A$108,'Mortality Table'!$O$2:$O$108))/LOOKUP('Annual Calculation'!C103,'Mortality Table'!$A$2:$A$108,'Mortality Table'!$M$2:$M$108)))</f>
        <v>0</v>
      </c>
      <c r="AI103" s="17">
        <f>IF(AND(Changes!Change="Yes",Changes!ValidityYear&lt;=Table1[[#This Row],[Year]],Changes!ChangeType="Paid-Up",OR(PaidUpOption="Paid-up with no coverage",PaidUpOption="Paid-up with main coverage")),0,IF(B103=0,0,IF(AND(Changes!Change="Yes", Changes!ValidityYear&lt;=Table1[[#This Row],[Year]], Changes!ChangeType="Rider Inclusion/Exclusion", Changes!RiderType="Dread Disease"), T103*Changes!NewChangedValue,IF(db!$D$11="Yes",(db!$B$11)*T103,0))))</f>
        <v>0</v>
      </c>
      <c r="AJ103" s="42">
        <f>ROUND(IF(C103&gt;59,0,IF(C103=0,0,IF(AI103&lt;=db!$L$5,AI103,db!$L$5))),0)</f>
        <v>0</v>
      </c>
      <c r="AK103" s="29">
        <f>IF(AND(Changes!Change="Yes",Changes!ValidityYear&lt;=Table1[[#This Row],[Year]],Changes!ChangeType="Paid-Up",OR(PaidUpOption="Paid-up with no coverage",PaidUpOption="Paid-up with main coverage")),0,IF(B103=0,0,IF(AND(Changes!Change="Yes", Changes!ValidityYear&lt;=Table1[[#This Row],[Year]], Changes!ChangeType="Rider Inclusion/Exclusion", Changes!RiderType="Cancer"), T103*Changes!NewChangedValue,IF(db!$D$12="Yes",(db!$B$12)*T103,0))))</f>
        <v>0</v>
      </c>
      <c r="AL103" s="29">
        <f>ROUND(IF(C103&gt;59,0,IF(C103=0,0,IF(AK103&lt;=db!$L$6,AK103,db!$L$6))),0)</f>
        <v>0</v>
      </c>
      <c r="AM103" s="32"/>
      <c r="AN103" s="18">
        <f>IF(B103=0,0,IF(C103&lt;(db!$E$2+5),LOOKUP(C103,'Mortality Table'!$A$2:$A$108,'Mortality Table'!$P$2:$P$108),IF((C103&gt;=db!$E$2+10),LOOKUP(C103,'Mortality Table'!$A$2:$A$108,'Mortality Table'!$R$2:$R$108),LOOKUP(C103,'Mortality Table'!$A$2:$A$108,'Mortality Table'!$Q$2:$Q$108))))</f>
        <v>0</v>
      </c>
      <c r="AO103" s="22">
        <f t="shared" si="53"/>
        <v>0</v>
      </c>
      <c r="AP103" s="19">
        <f>IF(B103=0,0, LOOKUP(IF(AND(Changes!Change="Yes", Changes!ValidityYear&lt;=Table1[[#This Row],[Year]], Changes!ChangeType="Change Job Class"),Changes!NewChangedValue, db!$A$8),db!$AX$4:$AX$8,db!$AY$4:$AY$8))</f>
        <v>0</v>
      </c>
      <c r="AQ103" s="20">
        <f>ROUND((AP103/1000)*W103 * (1-db!$AS$9),0)</f>
        <v>0</v>
      </c>
      <c r="AR103" s="20">
        <f>(AP103/1000)*W103 * db!$AS$9</f>
        <v>0</v>
      </c>
      <c r="AS103" s="21">
        <f>IF(B103=0,0, LOOKUP(IF(AND(Changes!Change="Yes", Changes!ValidityYear&lt;=Table1[[#This Row],[Year]], Changes!ChangeType="Change Job Class"),Changes!NewChangedValue, db!$A$8),db!$AX$4:$AX$8,db!$AZ$4:$AZ$8))</f>
        <v>0</v>
      </c>
      <c r="AT103" s="22">
        <f>(AS103/1000)*Y103*(1-db!$AS$9)</f>
        <v>0</v>
      </c>
      <c r="AU103" s="22">
        <f>(AS103/1000)*Y103*(db!$AS$9)</f>
        <v>0</v>
      </c>
      <c r="AV103" s="23">
        <f>IF(B103=0,0, LOOKUP(IF(AND(Changes!Change="Yes", Changes!ValidityYear&lt;=Table1[[#This Row],[Year]], Changes!ChangeType="Change Job Class"),Changes!NewChangedValue, db!$A$8),db!$AX$4:$AX$8,db!$BA$4:$BA$8))</f>
        <v>0</v>
      </c>
      <c r="AW103" s="20">
        <f>ROUND((AV103/(100))*AA103*(1-db!$AS$9),0)</f>
        <v>0</v>
      </c>
      <c r="AX103" s="20">
        <f>ROUND((AV103/(100))*AA103*(db!$AS$9),0)</f>
        <v>0</v>
      </c>
      <c r="AY103" s="21">
        <f>IF(db!$D$8="Yes",AS103,0)</f>
        <v>0</v>
      </c>
      <c r="AZ103" s="22">
        <f>(AY103*AF103)/1000*(1-db!$AS$9)</f>
        <v>0</v>
      </c>
      <c r="BA103" s="22">
        <f>(AY103*AF103)/1000*(db!$AS$9)</f>
        <v>0</v>
      </c>
      <c r="BB103" s="23">
        <f t="shared" si="54"/>
        <v>0</v>
      </c>
      <c r="BC103" s="20">
        <f>(BB103*AH103/1000)*(1-db!$AS$9)</f>
        <v>0</v>
      </c>
      <c r="BD103" s="20">
        <f>(BB103*AH103/1000)*(db!$AS$9)</f>
        <v>0</v>
      </c>
      <c r="BE103" s="22">
        <f>IF(B103=0,0,IF(C103&gt;60,0,LOOKUP(Table1[[#This Row],[Medical
Age]],db!$BC$3:$BC$63,db!$BD$3:$BD$63)))</f>
        <v>0</v>
      </c>
      <c r="BF103" s="22">
        <f>BG103*db!$AS$10</f>
        <v>0</v>
      </c>
      <c r="BG103" s="22">
        <f t="shared" si="55"/>
        <v>0</v>
      </c>
      <c r="BH103" s="22">
        <f>(BE103/1000000)*AJ103*(1-db!$AS$10)</f>
        <v>0</v>
      </c>
      <c r="BI103" s="20">
        <f>IF(B103=0,0,IF(C103&gt;59,0,LOOKUP(Table1[[#This Row],[Medical
Age]],db!$BC$3:$BC$63,db!$BE$3:$BE$63)))</f>
        <v>0</v>
      </c>
      <c r="BJ103" s="20">
        <f>(BI103/1000000)*AL103*(1-db!$AS$11)</f>
        <v>0</v>
      </c>
      <c r="BK103" s="20">
        <f>(BI103/1000000)*AL103*(db!$AS$11)</f>
        <v>0</v>
      </c>
      <c r="BL103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103" s="20">
        <f>Table1[[#This Row],[RiskLoading
Rate]]*Table1[[#This Row],[Death Capital (2)]]</f>
        <v>0</v>
      </c>
      <c r="BN103" s="36"/>
      <c r="BO103" s="37">
        <f t="shared" si="56"/>
        <v>0</v>
      </c>
      <c r="BP103" s="35">
        <f t="shared" si="57"/>
        <v>0</v>
      </c>
      <c r="BQ103" s="35">
        <f t="shared" si="58"/>
        <v>0</v>
      </c>
      <c r="BR103" s="37">
        <f t="shared" si="50"/>
        <v>0</v>
      </c>
      <c r="BS103" s="37">
        <f t="shared" si="41"/>
        <v>0</v>
      </c>
      <c r="BT103" s="35">
        <f t="shared" si="42"/>
        <v>0</v>
      </c>
      <c r="BU103" s="35">
        <f t="shared" si="43"/>
        <v>0</v>
      </c>
      <c r="BV103" s="37">
        <f>(db!$AS$4/100)*(L103-BT103-BU103)</f>
        <v>0</v>
      </c>
      <c r="BW103" s="37">
        <f>(db!$AS$8/100)*(L103-BT103-BU103)</f>
        <v>0</v>
      </c>
      <c r="BX103" s="35"/>
      <c r="BY103" s="37"/>
      <c r="BZ103" s="37"/>
      <c r="CA103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103" s="33"/>
      <c r="CC103" s="39">
        <f>ROUND((Table1[[#This Row],[Premium]]-Table1[[#This Row],[All Deductions]]),0)</f>
        <v>0</v>
      </c>
      <c r="CD103" s="39">
        <f>IF(B103=0,0,Table1[[#This Row],[Initial Reserve]]+CE102)</f>
        <v>0</v>
      </c>
      <c r="CE103" s="40">
        <f>ROUND(IF(B103=0,0,((CC103)*(1+db!Y105))+((CE102)*(1+db!U105))),0)</f>
        <v>0</v>
      </c>
      <c r="CF103" s="40">
        <f t="shared" si="48"/>
        <v>0</v>
      </c>
      <c r="CG103" s="15">
        <f t="shared" si="44"/>
        <v>102</v>
      </c>
      <c r="CH103" s="39">
        <f>IF(B103=0,0,((CC103)*(1+db!AH105))+((CH102)*(1+db!AD105)))</f>
        <v>0</v>
      </c>
      <c r="CI103" s="39">
        <f>IF(B103=0,0,((CC103)*(1+db!AH105))+((CI102)*(1+db!AD105)))</f>
        <v>0</v>
      </c>
      <c r="CJ103" s="40">
        <f>IF(B103=0,0,((CC103)*(1+db!AO105))+((CJ102)*(1+db!AK105)))</f>
        <v>0</v>
      </c>
      <c r="CK103" s="40">
        <f>CJ103-(SUM(BX$7:$BX104))</f>
        <v>0</v>
      </c>
    </row>
    <row r="104" spans="1:90">
      <c r="A104" s="24">
        <f t="shared" si="45"/>
        <v>103</v>
      </c>
      <c r="B104" s="16">
        <f>IF(AND(Changes!Change="Yes", Changes!ChangeType="Change Contract Duration"),IF(B103=0,0,IF(Changes!NewChangedValue&lt;B103+1,0,B103+1)),IF(B103=0,0,IF('Application Annually'!$C$5&lt;B103+1,0,B103+1)))</f>
        <v>0</v>
      </c>
      <c r="C104" s="15">
        <f t="shared" si="49"/>
        <v>0</v>
      </c>
      <c r="D104" s="312">
        <f t="shared" si="47"/>
        <v>130</v>
      </c>
      <c r="E104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104" s="29">
        <f t="shared" si="37"/>
        <v>0</v>
      </c>
      <c r="G104" s="29">
        <f t="shared" si="38"/>
        <v>0</v>
      </c>
      <c r="H104" s="29">
        <f t="shared" si="51"/>
        <v>0</v>
      </c>
      <c r="I104" s="29">
        <f>IF(B104&gt;0,IF(AND(Table1[[#This Row],[Year]]&gt;Changes!ValidityYear,Changes!Change="Yes",Changes!ChangeType="Change Value Adjustment"),Changes!$G$22,'Application Annually'!$C$11),0)</f>
        <v>0</v>
      </c>
      <c r="J104" s="29">
        <f>IF(B104&gt;0,IF(AND(Table1[[#This Row],[Year]]&gt;Changes!ValidityYear,Changes!Change="Yes",Changes!ChangeType="Change Value Adjustment"),Changes!$G$24,'Application Annually'!$C$7),0)</f>
        <v>0</v>
      </c>
      <c r="K104" s="29">
        <f>ROUND(IF(B104=0,0,IF(AND(Changes!Change="Yes", Changes!ValidityYear=Table1[[#This Row],[Year]], Changes!ChangeType="Change Premium"), Changes!NewChangedValue, (K103*(1+db!$B$3)))),0)</f>
        <v>0</v>
      </c>
      <c r="L104" s="29">
        <f>ROUND(IF(AND(Changes!Change="Yes",Changes!ValidityYear&lt;=Table1[[#This Row],[Year]],Changes!ChangeType="Paid-Up"),0,IF(B104=0,0,IF(AND(Changes!Change="Yes", Changes!ValidityYear=Table1[[#This Row],[Year]], Changes!ChangeType="Change Premium"), Changes!NewChangedValue, (L103*(1+Table1[[#This Row],[Adjustment Factor of Premium]]/100))))),0)</f>
        <v>0</v>
      </c>
      <c r="M104" s="29">
        <f>IF(Table1[[#This Row],[Year]]=1,ROUND(MIN($L$2 -( Table1[[#This Row],[Riders Risk Premiums]] + Table1[[#This Row],[Acquisition Cost]]) *0.75,Table1[[#This Row],[Death Capital (1)]]* 0.03),0),0)</f>
        <v>0</v>
      </c>
      <c r="N104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04" s="29">
        <f>ROUND(IF(ROW()-1&gt;InsurancePeriod,0,(O103*(1+(Table1[[#This Row],[Adjustment Factor of Premium]]/100)))),0)</f>
        <v>0</v>
      </c>
      <c r="P104" s="29">
        <f>IF(Table1[Year] = 0, 0, SUM(L$2:L104))</f>
        <v>0</v>
      </c>
      <c r="Q104" s="17">
        <f t="shared" si="52"/>
        <v>0</v>
      </c>
      <c r="R104" s="17">
        <f>IF(Table1[[#This Row],[Year]]=0,0,IF($C$2&lt;=50,LOOKUP(Table1[[#This Row],[Age]],db!BG105:BG211,db!BH105:BH211),LOOKUP(Table1[[#This Row],[Age]],db!BJ105:BJ211,db!BK105:BK211)))</f>
        <v>0</v>
      </c>
      <c r="S104" s="17">
        <f>IF(AND(Changes!Change="Yes",Changes!ValidityYear&lt;=Table1[[#This Row],[Year]],Changes!ChangeType="Paid-Up",PaidUpOption="Paid-up with no coverage"),0,IF(B104=0,0, IF(AND(Changes!Change="Yes", Changes!ValidityYear=Table1[[#This Row],[Year]], Changes!ChangeType="Change Death Capital"), Changes!NewChangedValue, S103*(1+(Table1[[#This Row],[Adjustment Factor of Death Capital]]/100)))))</f>
        <v>0</v>
      </c>
      <c r="T104" s="17">
        <f>MIN(IF(B104=0,0,Table1[[#This Row],[Death Capital (1)]]),Table1[[#This Row],[Max Sum Insured For Death]])</f>
        <v>0</v>
      </c>
      <c r="U104" s="29">
        <f t="shared" si="39"/>
        <v>0</v>
      </c>
      <c r="V104" s="29">
        <f>IF(AND(Changes!Change="Yes",Changes!ValidityYear&lt;=Table1[[#This Row],[Year]],Changes!ChangeType="Paid-Up",OR(PaidUpOption="Paid-up with no coverage",PaidUpOption="Paid-up with main coverage")),0,IF(B104=0,0,IF(AND(Changes!Change="Yes", Changes!ValidityYear&lt;=Table1[[#This Row],[Year]], Changes!ChangeType="Rider Inclusion/Exclusion", Changes!RiderType="Accident Death"), T104*Changes!NewChangedValue,IF(db!$D$6="Yes",(db!$B$6)*T104,0))))</f>
        <v>0</v>
      </c>
      <c r="W104" s="29">
        <f>MIN(IF(V104&lt;=db!$L$2,V104,db!$L$2),MAX_ACC_CAPITAL)</f>
        <v>0</v>
      </c>
      <c r="X104" s="17">
        <f>IF(AND(Changes!Change="Yes",Changes!ValidityYear&lt;=Table1[[#This Row],[Year]],Changes!ChangeType="Paid-Up",OR(PaidUpOption="Paid-up with no coverage",PaidUpOption="Paid-up with main coverage")),0,IF(OR(B104=0,Table1[[#This Row],[Accident Capital (2)]]=0),0,IF(AND(Changes!Change="Yes", Changes!ValidityYear&lt;=Table1[[#This Row],[Year]], Changes!ChangeType="Rider Inclusion/Exclusion", Changes!RiderType="Accident Disability"), T104*Changes!NewChangedValue,IF(db!$D$7="Yes",(db!$B$7)*T104,0))))</f>
        <v>0</v>
      </c>
      <c r="Y104" s="42">
        <f>IF(C104&gt;69,0,IF(C104=0,0,IF(X104&lt;=db!$L$3,X104,db!$L$3)))</f>
        <v>0</v>
      </c>
      <c r="Z104" s="29">
        <f>IF(AND(Changes!Change="Yes",Changes!ValidityYear&lt;=Table1[[#This Row],[Year]],Changes!ChangeType="Paid-Up",OR(PaidUpOption="Paid-up with no coverage",PaidUpOption="Paid-up with main coverage")),0,IF(OR(B104=0,Table1[[#This Row],[Accident Capital (2)]]=0),0,IF(AND(Changes!Change="Yes", Changes!ValidityYear&lt;=Table1[[#This Row],[Year]], Changes!ChangeType="Rider Inclusion/Exclusion", Changes!RiderType="Accident Medical Cost"), T104*Changes!NewChangedValue,IF(db!$D$9="Yes",(db!$B$9)*T104,0))))</f>
        <v>0</v>
      </c>
      <c r="AA104" s="29">
        <f>ROUND(IF(C104&gt;69,0,IF(C104=0,0,IF(Z104&lt;=db!$L$4,Z104,db!$L$4))),0)</f>
        <v>0</v>
      </c>
      <c r="AB104" s="38">
        <f>IF(AND(Changes!Change = "Yes", Changes!ChangeType = "Rider Inclusion/Exclusion", Changes!RiderType = "WOP"), IF( Changes!ValidityYear &lt;= Table1[[#This Row],[Year]], IF(WOP = "Yes", 0, 1),  IF(WOP = "Yes", 1, 0)), IF(AND(db!$D$8="Yes",C104&lt;=69,ROW()-1&lt;=InsurancePeriod), 1, 0))</f>
        <v>0</v>
      </c>
      <c r="AC104" s="17">
        <f>(AC105+K105)*AB104*((1)/(1+db!AA106))*(LOOKUP(C104,'Mortality Table'!$A$2:$A$108,'Mortality Table'!$E$2:$E$108))</f>
        <v>0</v>
      </c>
      <c r="AD104" s="340">
        <f>IF(AND(Changes!ValidityYear&lt;= Table1[[#This Row],[Year]],Changes!ChangeType="Change Value Adjustment",Changes!Change="Yes"), (AD105+L105)*AB104*((1)/(1+db!AA106))*(LOOKUP(C104,'Mortality Table'!$A$2:$A$108,'Mortality Table'!$E$2:$E$108)),Table1[[#This Row],[WOP Before Adj. BT]])</f>
        <v>0</v>
      </c>
      <c r="AE104" s="341">
        <f>IF(AND(Changes!Change="Yes", Changes!ChangeType="Change Value Adjustment"),Table1[[#This Row],[WOP Capital]],(AE105+O105)*AB104*((1)/(1+db!AA106))*(LOOKUP(D104,'Mortality Table'!$A$2:$A$108,'Mortality Table'!$E$2:$E$108)))</f>
        <v>0</v>
      </c>
      <c r="AF104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104" s="42">
        <f>IF(AND(Changes!Change="Yes", Changes!ValidityYear&lt;=Table1[[#This Row],[Year]], Changes!ChangeType="Rider Inclusion/Exclusion", Changes!RiderType="Disability Annuity"), L104*Changes!NewChangedValue,L104*db!B$10*IF(db!$D$10="Yes",1,0))</f>
        <v>0</v>
      </c>
      <c r="AH104" s="29">
        <f>IF(AND(Changes!Change="Yes",Changes!ValidityYear&lt;=Table1[[#This Row],[Year]],Changes!ChangeType="Paid-Up"),0,Table1[[#This Row],[Code Annuity Capital]]*IF('Annual Calculation'!C104&gt;69,0,(LOOKUP('Annual Calculation'!C104+1,'Mortality Table'!$A$2:$A$108,'Mortality Table'!$O$2:$O$108)-LOOKUP('Annual Calculation'!C104+11,'Mortality Table'!$A$2:$A$108,'Mortality Table'!$O$2:$O$108))/LOOKUP('Annual Calculation'!C104,'Mortality Table'!$A$2:$A$108,'Mortality Table'!$M$2:$M$108)))</f>
        <v>0</v>
      </c>
      <c r="AI104" s="17">
        <f>IF(AND(Changes!Change="Yes",Changes!ValidityYear&lt;=Table1[[#This Row],[Year]],Changes!ChangeType="Paid-Up",OR(PaidUpOption="Paid-up with no coverage",PaidUpOption="Paid-up with main coverage")),0,IF(B104=0,0,IF(AND(Changes!Change="Yes", Changes!ValidityYear&lt;=Table1[[#This Row],[Year]], Changes!ChangeType="Rider Inclusion/Exclusion", Changes!RiderType="Dread Disease"), T104*Changes!NewChangedValue,IF(db!$D$11="Yes",(db!$B$11)*T104,0))))</f>
        <v>0</v>
      </c>
      <c r="AJ104" s="42">
        <f>ROUND(IF(C104&gt;59,0,IF(C104=0,0,IF(AI104&lt;=db!$L$5,AI104,db!$L$5))),0)</f>
        <v>0</v>
      </c>
      <c r="AK104" s="29">
        <f>IF(AND(Changes!Change="Yes",Changes!ValidityYear&lt;=Table1[[#This Row],[Year]],Changes!ChangeType="Paid-Up",OR(PaidUpOption="Paid-up with no coverage",PaidUpOption="Paid-up with main coverage")),0,IF(B104=0,0,IF(AND(Changes!Change="Yes", Changes!ValidityYear&lt;=Table1[[#This Row],[Year]], Changes!ChangeType="Rider Inclusion/Exclusion", Changes!RiderType="Cancer"), T104*Changes!NewChangedValue,IF(db!$D$12="Yes",(db!$B$12)*T104,0))))</f>
        <v>0</v>
      </c>
      <c r="AL104" s="29">
        <f>ROUND(IF(C104&gt;59,0,IF(C104=0,0,IF(AK104&lt;=db!$L$6,AK104,db!$L$6))),0)</f>
        <v>0</v>
      </c>
      <c r="AM104" s="32"/>
      <c r="AN104" s="18">
        <f>IF(B104=0,0,IF(C104&lt;(db!$E$2+5),LOOKUP(C104,'Mortality Table'!$A$2:$A$108,'Mortality Table'!$P$2:$P$108),IF((C104&gt;=db!$E$2+10),LOOKUP(C104,'Mortality Table'!$A$2:$A$108,'Mortality Table'!$R$2:$R$108),LOOKUP(C104,'Mortality Table'!$A$2:$A$108,'Mortality Table'!$Q$2:$Q$108))))</f>
        <v>0</v>
      </c>
      <c r="AO104" s="22">
        <f t="shared" si="53"/>
        <v>0</v>
      </c>
      <c r="AP104" s="19">
        <f>IF(B104=0,0, LOOKUP(IF(AND(Changes!Change="Yes", Changes!ValidityYear&lt;=Table1[[#This Row],[Year]], Changes!ChangeType="Change Job Class"),Changes!NewChangedValue, db!$A$8),db!$AX$4:$AX$8,db!$AY$4:$AY$8))</f>
        <v>0</v>
      </c>
      <c r="AQ104" s="20">
        <f>ROUND((AP104/1000)*W104 * (1-db!$AS$9),0)</f>
        <v>0</v>
      </c>
      <c r="AR104" s="20">
        <f>(AP104/1000)*W104 * db!$AS$9</f>
        <v>0</v>
      </c>
      <c r="AS104" s="21">
        <f>IF(B104=0,0, LOOKUP(IF(AND(Changes!Change="Yes", Changes!ValidityYear&lt;=Table1[[#This Row],[Year]], Changes!ChangeType="Change Job Class"),Changes!NewChangedValue, db!$A$8),db!$AX$4:$AX$8,db!$AZ$4:$AZ$8))</f>
        <v>0</v>
      </c>
      <c r="AT104" s="22">
        <f>(AS104/1000)*Y104*(1-db!$AS$9)</f>
        <v>0</v>
      </c>
      <c r="AU104" s="22">
        <f>(AS104/1000)*Y104*(db!$AS$9)</f>
        <v>0</v>
      </c>
      <c r="AV104" s="23">
        <f>IF(B104=0,0, LOOKUP(IF(AND(Changes!Change="Yes", Changes!ValidityYear&lt;=Table1[[#This Row],[Year]], Changes!ChangeType="Change Job Class"),Changes!NewChangedValue, db!$A$8),db!$AX$4:$AX$8,db!$BA$4:$BA$8))</f>
        <v>0</v>
      </c>
      <c r="AW104" s="20">
        <f>ROUND((AV104/(100))*AA104*(1-db!$AS$9),0)</f>
        <v>0</v>
      </c>
      <c r="AX104" s="20">
        <f>ROUND((AV104/(100))*AA104*(db!$AS$9),0)</f>
        <v>0</v>
      </c>
      <c r="AY104" s="21">
        <f>IF(db!$D$8="Yes",AS104,0)</f>
        <v>0</v>
      </c>
      <c r="AZ104" s="22">
        <f>(AY104*AF104)/1000*(1-db!$AS$9)</f>
        <v>0</v>
      </c>
      <c r="BA104" s="22">
        <f>(AY104*AF104)/1000*(db!$AS$9)</f>
        <v>0</v>
      </c>
      <c r="BB104" s="23">
        <f t="shared" si="54"/>
        <v>0</v>
      </c>
      <c r="BC104" s="20">
        <f>(BB104*AH104/1000)*(1-db!$AS$9)</f>
        <v>0</v>
      </c>
      <c r="BD104" s="20">
        <f>(BB104*AH104/1000)*(db!$AS$9)</f>
        <v>0</v>
      </c>
      <c r="BE104" s="22">
        <f>IF(B104=0,0,IF(C104&gt;60,0,LOOKUP(Table1[[#This Row],[Medical
Age]],db!$BC$3:$BC$63,db!$BD$3:$BD$63)))</f>
        <v>0</v>
      </c>
      <c r="BF104" s="22">
        <f>BG104*db!$AS$10</f>
        <v>0</v>
      </c>
      <c r="BG104" s="22">
        <f t="shared" si="55"/>
        <v>0</v>
      </c>
      <c r="BH104" s="22">
        <f>(BE104/1000000)*AJ104*(1-db!$AS$10)</f>
        <v>0</v>
      </c>
      <c r="BI104" s="20">
        <f>IF(B104=0,0,IF(C104&gt;59,0,LOOKUP(Table1[[#This Row],[Medical
Age]],db!$BC$3:$BC$63,db!$BE$3:$BE$63)))</f>
        <v>0</v>
      </c>
      <c r="BJ104" s="20">
        <f>(BI104/1000000)*AL104*(1-db!$AS$11)</f>
        <v>0</v>
      </c>
      <c r="BK104" s="20">
        <f>(BI104/1000000)*AL104*(db!$AS$11)</f>
        <v>0</v>
      </c>
      <c r="BL104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104" s="20">
        <f>Table1[[#This Row],[RiskLoading
Rate]]*Table1[[#This Row],[Death Capital (2)]]</f>
        <v>0</v>
      </c>
      <c r="BN104" s="36"/>
      <c r="BO104" s="37">
        <f t="shared" si="56"/>
        <v>0</v>
      </c>
      <c r="BP104" s="35">
        <f t="shared" si="57"/>
        <v>0</v>
      </c>
      <c r="BQ104" s="35">
        <f t="shared" si="58"/>
        <v>0</v>
      </c>
      <c r="BR104" s="37">
        <f t="shared" si="50"/>
        <v>0</v>
      </c>
      <c r="BS104" s="37">
        <f t="shared" si="41"/>
        <v>0</v>
      </c>
      <c r="BT104" s="35">
        <f t="shared" si="42"/>
        <v>0</v>
      </c>
      <c r="BU104" s="35">
        <f t="shared" si="43"/>
        <v>0</v>
      </c>
      <c r="BV104" s="37">
        <f>(db!$AS$4/100)*(L104-BT104-BU104)</f>
        <v>0</v>
      </c>
      <c r="BW104" s="37">
        <f>(db!$AS$8/100)*(L104-BT104-BU104)</f>
        <v>0</v>
      </c>
      <c r="BX104" s="35"/>
      <c r="BY104" s="37"/>
      <c r="BZ104" s="37"/>
      <c r="CA104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104" s="33"/>
      <c r="CC104" s="39">
        <f>ROUND((Table1[[#This Row],[Premium]]-Table1[[#This Row],[All Deductions]]),0)</f>
        <v>0</v>
      </c>
      <c r="CD104" s="39">
        <f>IF(B104=0,0,Table1[[#This Row],[Initial Reserve]]+CE103)</f>
        <v>0</v>
      </c>
      <c r="CE104" s="40">
        <f>ROUND(IF(B104=0,0,((CC104)*(1+db!Y106))+((CE103)*(1+db!U106))),0)</f>
        <v>0</v>
      </c>
      <c r="CF104" s="40">
        <f t="shared" si="48"/>
        <v>0</v>
      </c>
      <c r="CG104" s="15">
        <f t="shared" si="44"/>
        <v>103</v>
      </c>
      <c r="CH104" s="39">
        <f>IF(B104=0,0,((CC104)*(1+db!AH106))+((CH103)*(1+db!AD106)))</f>
        <v>0</v>
      </c>
      <c r="CI104" s="39">
        <f>IF(B104=0,0,((CC104)*(1+db!AH106))+((CI103)*(1+db!AD106)))</f>
        <v>0</v>
      </c>
      <c r="CJ104" s="40">
        <f>IF(B104=0,0,((CC104)*(1+db!AO106))+((CJ103)*(1+db!AK106)))</f>
        <v>0</v>
      </c>
      <c r="CK104" s="40">
        <f>CJ104-(SUM(BX$7:$BX105))</f>
        <v>0</v>
      </c>
    </row>
    <row r="105" spans="1:90">
      <c r="A105" s="24">
        <f t="shared" si="45"/>
        <v>104</v>
      </c>
      <c r="B105" s="16">
        <f>IF(AND(Changes!Change="Yes", Changes!ChangeType="Change Contract Duration"),IF(B104=0,0,IF(Changes!NewChangedValue&lt;B104+1,0,B104+1)),IF(B104=0,0,IF('Application Annually'!$C$5&lt;B104+1,0,B104+1)))</f>
        <v>0</v>
      </c>
      <c r="C105" s="15">
        <f t="shared" si="49"/>
        <v>0</v>
      </c>
      <c r="D105" s="312">
        <f t="shared" si="47"/>
        <v>131</v>
      </c>
      <c r="E105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105" s="29">
        <f t="shared" si="37"/>
        <v>0</v>
      </c>
      <c r="G105" s="29">
        <f t="shared" si="38"/>
        <v>0</v>
      </c>
      <c r="H105" s="29">
        <f t="shared" si="51"/>
        <v>0</v>
      </c>
      <c r="I105" s="29">
        <f>IF(B105&gt;0,IF(AND(Table1[[#This Row],[Year]]&gt;Changes!ValidityYear,Changes!Change="Yes",Changes!ChangeType="Change Value Adjustment"),Changes!$G$22,'Application Annually'!$C$11),0)</f>
        <v>0</v>
      </c>
      <c r="J105" s="29">
        <f>IF(B105&gt;0,IF(AND(Table1[[#This Row],[Year]]&gt;Changes!ValidityYear,Changes!Change="Yes",Changes!ChangeType="Change Value Adjustment"),Changes!$G$24,'Application Annually'!$C$7),0)</f>
        <v>0</v>
      </c>
      <c r="K105" s="29">
        <f>ROUND(IF(B105=0,0,IF(AND(Changes!Change="Yes", Changes!ValidityYear=Table1[[#This Row],[Year]], Changes!ChangeType="Change Premium"), Changes!NewChangedValue, (K104*(1+db!$B$3)))),0)</f>
        <v>0</v>
      </c>
      <c r="L105" s="29">
        <f>ROUND(IF(AND(Changes!Change="Yes",Changes!ValidityYear&lt;=Table1[[#This Row],[Year]],Changes!ChangeType="Paid-Up"),0,IF(B105=0,0,IF(AND(Changes!Change="Yes", Changes!ValidityYear=Table1[[#This Row],[Year]], Changes!ChangeType="Change Premium"), Changes!NewChangedValue, (L104*(1+Table1[[#This Row],[Adjustment Factor of Premium]]/100))))),0)</f>
        <v>0</v>
      </c>
      <c r="M105" s="29">
        <f>IF(Table1[[#This Row],[Year]]=1,ROUND(MIN($L$2 -( Table1[[#This Row],[Riders Risk Premiums]] + Table1[[#This Row],[Acquisition Cost]]) *0.75,Table1[[#This Row],[Death Capital (1)]]* 0.03),0),0)</f>
        <v>0</v>
      </c>
      <c r="N105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05" s="29">
        <f>ROUND(IF(ROW()-1&gt;InsurancePeriod,0,(O104*(1+(Table1[[#This Row],[Adjustment Factor of Premium]]/100)))),0)</f>
        <v>0</v>
      </c>
      <c r="P105" s="29">
        <f>IF(Table1[Year] = 0, 0, SUM(L$2:L105))</f>
        <v>0</v>
      </c>
      <c r="Q105" s="17">
        <f t="shared" si="52"/>
        <v>0</v>
      </c>
      <c r="R105" s="17">
        <f>IF(Table1[[#This Row],[Year]]=0,0,IF($C$2&lt;=50,LOOKUP(Table1[[#This Row],[Age]],db!BG106:BG212,db!BH106:BH212),LOOKUP(Table1[[#This Row],[Age]],db!BJ106:BJ212,db!BK106:BK212)))</f>
        <v>0</v>
      </c>
      <c r="S105" s="17">
        <f>IF(AND(Changes!Change="Yes",Changes!ValidityYear&lt;=Table1[[#This Row],[Year]],Changes!ChangeType="Paid-Up",PaidUpOption="Paid-up with no coverage"),0,IF(B105=0,0, IF(AND(Changes!Change="Yes", Changes!ValidityYear=Table1[[#This Row],[Year]], Changes!ChangeType="Change Death Capital"), Changes!NewChangedValue, S104*(1+(Table1[[#This Row],[Adjustment Factor of Death Capital]]/100)))))</f>
        <v>0</v>
      </c>
      <c r="T105" s="17">
        <f>MIN(IF(B105=0,0,Table1[[#This Row],[Death Capital (1)]]),Table1[[#This Row],[Max Sum Insured For Death]])</f>
        <v>0</v>
      </c>
      <c r="U105" s="29">
        <f t="shared" si="39"/>
        <v>0</v>
      </c>
      <c r="V105" s="29">
        <f>IF(AND(Changes!Change="Yes",Changes!ValidityYear&lt;=Table1[[#This Row],[Year]],Changes!ChangeType="Paid-Up",OR(PaidUpOption="Paid-up with no coverage",PaidUpOption="Paid-up with main coverage")),0,IF(B105=0,0,IF(AND(Changes!Change="Yes", Changes!ValidityYear&lt;=Table1[[#This Row],[Year]], Changes!ChangeType="Rider Inclusion/Exclusion", Changes!RiderType="Accident Death"), T105*Changes!NewChangedValue,IF(db!$D$6="Yes",(db!$B$6)*T105,0))))</f>
        <v>0</v>
      </c>
      <c r="W105" s="29">
        <f>MIN(IF(V105&lt;=db!$L$2,V105,db!$L$2),MAX_ACC_CAPITAL)</f>
        <v>0</v>
      </c>
      <c r="X105" s="17">
        <f>IF(AND(Changes!Change="Yes",Changes!ValidityYear&lt;=Table1[[#This Row],[Year]],Changes!ChangeType="Paid-Up",OR(PaidUpOption="Paid-up with no coverage",PaidUpOption="Paid-up with main coverage")),0,IF(OR(B105=0,Table1[[#This Row],[Accident Capital (2)]]=0),0,IF(AND(Changes!Change="Yes", Changes!ValidityYear&lt;=Table1[[#This Row],[Year]], Changes!ChangeType="Rider Inclusion/Exclusion", Changes!RiderType="Accident Disability"), T105*Changes!NewChangedValue,IF(db!$D$7="Yes",(db!$B$7)*T105,0))))</f>
        <v>0</v>
      </c>
      <c r="Y105" s="42">
        <f>IF(C105&gt;69,0,IF(C105=0,0,IF(X105&lt;=db!$L$3,X105,db!$L$3)))</f>
        <v>0</v>
      </c>
      <c r="Z105" s="29">
        <f>IF(AND(Changes!Change="Yes",Changes!ValidityYear&lt;=Table1[[#This Row],[Year]],Changes!ChangeType="Paid-Up",OR(PaidUpOption="Paid-up with no coverage",PaidUpOption="Paid-up with main coverage")),0,IF(OR(B105=0,Table1[[#This Row],[Accident Capital (2)]]=0),0,IF(AND(Changes!Change="Yes", Changes!ValidityYear&lt;=Table1[[#This Row],[Year]], Changes!ChangeType="Rider Inclusion/Exclusion", Changes!RiderType="Accident Medical Cost"), T105*Changes!NewChangedValue,IF(db!$D$9="Yes",(db!$B$9)*T105,0))))</f>
        <v>0</v>
      </c>
      <c r="AA105" s="29">
        <f>ROUND(IF(C105&gt;69,0,IF(C105=0,0,IF(Z105&lt;=db!$L$4,Z105,db!$L$4))),0)</f>
        <v>0</v>
      </c>
      <c r="AB105" s="38">
        <f>IF(AND(Changes!Change = "Yes", Changes!ChangeType = "Rider Inclusion/Exclusion", Changes!RiderType = "WOP"), IF( Changes!ValidityYear &lt;= Table1[[#This Row],[Year]], IF(WOP = "Yes", 0, 1),  IF(WOP = "Yes", 1, 0)), IF(AND(db!$D$8="Yes",C105&lt;=69,ROW()-1&lt;=InsurancePeriod), 1, 0))</f>
        <v>0</v>
      </c>
      <c r="AC105" s="17">
        <f>(AC106+K106)*AB105*((1)/(1+db!AA107))*(LOOKUP(C105,'Mortality Table'!$A$2:$A$108,'Mortality Table'!$E$2:$E$108))</f>
        <v>0</v>
      </c>
      <c r="AD105" s="340">
        <f>IF(AND(Changes!ValidityYear&lt;= Table1[[#This Row],[Year]],Changes!ChangeType="Change Value Adjustment",Changes!Change="Yes"), (AD106+L106)*AB105*((1)/(1+db!AA107))*(LOOKUP(C105,'Mortality Table'!$A$2:$A$108,'Mortality Table'!$E$2:$E$108)),Table1[[#This Row],[WOP Before Adj. BT]])</f>
        <v>0</v>
      </c>
      <c r="AE105" s="341">
        <f>IF(AND(Changes!Change="Yes", Changes!ChangeType="Change Value Adjustment"),Table1[[#This Row],[WOP Capital]],(AE106+O106)*AB105*((1)/(1+db!AA107))*(LOOKUP(D105,'Mortality Table'!$A$2:$A$108,'Mortality Table'!$E$2:$E$108)))</f>
        <v>0</v>
      </c>
      <c r="AF105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105" s="42">
        <f>IF(AND(Changes!Change="Yes", Changes!ValidityYear&lt;=Table1[[#This Row],[Year]], Changes!ChangeType="Rider Inclusion/Exclusion", Changes!RiderType="Disability Annuity"), L105*Changes!NewChangedValue,L105*db!B$10*IF(db!$D$10="Yes",1,0))</f>
        <v>0</v>
      </c>
      <c r="AH105" s="29">
        <f>IF(AND(Changes!Change="Yes",Changes!ValidityYear&lt;=Table1[[#This Row],[Year]],Changes!ChangeType="Paid-Up"),0,Table1[[#This Row],[Code Annuity Capital]]*IF('Annual Calculation'!C105&gt;69,0,(LOOKUP('Annual Calculation'!C105+1,'Mortality Table'!$A$2:$A$108,'Mortality Table'!$O$2:$O$108)-LOOKUP('Annual Calculation'!C105+11,'Mortality Table'!$A$2:$A$108,'Mortality Table'!$O$2:$O$108))/LOOKUP('Annual Calculation'!C105,'Mortality Table'!$A$2:$A$108,'Mortality Table'!$M$2:$M$108)))</f>
        <v>0</v>
      </c>
      <c r="AI105" s="17">
        <f>IF(AND(Changes!Change="Yes",Changes!ValidityYear&lt;=Table1[[#This Row],[Year]],Changes!ChangeType="Paid-Up",OR(PaidUpOption="Paid-up with no coverage",PaidUpOption="Paid-up with main coverage")),0,IF(B105=0,0,IF(AND(Changes!Change="Yes", Changes!ValidityYear&lt;=Table1[[#This Row],[Year]], Changes!ChangeType="Rider Inclusion/Exclusion", Changes!RiderType="Dread Disease"), T105*Changes!NewChangedValue,IF(db!$D$11="Yes",(db!$B$11)*T105,0))))</f>
        <v>0</v>
      </c>
      <c r="AJ105" s="42">
        <f>ROUND(IF(C105&gt;59,0,IF(C105=0,0,IF(AI105&lt;=db!$L$5,AI105,db!$L$5))),0)</f>
        <v>0</v>
      </c>
      <c r="AK105" s="29">
        <f>IF(AND(Changes!Change="Yes",Changes!ValidityYear&lt;=Table1[[#This Row],[Year]],Changes!ChangeType="Paid-Up",OR(PaidUpOption="Paid-up with no coverage",PaidUpOption="Paid-up with main coverage")),0,IF(B105=0,0,IF(AND(Changes!Change="Yes", Changes!ValidityYear&lt;=Table1[[#This Row],[Year]], Changes!ChangeType="Rider Inclusion/Exclusion", Changes!RiderType="Cancer"), T105*Changes!NewChangedValue,IF(db!$D$12="Yes",(db!$B$12)*T105,0))))</f>
        <v>0</v>
      </c>
      <c r="AL105" s="29">
        <f>ROUND(IF(C105&gt;59,0,IF(C105=0,0,IF(AK105&lt;=db!$L$6,AK105,db!$L$6))),0)</f>
        <v>0</v>
      </c>
      <c r="AM105" s="32"/>
      <c r="AN105" s="18">
        <f>IF(B105=0,0,IF(C105&lt;(db!$E$2+5),LOOKUP(C105,'Mortality Table'!$A$2:$A$108,'Mortality Table'!$P$2:$P$108),IF((C105&gt;=db!$E$2+10),LOOKUP(C105,'Mortality Table'!$A$2:$A$108,'Mortality Table'!$R$2:$R$108),LOOKUP(C105,'Mortality Table'!$A$2:$A$108,'Mortality Table'!$Q$2:$Q$108))))</f>
        <v>0</v>
      </c>
      <c r="AO105" s="22">
        <f t="shared" si="53"/>
        <v>0</v>
      </c>
      <c r="AP105" s="19">
        <f>IF(B105=0,0, LOOKUP(IF(AND(Changes!Change="Yes", Changes!ValidityYear&lt;=Table1[[#This Row],[Year]], Changes!ChangeType="Change Job Class"),Changes!NewChangedValue, db!$A$8),db!$AX$4:$AX$8,db!$AY$4:$AY$8))</f>
        <v>0</v>
      </c>
      <c r="AQ105" s="20">
        <f>ROUND((AP105/1000)*W105 * (1-db!$AS$9),0)</f>
        <v>0</v>
      </c>
      <c r="AR105" s="20">
        <f>(AP105/1000)*W105 * db!$AS$9</f>
        <v>0</v>
      </c>
      <c r="AS105" s="21">
        <f>IF(B105=0,0, LOOKUP(IF(AND(Changes!Change="Yes", Changes!ValidityYear&lt;=Table1[[#This Row],[Year]], Changes!ChangeType="Change Job Class"),Changes!NewChangedValue, db!$A$8),db!$AX$4:$AX$8,db!$AZ$4:$AZ$8))</f>
        <v>0</v>
      </c>
      <c r="AT105" s="22">
        <f>(AS105/1000)*Y105*(1-db!$AS$9)</f>
        <v>0</v>
      </c>
      <c r="AU105" s="22">
        <f>(AS105/1000)*Y105*(db!$AS$9)</f>
        <v>0</v>
      </c>
      <c r="AV105" s="23">
        <f>IF(B105=0,0, LOOKUP(IF(AND(Changes!Change="Yes", Changes!ValidityYear&lt;=Table1[[#This Row],[Year]], Changes!ChangeType="Change Job Class"),Changes!NewChangedValue, db!$A$8),db!$AX$4:$AX$8,db!$BA$4:$BA$8))</f>
        <v>0</v>
      </c>
      <c r="AW105" s="20">
        <f>ROUND((AV105/(100))*AA105*(1-db!$AS$9),0)</f>
        <v>0</v>
      </c>
      <c r="AX105" s="20">
        <f>ROUND((AV105/(100))*AA105*(db!$AS$9),0)</f>
        <v>0</v>
      </c>
      <c r="AY105" s="21">
        <f>IF(db!$D$8="Yes",AS105,0)</f>
        <v>0</v>
      </c>
      <c r="AZ105" s="22">
        <f>(AY105*AF105)/1000*(1-db!$AS$9)</f>
        <v>0</v>
      </c>
      <c r="BA105" s="22">
        <f>(AY105*AF105)/1000*(db!$AS$9)</f>
        <v>0</v>
      </c>
      <c r="BB105" s="23">
        <f t="shared" si="54"/>
        <v>0</v>
      </c>
      <c r="BC105" s="20">
        <f>(BB105*AH105/1000)*(1-db!$AS$9)</f>
        <v>0</v>
      </c>
      <c r="BD105" s="20">
        <f>(BB105*AH105/1000)*(db!$AS$9)</f>
        <v>0</v>
      </c>
      <c r="BE105" s="22">
        <f>IF(B105=0,0,IF(C105&gt;60,0,LOOKUP(Table1[[#This Row],[Medical
Age]],db!$BC$3:$BC$63,db!$BD$3:$BD$63)))</f>
        <v>0</v>
      </c>
      <c r="BF105" s="22">
        <f>BG105*db!$AS$10</f>
        <v>0</v>
      </c>
      <c r="BG105" s="22">
        <f t="shared" si="55"/>
        <v>0</v>
      </c>
      <c r="BH105" s="22">
        <f>(BE105/1000000)*AJ105*(1-db!$AS$10)</f>
        <v>0</v>
      </c>
      <c r="BI105" s="20">
        <f>IF(B105=0,0,IF(C105&gt;59,0,LOOKUP(Table1[[#This Row],[Medical
Age]],db!$BC$3:$BC$63,db!$BE$3:$BE$63)))</f>
        <v>0</v>
      </c>
      <c r="BJ105" s="20">
        <f>(BI105/1000000)*AL105*(1-db!$AS$11)</f>
        <v>0</v>
      </c>
      <c r="BK105" s="20">
        <f>(BI105/1000000)*AL105*(db!$AS$11)</f>
        <v>0</v>
      </c>
      <c r="BL105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105" s="20">
        <f>Table1[[#This Row],[RiskLoading
Rate]]*Table1[[#This Row],[Death Capital (2)]]</f>
        <v>0</v>
      </c>
      <c r="BN105" s="36"/>
      <c r="BO105" s="37">
        <f t="shared" si="56"/>
        <v>0</v>
      </c>
      <c r="BP105" s="35">
        <f t="shared" si="57"/>
        <v>0</v>
      </c>
      <c r="BQ105" s="35">
        <f t="shared" si="58"/>
        <v>0</v>
      </c>
      <c r="BR105" s="37">
        <f t="shared" si="50"/>
        <v>0</v>
      </c>
      <c r="BS105" s="37">
        <f t="shared" si="41"/>
        <v>0</v>
      </c>
      <c r="BT105" s="35">
        <f t="shared" si="42"/>
        <v>0</v>
      </c>
      <c r="BU105" s="35">
        <f t="shared" si="43"/>
        <v>0</v>
      </c>
      <c r="BV105" s="37">
        <f>(db!$AS$4/100)*(L105-BT105-BU105)</f>
        <v>0</v>
      </c>
      <c r="BW105" s="37">
        <f>(db!$AS$8/100)*(L105-BT105-BU105)</f>
        <v>0</v>
      </c>
      <c r="BX105" s="35"/>
      <c r="BY105" s="37"/>
      <c r="BZ105" s="37"/>
      <c r="CA105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105" s="33"/>
      <c r="CC105" s="39">
        <f>ROUND((Table1[[#This Row],[Premium]]-Table1[[#This Row],[All Deductions]]),0)</f>
        <v>0</v>
      </c>
      <c r="CD105" s="39">
        <f>IF(B105=0,0,Table1[[#This Row],[Initial Reserve]]+CE104)</f>
        <v>0</v>
      </c>
      <c r="CE105" s="40">
        <f>ROUND(IF(B105=0,0,((CC105)*(1+db!Y107))+((CE104)*(1+db!U107))),0)</f>
        <v>0</v>
      </c>
      <c r="CF105" s="40">
        <f t="shared" si="48"/>
        <v>0</v>
      </c>
      <c r="CG105" s="15">
        <f t="shared" si="44"/>
        <v>104</v>
      </c>
      <c r="CH105" s="39">
        <f>IF(B105=0,0,((CC105)*(1+db!AH107))+((CH104)*(1+db!AD107)))</f>
        <v>0</v>
      </c>
      <c r="CI105" s="39">
        <f>IF(B105=0,0,((CC105)*(1+db!AH107))+((CI104)*(1+db!AD107)))</f>
        <v>0</v>
      </c>
      <c r="CJ105" s="40">
        <f>IF(B105=0,0,((CC105)*(1+db!AO107))+((CJ104)*(1+db!AK107)))</f>
        <v>0</v>
      </c>
      <c r="CK105" s="40">
        <f>CJ105-(SUM(BX$7:$BX106))</f>
        <v>0</v>
      </c>
    </row>
    <row r="106" spans="1:90">
      <c r="A106" s="24">
        <f t="shared" si="45"/>
        <v>105</v>
      </c>
      <c r="B106" s="16">
        <f>IF(AND(Changes!Change="Yes", Changes!ChangeType="Change Contract Duration"),IF(B105=0,0,IF(Changes!NewChangedValue&lt;B105+1,0,B105+1)),IF(B105=0,0,IF('Application Annually'!$C$5&lt;B105+1,0,B105+1)))</f>
        <v>0</v>
      </c>
      <c r="C106" s="15">
        <f t="shared" si="49"/>
        <v>0</v>
      </c>
      <c r="D106" s="312">
        <f t="shared" si="47"/>
        <v>132</v>
      </c>
      <c r="E106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106" s="29">
        <f t="shared" si="37"/>
        <v>0</v>
      </c>
      <c r="G106" s="29">
        <f t="shared" si="38"/>
        <v>0</v>
      </c>
      <c r="H106" s="29">
        <f t="shared" si="51"/>
        <v>0</v>
      </c>
      <c r="I106" s="29">
        <f>IF(B106&gt;0,IF(AND(Table1[[#This Row],[Year]]&gt;Changes!ValidityYear,Changes!Change="Yes",Changes!ChangeType="Change Value Adjustment"),Changes!$G$22,'Application Annually'!$C$11),0)</f>
        <v>0</v>
      </c>
      <c r="J106" s="29">
        <f>IF(B106&gt;0,IF(AND(Table1[[#This Row],[Year]]&gt;Changes!ValidityYear,Changes!Change="Yes",Changes!ChangeType="Change Value Adjustment"),Changes!$G$24,'Application Annually'!$C$7),0)</f>
        <v>0</v>
      </c>
      <c r="K106" s="29">
        <f>ROUND(IF(B106=0,0,IF(AND(Changes!Change="Yes", Changes!ValidityYear=Table1[[#This Row],[Year]], Changes!ChangeType="Change Premium"), Changes!NewChangedValue, (K105*(1+db!$B$3)))),0)</f>
        <v>0</v>
      </c>
      <c r="L106" s="29">
        <f>ROUND(IF(AND(Changes!Change="Yes",Changes!ValidityYear&lt;=Table1[[#This Row],[Year]],Changes!ChangeType="Paid-Up"),0,IF(B106=0,0,IF(AND(Changes!Change="Yes", Changes!ValidityYear=Table1[[#This Row],[Year]], Changes!ChangeType="Change Premium"), Changes!NewChangedValue, (L105*(1+Table1[[#This Row],[Adjustment Factor of Premium]]/100))))),0)</f>
        <v>0</v>
      </c>
      <c r="M106" s="29">
        <f>IF(Table1[[#This Row],[Year]]=1,ROUND(MIN($L$2 -( Table1[[#This Row],[Riders Risk Premiums]] + Table1[[#This Row],[Acquisition Cost]]) *0.75,Table1[[#This Row],[Death Capital (1)]]* 0.03),0),0)</f>
        <v>0</v>
      </c>
      <c r="N106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06" s="29">
        <f>ROUND(IF(ROW()-1&gt;InsurancePeriod,0,(O105*(1+(Table1[[#This Row],[Adjustment Factor of Premium]]/100)))),0)</f>
        <v>0</v>
      </c>
      <c r="P106" s="29">
        <f>IF(Table1[Year] = 0, 0, SUM(L$2:L106))</f>
        <v>0</v>
      </c>
      <c r="Q106" s="17">
        <f t="shared" si="52"/>
        <v>0</v>
      </c>
      <c r="R106" s="17">
        <f>IF(Table1[[#This Row],[Year]]=0,0,IF($C$2&lt;=50,LOOKUP(Table1[[#This Row],[Age]],db!BG107:BG213,db!BH107:BH213),LOOKUP(Table1[[#This Row],[Age]],db!BJ107:BJ213,db!BK107:BK213)))</f>
        <v>0</v>
      </c>
      <c r="S106" s="17">
        <f>IF(AND(Changes!Change="Yes",Changes!ValidityYear&lt;=Table1[[#This Row],[Year]],Changes!ChangeType="Paid-Up",PaidUpOption="Paid-up with no coverage"),0,IF(B106=0,0, IF(AND(Changes!Change="Yes", Changes!ValidityYear=Table1[[#This Row],[Year]], Changes!ChangeType="Change Death Capital"), Changes!NewChangedValue, S105*(1+(Table1[[#This Row],[Adjustment Factor of Death Capital]]/100)))))</f>
        <v>0</v>
      </c>
      <c r="T106" s="17">
        <f>MIN(IF(B106=0,0,Table1[[#This Row],[Death Capital (1)]]),Table1[[#This Row],[Max Sum Insured For Death]])</f>
        <v>0</v>
      </c>
      <c r="U106" s="29">
        <f t="shared" si="39"/>
        <v>0</v>
      </c>
      <c r="V106" s="29">
        <f>IF(AND(Changes!Change="Yes",Changes!ValidityYear&lt;=Table1[[#This Row],[Year]],Changes!ChangeType="Paid-Up",OR(PaidUpOption="Paid-up with no coverage",PaidUpOption="Paid-up with main coverage")),0,IF(B106=0,0,IF(AND(Changes!Change="Yes", Changes!ValidityYear&lt;=Table1[[#This Row],[Year]], Changes!ChangeType="Rider Inclusion/Exclusion", Changes!RiderType="Accident Death"), T106*Changes!NewChangedValue,IF(db!$D$6="Yes",(db!$B$6)*T106,0))))</f>
        <v>0</v>
      </c>
      <c r="W106" s="29">
        <f>MIN(IF(V106&lt;=db!$L$2,V106,db!$L$2),MAX_ACC_CAPITAL)</f>
        <v>0</v>
      </c>
      <c r="X106" s="17">
        <f>IF(AND(Changes!Change="Yes",Changes!ValidityYear&lt;=Table1[[#This Row],[Year]],Changes!ChangeType="Paid-Up",OR(PaidUpOption="Paid-up with no coverage",PaidUpOption="Paid-up with main coverage")),0,IF(OR(B106=0,Table1[[#This Row],[Accident Capital (2)]]=0),0,IF(AND(Changes!Change="Yes", Changes!ValidityYear&lt;=Table1[[#This Row],[Year]], Changes!ChangeType="Rider Inclusion/Exclusion", Changes!RiderType="Accident Disability"), T106*Changes!NewChangedValue,IF(db!$D$7="Yes",(db!$B$7)*T106,0))))</f>
        <v>0</v>
      </c>
      <c r="Y106" s="42">
        <f>IF(C106&gt;69,0,IF(C106=0,0,IF(X106&lt;=db!$L$3,X106,db!$L$3)))</f>
        <v>0</v>
      </c>
      <c r="Z106" s="29">
        <f>IF(AND(Changes!Change="Yes",Changes!ValidityYear&lt;=Table1[[#This Row],[Year]],Changes!ChangeType="Paid-Up",OR(PaidUpOption="Paid-up with no coverage",PaidUpOption="Paid-up with main coverage")),0,IF(OR(B106=0,Table1[[#This Row],[Accident Capital (2)]]=0),0,IF(AND(Changes!Change="Yes", Changes!ValidityYear&lt;=Table1[[#This Row],[Year]], Changes!ChangeType="Rider Inclusion/Exclusion", Changes!RiderType="Accident Medical Cost"), T106*Changes!NewChangedValue,IF(db!$D$9="Yes",(db!$B$9)*T106,0))))</f>
        <v>0</v>
      </c>
      <c r="AA106" s="29">
        <f>ROUND(IF(C106&gt;69,0,IF(C106=0,0,IF(Z106&lt;=db!$L$4,Z106,db!$L$4))),0)</f>
        <v>0</v>
      </c>
      <c r="AB106" s="38">
        <f>IF(AND(Changes!Change = "Yes", Changes!ChangeType = "Rider Inclusion/Exclusion", Changes!RiderType = "WOP"), IF( Changes!ValidityYear &lt;= Table1[[#This Row],[Year]], IF(WOP = "Yes", 0, 1),  IF(WOP = "Yes", 1, 0)), IF(AND(db!$D$8="Yes",C106&lt;=69,ROW()-1&lt;=InsurancePeriod), 1, 0))</f>
        <v>0</v>
      </c>
      <c r="AC106" s="17">
        <f>(AC107+K107)*AB106*((1)/(1+db!AA108))*(LOOKUP(C106,'Mortality Table'!$A$2:$A$108,'Mortality Table'!$E$2:$E$108))</f>
        <v>0</v>
      </c>
      <c r="AD106" s="340">
        <f>IF(AND(Changes!ValidityYear&lt;= Table1[[#This Row],[Year]],Changes!ChangeType="Change Value Adjustment",Changes!Change="Yes"), (AD107+L107)*AB106*((1)/(1+db!AA108))*(LOOKUP(C106,'Mortality Table'!$A$2:$A$108,'Mortality Table'!$E$2:$E$108)),Table1[[#This Row],[WOP Before Adj. BT]])</f>
        <v>0</v>
      </c>
      <c r="AE106" s="341">
        <f>IF(AND(Changes!Change="Yes", Changes!ChangeType="Change Value Adjustment"),Table1[[#This Row],[WOP Capital]],(AE107+O107)*AB106*((1)/(1+db!AA108))*(LOOKUP(D106,'Mortality Table'!$A$2:$A$108,'Mortality Table'!$E$2:$E$108)))</f>
        <v>0</v>
      </c>
      <c r="AF106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106" s="42">
        <f>IF(AND(Changes!Change="Yes", Changes!ValidityYear&lt;=Table1[[#This Row],[Year]], Changes!ChangeType="Rider Inclusion/Exclusion", Changes!RiderType="Disability Annuity"), L106*Changes!NewChangedValue,L106*db!B$10*IF(db!$D$10="Yes",1,0))</f>
        <v>0</v>
      </c>
      <c r="AH106" s="29">
        <f>IF(AND(Changes!Change="Yes",Changes!ValidityYear&lt;=Table1[[#This Row],[Year]],Changes!ChangeType="Paid-Up"),0,Table1[[#This Row],[Code Annuity Capital]]*IF('Annual Calculation'!C106&gt;69,0,(LOOKUP('Annual Calculation'!C106+1,'Mortality Table'!$A$2:$A$108,'Mortality Table'!$O$2:$O$108)-LOOKUP('Annual Calculation'!C106+11,'Mortality Table'!$A$2:$A$108,'Mortality Table'!$O$2:$O$108))/LOOKUP('Annual Calculation'!C106,'Mortality Table'!$A$2:$A$108,'Mortality Table'!$M$2:$M$108)))</f>
        <v>0</v>
      </c>
      <c r="AI106" s="17">
        <f>IF(AND(Changes!Change="Yes",Changes!ValidityYear&lt;=Table1[[#This Row],[Year]],Changes!ChangeType="Paid-Up",OR(PaidUpOption="Paid-up with no coverage",PaidUpOption="Paid-up with main coverage")),0,IF(B106=0,0,IF(AND(Changes!Change="Yes", Changes!ValidityYear&lt;=Table1[[#This Row],[Year]], Changes!ChangeType="Rider Inclusion/Exclusion", Changes!RiderType="Dread Disease"), T106*Changes!NewChangedValue,IF(db!$D$11="Yes",(db!$B$11)*T106,0))))</f>
        <v>0</v>
      </c>
      <c r="AJ106" s="42">
        <f>ROUND(IF(C106&gt;59,0,IF(C106=0,0,IF(AI106&lt;=db!$L$5,AI106,db!$L$5))),0)</f>
        <v>0</v>
      </c>
      <c r="AK106" s="29">
        <f>IF(AND(Changes!Change="Yes",Changes!ValidityYear&lt;=Table1[[#This Row],[Year]],Changes!ChangeType="Paid-Up",OR(PaidUpOption="Paid-up with no coverage",PaidUpOption="Paid-up with main coverage")),0,IF(B106=0,0,IF(AND(Changes!Change="Yes", Changes!ValidityYear&lt;=Table1[[#This Row],[Year]], Changes!ChangeType="Rider Inclusion/Exclusion", Changes!RiderType="Cancer"), T106*Changes!NewChangedValue,IF(db!$D$12="Yes",(db!$B$12)*T106,0))))</f>
        <v>0</v>
      </c>
      <c r="AL106" s="29">
        <f>ROUND(IF(C106&gt;59,0,IF(C106=0,0,IF(AK106&lt;=db!$L$6,AK106,db!$L$6))),0)</f>
        <v>0</v>
      </c>
      <c r="AM106" s="32"/>
      <c r="AN106" s="18">
        <f>IF(B106=0,0,IF(C106&lt;(db!$E$2+5),LOOKUP(C106,'Mortality Table'!$A$2:$A$108,'Mortality Table'!$P$2:$P$108),IF((C106&gt;=db!$E$2+10),LOOKUP(C106,'Mortality Table'!$A$2:$A$108,'Mortality Table'!$R$2:$R$108),LOOKUP(C106,'Mortality Table'!$A$2:$A$108,'Mortality Table'!$Q$2:$Q$108))))</f>
        <v>0</v>
      </c>
      <c r="AO106" s="22">
        <f t="shared" si="53"/>
        <v>0</v>
      </c>
      <c r="AP106" s="19">
        <f>IF(B106=0,0, LOOKUP(IF(AND(Changes!Change="Yes", Changes!ValidityYear&lt;=Table1[[#This Row],[Year]], Changes!ChangeType="Change Job Class"),Changes!NewChangedValue, db!$A$8),db!$AX$4:$AX$8,db!$AY$4:$AY$8))</f>
        <v>0</v>
      </c>
      <c r="AQ106" s="20">
        <f>ROUND((AP106/1000)*W106 * (1-db!$AS$9),0)</f>
        <v>0</v>
      </c>
      <c r="AR106" s="20">
        <f>(AP106/1000)*W106 * db!$AS$9</f>
        <v>0</v>
      </c>
      <c r="AS106" s="21">
        <f>IF(B106=0,0, LOOKUP(IF(AND(Changes!Change="Yes", Changes!ValidityYear&lt;=Table1[[#This Row],[Year]], Changes!ChangeType="Change Job Class"),Changes!NewChangedValue, db!$A$8),db!$AX$4:$AX$8,db!$AZ$4:$AZ$8))</f>
        <v>0</v>
      </c>
      <c r="AT106" s="22">
        <f>(AS106/1000)*Y106*(1-db!$AS$9)</f>
        <v>0</v>
      </c>
      <c r="AU106" s="22">
        <f>(AS106/1000)*Y106*(db!$AS$9)</f>
        <v>0</v>
      </c>
      <c r="AV106" s="23">
        <f>IF(B106=0,0, LOOKUP(IF(AND(Changes!Change="Yes", Changes!ValidityYear&lt;=Table1[[#This Row],[Year]], Changes!ChangeType="Change Job Class"),Changes!NewChangedValue, db!$A$8),db!$AX$4:$AX$8,db!$BA$4:$BA$8))</f>
        <v>0</v>
      </c>
      <c r="AW106" s="20">
        <f>ROUND((AV106/(100))*AA106*(1-db!$AS$9),0)</f>
        <v>0</v>
      </c>
      <c r="AX106" s="20">
        <f>ROUND((AV106/(100))*AA106*(db!$AS$9),0)</f>
        <v>0</v>
      </c>
      <c r="AY106" s="21">
        <f>IF(db!$D$8="Yes",AS106,0)</f>
        <v>0</v>
      </c>
      <c r="AZ106" s="22">
        <f>(AY106*AF106)/1000*(1-db!$AS$9)</f>
        <v>0</v>
      </c>
      <c r="BA106" s="22">
        <f>(AY106*AF106)/1000*(db!$AS$9)</f>
        <v>0</v>
      </c>
      <c r="BB106" s="23">
        <f t="shared" si="54"/>
        <v>0</v>
      </c>
      <c r="BC106" s="20">
        <f>(BB106*AH106/1000)*(1-db!$AS$9)</f>
        <v>0</v>
      </c>
      <c r="BD106" s="20">
        <f>(BB106*AH106/1000)*(db!$AS$9)</f>
        <v>0</v>
      </c>
      <c r="BE106" s="22">
        <f>IF(B106=0,0,IF(C106&gt;60,0,LOOKUP(Table1[[#This Row],[Medical
Age]],db!$BC$3:$BC$63,db!$BD$3:$BD$63)))</f>
        <v>0</v>
      </c>
      <c r="BF106" s="22">
        <f>BG106*db!$AS$10</f>
        <v>0</v>
      </c>
      <c r="BG106" s="22">
        <f t="shared" si="55"/>
        <v>0</v>
      </c>
      <c r="BH106" s="22">
        <f>(BE106/1000000)*AJ106*(1-db!$AS$10)</f>
        <v>0</v>
      </c>
      <c r="BI106" s="20">
        <f>IF(B106=0,0,IF(C106&gt;59,0,LOOKUP(Table1[[#This Row],[Medical
Age]],db!$BC$3:$BC$63,db!$BE$3:$BE$63)))</f>
        <v>0</v>
      </c>
      <c r="BJ106" s="20">
        <f>(BI106/1000000)*AL106*(1-db!$AS$11)</f>
        <v>0</v>
      </c>
      <c r="BK106" s="20">
        <f>(BI106/1000000)*AL106*(db!$AS$11)</f>
        <v>0</v>
      </c>
      <c r="BL106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106" s="20">
        <f>Table1[[#This Row],[RiskLoading
Rate]]*Table1[[#This Row],[Death Capital (2)]]</f>
        <v>0</v>
      </c>
      <c r="BN106" s="36"/>
      <c r="BO106" s="37">
        <f t="shared" si="56"/>
        <v>0</v>
      </c>
      <c r="BP106" s="35">
        <f t="shared" si="57"/>
        <v>0</v>
      </c>
      <c r="BQ106" s="35">
        <f t="shared" si="58"/>
        <v>0</v>
      </c>
      <c r="BR106" s="37">
        <f t="shared" si="50"/>
        <v>0</v>
      </c>
      <c r="BS106" s="37">
        <f t="shared" si="41"/>
        <v>0</v>
      </c>
      <c r="BT106" s="35">
        <f t="shared" si="42"/>
        <v>0</v>
      </c>
      <c r="BU106" s="35">
        <f t="shared" si="43"/>
        <v>0</v>
      </c>
      <c r="BV106" s="37">
        <f>(db!$AS$4/100)*(L106-BT106-BU106)</f>
        <v>0</v>
      </c>
      <c r="BW106" s="37">
        <f>(db!$AS$8/100)*(L106-BT106-BU106)</f>
        <v>0</v>
      </c>
      <c r="BX106" s="35"/>
      <c r="BY106" s="37"/>
      <c r="BZ106" s="37"/>
      <c r="CA106" s="35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106" s="33"/>
      <c r="CC106" s="39">
        <f>ROUND((Table1[[#This Row],[Premium]]-Table1[[#This Row],[All Deductions]]),0)</f>
        <v>0</v>
      </c>
      <c r="CD106" s="39">
        <f>IF(B106=0,0,Table1[[#This Row],[Initial Reserve]]+CE105)</f>
        <v>0</v>
      </c>
      <c r="CE106" s="40">
        <f>ROUND(IF(B106=0,0,((CC106)*(1+db!Y108))+((CE105)*(1+db!U108))),0)</f>
        <v>0</v>
      </c>
      <c r="CF106" s="40">
        <f t="shared" si="48"/>
        <v>0</v>
      </c>
      <c r="CG106" s="15">
        <f t="shared" si="44"/>
        <v>105</v>
      </c>
      <c r="CH106" s="39">
        <f>IF(B106=0,0,((CC106)*(1+db!AH108))+((CH105)*(1+db!AD108)))</f>
        <v>0</v>
      </c>
      <c r="CI106" s="39">
        <f>IF(B106=0,0,((CC106)*(1+db!AH108))+((CI105)*(1+db!AD108)))</f>
        <v>0</v>
      </c>
      <c r="CJ106" s="40">
        <f>IF(B106=0,0,((CC106)*(1+db!AO108))+((CJ105)*(1+db!AK108)))</f>
        <v>0</v>
      </c>
      <c r="CK106" s="40">
        <f>CJ106-(SUM(BX$7:$BX107))</f>
        <v>0</v>
      </c>
    </row>
    <row r="107" spans="1:90">
      <c r="A107" s="24">
        <f t="shared" si="45"/>
        <v>106</v>
      </c>
      <c r="B107" s="16">
        <f>IF(AND(Changes!Change="Yes", Changes!ChangeType="Change Contract Duration"),IF(B106=0,0,IF(Changes!NewChangedValue&lt;B106+1,0,B106+1)),IF(B106=0,0,IF('Application Annually'!$C$5&lt;B106+1,0,B106+1)))</f>
        <v>0</v>
      </c>
      <c r="C107" s="296">
        <f t="shared" si="49"/>
        <v>0</v>
      </c>
      <c r="D107" s="312">
        <f t="shared" si="47"/>
        <v>133</v>
      </c>
      <c r="E107" s="312">
        <f>IF(AND(Changes!Change="Yes", Changes!ValidityYear&lt;=Table1[[#This Row],[Year]], Changes!ChangeType="Change Risk Loading"), LOOKUP(Table1[[#This Row],[Age]],RiskLoadingChange!A$3:A$109,RiskLoadingChange!DG$3:DG$109), IF(Table1[[#This Row],[Year]]=0,0,LOOKUP(Table1[[#This Row],[Age]],RiskLoading!A$3:A$109,RiskLoading!DG$3:DG$109)))</f>
        <v>0</v>
      </c>
      <c r="F107" s="297">
        <f t="shared" si="37"/>
        <v>0</v>
      </c>
      <c r="G107" s="297">
        <f t="shared" si="38"/>
        <v>0</v>
      </c>
      <c r="H107" s="297">
        <f t="shared" si="51"/>
        <v>0</v>
      </c>
      <c r="I107" s="29">
        <f>IF(B107&gt;0,IF(AND(Table1[[#This Row],[Year]]&gt;Changes!ValidityYear,Changes!Change="Yes",Changes!ChangeType="Change Value Adjustment"),Changes!$G$22,'Application Annually'!$C$11),0)</f>
        <v>0</v>
      </c>
      <c r="J107" s="29">
        <f>IF(B107&gt;0,IF(AND(Table1[[#This Row],[Year]]&gt;Changes!ValidityYear,Changes!Change="Yes",Changes!ChangeType="Change Value Adjustment"),Changes!$G$24,'Application Annually'!$C$7),0)</f>
        <v>0</v>
      </c>
      <c r="K107" s="29">
        <f>ROUND(IF(B107=0,0,IF(AND(Changes!Change="Yes", Changes!ValidityYear=Table1[[#This Row],[Year]], Changes!ChangeType="Change Premium"), Changes!NewChangedValue, (K106*(1+db!$B$3)))),0)</f>
        <v>0</v>
      </c>
      <c r="L107" s="29">
        <f>ROUND(IF(AND(Changes!Change="Yes",Changes!ValidityYear&lt;=Table1[[#This Row],[Year]],Changes!ChangeType="Paid-Up"),0,IF(B107=0,0,IF(AND(Changes!Change="Yes", Changes!ValidityYear=Table1[[#This Row],[Year]], Changes!ChangeType="Change Premium"), Changes!NewChangedValue, (L106*(1+Table1[[#This Row],[Adjustment Factor of Premium]]/100))))),0)</f>
        <v>0</v>
      </c>
      <c r="M107" s="29">
        <f>IF(Table1[[#This Row],[Year]]=1,ROUND(MIN($L$2 -( Table1[[#This Row],[Riders Risk Premiums]] + Table1[[#This Row],[Acquisition Cost]]) *0.75,Table1[[#This Row],[Death Capital (1)]]* 0.03),0),0)</f>
        <v>0</v>
      </c>
      <c r="N107" s="29">
        <f>IF(Table1[[#This Row],[Year]]=1,ROUND($L$2 - (Table1[[#This Row],[Accident Death Risk Premium]]+Table1[[#This Row],[Accident Death Acquisition Cost]]+Table1[[#This Row],[Accident Disability Risk Premium]]+Table1[[#This Row],[Accident Disability Acquisition Cost]]+Table1[[#This Row],[Accident Medical Cost Risk Premium]]+Table1[[#This Row],[Accident Medical Cost Acquisition Cost]]+Table1[[#This Row],[WOP Risk Premium]]+Table1[[#This Row],[WOP Acquisition Cost]]+Table1[[#This Row],[Disability Annuity Risk Premium]]+Table1[[#This Row],[Disability Annuity Acquisition Cost]]+Table1[[#This Row],[Dread Disease Risk Premium]]+Table1[[#This Row],[Dread Disease Acquisition Cost]]+Table1[[#This Row],[Cancer Risk Premium]]+Table1[[#This Row],[Cancer Acquisition Cost]]),0),0)</f>
        <v>0</v>
      </c>
      <c r="O107" s="29">
        <f>ROUND(IF(ROW()-1&gt;InsurancePeriod,0,(O106*(1+(Table1[[#This Row],[Adjustment Factor of Premium]]/100)))),0)</f>
        <v>0</v>
      </c>
      <c r="P107" s="29">
        <f>IF(Table1[Year] = 0, 0, SUM(L$2:L107))</f>
        <v>0</v>
      </c>
      <c r="Q107" s="298">
        <f t="shared" si="52"/>
        <v>0</v>
      </c>
      <c r="R107" s="298">
        <f>IF(Table1[[#This Row],[Year]]=0,0,IF($C$2&lt;=50,LOOKUP(Table1[[#This Row],[Age]],db!BG108:BG214,db!BH108:BH214),LOOKUP(Table1[[#This Row],[Age]],db!BJ108:BJ214,db!BK108:BK214)))</f>
        <v>0</v>
      </c>
      <c r="S107" s="17">
        <f>IF(AND(Changes!Change="Yes",Changes!ValidityYear&lt;=Table1[[#This Row],[Year]],Changes!ChangeType="Paid-Up",PaidUpOption="Paid-up with no coverage"),0,IF(B107=0,0, IF(AND(Changes!Change="Yes", Changes!ValidityYear=Table1[[#This Row],[Year]], Changes!ChangeType="Change Death Capital"), Changes!NewChangedValue, S106*(1+(Table1[[#This Row],[Adjustment Factor of Death Capital]]/100)))))</f>
        <v>0</v>
      </c>
      <c r="T107" s="298">
        <f>MIN(IF(B107=0,0,Table1[[#This Row],[Death Capital (1)]]),Table1[[#This Row],[Max Sum Insured For Death]])</f>
        <v>0</v>
      </c>
      <c r="U107" s="297">
        <f t="shared" si="39"/>
        <v>0</v>
      </c>
      <c r="V107" s="29">
        <f>IF(AND(Changes!Change="Yes",Changes!ValidityYear&lt;=Table1[[#This Row],[Year]],Changes!ChangeType="Paid-Up",OR(PaidUpOption="Paid-up with no coverage",PaidUpOption="Paid-up with main coverage")),0,IF(B107=0,0,IF(AND(Changes!Change="Yes", Changes!ValidityYear&lt;=Table1[[#This Row],[Year]], Changes!ChangeType="Rider Inclusion/Exclusion", Changes!RiderType="Accident Death"), T107*Changes!NewChangedValue,IF(db!$D$6="Yes",(db!$B$6)*T107,0))))</f>
        <v>0</v>
      </c>
      <c r="W107" s="297">
        <f>MIN(IF(V107&lt;=db!$L$2,V107,db!$L$2),MAX_ACC_CAPITAL)</f>
        <v>0</v>
      </c>
      <c r="X107" s="17">
        <f>IF(AND(Changes!Change="Yes",Changes!ValidityYear&lt;=Table1[[#This Row],[Year]],Changes!ChangeType="Paid-Up",OR(PaidUpOption="Paid-up with no coverage",PaidUpOption="Paid-up with main coverage")),0,IF(OR(B107=0,Table1[[#This Row],[Accident Capital (2)]]=0),0,IF(AND(Changes!Change="Yes", Changes!ValidityYear&lt;=Table1[[#This Row],[Year]], Changes!ChangeType="Rider Inclusion/Exclusion", Changes!RiderType="Accident Disability"), T107*Changes!NewChangedValue,IF(db!$D$7="Yes",(db!$B$7)*T107,0))))</f>
        <v>0</v>
      </c>
      <c r="Y107" s="299">
        <f>IF(C107&gt;69,0,IF(C107=0,0,IF(X107&lt;=db!$L$3,X107,db!$L$3)))</f>
        <v>0</v>
      </c>
      <c r="Z107" s="29">
        <f>IF(AND(Changes!Change="Yes",Changes!ValidityYear&lt;=Table1[[#This Row],[Year]],Changes!ChangeType="Paid-Up",OR(PaidUpOption="Paid-up with no coverage",PaidUpOption="Paid-up with main coverage")),0,IF(OR(B107=0,Table1[[#This Row],[Accident Capital (2)]]=0),0,IF(AND(Changes!Change="Yes", Changes!ValidityYear&lt;=Table1[[#This Row],[Year]], Changes!ChangeType="Rider Inclusion/Exclusion", Changes!RiderType="Accident Medical Cost"), T107*Changes!NewChangedValue,IF(db!$D$9="Yes",(db!$B$9)*T107,0))))</f>
        <v>0</v>
      </c>
      <c r="AA107" s="297">
        <f>ROUND(IF(C107&gt;69,0,IF(C107=0,0,IF(Z107&lt;=db!$L$4,Z107,db!$L$4))),0)</f>
        <v>0</v>
      </c>
      <c r="AB107" s="38">
        <f>IF(AND(Changes!Change = "Yes", Changes!ChangeType = "Rider Inclusion/Exclusion", Changes!RiderType = "WOP"), IF( Changes!ValidityYear &lt;= Table1[[#This Row],[Year]], IF(WOP = "Yes", 0, 1),  IF(WOP = "Yes", 1, 0)), IF(AND(db!$D$8="Yes",C107&lt;=69,ROW()-1&lt;=InsurancePeriod), 1, 0))</f>
        <v>0</v>
      </c>
      <c r="AC107" s="17">
        <f>(AC108+K108)*AB107*((1)/(1+db!AA109))*(LOOKUP(C107,'Mortality Table'!$A$2:$A$108,'Mortality Table'!$E$2:$E$108))</f>
        <v>0</v>
      </c>
      <c r="AD107" s="340">
        <f>IF(AND(Changes!ValidityYear&lt;= Table1[[#This Row],[Year]],Changes!ChangeType="Change Value Adjustment",Changes!Change="Yes"), (AD108+L108)*AB107*((1)/(1+db!AA109))*(LOOKUP(C107,'Mortality Table'!$A$2:$A$108,'Mortality Table'!$E$2:$E$108)),Table1[[#This Row],[WOP Before Adj. BT]])</f>
        <v>0</v>
      </c>
      <c r="AE107" s="341">
        <f>IF(AND(Changes!Change="Yes", Changes!ChangeType="Change Value Adjustment"),Table1[[#This Row],[WOP Capital]],(AE108+O108)*AB107*((1)/(1+db!AA109))*(LOOKUP(D107,'Mortality Table'!$A$2:$A$108,'Mortality Table'!$E$2:$E$108)))</f>
        <v>0</v>
      </c>
      <c r="AF107" s="17">
        <f>IF(AND(Changes!Change="Yes",Changes!ValidityYear&lt;=Table1[[#This Row],[Year]],Changes!ChangeType="Paid-Up"),0,IF(AND(Changes!Change="Yes", Changes!ValidityYear&lt;=ROW()-1),Table1[[#This Row],[WOP Capital]],Table1[[#This Row],[WOP without change]]))</f>
        <v>0</v>
      </c>
      <c r="AG107" s="299">
        <f>IF(AND(Changes!Change="Yes", Changes!ValidityYear&lt;=Table1[[#This Row],[Year]], Changes!ChangeType="Rider Inclusion/Exclusion", Changes!RiderType="Disability Annuity"), L107*Changes!NewChangedValue,L107*db!B$10*IF(db!$D$10="Yes",1,0))</f>
        <v>0</v>
      </c>
      <c r="AH107" s="29">
        <f>IF(AND(Changes!Change="Yes",Changes!ValidityYear&lt;=Table1[[#This Row],[Year]],Changes!ChangeType="Paid-Up"),0,Table1[[#This Row],[Code Annuity Capital]]*IF('Annual Calculation'!C107&gt;69,0,(LOOKUP('Annual Calculation'!C107+1,'Mortality Table'!$A$2:$A$108,'Mortality Table'!$O$2:$O$108)-LOOKUP('Annual Calculation'!C107+11,'Mortality Table'!$A$2:$A$108,'Mortality Table'!$O$2:$O$108))/LOOKUP('Annual Calculation'!C107,'Mortality Table'!$A$2:$A$108,'Mortality Table'!$M$2:$M$108)))</f>
        <v>0</v>
      </c>
      <c r="AI107" s="17">
        <f>IF(AND(Changes!Change="Yes",Changes!ValidityYear&lt;=Table1[[#This Row],[Year]],Changes!ChangeType="Paid-Up",OR(PaidUpOption="Paid-up with no coverage",PaidUpOption="Paid-up with main coverage")),0,IF(B107=0,0,IF(AND(Changes!Change="Yes", Changes!ValidityYear&lt;=Table1[[#This Row],[Year]], Changes!ChangeType="Rider Inclusion/Exclusion", Changes!RiderType="Dread Disease"), T107*Changes!NewChangedValue,IF(db!$D$11="Yes",(db!$B$11)*T107,0))))</f>
        <v>0</v>
      </c>
      <c r="AJ107" s="299">
        <f>ROUND(IF(C107&gt;59,0,IF(C107=0,0,IF(AI107&lt;=db!$L$5,AI107,db!$L$5))),0)</f>
        <v>0</v>
      </c>
      <c r="AK107" s="29">
        <f>IF(AND(Changes!Change="Yes",Changes!ValidityYear&lt;=Table1[[#This Row],[Year]],Changes!ChangeType="Paid-Up",OR(PaidUpOption="Paid-up with no coverage",PaidUpOption="Paid-up with main coverage")),0,IF(B107=0,0,IF(AND(Changes!Change="Yes", Changes!ValidityYear&lt;=Table1[[#This Row],[Year]], Changes!ChangeType="Rider Inclusion/Exclusion", Changes!RiderType="Cancer"), T107*Changes!NewChangedValue,IF(db!$D$12="Yes",(db!$B$12)*T107,0))))</f>
        <v>0</v>
      </c>
      <c r="AL107" s="297">
        <f>ROUND(IF(C107&gt;59,0,IF(C107=0,0,IF(AK107&lt;=db!$L$6,AK107,db!$L$6))),0)</f>
        <v>0</v>
      </c>
      <c r="AM107" s="300"/>
      <c r="AN107" s="301">
        <f>IF(B107=0,0,IF(C107&lt;(db!$E$2+5),LOOKUP(C107,'Mortality Table'!$A$2:$A$108,'Mortality Table'!$P$2:$P$108),IF((C107&gt;=db!$E$2+10),LOOKUP(C107,'Mortality Table'!$A$2:$A$108,'Mortality Table'!$R$2:$R$108),LOOKUP(C107,'Mortality Table'!$A$2:$A$108,'Mortality Table'!$Q$2:$Q$108))))</f>
        <v>0</v>
      </c>
      <c r="AO107" s="302">
        <f t="shared" si="53"/>
        <v>0</v>
      </c>
      <c r="AP107" s="19">
        <f>IF(B107=0,0, LOOKUP(IF(AND(Changes!Change="Yes", Changes!ValidityYear&lt;=Table1[[#This Row],[Year]], Changes!ChangeType="Change Job Class"),Changes!NewChangedValue, db!$A$8),db!$AX$4:$AX$8,db!$AY$4:$AY$8))</f>
        <v>0</v>
      </c>
      <c r="AQ107" s="304">
        <f>ROUND((AP107/1000)*W107 * (1-db!$AS$9),0)</f>
        <v>0</v>
      </c>
      <c r="AR107" s="304">
        <f>(AP107/1000)*W107 * db!$AS$9</f>
        <v>0</v>
      </c>
      <c r="AS107" s="21">
        <f>IF(B107=0,0, LOOKUP(IF(AND(Changes!Change="Yes", Changes!ValidityYear&lt;=Table1[[#This Row],[Year]], Changes!ChangeType="Change Job Class"),Changes!NewChangedValue, db!$A$8),db!$AX$4:$AX$8,db!$AZ$4:$AZ$8))</f>
        <v>0</v>
      </c>
      <c r="AT107" s="302">
        <f>(AS107/1000)*Y107*(1-db!$AS$9)</f>
        <v>0</v>
      </c>
      <c r="AU107" s="302">
        <f>(AS107/1000)*Y107*(db!$AS$9)</f>
        <v>0</v>
      </c>
      <c r="AV107" s="23">
        <f>IF(B107=0,0, LOOKUP(IF(AND(Changes!Change="Yes", Changes!ValidityYear&lt;=Table1[[#This Row],[Year]], Changes!ChangeType="Change Job Class"),Changes!NewChangedValue, db!$A$8),db!$AX$4:$AX$8,db!$BA$4:$BA$8))</f>
        <v>0</v>
      </c>
      <c r="AW107" s="304">
        <f>ROUND((AV107/(100))*AA107*(1-db!$AS$9),0)</f>
        <v>0</v>
      </c>
      <c r="AX107" s="304">
        <f>ROUND((AV107/(100))*AA107*(db!$AS$9),0)</f>
        <v>0</v>
      </c>
      <c r="AY107" s="305">
        <f>IF(db!$D$8="Yes",AS107,0)</f>
        <v>0</v>
      </c>
      <c r="AZ107" s="302">
        <f>(AY107*AF107)/1000*(1-db!$AS$9)</f>
        <v>0</v>
      </c>
      <c r="BA107" s="302">
        <f>(AY107*AF107)/1000*(db!$AS$9)</f>
        <v>0</v>
      </c>
      <c r="BB107" s="306">
        <f t="shared" si="54"/>
        <v>0</v>
      </c>
      <c r="BC107" s="304">
        <f>(BB107*AH107/1000)*(1-db!$AS$9)</f>
        <v>0</v>
      </c>
      <c r="BD107" s="304">
        <f>(BB107*AH107/1000)*(db!$AS$9)</f>
        <v>0</v>
      </c>
      <c r="BE107" s="22">
        <f>IF(B107=0,0,IF(C107&gt;60,0,LOOKUP(Table1[[#This Row],[Medical
Age]],db!$BC$3:$BC$63,db!$BD$3:$BD$63)))</f>
        <v>0</v>
      </c>
      <c r="BF107" s="302">
        <f>BG107*db!$AS$10</f>
        <v>0</v>
      </c>
      <c r="BG107" s="302">
        <f t="shared" si="55"/>
        <v>0</v>
      </c>
      <c r="BH107" s="302">
        <f>(BE107/1000000)*AJ107*(1-db!$AS$10)</f>
        <v>0</v>
      </c>
      <c r="BI107" s="20">
        <f>IF(B107=0,0,IF(C107&gt;59,0,LOOKUP(Table1[[#This Row],[Medical
Age]],db!$BC$3:$BC$63,db!$BE$3:$BE$63)))</f>
        <v>0</v>
      </c>
      <c r="BJ107" s="304">
        <f>(BI107/1000000)*AL107*(1-db!$AS$11)</f>
        <v>0</v>
      </c>
      <c r="BK107" s="304">
        <f>(BI107/1000000)*AL107*(db!$AS$11)</f>
        <v>0</v>
      </c>
      <c r="BL107" s="19">
        <f>IF(Table1[Year]=0,0,IF(AND(Changes!Change="Yes", Changes!ValidityYear&lt;=Table1[[#This Row],[Year]], Changes!ChangeType="Change Risk Loading"), LOOKUP(Table1[Age],RiskLoadingChange!A$3:A$109,RiskLoadingChange!DT$3:DT$109), LOOKUP(Table1[Age],RiskLoading!A$3:A$109,RiskLoading!DT$3:DT$109)))</f>
        <v>0</v>
      </c>
      <c r="BM107" s="20">
        <f>Table1[[#This Row],[RiskLoading
Rate]]*Table1[[#This Row],[Death Capital (2)]]</f>
        <v>0</v>
      </c>
      <c r="BN107" s="307"/>
      <c r="BO107" s="308">
        <f t="shared" si="56"/>
        <v>0</v>
      </c>
      <c r="BP107" s="309">
        <f t="shared" si="57"/>
        <v>0</v>
      </c>
      <c r="BQ107" s="309">
        <f t="shared" si="58"/>
        <v>0</v>
      </c>
      <c r="BR107" s="308">
        <f t="shared" si="50"/>
        <v>0</v>
      </c>
      <c r="BS107" s="308">
        <f t="shared" si="41"/>
        <v>0</v>
      </c>
      <c r="BT107" s="309">
        <f t="shared" si="42"/>
        <v>0</v>
      </c>
      <c r="BU107" s="309">
        <f t="shared" si="43"/>
        <v>0</v>
      </c>
      <c r="BV107" s="308">
        <f>(db!$AS$4/100)*(L107-BT107-BU107)</f>
        <v>0</v>
      </c>
      <c r="BW107" s="308">
        <f>(db!$AS$8/100)*(L107-BT107-BU107)</f>
        <v>0</v>
      </c>
      <c r="BX107" s="309"/>
      <c r="BY107" s="308"/>
      <c r="BZ107" s="308"/>
      <c r="CA107" s="309">
        <f>ROUND(Table1[[#This Row],[RiskLoading
Risk Premium]]+Table1[[#This Row],[Sale Commission (2)]]+Table1[[#This Row],[Insuring Cost ]]+Table1[[#This Row],[Acquisition Cost]]+Table1[[#This Row],[Riders Risk Premiums]]+Table1[[#This Row],[Riders Acquisition Costs]]+Table1[[#This Row],[Main Risk Premium]]+Table1[[#This Row],[Administrative Cost Private]],0)</f>
        <v>0</v>
      </c>
      <c r="CB107" s="310"/>
      <c r="CC107" s="39">
        <f>ROUND((Table1[[#This Row],[Premium]]-Table1[[#This Row],[All Deductions]]),0)</f>
        <v>0</v>
      </c>
      <c r="CD107" s="39">
        <f>IF(B107=0,0,Table1[[#This Row],[Initial Reserve]]+CE106)</f>
        <v>0</v>
      </c>
      <c r="CE107" s="40">
        <f>ROUND(IF(B107=0,0,((CC107)*(1+db!Y109))+((CE106)*(1+db!U109))),0)</f>
        <v>0</v>
      </c>
      <c r="CF107" s="311">
        <f t="shared" si="48"/>
        <v>0</v>
      </c>
      <c r="CG107" s="15">
        <f t="shared" si="44"/>
        <v>106</v>
      </c>
      <c r="CH107" s="39">
        <f>IF(B107=0,0,((CC107)*(1+db!AH109))+((CH106)*(1+db!AD109)))</f>
        <v>0</v>
      </c>
      <c r="CI107" s="39">
        <f>IF(B107=0,0,((CC107)*(1+db!AH109))+((CI106)*(1+db!AD109)))</f>
        <v>0</v>
      </c>
      <c r="CJ107" s="40">
        <f>IF(B107=0,0,((CC107)*(1+db!AO109))+((CJ106)*(1+db!AK109)))</f>
        <v>0</v>
      </c>
      <c r="CK107" s="40">
        <f>CJ107-(SUM(BX$7:$BX108))</f>
        <v>0</v>
      </c>
    </row>
    <row r="108" spans="1:90">
      <c r="B108"/>
      <c r="C108"/>
      <c r="D108" s="11"/>
      <c r="E108"/>
      <c r="F108"/>
      <c r="G108"/>
      <c r="H108"/>
      <c r="I108" s="11"/>
      <c r="J108" s="11"/>
      <c r="K108" s="11"/>
      <c r="L108"/>
      <c r="M108" s="11"/>
      <c r="N108" s="11"/>
      <c r="O108" s="11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 s="11"/>
      <c r="AD108"/>
      <c r="AE108" s="11"/>
      <c r="AF108" s="11"/>
      <c r="AG108" s="11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 s="11"/>
      <c r="CE108"/>
      <c r="CF108"/>
      <c r="CG108"/>
      <c r="CH108"/>
      <c r="CI108"/>
      <c r="CJ108"/>
      <c r="CK108"/>
      <c r="CL108"/>
    </row>
    <row r="109" spans="1:90">
      <c r="B109"/>
      <c r="C109"/>
      <c r="D109" s="11"/>
      <c r="E109"/>
      <c r="F109"/>
      <c r="G109"/>
      <c r="H109"/>
      <c r="I109" s="11"/>
      <c r="J109" s="11"/>
      <c r="K109" s="11"/>
      <c r="L109"/>
      <c r="M109" s="11"/>
      <c r="N109" s="11"/>
      <c r="O109" s="11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 s="11"/>
      <c r="AD109"/>
      <c r="AE109" s="11"/>
      <c r="AF109" s="11"/>
      <c r="AG109" s="11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 s="11"/>
      <c r="CE109"/>
      <c r="CF109"/>
      <c r="CG109"/>
      <c r="CH109"/>
      <c r="CI109"/>
      <c r="CJ109"/>
      <c r="CK109"/>
      <c r="CL109"/>
    </row>
    <row r="110" spans="1:90">
      <c r="B110"/>
      <c r="C110"/>
      <c r="D110" s="11"/>
      <c r="E110"/>
      <c r="F110"/>
      <c r="G110"/>
      <c r="H110"/>
      <c r="I110" s="11"/>
      <c r="J110" s="11"/>
      <c r="K110" s="11"/>
      <c r="L110"/>
      <c r="M110" s="11"/>
      <c r="N110" s="11"/>
      <c r="O110" s="11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 s="11"/>
      <c r="AD110"/>
      <c r="AE110" s="11"/>
      <c r="AF110" s="11"/>
      <c r="AG110" s="11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 s="11"/>
      <c r="CE110"/>
      <c r="CF110"/>
      <c r="CG110"/>
      <c r="CH110"/>
      <c r="CI110"/>
      <c r="CJ110"/>
      <c r="CK110"/>
      <c r="CL110"/>
    </row>
    <row r="111" spans="1:90">
      <c r="B111"/>
      <c r="C111"/>
      <c r="D111" s="11"/>
      <c r="E111"/>
      <c r="F111"/>
      <c r="G111"/>
      <c r="H111"/>
      <c r="I111" s="11"/>
      <c r="J111" s="11"/>
      <c r="K111" s="11"/>
      <c r="L111"/>
      <c r="M111" s="11"/>
      <c r="N111" s="11"/>
      <c r="O111" s="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 s="11"/>
      <c r="AD111"/>
      <c r="AE111" s="11"/>
      <c r="AF111" s="11"/>
      <c r="AG111" s="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 s="11"/>
      <c r="CE111"/>
      <c r="CF111"/>
      <c r="CG111"/>
      <c r="CH111"/>
      <c r="CI111"/>
      <c r="CJ111"/>
      <c r="CK111"/>
      <c r="CL111"/>
    </row>
    <row r="112" spans="1:90">
      <c r="B112"/>
      <c r="C112"/>
      <c r="D112" s="11"/>
      <c r="E112"/>
      <c r="F112"/>
      <c r="G112"/>
      <c r="H112"/>
      <c r="I112" s="11"/>
      <c r="J112" s="11"/>
      <c r="K112" s="11"/>
      <c r="L112"/>
      <c r="M112" s="11"/>
      <c r="N112" s="11"/>
      <c r="O112" s="11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 s="11"/>
      <c r="AD112"/>
      <c r="AE112" s="11"/>
      <c r="AF112" s="11"/>
      <c r="AG112" s="11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 s="11"/>
      <c r="CE112"/>
      <c r="CF112"/>
      <c r="CG112"/>
      <c r="CH112"/>
      <c r="CI112"/>
      <c r="CJ112"/>
      <c r="CK112"/>
      <c r="CL112"/>
    </row>
    <row r="113" spans="2:90">
      <c r="B113"/>
      <c r="C113"/>
      <c r="D113" s="11"/>
      <c r="E113"/>
      <c r="F113"/>
      <c r="G113"/>
      <c r="H113"/>
      <c r="I113" s="11"/>
      <c r="J113" s="11"/>
      <c r="K113" s="11"/>
      <c r="L113"/>
      <c r="M113" s="11"/>
      <c r="N113" s="11"/>
      <c r="O113" s="11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 s="11"/>
      <c r="AD113"/>
      <c r="AE113" s="11"/>
      <c r="AF113" s="11"/>
      <c r="AG113" s="11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 s="11"/>
      <c r="CE113"/>
      <c r="CF113"/>
      <c r="CG113"/>
      <c r="CH113"/>
      <c r="CI113"/>
      <c r="CJ113"/>
      <c r="CK113"/>
      <c r="CL113"/>
    </row>
    <row r="114" spans="2:90">
      <c r="B114"/>
      <c r="C114"/>
      <c r="D114" s="11"/>
      <c r="E114"/>
      <c r="F114"/>
      <c r="G114"/>
      <c r="H114"/>
      <c r="I114" s="11"/>
      <c r="J114" s="11"/>
      <c r="K114" s="11"/>
      <c r="L114"/>
      <c r="M114" s="11"/>
      <c r="N114" s="11"/>
      <c r="O114" s="11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 s="11"/>
      <c r="AD114"/>
      <c r="AE114" s="11"/>
      <c r="AF114" s="11"/>
      <c r="AG114" s="11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 s="11"/>
      <c r="CE114"/>
      <c r="CF114"/>
      <c r="CG114"/>
      <c r="CH114"/>
      <c r="CI114"/>
      <c r="CJ114"/>
      <c r="CK114"/>
      <c r="CL114"/>
    </row>
    <row r="115" spans="2:90">
      <c r="B115"/>
      <c r="C115"/>
      <c r="D115" s="11"/>
      <c r="E115"/>
      <c r="F115"/>
      <c r="G115"/>
      <c r="H115"/>
      <c r="I115" s="11"/>
      <c r="J115" s="11"/>
      <c r="K115" s="11"/>
      <c r="L115"/>
      <c r="M115" s="11"/>
      <c r="N115" s="11"/>
      <c r="O115" s="11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 s="11"/>
      <c r="AD115"/>
      <c r="AE115" s="11"/>
      <c r="AF115" s="11"/>
      <c r="AG115" s="11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 s="11"/>
      <c r="CE115"/>
      <c r="CF115"/>
      <c r="CG115"/>
      <c r="CH115"/>
      <c r="CI115"/>
      <c r="CJ115"/>
      <c r="CK115"/>
      <c r="CL115"/>
    </row>
    <row r="116" spans="2:90">
      <c r="B116"/>
      <c r="C116"/>
      <c r="D116" s="11"/>
      <c r="E116"/>
      <c r="F116"/>
      <c r="G116"/>
      <c r="H116"/>
      <c r="I116" s="11"/>
      <c r="J116" s="11"/>
      <c r="K116" s="11"/>
      <c r="L116"/>
      <c r="M116" s="11"/>
      <c r="N116" s="11"/>
      <c r="O116" s="11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 s="11"/>
      <c r="AD116"/>
      <c r="AE116" s="11"/>
      <c r="AF116" s="11"/>
      <c r="AG116" s="11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 s="11"/>
      <c r="CE116"/>
      <c r="CF116"/>
      <c r="CG116"/>
      <c r="CH116"/>
      <c r="CI116"/>
      <c r="CJ116"/>
      <c r="CK116"/>
      <c r="CL116"/>
    </row>
    <row r="117" spans="2:90">
      <c r="B117"/>
      <c r="C117"/>
      <c r="D117" s="11"/>
      <c r="E117"/>
      <c r="F117"/>
      <c r="G117"/>
      <c r="H117"/>
      <c r="I117" s="11"/>
      <c r="J117" s="11"/>
      <c r="K117" s="11"/>
      <c r="L117"/>
      <c r="M117" s="11"/>
      <c r="N117" s="11"/>
      <c r="O117" s="11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 s="11"/>
      <c r="AD117"/>
      <c r="AE117" s="11"/>
      <c r="AF117" s="11"/>
      <c r="AG117" s="11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 s="11"/>
      <c r="CE117"/>
      <c r="CF117"/>
      <c r="CG117"/>
      <c r="CH117"/>
      <c r="CI117"/>
      <c r="CJ117"/>
      <c r="CK117"/>
      <c r="CL117"/>
    </row>
    <row r="118" spans="2:90">
      <c r="B118"/>
      <c r="C118"/>
      <c r="D118" s="11"/>
      <c r="E118"/>
      <c r="F118"/>
      <c r="G118"/>
      <c r="H118"/>
      <c r="I118" s="11"/>
      <c r="J118" s="11"/>
      <c r="K118" s="11"/>
      <c r="L118"/>
      <c r="M118" s="11"/>
      <c r="N118" s="11"/>
      <c r="O118" s="11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 s="11"/>
      <c r="AD118"/>
      <c r="AE118" s="11"/>
      <c r="AF118" s="11"/>
      <c r="AG118" s="11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 s="11"/>
      <c r="CE118"/>
      <c r="CF118"/>
      <c r="CG118"/>
      <c r="CH118"/>
      <c r="CI118"/>
      <c r="CJ118"/>
      <c r="CK118"/>
      <c r="CL118"/>
    </row>
    <row r="119" spans="2:90">
      <c r="B119"/>
      <c r="C119"/>
      <c r="D119" s="11"/>
      <c r="E119"/>
      <c r="F119"/>
      <c r="G119"/>
      <c r="H119"/>
      <c r="I119" s="11"/>
      <c r="J119" s="11"/>
      <c r="K119" s="11"/>
      <c r="L119"/>
      <c r="M119" s="11"/>
      <c r="N119" s="11"/>
      <c r="O119" s="11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 s="11"/>
      <c r="AD119"/>
      <c r="AE119" s="11"/>
      <c r="AF119" s="11"/>
      <c r="AG119" s="11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 s="11"/>
      <c r="CE119"/>
      <c r="CF119"/>
      <c r="CG119"/>
      <c r="CH119"/>
      <c r="CI119"/>
      <c r="CJ119"/>
      <c r="CK119"/>
      <c r="CL119"/>
    </row>
    <row r="120" spans="2:90">
      <c r="B120"/>
      <c r="C120"/>
      <c r="D120" s="11"/>
      <c r="E120"/>
      <c r="F120"/>
      <c r="G120"/>
      <c r="H120"/>
      <c r="I120" s="11"/>
      <c r="J120" s="11"/>
      <c r="K120" s="11"/>
      <c r="L120"/>
      <c r="M120" s="11"/>
      <c r="N120" s="11"/>
      <c r="O120" s="11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 s="11"/>
      <c r="AD120"/>
      <c r="AE120" s="11"/>
      <c r="AF120" s="11"/>
      <c r="AG120" s="11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 s="11"/>
      <c r="CE120"/>
      <c r="CF120"/>
      <c r="CG120"/>
      <c r="CH120"/>
      <c r="CI120"/>
      <c r="CJ120"/>
      <c r="CK120"/>
      <c r="CL120"/>
    </row>
    <row r="121" spans="2:90">
      <c r="B121"/>
      <c r="C121"/>
      <c r="D121" s="11"/>
      <c r="E121"/>
      <c r="F121"/>
      <c r="G121"/>
      <c r="H121"/>
      <c r="I121" s="11"/>
      <c r="J121" s="11"/>
      <c r="K121" s="11"/>
      <c r="L121"/>
      <c r="M121" s="11"/>
      <c r="N121" s="11"/>
      <c r="O121" s="1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 s="11"/>
      <c r="AD121"/>
      <c r="AE121" s="11"/>
      <c r="AF121" s="11"/>
      <c r="AG121" s="1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 s="11"/>
      <c r="CE121"/>
      <c r="CF121"/>
      <c r="CG121"/>
      <c r="CH121"/>
      <c r="CI121"/>
      <c r="CJ121"/>
      <c r="CK121"/>
      <c r="CL121"/>
    </row>
    <row r="122" spans="2:90">
      <c r="B122"/>
      <c r="C122"/>
      <c r="D122" s="11"/>
      <c r="E122"/>
      <c r="F122"/>
      <c r="G122"/>
      <c r="H122"/>
      <c r="I122" s="11"/>
      <c r="J122" s="11"/>
      <c r="K122" s="11"/>
      <c r="L122"/>
      <c r="M122" s="11"/>
      <c r="N122" s="11"/>
      <c r="O122" s="11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 s="11"/>
      <c r="AD122"/>
      <c r="AE122" s="11"/>
      <c r="AF122" s="11"/>
      <c r="AG122" s="11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 s="11"/>
      <c r="CE122"/>
      <c r="CF122"/>
      <c r="CG122"/>
      <c r="CH122"/>
      <c r="CI122"/>
      <c r="CJ122"/>
      <c r="CK122"/>
      <c r="CL122"/>
    </row>
    <row r="123" spans="2:90">
      <c r="B123"/>
      <c r="C123"/>
      <c r="D123" s="11"/>
      <c r="E123"/>
      <c r="F123"/>
      <c r="G123"/>
      <c r="H123"/>
      <c r="I123" s="11"/>
      <c r="J123" s="11"/>
      <c r="K123" s="11"/>
      <c r="L123"/>
      <c r="M123" s="11"/>
      <c r="N123" s="11"/>
      <c r="O123" s="11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 s="11"/>
      <c r="AD123"/>
      <c r="AE123" s="11"/>
      <c r="AF123" s="11"/>
      <c r="AG123" s="11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 s="11"/>
      <c r="CE123"/>
      <c r="CF123"/>
      <c r="CG123"/>
      <c r="CH123"/>
      <c r="CI123"/>
      <c r="CJ123"/>
      <c r="CK123"/>
      <c r="CL123"/>
    </row>
    <row r="124" spans="2:90">
      <c r="B124"/>
      <c r="C124"/>
      <c r="D124" s="11"/>
      <c r="E124"/>
      <c r="F124"/>
      <c r="G124"/>
      <c r="H124"/>
      <c r="I124" s="11"/>
      <c r="J124" s="11"/>
      <c r="K124" s="11"/>
      <c r="L124"/>
      <c r="M124" s="11"/>
      <c r="N124" s="11"/>
      <c r="O124" s="11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 s="11"/>
      <c r="AD124"/>
      <c r="AE124" s="11"/>
      <c r="AF124" s="11"/>
      <c r="AG124" s="11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 s="11"/>
      <c r="CE124"/>
      <c r="CF124"/>
      <c r="CG124"/>
      <c r="CH124"/>
      <c r="CI124"/>
      <c r="CJ124"/>
      <c r="CK124"/>
      <c r="CL124"/>
    </row>
    <row r="125" spans="2:90">
      <c r="B125"/>
      <c r="C125"/>
      <c r="D125" s="11"/>
      <c r="E125"/>
      <c r="F125"/>
      <c r="G125"/>
      <c r="H125"/>
      <c r="I125" s="11"/>
      <c r="J125" s="11"/>
      <c r="K125" s="11"/>
      <c r="L125"/>
      <c r="M125" s="11"/>
      <c r="N125" s="11"/>
      <c r="O125" s="11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 s="11"/>
      <c r="AD125"/>
      <c r="AE125" s="11"/>
      <c r="AF125" s="11"/>
      <c r="AG125" s="11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 s="11"/>
      <c r="CE125"/>
      <c r="CF125"/>
      <c r="CG125"/>
      <c r="CH125"/>
      <c r="CI125"/>
      <c r="CJ125"/>
      <c r="CK125"/>
      <c r="CL125"/>
    </row>
    <row r="126" spans="2:90">
      <c r="B126"/>
      <c r="C126"/>
      <c r="D126" s="11"/>
      <c r="E126"/>
      <c r="F126"/>
      <c r="G126"/>
      <c r="H126"/>
      <c r="I126" s="11"/>
      <c r="J126" s="11"/>
      <c r="K126" s="11"/>
      <c r="L126"/>
      <c r="M126" s="11"/>
      <c r="N126" s="11"/>
      <c r="O126" s="11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 s="11"/>
      <c r="AD126"/>
      <c r="AE126" s="11"/>
      <c r="AF126" s="11"/>
      <c r="AG126" s="11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 s="11"/>
      <c r="CE126"/>
      <c r="CF126"/>
      <c r="CG126"/>
      <c r="CH126"/>
      <c r="CI126"/>
      <c r="CJ126"/>
      <c r="CK126"/>
      <c r="CL126"/>
    </row>
    <row r="127" spans="2:90">
      <c r="B127"/>
      <c r="C127"/>
      <c r="D127" s="11"/>
      <c r="E127"/>
      <c r="F127"/>
      <c r="G127"/>
      <c r="H127"/>
      <c r="I127" s="11"/>
      <c r="J127" s="11"/>
      <c r="K127" s="11"/>
      <c r="L127"/>
      <c r="M127" s="11"/>
      <c r="N127" s="11"/>
      <c r="O127" s="11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 s="11"/>
      <c r="AD127"/>
      <c r="AE127" s="11"/>
      <c r="AF127" s="11"/>
      <c r="AG127" s="11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 s="11"/>
      <c r="CE127"/>
      <c r="CF127"/>
      <c r="CG127"/>
      <c r="CH127"/>
      <c r="CI127"/>
      <c r="CJ127"/>
      <c r="CK127"/>
      <c r="CL127"/>
    </row>
    <row r="128" spans="2:90">
      <c r="B128"/>
      <c r="C128"/>
      <c r="D128" s="11"/>
      <c r="E128"/>
      <c r="F128"/>
      <c r="G128"/>
      <c r="H128"/>
      <c r="I128" s="11"/>
      <c r="J128" s="11"/>
      <c r="K128" s="11"/>
      <c r="L128"/>
      <c r="M128" s="11"/>
      <c r="N128" s="11"/>
      <c r="O128" s="11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 s="11"/>
      <c r="AD128"/>
      <c r="AE128" s="11"/>
      <c r="AF128" s="11"/>
      <c r="AG128" s="11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 s="11"/>
      <c r="CE128"/>
      <c r="CF128"/>
      <c r="CG128"/>
      <c r="CH128"/>
      <c r="CI128"/>
      <c r="CJ128"/>
      <c r="CK128"/>
      <c r="CL128"/>
    </row>
    <row r="129" spans="2:90">
      <c r="B129"/>
      <c r="C129"/>
      <c r="D129" s="11"/>
      <c r="E129"/>
      <c r="F129"/>
      <c r="G129"/>
      <c r="H129"/>
      <c r="I129" s="11"/>
      <c r="J129" s="11"/>
      <c r="K129" s="11"/>
      <c r="L129"/>
      <c r="M129" s="11"/>
      <c r="N129" s="11"/>
      <c r="O129" s="11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 s="11"/>
      <c r="AD129"/>
      <c r="AE129" s="11"/>
      <c r="AF129" s="11"/>
      <c r="AG129" s="11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 s="11"/>
      <c r="CE129"/>
      <c r="CF129"/>
      <c r="CG129"/>
      <c r="CH129"/>
      <c r="CI129"/>
      <c r="CJ129"/>
      <c r="CK129"/>
      <c r="CL129"/>
    </row>
    <row r="130" spans="2:90">
      <c r="B130"/>
      <c r="C130"/>
      <c r="D130" s="11"/>
      <c r="E130"/>
      <c r="F130"/>
      <c r="G130"/>
      <c r="H130"/>
      <c r="I130" s="11"/>
      <c r="J130" s="11"/>
      <c r="K130" s="11"/>
      <c r="L130"/>
      <c r="M130" s="11"/>
      <c r="N130" s="11"/>
      <c r="O130" s="11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 s="11"/>
      <c r="AD130"/>
      <c r="AE130" s="11"/>
      <c r="AF130" s="11"/>
      <c r="AG130" s="11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 s="11"/>
      <c r="CE130"/>
      <c r="CF130"/>
      <c r="CG130"/>
      <c r="CH130"/>
      <c r="CI130"/>
      <c r="CJ130"/>
      <c r="CK130"/>
      <c r="CL130"/>
    </row>
    <row r="131" spans="2:90">
      <c r="B131"/>
      <c r="C131"/>
      <c r="D131" s="11"/>
      <c r="E131"/>
      <c r="F131"/>
      <c r="G131"/>
      <c r="H131"/>
      <c r="I131" s="11"/>
      <c r="J131" s="11"/>
      <c r="K131" s="11"/>
      <c r="L131"/>
      <c r="M131" s="11"/>
      <c r="N131" s="11"/>
      <c r="O131" s="1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 s="11"/>
      <c r="AD131"/>
      <c r="AE131" s="11"/>
      <c r="AF131" s="11"/>
      <c r="AG131" s="1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 s="11"/>
      <c r="CE131"/>
      <c r="CF131"/>
      <c r="CG131"/>
      <c r="CH131"/>
      <c r="CI131"/>
      <c r="CJ131"/>
      <c r="CK131"/>
      <c r="CL131"/>
    </row>
    <row r="132" spans="2:90">
      <c r="B132"/>
      <c r="C132"/>
      <c r="D132" s="11"/>
      <c r="E132"/>
      <c r="F132"/>
      <c r="G132"/>
      <c r="H132"/>
      <c r="I132" s="11"/>
      <c r="J132" s="11"/>
      <c r="K132" s="11"/>
      <c r="L132"/>
      <c r="M132" s="11"/>
      <c r="N132" s="11"/>
      <c r="O132" s="11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 s="11"/>
      <c r="AD132"/>
      <c r="AE132" s="11"/>
      <c r="AF132" s="11"/>
      <c r="AG132" s="11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 s="11"/>
      <c r="CE132"/>
      <c r="CF132"/>
      <c r="CG132"/>
      <c r="CH132"/>
      <c r="CI132"/>
      <c r="CJ132"/>
      <c r="CK132"/>
      <c r="CL132"/>
    </row>
    <row r="133" spans="2:90">
      <c r="B133"/>
      <c r="C133"/>
      <c r="D133" s="11"/>
      <c r="E133"/>
      <c r="F133"/>
      <c r="G133"/>
      <c r="H133"/>
      <c r="I133" s="11"/>
      <c r="J133" s="11"/>
      <c r="K133" s="11"/>
      <c r="L133"/>
      <c r="M133" s="11"/>
      <c r="N133" s="11"/>
      <c r="O133" s="11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 s="11"/>
      <c r="AD133"/>
      <c r="AE133" s="11"/>
      <c r="AF133" s="11"/>
      <c r="AG133" s="11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 s="11"/>
      <c r="CE133"/>
      <c r="CF133"/>
      <c r="CG133"/>
      <c r="CH133"/>
      <c r="CI133"/>
      <c r="CJ133"/>
      <c r="CK133"/>
      <c r="CL133"/>
    </row>
    <row r="134" spans="2:90">
      <c r="B134"/>
      <c r="C134"/>
      <c r="D134" s="11"/>
      <c r="E134"/>
      <c r="F134"/>
      <c r="G134"/>
      <c r="H134"/>
      <c r="I134" s="11"/>
      <c r="J134" s="11"/>
      <c r="K134" s="11"/>
      <c r="L134"/>
      <c r="M134" s="11"/>
      <c r="N134" s="11"/>
      <c r="O134" s="11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 s="11"/>
      <c r="AD134"/>
      <c r="AE134" s="11"/>
      <c r="AF134" s="11"/>
      <c r="AG134" s="11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 s="11"/>
      <c r="CE134"/>
      <c r="CF134"/>
      <c r="CG134"/>
      <c r="CH134"/>
      <c r="CI134"/>
      <c r="CJ134"/>
      <c r="CK134"/>
      <c r="CL134"/>
    </row>
    <row r="135" spans="2:90">
      <c r="B135"/>
      <c r="C135"/>
      <c r="D135" s="11"/>
      <c r="E135"/>
      <c r="F135"/>
      <c r="G135"/>
      <c r="H135"/>
      <c r="I135" s="11"/>
      <c r="J135" s="11"/>
      <c r="K135" s="11"/>
      <c r="L135"/>
      <c r="M135" s="11"/>
      <c r="N135" s="11"/>
      <c r="O135" s="11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 s="11"/>
      <c r="AD135"/>
      <c r="AE135" s="11"/>
      <c r="AF135" s="11"/>
      <c r="AG135" s="11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 s="11"/>
      <c r="CE135"/>
      <c r="CF135"/>
      <c r="CG135"/>
      <c r="CH135"/>
      <c r="CI135"/>
      <c r="CJ135"/>
      <c r="CK135"/>
      <c r="CL135"/>
    </row>
    <row r="136" spans="2:90">
      <c r="B136"/>
      <c r="C136"/>
      <c r="D136" s="11"/>
      <c r="E136"/>
      <c r="F136"/>
      <c r="G136"/>
      <c r="H136"/>
      <c r="I136" s="11"/>
      <c r="J136" s="11"/>
      <c r="K136" s="11"/>
      <c r="L136"/>
      <c r="M136" s="11"/>
      <c r="N136" s="11"/>
      <c r="O136" s="11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 s="11"/>
      <c r="AD136"/>
      <c r="AE136" s="11"/>
      <c r="AF136" s="11"/>
      <c r="AG136" s="11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 s="11"/>
      <c r="CE136"/>
      <c r="CF136"/>
      <c r="CG136"/>
      <c r="CH136"/>
      <c r="CI136"/>
      <c r="CJ136"/>
      <c r="CK136"/>
      <c r="CL136"/>
    </row>
    <row r="137" spans="2:90">
      <c r="B137"/>
      <c r="C137"/>
      <c r="D137" s="11"/>
      <c r="E137"/>
      <c r="F137"/>
      <c r="G137"/>
      <c r="H137"/>
      <c r="I137" s="11"/>
      <c r="J137" s="11"/>
      <c r="K137" s="11"/>
      <c r="L137"/>
      <c r="M137" s="11"/>
      <c r="N137" s="11"/>
      <c r="O137" s="11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 s="11"/>
      <c r="AD137"/>
      <c r="AE137" s="11"/>
      <c r="AF137" s="11"/>
      <c r="AG137" s="11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 s="11"/>
      <c r="CE137"/>
      <c r="CF137"/>
      <c r="CG137"/>
      <c r="CH137"/>
      <c r="CI137"/>
      <c r="CJ137"/>
      <c r="CK137"/>
      <c r="CL137"/>
    </row>
    <row r="138" spans="2:90">
      <c r="B138"/>
      <c r="C138"/>
      <c r="D138" s="11"/>
      <c r="E138"/>
      <c r="F138"/>
      <c r="G138"/>
      <c r="H138"/>
      <c r="I138" s="11"/>
      <c r="J138" s="11"/>
      <c r="K138" s="11"/>
      <c r="L138"/>
      <c r="M138" s="11"/>
      <c r="N138" s="11"/>
      <c r="O138" s="11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 s="11"/>
      <c r="AD138"/>
      <c r="AE138" s="11"/>
      <c r="AF138" s="11"/>
      <c r="AG138" s="11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 s="11"/>
      <c r="CE138"/>
      <c r="CF138"/>
      <c r="CG138"/>
      <c r="CH138"/>
      <c r="CI138"/>
      <c r="CJ138"/>
      <c r="CK138"/>
      <c r="CL138"/>
    </row>
    <row r="139" spans="2:90">
      <c r="B139"/>
      <c r="C139"/>
      <c r="D139" s="11"/>
      <c r="E139"/>
      <c r="F139"/>
      <c r="G139"/>
      <c r="H139"/>
      <c r="I139" s="11"/>
      <c r="J139" s="11"/>
      <c r="K139" s="11"/>
      <c r="L139"/>
      <c r="M139" s="11"/>
      <c r="N139" s="11"/>
      <c r="O139" s="11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 s="11"/>
      <c r="AD139"/>
      <c r="AE139" s="11"/>
      <c r="AF139" s="11"/>
      <c r="AG139" s="11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 s="11"/>
      <c r="CE139"/>
      <c r="CF139"/>
      <c r="CG139"/>
      <c r="CH139"/>
      <c r="CI139"/>
      <c r="CJ139"/>
      <c r="CK139"/>
      <c r="CL139"/>
    </row>
    <row r="140" spans="2:90">
      <c r="B140"/>
      <c r="C140"/>
      <c r="D140" s="11"/>
      <c r="E140"/>
      <c r="F140"/>
      <c r="G140"/>
      <c r="H140"/>
      <c r="I140" s="11"/>
      <c r="J140" s="11"/>
      <c r="K140" s="11"/>
      <c r="L140"/>
      <c r="M140" s="11"/>
      <c r="N140" s="11"/>
      <c r="O140" s="11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 s="11"/>
      <c r="AD140"/>
      <c r="AE140" s="11"/>
      <c r="AF140" s="11"/>
      <c r="AG140" s="11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 s="11"/>
      <c r="CE140"/>
      <c r="CF140"/>
      <c r="CG140"/>
      <c r="CH140"/>
      <c r="CI140"/>
      <c r="CJ140"/>
      <c r="CK140"/>
      <c r="CL140"/>
    </row>
    <row r="141" spans="2:90">
      <c r="B141"/>
      <c r="C141"/>
      <c r="D141" s="11"/>
      <c r="E141"/>
      <c r="F141"/>
      <c r="G141"/>
      <c r="H141"/>
      <c r="I141" s="11"/>
      <c r="J141" s="11"/>
      <c r="K141" s="11"/>
      <c r="L141"/>
      <c r="M141" s="11"/>
      <c r="N141" s="11"/>
      <c r="O141" s="1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 s="11"/>
      <c r="AD141"/>
      <c r="AE141" s="11"/>
      <c r="AF141" s="11"/>
      <c r="AG141" s="1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 s="11"/>
      <c r="CE141"/>
      <c r="CF141"/>
      <c r="CG141"/>
      <c r="CH141"/>
      <c r="CI141"/>
      <c r="CJ141"/>
      <c r="CK141"/>
      <c r="CL141"/>
    </row>
    <row r="142" spans="2:90">
      <c r="B142"/>
      <c r="C142"/>
      <c r="D142" s="11"/>
      <c r="E142"/>
      <c r="F142"/>
      <c r="G142"/>
      <c r="H142"/>
      <c r="I142" s="11"/>
      <c r="J142" s="11"/>
      <c r="K142" s="11"/>
      <c r="L142"/>
      <c r="M142" s="11"/>
      <c r="N142" s="11"/>
      <c r="O142" s="11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 s="11"/>
      <c r="AD142"/>
      <c r="AE142" s="11"/>
      <c r="AF142" s="11"/>
      <c r="AG142" s="11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 s="11"/>
      <c r="CE142"/>
      <c r="CF142"/>
      <c r="CG142"/>
      <c r="CH142"/>
      <c r="CI142"/>
      <c r="CJ142"/>
      <c r="CK142"/>
      <c r="CL142"/>
    </row>
    <row r="143" spans="2:90">
      <c r="B143"/>
      <c r="C143"/>
      <c r="D143" s="11"/>
      <c r="E143"/>
      <c r="F143"/>
      <c r="G143"/>
      <c r="H143"/>
      <c r="I143" s="11"/>
      <c r="J143" s="11"/>
      <c r="K143" s="11"/>
      <c r="L143"/>
      <c r="M143" s="11"/>
      <c r="N143" s="11"/>
      <c r="O143" s="11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 s="11"/>
      <c r="AD143"/>
      <c r="AE143" s="11"/>
      <c r="AF143" s="11"/>
      <c r="AG143" s="11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 s="11"/>
      <c r="CE143"/>
      <c r="CF143"/>
      <c r="CG143"/>
      <c r="CH143"/>
      <c r="CI143"/>
      <c r="CJ143"/>
      <c r="CK143"/>
      <c r="CL143"/>
    </row>
    <row r="144" spans="2:90">
      <c r="B144"/>
      <c r="C144"/>
      <c r="D144" s="11"/>
      <c r="E144"/>
      <c r="F144"/>
      <c r="G144"/>
      <c r="H144"/>
      <c r="I144" s="11"/>
      <c r="J144" s="11"/>
      <c r="K144" s="11"/>
      <c r="L144"/>
      <c r="M144" s="11"/>
      <c r="N144" s="11"/>
      <c r="O144" s="11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 s="11"/>
      <c r="AD144"/>
      <c r="AE144" s="11"/>
      <c r="AF144" s="11"/>
      <c r="AG144" s="11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 s="11"/>
      <c r="CE144"/>
      <c r="CF144"/>
      <c r="CG144"/>
      <c r="CH144"/>
      <c r="CI144"/>
      <c r="CJ144"/>
      <c r="CK144"/>
      <c r="CL144"/>
    </row>
    <row r="145" spans="2:90">
      <c r="B145"/>
      <c r="C145"/>
      <c r="D145" s="11"/>
      <c r="E145"/>
      <c r="F145"/>
      <c r="G145"/>
      <c r="H145"/>
      <c r="I145" s="11"/>
      <c r="J145" s="11"/>
      <c r="K145" s="11"/>
      <c r="L145"/>
      <c r="M145" s="11"/>
      <c r="N145" s="11"/>
      <c r="O145" s="11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 s="11"/>
      <c r="AD145"/>
      <c r="AE145" s="11"/>
      <c r="AF145" s="11"/>
      <c r="AG145" s="11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 s="11"/>
      <c r="CE145"/>
      <c r="CF145"/>
      <c r="CG145"/>
      <c r="CH145"/>
      <c r="CI145"/>
      <c r="CJ145"/>
      <c r="CK145"/>
      <c r="CL145"/>
    </row>
    <row r="146" spans="2:90">
      <c r="B146"/>
      <c r="C146"/>
      <c r="D146" s="11"/>
      <c r="E146"/>
      <c r="F146"/>
      <c r="G146"/>
      <c r="H146"/>
      <c r="I146" s="11"/>
      <c r="J146" s="11"/>
      <c r="K146" s="11"/>
      <c r="L146"/>
      <c r="M146" s="11"/>
      <c r="N146" s="11"/>
      <c r="O146" s="11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 s="11"/>
      <c r="AD146"/>
      <c r="AE146" s="11"/>
      <c r="AF146" s="11"/>
      <c r="AG146" s="11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 s="11"/>
      <c r="CE146"/>
      <c r="CF146"/>
      <c r="CG146"/>
      <c r="CH146"/>
      <c r="CI146"/>
      <c r="CJ146"/>
      <c r="CK146"/>
      <c r="CL146"/>
    </row>
    <row r="147" spans="2:90">
      <c r="B147"/>
      <c r="C147"/>
      <c r="D147" s="11"/>
      <c r="E147"/>
      <c r="F147"/>
      <c r="G147"/>
      <c r="H147"/>
      <c r="I147" s="11"/>
      <c r="J147" s="11"/>
      <c r="K147" s="11"/>
      <c r="L147"/>
      <c r="M147" s="11"/>
      <c r="N147" s="11"/>
      <c r="O147" s="11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 s="11"/>
      <c r="AD147"/>
      <c r="AE147" s="11"/>
      <c r="AF147" s="11"/>
      <c r="AG147" s="11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 s="11"/>
      <c r="CE147"/>
      <c r="CF147"/>
      <c r="CG147"/>
      <c r="CH147"/>
      <c r="CI147"/>
      <c r="CJ147"/>
      <c r="CK147"/>
      <c r="CL147"/>
    </row>
    <row r="148" spans="2:90">
      <c r="B148"/>
      <c r="C148"/>
      <c r="D148" s="11"/>
      <c r="E148"/>
      <c r="F148"/>
      <c r="G148"/>
      <c r="H148"/>
      <c r="I148" s="11"/>
      <c r="J148" s="11"/>
      <c r="K148" s="11"/>
      <c r="L148"/>
      <c r="M148" s="11"/>
      <c r="N148" s="11"/>
      <c r="O148" s="11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 s="11"/>
      <c r="AD148"/>
      <c r="AE148" s="11"/>
      <c r="AF148" s="11"/>
      <c r="AG148" s="11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 s="11"/>
      <c r="CE148"/>
      <c r="CF148"/>
      <c r="CG148"/>
      <c r="CH148"/>
      <c r="CI148"/>
      <c r="CJ148"/>
      <c r="CK148"/>
      <c r="CL148"/>
    </row>
    <row r="149" spans="2:90">
      <c r="B149"/>
      <c r="C149"/>
      <c r="D149" s="11"/>
      <c r="E149"/>
      <c r="F149"/>
      <c r="G149"/>
      <c r="H149"/>
      <c r="I149" s="11"/>
      <c r="J149" s="11"/>
      <c r="K149" s="11"/>
      <c r="L149"/>
      <c r="M149" s="11"/>
      <c r="N149" s="11"/>
      <c r="O149" s="11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 s="11"/>
      <c r="AD149"/>
      <c r="AE149" s="11"/>
      <c r="AF149" s="11"/>
      <c r="AG149" s="11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 s="11"/>
      <c r="CE149"/>
      <c r="CF149"/>
      <c r="CG149"/>
      <c r="CH149"/>
      <c r="CI149"/>
      <c r="CJ149"/>
      <c r="CK149"/>
      <c r="CL149"/>
    </row>
    <row r="150" spans="2:90">
      <c r="B150"/>
      <c r="C150"/>
      <c r="D150" s="11"/>
      <c r="E150"/>
      <c r="F150"/>
      <c r="G150"/>
      <c r="H150"/>
      <c r="I150" s="11"/>
      <c r="J150" s="11"/>
      <c r="K150" s="11"/>
      <c r="L150"/>
      <c r="M150" s="11"/>
      <c r="N150" s="11"/>
      <c r="O150" s="11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 s="11"/>
      <c r="AD150"/>
      <c r="AE150" s="11"/>
      <c r="AF150" s="11"/>
      <c r="AG150" s="11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 s="11"/>
      <c r="CE150"/>
      <c r="CF150"/>
      <c r="CG150"/>
      <c r="CH150"/>
      <c r="CI150"/>
      <c r="CJ150"/>
      <c r="CK150"/>
      <c r="CL150"/>
    </row>
    <row r="151" spans="2:90">
      <c r="B151"/>
      <c r="C151"/>
      <c r="D151" s="11"/>
      <c r="E151"/>
      <c r="F151"/>
      <c r="G151"/>
      <c r="H151"/>
      <c r="I151" s="11"/>
      <c r="J151" s="11"/>
      <c r="K151" s="11"/>
      <c r="L151"/>
      <c r="M151" s="11"/>
      <c r="N151" s="11"/>
      <c r="O151" s="1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 s="11"/>
      <c r="AD151"/>
      <c r="AE151" s="11"/>
      <c r="AF151" s="11"/>
      <c r="AG151" s="1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 s="11"/>
      <c r="CE151"/>
      <c r="CF151"/>
      <c r="CG151"/>
      <c r="CH151"/>
      <c r="CI151"/>
      <c r="CJ151"/>
      <c r="CK151"/>
      <c r="CL151"/>
    </row>
    <row r="152" spans="2:90">
      <c r="B152"/>
      <c r="C152"/>
      <c r="D152" s="11"/>
      <c r="E152"/>
      <c r="F152"/>
      <c r="G152"/>
      <c r="H152"/>
      <c r="I152" s="11"/>
      <c r="J152" s="11"/>
      <c r="K152" s="11"/>
      <c r="L152"/>
      <c r="M152" s="11"/>
      <c r="N152" s="11"/>
      <c r="O152" s="11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 s="11"/>
      <c r="AD152"/>
      <c r="AE152" s="11"/>
      <c r="AF152" s="11"/>
      <c r="AG152" s="11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 s="11"/>
      <c r="CE152"/>
      <c r="CF152"/>
      <c r="CG152"/>
      <c r="CH152"/>
      <c r="CI152"/>
      <c r="CJ152"/>
      <c r="CK152"/>
      <c r="CL152"/>
    </row>
    <row r="153" spans="2:90">
      <c r="B153"/>
      <c r="C153"/>
      <c r="D153" s="11"/>
      <c r="E153"/>
      <c r="F153"/>
      <c r="G153"/>
      <c r="H153"/>
      <c r="I153" s="11"/>
      <c r="J153" s="11"/>
      <c r="K153" s="11"/>
      <c r="L153"/>
      <c r="M153" s="11"/>
      <c r="N153" s="11"/>
      <c r="O153" s="11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 s="11"/>
      <c r="AD153"/>
      <c r="AE153" s="11"/>
      <c r="AF153" s="11"/>
      <c r="AG153" s="11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 s="11"/>
      <c r="CE153"/>
      <c r="CF153"/>
      <c r="CG153"/>
      <c r="CH153"/>
      <c r="CI153"/>
      <c r="CJ153"/>
      <c r="CK153"/>
      <c r="CL153"/>
    </row>
    <row r="154" spans="2:90">
      <c r="B154"/>
      <c r="C154"/>
      <c r="D154" s="11"/>
      <c r="E154"/>
      <c r="F154"/>
      <c r="G154"/>
      <c r="H154"/>
      <c r="I154" s="11"/>
      <c r="J154" s="11"/>
      <c r="K154" s="11"/>
      <c r="L154"/>
      <c r="M154" s="11"/>
      <c r="N154" s="11"/>
      <c r="O154" s="11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 s="11"/>
      <c r="AD154"/>
      <c r="AE154" s="11"/>
      <c r="AF154" s="11"/>
      <c r="AG154" s="11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 s="11"/>
      <c r="CE154"/>
      <c r="CF154"/>
      <c r="CG154"/>
      <c r="CH154"/>
      <c r="CI154"/>
      <c r="CJ154"/>
      <c r="CK154"/>
      <c r="CL154"/>
    </row>
    <row r="155" spans="2:90">
      <c r="B155"/>
      <c r="C155"/>
      <c r="D155" s="11"/>
      <c r="E155"/>
      <c r="F155"/>
      <c r="G155"/>
      <c r="H155"/>
      <c r="I155" s="11"/>
      <c r="J155" s="11"/>
      <c r="K155" s="11"/>
      <c r="L155"/>
      <c r="M155" s="11"/>
      <c r="N155" s="11"/>
      <c r="O155" s="11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 s="11"/>
      <c r="AD155"/>
      <c r="AE155" s="11"/>
      <c r="AF155" s="11"/>
      <c r="AG155" s="11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 s="11"/>
      <c r="CE155"/>
      <c r="CF155"/>
      <c r="CG155"/>
      <c r="CH155"/>
      <c r="CI155"/>
      <c r="CJ155"/>
      <c r="CK155"/>
      <c r="CL155"/>
    </row>
    <row r="156" spans="2:90">
      <c r="B156"/>
      <c r="C156"/>
      <c r="D156" s="11"/>
      <c r="E156"/>
      <c r="F156"/>
      <c r="G156"/>
      <c r="H156"/>
      <c r="I156" s="11"/>
      <c r="J156" s="11"/>
      <c r="K156" s="11"/>
      <c r="L156"/>
      <c r="M156" s="11"/>
      <c r="N156" s="11"/>
      <c r="O156" s="11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 s="11"/>
      <c r="AD156"/>
      <c r="AE156" s="11"/>
      <c r="AF156" s="11"/>
      <c r="AG156" s="11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 s="11"/>
      <c r="CE156"/>
      <c r="CF156"/>
      <c r="CG156"/>
      <c r="CH156"/>
      <c r="CI156"/>
      <c r="CJ156"/>
      <c r="CK156"/>
      <c r="CL156"/>
    </row>
    <row r="157" spans="2:90">
      <c r="B157"/>
      <c r="C157"/>
      <c r="D157" s="11"/>
      <c r="E157"/>
      <c r="F157"/>
      <c r="G157"/>
      <c r="H157"/>
      <c r="I157" s="11"/>
      <c r="J157" s="11"/>
      <c r="K157" s="11"/>
      <c r="L157"/>
      <c r="M157" s="11"/>
      <c r="N157" s="11"/>
      <c r="O157" s="11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 s="11"/>
      <c r="AD157"/>
      <c r="AE157" s="11"/>
      <c r="AF157" s="11"/>
      <c r="AG157" s="11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 s="11"/>
      <c r="CE157"/>
      <c r="CF157"/>
      <c r="CG157"/>
      <c r="CH157"/>
      <c r="CI157"/>
      <c r="CJ157"/>
      <c r="CK157"/>
      <c r="CL157"/>
    </row>
    <row r="158" spans="2:90">
      <c r="B158"/>
      <c r="C158"/>
      <c r="D158" s="11"/>
      <c r="E158"/>
      <c r="F158"/>
      <c r="G158"/>
      <c r="H158"/>
      <c r="I158" s="11"/>
      <c r="J158" s="11"/>
      <c r="K158" s="11"/>
      <c r="L158"/>
      <c r="M158" s="11"/>
      <c r="N158" s="11"/>
      <c r="O158" s="11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 s="11"/>
      <c r="AD158"/>
      <c r="AE158" s="11"/>
      <c r="AF158" s="11"/>
      <c r="AG158" s="11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 s="11"/>
      <c r="CE158"/>
      <c r="CF158"/>
      <c r="CG158"/>
      <c r="CH158"/>
      <c r="CI158"/>
      <c r="CJ158"/>
      <c r="CK158"/>
      <c r="CL158"/>
    </row>
    <row r="159" spans="2:90">
      <c r="B159"/>
      <c r="C159"/>
      <c r="D159" s="11"/>
      <c r="E159"/>
      <c r="F159"/>
      <c r="G159"/>
      <c r="H159"/>
      <c r="I159" s="11"/>
      <c r="J159" s="11"/>
      <c r="K159" s="11"/>
      <c r="L159"/>
      <c r="M159" s="11"/>
      <c r="N159" s="11"/>
      <c r="O159" s="11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 s="11"/>
      <c r="AD159"/>
      <c r="AE159" s="11"/>
      <c r="AF159" s="11"/>
      <c r="AG159" s="11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 s="11"/>
      <c r="CE159"/>
      <c r="CF159"/>
      <c r="CG159"/>
      <c r="CH159"/>
      <c r="CI159"/>
      <c r="CJ159"/>
      <c r="CK159"/>
      <c r="CL159"/>
    </row>
    <row r="160" spans="2:90">
      <c r="B160"/>
      <c r="C160"/>
      <c r="D160" s="11"/>
      <c r="E160"/>
      <c r="F160"/>
      <c r="G160"/>
      <c r="H160"/>
      <c r="I160" s="11"/>
      <c r="J160" s="11"/>
      <c r="K160" s="11"/>
      <c r="L160"/>
      <c r="M160" s="11"/>
      <c r="N160" s="11"/>
      <c r="O160" s="11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 s="11"/>
      <c r="AD160"/>
      <c r="AE160" s="11"/>
      <c r="AF160" s="11"/>
      <c r="AG160" s="11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 s="11"/>
      <c r="CE160"/>
      <c r="CF160"/>
      <c r="CG160"/>
      <c r="CH160"/>
      <c r="CI160"/>
      <c r="CJ160"/>
      <c r="CK160"/>
      <c r="CL160"/>
    </row>
    <row r="161" spans="2:90">
      <c r="B161"/>
      <c r="C161"/>
      <c r="D161" s="11"/>
      <c r="E161"/>
      <c r="F161"/>
      <c r="G161"/>
      <c r="H161"/>
      <c r="I161" s="11"/>
      <c r="J161" s="11"/>
      <c r="K161" s="11"/>
      <c r="L161"/>
      <c r="M161" s="11"/>
      <c r="N161" s="11"/>
      <c r="O161" s="1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 s="11"/>
      <c r="AD161"/>
      <c r="AE161" s="11"/>
      <c r="AF161" s="11"/>
      <c r="AG161" s="1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 s="11"/>
      <c r="CE161"/>
      <c r="CF161"/>
      <c r="CG161"/>
      <c r="CH161"/>
      <c r="CI161"/>
      <c r="CJ161"/>
      <c r="CK161"/>
      <c r="CL161"/>
    </row>
    <row r="162" spans="2:90">
      <c r="B162"/>
      <c r="C162"/>
      <c r="D162" s="11"/>
      <c r="E162"/>
      <c r="F162"/>
      <c r="G162"/>
      <c r="H162"/>
      <c r="I162" s="11"/>
      <c r="J162" s="11"/>
      <c r="K162" s="11"/>
      <c r="L162"/>
      <c r="M162" s="11"/>
      <c r="N162" s="11"/>
      <c r="O162" s="11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 s="11"/>
      <c r="AD162"/>
      <c r="AE162" s="11"/>
      <c r="AF162" s="11"/>
      <c r="AG162" s="11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 s="11"/>
      <c r="CE162"/>
      <c r="CF162"/>
      <c r="CG162"/>
      <c r="CH162"/>
      <c r="CI162"/>
      <c r="CJ162"/>
      <c r="CK162"/>
      <c r="CL162"/>
    </row>
    <row r="163" spans="2:90">
      <c r="B163"/>
      <c r="C163"/>
      <c r="D163" s="11"/>
      <c r="E163"/>
      <c r="F163"/>
      <c r="G163"/>
      <c r="H163"/>
      <c r="I163" s="11"/>
      <c r="J163" s="11"/>
      <c r="K163" s="11"/>
      <c r="L163"/>
      <c r="M163" s="11"/>
      <c r="N163" s="11"/>
      <c r="O163" s="11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 s="11"/>
      <c r="AD163"/>
      <c r="AE163" s="11"/>
      <c r="AF163" s="11"/>
      <c r="AG163" s="11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 s="11"/>
      <c r="CE163"/>
      <c r="CF163"/>
      <c r="CG163"/>
      <c r="CH163"/>
      <c r="CI163"/>
      <c r="CJ163"/>
      <c r="CK163"/>
      <c r="CL163"/>
    </row>
    <row r="164" spans="2:90">
      <c r="B164"/>
      <c r="C164"/>
      <c r="D164" s="11"/>
      <c r="E164"/>
      <c r="F164"/>
      <c r="G164"/>
      <c r="H164"/>
      <c r="I164" s="11"/>
      <c r="J164" s="11"/>
      <c r="K164" s="11"/>
      <c r="L164"/>
      <c r="M164" s="11"/>
      <c r="N164" s="11"/>
      <c r="O164" s="11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 s="11"/>
      <c r="AD164"/>
      <c r="AE164" s="11"/>
      <c r="AF164" s="11"/>
      <c r="AG164" s="11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 s="11"/>
      <c r="CE164"/>
      <c r="CF164"/>
      <c r="CG164"/>
      <c r="CH164"/>
      <c r="CI164"/>
      <c r="CJ164"/>
      <c r="CK164"/>
      <c r="CL164"/>
    </row>
    <row r="165" spans="2:90">
      <c r="B165"/>
      <c r="C165"/>
      <c r="D165" s="11"/>
      <c r="E165"/>
      <c r="F165"/>
      <c r="G165"/>
      <c r="H165"/>
      <c r="I165" s="11"/>
      <c r="J165" s="11"/>
      <c r="K165" s="11"/>
      <c r="L165"/>
      <c r="M165" s="11"/>
      <c r="N165" s="11"/>
      <c r="O165" s="11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 s="11"/>
      <c r="AD165"/>
      <c r="AE165" s="11"/>
      <c r="AF165" s="11"/>
      <c r="AG165" s="11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 s="11"/>
      <c r="CE165"/>
      <c r="CF165"/>
      <c r="CG165"/>
      <c r="CH165"/>
      <c r="CI165"/>
      <c r="CJ165"/>
      <c r="CK165"/>
      <c r="CL165"/>
    </row>
    <row r="166" spans="2:90">
      <c r="B166"/>
      <c r="C166"/>
      <c r="D166" s="11"/>
      <c r="E166"/>
      <c r="F166"/>
      <c r="G166"/>
      <c r="H166"/>
      <c r="I166" s="11"/>
      <c r="J166" s="11"/>
      <c r="K166" s="11"/>
      <c r="L166"/>
      <c r="M166" s="11"/>
      <c r="N166" s="11"/>
      <c r="O166" s="11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 s="11"/>
      <c r="AD166"/>
      <c r="AE166" s="11"/>
      <c r="AF166" s="11"/>
      <c r="AG166" s="11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 s="11"/>
      <c r="CE166"/>
      <c r="CF166"/>
      <c r="CG166"/>
      <c r="CH166"/>
      <c r="CI166"/>
      <c r="CJ166"/>
      <c r="CK166"/>
      <c r="CL166"/>
    </row>
    <row r="167" spans="2:90">
      <c r="B167"/>
      <c r="C167"/>
      <c r="D167" s="11"/>
      <c r="E167"/>
      <c r="F167"/>
      <c r="G167"/>
      <c r="H167"/>
      <c r="I167" s="11"/>
      <c r="J167" s="11"/>
      <c r="K167" s="11"/>
      <c r="L167"/>
      <c r="M167" s="11"/>
      <c r="N167" s="11"/>
      <c r="O167" s="11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 s="11"/>
      <c r="AD167"/>
      <c r="AE167" s="11"/>
      <c r="AF167" s="11"/>
      <c r="AG167" s="11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 s="11"/>
      <c r="CE167"/>
      <c r="CF167"/>
      <c r="CG167"/>
      <c r="CH167"/>
      <c r="CI167"/>
      <c r="CJ167"/>
      <c r="CK167"/>
      <c r="CL167"/>
    </row>
    <row r="168" spans="2:90">
      <c r="B168"/>
      <c r="C168"/>
      <c r="D168" s="11"/>
      <c r="E168"/>
      <c r="F168"/>
      <c r="G168"/>
      <c r="H168"/>
      <c r="I168" s="11"/>
      <c r="J168" s="11"/>
      <c r="K168" s="11"/>
      <c r="L168"/>
      <c r="M168" s="11"/>
      <c r="N168" s="11"/>
      <c r="O168" s="11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 s="11"/>
      <c r="AD168"/>
      <c r="AE168" s="11"/>
      <c r="AF168" s="11"/>
      <c r="AG168" s="11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 s="11"/>
      <c r="CE168"/>
      <c r="CF168"/>
      <c r="CG168"/>
      <c r="CH168"/>
      <c r="CI168"/>
      <c r="CJ168"/>
      <c r="CK168"/>
      <c r="CL168"/>
    </row>
    <row r="169" spans="2:90">
      <c r="B169"/>
      <c r="C169"/>
      <c r="D169" s="11"/>
      <c r="E169"/>
      <c r="F169"/>
      <c r="G169"/>
      <c r="H169"/>
      <c r="I169" s="11"/>
      <c r="J169" s="11"/>
      <c r="K169" s="11"/>
      <c r="L169"/>
      <c r="M169" s="11"/>
      <c r="N169" s="11"/>
      <c r="O169" s="11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 s="11"/>
      <c r="AD169"/>
      <c r="AE169" s="11"/>
      <c r="AF169" s="11"/>
      <c r="AG169" s="11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 s="11"/>
      <c r="CE169"/>
      <c r="CF169"/>
      <c r="CG169"/>
      <c r="CH169"/>
      <c r="CI169"/>
      <c r="CJ169"/>
      <c r="CK169"/>
      <c r="CL169"/>
    </row>
    <row r="170" spans="2:90">
      <c r="B170"/>
      <c r="C170"/>
      <c r="D170" s="11"/>
      <c r="E170"/>
      <c r="F170"/>
      <c r="G170"/>
      <c r="H170"/>
      <c r="I170" s="11"/>
      <c r="J170" s="11"/>
      <c r="K170" s="11"/>
      <c r="L170"/>
      <c r="M170" s="11"/>
      <c r="N170" s="11"/>
      <c r="O170" s="11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 s="11"/>
      <c r="AD170"/>
      <c r="AE170" s="11"/>
      <c r="AF170" s="11"/>
      <c r="AG170" s="11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 s="11"/>
      <c r="CE170"/>
      <c r="CF170"/>
      <c r="CG170"/>
      <c r="CH170"/>
      <c r="CI170"/>
      <c r="CJ170"/>
      <c r="CK170"/>
      <c r="CL170"/>
    </row>
    <row r="171" spans="2:90">
      <c r="B171"/>
      <c r="C171"/>
      <c r="D171" s="11"/>
      <c r="E171"/>
      <c r="F171"/>
      <c r="G171"/>
      <c r="H171"/>
      <c r="I171" s="11"/>
      <c r="J171" s="11"/>
      <c r="K171" s="11"/>
      <c r="L171"/>
      <c r="M171" s="11"/>
      <c r="N171" s="11"/>
      <c r="O171" s="1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 s="11"/>
      <c r="AD171"/>
      <c r="AE171" s="11"/>
      <c r="AF171" s="11"/>
      <c r="AG171" s="1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 s="11"/>
      <c r="CE171"/>
      <c r="CF171"/>
      <c r="CG171"/>
      <c r="CH171"/>
      <c r="CI171"/>
      <c r="CJ171"/>
      <c r="CK171"/>
      <c r="CL171"/>
    </row>
    <row r="172" spans="2:90">
      <c r="B172"/>
      <c r="C172"/>
      <c r="D172" s="11"/>
      <c r="E172"/>
      <c r="F172"/>
      <c r="G172"/>
      <c r="H172"/>
      <c r="I172" s="11"/>
      <c r="J172" s="11"/>
      <c r="K172" s="11"/>
      <c r="L172"/>
      <c r="M172" s="11"/>
      <c r="N172" s="11"/>
      <c r="O172" s="11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 s="11"/>
      <c r="AD172"/>
      <c r="AE172" s="11"/>
      <c r="AF172" s="11"/>
      <c r="AG172" s="11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 s="11"/>
      <c r="CE172"/>
      <c r="CF172"/>
      <c r="CG172"/>
      <c r="CH172"/>
      <c r="CI172"/>
      <c r="CJ172"/>
      <c r="CK172"/>
      <c r="CL172"/>
    </row>
    <row r="173" spans="2:90">
      <c r="B173"/>
      <c r="C173"/>
      <c r="D173" s="11"/>
      <c r="E173"/>
      <c r="F173"/>
      <c r="G173"/>
      <c r="H173"/>
      <c r="I173" s="11"/>
      <c r="J173" s="11"/>
      <c r="K173" s="11"/>
      <c r="L173"/>
      <c r="M173" s="11"/>
      <c r="N173" s="11"/>
      <c r="O173" s="11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 s="11"/>
      <c r="AD173"/>
      <c r="AE173" s="11"/>
      <c r="AF173" s="11"/>
      <c r="AG173" s="11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 s="11"/>
      <c r="CE173"/>
      <c r="CF173"/>
      <c r="CG173"/>
      <c r="CH173"/>
      <c r="CI173"/>
      <c r="CJ173"/>
      <c r="CK173"/>
      <c r="CL173"/>
    </row>
    <row r="174" spans="2:90">
      <c r="B174"/>
      <c r="C174"/>
      <c r="D174" s="11"/>
      <c r="E174"/>
      <c r="F174"/>
      <c r="G174"/>
      <c r="H174"/>
      <c r="I174" s="11"/>
      <c r="J174" s="11"/>
      <c r="K174" s="11"/>
      <c r="L174"/>
      <c r="M174" s="11"/>
      <c r="N174" s="11"/>
      <c r="O174" s="11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 s="11"/>
      <c r="AD174"/>
      <c r="AE174" s="11"/>
      <c r="AF174" s="11"/>
      <c r="AG174" s="11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 s="11"/>
      <c r="CE174"/>
      <c r="CF174"/>
      <c r="CG174"/>
      <c r="CH174"/>
      <c r="CI174"/>
      <c r="CJ174"/>
      <c r="CK174"/>
      <c r="CL174"/>
    </row>
    <row r="175" spans="2:90">
      <c r="B175"/>
      <c r="C175"/>
      <c r="D175" s="11"/>
      <c r="E175"/>
      <c r="F175"/>
      <c r="G175"/>
      <c r="H175"/>
      <c r="I175" s="11"/>
      <c r="J175" s="11"/>
      <c r="K175" s="11"/>
      <c r="L175"/>
      <c r="M175" s="11"/>
      <c r="N175" s="11"/>
      <c r="O175" s="11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 s="11"/>
      <c r="AD175"/>
      <c r="AE175" s="11"/>
      <c r="AF175" s="11"/>
      <c r="AG175" s="11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 s="11"/>
      <c r="CE175"/>
      <c r="CF175"/>
      <c r="CG175"/>
      <c r="CH175"/>
      <c r="CI175"/>
      <c r="CJ175"/>
      <c r="CK175"/>
      <c r="CL175"/>
    </row>
    <row r="176" spans="2:90">
      <c r="B176"/>
      <c r="C176"/>
      <c r="D176" s="11"/>
      <c r="E176"/>
      <c r="F176"/>
      <c r="G176"/>
      <c r="H176"/>
      <c r="I176" s="11"/>
      <c r="J176" s="11"/>
      <c r="K176" s="11"/>
      <c r="L176"/>
      <c r="M176" s="11"/>
      <c r="N176" s="11"/>
      <c r="O176" s="11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 s="11"/>
      <c r="AD176"/>
      <c r="AE176" s="11"/>
      <c r="AF176" s="11"/>
      <c r="AG176" s="11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 s="11"/>
      <c r="CE176"/>
      <c r="CF176"/>
      <c r="CG176"/>
      <c r="CH176"/>
      <c r="CI176"/>
      <c r="CJ176"/>
      <c r="CK176"/>
      <c r="CL176"/>
    </row>
    <row r="177" spans="2:90">
      <c r="B177"/>
      <c r="C177"/>
      <c r="D177" s="11"/>
      <c r="E177"/>
      <c r="F177"/>
      <c r="G177"/>
      <c r="H177"/>
      <c r="I177" s="11"/>
      <c r="J177" s="11"/>
      <c r="K177" s="11"/>
      <c r="L177"/>
      <c r="M177" s="11"/>
      <c r="N177" s="11"/>
      <c r="O177" s="11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 s="11"/>
      <c r="AD177"/>
      <c r="AE177" s="11"/>
      <c r="AF177" s="11"/>
      <c r="AG177" s="11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 s="11"/>
      <c r="CE177"/>
      <c r="CF177"/>
      <c r="CG177"/>
      <c r="CH177"/>
      <c r="CI177"/>
      <c r="CJ177"/>
      <c r="CK177"/>
      <c r="CL177"/>
    </row>
    <row r="178" spans="2:90">
      <c r="B178"/>
      <c r="C178"/>
      <c r="D178" s="11"/>
      <c r="E178"/>
      <c r="F178"/>
      <c r="G178"/>
      <c r="H178"/>
      <c r="I178" s="11"/>
      <c r="J178" s="11"/>
      <c r="K178" s="11"/>
      <c r="L178"/>
      <c r="M178" s="11"/>
      <c r="N178" s="11"/>
      <c r="O178" s="11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 s="11"/>
      <c r="AD178"/>
      <c r="AE178" s="11"/>
      <c r="AF178" s="11"/>
      <c r="AG178" s="11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 s="11"/>
      <c r="CE178"/>
      <c r="CF178"/>
      <c r="CG178"/>
      <c r="CH178"/>
      <c r="CI178"/>
      <c r="CJ178"/>
      <c r="CK178"/>
      <c r="CL178"/>
    </row>
    <row r="179" spans="2:90">
      <c r="B179"/>
      <c r="C179"/>
      <c r="D179" s="11"/>
      <c r="E179"/>
      <c r="F179"/>
      <c r="G179"/>
      <c r="H179"/>
      <c r="I179" s="11"/>
      <c r="J179" s="11"/>
      <c r="K179" s="11"/>
      <c r="L179"/>
      <c r="M179" s="11"/>
      <c r="N179" s="11"/>
      <c r="O179" s="11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 s="11"/>
      <c r="AD179"/>
      <c r="AE179" s="11"/>
      <c r="AF179" s="11"/>
      <c r="AG179" s="11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 s="11"/>
      <c r="CE179"/>
      <c r="CF179"/>
      <c r="CG179"/>
      <c r="CH179"/>
      <c r="CI179"/>
      <c r="CJ179"/>
      <c r="CK179"/>
      <c r="CL179"/>
    </row>
    <row r="180" spans="2:90">
      <c r="B180"/>
      <c r="C180"/>
      <c r="D180" s="11"/>
      <c r="E180"/>
      <c r="F180"/>
      <c r="G180"/>
      <c r="H180"/>
      <c r="I180" s="11"/>
      <c r="J180" s="11"/>
      <c r="K180" s="11"/>
      <c r="L180"/>
      <c r="M180" s="11"/>
      <c r="N180" s="11"/>
      <c r="O180" s="11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 s="11"/>
      <c r="AD180"/>
      <c r="AE180" s="11"/>
      <c r="AF180" s="11"/>
      <c r="AG180" s="11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 s="11"/>
      <c r="CE180"/>
      <c r="CF180"/>
      <c r="CG180"/>
      <c r="CH180"/>
      <c r="CI180"/>
      <c r="CJ180"/>
      <c r="CK180"/>
      <c r="CL180"/>
    </row>
    <row r="181" spans="2:90">
      <c r="B181"/>
      <c r="C181"/>
      <c r="D181" s="11"/>
      <c r="E181"/>
      <c r="F181"/>
      <c r="G181"/>
      <c r="H181"/>
      <c r="I181" s="11"/>
      <c r="J181" s="11"/>
      <c r="K181" s="11"/>
      <c r="L181"/>
      <c r="M181" s="11"/>
      <c r="N181" s="11"/>
      <c r="O181" s="1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 s="11"/>
      <c r="AD181"/>
      <c r="AE181" s="11"/>
      <c r="AF181" s="11"/>
      <c r="AG181" s="1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 s="11"/>
      <c r="CE181"/>
      <c r="CF181"/>
      <c r="CG181"/>
      <c r="CH181"/>
      <c r="CI181"/>
      <c r="CJ181"/>
      <c r="CK181"/>
      <c r="CL181"/>
    </row>
    <row r="182" spans="2:90">
      <c r="B182"/>
      <c r="C182"/>
      <c r="D182" s="11"/>
      <c r="E182"/>
      <c r="F182"/>
      <c r="G182"/>
      <c r="H182"/>
      <c r="I182" s="11"/>
      <c r="J182" s="11"/>
      <c r="K182" s="11"/>
      <c r="L182"/>
      <c r="M182" s="11"/>
      <c r="N182" s="11"/>
      <c r="O182" s="11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 s="11"/>
      <c r="AD182"/>
      <c r="AE182" s="11"/>
      <c r="AF182" s="11"/>
      <c r="AG182" s="11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 s="11"/>
      <c r="CE182"/>
      <c r="CF182"/>
      <c r="CG182"/>
      <c r="CH182"/>
      <c r="CI182"/>
      <c r="CJ182"/>
      <c r="CK182"/>
      <c r="CL182"/>
    </row>
    <row r="183" spans="2:90">
      <c r="B183"/>
      <c r="C183"/>
      <c r="D183" s="11"/>
      <c r="E183"/>
      <c r="F183"/>
      <c r="G183"/>
      <c r="H183"/>
      <c r="I183" s="11"/>
      <c r="J183" s="11"/>
      <c r="K183" s="11"/>
      <c r="L183"/>
      <c r="M183" s="11"/>
      <c r="N183" s="11"/>
      <c r="O183" s="11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 s="11"/>
      <c r="AD183"/>
      <c r="AE183" s="11"/>
      <c r="AF183" s="11"/>
      <c r="AG183" s="11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 s="11"/>
      <c r="CE183"/>
      <c r="CF183"/>
      <c r="CG183"/>
      <c r="CH183"/>
      <c r="CI183"/>
      <c r="CJ183"/>
      <c r="CK183"/>
      <c r="CL183"/>
    </row>
    <row r="184" spans="2:90">
      <c r="B184"/>
      <c r="C184"/>
      <c r="D184" s="11"/>
      <c r="E184"/>
      <c r="F184"/>
      <c r="G184"/>
      <c r="H184"/>
      <c r="I184" s="11"/>
      <c r="J184" s="11"/>
      <c r="K184" s="11"/>
      <c r="L184"/>
      <c r="M184" s="11"/>
      <c r="N184" s="11"/>
      <c r="O184" s="11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 s="11"/>
      <c r="AD184"/>
      <c r="AE184" s="11"/>
      <c r="AF184" s="11"/>
      <c r="AG184" s="11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 s="11"/>
      <c r="CE184"/>
      <c r="CF184"/>
      <c r="CG184"/>
      <c r="CH184"/>
      <c r="CI184"/>
      <c r="CJ184"/>
      <c r="CK184"/>
      <c r="CL184"/>
    </row>
    <row r="185" spans="2:90">
      <c r="B185"/>
      <c r="C185"/>
      <c r="D185" s="11"/>
      <c r="E185"/>
      <c r="F185"/>
      <c r="G185"/>
      <c r="H185"/>
      <c r="I185" s="11"/>
      <c r="J185" s="11"/>
      <c r="K185" s="11"/>
      <c r="L185"/>
      <c r="M185" s="11"/>
      <c r="N185" s="11"/>
      <c r="O185" s="11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 s="11"/>
      <c r="AD185"/>
      <c r="AE185" s="11"/>
      <c r="AF185" s="11"/>
      <c r="AG185" s="11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 s="11"/>
      <c r="CE185"/>
      <c r="CF185"/>
      <c r="CG185"/>
      <c r="CH185"/>
      <c r="CI185"/>
      <c r="CJ185"/>
      <c r="CK185"/>
      <c r="CL185"/>
    </row>
    <row r="186" spans="2:90">
      <c r="B186"/>
      <c r="C186"/>
      <c r="D186" s="11"/>
      <c r="E186"/>
      <c r="F186"/>
      <c r="G186"/>
      <c r="H186"/>
      <c r="I186" s="11"/>
      <c r="J186" s="11"/>
      <c r="K186" s="11"/>
      <c r="L186"/>
      <c r="M186" s="11"/>
      <c r="N186" s="11"/>
      <c r="O186" s="11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 s="11"/>
      <c r="AD186"/>
      <c r="AE186" s="11"/>
      <c r="AF186" s="11"/>
      <c r="AG186" s="11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 s="11"/>
      <c r="CE186"/>
      <c r="CF186"/>
      <c r="CG186"/>
      <c r="CH186"/>
      <c r="CI186"/>
      <c r="CJ186"/>
      <c r="CK186"/>
      <c r="CL186"/>
    </row>
    <row r="187" spans="2:90">
      <c r="B187"/>
      <c r="C187"/>
      <c r="D187" s="11"/>
      <c r="E187"/>
      <c r="F187"/>
      <c r="G187"/>
      <c r="H187"/>
      <c r="I187" s="11"/>
      <c r="J187" s="11"/>
      <c r="K187" s="11"/>
      <c r="L187"/>
      <c r="M187" s="11"/>
      <c r="N187" s="11"/>
      <c r="O187" s="11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 s="11"/>
      <c r="AD187"/>
      <c r="AE187" s="11"/>
      <c r="AF187" s="11"/>
      <c r="AG187" s="11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 s="11"/>
      <c r="CE187"/>
      <c r="CF187"/>
      <c r="CG187"/>
      <c r="CH187"/>
      <c r="CI187"/>
      <c r="CJ187"/>
      <c r="CK187"/>
      <c r="CL187"/>
    </row>
    <row r="188" spans="2:90">
      <c r="B188"/>
      <c r="C188"/>
      <c r="D188" s="11"/>
      <c r="E188"/>
      <c r="F188"/>
      <c r="G188"/>
      <c r="H188"/>
      <c r="I188" s="11"/>
      <c r="J188" s="11"/>
      <c r="K188" s="11"/>
      <c r="L188"/>
      <c r="M188" s="11"/>
      <c r="N188" s="11"/>
      <c r="O188" s="11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 s="11"/>
      <c r="AD188"/>
      <c r="AE188" s="11"/>
      <c r="AF188" s="11"/>
      <c r="AG188" s="11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 s="11"/>
      <c r="CE188"/>
      <c r="CF188"/>
      <c r="CG188"/>
      <c r="CH188"/>
      <c r="CI188"/>
      <c r="CJ188"/>
      <c r="CK188"/>
      <c r="CL188"/>
    </row>
    <row r="189" spans="2:90">
      <c r="B189"/>
      <c r="C189"/>
      <c r="D189" s="11"/>
      <c r="E189"/>
      <c r="F189"/>
      <c r="G189"/>
      <c r="H189"/>
      <c r="I189" s="11"/>
      <c r="J189" s="11"/>
      <c r="K189" s="11"/>
      <c r="L189"/>
      <c r="M189" s="11"/>
      <c r="N189" s="11"/>
      <c r="O189" s="11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 s="11"/>
      <c r="AD189"/>
      <c r="AE189" s="11"/>
      <c r="AF189" s="11"/>
      <c r="AG189" s="11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 s="11"/>
      <c r="CE189"/>
      <c r="CF189"/>
      <c r="CG189"/>
      <c r="CH189"/>
      <c r="CI189"/>
      <c r="CJ189"/>
      <c r="CK189"/>
      <c r="CL189"/>
    </row>
    <row r="190" spans="2:90">
      <c r="B190"/>
      <c r="C190"/>
      <c r="D190" s="11"/>
      <c r="E190"/>
      <c r="F190"/>
      <c r="G190"/>
      <c r="H190"/>
      <c r="I190" s="11"/>
      <c r="J190" s="11"/>
      <c r="K190" s="11"/>
      <c r="L190"/>
      <c r="M190" s="11"/>
      <c r="N190" s="11"/>
      <c r="O190" s="11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 s="11"/>
      <c r="AD190"/>
      <c r="AE190" s="11"/>
      <c r="AF190" s="11"/>
      <c r="AG190" s="11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 s="11"/>
      <c r="CE190"/>
      <c r="CF190"/>
      <c r="CG190"/>
      <c r="CH190"/>
      <c r="CI190"/>
      <c r="CJ190"/>
      <c r="CK190"/>
      <c r="CL190"/>
    </row>
    <row r="191" spans="2:90">
      <c r="B191"/>
      <c r="C191"/>
      <c r="D191" s="11"/>
      <c r="E191"/>
      <c r="F191"/>
      <c r="G191"/>
      <c r="H191"/>
      <c r="I191" s="11"/>
      <c r="J191" s="11"/>
      <c r="K191" s="11"/>
      <c r="L191"/>
      <c r="M191" s="11"/>
      <c r="N191" s="11"/>
      <c r="O191" s="1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 s="11"/>
      <c r="AD191"/>
      <c r="AE191" s="11"/>
      <c r="AF191" s="11"/>
      <c r="AG191" s="1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 s="11"/>
      <c r="CE191"/>
      <c r="CF191"/>
      <c r="CG191"/>
      <c r="CH191"/>
      <c r="CI191"/>
      <c r="CJ191"/>
      <c r="CK191"/>
      <c r="CL191"/>
    </row>
    <row r="192" spans="2:90">
      <c r="B192"/>
      <c r="C192"/>
      <c r="D192" s="11"/>
      <c r="E192"/>
      <c r="F192"/>
      <c r="G192"/>
      <c r="H192"/>
      <c r="I192" s="11"/>
      <c r="J192" s="11"/>
      <c r="K192" s="11"/>
      <c r="L192"/>
      <c r="M192" s="11"/>
      <c r="N192" s="11"/>
      <c r="O192" s="11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 s="11"/>
      <c r="AD192"/>
      <c r="AE192" s="11"/>
      <c r="AF192" s="11"/>
      <c r="AG192" s="11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 s="11"/>
      <c r="CE192"/>
      <c r="CF192"/>
      <c r="CG192"/>
      <c r="CH192"/>
      <c r="CI192"/>
      <c r="CJ192"/>
      <c r="CK192"/>
      <c r="CL192"/>
    </row>
    <row r="193" spans="2:90">
      <c r="B193"/>
      <c r="C193"/>
      <c r="D193" s="11"/>
      <c r="E193"/>
      <c r="F193"/>
      <c r="G193"/>
      <c r="H193"/>
      <c r="I193" s="11"/>
      <c r="J193" s="11"/>
      <c r="K193" s="11"/>
      <c r="L193"/>
      <c r="M193" s="11"/>
      <c r="N193" s="11"/>
      <c r="O193" s="11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 s="11"/>
      <c r="AD193"/>
      <c r="AE193" s="11"/>
      <c r="AF193" s="11"/>
      <c r="AG193" s="11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 s="11"/>
      <c r="CE193"/>
      <c r="CF193"/>
      <c r="CG193"/>
      <c r="CH193"/>
      <c r="CI193"/>
      <c r="CJ193"/>
      <c r="CK193"/>
      <c r="CL193"/>
    </row>
    <row r="194" spans="2:90">
      <c r="B194"/>
      <c r="C194"/>
      <c r="D194" s="11"/>
      <c r="E194"/>
      <c r="F194"/>
      <c r="G194"/>
      <c r="H194"/>
      <c r="I194" s="11"/>
      <c r="J194" s="11"/>
      <c r="K194" s="11"/>
      <c r="L194"/>
      <c r="M194" s="11"/>
      <c r="N194" s="11"/>
      <c r="O194" s="11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 s="11"/>
      <c r="AD194"/>
      <c r="AE194" s="11"/>
      <c r="AF194" s="11"/>
      <c r="AG194" s="11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 s="11"/>
      <c r="CE194"/>
      <c r="CF194"/>
      <c r="CG194"/>
      <c r="CH194"/>
      <c r="CI194"/>
      <c r="CJ194"/>
      <c r="CK194"/>
      <c r="CL194"/>
    </row>
    <row r="195" spans="2:90">
      <c r="B195"/>
      <c r="C195"/>
      <c r="D195" s="11"/>
      <c r="E195"/>
      <c r="F195"/>
      <c r="G195"/>
      <c r="H195"/>
      <c r="I195" s="11"/>
      <c r="J195" s="11"/>
      <c r="K195" s="11"/>
      <c r="L195"/>
      <c r="M195" s="11"/>
      <c r="N195" s="11"/>
      <c r="O195" s="11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 s="11"/>
      <c r="AD195"/>
      <c r="AE195" s="11"/>
      <c r="AF195" s="11"/>
      <c r="AG195" s="11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 s="11"/>
      <c r="CE195"/>
      <c r="CF195"/>
      <c r="CG195"/>
      <c r="CH195"/>
      <c r="CI195"/>
      <c r="CJ195"/>
      <c r="CK195"/>
      <c r="CL195"/>
    </row>
    <row r="196" spans="2:90">
      <c r="B196"/>
      <c r="C196"/>
      <c r="D196" s="11"/>
      <c r="E196"/>
      <c r="F196"/>
      <c r="G196"/>
      <c r="H196"/>
      <c r="I196" s="11"/>
      <c r="J196" s="11"/>
      <c r="K196" s="11"/>
      <c r="L196"/>
      <c r="M196" s="11"/>
      <c r="N196" s="11"/>
      <c r="O196" s="11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 s="11"/>
      <c r="AD196"/>
      <c r="AE196" s="11"/>
      <c r="AF196" s="11"/>
      <c r="AG196" s="11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 s="11"/>
      <c r="CE196"/>
      <c r="CF196"/>
      <c r="CG196"/>
      <c r="CH196"/>
      <c r="CI196"/>
      <c r="CJ196"/>
      <c r="CK196"/>
      <c r="CL196"/>
    </row>
    <row r="197" spans="2:90">
      <c r="B197"/>
      <c r="C197"/>
      <c r="D197" s="11"/>
      <c r="E197"/>
      <c r="F197"/>
      <c r="G197"/>
      <c r="H197"/>
      <c r="I197" s="11"/>
      <c r="J197" s="11"/>
      <c r="K197" s="11"/>
      <c r="L197"/>
      <c r="M197" s="11"/>
      <c r="N197" s="11"/>
      <c r="O197" s="1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 s="11"/>
      <c r="AD197"/>
      <c r="AE197" s="11"/>
      <c r="AF197" s="11"/>
      <c r="AG197" s="11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 s="11"/>
      <c r="CE197"/>
      <c r="CF197"/>
      <c r="CG197"/>
      <c r="CH197"/>
      <c r="CI197"/>
      <c r="CJ197"/>
      <c r="CK197"/>
      <c r="CL197"/>
    </row>
    <row r="198" spans="2:90">
      <c r="B198"/>
      <c r="C198"/>
      <c r="D198" s="11"/>
      <c r="E198"/>
      <c r="F198"/>
      <c r="G198"/>
      <c r="H198"/>
      <c r="I198" s="11"/>
      <c r="J198" s="11"/>
      <c r="K198" s="11"/>
      <c r="L198"/>
      <c r="M198" s="11"/>
      <c r="N198" s="11"/>
      <c r="O198" s="1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 s="11"/>
      <c r="AD198"/>
      <c r="AE198" s="11"/>
      <c r="AF198" s="11"/>
      <c r="AG198" s="11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 s="11"/>
      <c r="CE198"/>
      <c r="CF198"/>
      <c r="CG198"/>
      <c r="CH198"/>
      <c r="CI198"/>
      <c r="CJ198"/>
      <c r="CK198"/>
      <c r="CL198"/>
    </row>
    <row r="199" spans="2:90">
      <c r="B199"/>
      <c r="C199"/>
      <c r="D199" s="11"/>
      <c r="E199"/>
      <c r="F199"/>
      <c r="G199"/>
      <c r="H199"/>
      <c r="I199" s="11"/>
      <c r="J199" s="11"/>
      <c r="K199" s="11"/>
      <c r="L199"/>
      <c r="M199" s="11"/>
      <c r="N199" s="11"/>
      <c r="O199" s="1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 s="11"/>
      <c r="AD199"/>
      <c r="AE199" s="11"/>
      <c r="AF199" s="11"/>
      <c r="AG199" s="11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 s="11"/>
      <c r="CE199"/>
      <c r="CF199"/>
      <c r="CG199"/>
      <c r="CH199"/>
      <c r="CI199"/>
      <c r="CJ199"/>
      <c r="CK199"/>
      <c r="CL199"/>
    </row>
    <row r="200" spans="2:90">
      <c r="B200"/>
      <c r="C200"/>
      <c r="D200" s="11"/>
      <c r="E200"/>
      <c r="F200"/>
      <c r="G200"/>
      <c r="H200"/>
      <c r="I200" s="11"/>
      <c r="J200" s="11"/>
      <c r="K200" s="11"/>
      <c r="L200"/>
      <c r="M200" s="11"/>
      <c r="N200" s="11"/>
      <c r="O200" s="1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 s="11"/>
      <c r="AD200"/>
      <c r="AE200" s="11"/>
      <c r="AF200" s="11"/>
      <c r="AG200" s="11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 s="11"/>
      <c r="CE200"/>
      <c r="CF200"/>
      <c r="CG200"/>
      <c r="CH200"/>
      <c r="CI200"/>
      <c r="CJ200"/>
      <c r="CK200"/>
      <c r="CL200"/>
    </row>
    <row r="201" spans="2:90">
      <c r="B201"/>
      <c r="C201"/>
      <c r="D201" s="11"/>
      <c r="E201"/>
      <c r="F201"/>
      <c r="G201"/>
      <c r="H201"/>
      <c r="I201" s="11"/>
      <c r="J201" s="11"/>
      <c r="K201" s="11"/>
      <c r="L201"/>
      <c r="M201" s="11"/>
      <c r="N201" s="11"/>
      <c r="O201" s="1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 s="11"/>
      <c r="AD201"/>
      <c r="AE201" s="11"/>
      <c r="AF201" s="11"/>
      <c r="AG201" s="1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 s="11"/>
      <c r="CE201"/>
      <c r="CF201"/>
      <c r="CG201"/>
      <c r="CH201"/>
      <c r="CI201"/>
      <c r="CJ201"/>
      <c r="CK201"/>
      <c r="CL201"/>
    </row>
    <row r="202" spans="2:90">
      <c r="B202"/>
      <c r="C202"/>
      <c r="D202" s="11"/>
      <c r="E202"/>
      <c r="F202"/>
      <c r="G202"/>
      <c r="H202"/>
      <c r="I202" s="11"/>
      <c r="J202" s="11"/>
      <c r="K202" s="11"/>
      <c r="L202"/>
      <c r="M202" s="11"/>
      <c r="N202" s="11"/>
      <c r="O202" s="1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 s="11"/>
      <c r="AD202"/>
      <c r="AE202" s="11"/>
      <c r="AF202" s="11"/>
      <c r="AG202" s="11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 s="11"/>
      <c r="CE202"/>
      <c r="CF202"/>
      <c r="CG202"/>
      <c r="CH202"/>
      <c r="CI202"/>
      <c r="CJ202"/>
      <c r="CK202"/>
      <c r="CL202"/>
    </row>
    <row r="203" spans="2:90">
      <c r="B203"/>
      <c r="C203"/>
      <c r="D203" s="11"/>
      <c r="E203"/>
      <c r="F203"/>
      <c r="G203"/>
      <c r="H203"/>
      <c r="I203" s="11"/>
      <c r="J203" s="11"/>
      <c r="K203" s="11"/>
      <c r="L203"/>
      <c r="M203" s="11"/>
      <c r="N203" s="11"/>
      <c r="O203" s="11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 s="11"/>
      <c r="AD203"/>
      <c r="AE203" s="11"/>
      <c r="AF203" s="11"/>
      <c r="AG203" s="11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 s="11"/>
      <c r="CE203"/>
      <c r="CF203"/>
      <c r="CG203"/>
      <c r="CH203"/>
      <c r="CI203"/>
      <c r="CJ203"/>
      <c r="CK203"/>
      <c r="CL203"/>
    </row>
    <row r="204" spans="2:90">
      <c r="B204"/>
      <c r="C204"/>
      <c r="D204" s="11"/>
      <c r="E204"/>
      <c r="F204"/>
      <c r="G204"/>
      <c r="H204"/>
      <c r="I204" s="11"/>
      <c r="J204" s="11"/>
      <c r="K204" s="11"/>
      <c r="L204"/>
      <c r="M204" s="11"/>
      <c r="N204" s="11"/>
      <c r="O204" s="1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 s="11"/>
      <c r="AD204"/>
      <c r="AE204" s="11"/>
      <c r="AF204" s="11"/>
      <c r="AG204" s="11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 s="11"/>
      <c r="CE204"/>
      <c r="CF204"/>
      <c r="CG204"/>
      <c r="CH204"/>
      <c r="CI204"/>
      <c r="CJ204"/>
      <c r="CK204"/>
      <c r="CL204"/>
    </row>
    <row r="205" spans="2:90">
      <c r="B205"/>
      <c r="C205"/>
      <c r="D205" s="11"/>
      <c r="E205"/>
      <c r="F205"/>
      <c r="G205"/>
      <c r="H205"/>
      <c r="I205" s="11"/>
      <c r="J205" s="11"/>
      <c r="K205" s="11"/>
      <c r="L205"/>
      <c r="M205" s="11"/>
      <c r="N205" s="11"/>
      <c r="O205" s="1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 s="11"/>
      <c r="AD205"/>
      <c r="AE205" s="11"/>
      <c r="AF205" s="11"/>
      <c r="AG205" s="11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 s="11"/>
      <c r="CE205"/>
      <c r="CF205"/>
      <c r="CG205"/>
      <c r="CH205"/>
      <c r="CI205"/>
      <c r="CJ205"/>
      <c r="CK205"/>
      <c r="CL205"/>
    </row>
    <row r="206" spans="2:90">
      <c r="B206"/>
      <c r="C206"/>
      <c r="D206" s="11"/>
      <c r="E206"/>
      <c r="F206"/>
      <c r="G206"/>
      <c r="H206"/>
      <c r="I206" s="11"/>
      <c r="J206" s="11"/>
      <c r="K206" s="11"/>
      <c r="L206"/>
      <c r="M206" s="11"/>
      <c r="N206" s="11"/>
      <c r="O206" s="1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 s="11"/>
      <c r="AD206"/>
      <c r="AE206" s="11"/>
      <c r="AF206" s="11"/>
      <c r="AG206" s="11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 s="11"/>
      <c r="CE206"/>
      <c r="CF206"/>
      <c r="CG206"/>
      <c r="CH206"/>
      <c r="CI206"/>
      <c r="CJ206"/>
      <c r="CK206"/>
      <c r="CL206"/>
    </row>
    <row r="207" spans="2:90">
      <c r="B207"/>
      <c r="C207"/>
      <c r="D207" s="11"/>
      <c r="E207"/>
      <c r="F207"/>
      <c r="G207"/>
      <c r="H207"/>
      <c r="I207" s="11"/>
      <c r="J207" s="11"/>
      <c r="K207" s="11"/>
      <c r="L207"/>
      <c r="M207" s="11"/>
      <c r="N207" s="11"/>
      <c r="O207" s="1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 s="11"/>
      <c r="AD207"/>
      <c r="AE207" s="11"/>
      <c r="AF207" s="11"/>
      <c r="AG207" s="11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 s="11"/>
      <c r="CE207"/>
      <c r="CF207"/>
      <c r="CG207"/>
      <c r="CH207"/>
      <c r="CI207"/>
      <c r="CJ207"/>
      <c r="CK207"/>
      <c r="CL207"/>
    </row>
    <row r="208" spans="2:90">
      <c r="B208"/>
      <c r="C208"/>
      <c r="D208" s="11"/>
      <c r="E208"/>
      <c r="F208"/>
      <c r="G208"/>
      <c r="H208"/>
      <c r="I208" s="11"/>
      <c r="J208" s="11"/>
      <c r="K208" s="11"/>
      <c r="L208"/>
      <c r="M208" s="11"/>
      <c r="N208" s="11"/>
      <c r="O208" s="1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 s="11"/>
      <c r="AD208"/>
      <c r="AE208" s="11"/>
      <c r="AF208" s="11"/>
      <c r="AG208" s="11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 s="11"/>
      <c r="CE208"/>
      <c r="CF208"/>
      <c r="CG208"/>
      <c r="CH208"/>
      <c r="CI208"/>
      <c r="CJ208"/>
      <c r="CK208"/>
      <c r="CL208"/>
    </row>
    <row r="209" spans="2:90">
      <c r="B209"/>
      <c r="C209"/>
      <c r="D209" s="11"/>
      <c r="E209"/>
      <c r="F209"/>
      <c r="G209"/>
      <c r="H209"/>
      <c r="I209" s="11"/>
      <c r="J209" s="11"/>
      <c r="K209" s="11"/>
      <c r="L209"/>
      <c r="M209" s="11"/>
      <c r="N209" s="11"/>
      <c r="O209" s="1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 s="11"/>
      <c r="AD209"/>
      <c r="AE209" s="11"/>
      <c r="AF209" s="11"/>
      <c r="AG209" s="11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 s="11"/>
      <c r="CE209"/>
      <c r="CF209"/>
      <c r="CG209"/>
      <c r="CH209"/>
      <c r="CI209"/>
      <c r="CJ209"/>
      <c r="CK209"/>
      <c r="CL209"/>
    </row>
    <row r="210" spans="2:90">
      <c r="B210"/>
      <c r="C210"/>
      <c r="D210" s="11"/>
      <c r="E210"/>
      <c r="F210"/>
      <c r="G210"/>
      <c r="H210"/>
      <c r="I210" s="11"/>
      <c r="J210" s="11"/>
      <c r="K210" s="11"/>
      <c r="L210"/>
      <c r="M210" s="11"/>
      <c r="N210" s="11"/>
      <c r="O210" s="1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 s="11"/>
      <c r="AD210"/>
      <c r="AE210" s="11"/>
      <c r="AF210" s="11"/>
      <c r="AG210" s="11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 s="11"/>
      <c r="CE210"/>
      <c r="CF210"/>
      <c r="CG210"/>
      <c r="CH210"/>
      <c r="CI210"/>
      <c r="CJ210"/>
      <c r="CK210"/>
      <c r="CL210"/>
    </row>
    <row r="211" spans="2:90">
      <c r="B211"/>
      <c r="C211"/>
      <c r="D211" s="11"/>
      <c r="E211"/>
      <c r="F211"/>
      <c r="G211"/>
      <c r="H211"/>
      <c r="I211" s="11"/>
      <c r="J211" s="11"/>
      <c r="K211" s="11"/>
      <c r="L211"/>
      <c r="M211" s="11"/>
      <c r="N211" s="11"/>
      <c r="O211" s="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 s="11"/>
      <c r="AD211"/>
      <c r="AE211" s="11"/>
      <c r="AF211" s="11"/>
      <c r="AG211" s="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 s="11"/>
      <c r="CE211"/>
      <c r="CF211"/>
      <c r="CG211"/>
      <c r="CH211"/>
      <c r="CI211"/>
      <c r="CJ211"/>
      <c r="CK211"/>
      <c r="CL211"/>
    </row>
    <row r="212" spans="2:90">
      <c r="B212"/>
      <c r="C212"/>
      <c r="D212" s="11"/>
      <c r="E212"/>
      <c r="F212"/>
      <c r="G212"/>
      <c r="H212"/>
      <c r="I212" s="11"/>
      <c r="J212" s="11"/>
      <c r="K212" s="11"/>
      <c r="L212"/>
      <c r="M212" s="11"/>
      <c r="N212" s="11"/>
      <c r="O212" s="1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 s="11"/>
      <c r="AD212"/>
      <c r="AE212" s="11"/>
      <c r="AF212" s="11"/>
      <c r="AG212" s="11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 s="11"/>
      <c r="CE212"/>
      <c r="CF212"/>
      <c r="CG212"/>
      <c r="CH212"/>
      <c r="CI212"/>
      <c r="CJ212"/>
      <c r="CK212"/>
      <c r="CL212"/>
    </row>
    <row r="213" spans="2:90">
      <c r="B213"/>
      <c r="C213"/>
      <c r="D213" s="11"/>
      <c r="E213"/>
      <c r="F213"/>
      <c r="G213"/>
      <c r="H213"/>
      <c r="I213" s="11"/>
      <c r="J213" s="11"/>
      <c r="K213" s="11"/>
      <c r="L213"/>
      <c r="M213" s="11"/>
      <c r="N213" s="11"/>
      <c r="O213" s="11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 s="11"/>
      <c r="AD213"/>
      <c r="AE213" s="11"/>
      <c r="AF213" s="11"/>
      <c r="AG213" s="11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 s="11"/>
      <c r="CE213"/>
      <c r="CF213"/>
      <c r="CG213"/>
      <c r="CH213"/>
      <c r="CI213"/>
      <c r="CJ213"/>
      <c r="CK213"/>
      <c r="CL213"/>
    </row>
    <row r="214" spans="2:90">
      <c r="B214"/>
      <c r="C214"/>
      <c r="D214" s="11"/>
      <c r="E214"/>
      <c r="F214"/>
      <c r="G214"/>
      <c r="H214"/>
      <c r="I214" s="11"/>
      <c r="J214" s="11"/>
      <c r="K214" s="11"/>
      <c r="L214"/>
      <c r="M214" s="11"/>
      <c r="N214" s="11"/>
      <c r="O214" s="11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 s="11"/>
      <c r="AD214"/>
      <c r="AE214" s="11"/>
      <c r="AF214" s="11"/>
      <c r="AG214" s="11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 s="11"/>
      <c r="CE214"/>
      <c r="CF214"/>
      <c r="CG214"/>
      <c r="CH214"/>
      <c r="CI214"/>
      <c r="CJ214"/>
      <c r="CK214"/>
      <c r="CL214"/>
    </row>
    <row r="215" spans="2:90">
      <c r="B215"/>
      <c r="C215"/>
      <c r="D215" s="11"/>
      <c r="E215"/>
      <c r="F215"/>
      <c r="G215"/>
      <c r="H215"/>
      <c r="I215" s="11"/>
      <c r="J215" s="11"/>
      <c r="K215" s="11"/>
      <c r="L215"/>
      <c r="M215" s="11"/>
      <c r="N215" s="11"/>
      <c r="O215" s="11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 s="11"/>
      <c r="AD215"/>
      <c r="AE215" s="11"/>
      <c r="AF215" s="11"/>
      <c r="AG215" s="11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 s="11"/>
      <c r="CE215"/>
      <c r="CF215"/>
      <c r="CG215"/>
      <c r="CH215"/>
      <c r="CI215"/>
      <c r="CJ215"/>
      <c r="CK215"/>
      <c r="CL215"/>
    </row>
    <row r="216" spans="2:90">
      <c r="B216"/>
      <c r="C216"/>
      <c r="D216" s="11"/>
      <c r="E216"/>
      <c r="F216"/>
      <c r="G216"/>
      <c r="H216"/>
      <c r="I216" s="11"/>
      <c r="J216" s="11"/>
      <c r="K216" s="11"/>
      <c r="L216"/>
      <c r="M216" s="11"/>
      <c r="N216" s="11"/>
      <c r="O216" s="11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 s="11"/>
      <c r="AD216"/>
      <c r="AE216" s="11"/>
      <c r="AF216" s="11"/>
      <c r="AG216" s="11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 s="11"/>
      <c r="CE216"/>
      <c r="CF216"/>
      <c r="CG216"/>
      <c r="CH216"/>
      <c r="CI216"/>
      <c r="CJ216"/>
      <c r="CK216"/>
      <c r="CL216"/>
    </row>
    <row r="217" spans="2:90">
      <c r="B217"/>
      <c r="C217"/>
      <c r="D217" s="11"/>
      <c r="E217"/>
      <c r="F217"/>
      <c r="G217"/>
      <c r="H217"/>
      <c r="I217" s="11"/>
      <c r="J217" s="11"/>
      <c r="K217" s="11"/>
      <c r="L217"/>
      <c r="M217" s="11"/>
      <c r="N217" s="11"/>
      <c r="O217" s="11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 s="11"/>
      <c r="AD217"/>
      <c r="AE217" s="11"/>
      <c r="AF217" s="11"/>
      <c r="AG217" s="11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 s="11"/>
      <c r="CE217"/>
      <c r="CF217"/>
      <c r="CG217"/>
      <c r="CH217"/>
      <c r="CI217"/>
      <c r="CJ217"/>
      <c r="CK217"/>
      <c r="CL217"/>
    </row>
    <row r="218" spans="2:90">
      <c r="B218"/>
      <c r="C218"/>
      <c r="D218" s="11"/>
      <c r="E218"/>
      <c r="F218"/>
      <c r="G218"/>
      <c r="H218"/>
      <c r="I218" s="11"/>
      <c r="J218" s="11"/>
      <c r="K218" s="11"/>
      <c r="L218"/>
      <c r="M218" s="11"/>
      <c r="N218" s="11"/>
      <c r="O218" s="11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 s="11"/>
      <c r="AD218"/>
      <c r="AE218" s="11"/>
      <c r="AF218" s="11"/>
      <c r="AG218" s="11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 s="11"/>
      <c r="CE218"/>
      <c r="CF218"/>
      <c r="CG218"/>
      <c r="CH218"/>
      <c r="CI218"/>
      <c r="CJ218"/>
      <c r="CK218"/>
      <c r="CL218"/>
    </row>
    <row r="219" spans="2:90">
      <c r="B219"/>
      <c r="C219"/>
      <c r="D219" s="11"/>
      <c r="E219"/>
      <c r="F219"/>
      <c r="G219"/>
      <c r="H219"/>
      <c r="I219" s="11"/>
      <c r="J219" s="11"/>
      <c r="K219" s="11"/>
      <c r="L219"/>
      <c r="M219" s="11"/>
      <c r="N219" s="11"/>
      <c r="O219" s="11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 s="11"/>
      <c r="AD219"/>
      <c r="AE219" s="11"/>
      <c r="AF219" s="11"/>
      <c r="AG219" s="11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 s="11"/>
      <c r="CE219"/>
      <c r="CF219"/>
      <c r="CG219"/>
      <c r="CH219"/>
      <c r="CI219"/>
      <c r="CJ219"/>
      <c r="CK219"/>
      <c r="CL219"/>
    </row>
    <row r="220" spans="2:90">
      <c r="B220"/>
      <c r="C220"/>
      <c r="D220" s="11"/>
      <c r="E220"/>
      <c r="F220"/>
      <c r="G220"/>
      <c r="H220"/>
      <c r="I220" s="11"/>
      <c r="J220" s="11"/>
      <c r="K220" s="11"/>
      <c r="L220"/>
      <c r="M220" s="11"/>
      <c r="N220" s="11"/>
      <c r="O220" s="11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 s="11"/>
      <c r="AD220"/>
      <c r="AE220" s="11"/>
      <c r="AF220" s="11"/>
      <c r="AG220" s="11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 s="11"/>
      <c r="CE220"/>
      <c r="CF220"/>
      <c r="CG220"/>
      <c r="CH220"/>
      <c r="CI220"/>
      <c r="CJ220"/>
      <c r="CK220"/>
      <c r="CL220"/>
    </row>
    <row r="221" spans="2:90">
      <c r="B221"/>
      <c r="C221"/>
      <c r="D221" s="11"/>
      <c r="E221"/>
      <c r="F221"/>
      <c r="G221"/>
      <c r="H221"/>
      <c r="I221" s="11"/>
      <c r="J221" s="11"/>
      <c r="K221" s="11"/>
      <c r="L221"/>
      <c r="M221" s="11"/>
      <c r="N221" s="11"/>
      <c r="O221" s="1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 s="11"/>
      <c r="AD221"/>
      <c r="AE221" s="11"/>
      <c r="AF221" s="11"/>
      <c r="AG221" s="1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 s="11"/>
      <c r="CE221"/>
      <c r="CF221"/>
      <c r="CG221"/>
      <c r="CH221"/>
      <c r="CI221"/>
      <c r="CJ221"/>
      <c r="CK221"/>
      <c r="CL221"/>
    </row>
    <row r="222" spans="2:90">
      <c r="B222"/>
      <c r="C222"/>
      <c r="D222" s="11"/>
      <c r="E222"/>
      <c r="F222"/>
      <c r="G222"/>
      <c r="H222"/>
      <c r="I222" s="11"/>
      <c r="J222" s="11"/>
      <c r="K222" s="11"/>
      <c r="L222"/>
      <c r="M222" s="11"/>
      <c r="N222" s="11"/>
      <c r="O222" s="11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 s="11"/>
      <c r="AD222"/>
      <c r="AE222" s="11"/>
      <c r="AF222" s="11"/>
      <c r="AG222" s="11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 s="11"/>
      <c r="CE222"/>
      <c r="CF222"/>
      <c r="CG222"/>
      <c r="CH222"/>
      <c r="CI222"/>
      <c r="CJ222"/>
      <c r="CK222"/>
      <c r="CL222"/>
    </row>
    <row r="223" spans="2:90">
      <c r="B223"/>
      <c r="C223"/>
      <c r="D223" s="11"/>
      <c r="E223"/>
      <c r="F223"/>
      <c r="G223"/>
      <c r="H223"/>
      <c r="I223" s="11"/>
      <c r="J223" s="11"/>
      <c r="K223" s="11"/>
      <c r="L223"/>
      <c r="M223" s="11"/>
      <c r="N223" s="11"/>
      <c r="O223" s="11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 s="11"/>
      <c r="AD223"/>
      <c r="AE223" s="11"/>
      <c r="AF223" s="11"/>
      <c r="AG223" s="11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 s="11"/>
      <c r="CE223"/>
      <c r="CF223"/>
      <c r="CG223"/>
      <c r="CH223"/>
      <c r="CI223"/>
      <c r="CJ223"/>
      <c r="CK223"/>
      <c r="CL223"/>
    </row>
    <row r="224" spans="2:90">
      <c r="B224"/>
      <c r="C224"/>
      <c r="D224" s="11"/>
      <c r="E224"/>
      <c r="F224"/>
      <c r="G224"/>
      <c r="H224"/>
      <c r="I224" s="11"/>
      <c r="J224" s="11"/>
      <c r="K224" s="11"/>
      <c r="L224"/>
      <c r="M224" s="11"/>
      <c r="N224" s="11"/>
      <c r="O224" s="11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 s="11"/>
      <c r="AD224"/>
      <c r="AE224" s="11"/>
      <c r="AF224" s="11"/>
      <c r="AG224" s="11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 s="11"/>
      <c r="CE224"/>
      <c r="CF224"/>
      <c r="CG224"/>
      <c r="CH224"/>
      <c r="CI224"/>
      <c r="CJ224"/>
      <c r="CK224"/>
      <c r="CL224"/>
    </row>
    <row r="225" spans="2:90">
      <c r="B225"/>
      <c r="C225"/>
      <c r="D225" s="11"/>
      <c r="E225"/>
      <c r="F225"/>
      <c r="G225"/>
      <c r="H225"/>
      <c r="I225" s="11"/>
      <c r="J225" s="11"/>
      <c r="K225" s="11"/>
      <c r="L225"/>
      <c r="M225" s="11"/>
      <c r="N225" s="11"/>
      <c r="O225" s="11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 s="11"/>
      <c r="AD225"/>
      <c r="AE225" s="11"/>
      <c r="AF225" s="11"/>
      <c r="AG225" s="11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 s="11"/>
      <c r="CE225"/>
      <c r="CF225"/>
      <c r="CG225"/>
      <c r="CH225"/>
      <c r="CI225"/>
      <c r="CJ225"/>
      <c r="CK225"/>
      <c r="CL225"/>
    </row>
    <row r="226" spans="2:90">
      <c r="B226"/>
      <c r="C226"/>
      <c r="D226" s="11"/>
      <c r="E226"/>
      <c r="F226"/>
      <c r="G226"/>
      <c r="H226"/>
      <c r="I226" s="11"/>
      <c r="J226" s="11"/>
      <c r="K226" s="11"/>
      <c r="L226"/>
      <c r="M226" s="11"/>
      <c r="N226" s="11"/>
      <c r="O226" s="11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 s="11"/>
      <c r="AD226"/>
      <c r="AE226" s="11"/>
      <c r="AF226" s="11"/>
      <c r="AG226" s="11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 s="11"/>
      <c r="CE226"/>
      <c r="CF226"/>
      <c r="CG226"/>
      <c r="CH226"/>
      <c r="CI226"/>
      <c r="CJ226"/>
      <c r="CK226"/>
      <c r="CL226"/>
    </row>
    <row r="227" spans="2:90">
      <c r="B227"/>
      <c r="C227"/>
      <c r="D227" s="11"/>
      <c r="E227"/>
      <c r="F227"/>
      <c r="G227"/>
      <c r="H227"/>
      <c r="I227" s="11"/>
      <c r="J227" s="11"/>
      <c r="K227" s="11"/>
      <c r="L227"/>
      <c r="M227" s="11"/>
      <c r="N227" s="11"/>
      <c r="O227" s="11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 s="11"/>
      <c r="AD227"/>
      <c r="AE227" s="11"/>
      <c r="AF227" s="11"/>
      <c r="AG227" s="11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 s="11"/>
      <c r="CE227"/>
      <c r="CF227"/>
      <c r="CG227"/>
      <c r="CH227"/>
      <c r="CI227"/>
      <c r="CJ227"/>
      <c r="CK227"/>
      <c r="CL227"/>
    </row>
    <row r="228" spans="2:90">
      <c r="B228"/>
      <c r="C228"/>
      <c r="D228" s="11"/>
      <c r="E228"/>
      <c r="F228"/>
      <c r="G228"/>
      <c r="H228"/>
      <c r="I228" s="11"/>
      <c r="J228" s="11"/>
      <c r="K228" s="11"/>
      <c r="L228"/>
      <c r="M228" s="11"/>
      <c r="N228" s="11"/>
      <c r="O228" s="11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 s="11"/>
      <c r="AD228"/>
      <c r="AE228" s="11"/>
      <c r="AF228" s="11"/>
      <c r="AG228" s="11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 s="11"/>
      <c r="CE228"/>
      <c r="CF228"/>
      <c r="CG228"/>
      <c r="CH228"/>
      <c r="CI228"/>
      <c r="CJ228"/>
      <c r="CK228"/>
      <c r="CL228"/>
    </row>
    <row r="229" spans="2:90">
      <c r="B229"/>
      <c r="C229"/>
      <c r="D229" s="11"/>
      <c r="E229"/>
      <c r="F229"/>
      <c r="G229"/>
      <c r="H229"/>
      <c r="I229" s="11"/>
      <c r="J229" s="11"/>
      <c r="K229" s="11"/>
      <c r="L229"/>
      <c r="M229" s="11"/>
      <c r="N229" s="11"/>
      <c r="O229" s="11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 s="11"/>
      <c r="AD229"/>
      <c r="AE229" s="11"/>
      <c r="AF229" s="11"/>
      <c r="AG229" s="11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 s="11"/>
      <c r="CE229"/>
      <c r="CF229"/>
      <c r="CG229"/>
      <c r="CH229"/>
      <c r="CI229"/>
      <c r="CJ229"/>
      <c r="CK229"/>
      <c r="CL229"/>
    </row>
    <row r="230" spans="2:90">
      <c r="B230"/>
      <c r="C230"/>
      <c r="D230" s="11"/>
      <c r="E230"/>
      <c r="F230"/>
      <c r="G230"/>
      <c r="H230"/>
      <c r="I230" s="11"/>
      <c r="J230" s="11"/>
      <c r="K230" s="11"/>
      <c r="L230"/>
      <c r="M230" s="11"/>
      <c r="N230" s="11"/>
      <c r="O230" s="11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 s="11"/>
      <c r="AD230"/>
      <c r="AE230" s="11"/>
      <c r="AF230" s="11"/>
      <c r="AG230" s="11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 s="11"/>
      <c r="CE230"/>
      <c r="CF230"/>
      <c r="CG230"/>
      <c r="CH230"/>
      <c r="CI230"/>
      <c r="CJ230"/>
      <c r="CK230"/>
      <c r="CL230"/>
    </row>
    <row r="231" spans="2:90">
      <c r="B231"/>
      <c r="C231"/>
      <c r="D231" s="11"/>
      <c r="E231"/>
      <c r="F231"/>
      <c r="G231"/>
      <c r="H231"/>
      <c r="I231" s="11"/>
      <c r="J231" s="11"/>
      <c r="K231" s="11"/>
      <c r="L231"/>
      <c r="M231" s="11"/>
      <c r="N231" s="11"/>
      <c r="O231" s="1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 s="11"/>
      <c r="AD231"/>
      <c r="AE231" s="11"/>
      <c r="AF231" s="11"/>
      <c r="AG231" s="1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 s="11"/>
      <c r="CE231"/>
      <c r="CF231"/>
      <c r="CG231"/>
      <c r="CH231"/>
      <c r="CI231"/>
      <c r="CJ231"/>
      <c r="CK231"/>
      <c r="CL231"/>
    </row>
    <row r="232" spans="2:90">
      <c r="B232"/>
      <c r="C232"/>
      <c r="D232" s="11"/>
      <c r="E232"/>
      <c r="F232"/>
      <c r="G232"/>
      <c r="H232"/>
      <c r="I232" s="11"/>
      <c r="J232" s="11"/>
      <c r="K232" s="11"/>
      <c r="L232"/>
      <c r="M232" s="11"/>
      <c r="N232" s="11"/>
      <c r="O232" s="11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 s="11"/>
      <c r="AD232"/>
      <c r="AE232" s="11"/>
      <c r="AF232" s="11"/>
      <c r="AG232" s="11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 s="11"/>
      <c r="CE232"/>
      <c r="CF232"/>
      <c r="CG232"/>
      <c r="CH232"/>
      <c r="CI232"/>
      <c r="CJ232"/>
      <c r="CK232"/>
      <c r="CL232"/>
    </row>
    <row r="233" spans="2:90">
      <c r="B233"/>
      <c r="C233"/>
      <c r="D233" s="11"/>
      <c r="E233"/>
      <c r="F233"/>
      <c r="G233"/>
      <c r="H233"/>
      <c r="I233" s="11"/>
      <c r="J233" s="11"/>
      <c r="K233" s="11"/>
      <c r="L233"/>
      <c r="M233" s="11"/>
      <c r="N233" s="11"/>
      <c r="O233" s="11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 s="11"/>
      <c r="AD233"/>
      <c r="AE233" s="11"/>
      <c r="AF233" s="11"/>
      <c r="AG233" s="11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 s="11"/>
      <c r="CE233"/>
      <c r="CF233"/>
      <c r="CG233"/>
      <c r="CH233"/>
      <c r="CI233"/>
      <c r="CJ233"/>
      <c r="CK233"/>
      <c r="CL233"/>
    </row>
    <row r="234" spans="2:90">
      <c r="B234"/>
      <c r="C234"/>
      <c r="D234" s="11"/>
      <c r="E234"/>
      <c r="F234"/>
      <c r="G234"/>
      <c r="H234"/>
      <c r="I234" s="11"/>
      <c r="J234" s="11"/>
      <c r="K234" s="11"/>
      <c r="L234"/>
      <c r="M234" s="11"/>
      <c r="N234" s="11"/>
      <c r="O234" s="11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 s="11"/>
      <c r="AD234"/>
      <c r="AE234" s="11"/>
      <c r="AF234" s="11"/>
      <c r="AG234" s="11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 s="11"/>
      <c r="CE234"/>
      <c r="CF234"/>
      <c r="CG234"/>
      <c r="CH234"/>
      <c r="CI234"/>
      <c r="CJ234"/>
      <c r="CK234"/>
      <c r="CL234"/>
    </row>
    <row r="235" spans="2:90">
      <c r="B235"/>
      <c r="C235"/>
      <c r="D235" s="11"/>
      <c r="E235"/>
      <c r="F235"/>
      <c r="G235"/>
      <c r="H235"/>
      <c r="I235" s="11"/>
      <c r="J235" s="11"/>
      <c r="K235" s="11"/>
      <c r="L235"/>
      <c r="M235" s="11"/>
      <c r="N235" s="11"/>
      <c r="O235" s="11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 s="11"/>
      <c r="AD235"/>
      <c r="AE235" s="11"/>
      <c r="AF235" s="11"/>
      <c r="AG235" s="11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 s="11"/>
      <c r="CE235"/>
      <c r="CF235"/>
      <c r="CG235"/>
      <c r="CH235"/>
      <c r="CI235"/>
      <c r="CJ235"/>
      <c r="CK235"/>
      <c r="CL235"/>
    </row>
    <row r="236" spans="2:90">
      <c r="B236"/>
      <c r="C236"/>
      <c r="D236" s="11"/>
      <c r="E236"/>
      <c r="F236"/>
      <c r="G236"/>
      <c r="H236"/>
      <c r="I236" s="11"/>
      <c r="J236" s="11"/>
      <c r="K236" s="11"/>
      <c r="L236"/>
      <c r="M236" s="11"/>
      <c r="N236" s="11"/>
      <c r="O236" s="11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 s="11"/>
      <c r="AD236"/>
      <c r="AE236" s="11"/>
      <c r="AF236" s="11"/>
      <c r="AG236" s="11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 s="11"/>
      <c r="CE236"/>
      <c r="CF236"/>
      <c r="CG236"/>
      <c r="CH236"/>
      <c r="CI236"/>
      <c r="CJ236"/>
      <c r="CK236"/>
      <c r="CL236"/>
    </row>
    <row r="237" spans="2:90">
      <c r="B237"/>
      <c r="C237"/>
      <c r="D237" s="11"/>
      <c r="E237"/>
      <c r="F237"/>
      <c r="G237"/>
      <c r="H237"/>
      <c r="I237" s="11"/>
      <c r="J237" s="11"/>
      <c r="K237" s="11"/>
      <c r="L237"/>
      <c r="M237" s="11"/>
      <c r="N237" s="11"/>
      <c r="O237" s="11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 s="11"/>
      <c r="AD237"/>
      <c r="AE237" s="11"/>
      <c r="AF237" s="11"/>
      <c r="AG237" s="11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 s="11"/>
      <c r="CE237"/>
      <c r="CF237"/>
      <c r="CG237"/>
      <c r="CH237"/>
      <c r="CI237"/>
      <c r="CJ237"/>
      <c r="CK237"/>
      <c r="CL237"/>
    </row>
    <row r="238" spans="2:90">
      <c r="B238"/>
      <c r="C238"/>
      <c r="D238" s="11"/>
      <c r="E238"/>
      <c r="F238"/>
      <c r="G238"/>
      <c r="H238"/>
      <c r="I238" s="11"/>
      <c r="J238" s="11"/>
      <c r="K238" s="11"/>
      <c r="L238"/>
      <c r="M238" s="11"/>
      <c r="N238" s="11"/>
      <c r="O238" s="11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 s="11"/>
      <c r="AD238"/>
      <c r="AE238" s="11"/>
      <c r="AF238" s="11"/>
      <c r="AG238" s="11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 s="11"/>
      <c r="CE238"/>
      <c r="CF238"/>
      <c r="CG238"/>
      <c r="CH238"/>
      <c r="CI238"/>
      <c r="CJ238"/>
      <c r="CK238"/>
      <c r="CL238"/>
    </row>
    <row r="239" spans="2:90">
      <c r="B239"/>
      <c r="C239"/>
      <c r="D239" s="11"/>
      <c r="E239"/>
      <c r="F239"/>
      <c r="G239"/>
      <c r="H239"/>
      <c r="I239" s="11"/>
      <c r="J239" s="11"/>
      <c r="K239" s="11"/>
      <c r="L239"/>
      <c r="M239" s="11"/>
      <c r="N239" s="11"/>
      <c r="O239" s="11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 s="11"/>
      <c r="AD239"/>
      <c r="AE239" s="11"/>
      <c r="AF239" s="11"/>
      <c r="AG239" s="11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 s="11"/>
      <c r="CE239"/>
      <c r="CF239"/>
      <c r="CG239"/>
      <c r="CH239"/>
      <c r="CI239"/>
      <c r="CJ239"/>
      <c r="CK239"/>
      <c r="CL239"/>
    </row>
    <row r="240" spans="2:90">
      <c r="B240"/>
      <c r="C240"/>
      <c r="D240" s="11"/>
      <c r="E240"/>
      <c r="F240"/>
      <c r="G240"/>
      <c r="H240"/>
      <c r="I240" s="11"/>
      <c r="J240" s="11"/>
      <c r="K240" s="11"/>
      <c r="L240"/>
      <c r="M240" s="11"/>
      <c r="N240" s="11"/>
      <c r="O240" s="11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 s="11"/>
      <c r="AD240"/>
      <c r="AE240" s="11"/>
      <c r="AF240" s="11"/>
      <c r="AG240" s="11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 s="11"/>
      <c r="CE240"/>
      <c r="CF240"/>
      <c r="CG240"/>
      <c r="CH240"/>
      <c r="CI240"/>
      <c r="CJ240"/>
      <c r="CK240"/>
      <c r="CL240"/>
    </row>
    <row r="241" spans="2:90">
      <c r="B241"/>
      <c r="C241"/>
      <c r="D241" s="11"/>
      <c r="E241"/>
      <c r="F241"/>
      <c r="G241"/>
      <c r="H241"/>
      <c r="I241" s="11"/>
      <c r="J241" s="11"/>
      <c r="K241" s="11"/>
      <c r="L241"/>
      <c r="M241" s="11"/>
      <c r="N241" s="11"/>
      <c r="O241" s="1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 s="11"/>
      <c r="AD241"/>
      <c r="AE241" s="11"/>
      <c r="AF241" s="11"/>
      <c r="AG241" s="1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 s="11"/>
      <c r="CE241"/>
      <c r="CF241"/>
      <c r="CG241"/>
      <c r="CH241"/>
      <c r="CI241"/>
      <c r="CJ241"/>
      <c r="CK241"/>
      <c r="CL241"/>
    </row>
    <row r="242" spans="2:90">
      <c r="B242"/>
      <c r="C242"/>
      <c r="D242" s="11"/>
      <c r="E242"/>
      <c r="F242"/>
      <c r="G242"/>
      <c r="H242"/>
      <c r="I242" s="11"/>
      <c r="J242" s="11"/>
      <c r="K242" s="11"/>
      <c r="L242"/>
      <c r="M242" s="11"/>
      <c r="N242" s="11"/>
      <c r="O242" s="11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 s="11"/>
      <c r="AD242"/>
      <c r="AE242" s="11"/>
      <c r="AF242" s="11"/>
      <c r="AG242" s="11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 s="11"/>
      <c r="CE242"/>
      <c r="CF242"/>
      <c r="CG242"/>
      <c r="CH242"/>
      <c r="CI242"/>
      <c r="CJ242"/>
      <c r="CK242"/>
      <c r="CL242"/>
    </row>
    <row r="243" spans="2:90">
      <c r="B243"/>
      <c r="C243"/>
      <c r="D243" s="11"/>
      <c r="E243"/>
      <c r="F243"/>
      <c r="G243"/>
      <c r="H243"/>
      <c r="I243" s="11"/>
      <c r="J243" s="11"/>
      <c r="K243" s="11"/>
      <c r="L243"/>
      <c r="M243" s="11"/>
      <c r="N243" s="11"/>
      <c r="O243" s="11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 s="11"/>
      <c r="AD243"/>
      <c r="AE243" s="11"/>
      <c r="AF243" s="11"/>
      <c r="AG243" s="11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 s="11"/>
      <c r="CE243"/>
      <c r="CF243"/>
      <c r="CG243"/>
      <c r="CH243"/>
      <c r="CI243"/>
      <c r="CJ243"/>
      <c r="CK243"/>
      <c r="CL243"/>
    </row>
    <row r="244" spans="2:90">
      <c r="B244"/>
      <c r="C244"/>
      <c r="D244" s="11"/>
      <c r="E244"/>
      <c r="F244"/>
      <c r="G244"/>
      <c r="H244"/>
      <c r="I244" s="11"/>
      <c r="J244" s="11"/>
      <c r="K244" s="11"/>
      <c r="L244"/>
      <c r="M244" s="11"/>
      <c r="N244" s="11"/>
      <c r="O244" s="11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 s="11"/>
      <c r="AD244"/>
      <c r="AE244" s="11"/>
      <c r="AF244" s="11"/>
      <c r="AG244" s="11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 s="11"/>
      <c r="CE244"/>
      <c r="CF244"/>
      <c r="CG244"/>
      <c r="CH244"/>
      <c r="CI244"/>
      <c r="CJ244"/>
      <c r="CK244"/>
      <c r="CL244"/>
    </row>
    <row r="245" spans="2:90">
      <c r="B245"/>
      <c r="C245"/>
      <c r="D245" s="11"/>
      <c r="E245"/>
      <c r="F245"/>
      <c r="G245"/>
      <c r="H245"/>
      <c r="I245" s="11"/>
      <c r="J245" s="11"/>
      <c r="K245" s="11"/>
      <c r="L245"/>
      <c r="M245" s="11"/>
      <c r="N245" s="11"/>
      <c r="O245" s="11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 s="11"/>
      <c r="AD245"/>
      <c r="AE245" s="11"/>
      <c r="AF245" s="11"/>
      <c r="AG245" s="11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 s="11"/>
      <c r="CE245"/>
      <c r="CF245"/>
      <c r="CG245"/>
      <c r="CH245"/>
      <c r="CI245"/>
      <c r="CJ245"/>
      <c r="CK245"/>
      <c r="CL245"/>
    </row>
    <row r="246" spans="2:90">
      <c r="B246"/>
      <c r="C246"/>
      <c r="D246" s="11"/>
      <c r="E246"/>
      <c r="F246"/>
      <c r="G246"/>
      <c r="H246"/>
      <c r="I246" s="11"/>
      <c r="J246" s="11"/>
      <c r="K246" s="11"/>
      <c r="L246"/>
      <c r="M246" s="11"/>
      <c r="N246" s="11"/>
      <c r="O246" s="11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 s="11"/>
      <c r="AD246"/>
      <c r="AE246" s="11"/>
      <c r="AF246" s="11"/>
      <c r="AG246" s="11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 s="11"/>
      <c r="CE246"/>
      <c r="CF246"/>
      <c r="CG246"/>
      <c r="CH246"/>
      <c r="CI246"/>
      <c r="CJ246"/>
      <c r="CK246"/>
      <c r="CL246"/>
    </row>
    <row r="247" spans="2:90">
      <c r="B247"/>
      <c r="C247"/>
      <c r="D247" s="11"/>
      <c r="E247"/>
      <c r="F247"/>
      <c r="G247"/>
      <c r="H247"/>
      <c r="I247" s="11"/>
      <c r="J247" s="11"/>
      <c r="K247" s="11"/>
      <c r="L247"/>
      <c r="M247" s="11"/>
      <c r="N247" s="11"/>
      <c r="O247" s="11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 s="11"/>
      <c r="AD247"/>
      <c r="AE247" s="11"/>
      <c r="AF247" s="11"/>
      <c r="AG247" s="11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 s="11"/>
      <c r="CE247"/>
      <c r="CF247"/>
      <c r="CG247"/>
      <c r="CH247"/>
      <c r="CI247"/>
      <c r="CJ247"/>
      <c r="CK247"/>
      <c r="CL247"/>
    </row>
    <row r="248" spans="2:90">
      <c r="B248"/>
      <c r="C248"/>
      <c r="D248" s="11"/>
      <c r="E248"/>
      <c r="F248"/>
      <c r="G248"/>
      <c r="H248"/>
      <c r="I248" s="11"/>
      <c r="J248" s="11"/>
      <c r="K248" s="11"/>
      <c r="L248"/>
      <c r="M248" s="11"/>
      <c r="N248" s="11"/>
      <c r="O248" s="11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 s="11"/>
      <c r="AD248"/>
      <c r="AE248" s="11"/>
      <c r="AF248" s="11"/>
      <c r="AG248" s="11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 s="11"/>
      <c r="CE248"/>
      <c r="CF248"/>
      <c r="CG248"/>
      <c r="CH248"/>
      <c r="CI248"/>
      <c r="CJ248"/>
      <c r="CK248"/>
      <c r="CL248"/>
    </row>
    <row r="249" spans="2:90">
      <c r="B249"/>
      <c r="C249"/>
      <c r="D249" s="11"/>
      <c r="E249"/>
      <c r="F249"/>
      <c r="G249"/>
      <c r="H249"/>
      <c r="I249" s="11"/>
      <c r="J249" s="11"/>
      <c r="K249" s="11"/>
      <c r="L249"/>
      <c r="M249" s="11"/>
      <c r="N249" s="11"/>
      <c r="O249" s="11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 s="11"/>
      <c r="AD249"/>
      <c r="AE249" s="11"/>
      <c r="AF249" s="11"/>
      <c r="AG249" s="11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 s="11"/>
      <c r="CE249"/>
      <c r="CF249"/>
      <c r="CG249"/>
      <c r="CH249"/>
      <c r="CI249"/>
      <c r="CJ249"/>
      <c r="CK249"/>
      <c r="CL249"/>
    </row>
    <row r="250" spans="2:90">
      <c r="B250"/>
      <c r="C250"/>
      <c r="D250" s="11"/>
      <c r="E250"/>
      <c r="F250"/>
      <c r="G250"/>
      <c r="H250"/>
      <c r="I250" s="11"/>
      <c r="J250" s="11"/>
      <c r="K250" s="11"/>
      <c r="L250"/>
      <c r="M250" s="11"/>
      <c r="N250" s="11"/>
      <c r="O250" s="11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 s="11"/>
      <c r="AD250"/>
      <c r="AE250" s="11"/>
      <c r="AF250" s="11"/>
      <c r="AG250" s="11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 s="11"/>
      <c r="CE250"/>
      <c r="CF250"/>
      <c r="CG250"/>
      <c r="CH250"/>
      <c r="CI250"/>
      <c r="CJ250"/>
      <c r="CK250"/>
      <c r="CL250"/>
    </row>
    <row r="251" spans="2:90">
      <c r="B251"/>
      <c r="C251"/>
      <c r="D251" s="11"/>
      <c r="E251"/>
      <c r="F251"/>
      <c r="G251"/>
      <c r="H251"/>
      <c r="I251" s="11"/>
      <c r="J251" s="11"/>
      <c r="K251" s="11"/>
      <c r="L251"/>
      <c r="M251" s="11"/>
      <c r="N251" s="11"/>
      <c r="O251" s="1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 s="11"/>
      <c r="AD251"/>
      <c r="AE251" s="11"/>
      <c r="AF251" s="11"/>
      <c r="AG251" s="1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 s="11"/>
      <c r="CE251"/>
      <c r="CF251"/>
      <c r="CG251"/>
      <c r="CH251"/>
      <c r="CI251"/>
      <c r="CJ251"/>
      <c r="CK251"/>
      <c r="CL251"/>
    </row>
    <row r="252" spans="2:90">
      <c r="B252"/>
      <c r="C252"/>
      <c r="D252" s="11"/>
      <c r="E252"/>
      <c r="F252"/>
      <c r="G252"/>
      <c r="H252"/>
      <c r="I252" s="11"/>
      <c r="J252" s="11"/>
      <c r="K252" s="11"/>
      <c r="L252"/>
      <c r="M252" s="11"/>
      <c r="N252" s="11"/>
      <c r="O252" s="11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 s="11"/>
      <c r="AD252"/>
      <c r="AE252" s="11"/>
      <c r="AF252" s="11"/>
      <c r="AG252" s="11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 s="11"/>
      <c r="CE252"/>
      <c r="CF252"/>
      <c r="CG252"/>
      <c r="CH252"/>
      <c r="CI252"/>
      <c r="CJ252"/>
      <c r="CK252"/>
      <c r="CL252"/>
    </row>
    <row r="253" spans="2:90">
      <c r="B253"/>
      <c r="C253"/>
      <c r="D253" s="11"/>
      <c r="E253"/>
      <c r="F253"/>
      <c r="G253"/>
      <c r="H253"/>
      <c r="I253" s="11"/>
      <c r="J253" s="11"/>
      <c r="K253" s="11"/>
      <c r="L253"/>
      <c r="M253" s="11"/>
      <c r="N253" s="11"/>
      <c r="O253" s="11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 s="11"/>
      <c r="AD253"/>
      <c r="AE253" s="11"/>
      <c r="AF253" s="11"/>
      <c r="AG253" s="11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 s="11"/>
      <c r="CE253"/>
      <c r="CF253"/>
      <c r="CG253"/>
      <c r="CH253"/>
      <c r="CI253"/>
      <c r="CJ253"/>
      <c r="CK253"/>
      <c r="CL253"/>
    </row>
    <row r="254" spans="2:90">
      <c r="B254"/>
      <c r="C254"/>
      <c r="D254" s="11"/>
      <c r="E254"/>
      <c r="F254"/>
      <c r="G254"/>
      <c r="H254"/>
      <c r="I254" s="11"/>
      <c r="J254" s="11"/>
      <c r="K254" s="11"/>
      <c r="L254"/>
      <c r="M254" s="11"/>
      <c r="N254" s="11"/>
      <c r="O254" s="11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 s="11"/>
      <c r="AD254"/>
      <c r="AE254" s="11"/>
      <c r="AF254" s="11"/>
      <c r="AG254" s="11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 s="11"/>
      <c r="CE254"/>
      <c r="CF254"/>
      <c r="CG254"/>
      <c r="CH254"/>
      <c r="CI254"/>
      <c r="CJ254"/>
      <c r="CK254"/>
      <c r="CL254"/>
    </row>
    <row r="255" spans="2:90">
      <c r="B255"/>
      <c r="C255"/>
      <c r="D255" s="11"/>
      <c r="E255"/>
      <c r="F255"/>
      <c r="G255"/>
      <c r="H255"/>
      <c r="I255" s="11"/>
      <c r="J255" s="11"/>
      <c r="K255" s="11"/>
      <c r="L255"/>
      <c r="M255" s="11"/>
      <c r="N255" s="11"/>
      <c r="O255" s="11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 s="11"/>
      <c r="AD255"/>
      <c r="AE255" s="11"/>
      <c r="AF255" s="11"/>
      <c r="AG255" s="11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 s="11"/>
      <c r="CE255"/>
      <c r="CF255"/>
      <c r="CG255"/>
      <c r="CH255"/>
      <c r="CI255"/>
      <c r="CJ255"/>
      <c r="CK255"/>
      <c r="CL255"/>
    </row>
    <row r="256" spans="2:90">
      <c r="B256"/>
      <c r="C256"/>
      <c r="D256" s="11"/>
      <c r="E256"/>
      <c r="F256"/>
      <c r="G256"/>
      <c r="H256"/>
      <c r="I256" s="11"/>
      <c r="J256" s="11"/>
      <c r="K256" s="11"/>
      <c r="L256"/>
      <c r="M256" s="11"/>
      <c r="N256" s="11"/>
      <c r="O256" s="11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 s="11"/>
      <c r="AD256"/>
      <c r="AE256" s="11"/>
      <c r="AF256" s="11"/>
      <c r="AG256" s="11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 s="11"/>
      <c r="CE256"/>
      <c r="CF256"/>
      <c r="CG256"/>
      <c r="CH256"/>
      <c r="CI256"/>
      <c r="CJ256"/>
      <c r="CK256"/>
      <c r="CL256"/>
    </row>
    <row r="257" spans="2:90">
      <c r="B257"/>
      <c r="C257"/>
      <c r="D257" s="11"/>
      <c r="E257"/>
      <c r="F257"/>
      <c r="G257"/>
      <c r="H257"/>
      <c r="I257" s="11"/>
      <c r="J257" s="11"/>
      <c r="K257" s="11"/>
      <c r="L257"/>
      <c r="M257" s="11"/>
      <c r="N257" s="11"/>
      <c r="O257" s="11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 s="11"/>
      <c r="AD257"/>
      <c r="AE257" s="11"/>
      <c r="AF257" s="11"/>
      <c r="AG257" s="11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 s="11"/>
      <c r="CE257"/>
      <c r="CF257"/>
      <c r="CG257"/>
      <c r="CH257"/>
      <c r="CI257"/>
      <c r="CJ257"/>
      <c r="CK257"/>
      <c r="CL257"/>
    </row>
    <row r="258" spans="2:90">
      <c r="B258"/>
      <c r="C258"/>
      <c r="D258" s="11"/>
      <c r="E258"/>
      <c r="F258"/>
      <c r="G258"/>
      <c r="H258"/>
      <c r="I258" s="11"/>
      <c r="J258" s="11"/>
      <c r="K258" s="11"/>
      <c r="L258"/>
      <c r="M258" s="11"/>
      <c r="N258" s="11"/>
      <c r="O258" s="11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 s="11"/>
      <c r="AD258"/>
      <c r="AE258" s="11"/>
      <c r="AF258" s="11"/>
      <c r="AG258" s="11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 s="11"/>
      <c r="CE258"/>
      <c r="CF258"/>
      <c r="CG258"/>
      <c r="CH258"/>
      <c r="CI258"/>
      <c r="CJ258"/>
      <c r="CK258"/>
      <c r="CL258"/>
    </row>
    <row r="259" spans="2:90">
      <c r="B259"/>
      <c r="C259"/>
      <c r="D259" s="11"/>
      <c r="E259"/>
      <c r="F259"/>
      <c r="G259"/>
      <c r="H259"/>
      <c r="I259" s="11"/>
      <c r="J259" s="11"/>
      <c r="K259" s="11"/>
      <c r="L259"/>
      <c r="M259" s="11"/>
      <c r="N259" s="11"/>
      <c r="O259" s="11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 s="11"/>
      <c r="AD259"/>
      <c r="AE259" s="11"/>
      <c r="AF259" s="11"/>
      <c r="AG259" s="11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 s="11"/>
      <c r="CE259"/>
      <c r="CF259"/>
      <c r="CG259"/>
      <c r="CH259"/>
      <c r="CI259"/>
      <c r="CJ259"/>
      <c r="CK259"/>
      <c r="CL259"/>
    </row>
    <row r="260" spans="2:90">
      <c r="B260"/>
      <c r="C260"/>
      <c r="D260" s="11"/>
      <c r="E260"/>
      <c r="F260"/>
      <c r="G260"/>
      <c r="H260"/>
      <c r="I260" s="11"/>
      <c r="J260" s="11"/>
      <c r="K260" s="11"/>
      <c r="L260"/>
      <c r="M260" s="11"/>
      <c r="N260" s="11"/>
      <c r="O260" s="11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 s="11"/>
      <c r="AD260"/>
      <c r="AE260" s="11"/>
      <c r="AF260" s="11"/>
      <c r="AG260" s="11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 s="11"/>
      <c r="CE260"/>
      <c r="CF260"/>
      <c r="CG260"/>
      <c r="CH260"/>
      <c r="CI260"/>
      <c r="CJ260"/>
      <c r="CK260"/>
      <c r="CL260"/>
    </row>
    <row r="261" spans="2:90">
      <c r="B261"/>
      <c r="C261"/>
      <c r="D261" s="11"/>
      <c r="E261"/>
      <c r="F261"/>
      <c r="G261"/>
      <c r="H261"/>
      <c r="I261" s="11"/>
      <c r="J261" s="11"/>
      <c r="K261" s="11"/>
      <c r="L261"/>
      <c r="M261" s="11"/>
      <c r="N261" s="11"/>
      <c r="O261" s="1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 s="11"/>
      <c r="AD261"/>
      <c r="AE261" s="11"/>
      <c r="AF261" s="11"/>
      <c r="AG261" s="1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 s="11"/>
      <c r="CE261"/>
      <c r="CF261"/>
      <c r="CG261"/>
      <c r="CH261"/>
      <c r="CI261"/>
      <c r="CJ261"/>
      <c r="CK261"/>
      <c r="CL261"/>
    </row>
    <row r="262" spans="2:90">
      <c r="B262"/>
      <c r="C262"/>
      <c r="D262" s="11"/>
      <c r="E262"/>
      <c r="F262"/>
      <c r="G262"/>
      <c r="H262"/>
      <c r="I262" s="11"/>
      <c r="J262" s="11"/>
      <c r="K262" s="11"/>
      <c r="L262"/>
      <c r="M262" s="11"/>
      <c r="N262" s="11"/>
      <c r="O262" s="11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 s="11"/>
      <c r="AD262"/>
      <c r="AE262" s="11"/>
      <c r="AF262" s="11"/>
      <c r="AG262" s="11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 s="11"/>
      <c r="CE262"/>
      <c r="CF262"/>
      <c r="CG262"/>
      <c r="CH262"/>
      <c r="CI262"/>
      <c r="CJ262"/>
      <c r="CK262"/>
      <c r="CL262"/>
    </row>
    <row r="263" spans="2:90">
      <c r="B263"/>
      <c r="C263"/>
      <c r="D263" s="11"/>
      <c r="E263"/>
      <c r="F263"/>
      <c r="G263"/>
      <c r="H263"/>
      <c r="I263" s="11"/>
      <c r="J263" s="11"/>
      <c r="K263" s="11"/>
      <c r="L263"/>
      <c r="M263" s="11"/>
      <c r="N263" s="11"/>
      <c r="O263" s="11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 s="11"/>
      <c r="AD263"/>
      <c r="AE263" s="11"/>
      <c r="AF263" s="11"/>
      <c r="AG263" s="11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 s="11"/>
      <c r="CE263"/>
      <c r="CF263"/>
      <c r="CG263"/>
      <c r="CH263"/>
      <c r="CI263"/>
      <c r="CJ263"/>
      <c r="CK263"/>
      <c r="CL263"/>
    </row>
    <row r="264" spans="2:90">
      <c r="B264"/>
      <c r="C264"/>
      <c r="D264" s="11"/>
      <c r="E264"/>
      <c r="F264"/>
      <c r="G264"/>
      <c r="H264"/>
      <c r="I264" s="11"/>
      <c r="J264" s="11"/>
      <c r="K264" s="11"/>
      <c r="L264"/>
      <c r="M264" s="11"/>
      <c r="N264" s="11"/>
      <c r="O264" s="11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 s="11"/>
      <c r="AD264"/>
      <c r="AE264" s="11"/>
      <c r="AF264" s="11"/>
      <c r="AG264" s="11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 s="11"/>
      <c r="CE264"/>
      <c r="CF264"/>
      <c r="CG264"/>
      <c r="CH264"/>
      <c r="CI264"/>
      <c r="CJ264"/>
      <c r="CK264"/>
      <c r="CL264"/>
    </row>
    <row r="265" spans="2:90">
      <c r="B265"/>
      <c r="C265"/>
      <c r="D265" s="11"/>
      <c r="E265"/>
      <c r="F265"/>
      <c r="G265"/>
      <c r="H265"/>
      <c r="I265" s="11"/>
      <c r="J265" s="11"/>
      <c r="K265" s="11"/>
      <c r="L265"/>
      <c r="M265" s="11"/>
      <c r="N265" s="11"/>
      <c r="O265" s="11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 s="11"/>
      <c r="AD265"/>
      <c r="AE265" s="11"/>
      <c r="AF265" s="11"/>
      <c r="AG265" s="11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 s="11"/>
      <c r="CE265"/>
      <c r="CF265"/>
      <c r="CG265"/>
      <c r="CH265"/>
      <c r="CI265"/>
      <c r="CJ265"/>
      <c r="CK265"/>
      <c r="CL265"/>
    </row>
    <row r="266" spans="2:90">
      <c r="B266"/>
      <c r="C266"/>
      <c r="D266" s="11"/>
      <c r="E266"/>
      <c r="F266"/>
      <c r="G266"/>
      <c r="H266"/>
      <c r="I266" s="11"/>
      <c r="J266" s="11"/>
      <c r="K266" s="11"/>
      <c r="L266"/>
      <c r="M266" s="11"/>
      <c r="N266" s="11"/>
      <c r="O266" s="11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 s="11"/>
      <c r="AD266"/>
      <c r="AE266" s="11"/>
      <c r="AF266" s="11"/>
      <c r="AG266" s="11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 s="11"/>
      <c r="CE266"/>
      <c r="CF266"/>
      <c r="CG266"/>
      <c r="CH266"/>
      <c r="CI266"/>
      <c r="CJ266"/>
      <c r="CK266"/>
      <c r="CL266"/>
    </row>
    <row r="267" spans="2:90">
      <c r="B267"/>
      <c r="C267"/>
      <c r="D267" s="11"/>
      <c r="E267"/>
      <c r="F267"/>
      <c r="G267"/>
      <c r="H267"/>
      <c r="I267" s="11"/>
      <c r="J267" s="11"/>
      <c r="K267" s="11"/>
      <c r="L267"/>
      <c r="M267" s="11"/>
      <c r="N267" s="11"/>
      <c r="O267" s="11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 s="11"/>
      <c r="AD267"/>
      <c r="AE267" s="11"/>
      <c r="AF267" s="11"/>
      <c r="AG267" s="11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 s="11"/>
      <c r="CE267"/>
      <c r="CF267"/>
      <c r="CG267"/>
      <c r="CH267"/>
      <c r="CI267"/>
      <c r="CJ267"/>
      <c r="CK267"/>
      <c r="CL267"/>
    </row>
    <row r="268" spans="2:90">
      <c r="B268"/>
      <c r="C268"/>
      <c r="D268" s="11"/>
      <c r="E268"/>
      <c r="F268"/>
      <c r="G268"/>
      <c r="H268"/>
      <c r="I268" s="11"/>
      <c r="J268" s="11"/>
      <c r="K268" s="11"/>
      <c r="L268"/>
      <c r="M268" s="11"/>
      <c r="N268" s="11"/>
      <c r="O268" s="11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 s="11"/>
      <c r="AD268"/>
      <c r="AE268" s="11"/>
      <c r="AF268" s="11"/>
      <c r="AG268" s="11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 s="11"/>
      <c r="CE268"/>
      <c r="CF268"/>
      <c r="CG268"/>
      <c r="CH268"/>
      <c r="CI268"/>
      <c r="CJ268"/>
      <c r="CK268"/>
      <c r="CL268"/>
    </row>
    <row r="269" spans="2:90">
      <c r="B269"/>
      <c r="C269"/>
      <c r="D269" s="11"/>
      <c r="E269"/>
      <c r="F269"/>
      <c r="G269"/>
      <c r="H269"/>
      <c r="I269" s="11"/>
      <c r="J269" s="11"/>
      <c r="K269" s="11"/>
      <c r="L269"/>
      <c r="M269" s="11"/>
      <c r="N269" s="11"/>
      <c r="O269" s="11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 s="11"/>
      <c r="AD269"/>
      <c r="AE269" s="11"/>
      <c r="AF269" s="11"/>
      <c r="AG269" s="11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 s="11"/>
      <c r="CE269"/>
      <c r="CF269"/>
      <c r="CG269"/>
      <c r="CH269"/>
      <c r="CI269"/>
      <c r="CJ269"/>
      <c r="CK269"/>
      <c r="CL269"/>
    </row>
    <row r="270" spans="2:90">
      <c r="B270"/>
      <c r="C270"/>
      <c r="D270" s="11"/>
      <c r="E270"/>
      <c r="F270"/>
      <c r="G270"/>
      <c r="H270"/>
      <c r="I270" s="11"/>
      <c r="J270" s="11"/>
      <c r="K270" s="11"/>
      <c r="L270"/>
      <c r="M270" s="11"/>
      <c r="N270" s="11"/>
      <c r="O270" s="11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 s="11"/>
      <c r="AD270"/>
      <c r="AE270" s="11"/>
      <c r="AF270" s="11"/>
      <c r="AG270" s="11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 s="11"/>
      <c r="CE270"/>
      <c r="CF270"/>
      <c r="CG270"/>
      <c r="CH270"/>
      <c r="CI270"/>
      <c r="CJ270"/>
      <c r="CK270"/>
      <c r="CL270"/>
    </row>
    <row r="271" spans="2:90">
      <c r="B271"/>
      <c r="C271"/>
      <c r="D271" s="11"/>
      <c r="E271"/>
      <c r="F271"/>
      <c r="G271"/>
      <c r="H271"/>
      <c r="I271" s="11"/>
      <c r="J271" s="11"/>
      <c r="K271" s="11"/>
      <c r="L271"/>
      <c r="M271" s="11"/>
      <c r="N271" s="11"/>
      <c r="O271" s="1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 s="11"/>
      <c r="AD271"/>
      <c r="AE271" s="11"/>
      <c r="AF271" s="11"/>
      <c r="AG271" s="1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 s="11"/>
      <c r="CE271"/>
      <c r="CF271"/>
      <c r="CG271"/>
      <c r="CH271"/>
      <c r="CI271"/>
      <c r="CJ271"/>
      <c r="CK271"/>
      <c r="CL271"/>
    </row>
    <row r="272" spans="2:90">
      <c r="B272"/>
      <c r="C272"/>
      <c r="D272" s="11"/>
      <c r="E272"/>
      <c r="F272"/>
      <c r="G272"/>
      <c r="H272"/>
      <c r="I272" s="11"/>
      <c r="J272" s="11"/>
      <c r="K272" s="11"/>
      <c r="L272"/>
      <c r="M272" s="11"/>
      <c r="N272" s="11"/>
      <c r="O272" s="11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 s="11"/>
      <c r="AD272"/>
      <c r="AE272" s="11"/>
      <c r="AF272" s="11"/>
      <c r="AG272" s="11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 s="11"/>
      <c r="CE272"/>
      <c r="CF272"/>
      <c r="CG272"/>
      <c r="CH272"/>
      <c r="CI272"/>
      <c r="CJ272"/>
      <c r="CK272"/>
      <c r="CL272"/>
    </row>
    <row r="273" spans="2:90">
      <c r="B273"/>
      <c r="C273"/>
      <c r="D273" s="11"/>
      <c r="E273"/>
      <c r="F273"/>
      <c r="G273"/>
      <c r="H273"/>
      <c r="I273" s="11"/>
      <c r="J273" s="11"/>
      <c r="K273" s="11"/>
      <c r="L273"/>
      <c r="M273" s="11"/>
      <c r="N273" s="11"/>
      <c r="O273" s="11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 s="11"/>
      <c r="AD273"/>
      <c r="AE273" s="11"/>
      <c r="AF273" s="11"/>
      <c r="AG273" s="11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 s="11"/>
      <c r="CE273"/>
      <c r="CF273"/>
      <c r="CG273"/>
      <c r="CH273"/>
      <c r="CI273"/>
      <c r="CJ273"/>
      <c r="CK273"/>
      <c r="CL273"/>
    </row>
    <row r="274" spans="2:90">
      <c r="B274"/>
      <c r="C274"/>
      <c r="D274" s="11"/>
      <c r="E274"/>
      <c r="F274"/>
      <c r="G274"/>
      <c r="H274"/>
      <c r="I274" s="11"/>
      <c r="J274" s="11"/>
      <c r="K274" s="11"/>
      <c r="L274"/>
      <c r="M274" s="11"/>
      <c r="N274" s="11"/>
      <c r="O274" s="11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 s="11"/>
      <c r="AD274"/>
      <c r="AE274" s="11"/>
      <c r="AF274" s="11"/>
      <c r="AG274" s="11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 s="11"/>
      <c r="CE274"/>
      <c r="CF274"/>
      <c r="CG274"/>
      <c r="CH274"/>
      <c r="CI274"/>
      <c r="CJ274"/>
      <c r="CK274"/>
      <c r="CL274"/>
    </row>
    <row r="275" spans="2:90">
      <c r="B275"/>
      <c r="C275"/>
      <c r="D275" s="11"/>
      <c r="E275"/>
      <c r="F275"/>
      <c r="G275"/>
      <c r="H275"/>
      <c r="I275" s="11"/>
      <c r="J275" s="11"/>
      <c r="K275" s="11"/>
      <c r="L275"/>
      <c r="M275" s="11"/>
      <c r="N275" s="11"/>
      <c r="O275" s="11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 s="11"/>
      <c r="AD275"/>
      <c r="AE275" s="11"/>
      <c r="AF275" s="11"/>
      <c r="AG275" s="11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 s="11"/>
      <c r="CE275"/>
      <c r="CF275"/>
      <c r="CG275"/>
      <c r="CH275"/>
      <c r="CI275"/>
      <c r="CJ275"/>
      <c r="CK275"/>
      <c r="CL275"/>
    </row>
    <row r="276" spans="2:90">
      <c r="B276"/>
      <c r="C276"/>
      <c r="D276" s="11"/>
      <c r="E276"/>
      <c r="F276"/>
      <c r="G276"/>
      <c r="H276"/>
      <c r="I276" s="11"/>
      <c r="J276" s="11"/>
      <c r="K276" s="11"/>
      <c r="L276"/>
      <c r="M276" s="11"/>
      <c r="N276" s="11"/>
      <c r="O276" s="11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 s="11"/>
      <c r="AD276"/>
      <c r="AE276" s="11"/>
      <c r="AF276" s="11"/>
      <c r="AG276" s="11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 s="11"/>
      <c r="CE276"/>
      <c r="CF276"/>
      <c r="CG276"/>
      <c r="CH276"/>
      <c r="CI276"/>
      <c r="CJ276"/>
      <c r="CK276"/>
      <c r="CL276"/>
    </row>
    <row r="277" spans="2:90">
      <c r="B277"/>
      <c r="C277"/>
      <c r="D277" s="11"/>
      <c r="E277"/>
      <c r="F277"/>
      <c r="G277"/>
      <c r="H277"/>
      <c r="I277" s="11"/>
      <c r="J277" s="11"/>
      <c r="K277" s="11"/>
      <c r="L277"/>
      <c r="M277" s="11"/>
      <c r="N277" s="11"/>
      <c r="O277" s="11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 s="11"/>
      <c r="AD277"/>
      <c r="AE277" s="11"/>
      <c r="AF277" s="11"/>
      <c r="AG277" s="11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 s="11"/>
      <c r="CE277"/>
      <c r="CF277"/>
      <c r="CG277"/>
      <c r="CH277"/>
      <c r="CI277"/>
      <c r="CJ277"/>
      <c r="CK277"/>
      <c r="CL277"/>
    </row>
    <row r="278" spans="2:90">
      <c r="B278"/>
      <c r="C278"/>
      <c r="D278" s="11"/>
      <c r="E278"/>
      <c r="F278"/>
      <c r="G278"/>
      <c r="H278"/>
      <c r="I278" s="11"/>
      <c r="J278" s="11"/>
      <c r="K278" s="11"/>
      <c r="L278"/>
      <c r="M278" s="11"/>
      <c r="N278" s="11"/>
      <c r="O278" s="11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 s="11"/>
      <c r="AD278"/>
      <c r="AE278" s="11"/>
      <c r="AF278" s="11"/>
      <c r="AG278" s="11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 s="11"/>
      <c r="CE278"/>
      <c r="CF278"/>
      <c r="CG278"/>
      <c r="CH278"/>
      <c r="CI278"/>
      <c r="CJ278"/>
      <c r="CK278"/>
      <c r="CL278"/>
    </row>
    <row r="279" spans="2:90">
      <c r="B279"/>
      <c r="C279"/>
      <c r="D279" s="11"/>
      <c r="E279"/>
      <c r="F279"/>
      <c r="G279"/>
      <c r="H279"/>
      <c r="I279" s="11"/>
      <c r="J279" s="11"/>
      <c r="K279" s="11"/>
      <c r="L279"/>
      <c r="M279" s="11"/>
      <c r="N279" s="11"/>
      <c r="O279" s="11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 s="11"/>
      <c r="AD279"/>
      <c r="AE279" s="11"/>
      <c r="AF279" s="11"/>
      <c r="AG279" s="11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 s="11"/>
      <c r="CE279"/>
      <c r="CF279"/>
      <c r="CG279"/>
      <c r="CH279"/>
      <c r="CI279"/>
      <c r="CJ279"/>
      <c r="CK279"/>
      <c r="CL279"/>
    </row>
    <row r="280" spans="2:90">
      <c r="B280"/>
      <c r="C280"/>
      <c r="D280" s="11"/>
      <c r="E280"/>
      <c r="F280"/>
      <c r="G280"/>
      <c r="H280"/>
      <c r="I280" s="11"/>
      <c r="J280" s="11"/>
      <c r="K280" s="11"/>
      <c r="L280"/>
      <c r="M280" s="11"/>
      <c r="N280" s="11"/>
      <c r="O280" s="11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 s="11"/>
      <c r="AD280"/>
      <c r="AE280" s="11"/>
      <c r="AF280" s="11"/>
      <c r="AG280" s="11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 s="11"/>
      <c r="CE280"/>
      <c r="CF280"/>
      <c r="CG280"/>
      <c r="CH280"/>
      <c r="CI280"/>
      <c r="CJ280"/>
      <c r="CK280"/>
      <c r="CL280"/>
    </row>
    <row r="281" spans="2:90">
      <c r="B281"/>
      <c r="C281"/>
      <c r="D281" s="11"/>
      <c r="E281"/>
      <c r="F281"/>
      <c r="G281"/>
      <c r="H281"/>
      <c r="I281" s="11"/>
      <c r="J281" s="11"/>
      <c r="K281" s="11"/>
      <c r="L281"/>
      <c r="M281" s="11"/>
      <c r="N281" s="11"/>
      <c r="O281" s="1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 s="11"/>
      <c r="AD281"/>
      <c r="AE281" s="11"/>
      <c r="AF281" s="11"/>
      <c r="AG281" s="1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 s="11"/>
      <c r="CE281"/>
      <c r="CF281"/>
      <c r="CG281"/>
      <c r="CH281"/>
      <c r="CI281"/>
      <c r="CJ281"/>
      <c r="CK281"/>
      <c r="CL281"/>
    </row>
    <row r="282" spans="2:90">
      <c r="B282"/>
      <c r="C282"/>
      <c r="D282" s="11"/>
      <c r="E282"/>
      <c r="F282"/>
      <c r="G282"/>
      <c r="H282"/>
      <c r="I282" s="11"/>
      <c r="J282" s="11"/>
      <c r="K282" s="11"/>
      <c r="L282"/>
      <c r="M282" s="11"/>
      <c r="N282" s="11"/>
      <c r="O282" s="11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 s="11"/>
      <c r="AD282"/>
      <c r="AE282" s="11"/>
      <c r="AF282" s="11"/>
      <c r="AG282" s="11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 s="11"/>
      <c r="CE282"/>
      <c r="CF282"/>
      <c r="CG282"/>
      <c r="CH282"/>
      <c r="CI282"/>
      <c r="CJ282"/>
      <c r="CK282"/>
      <c r="CL282"/>
    </row>
    <row r="283" spans="2:90">
      <c r="B283"/>
      <c r="C283"/>
      <c r="D283" s="11"/>
      <c r="E283"/>
      <c r="F283"/>
      <c r="G283"/>
      <c r="H283"/>
      <c r="I283" s="11"/>
      <c r="J283" s="11"/>
      <c r="K283" s="11"/>
      <c r="L283"/>
      <c r="M283" s="11"/>
      <c r="N283" s="11"/>
      <c r="O283" s="11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 s="11"/>
      <c r="AD283"/>
      <c r="AE283" s="11"/>
      <c r="AF283" s="11"/>
      <c r="AG283" s="11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 s="11"/>
      <c r="CE283"/>
      <c r="CF283"/>
      <c r="CG283"/>
      <c r="CH283"/>
      <c r="CI283"/>
      <c r="CJ283"/>
      <c r="CK283"/>
      <c r="CL283"/>
    </row>
    <row r="284" spans="2:90">
      <c r="B284"/>
      <c r="C284"/>
      <c r="D284" s="11"/>
      <c r="E284"/>
      <c r="F284"/>
      <c r="G284"/>
      <c r="H284"/>
      <c r="I284" s="11"/>
      <c r="J284" s="11"/>
      <c r="K284" s="11"/>
      <c r="L284"/>
      <c r="M284" s="11"/>
      <c r="N284" s="11"/>
      <c r="O284" s="11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 s="11"/>
      <c r="AD284"/>
      <c r="AE284" s="11"/>
      <c r="AF284" s="11"/>
      <c r="AG284" s="11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 s="11"/>
      <c r="CE284"/>
      <c r="CF284"/>
      <c r="CG284"/>
      <c r="CH284"/>
      <c r="CI284"/>
      <c r="CJ284"/>
      <c r="CK284"/>
      <c r="CL284"/>
    </row>
    <row r="285" spans="2:90">
      <c r="B285"/>
      <c r="C285"/>
      <c r="D285" s="11"/>
      <c r="E285"/>
      <c r="F285"/>
      <c r="G285"/>
      <c r="H285"/>
      <c r="I285" s="11"/>
      <c r="J285" s="11"/>
      <c r="K285" s="11"/>
      <c r="L285"/>
      <c r="M285" s="11"/>
      <c r="N285" s="11"/>
      <c r="O285" s="11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 s="11"/>
      <c r="AD285"/>
      <c r="AE285" s="11"/>
      <c r="AF285" s="11"/>
      <c r="AG285" s="11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 s="11"/>
      <c r="CE285"/>
      <c r="CF285"/>
      <c r="CG285"/>
      <c r="CH285"/>
      <c r="CI285"/>
      <c r="CJ285"/>
      <c r="CK285"/>
      <c r="CL285"/>
    </row>
    <row r="286" spans="2:90">
      <c r="B286"/>
      <c r="C286"/>
      <c r="D286" s="11"/>
      <c r="E286"/>
      <c r="F286"/>
      <c r="G286"/>
      <c r="H286"/>
      <c r="I286" s="11"/>
      <c r="J286" s="11"/>
      <c r="K286" s="11"/>
      <c r="L286"/>
      <c r="M286" s="11"/>
      <c r="N286" s="11"/>
      <c r="O286" s="11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 s="11"/>
      <c r="AD286"/>
      <c r="AE286" s="11"/>
      <c r="AF286" s="11"/>
      <c r="AG286" s="11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 s="11"/>
      <c r="CE286"/>
      <c r="CF286"/>
      <c r="CG286"/>
      <c r="CH286"/>
      <c r="CI286"/>
      <c r="CJ286"/>
      <c r="CK286"/>
      <c r="CL286"/>
    </row>
    <row r="287" spans="2:90">
      <c r="B287"/>
      <c r="C287"/>
      <c r="D287" s="11"/>
      <c r="E287"/>
      <c r="F287"/>
      <c r="G287"/>
      <c r="H287"/>
      <c r="I287" s="11"/>
      <c r="J287" s="11"/>
      <c r="K287" s="11"/>
      <c r="L287"/>
      <c r="M287" s="11"/>
      <c r="N287" s="11"/>
      <c r="O287" s="11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 s="11"/>
      <c r="AD287"/>
      <c r="AE287" s="11"/>
      <c r="AF287" s="11"/>
      <c r="AG287" s="11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 s="11"/>
      <c r="CE287"/>
      <c r="CF287"/>
      <c r="CG287"/>
      <c r="CH287"/>
      <c r="CI287"/>
      <c r="CJ287"/>
      <c r="CK287"/>
      <c r="CL287"/>
    </row>
    <row r="288" spans="2:90">
      <c r="B288"/>
      <c r="C288"/>
      <c r="D288" s="11"/>
      <c r="E288"/>
      <c r="F288"/>
      <c r="G288"/>
      <c r="H288"/>
      <c r="I288" s="11"/>
      <c r="J288" s="11"/>
      <c r="K288" s="11"/>
      <c r="L288"/>
      <c r="M288" s="11"/>
      <c r="N288" s="11"/>
      <c r="O288" s="11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 s="11"/>
      <c r="AD288"/>
      <c r="AE288" s="11"/>
      <c r="AF288" s="11"/>
      <c r="AG288" s="11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 s="11"/>
      <c r="CE288"/>
      <c r="CF288"/>
      <c r="CG288"/>
      <c r="CH288"/>
      <c r="CI288"/>
      <c r="CJ288"/>
      <c r="CK288"/>
      <c r="CL288"/>
    </row>
    <row r="289" spans="2:90">
      <c r="B289"/>
      <c r="C289"/>
      <c r="D289" s="11"/>
      <c r="E289"/>
      <c r="F289"/>
      <c r="G289"/>
      <c r="H289"/>
      <c r="I289" s="11"/>
      <c r="J289" s="11"/>
      <c r="K289" s="11"/>
      <c r="L289"/>
      <c r="M289" s="11"/>
      <c r="N289" s="11"/>
      <c r="O289" s="11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 s="11"/>
      <c r="AD289"/>
      <c r="AE289" s="11"/>
      <c r="AF289" s="11"/>
      <c r="AG289" s="11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 s="11"/>
      <c r="CE289"/>
      <c r="CF289"/>
      <c r="CG289"/>
      <c r="CH289"/>
      <c r="CI289"/>
      <c r="CJ289"/>
      <c r="CK289"/>
      <c r="CL289"/>
    </row>
    <row r="290" spans="2:90">
      <c r="B290"/>
      <c r="C290"/>
      <c r="D290" s="11"/>
      <c r="E290"/>
      <c r="F290"/>
      <c r="G290"/>
      <c r="H290"/>
      <c r="I290" s="11"/>
      <c r="J290" s="11"/>
      <c r="K290" s="11"/>
      <c r="L290"/>
      <c r="M290" s="11"/>
      <c r="N290" s="11"/>
      <c r="O290" s="11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 s="11"/>
      <c r="AD290"/>
      <c r="AE290" s="11"/>
      <c r="AF290" s="11"/>
      <c r="AG290" s="11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 s="11"/>
      <c r="CE290"/>
      <c r="CF290"/>
      <c r="CG290"/>
      <c r="CH290"/>
      <c r="CI290"/>
      <c r="CJ290"/>
      <c r="CK290"/>
      <c r="CL290"/>
    </row>
    <row r="291" spans="2:90">
      <c r="B291"/>
      <c r="C291"/>
      <c r="D291" s="11"/>
      <c r="E291"/>
      <c r="F291"/>
      <c r="G291"/>
      <c r="H291"/>
      <c r="I291" s="11"/>
      <c r="J291" s="11"/>
      <c r="K291" s="11"/>
      <c r="L291"/>
      <c r="M291" s="11"/>
      <c r="N291" s="11"/>
      <c r="O291" s="1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 s="11"/>
      <c r="AD291"/>
      <c r="AE291" s="11"/>
      <c r="AF291" s="11"/>
      <c r="AG291" s="1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 s="11"/>
      <c r="CE291"/>
      <c r="CF291"/>
      <c r="CG291"/>
      <c r="CH291"/>
      <c r="CI291"/>
      <c r="CJ291"/>
      <c r="CK291"/>
      <c r="CL291"/>
    </row>
    <row r="292" spans="2:90">
      <c r="B292"/>
      <c r="C292"/>
      <c r="D292" s="11"/>
      <c r="E292"/>
      <c r="F292"/>
      <c r="G292"/>
      <c r="H292"/>
      <c r="I292" s="11"/>
      <c r="J292" s="11"/>
      <c r="K292" s="11"/>
      <c r="L292"/>
      <c r="M292" s="11"/>
      <c r="N292" s="11"/>
      <c r="O292" s="11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 s="11"/>
      <c r="AD292"/>
      <c r="AE292" s="11"/>
      <c r="AF292" s="11"/>
      <c r="AG292" s="11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 s="11"/>
      <c r="CE292"/>
      <c r="CF292"/>
      <c r="CG292"/>
      <c r="CH292"/>
      <c r="CI292"/>
      <c r="CJ292"/>
      <c r="CK292"/>
      <c r="CL292"/>
    </row>
    <row r="293" spans="2:90">
      <c r="B293"/>
      <c r="C293"/>
      <c r="D293" s="11"/>
      <c r="E293"/>
      <c r="F293"/>
      <c r="G293"/>
      <c r="H293"/>
      <c r="I293" s="11"/>
      <c r="J293" s="11"/>
      <c r="K293" s="11"/>
      <c r="L293"/>
      <c r="M293" s="11"/>
      <c r="N293" s="11"/>
      <c r="O293" s="11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 s="11"/>
      <c r="AD293"/>
      <c r="AE293" s="11"/>
      <c r="AF293" s="11"/>
      <c r="AG293" s="11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 s="11"/>
      <c r="CE293"/>
      <c r="CF293"/>
      <c r="CG293"/>
      <c r="CH293"/>
      <c r="CI293"/>
      <c r="CJ293"/>
      <c r="CK293"/>
      <c r="CL293"/>
    </row>
    <row r="294" spans="2:90">
      <c r="B294"/>
      <c r="C294"/>
      <c r="D294" s="11"/>
      <c r="E294"/>
      <c r="F294"/>
      <c r="G294"/>
      <c r="H294"/>
      <c r="I294" s="11"/>
      <c r="J294" s="11"/>
      <c r="K294" s="11"/>
      <c r="L294"/>
      <c r="M294" s="11"/>
      <c r="N294" s="11"/>
      <c r="O294" s="11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 s="11"/>
      <c r="AD294"/>
      <c r="AE294" s="11"/>
      <c r="AF294" s="11"/>
      <c r="AG294" s="11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 s="11"/>
      <c r="CE294"/>
      <c r="CF294"/>
      <c r="CG294"/>
      <c r="CH294"/>
      <c r="CI294"/>
      <c r="CJ294"/>
      <c r="CK294"/>
      <c r="CL294"/>
    </row>
    <row r="295" spans="2:90">
      <c r="B295"/>
      <c r="C295"/>
      <c r="D295" s="11"/>
      <c r="E295"/>
      <c r="F295"/>
      <c r="G295"/>
      <c r="H295"/>
      <c r="I295" s="11"/>
      <c r="J295" s="11"/>
      <c r="K295" s="11"/>
      <c r="L295"/>
      <c r="M295" s="11"/>
      <c r="N295" s="11"/>
      <c r="O295" s="11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 s="11"/>
      <c r="AD295"/>
      <c r="AE295" s="11"/>
      <c r="AF295" s="11"/>
      <c r="AG295" s="11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 s="11"/>
      <c r="CE295"/>
      <c r="CF295"/>
      <c r="CG295"/>
      <c r="CH295"/>
      <c r="CI295"/>
      <c r="CJ295"/>
      <c r="CK295"/>
      <c r="CL295"/>
    </row>
    <row r="296" spans="2:90">
      <c r="B296"/>
      <c r="C296"/>
      <c r="D296" s="11"/>
      <c r="E296"/>
      <c r="F296"/>
      <c r="G296"/>
      <c r="H296"/>
      <c r="I296" s="11"/>
      <c r="J296" s="11"/>
      <c r="K296" s="11"/>
      <c r="L296"/>
      <c r="M296" s="11"/>
      <c r="N296" s="11"/>
      <c r="O296" s="11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 s="11"/>
      <c r="AD296"/>
      <c r="AE296" s="11"/>
      <c r="AF296" s="11"/>
      <c r="AG296" s="11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 s="11"/>
      <c r="CE296"/>
      <c r="CF296"/>
      <c r="CG296"/>
      <c r="CH296"/>
      <c r="CI296"/>
      <c r="CJ296"/>
      <c r="CK296"/>
      <c r="CL296"/>
    </row>
    <row r="297" spans="2:90">
      <c r="B297"/>
      <c r="C297"/>
      <c r="D297" s="11"/>
      <c r="E297"/>
      <c r="F297"/>
      <c r="G297"/>
      <c r="H297"/>
      <c r="I297" s="11"/>
      <c r="J297" s="11"/>
      <c r="K297" s="11"/>
      <c r="L297"/>
      <c r="M297" s="11"/>
      <c r="N297" s="11"/>
      <c r="O297" s="11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 s="11"/>
      <c r="AD297"/>
      <c r="AE297" s="11"/>
      <c r="AF297" s="11"/>
      <c r="AG297" s="11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 s="11"/>
      <c r="CE297"/>
      <c r="CF297"/>
      <c r="CG297"/>
      <c r="CH297"/>
      <c r="CI297"/>
      <c r="CJ297"/>
      <c r="CK297"/>
      <c r="CL297"/>
    </row>
    <row r="298" spans="2:90">
      <c r="B298"/>
      <c r="C298"/>
      <c r="D298" s="11"/>
      <c r="E298"/>
      <c r="F298"/>
      <c r="G298"/>
      <c r="H298"/>
      <c r="I298" s="11"/>
      <c r="J298" s="11"/>
      <c r="K298" s="11"/>
      <c r="L298"/>
      <c r="M298" s="11"/>
      <c r="N298" s="11"/>
      <c r="O298" s="11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 s="11"/>
      <c r="AD298"/>
      <c r="AE298" s="11"/>
      <c r="AF298" s="11"/>
      <c r="AG298" s="11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 s="11"/>
      <c r="CE298"/>
      <c r="CF298"/>
      <c r="CG298"/>
      <c r="CH298"/>
      <c r="CI298"/>
      <c r="CJ298"/>
      <c r="CK298"/>
      <c r="CL298"/>
    </row>
    <row r="299" spans="2:90">
      <c r="B299"/>
      <c r="C299"/>
      <c r="D299" s="11"/>
      <c r="E299"/>
      <c r="F299"/>
      <c r="G299"/>
      <c r="H299"/>
      <c r="I299" s="11"/>
      <c r="J299" s="11"/>
      <c r="K299" s="11"/>
      <c r="L299"/>
      <c r="M299" s="11"/>
      <c r="N299" s="11"/>
      <c r="O299" s="11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 s="11"/>
      <c r="AD299"/>
      <c r="AE299" s="11"/>
      <c r="AF299" s="11"/>
      <c r="AG299" s="11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 s="11"/>
      <c r="CE299"/>
      <c r="CF299"/>
      <c r="CG299"/>
      <c r="CH299"/>
      <c r="CI299"/>
      <c r="CJ299"/>
      <c r="CK299"/>
      <c r="CL299"/>
    </row>
    <row r="300" spans="2:90">
      <c r="B300"/>
      <c r="C300"/>
      <c r="D300" s="11"/>
      <c r="E300"/>
      <c r="F300"/>
      <c r="G300"/>
      <c r="H300"/>
      <c r="I300" s="11"/>
      <c r="J300" s="11"/>
      <c r="K300" s="11"/>
      <c r="L300"/>
      <c r="M300" s="11"/>
      <c r="N300" s="11"/>
      <c r="O300" s="11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 s="11"/>
      <c r="AD300"/>
      <c r="AE300" s="11"/>
      <c r="AF300" s="11"/>
      <c r="AG300" s="11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 s="11"/>
      <c r="CE300"/>
      <c r="CF300"/>
      <c r="CG300"/>
      <c r="CH300"/>
      <c r="CI300"/>
      <c r="CJ300"/>
      <c r="CK300"/>
      <c r="CL300"/>
    </row>
    <row r="301" spans="2:90">
      <c r="B301"/>
      <c r="C301"/>
      <c r="D301" s="11"/>
      <c r="E301"/>
      <c r="F301"/>
      <c r="G301"/>
      <c r="H301"/>
      <c r="I301" s="11"/>
      <c r="J301" s="11"/>
      <c r="K301" s="11"/>
      <c r="L301"/>
      <c r="M301" s="11"/>
      <c r="N301" s="11"/>
      <c r="O301" s="1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 s="11"/>
      <c r="AD301"/>
      <c r="AE301" s="11"/>
      <c r="AF301" s="11"/>
      <c r="AG301" s="1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 s="11"/>
      <c r="CE301"/>
      <c r="CF301"/>
      <c r="CG301"/>
      <c r="CH301"/>
      <c r="CI301"/>
      <c r="CJ301"/>
      <c r="CK301"/>
      <c r="CL301"/>
    </row>
    <row r="302" spans="2:90">
      <c r="B302"/>
      <c r="C302"/>
      <c r="D302" s="11"/>
      <c r="E302"/>
      <c r="F302"/>
      <c r="G302"/>
      <c r="H302"/>
      <c r="I302" s="11"/>
      <c r="J302" s="11"/>
      <c r="K302" s="11"/>
      <c r="L302"/>
      <c r="M302" s="11"/>
      <c r="N302" s="11"/>
      <c r="O302" s="11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 s="11"/>
      <c r="AD302"/>
      <c r="AE302" s="11"/>
      <c r="AF302" s="11"/>
      <c r="AG302" s="11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 s="11"/>
      <c r="CE302"/>
      <c r="CF302"/>
      <c r="CG302"/>
      <c r="CH302"/>
      <c r="CI302"/>
      <c r="CJ302"/>
      <c r="CK302"/>
      <c r="CL302"/>
    </row>
    <row r="303" spans="2:90">
      <c r="B303"/>
      <c r="C303"/>
      <c r="D303" s="11"/>
      <c r="E303"/>
      <c r="F303"/>
      <c r="G303"/>
      <c r="H303"/>
      <c r="I303" s="11"/>
      <c r="J303" s="11"/>
      <c r="K303" s="11"/>
      <c r="L303"/>
      <c r="M303" s="11"/>
      <c r="N303" s="11"/>
      <c r="O303" s="11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 s="11"/>
      <c r="AD303"/>
      <c r="AE303" s="11"/>
      <c r="AF303" s="11"/>
      <c r="AG303" s="11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 s="11"/>
      <c r="CE303"/>
      <c r="CF303"/>
      <c r="CG303"/>
      <c r="CH303"/>
      <c r="CI303"/>
      <c r="CJ303"/>
      <c r="CK303"/>
      <c r="CL303"/>
    </row>
    <row r="304" spans="2:90">
      <c r="B304"/>
      <c r="C304"/>
      <c r="D304" s="11"/>
      <c r="E304"/>
      <c r="F304"/>
      <c r="G304"/>
      <c r="H304"/>
      <c r="I304" s="11"/>
      <c r="J304" s="11"/>
      <c r="K304" s="11"/>
      <c r="L304"/>
      <c r="M304" s="11"/>
      <c r="N304" s="11"/>
      <c r="O304" s="11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 s="11"/>
      <c r="AD304"/>
      <c r="AE304" s="11"/>
      <c r="AF304" s="11"/>
      <c r="AG304" s="11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 s="11"/>
      <c r="CE304"/>
      <c r="CF304"/>
      <c r="CG304"/>
      <c r="CH304"/>
      <c r="CI304"/>
      <c r="CJ304"/>
      <c r="CK304"/>
      <c r="CL304"/>
    </row>
    <row r="305" spans="2:90">
      <c r="B305"/>
      <c r="C305"/>
      <c r="D305" s="11"/>
      <c r="E305"/>
      <c r="F305"/>
      <c r="G305"/>
      <c r="H305"/>
      <c r="I305" s="11"/>
      <c r="J305" s="11"/>
      <c r="K305" s="11"/>
      <c r="L305"/>
      <c r="M305" s="11"/>
      <c r="N305" s="11"/>
      <c r="O305" s="11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 s="11"/>
      <c r="AD305"/>
      <c r="AE305" s="11"/>
      <c r="AF305" s="11"/>
      <c r="AG305" s="11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 s="11"/>
      <c r="CE305"/>
      <c r="CF305"/>
      <c r="CG305"/>
      <c r="CH305"/>
      <c r="CI305"/>
      <c r="CJ305"/>
      <c r="CK305"/>
      <c r="CL305"/>
    </row>
    <row r="306" spans="2:90">
      <c r="B306"/>
      <c r="C306"/>
      <c r="D306" s="11"/>
      <c r="E306"/>
      <c r="F306"/>
      <c r="G306"/>
      <c r="H306"/>
      <c r="I306" s="11"/>
      <c r="J306" s="11"/>
      <c r="K306" s="11"/>
      <c r="L306"/>
      <c r="M306" s="11"/>
      <c r="N306" s="11"/>
      <c r="O306" s="11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 s="11"/>
      <c r="AD306"/>
      <c r="AE306" s="11"/>
      <c r="AF306" s="11"/>
      <c r="AG306" s="11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 s="11"/>
      <c r="CE306"/>
      <c r="CF306"/>
      <c r="CG306"/>
      <c r="CH306"/>
      <c r="CI306"/>
      <c r="CJ306"/>
      <c r="CK306"/>
      <c r="CL306"/>
    </row>
    <row r="307" spans="2:90">
      <c r="B307"/>
      <c r="C307"/>
      <c r="D307" s="11"/>
      <c r="E307"/>
      <c r="F307"/>
      <c r="G307"/>
      <c r="H307"/>
      <c r="I307" s="11"/>
      <c r="J307" s="11"/>
      <c r="K307" s="11"/>
      <c r="L307"/>
      <c r="M307" s="11"/>
      <c r="N307" s="11"/>
      <c r="O307" s="11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 s="11"/>
      <c r="AD307"/>
      <c r="AE307" s="11"/>
      <c r="AF307" s="11"/>
      <c r="AG307" s="11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 s="11"/>
      <c r="CE307"/>
      <c r="CF307"/>
      <c r="CG307"/>
      <c r="CH307"/>
      <c r="CI307"/>
      <c r="CJ307"/>
      <c r="CK307"/>
      <c r="CL307"/>
    </row>
    <row r="308" spans="2:90">
      <c r="B308"/>
      <c r="C308"/>
      <c r="D308" s="11"/>
      <c r="E308"/>
      <c r="F308"/>
      <c r="G308"/>
      <c r="H308"/>
      <c r="I308" s="11"/>
      <c r="J308" s="11"/>
      <c r="K308" s="11"/>
      <c r="L308"/>
      <c r="M308" s="11"/>
      <c r="N308" s="11"/>
      <c r="O308" s="11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 s="11"/>
      <c r="AD308"/>
      <c r="AE308" s="11"/>
      <c r="AF308" s="11"/>
      <c r="AG308" s="11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 s="11"/>
      <c r="CE308"/>
      <c r="CF308"/>
      <c r="CG308"/>
      <c r="CH308"/>
      <c r="CI308"/>
      <c r="CJ308"/>
      <c r="CK308"/>
      <c r="CL308"/>
    </row>
    <row r="309" spans="2:90">
      <c r="B309"/>
      <c r="C309"/>
      <c r="D309" s="11"/>
      <c r="E309"/>
      <c r="F309"/>
      <c r="G309"/>
      <c r="H309"/>
      <c r="I309" s="11"/>
      <c r="J309" s="11"/>
      <c r="K309" s="11"/>
      <c r="L309"/>
      <c r="M309" s="11"/>
      <c r="N309" s="11"/>
      <c r="O309" s="11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 s="11"/>
      <c r="AD309"/>
      <c r="AE309" s="11"/>
      <c r="AF309" s="11"/>
      <c r="AG309" s="11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 s="11"/>
      <c r="CE309"/>
      <c r="CF309"/>
      <c r="CG309"/>
      <c r="CH309"/>
      <c r="CI309"/>
      <c r="CJ309"/>
      <c r="CK309"/>
      <c r="CL309"/>
    </row>
    <row r="310" spans="2:90">
      <c r="B310"/>
      <c r="C310"/>
      <c r="D310" s="11"/>
      <c r="E310"/>
      <c r="F310"/>
      <c r="G310"/>
      <c r="H310"/>
      <c r="I310" s="11"/>
      <c r="J310" s="11"/>
      <c r="K310" s="11"/>
      <c r="L310"/>
      <c r="M310" s="11"/>
      <c r="N310" s="11"/>
      <c r="O310" s="11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 s="11"/>
      <c r="AD310"/>
      <c r="AE310" s="11"/>
      <c r="AF310" s="11"/>
      <c r="AG310" s="11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 s="11"/>
      <c r="CE310"/>
      <c r="CF310"/>
      <c r="CG310"/>
      <c r="CH310"/>
      <c r="CI310"/>
      <c r="CJ310"/>
      <c r="CK310"/>
      <c r="CL310"/>
    </row>
    <row r="311" spans="2:90">
      <c r="B311"/>
      <c r="C311"/>
      <c r="D311" s="11"/>
      <c r="E311"/>
      <c r="F311"/>
      <c r="G311"/>
      <c r="H311"/>
      <c r="I311" s="11"/>
      <c r="J311" s="11"/>
      <c r="K311" s="11"/>
      <c r="L311"/>
      <c r="M311" s="11"/>
      <c r="N311" s="11"/>
      <c r="O311" s="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 s="11"/>
      <c r="AD311"/>
      <c r="AE311" s="11"/>
      <c r="AF311" s="11"/>
      <c r="AG311" s="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 s="11"/>
      <c r="CE311"/>
      <c r="CF311"/>
      <c r="CG311"/>
      <c r="CH311"/>
      <c r="CI311"/>
      <c r="CJ311"/>
      <c r="CK311"/>
      <c r="CL311"/>
    </row>
    <row r="312" spans="2:90">
      <c r="B312"/>
      <c r="C312"/>
      <c r="D312" s="11"/>
      <c r="E312"/>
      <c r="F312"/>
      <c r="G312"/>
      <c r="H312"/>
      <c r="I312" s="11"/>
      <c r="J312" s="11"/>
      <c r="K312" s="11"/>
      <c r="L312"/>
      <c r="M312" s="11"/>
      <c r="N312" s="11"/>
      <c r="O312" s="11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 s="11"/>
      <c r="AD312"/>
      <c r="AE312" s="11"/>
      <c r="AF312" s="11"/>
      <c r="AG312" s="11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 s="11"/>
      <c r="CE312"/>
      <c r="CF312"/>
      <c r="CG312"/>
      <c r="CH312"/>
      <c r="CI312"/>
      <c r="CJ312"/>
      <c r="CK312"/>
      <c r="CL312"/>
    </row>
    <row r="313" spans="2:90">
      <c r="B313"/>
      <c r="C313"/>
      <c r="D313" s="11"/>
      <c r="E313"/>
      <c r="F313"/>
      <c r="G313"/>
      <c r="H313"/>
      <c r="I313" s="11"/>
      <c r="J313" s="11"/>
      <c r="K313" s="11"/>
      <c r="L313"/>
      <c r="M313" s="11"/>
      <c r="N313" s="11"/>
      <c r="O313" s="11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 s="11"/>
      <c r="AD313"/>
      <c r="AE313" s="11"/>
      <c r="AF313" s="11"/>
      <c r="AG313" s="11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 s="11"/>
      <c r="CE313"/>
      <c r="CF313"/>
      <c r="CG313"/>
      <c r="CH313"/>
      <c r="CI313"/>
      <c r="CJ313"/>
      <c r="CK313"/>
      <c r="CL313"/>
    </row>
    <row r="314" spans="2:90">
      <c r="B314"/>
      <c r="C314"/>
      <c r="D314" s="11"/>
      <c r="E314"/>
      <c r="F314"/>
      <c r="G314"/>
      <c r="H314"/>
      <c r="I314" s="11"/>
      <c r="J314" s="11"/>
      <c r="K314" s="11"/>
      <c r="L314"/>
      <c r="M314" s="11"/>
      <c r="N314" s="11"/>
      <c r="O314" s="11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 s="11"/>
      <c r="AD314"/>
      <c r="AE314" s="11"/>
      <c r="AF314" s="11"/>
      <c r="AG314" s="11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 s="11"/>
      <c r="CE314"/>
      <c r="CF314"/>
      <c r="CG314"/>
      <c r="CH314"/>
      <c r="CI314"/>
      <c r="CJ314"/>
      <c r="CK314"/>
      <c r="CL314"/>
    </row>
    <row r="315" spans="2:90">
      <c r="B315"/>
      <c r="C315"/>
      <c r="D315" s="11"/>
      <c r="E315"/>
      <c r="F315"/>
      <c r="G315"/>
      <c r="H315"/>
      <c r="I315" s="11"/>
      <c r="J315" s="11"/>
      <c r="K315" s="11"/>
      <c r="L315"/>
      <c r="M315" s="11"/>
      <c r="N315" s="11"/>
      <c r="O315" s="11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 s="11"/>
      <c r="AD315"/>
      <c r="AE315" s="11"/>
      <c r="AF315" s="11"/>
      <c r="AG315" s="11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 s="11"/>
      <c r="CE315"/>
      <c r="CF315"/>
      <c r="CG315"/>
      <c r="CH315"/>
      <c r="CI315"/>
      <c r="CJ315"/>
      <c r="CK315"/>
      <c r="CL315"/>
    </row>
    <row r="316" spans="2:90">
      <c r="B316"/>
      <c r="C316"/>
      <c r="D316" s="11"/>
      <c r="E316"/>
      <c r="F316"/>
      <c r="G316"/>
      <c r="H316"/>
      <c r="I316" s="11"/>
      <c r="J316" s="11"/>
      <c r="K316" s="11"/>
      <c r="L316"/>
      <c r="M316" s="11"/>
      <c r="N316" s="11"/>
      <c r="O316" s="11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 s="11"/>
      <c r="AD316"/>
      <c r="AE316" s="11"/>
      <c r="AF316" s="11"/>
      <c r="AG316" s="11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 s="11"/>
      <c r="CE316"/>
      <c r="CF316"/>
      <c r="CG316"/>
      <c r="CH316"/>
      <c r="CI316"/>
      <c r="CJ316"/>
      <c r="CK316"/>
      <c r="CL316"/>
    </row>
    <row r="317" spans="2:90">
      <c r="B317"/>
      <c r="C317"/>
      <c r="D317" s="11"/>
      <c r="E317"/>
      <c r="F317"/>
      <c r="G317"/>
      <c r="H317"/>
      <c r="I317" s="11"/>
      <c r="J317" s="11"/>
      <c r="K317" s="11"/>
      <c r="L317"/>
      <c r="M317" s="11"/>
      <c r="N317" s="11"/>
      <c r="O317" s="11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 s="11"/>
      <c r="AD317"/>
      <c r="AE317" s="11"/>
      <c r="AF317" s="11"/>
      <c r="AG317" s="11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 s="11"/>
      <c r="CE317"/>
      <c r="CF317"/>
      <c r="CG317"/>
      <c r="CH317"/>
      <c r="CI317"/>
      <c r="CJ317"/>
      <c r="CK317"/>
      <c r="CL317"/>
    </row>
    <row r="318" spans="2:90">
      <c r="B318"/>
      <c r="C318"/>
      <c r="D318" s="11"/>
      <c r="E318"/>
      <c r="F318"/>
      <c r="G318"/>
      <c r="H318"/>
      <c r="I318" s="11"/>
      <c r="J318" s="11"/>
      <c r="K318" s="11"/>
      <c r="L318"/>
      <c r="M318" s="11"/>
      <c r="N318" s="11"/>
      <c r="O318" s="11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 s="11"/>
      <c r="AD318"/>
      <c r="AE318" s="11"/>
      <c r="AF318" s="11"/>
      <c r="AG318" s="11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 s="11"/>
      <c r="CE318"/>
      <c r="CF318"/>
      <c r="CG318"/>
      <c r="CH318"/>
      <c r="CI318"/>
      <c r="CJ318"/>
      <c r="CK318"/>
      <c r="CL318"/>
    </row>
    <row r="319" spans="2:90">
      <c r="B319"/>
      <c r="C319"/>
      <c r="D319" s="11"/>
      <c r="E319"/>
      <c r="F319"/>
      <c r="G319"/>
      <c r="H319"/>
      <c r="I319" s="11"/>
      <c r="J319" s="11"/>
      <c r="K319" s="11"/>
      <c r="L319"/>
      <c r="M319" s="11"/>
      <c r="N319" s="11"/>
      <c r="O319" s="11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 s="11"/>
      <c r="AD319"/>
      <c r="AE319" s="11"/>
      <c r="AF319" s="11"/>
      <c r="AG319" s="11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 s="11"/>
      <c r="CE319"/>
      <c r="CF319"/>
      <c r="CG319"/>
      <c r="CH319"/>
      <c r="CI319"/>
      <c r="CJ319"/>
      <c r="CK319"/>
      <c r="CL319"/>
    </row>
    <row r="320" spans="2:90">
      <c r="B320"/>
      <c r="C320"/>
      <c r="D320" s="11"/>
      <c r="E320"/>
      <c r="F320"/>
      <c r="G320"/>
      <c r="H320"/>
      <c r="I320" s="11"/>
      <c r="J320" s="11"/>
      <c r="K320" s="11"/>
      <c r="L320"/>
      <c r="M320" s="11"/>
      <c r="N320" s="11"/>
      <c r="O320" s="11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 s="11"/>
      <c r="AD320"/>
      <c r="AE320" s="11"/>
      <c r="AF320" s="11"/>
      <c r="AG320" s="11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 s="11"/>
      <c r="CE320"/>
      <c r="CF320"/>
      <c r="CG320"/>
      <c r="CH320"/>
      <c r="CI320"/>
      <c r="CJ320"/>
      <c r="CK320"/>
      <c r="CL320"/>
    </row>
    <row r="321" spans="2:90">
      <c r="B321"/>
      <c r="C321"/>
      <c r="D321" s="11"/>
      <c r="E321"/>
      <c r="F321"/>
      <c r="G321"/>
      <c r="H321"/>
      <c r="I321" s="11"/>
      <c r="J321" s="11"/>
      <c r="K321" s="11"/>
      <c r="L321"/>
      <c r="M321" s="11"/>
      <c r="N321" s="11"/>
      <c r="O321" s="1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 s="11"/>
      <c r="AD321"/>
      <c r="AE321" s="11"/>
      <c r="AF321" s="11"/>
      <c r="AG321" s="1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 s="11"/>
      <c r="CE321"/>
      <c r="CF321"/>
      <c r="CG321"/>
      <c r="CH321"/>
      <c r="CI321"/>
      <c r="CJ321"/>
      <c r="CK321"/>
      <c r="CL321"/>
    </row>
    <row r="322" spans="2:90">
      <c r="B322"/>
      <c r="C322"/>
      <c r="D322" s="11"/>
      <c r="E322"/>
      <c r="F322"/>
      <c r="G322"/>
      <c r="H322"/>
      <c r="I322" s="11"/>
      <c r="J322" s="11"/>
      <c r="K322" s="11"/>
      <c r="L322"/>
      <c r="M322" s="11"/>
      <c r="N322" s="11"/>
      <c r="O322" s="11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 s="11"/>
      <c r="AD322"/>
      <c r="AE322" s="11"/>
      <c r="AF322" s="11"/>
      <c r="AG322" s="11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 s="11"/>
      <c r="CE322"/>
      <c r="CF322"/>
      <c r="CG322"/>
      <c r="CH322"/>
      <c r="CI322"/>
      <c r="CJ322"/>
      <c r="CK322"/>
      <c r="CL322"/>
    </row>
    <row r="323" spans="2:90">
      <c r="B323"/>
      <c r="C323"/>
      <c r="D323" s="11"/>
      <c r="E323"/>
      <c r="F323"/>
      <c r="G323"/>
      <c r="H323"/>
      <c r="I323" s="11"/>
      <c r="J323" s="11"/>
      <c r="K323" s="11"/>
      <c r="L323"/>
      <c r="M323" s="11"/>
      <c r="N323" s="11"/>
      <c r="O323" s="11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 s="11"/>
      <c r="AD323"/>
      <c r="AE323" s="11"/>
      <c r="AF323" s="11"/>
      <c r="AG323" s="11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 s="11"/>
      <c r="CE323"/>
      <c r="CF323"/>
      <c r="CG323"/>
      <c r="CH323"/>
      <c r="CI323"/>
      <c r="CJ323"/>
      <c r="CK323"/>
      <c r="CL323"/>
    </row>
    <row r="324" spans="2:90">
      <c r="B324"/>
      <c r="C324"/>
      <c r="D324" s="11"/>
      <c r="E324"/>
      <c r="F324"/>
      <c r="G324"/>
      <c r="H324"/>
      <c r="I324" s="11"/>
      <c r="J324" s="11"/>
      <c r="K324" s="11"/>
      <c r="L324"/>
      <c r="M324" s="11"/>
      <c r="N324" s="11"/>
      <c r="O324" s="11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 s="11"/>
      <c r="AD324"/>
      <c r="AE324" s="11"/>
      <c r="AF324" s="11"/>
      <c r="AG324" s="11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 s="11"/>
      <c r="CE324"/>
      <c r="CF324"/>
      <c r="CG324"/>
      <c r="CH324"/>
      <c r="CI324"/>
      <c r="CJ324"/>
      <c r="CK324"/>
      <c r="CL324"/>
    </row>
    <row r="325" spans="2:90">
      <c r="B325"/>
      <c r="C325"/>
      <c r="D325" s="11"/>
      <c r="E325"/>
      <c r="F325"/>
      <c r="G325"/>
      <c r="H325"/>
      <c r="I325" s="11"/>
      <c r="J325" s="11"/>
      <c r="K325" s="11"/>
      <c r="L325"/>
      <c r="M325" s="11"/>
      <c r="N325" s="11"/>
      <c r="O325" s="11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 s="11"/>
      <c r="AD325"/>
      <c r="AE325" s="11"/>
      <c r="AF325" s="11"/>
      <c r="AG325" s="11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 s="11"/>
      <c r="CE325"/>
      <c r="CF325"/>
      <c r="CG325"/>
      <c r="CH325"/>
      <c r="CI325"/>
      <c r="CJ325"/>
      <c r="CK325"/>
      <c r="CL325"/>
    </row>
    <row r="326" spans="2:90">
      <c r="B326"/>
      <c r="C326"/>
      <c r="D326" s="11"/>
      <c r="E326"/>
      <c r="F326"/>
      <c r="G326"/>
      <c r="H326"/>
      <c r="I326" s="11"/>
      <c r="J326" s="11"/>
      <c r="K326" s="11"/>
      <c r="L326"/>
      <c r="M326" s="11"/>
      <c r="N326" s="11"/>
      <c r="O326" s="11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 s="11"/>
      <c r="AD326"/>
      <c r="AE326" s="11"/>
      <c r="AF326" s="11"/>
      <c r="AG326" s="11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 s="11"/>
      <c r="CE326"/>
      <c r="CF326"/>
      <c r="CG326"/>
      <c r="CH326"/>
      <c r="CI326"/>
      <c r="CJ326"/>
      <c r="CK326"/>
      <c r="CL326"/>
    </row>
    <row r="327" spans="2:90">
      <c r="B327"/>
      <c r="C327"/>
      <c r="D327" s="11"/>
      <c r="E327"/>
      <c r="F327"/>
      <c r="G327"/>
      <c r="H327"/>
      <c r="I327" s="11"/>
      <c r="J327" s="11"/>
      <c r="K327" s="11"/>
      <c r="L327"/>
      <c r="M327" s="11"/>
      <c r="N327" s="11"/>
      <c r="O327" s="11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 s="11"/>
      <c r="AD327"/>
      <c r="AE327" s="11"/>
      <c r="AF327" s="11"/>
      <c r="AG327" s="11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 s="11"/>
      <c r="CE327"/>
      <c r="CF327"/>
      <c r="CG327"/>
      <c r="CH327"/>
      <c r="CI327"/>
      <c r="CJ327"/>
      <c r="CK327"/>
      <c r="CL327"/>
    </row>
    <row r="328" spans="2:90">
      <c r="B328"/>
      <c r="C328"/>
      <c r="D328" s="11"/>
      <c r="E328"/>
      <c r="F328"/>
      <c r="G328"/>
      <c r="H328"/>
      <c r="I328" s="11"/>
      <c r="J328" s="11"/>
      <c r="K328" s="11"/>
      <c r="L328"/>
      <c r="M328" s="11"/>
      <c r="N328" s="11"/>
      <c r="O328" s="11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 s="11"/>
      <c r="AD328"/>
      <c r="AE328" s="11"/>
      <c r="AF328" s="11"/>
      <c r="AG328" s="11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 s="11"/>
      <c r="CE328"/>
      <c r="CF328"/>
      <c r="CG328"/>
      <c r="CH328"/>
      <c r="CI328"/>
      <c r="CJ328"/>
      <c r="CK328"/>
      <c r="CL328"/>
    </row>
    <row r="329" spans="2:90">
      <c r="B329"/>
      <c r="C329"/>
      <c r="D329" s="11"/>
      <c r="E329"/>
      <c r="F329"/>
      <c r="G329"/>
      <c r="H329"/>
      <c r="I329" s="11"/>
      <c r="J329" s="11"/>
      <c r="K329" s="11"/>
      <c r="L329"/>
      <c r="M329" s="11"/>
      <c r="N329" s="11"/>
      <c r="O329" s="11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 s="11"/>
      <c r="AD329"/>
      <c r="AE329" s="11"/>
      <c r="AF329" s="11"/>
      <c r="AG329" s="11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 s="11"/>
      <c r="CE329"/>
      <c r="CF329"/>
      <c r="CG329"/>
      <c r="CH329"/>
      <c r="CI329"/>
      <c r="CJ329"/>
      <c r="CK329"/>
      <c r="CL329"/>
    </row>
    <row r="330" spans="2:90">
      <c r="B330"/>
      <c r="C330"/>
      <c r="D330" s="11"/>
      <c r="E330"/>
      <c r="F330"/>
      <c r="G330"/>
      <c r="H330"/>
      <c r="I330" s="11"/>
      <c r="J330" s="11"/>
      <c r="K330" s="11"/>
      <c r="L330"/>
      <c r="M330" s="11"/>
      <c r="N330" s="11"/>
      <c r="O330" s="11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 s="11"/>
      <c r="AD330"/>
      <c r="AE330" s="11"/>
      <c r="AF330" s="11"/>
      <c r="AG330" s="11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 s="11"/>
      <c r="CE330"/>
      <c r="CF330"/>
      <c r="CG330"/>
      <c r="CH330"/>
      <c r="CI330"/>
      <c r="CJ330"/>
      <c r="CK330"/>
      <c r="CL330"/>
    </row>
    <row r="331" spans="2:90">
      <c r="B331"/>
      <c r="C331"/>
      <c r="D331" s="11"/>
      <c r="E331"/>
      <c r="F331"/>
      <c r="G331"/>
      <c r="H331"/>
      <c r="I331" s="11"/>
      <c r="J331" s="11"/>
      <c r="K331" s="11"/>
      <c r="L331"/>
      <c r="M331" s="11"/>
      <c r="N331" s="11"/>
      <c r="O331" s="1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 s="11"/>
      <c r="AD331"/>
      <c r="AE331" s="11"/>
      <c r="AF331" s="11"/>
      <c r="AG331" s="1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 s="11"/>
      <c r="CE331"/>
      <c r="CF331"/>
      <c r="CG331"/>
      <c r="CH331"/>
      <c r="CI331"/>
      <c r="CJ331"/>
      <c r="CK331"/>
      <c r="CL331"/>
    </row>
    <row r="332" spans="2:90">
      <c r="B332"/>
      <c r="C332"/>
      <c r="D332" s="11"/>
      <c r="E332"/>
      <c r="F332"/>
      <c r="G332"/>
      <c r="H332"/>
      <c r="I332" s="11"/>
      <c r="J332" s="11"/>
      <c r="K332" s="11"/>
      <c r="L332"/>
      <c r="M332" s="11"/>
      <c r="N332" s="11"/>
      <c r="O332" s="11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 s="11"/>
      <c r="AD332"/>
      <c r="AE332" s="11"/>
      <c r="AF332" s="11"/>
      <c r="AG332" s="11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 s="11"/>
      <c r="CE332"/>
      <c r="CF332"/>
      <c r="CG332"/>
      <c r="CH332"/>
      <c r="CI332"/>
      <c r="CJ332"/>
      <c r="CK332"/>
      <c r="CL332"/>
    </row>
    <row r="333" spans="2:90">
      <c r="B333"/>
      <c r="C333"/>
      <c r="D333" s="11"/>
      <c r="E333"/>
      <c r="F333"/>
      <c r="G333"/>
      <c r="H333"/>
      <c r="I333" s="11"/>
      <c r="J333" s="11"/>
      <c r="K333" s="11"/>
      <c r="L333"/>
      <c r="M333" s="11"/>
      <c r="N333" s="11"/>
      <c r="O333" s="11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 s="11"/>
      <c r="AD333"/>
      <c r="AE333" s="11"/>
      <c r="AF333" s="11"/>
      <c r="AG333" s="11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 s="11"/>
      <c r="CE333"/>
      <c r="CF333"/>
      <c r="CG333"/>
      <c r="CH333"/>
      <c r="CI333"/>
      <c r="CJ333"/>
      <c r="CK333"/>
      <c r="CL333"/>
    </row>
    <row r="334" spans="2:90">
      <c r="B334"/>
      <c r="C334"/>
      <c r="D334" s="11"/>
      <c r="E334"/>
      <c r="F334"/>
      <c r="G334"/>
      <c r="H334"/>
      <c r="I334" s="11"/>
      <c r="J334" s="11"/>
      <c r="K334" s="11"/>
      <c r="L334"/>
      <c r="M334" s="11"/>
      <c r="N334" s="11"/>
      <c r="O334" s="11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 s="11"/>
      <c r="AD334"/>
      <c r="AE334" s="11"/>
      <c r="AF334" s="11"/>
      <c r="AG334" s="11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 s="11"/>
      <c r="CE334"/>
      <c r="CF334"/>
      <c r="CG334"/>
      <c r="CH334"/>
      <c r="CI334"/>
      <c r="CJ334"/>
      <c r="CK334"/>
      <c r="CL334"/>
    </row>
    <row r="335" spans="2:90">
      <c r="B335"/>
      <c r="C335"/>
      <c r="D335" s="11"/>
      <c r="E335"/>
      <c r="F335"/>
      <c r="G335"/>
      <c r="H335"/>
      <c r="I335" s="11"/>
      <c r="J335" s="11"/>
      <c r="K335" s="11"/>
      <c r="L335"/>
      <c r="M335" s="11"/>
      <c r="N335" s="11"/>
      <c r="O335" s="11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 s="11"/>
      <c r="AD335"/>
      <c r="AE335" s="11"/>
      <c r="AF335" s="11"/>
      <c r="AG335" s="11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 s="11"/>
      <c r="CE335"/>
      <c r="CF335"/>
      <c r="CG335"/>
      <c r="CH335"/>
      <c r="CI335"/>
      <c r="CJ335"/>
      <c r="CK335"/>
      <c r="CL335"/>
    </row>
    <row r="336" spans="2:90">
      <c r="B336"/>
      <c r="C336"/>
      <c r="D336" s="11"/>
      <c r="E336"/>
      <c r="F336"/>
      <c r="G336"/>
      <c r="H336"/>
      <c r="I336" s="11"/>
      <c r="J336" s="11"/>
      <c r="K336" s="11"/>
      <c r="L336"/>
      <c r="M336" s="11"/>
      <c r="N336" s="11"/>
      <c r="O336" s="11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 s="11"/>
      <c r="AD336"/>
      <c r="AE336" s="11"/>
      <c r="AF336" s="11"/>
      <c r="AG336" s="11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 s="11"/>
      <c r="CE336"/>
      <c r="CF336"/>
      <c r="CG336"/>
      <c r="CH336"/>
      <c r="CI336"/>
      <c r="CJ336"/>
      <c r="CK336"/>
      <c r="CL336"/>
    </row>
    <row r="337" spans="2:90">
      <c r="B337"/>
      <c r="C337"/>
      <c r="D337" s="11"/>
      <c r="E337"/>
      <c r="F337"/>
      <c r="G337"/>
      <c r="H337"/>
      <c r="I337" s="11"/>
      <c r="J337" s="11"/>
      <c r="K337" s="11"/>
      <c r="L337"/>
      <c r="M337" s="11"/>
      <c r="N337" s="11"/>
      <c r="O337" s="11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 s="11"/>
      <c r="AD337"/>
      <c r="AE337" s="11"/>
      <c r="AF337" s="11"/>
      <c r="AG337" s="11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 s="11"/>
      <c r="CE337"/>
      <c r="CF337"/>
      <c r="CG337"/>
      <c r="CH337"/>
      <c r="CI337"/>
      <c r="CJ337"/>
      <c r="CK337"/>
      <c r="CL337"/>
    </row>
    <row r="338" spans="2:90">
      <c r="B338"/>
      <c r="C338"/>
      <c r="D338" s="11"/>
      <c r="E338"/>
      <c r="F338"/>
      <c r="G338"/>
      <c r="H338"/>
      <c r="I338" s="11"/>
      <c r="J338" s="11"/>
      <c r="K338" s="11"/>
      <c r="L338"/>
      <c r="M338" s="11"/>
      <c r="N338" s="11"/>
      <c r="O338" s="11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 s="11"/>
      <c r="AD338"/>
      <c r="AE338" s="11"/>
      <c r="AF338" s="11"/>
      <c r="AG338" s="11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 s="11"/>
      <c r="CE338"/>
      <c r="CF338"/>
      <c r="CG338"/>
      <c r="CH338"/>
      <c r="CI338"/>
      <c r="CJ338"/>
      <c r="CK338"/>
      <c r="CL338"/>
    </row>
    <row r="339" spans="2:90">
      <c r="B339"/>
      <c r="C339"/>
      <c r="D339" s="11"/>
      <c r="E339"/>
      <c r="F339"/>
      <c r="G339"/>
      <c r="H339"/>
      <c r="I339" s="11"/>
      <c r="J339" s="11"/>
      <c r="K339" s="11"/>
      <c r="L339"/>
      <c r="M339" s="11"/>
      <c r="N339" s="11"/>
      <c r="O339" s="11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 s="11"/>
      <c r="AD339"/>
      <c r="AE339" s="11"/>
      <c r="AF339" s="11"/>
      <c r="AG339" s="11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 s="11"/>
      <c r="CE339"/>
      <c r="CF339"/>
      <c r="CG339"/>
      <c r="CH339"/>
      <c r="CI339"/>
      <c r="CJ339"/>
      <c r="CK339"/>
      <c r="CL339"/>
    </row>
    <row r="340" spans="2:90">
      <c r="B340"/>
      <c r="C340"/>
      <c r="D340" s="11"/>
      <c r="E340"/>
      <c r="F340"/>
      <c r="G340"/>
      <c r="H340"/>
      <c r="I340" s="11"/>
      <c r="J340" s="11"/>
      <c r="K340" s="11"/>
      <c r="L340"/>
      <c r="M340" s="11"/>
      <c r="N340" s="11"/>
      <c r="O340" s="11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 s="11"/>
      <c r="AD340"/>
      <c r="AE340" s="11"/>
      <c r="AF340" s="11"/>
      <c r="AG340" s="11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 s="11"/>
      <c r="CE340"/>
      <c r="CF340"/>
      <c r="CG340"/>
      <c r="CH340"/>
      <c r="CI340"/>
      <c r="CJ340"/>
      <c r="CK340"/>
      <c r="CL340"/>
    </row>
    <row r="341" spans="2:90">
      <c r="B341"/>
      <c r="C341"/>
      <c r="D341" s="11"/>
      <c r="E341"/>
      <c r="F341"/>
      <c r="G341"/>
      <c r="H341"/>
      <c r="I341" s="11"/>
      <c r="J341" s="11"/>
      <c r="K341" s="11"/>
      <c r="L341"/>
      <c r="M341" s="11"/>
      <c r="N341" s="11"/>
      <c r="O341" s="1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 s="11"/>
      <c r="AD341"/>
      <c r="AE341" s="11"/>
      <c r="AF341" s="11"/>
      <c r="AG341" s="1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 s="11"/>
      <c r="CE341"/>
      <c r="CF341"/>
      <c r="CG341"/>
      <c r="CH341"/>
      <c r="CI341"/>
      <c r="CJ341"/>
      <c r="CK341"/>
      <c r="CL341"/>
    </row>
    <row r="342" spans="2:90">
      <c r="B342"/>
      <c r="C342"/>
      <c r="D342" s="11"/>
      <c r="E342"/>
      <c r="F342"/>
      <c r="G342"/>
      <c r="H342"/>
      <c r="I342" s="11"/>
      <c r="J342" s="11"/>
      <c r="K342" s="11"/>
      <c r="L342"/>
      <c r="M342" s="11"/>
      <c r="N342" s="11"/>
      <c r="O342" s="11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 s="11"/>
      <c r="AD342"/>
      <c r="AE342" s="11"/>
      <c r="AF342" s="11"/>
      <c r="AG342" s="11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 s="11"/>
      <c r="CE342"/>
      <c r="CF342"/>
      <c r="CG342"/>
      <c r="CH342"/>
      <c r="CI342"/>
      <c r="CJ342"/>
      <c r="CK342"/>
      <c r="CL342"/>
    </row>
    <row r="343" spans="2:90">
      <c r="B343"/>
      <c r="C343"/>
      <c r="D343" s="11"/>
      <c r="E343"/>
      <c r="F343"/>
      <c r="G343"/>
      <c r="H343"/>
      <c r="I343" s="11"/>
      <c r="J343" s="11"/>
      <c r="K343" s="11"/>
      <c r="L343"/>
      <c r="M343" s="11"/>
      <c r="N343" s="11"/>
      <c r="O343" s="11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 s="11"/>
      <c r="AD343"/>
      <c r="AE343" s="11"/>
      <c r="AF343" s="11"/>
      <c r="AG343" s="11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 s="11"/>
      <c r="CE343"/>
      <c r="CF343"/>
      <c r="CG343"/>
      <c r="CH343"/>
      <c r="CI343"/>
      <c r="CJ343"/>
      <c r="CK343"/>
      <c r="CL343"/>
    </row>
    <row r="344" spans="2:90">
      <c r="B344"/>
      <c r="C344"/>
      <c r="D344" s="11"/>
      <c r="E344"/>
      <c r="F344"/>
      <c r="G344"/>
      <c r="H344"/>
      <c r="I344" s="11"/>
      <c r="J344" s="11"/>
      <c r="K344" s="11"/>
      <c r="L344"/>
      <c r="M344" s="11"/>
      <c r="N344" s="11"/>
      <c r="O344" s="11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 s="11"/>
      <c r="AD344"/>
      <c r="AE344" s="11"/>
      <c r="AF344" s="11"/>
      <c r="AG344" s="11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 s="11"/>
      <c r="CE344"/>
      <c r="CF344"/>
      <c r="CG344"/>
      <c r="CH344"/>
      <c r="CI344"/>
      <c r="CJ344"/>
      <c r="CK344"/>
      <c r="CL344"/>
    </row>
    <row r="345" spans="2:90">
      <c r="B345"/>
      <c r="C345"/>
      <c r="D345" s="11"/>
      <c r="E345"/>
      <c r="F345"/>
      <c r="G345"/>
      <c r="H345"/>
      <c r="I345" s="11"/>
      <c r="J345" s="11"/>
      <c r="K345" s="11"/>
      <c r="L345"/>
      <c r="M345" s="11"/>
      <c r="N345" s="11"/>
      <c r="O345" s="11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 s="11"/>
      <c r="AD345"/>
      <c r="AE345" s="11"/>
      <c r="AF345" s="11"/>
      <c r="AG345" s="11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 s="11"/>
      <c r="CE345"/>
      <c r="CF345"/>
      <c r="CG345"/>
      <c r="CH345"/>
      <c r="CI345"/>
      <c r="CJ345"/>
      <c r="CK345"/>
      <c r="CL345"/>
    </row>
    <row r="346" spans="2:90">
      <c r="B346"/>
      <c r="C346"/>
      <c r="D346" s="11"/>
      <c r="E346"/>
      <c r="F346"/>
      <c r="G346"/>
      <c r="H346"/>
      <c r="I346" s="11"/>
      <c r="J346" s="11"/>
      <c r="K346" s="11"/>
      <c r="L346"/>
      <c r="M346" s="11"/>
      <c r="N346" s="11"/>
      <c r="O346" s="11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 s="11"/>
      <c r="AD346"/>
      <c r="AE346" s="11"/>
      <c r="AF346" s="11"/>
      <c r="AG346" s="11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 s="11"/>
      <c r="CE346"/>
      <c r="CF346"/>
      <c r="CG346"/>
      <c r="CH346"/>
      <c r="CI346"/>
      <c r="CJ346"/>
      <c r="CK346"/>
      <c r="CL346"/>
    </row>
    <row r="347" spans="2:90">
      <c r="B347"/>
      <c r="C347"/>
      <c r="D347" s="11"/>
      <c r="E347"/>
      <c r="F347"/>
      <c r="G347"/>
      <c r="H347"/>
      <c r="I347" s="11"/>
      <c r="J347" s="11"/>
      <c r="K347" s="11"/>
      <c r="L347"/>
      <c r="M347" s="11"/>
      <c r="N347" s="11"/>
      <c r="O347" s="11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 s="11"/>
      <c r="AD347"/>
      <c r="AE347" s="11"/>
      <c r="AF347" s="11"/>
      <c r="AG347" s="11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 s="11"/>
      <c r="CE347"/>
      <c r="CF347"/>
      <c r="CG347"/>
      <c r="CH347"/>
      <c r="CI347"/>
      <c r="CJ347"/>
      <c r="CK347"/>
      <c r="CL347"/>
    </row>
    <row r="348" spans="2:90">
      <c r="B348"/>
      <c r="C348"/>
      <c r="D348" s="11"/>
      <c r="E348"/>
      <c r="F348"/>
      <c r="G348"/>
      <c r="H348"/>
      <c r="I348" s="11"/>
      <c r="J348" s="11"/>
      <c r="K348" s="11"/>
      <c r="L348"/>
      <c r="M348" s="11"/>
      <c r="N348" s="11"/>
      <c r="O348" s="11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 s="11"/>
      <c r="AD348"/>
      <c r="AE348" s="11"/>
      <c r="AF348" s="11"/>
      <c r="AG348" s="11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 s="11"/>
      <c r="CE348"/>
      <c r="CF348"/>
      <c r="CG348"/>
      <c r="CH348"/>
      <c r="CI348"/>
      <c r="CJ348"/>
      <c r="CK348"/>
      <c r="CL348"/>
    </row>
    <row r="349" spans="2:90">
      <c r="B349"/>
      <c r="C349"/>
      <c r="D349" s="11"/>
      <c r="E349"/>
      <c r="F349"/>
      <c r="G349"/>
      <c r="H349"/>
      <c r="I349" s="11"/>
      <c r="J349" s="11"/>
      <c r="K349" s="11"/>
      <c r="L349"/>
      <c r="M349" s="11"/>
      <c r="N349" s="11"/>
      <c r="O349" s="11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 s="11"/>
      <c r="AD349"/>
      <c r="AE349" s="11"/>
      <c r="AF349" s="11"/>
      <c r="AG349" s="11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 s="11"/>
      <c r="CE349"/>
      <c r="CF349"/>
      <c r="CG349"/>
      <c r="CH349"/>
      <c r="CI349"/>
      <c r="CJ349"/>
      <c r="CK349"/>
      <c r="CL349"/>
    </row>
    <row r="350" spans="2:90">
      <c r="B350"/>
      <c r="C350"/>
      <c r="D350" s="11"/>
      <c r="E350"/>
      <c r="F350"/>
      <c r="G350"/>
      <c r="H350"/>
      <c r="I350" s="11"/>
      <c r="J350" s="11"/>
      <c r="K350" s="11"/>
      <c r="L350"/>
      <c r="M350" s="11"/>
      <c r="N350" s="11"/>
      <c r="O350" s="11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 s="11"/>
      <c r="AD350"/>
      <c r="AE350" s="11"/>
      <c r="AF350" s="11"/>
      <c r="AG350" s="11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 s="11"/>
      <c r="CE350"/>
      <c r="CF350"/>
      <c r="CG350"/>
      <c r="CH350"/>
      <c r="CI350"/>
      <c r="CJ350"/>
      <c r="CK350"/>
      <c r="CL350"/>
    </row>
    <row r="351" spans="2:90">
      <c r="B351"/>
      <c r="C351"/>
      <c r="D351" s="11"/>
      <c r="E351"/>
      <c r="F351"/>
      <c r="G351"/>
      <c r="H351"/>
      <c r="I351" s="11"/>
      <c r="J351" s="11"/>
      <c r="K351" s="11"/>
      <c r="L351"/>
      <c r="M351" s="11"/>
      <c r="N351" s="11"/>
      <c r="O351" s="1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 s="11"/>
      <c r="AD351"/>
      <c r="AE351" s="11"/>
      <c r="AF351" s="11"/>
      <c r="AG351" s="1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 s="11"/>
      <c r="CE351"/>
      <c r="CF351"/>
      <c r="CG351"/>
      <c r="CH351"/>
      <c r="CI351"/>
      <c r="CJ351"/>
      <c r="CK351"/>
      <c r="CL351"/>
    </row>
    <row r="352" spans="2:90">
      <c r="B352"/>
      <c r="C352"/>
      <c r="D352" s="11"/>
      <c r="E352"/>
      <c r="F352"/>
      <c r="G352"/>
      <c r="H352"/>
      <c r="I352" s="11"/>
      <c r="J352" s="11"/>
      <c r="K352" s="11"/>
      <c r="L352"/>
      <c r="M352" s="11"/>
      <c r="N352" s="11"/>
      <c r="O352" s="11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 s="11"/>
      <c r="AD352"/>
      <c r="AE352" s="11"/>
      <c r="AF352" s="11"/>
      <c r="AG352" s="11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 s="11"/>
      <c r="CE352"/>
      <c r="CF352"/>
      <c r="CG352"/>
      <c r="CH352"/>
      <c r="CI352"/>
      <c r="CJ352"/>
      <c r="CK352"/>
      <c r="CL352"/>
    </row>
    <row r="353" spans="2:90">
      <c r="B353"/>
      <c r="C353"/>
      <c r="D353" s="11"/>
      <c r="E353"/>
      <c r="F353"/>
      <c r="G353"/>
      <c r="H353"/>
      <c r="I353" s="11"/>
      <c r="J353" s="11"/>
      <c r="K353" s="11"/>
      <c r="L353"/>
      <c r="M353" s="11"/>
      <c r="N353" s="11"/>
      <c r="O353" s="11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 s="11"/>
      <c r="AD353"/>
      <c r="AE353" s="11"/>
      <c r="AF353" s="11"/>
      <c r="AG353" s="11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 s="11"/>
      <c r="CE353"/>
      <c r="CF353"/>
      <c r="CG353"/>
      <c r="CH353"/>
      <c r="CI353"/>
      <c r="CJ353"/>
      <c r="CK353"/>
      <c r="CL353"/>
    </row>
    <row r="354" spans="2:90">
      <c r="B354"/>
      <c r="C354"/>
      <c r="D354" s="11"/>
      <c r="E354"/>
      <c r="F354"/>
      <c r="G354"/>
      <c r="H354"/>
      <c r="I354" s="11"/>
      <c r="J354" s="11"/>
      <c r="K354" s="11"/>
      <c r="L354"/>
      <c r="M354" s="11"/>
      <c r="N354" s="11"/>
      <c r="O354" s="11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 s="11"/>
      <c r="AD354"/>
      <c r="AE354" s="11"/>
      <c r="AF354" s="11"/>
      <c r="AG354" s="11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 s="11"/>
      <c r="CE354"/>
      <c r="CF354"/>
      <c r="CG354"/>
      <c r="CH354"/>
      <c r="CI354"/>
      <c r="CJ354"/>
      <c r="CK354"/>
      <c r="CL354"/>
    </row>
    <row r="355" spans="2:90">
      <c r="B355"/>
      <c r="C355"/>
      <c r="D355" s="11"/>
      <c r="E355"/>
      <c r="F355"/>
      <c r="G355"/>
      <c r="H355"/>
      <c r="I355" s="11"/>
      <c r="J355" s="11"/>
      <c r="K355" s="11"/>
      <c r="L355"/>
      <c r="M355" s="11"/>
      <c r="N355" s="11"/>
      <c r="O355" s="11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 s="11"/>
      <c r="AD355"/>
      <c r="AE355" s="11"/>
      <c r="AF355" s="11"/>
      <c r="AG355" s="11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 s="11"/>
      <c r="CE355"/>
      <c r="CF355"/>
      <c r="CG355"/>
      <c r="CH355"/>
      <c r="CI355"/>
      <c r="CJ355"/>
      <c r="CK355"/>
      <c r="CL355"/>
    </row>
    <row r="356" spans="2:90">
      <c r="B356"/>
      <c r="C356"/>
      <c r="D356" s="11"/>
      <c r="E356"/>
      <c r="F356"/>
      <c r="G356"/>
      <c r="H356"/>
      <c r="I356" s="11"/>
      <c r="J356" s="11"/>
      <c r="K356" s="11"/>
      <c r="L356"/>
      <c r="M356" s="11"/>
      <c r="N356" s="11"/>
      <c r="O356" s="11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 s="11"/>
      <c r="AD356"/>
      <c r="AE356" s="11"/>
      <c r="AF356" s="11"/>
      <c r="AG356" s="11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 s="11"/>
      <c r="CE356"/>
      <c r="CF356"/>
      <c r="CG356"/>
      <c r="CH356"/>
      <c r="CI356"/>
      <c r="CJ356"/>
      <c r="CK356"/>
      <c r="CL356"/>
    </row>
    <row r="357" spans="2:90">
      <c r="B357"/>
      <c r="C357"/>
      <c r="D357" s="11"/>
      <c r="E357"/>
      <c r="F357"/>
      <c r="G357"/>
      <c r="H357"/>
      <c r="I357" s="11"/>
      <c r="J357" s="11"/>
      <c r="K357" s="11"/>
      <c r="L357"/>
      <c r="M357" s="11"/>
      <c r="N357" s="11"/>
      <c r="O357" s="11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 s="11"/>
      <c r="AD357"/>
      <c r="AE357" s="11"/>
      <c r="AF357" s="11"/>
      <c r="AG357" s="11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 s="11"/>
      <c r="CE357"/>
      <c r="CF357"/>
      <c r="CG357"/>
      <c r="CH357"/>
      <c r="CI357"/>
      <c r="CJ357"/>
      <c r="CK357"/>
      <c r="CL357"/>
    </row>
    <row r="358" spans="2:90">
      <c r="B358"/>
      <c r="C358"/>
      <c r="D358" s="11"/>
      <c r="E358"/>
      <c r="F358"/>
      <c r="G358"/>
      <c r="H358"/>
      <c r="I358" s="11"/>
      <c r="J358" s="11"/>
      <c r="K358" s="11"/>
      <c r="L358"/>
      <c r="M358" s="11"/>
      <c r="N358" s="11"/>
      <c r="O358" s="11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 s="11"/>
      <c r="AD358"/>
      <c r="AE358" s="11"/>
      <c r="AF358" s="11"/>
      <c r="AG358" s="11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 s="11"/>
      <c r="CE358"/>
      <c r="CF358"/>
      <c r="CG358"/>
      <c r="CH358"/>
      <c r="CI358"/>
      <c r="CJ358"/>
      <c r="CK358"/>
      <c r="CL358"/>
    </row>
    <row r="359" spans="2:90">
      <c r="B359"/>
      <c r="C359"/>
      <c r="D359" s="11"/>
      <c r="E359"/>
      <c r="F359"/>
      <c r="G359"/>
      <c r="H359"/>
      <c r="I359" s="11"/>
      <c r="J359" s="11"/>
      <c r="K359" s="11"/>
      <c r="L359"/>
      <c r="M359" s="11"/>
      <c r="N359" s="11"/>
      <c r="O359" s="11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 s="11"/>
      <c r="AD359"/>
      <c r="AE359" s="11"/>
      <c r="AF359" s="11"/>
      <c r="AG359" s="11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 s="11"/>
      <c r="CE359"/>
      <c r="CF359"/>
      <c r="CG359"/>
      <c r="CH359"/>
      <c r="CI359"/>
      <c r="CJ359"/>
      <c r="CK359"/>
      <c r="CL359"/>
    </row>
    <row r="360" spans="2:90">
      <c r="B360"/>
      <c r="C360"/>
      <c r="D360" s="11"/>
      <c r="E360"/>
      <c r="F360"/>
      <c r="G360"/>
      <c r="H360"/>
      <c r="I360" s="11"/>
      <c r="J360" s="11"/>
      <c r="K360" s="11"/>
      <c r="L360"/>
      <c r="M360" s="11"/>
      <c r="N360" s="11"/>
      <c r="O360" s="11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 s="11"/>
      <c r="AD360"/>
      <c r="AE360" s="11"/>
      <c r="AF360" s="11"/>
      <c r="AG360" s="11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 s="11"/>
      <c r="CE360"/>
      <c r="CF360"/>
      <c r="CG360"/>
      <c r="CH360"/>
      <c r="CI360"/>
      <c r="CJ360"/>
      <c r="CK360"/>
      <c r="CL360"/>
    </row>
    <row r="361" spans="2:90">
      <c r="B361"/>
      <c r="C361"/>
      <c r="D361" s="11"/>
      <c r="E361"/>
      <c r="F361"/>
      <c r="G361"/>
      <c r="H361"/>
      <c r="I361" s="11"/>
      <c r="J361" s="11"/>
      <c r="K361" s="11"/>
      <c r="L361"/>
      <c r="M361" s="11"/>
      <c r="N361" s="11"/>
      <c r="O361" s="1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 s="11"/>
      <c r="AD361"/>
      <c r="AE361" s="11"/>
      <c r="AF361" s="11"/>
      <c r="AG361" s="1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 s="11"/>
      <c r="CE361"/>
      <c r="CF361"/>
      <c r="CG361"/>
      <c r="CH361"/>
      <c r="CI361"/>
      <c r="CJ361"/>
      <c r="CK361"/>
      <c r="CL361"/>
    </row>
    <row r="362" spans="2:90">
      <c r="B362"/>
      <c r="C362"/>
      <c r="D362" s="11"/>
      <c r="E362"/>
      <c r="F362"/>
      <c r="G362"/>
      <c r="H362"/>
      <c r="I362" s="11"/>
      <c r="J362" s="11"/>
      <c r="K362" s="11"/>
      <c r="L362"/>
      <c r="M362" s="11"/>
      <c r="N362" s="11"/>
      <c r="O362" s="11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 s="11"/>
      <c r="AD362"/>
      <c r="AE362" s="11"/>
      <c r="AF362" s="11"/>
      <c r="AG362" s="11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 s="11"/>
      <c r="CE362"/>
      <c r="CF362"/>
      <c r="CG362"/>
      <c r="CH362"/>
      <c r="CI362"/>
      <c r="CJ362"/>
      <c r="CK362"/>
      <c r="CL362"/>
    </row>
    <row r="363" spans="2:90">
      <c r="B363"/>
      <c r="C363"/>
      <c r="D363" s="11"/>
      <c r="E363"/>
      <c r="F363"/>
      <c r="G363"/>
      <c r="H363"/>
      <c r="I363" s="11"/>
      <c r="J363" s="11"/>
      <c r="K363" s="11"/>
      <c r="L363"/>
      <c r="M363" s="11"/>
      <c r="N363" s="11"/>
      <c r="O363" s="11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 s="11"/>
      <c r="AD363"/>
      <c r="AE363" s="11"/>
      <c r="AF363" s="11"/>
      <c r="AG363" s="11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 s="11"/>
      <c r="CE363"/>
      <c r="CF363"/>
      <c r="CG363"/>
      <c r="CH363"/>
      <c r="CI363"/>
      <c r="CJ363"/>
      <c r="CK363"/>
      <c r="CL363"/>
    </row>
    <row r="364" spans="2:90">
      <c r="B364"/>
      <c r="C364"/>
      <c r="D364" s="11"/>
      <c r="E364"/>
      <c r="F364"/>
      <c r="G364"/>
      <c r="H364"/>
      <c r="I364" s="11"/>
      <c r="J364" s="11"/>
      <c r="K364" s="11"/>
      <c r="L364"/>
      <c r="M364" s="11"/>
      <c r="N364" s="11"/>
      <c r="O364" s="11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 s="11"/>
      <c r="AD364"/>
      <c r="AE364" s="11"/>
      <c r="AF364" s="11"/>
      <c r="AG364" s="11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 s="11"/>
      <c r="CE364"/>
      <c r="CF364"/>
      <c r="CG364"/>
      <c r="CH364"/>
      <c r="CI364"/>
      <c r="CJ364"/>
      <c r="CK364"/>
      <c r="CL364"/>
    </row>
    <row r="365" spans="2:90">
      <c r="B365"/>
      <c r="C365"/>
      <c r="D365" s="11"/>
      <c r="E365"/>
      <c r="F365"/>
      <c r="G365"/>
      <c r="H365"/>
      <c r="I365" s="11"/>
      <c r="J365" s="11"/>
      <c r="K365" s="11"/>
      <c r="L365"/>
      <c r="M365" s="11"/>
      <c r="N365" s="11"/>
      <c r="O365" s="11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 s="11"/>
      <c r="AD365"/>
      <c r="AE365" s="11"/>
      <c r="AF365" s="11"/>
      <c r="AG365" s="11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 s="11"/>
      <c r="CE365"/>
      <c r="CF365"/>
      <c r="CG365"/>
      <c r="CH365"/>
      <c r="CI365"/>
      <c r="CJ365"/>
      <c r="CK365"/>
      <c r="CL365"/>
    </row>
    <row r="366" spans="2:90">
      <c r="B366"/>
      <c r="C366"/>
      <c r="D366" s="11"/>
      <c r="E366"/>
      <c r="F366"/>
      <c r="G366"/>
      <c r="H366"/>
      <c r="I366" s="11"/>
      <c r="J366" s="11"/>
      <c r="K366" s="11"/>
      <c r="L366"/>
      <c r="M366" s="11"/>
      <c r="N366" s="11"/>
      <c r="O366" s="11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 s="11"/>
      <c r="AD366"/>
      <c r="AE366" s="11"/>
      <c r="AF366" s="11"/>
      <c r="AG366" s="11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 s="11"/>
      <c r="CE366"/>
      <c r="CF366"/>
      <c r="CG366"/>
      <c r="CH366"/>
      <c r="CI366"/>
      <c r="CJ366"/>
      <c r="CK366"/>
      <c r="CL366"/>
    </row>
    <row r="367" spans="2:90">
      <c r="B367"/>
      <c r="C367"/>
      <c r="D367" s="11"/>
      <c r="E367"/>
      <c r="F367"/>
      <c r="G367"/>
      <c r="H367"/>
      <c r="I367" s="11"/>
      <c r="J367" s="11"/>
      <c r="K367" s="11"/>
      <c r="L367"/>
      <c r="M367" s="11"/>
      <c r="N367" s="11"/>
      <c r="O367" s="11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 s="11"/>
      <c r="AD367"/>
      <c r="AE367" s="11"/>
      <c r="AF367" s="11"/>
      <c r="AG367" s="11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 s="11"/>
      <c r="CE367"/>
      <c r="CF367"/>
      <c r="CG367"/>
      <c r="CH367"/>
      <c r="CI367"/>
      <c r="CJ367"/>
      <c r="CK367"/>
      <c r="CL367"/>
    </row>
    <row r="368" spans="2:90">
      <c r="B368"/>
      <c r="C368"/>
      <c r="D368" s="11"/>
      <c r="E368"/>
      <c r="F368"/>
      <c r="G368"/>
      <c r="H368"/>
      <c r="I368" s="11"/>
      <c r="J368" s="11"/>
      <c r="K368" s="11"/>
      <c r="L368"/>
      <c r="M368" s="11"/>
      <c r="N368" s="11"/>
      <c r="O368" s="11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 s="11"/>
      <c r="AD368"/>
      <c r="AE368" s="11"/>
      <c r="AF368" s="11"/>
      <c r="AG368" s="11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 s="11"/>
      <c r="CE368"/>
      <c r="CF368"/>
      <c r="CG368"/>
      <c r="CH368"/>
      <c r="CI368"/>
      <c r="CJ368"/>
      <c r="CK368"/>
      <c r="CL368"/>
    </row>
    <row r="369" spans="2:90">
      <c r="B369"/>
      <c r="C369"/>
      <c r="D369" s="11"/>
      <c r="E369"/>
      <c r="F369"/>
      <c r="G369"/>
      <c r="H369"/>
      <c r="I369" s="11"/>
      <c r="J369" s="11"/>
      <c r="K369" s="11"/>
      <c r="L369"/>
      <c r="M369" s="11"/>
      <c r="N369" s="11"/>
      <c r="O369" s="11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 s="11"/>
      <c r="AD369"/>
      <c r="AE369" s="11"/>
      <c r="AF369" s="11"/>
      <c r="AG369" s="11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 s="11"/>
      <c r="CE369"/>
      <c r="CF369"/>
      <c r="CG369"/>
      <c r="CH369"/>
      <c r="CI369"/>
      <c r="CJ369"/>
      <c r="CK369"/>
      <c r="CL369"/>
    </row>
    <row r="370" spans="2:90">
      <c r="B370"/>
      <c r="C370"/>
      <c r="D370" s="11"/>
      <c r="E370"/>
      <c r="F370"/>
      <c r="G370"/>
      <c r="H370"/>
      <c r="I370" s="11"/>
      <c r="J370" s="11"/>
      <c r="K370" s="11"/>
      <c r="L370"/>
      <c r="M370" s="11"/>
      <c r="N370" s="11"/>
      <c r="O370" s="11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 s="11"/>
      <c r="AD370"/>
      <c r="AE370" s="11"/>
      <c r="AF370" s="11"/>
      <c r="AG370" s="11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 s="11"/>
      <c r="CE370"/>
      <c r="CF370"/>
      <c r="CG370"/>
      <c r="CH370"/>
      <c r="CI370"/>
      <c r="CJ370"/>
      <c r="CK370"/>
      <c r="CL370"/>
    </row>
    <row r="371" spans="2:90">
      <c r="B371"/>
      <c r="C371"/>
      <c r="D371" s="11"/>
      <c r="E371"/>
      <c r="F371"/>
      <c r="G371"/>
      <c r="H371"/>
      <c r="I371" s="11"/>
      <c r="J371" s="11"/>
      <c r="K371" s="11"/>
      <c r="L371"/>
      <c r="M371" s="11"/>
      <c r="N371" s="11"/>
      <c r="O371" s="1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 s="11"/>
      <c r="AD371"/>
      <c r="AE371" s="11"/>
      <c r="AF371" s="11"/>
      <c r="AG371" s="1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 s="11"/>
      <c r="CE371"/>
      <c r="CF371"/>
      <c r="CG371"/>
      <c r="CH371"/>
      <c r="CI371"/>
      <c r="CJ371"/>
      <c r="CK371"/>
      <c r="CL371"/>
    </row>
    <row r="372" spans="2:90">
      <c r="B372"/>
      <c r="C372"/>
      <c r="D372" s="11"/>
      <c r="E372"/>
      <c r="F372"/>
      <c r="G372"/>
      <c r="H372"/>
      <c r="I372" s="11"/>
      <c r="J372" s="11"/>
      <c r="K372" s="11"/>
      <c r="L372"/>
      <c r="M372" s="11"/>
      <c r="N372" s="11"/>
      <c r="O372" s="11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 s="11"/>
      <c r="AD372"/>
      <c r="AE372" s="11"/>
      <c r="AF372" s="11"/>
      <c r="AG372" s="11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 s="11"/>
      <c r="CE372"/>
      <c r="CF372"/>
      <c r="CG372"/>
      <c r="CH372"/>
      <c r="CI372"/>
      <c r="CJ372"/>
      <c r="CK372"/>
      <c r="CL372"/>
    </row>
    <row r="373" spans="2:90">
      <c r="B373"/>
      <c r="C373"/>
      <c r="D373" s="11"/>
      <c r="E373"/>
      <c r="F373"/>
      <c r="G373"/>
      <c r="H373"/>
      <c r="I373" s="11"/>
      <c r="J373" s="11"/>
      <c r="K373" s="11"/>
      <c r="L373"/>
      <c r="M373" s="11"/>
      <c r="N373" s="11"/>
      <c r="O373" s="11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 s="11"/>
      <c r="AD373"/>
      <c r="AE373" s="11"/>
      <c r="AF373" s="11"/>
      <c r="AG373" s="11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 s="11"/>
      <c r="CE373"/>
      <c r="CF373"/>
      <c r="CG373"/>
      <c r="CH373"/>
      <c r="CI373"/>
      <c r="CJ373"/>
      <c r="CK373"/>
      <c r="CL373"/>
    </row>
    <row r="374" spans="2:90">
      <c r="B374"/>
      <c r="C374"/>
      <c r="D374" s="11"/>
      <c r="E374"/>
      <c r="F374"/>
      <c r="G374"/>
      <c r="H374"/>
      <c r="I374" s="11"/>
      <c r="J374" s="11"/>
      <c r="K374" s="11"/>
      <c r="L374"/>
      <c r="M374" s="11"/>
      <c r="N374" s="11"/>
      <c r="O374" s="11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 s="11"/>
      <c r="AD374"/>
      <c r="AE374" s="11"/>
      <c r="AF374" s="11"/>
      <c r="AG374" s="11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 s="11"/>
      <c r="CE374"/>
      <c r="CF374"/>
      <c r="CG374"/>
      <c r="CH374"/>
      <c r="CI374"/>
      <c r="CJ374"/>
      <c r="CK374"/>
      <c r="CL374"/>
    </row>
    <row r="375" spans="2:90">
      <c r="B375"/>
      <c r="C375"/>
      <c r="D375" s="11"/>
      <c r="E375"/>
      <c r="F375"/>
      <c r="G375"/>
      <c r="H375"/>
      <c r="I375" s="11"/>
      <c r="J375" s="11"/>
      <c r="K375" s="11"/>
      <c r="L375"/>
      <c r="M375" s="11"/>
      <c r="N375" s="11"/>
      <c r="O375" s="11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 s="11"/>
      <c r="AD375"/>
      <c r="AE375" s="11"/>
      <c r="AF375" s="11"/>
      <c r="AG375" s="11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 s="11"/>
      <c r="CE375"/>
      <c r="CF375"/>
      <c r="CG375"/>
      <c r="CH375"/>
      <c r="CI375"/>
      <c r="CJ375"/>
      <c r="CK375"/>
      <c r="CL375"/>
    </row>
    <row r="376" spans="2:90">
      <c r="B376"/>
      <c r="C376"/>
      <c r="D376" s="11"/>
      <c r="E376"/>
      <c r="F376"/>
      <c r="G376"/>
      <c r="H376"/>
      <c r="I376" s="11"/>
      <c r="J376" s="11"/>
      <c r="K376" s="11"/>
      <c r="L376"/>
      <c r="M376" s="11"/>
      <c r="N376" s="11"/>
      <c r="O376" s="11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 s="11"/>
      <c r="AD376"/>
      <c r="AE376" s="11"/>
      <c r="AF376" s="11"/>
      <c r="AG376" s="11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 s="11"/>
      <c r="CE376"/>
      <c r="CF376"/>
      <c r="CG376"/>
      <c r="CH376"/>
      <c r="CI376"/>
      <c r="CJ376"/>
      <c r="CK376"/>
      <c r="CL376"/>
    </row>
    <row r="377" spans="2:90">
      <c r="B377"/>
      <c r="C377"/>
      <c r="D377" s="11"/>
      <c r="E377"/>
      <c r="F377"/>
      <c r="G377"/>
      <c r="H377"/>
      <c r="I377" s="11"/>
      <c r="J377" s="11"/>
      <c r="K377" s="11"/>
      <c r="L377"/>
      <c r="M377" s="11"/>
      <c r="N377" s="11"/>
      <c r="O377" s="11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 s="11"/>
      <c r="AD377"/>
      <c r="AE377" s="11"/>
      <c r="AF377" s="11"/>
      <c r="AG377" s="11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 s="11"/>
      <c r="CE377"/>
      <c r="CF377"/>
      <c r="CG377"/>
      <c r="CH377"/>
      <c r="CI377"/>
      <c r="CJ377"/>
      <c r="CK377"/>
      <c r="CL377"/>
    </row>
    <row r="378" spans="2:90">
      <c r="B378"/>
      <c r="C378"/>
      <c r="D378" s="11"/>
      <c r="E378"/>
      <c r="F378"/>
      <c r="G378"/>
      <c r="H378"/>
      <c r="I378" s="11"/>
      <c r="J378" s="11"/>
      <c r="K378" s="11"/>
      <c r="L378"/>
      <c r="M378" s="11"/>
      <c r="N378" s="11"/>
      <c r="O378" s="11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 s="11"/>
      <c r="AD378"/>
      <c r="AE378" s="11"/>
      <c r="AF378" s="11"/>
      <c r="AG378" s="11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 s="11"/>
      <c r="CE378"/>
      <c r="CF378"/>
      <c r="CG378"/>
      <c r="CH378"/>
      <c r="CI378"/>
      <c r="CJ378"/>
      <c r="CK378"/>
      <c r="CL378"/>
    </row>
    <row r="379" spans="2:90">
      <c r="B379"/>
      <c r="C379"/>
      <c r="D379" s="11"/>
      <c r="E379"/>
      <c r="F379"/>
      <c r="G379"/>
      <c r="H379"/>
      <c r="I379" s="11"/>
      <c r="J379" s="11"/>
      <c r="K379" s="11"/>
      <c r="L379"/>
      <c r="M379" s="11"/>
      <c r="N379" s="11"/>
      <c r="O379" s="11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 s="11"/>
      <c r="AD379"/>
      <c r="AE379" s="11"/>
      <c r="AF379" s="11"/>
      <c r="AG379" s="11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 s="11"/>
      <c r="CE379"/>
      <c r="CF379"/>
      <c r="CG379"/>
      <c r="CH379"/>
      <c r="CI379"/>
      <c r="CJ379"/>
      <c r="CK379"/>
      <c r="CL379"/>
    </row>
    <row r="380" spans="2:90">
      <c r="B380"/>
      <c r="C380"/>
      <c r="D380" s="11"/>
      <c r="E380"/>
      <c r="F380"/>
      <c r="G380"/>
      <c r="H380"/>
      <c r="I380" s="11"/>
      <c r="J380" s="11"/>
      <c r="K380" s="11"/>
      <c r="L380"/>
      <c r="M380" s="11"/>
      <c r="N380" s="11"/>
      <c r="O380" s="11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 s="11"/>
      <c r="AD380"/>
      <c r="AE380" s="11"/>
      <c r="AF380" s="11"/>
      <c r="AG380" s="11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 s="11"/>
      <c r="CE380"/>
      <c r="CF380"/>
      <c r="CG380"/>
      <c r="CH380"/>
      <c r="CI380"/>
      <c r="CJ380"/>
      <c r="CK380"/>
      <c r="CL380"/>
    </row>
    <row r="381" spans="2:90">
      <c r="B381"/>
      <c r="C381"/>
      <c r="D381" s="11"/>
      <c r="E381"/>
      <c r="F381"/>
      <c r="G381"/>
      <c r="H381"/>
      <c r="I381" s="11"/>
      <c r="J381" s="11"/>
      <c r="K381" s="11"/>
      <c r="L381"/>
      <c r="M381" s="11"/>
      <c r="N381" s="11"/>
      <c r="O381" s="1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 s="11"/>
      <c r="AD381"/>
      <c r="AE381" s="11"/>
      <c r="AF381" s="11"/>
      <c r="AG381" s="1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 s="11"/>
      <c r="CE381"/>
      <c r="CF381"/>
      <c r="CG381"/>
      <c r="CH381"/>
      <c r="CI381"/>
      <c r="CJ381"/>
      <c r="CK381"/>
      <c r="CL381"/>
    </row>
    <row r="382" spans="2:90">
      <c r="B382"/>
      <c r="C382"/>
      <c r="D382" s="11"/>
      <c r="E382"/>
      <c r="F382"/>
      <c r="G382"/>
      <c r="H382"/>
      <c r="I382" s="11"/>
      <c r="J382" s="11"/>
      <c r="K382" s="11"/>
      <c r="L382"/>
      <c r="M382" s="11"/>
      <c r="N382" s="11"/>
      <c r="O382" s="11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 s="11"/>
      <c r="AD382"/>
      <c r="AE382" s="11"/>
      <c r="AF382" s="11"/>
      <c r="AG382" s="11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 s="11"/>
      <c r="CE382"/>
      <c r="CF382"/>
      <c r="CG382"/>
      <c r="CH382"/>
      <c r="CI382"/>
      <c r="CJ382"/>
      <c r="CK382"/>
      <c r="CL382"/>
    </row>
    <row r="383" spans="2:90">
      <c r="B383"/>
      <c r="C383"/>
      <c r="D383" s="11"/>
      <c r="E383"/>
      <c r="F383"/>
      <c r="G383"/>
      <c r="H383"/>
      <c r="I383" s="11"/>
      <c r="J383" s="11"/>
      <c r="K383" s="11"/>
      <c r="L383"/>
      <c r="M383" s="11"/>
      <c r="N383" s="11"/>
      <c r="O383" s="11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 s="11"/>
      <c r="AD383"/>
      <c r="AE383" s="11"/>
      <c r="AF383" s="11"/>
      <c r="AG383" s="11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 s="11"/>
      <c r="CE383"/>
      <c r="CF383"/>
      <c r="CG383"/>
      <c r="CH383"/>
      <c r="CI383"/>
      <c r="CJ383"/>
      <c r="CK383"/>
      <c r="CL383"/>
    </row>
    <row r="384" spans="2:90">
      <c r="B384"/>
      <c r="C384"/>
      <c r="D384" s="11"/>
      <c r="E384"/>
      <c r="F384"/>
      <c r="G384"/>
      <c r="H384"/>
      <c r="I384" s="11"/>
      <c r="J384" s="11"/>
      <c r="K384" s="11"/>
      <c r="L384"/>
      <c r="M384" s="11"/>
      <c r="N384" s="11"/>
      <c r="O384" s="11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 s="11"/>
      <c r="AD384"/>
      <c r="AE384" s="11"/>
      <c r="AF384" s="11"/>
      <c r="AG384" s="11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 s="11"/>
      <c r="CE384"/>
      <c r="CF384"/>
      <c r="CG384"/>
      <c r="CH384"/>
      <c r="CI384"/>
      <c r="CJ384"/>
      <c r="CK384"/>
      <c r="CL384"/>
    </row>
    <row r="385" spans="2:90">
      <c r="B385"/>
      <c r="C385"/>
      <c r="D385" s="11"/>
      <c r="E385"/>
      <c r="F385"/>
      <c r="G385"/>
      <c r="H385"/>
      <c r="I385" s="11"/>
      <c r="J385" s="11"/>
      <c r="K385" s="11"/>
      <c r="L385"/>
      <c r="M385" s="11"/>
      <c r="N385" s="11"/>
      <c r="O385" s="11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 s="11"/>
      <c r="AD385"/>
      <c r="AE385" s="11"/>
      <c r="AF385" s="11"/>
      <c r="AG385" s="11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 s="11"/>
      <c r="CE385"/>
      <c r="CF385"/>
      <c r="CG385"/>
      <c r="CH385"/>
      <c r="CI385"/>
      <c r="CJ385"/>
      <c r="CK385"/>
      <c r="CL385"/>
    </row>
    <row r="386" spans="2:90">
      <c r="B386"/>
      <c r="C386"/>
      <c r="D386" s="11"/>
      <c r="E386"/>
      <c r="F386"/>
      <c r="G386"/>
      <c r="H386"/>
      <c r="I386" s="11"/>
      <c r="J386" s="11"/>
      <c r="K386" s="11"/>
      <c r="L386"/>
      <c r="M386" s="11"/>
      <c r="N386" s="11"/>
      <c r="O386" s="11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 s="11"/>
      <c r="AD386"/>
      <c r="AE386" s="11"/>
      <c r="AF386" s="11"/>
      <c r="AG386" s="11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 s="11"/>
      <c r="CE386"/>
      <c r="CF386"/>
      <c r="CG386"/>
      <c r="CH386"/>
      <c r="CI386"/>
      <c r="CJ386"/>
      <c r="CK386"/>
      <c r="CL386"/>
    </row>
    <row r="387" spans="2:90">
      <c r="B387"/>
      <c r="C387"/>
      <c r="D387" s="11"/>
      <c r="E387"/>
      <c r="F387"/>
      <c r="G387"/>
      <c r="H387"/>
      <c r="I387" s="11"/>
      <c r="J387" s="11"/>
      <c r="K387" s="11"/>
      <c r="L387"/>
      <c r="M387" s="11"/>
      <c r="N387" s="11"/>
      <c r="O387" s="11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 s="11"/>
      <c r="AD387"/>
      <c r="AE387" s="11"/>
      <c r="AF387" s="11"/>
      <c r="AG387" s="11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 s="11"/>
      <c r="CE387"/>
      <c r="CF387"/>
      <c r="CG387"/>
      <c r="CH387"/>
      <c r="CI387"/>
      <c r="CJ387"/>
      <c r="CK387"/>
      <c r="CL387"/>
    </row>
    <row r="388" spans="2:90">
      <c r="B388"/>
      <c r="C388"/>
      <c r="D388" s="11"/>
      <c r="E388"/>
      <c r="F388"/>
      <c r="G388"/>
      <c r="H388"/>
      <c r="I388" s="11"/>
      <c r="J388" s="11"/>
      <c r="K388" s="11"/>
      <c r="L388"/>
      <c r="M388" s="11"/>
      <c r="N388" s="11"/>
      <c r="O388" s="11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 s="11"/>
      <c r="AD388"/>
      <c r="AE388" s="11"/>
      <c r="AF388" s="11"/>
      <c r="AG388" s="11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 s="11"/>
      <c r="CE388"/>
      <c r="CF388"/>
      <c r="CG388"/>
      <c r="CH388"/>
      <c r="CI388"/>
      <c r="CJ388"/>
      <c r="CK388"/>
      <c r="CL388"/>
    </row>
    <row r="389" spans="2:90">
      <c r="B389"/>
      <c r="C389"/>
      <c r="D389" s="11"/>
      <c r="E389"/>
      <c r="F389"/>
      <c r="G389"/>
      <c r="H389"/>
      <c r="I389" s="11"/>
      <c r="J389" s="11"/>
      <c r="K389" s="11"/>
      <c r="L389"/>
      <c r="M389" s="11"/>
      <c r="N389" s="11"/>
      <c r="O389" s="11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 s="11"/>
      <c r="AD389"/>
      <c r="AE389" s="11"/>
      <c r="AF389" s="11"/>
      <c r="AG389" s="11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 s="11"/>
      <c r="CE389"/>
      <c r="CF389"/>
      <c r="CG389"/>
      <c r="CH389"/>
      <c r="CI389"/>
      <c r="CJ389"/>
      <c r="CK389"/>
      <c r="CL389"/>
    </row>
    <row r="390" spans="2:90">
      <c r="B390"/>
      <c r="C390"/>
      <c r="D390" s="11"/>
      <c r="E390"/>
      <c r="F390"/>
      <c r="G390"/>
      <c r="H390"/>
      <c r="I390" s="11"/>
      <c r="J390" s="11"/>
      <c r="K390" s="11"/>
      <c r="L390"/>
      <c r="M390" s="11"/>
      <c r="N390" s="11"/>
      <c r="O390" s="11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 s="11"/>
      <c r="AD390"/>
      <c r="AE390" s="11"/>
      <c r="AF390" s="11"/>
      <c r="AG390" s="11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 s="11"/>
      <c r="CE390"/>
      <c r="CF390"/>
      <c r="CG390"/>
      <c r="CH390"/>
      <c r="CI390"/>
      <c r="CJ390"/>
      <c r="CK390"/>
      <c r="CL390"/>
    </row>
    <row r="391" spans="2:90">
      <c r="B391"/>
      <c r="C391"/>
      <c r="D391" s="11"/>
      <c r="E391"/>
      <c r="F391"/>
      <c r="G391"/>
      <c r="H391"/>
      <c r="I391" s="11"/>
      <c r="J391" s="11"/>
      <c r="K391" s="11"/>
      <c r="L391"/>
      <c r="M391" s="11"/>
      <c r="N391" s="11"/>
      <c r="O391" s="1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 s="11"/>
      <c r="AD391"/>
      <c r="AE391" s="11"/>
      <c r="AF391" s="11"/>
      <c r="AG391" s="1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 s="11"/>
      <c r="CE391"/>
      <c r="CF391"/>
      <c r="CG391"/>
      <c r="CH391"/>
      <c r="CI391"/>
      <c r="CJ391"/>
      <c r="CK391"/>
      <c r="CL391"/>
    </row>
    <row r="392" spans="2:90">
      <c r="B392"/>
      <c r="C392"/>
      <c r="D392" s="11"/>
      <c r="E392"/>
      <c r="F392"/>
      <c r="G392"/>
      <c r="H392"/>
      <c r="I392" s="11"/>
      <c r="J392" s="11"/>
      <c r="K392" s="11"/>
      <c r="L392"/>
      <c r="M392" s="11"/>
      <c r="N392" s="11"/>
      <c r="O392" s="11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 s="11"/>
      <c r="AD392"/>
      <c r="AE392" s="11"/>
      <c r="AF392" s="11"/>
      <c r="AG392" s="11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 s="11"/>
      <c r="CE392"/>
      <c r="CF392"/>
      <c r="CG392"/>
      <c r="CH392"/>
      <c r="CI392"/>
      <c r="CJ392"/>
      <c r="CK392"/>
      <c r="CL392"/>
    </row>
    <row r="393" spans="2:90">
      <c r="B393"/>
      <c r="C393"/>
      <c r="D393" s="11"/>
      <c r="E393"/>
      <c r="F393"/>
      <c r="G393"/>
      <c r="H393"/>
      <c r="I393" s="11"/>
      <c r="J393" s="11"/>
      <c r="K393" s="11"/>
      <c r="L393"/>
      <c r="M393" s="11"/>
      <c r="N393" s="11"/>
      <c r="O393" s="11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 s="11"/>
      <c r="AD393"/>
      <c r="AE393" s="11"/>
      <c r="AF393" s="11"/>
      <c r="AG393" s="11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 s="11"/>
      <c r="CE393"/>
      <c r="CF393"/>
      <c r="CG393"/>
      <c r="CH393"/>
      <c r="CI393"/>
      <c r="CJ393"/>
      <c r="CK393"/>
      <c r="CL393"/>
    </row>
    <row r="394" spans="2:90">
      <c r="B394"/>
      <c r="C394"/>
      <c r="D394" s="11"/>
      <c r="E394"/>
      <c r="F394"/>
      <c r="G394"/>
      <c r="H394"/>
      <c r="I394" s="11"/>
      <c r="J394" s="11"/>
      <c r="K394" s="11"/>
      <c r="L394"/>
      <c r="M394" s="11"/>
      <c r="N394" s="11"/>
      <c r="O394" s="11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 s="11"/>
      <c r="AD394"/>
      <c r="AE394" s="11"/>
      <c r="AF394" s="11"/>
      <c r="AG394" s="11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 s="11"/>
      <c r="CE394"/>
      <c r="CF394"/>
      <c r="CG394"/>
      <c r="CH394"/>
      <c r="CI394"/>
      <c r="CJ394"/>
      <c r="CK394"/>
      <c r="CL394"/>
    </row>
    <row r="395" spans="2:90">
      <c r="B395"/>
      <c r="C395"/>
      <c r="D395" s="11"/>
      <c r="E395"/>
      <c r="F395"/>
      <c r="G395"/>
      <c r="H395"/>
      <c r="I395" s="11"/>
      <c r="J395" s="11"/>
      <c r="K395" s="11"/>
      <c r="L395"/>
      <c r="M395" s="11"/>
      <c r="N395" s="11"/>
      <c r="O395" s="11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 s="11"/>
      <c r="AD395"/>
      <c r="AE395" s="11"/>
      <c r="AF395" s="11"/>
      <c r="AG395" s="11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 s="11"/>
      <c r="CE395"/>
      <c r="CF395"/>
      <c r="CG395"/>
      <c r="CH395"/>
      <c r="CI395"/>
      <c r="CJ395"/>
      <c r="CK395"/>
      <c r="CL395"/>
    </row>
    <row r="396" spans="2:90">
      <c r="B396"/>
      <c r="C396"/>
      <c r="D396" s="11"/>
      <c r="E396"/>
      <c r="F396"/>
      <c r="G396"/>
      <c r="H396"/>
      <c r="I396" s="11"/>
      <c r="J396" s="11"/>
      <c r="K396" s="11"/>
      <c r="L396"/>
      <c r="M396" s="11"/>
      <c r="N396" s="11"/>
      <c r="O396" s="11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 s="11"/>
      <c r="AD396"/>
      <c r="AE396" s="11"/>
      <c r="AF396" s="11"/>
      <c r="AG396" s="11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 s="11"/>
      <c r="CE396"/>
      <c r="CF396"/>
      <c r="CG396"/>
      <c r="CH396"/>
      <c r="CI396"/>
      <c r="CJ396"/>
      <c r="CK396"/>
      <c r="CL396"/>
    </row>
    <row r="397" spans="2:90">
      <c r="B397"/>
      <c r="C397"/>
      <c r="D397" s="11"/>
      <c r="E397"/>
      <c r="F397"/>
      <c r="G397"/>
      <c r="H397"/>
      <c r="I397" s="11"/>
      <c r="J397" s="11"/>
      <c r="K397" s="11"/>
      <c r="L397"/>
      <c r="M397" s="11"/>
      <c r="N397" s="11"/>
      <c r="O397" s="11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 s="11"/>
      <c r="AD397"/>
      <c r="AE397" s="11"/>
      <c r="AF397" s="11"/>
      <c r="AG397" s="11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 s="11"/>
      <c r="CE397"/>
      <c r="CF397"/>
      <c r="CG397"/>
      <c r="CH397"/>
      <c r="CI397"/>
      <c r="CJ397"/>
      <c r="CK397"/>
      <c r="CL397"/>
    </row>
    <row r="398" spans="2:90">
      <c r="B398"/>
      <c r="C398"/>
      <c r="D398" s="11"/>
      <c r="E398"/>
      <c r="F398"/>
      <c r="G398"/>
      <c r="H398"/>
      <c r="I398" s="11"/>
      <c r="J398" s="11"/>
      <c r="K398" s="11"/>
      <c r="L398"/>
      <c r="M398" s="11"/>
      <c r="N398" s="11"/>
      <c r="O398" s="11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 s="11"/>
      <c r="AD398"/>
      <c r="AE398" s="11"/>
      <c r="AF398" s="11"/>
      <c r="AG398" s="11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 s="11"/>
      <c r="CE398"/>
      <c r="CF398"/>
      <c r="CG398"/>
      <c r="CH398"/>
      <c r="CI398"/>
      <c r="CJ398"/>
      <c r="CK398"/>
      <c r="CL398"/>
    </row>
    <row r="399" spans="2:90">
      <c r="B399"/>
      <c r="C399"/>
      <c r="D399" s="11"/>
      <c r="E399"/>
      <c r="F399"/>
      <c r="G399"/>
      <c r="H399"/>
      <c r="I399" s="11"/>
      <c r="J399" s="11"/>
      <c r="K399" s="11"/>
      <c r="L399"/>
      <c r="M399" s="11"/>
      <c r="N399" s="11"/>
      <c r="O399" s="11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 s="11"/>
      <c r="AD399"/>
      <c r="AE399" s="11"/>
      <c r="AF399" s="11"/>
      <c r="AG399" s="11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 s="11"/>
      <c r="CE399"/>
      <c r="CF399"/>
      <c r="CG399"/>
      <c r="CH399"/>
      <c r="CI399"/>
      <c r="CJ399"/>
      <c r="CK399"/>
      <c r="CL399"/>
    </row>
    <row r="400" spans="2:90">
      <c r="B400"/>
      <c r="C400"/>
      <c r="D400" s="11"/>
      <c r="E400"/>
      <c r="F400"/>
      <c r="G400"/>
      <c r="H400"/>
      <c r="I400" s="11"/>
      <c r="J400" s="11"/>
      <c r="K400" s="11"/>
      <c r="L400"/>
      <c r="M400" s="11"/>
      <c r="N400" s="11"/>
      <c r="O400" s="11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 s="11"/>
      <c r="AD400"/>
      <c r="AE400" s="11"/>
      <c r="AF400" s="11"/>
      <c r="AG400" s="11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 s="11"/>
      <c r="CE400"/>
      <c r="CF400"/>
      <c r="CG400"/>
      <c r="CH400"/>
      <c r="CI400"/>
      <c r="CJ400"/>
      <c r="CK400"/>
      <c r="CL400"/>
    </row>
    <row r="401" spans="2:90">
      <c r="B401"/>
      <c r="C401"/>
      <c r="D401" s="11"/>
      <c r="E401"/>
      <c r="F401"/>
      <c r="G401"/>
      <c r="H401"/>
      <c r="I401" s="11"/>
      <c r="J401" s="11"/>
      <c r="K401" s="11"/>
      <c r="L401"/>
      <c r="M401" s="11"/>
      <c r="N401" s="11"/>
      <c r="O401" s="1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 s="11"/>
      <c r="AD401"/>
      <c r="AE401" s="11"/>
      <c r="AF401" s="11"/>
      <c r="AG401" s="1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 s="11"/>
      <c r="CE401"/>
      <c r="CF401"/>
      <c r="CG401"/>
      <c r="CH401"/>
      <c r="CI401"/>
      <c r="CJ401"/>
      <c r="CK401"/>
      <c r="CL401"/>
    </row>
    <row r="402" spans="2:90">
      <c r="B402"/>
      <c r="C402"/>
      <c r="D402" s="11"/>
      <c r="E402"/>
      <c r="F402"/>
      <c r="G402"/>
      <c r="H402"/>
      <c r="I402" s="11"/>
      <c r="J402" s="11"/>
      <c r="K402" s="11"/>
      <c r="L402"/>
      <c r="M402" s="11"/>
      <c r="N402" s="11"/>
      <c r="O402" s="11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 s="11"/>
      <c r="AD402"/>
      <c r="AE402" s="11"/>
      <c r="AF402" s="11"/>
      <c r="AG402" s="11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 s="11"/>
      <c r="CE402"/>
      <c r="CF402"/>
      <c r="CG402"/>
      <c r="CH402"/>
      <c r="CI402"/>
      <c r="CJ402"/>
      <c r="CK402"/>
      <c r="CL402"/>
    </row>
    <row r="403" spans="2:90">
      <c r="B403"/>
      <c r="C403"/>
      <c r="D403" s="11"/>
      <c r="E403"/>
      <c r="F403"/>
      <c r="G403"/>
      <c r="H403"/>
      <c r="I403" s="11"/>
      <c r="J403" s="11"/>
      <c r="K403" s="11"/>
      <c r="L403"/>
      <c r="M403" s="11"/>
      <c r="N403" s="11"/>
      <c r="O403" s="11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 s="11"/>
      <c r="AD403"/>
      <c r="AE403" s="11"/>
      <c r="AF403" s="11"/>
      <c r="AG403" s="11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 s="11"/>
      <c r="CE403"/>
      <c r="CF403"/>
      <c r="CG403"/>
      <c r="CH403"/>
      <c r="CI403"/>
      <c r="CJ403"/>
      <c r="CK403"/>
      <c r="CL403"/>
    </row>
    <row r="404" spans="2:90">
      <c r="B404"/>
      <c r="C404"/>
      <c r="D404" s="11"/>
      <c r="E404"/>
      <c r="F404"/>
      <c r="G404"/>
      <c r="H404"/>
      <c r="I404" s="11"/>
      <c r="J404" s="11"/>
      <c r="K404" s="11"/>
      <c r="L404"/>
      <c r="M404" s="11"/>
      <c r="N404" s="11"/>
      <c r="O404" s="11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 s="11"/>
      <c r="AD404"/>
      <c r="AE404" s="11"/>
      <c r="AF404" s="11"/>
      <c r="AG404" s="11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 s="11"/>
      <c r="CE404"/>
      <c r="CF404"/>
      <c r="CG404"/>
      <c r="CH404"/>
      <c r="CI404"/>
      <c r="CJ404"/>
      <c r="CK404"/>
      <c r="CL404"/>
    </row>
    <row r="405" spans="2:90">
      <c r="B405"/>
      <c r="C405"/>
      <c r="D405" s="11"/>
      <c r="E405"/>
      <c r="F405"/>
      <c r="G405"/>
      <c r="H405"/>
      <c r="I405" s="11"/>
      <c r="J405" s="11"/>
      <c r="K405" s="11"/>
      <c r="L405"/>
      <c r="M405" s="11"/>
      <c r="N405" s="11"/>
      <c r="O405" s="11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 s="11"/>
      <c r="AD405"/>
      <c r="AE405" s="11"/>
      <c r="AF405" s="11"/>
      <c r="AG405" s="11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 s="11"/>
      <c r="CE405"/>
      <c r="CF405"/>
      <c r="CG405"/>
      <c r="CH405"/>
      <c r="CI405"/>
      <c r="CJ405"/>
      <c r="CK405"/>
      <c r="CL405"/>
    </row>
    <row r="406" spans="2:90">
      <c r="B406"/>
      <c r="C406"/>
      <c r="D406" s="11"/>
      <c r="E406"/>
      <c r="F406"/>
      <c r="G406"/>
      <c r="H406"/>
      <c r="I406" s="11"/>
      <c r="J406" s="11"/>
      <c r="K406" s="11"/>
      <c r="L406"/>
      <c r="M406" s="11"/>
      <c r="N406" s="11"/>
      <c r="O406" s="11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 s="11"/>
      <c r="AD406"/>
      <c r="AE406" s="11"/>
      <c r="AF406" s="11"/>
      <c r="AG406" s="11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 s="11"/>
      <c r="CE406"/>
      <c r="CF406"/>
      <c r="CG406"/>
      <c r="CH406"/>
      <c r="CI406"/>
      <c r="CJ406"/>
      <c r="CK406"/>
      <c r="CL406"/>
    </row>
    <row r="407" spans="2:90">
      <c r="B407"/>
      <c r="C407"/>
      <c r="D407" s="11"/>
      <c r="E407"/>
      <c r="F407"/>
      <c r="G407"/>
      <c r="H407"/>
      <c r="I407" s="11"/>
      <c r="J407" s="11"/>
      <c r="K407" s="11"/>
      <c r="L407"/>
      <c r="M407" s="11"/>
      <c r="N407" s="11"/>
      <c r="O407" s="11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 s="11"/>
      <c r="AD407"/>
      <c r="AE407" s="11"/>
      <c r="AF407" s="11"/>
      <c r="AG407" s="11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 s="11"/>
      <c r="CE407"/>
      <c r="CF407"/>
      <c r="CG407"/>
      <c r="CH407"/>
      <c r="CI407"/>
      <c r="CJ407"/>
      <c r="CK407"/>
      <c r="CL407"/>
    </row>
    <row r="408" spans="2:90">
      <c r="B408"/>
      <c r="C408"/>
      <c r="D408" s="11"/>
      <c r="E408"/>
      <c r="F408"/>
      <c r="G408"/>
      <c r="H408"/>
      <c r="I408" s="11"/>
      <c r="J408" s="11"/>
      <c r="K408" s="11"/>
      <c r="L408"/>
      <c r="M408" s="11"/>
      <c r="N408" s="11"/>
      <c r="O408" s="11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 s="11"/>
      <c r="AD408"/>
      <c r="AE408" s="11"/>
      <c r="AF408" s="11"/>
      <c r="AG408" s="11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 s="11"/>
      <c r="CE408"/>
      <c r="CF408"/>
      <c r="CG408"/>
      <c r="CH408"/>
      <c r="CI408"/>
      <c r="CJ408"/>
      <c r="CK408"/>
      <c r="CL408"/>
    </row>
    <row r="409" spans="2:90">
      <c r="B409"/>
      <c r="C409"/>
      <c r="D409" s="11"/>
      <c r="E409"/>
      <c r="F409"/>
      <c r="G409"/>
      <c r="H409"/>
      <c r="I409" s="11"/>
      <c r="J409" s="11"/>
      <c r="K409" s="11"/>
      <c r="L409"/>
      <c r="M409" s="11"/>
      <c r="N409" s="11"/>
      <c r="O409" s="11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 s="11"/>
      <c r="AD409"/>
      <c r="AE409" s="11"/>
      <c r="AF409" s="11"/>
      <c r="AG409" s="11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 s="11"/>
      <c r="CE409"/>
      <c r="CF409"/>
      <c r="CG409"/>
      <c r="CH409"/>
      <c r="CI409"/>
      <c r="CJ409"/>
      <c r="CK409"/>
      <c r="CL409"/>
    </row>
    <row r="410" spans="2:90">
      <c r="B410"/>
      <c r="C410"/>
      <c r="D410" s="11"/>
      <c r="E410"/>
      <c r="F410"/>
      <c r="G410"/>
      <c r="H410"/>
      <c r="I410" s="11"/>
      <c r="J410" s="11"/>
      <c r="K410" s="11"/>
      <c r="L410"/>
      <c r="M410" s="11"/>
      <c r="N410" s="11"/>
      <c r="O410" s="11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 s="11"/>
      <c r="AD410"/>
      <c r="AE410" s="11"/>
      <c r="AF410" s="11"/>
      <c r="AG410" s="11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 s="11"/>
      <c r="CE410"/>
      <c r="CF410"/>
      <c r="CG410"/>
      <c r="CH410"/>
      <c r="CI410"/>
      <c r="CJ410"/>
      <c r="CK410"/>
      <c r="CL410"/>
    </row>
    <row r="411" spans="2:90">
      <c r="B411"/>
      <c r="C411"/>
      <c r="D411" s="11"/>
      <c r="E411"/>
      <c r="F411"/>
      <c r="G411"/>
      <c r="H411"/>
      <c r="I411" s="11"/>
      <c r="J411" s="11"/>
      <c r="K411" s="11"/>
      <c r="L411"/>
      <c r="M411" s="11"/>
      <c r="N411" s="11"/>
      <c r="O411" s="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 s="11"/>
      <c r="AD411"/>
      <c r="AE411" s="11"/>
      <c r="AF411" s="11"/>
      <c r="AG411" s="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 s="11"/>
      <c r="CE411"/>
      <c r="CF411"/>
      <c r="CG411"/>
      <c r="CH411"/>
      <c r="CI411"/>
      <c r="CJ411"/>
      <c r="CK411"/>
      <c r="CL411"/>
    </row>
    <row r="412" spans="2:90">
      <c r="B412"/>
      <c r="C412"/>
      <c r="D412" s="11"/>
      <c r="E412"/>
      <c r="F412"/>
      <c r="G412"/>
      <c r="H412"/>
      <c r="I412" s="11"/>
      <c r="J412" s="11"/>
      <c r="K412" s="11"/>
      <c r="L412"/>
      <c r="M412" s="11"/>
      <c r="N412" s="11"/>
      <c r="O412" s="11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 s="11"/>
      <c r="AD412"/>
      <c r="AE412" s="11"/>
      <c r="AF412" s="11"/>
      <c r="AG412" s="11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 s="11"/>
      <c r="CE412"/>
      <c r="CF412"/>
      <c r="CG412"/>
      <c r="CH412"/>
      <c r="CI412"/>
      <c r="CJ412"/>
      <c r="CK412"/>
      <c r="CL412"/>
    </row>
    <row r="413" spans="2:90">
      <c r="B413"/>
      <c r="C413"/>
      <c r="D413" s="11"/>
      <c r="E413"/>
      <c r="F413"/>
      <c r="G413"/>
      <c r="H413"/>
      <c r="I413" s="11"/>
      <c r="J413" s="11"/>
      <c r="K413" s="11"/>
      <c r="L413"/>
      <c r="M413" s="11"/>
      <c r="N413" s="11"/>
      <c r="O413" s="11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 s="11"/>
      <c r="AD413"/>
      <c r="AE413" s="11"/>
      <c r="AF413" s="11"/>
      <c r="AG413" s="11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 s="11"/>
      <c r="CE413"/>
      <c r="CF413"/>
      <c r="CG413"/>
      <c r="CH413"/>
      <c r="CI413"/>
      <c r="CJ413"/>
      <c r="CK413"/>
      <c r="CL413"/>
    </row>
    <row r="414" spans="2:90">
      <c r="B414"/>
      <c r="C414"/>
      <c r="D414" s="11"/>
      <c r="E414"/>
      <c r="F414"/>
      <c r="G414"/>
      <c r="H414"/>
      <c r="I414" s="11"/>
      <c r="J414" s="11"/>
      <c r="K414" s="11"/>
      <c r="L414"/>
      <c r="M414" s="11"/>
      <c r="N414" s="11"/>
      <c r="O414" s="11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 s="11"/>
      <c r="AD414"/>
      <c r="AE414" s="11"/>
      <c r="AF414" s="11"/>
      <c r="AG414" s="11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 s="11"/>
      <c r="CE414"/>
      <c r="CF414"/>
      <c r="CG414"/>
      <c r="CH414"/>
      <c r="CI414"/>
      <c r="CJ414"/>
      <c r="CK414"/>
      <c r="CL414"/>
    </row>
    <row r="415" spans="2:90">
      <c r="B415"/>
      <c r="C415"/>
      <c r="D415" s="11"/>
      <c r="E415"/>
      <c r="F415"/>
      <c r="G415"/>
      <c r="H415"/>
      <c r="I415" s="11"/>
      <c r="J415" s="11"/>
      <c r="K415" s="11"/>
      <c r="L415"/>
      <c r="M415" s="11"/>
      <c r="N415" s="11"/>
      <c r="O415" s="11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 s="11"/>
      <c r="AD415"/>
      <c r="AE415" s="11"/>
      <c r="AF415" s="11"/>
      <c r="AG415" s="11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 s="11"/>
      <c r="CE415"/>
      <c r="CF415"/>
      <c r="CG415"/>
      <c r="CH415"/>
      <c r="CI415"/>
      <c r="CJ415"/>
      <c r="CK415"/>
      <c r="CL415"/>
    </row>
    <row r="416" spans="2:90">
      <c r="B416"/>
      <c r="C416"/>
      <c r="D416" s="11"/>
      <c r="E416"/>
      <c r="F416"/>
      <c r="G416"/>
      <c r="H416"/>
      <c r="I416" s="11"/>
      <c r="J416" s="11"/>
      <c r="K416" s="11"/>
      <c r="L416"/>
      <c r="M416" s="11"/>
      <c r="N416" s="11"/>
      <c r="O416" s="11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 s="11"/>
      <c r="AD416"/>
      <c r="AE416" s="11"/>
      <c r="AF416" s="11"/>
      <c r="AG416" s="11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 s="11"/>
      <c r="CE416"/>
      <c r="CF416"/>
      <c r="CG416"/>
      <c r="CH416"/>
      <c r="CI416"/>
      <c r="CJ416"/>
      <c r="CK416"/>
      <c r="CL416"/>
    </row>
    <row r="417" spans="2:90">
      <c r="B417"/>
      <c r="C417"/>
      <c r="D417" s="11"/>
      <c r="E417"/>
      <c r="F417"/>
      <c r="G417"/>
      <c r="H417"/>
      <c r="I417" s="11"/>
      <c r="J417" s="11"/>
      <c r="K417" s="11"/>
      <c r="L417"/>
      <c r="M417" s="11"/>
      <c r="N417" s="11"/>
      <c r="O417" s="11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 s="11"/>
      <c r="AD417"/>
      <c r="AE417" s="11"/>
      <c r="AF417" s="11"/>
      <c r="AG417" s="11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 s="11"/>
      <c r="CE417"/>
      <c r="CF417"/>
      <c r="CG417"/>
      <c r="CH417"/>
      <c r="CI417"/>
      <c r="CJ417"/>
      <c r="CK417"/>
      <c r="CL417"/>
    </row>
    <row r="418" spans="2:90">
      <c r="B418"/>
      <c r="C418"/>
      <c r="D418" s="11"/>
      <c r="E418"/>
      <c r="F418"/>
      <c r="G418"/>
      <c r="H418"/>
      <c r="I418" s="11"/>
      <c r="J418" s="11"/>
      <c r="K418" s="11"/>
      <c r="L418"/>
      <c r="M418" s="11"/>
      <c r="N418" s="11"/>
      <c r="O418" s="11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 s="11"/>
      <c r="AD418"/>
      <c r="AE418" s="11"/>
      <c r="AF418" s="11"/>
      <c r="AG418" s="11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 s="11"/>
      <c r="CE418"/>
      <c r="CF418"/>
      <c r="CG418"/>
      <c r="CH418"/>
      <c r="CI418"/>
      <c r="CJ418"/>
      <c r="CK418"/>
      <c r="CL418"/>
    </row>
    <row r="419" spans="2:90">
      <c r="B419"/>
      <c r="C419"/>
      <c r="D419" s="11"/>
      <c r="E419"/>
      <c r="F419"/>
      <c r="G419"/>
      <c r="H419"/>
      <c r="I419" s="11"/>
      <c r="J419" s="11"/>
      <c r="K419" s="11"/>
      <c r="L419"/>
      <c r="M419" s="11"/>
      <c r="N419" s="11"/>
      <c r="O419" s="11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 s="11"/>
      <c r="AD419"/>
      <c r="AE419" s="11"/>
      <c r="AF419" s="11"/>
      <c r="AG419" s="11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 s="11"/>
      <c r="CE419"/>
      <c r="CF419"/>
      <c r="CG419"/>
      <c r="CH419"/>
      <c r="CI419"/>
      <c r="CJ419"/>
      <c r="CK419"/>
      <c r="CL419"/>
    </row>
    <row r="420" spans="2:90">
      <c r="B420"/>
      <c r="C420"/>
      <c r="D420" s="11"/>
      <c r="E420"/>
      <c r="F420"/>
      <c r="G420"/>
      <c r="H420"/>
      <c r="I420" s="11"/>
      <c r="J420" s="11"/>
      <c r="K420" s="11"/>
      <c r="L420"/>
      <c r="M420" s="11"/>
      <c r="N420" s="11"/>
      <c r="O420" s="11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 s="11"/>
      <c r="AD420"/>
      <c r="AE420" s="11"/>
      <c r="AF420" s="11"/>
      <c r="AG420" s="11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 s="11"/>
      <c r="CE420"/>
      <c r="CF420"/>
      <c r="CG420"/>
      <c r="CH420"/>
      <c r="CI420"/>
      <c r="CJ420"/>
      <c r="CK420"/>
      <c r="CL420"/>
    </row>
    <row r="421" spans="2:90">
      <c r="B421"/>
      <c r="C421"/>
      <c r="D421" s="11"/>
      <c r="E421"/>
      <c r="F421"/>
      <c r="G421"/>
      <c r="H421"/>
      <c r="I421" s="11"/>
      <c r="J421" s="11"/>
      <c r="K421" s="11"/>
      <c r="L421"/>
      <c r="M421" s="11"/>
      <c r="N421" s="11"/>
      <c r="O421" s="1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 s="11"/>
      <c r="AD421"/>
      <c r="AE421" s="11"/>
      <c r="AF421" s="11"/>
      <c r="AG421" s="1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 s="11"/>
      <c r="CE421"/>
      <c r="CF421"/>
      <c r="CG421"/>
      <c r="CH421"/>
      <c r="CI421"/>
      <c r="CJ421"/>
      <c r="CK421"/>
      <c r="CL421"/>
    </row>
    <row r="422" spans="2:90">
      <c r="B422"/>
      <c r="C422"/>
      <c r="D422" s="11"/>
      <c r="E422"/>
      <c r="F422"/>
      <c r="G422"/>
      <c r="H422"/>
      <c r="I422" s="11"/>
      <c r="J422" s="11"/>
      <c r="K422" s="11"/>
      <c r="L422"/>
      <c r="M422" s="11"/>
      <c r="N422" s="11"/>
      <c r="O422" s="11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 s="11"/>
      <c r="AD422"/>
      <c r="AE422" s="11"/>
      <c r="AF422" s="11"/>
      <c r="AG422" s="11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 s="11"/>
      <c r="CE422"/>
      <c r="CF422"/>
      <c r="CG422"/>
      <c r="CH422"/>
      <c r="CI422"/>
      <c r="CJ422"/>
      <c r="CK422"/>
      <c r="CL422"/>
    </row>
    <row r="423" spans="2:90">
      <c r="B423"/>
      <c r="C423"/>
      <c r="D423" s="11"/>
      <c r="E423"/>
      <c r="F423"/>
      <c r="G423"/>
      <c r="H423"/>
      <c r="I423" s="11"/>
      <c r="J423" s="11"/>
      <c r="K423" s="11"/>
      <c r="L423"/>
      <c r="M423" s="11"/>
      <c r="N423" s="11"/>
      <c r="O423" s="11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 s="11"/>
      <c r="AD423"/>
      <c r="AE423" s="11"/>
      <c r="AF423" s="11"/>
      <c r="AG423" s="11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 s="11"/>
      <c r="CE423"/>
      <c r="CF423"/>
      <c r="CG423"/>
      <c r="CH423"/>
      <c r="CI423"/>
      <c r="CJ423"/>
      <c r="CK423"/>
      <c r="CL423"/>
    </row>
    <row r="424" spans="2:90">
      <c r="B424"/>
      <c r="C424"/>
      <c r="D424" s="11"/>
      <c r="E424"/>
      <c r="F424"/>
      <c r="G424"/>
      <c r="H424"/>
      <c r="I424" s="11"/>
      <c r="J424" s="11"/>
      <c r="K424" s="11"/>
      <c r="L424"/>
      <c r="M424" s="11"/>
      <c r="N424" s="11"/>
      <c r="O424" s="11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 s="11"/>
      <c r="AD424"/>
      <c r="AE424" s="11"/>
      <c r="AF424" s="11"/>
      <c r="AG424" s="11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 s="11"/>
      <c r="CE424"/>
      <c r="CF424"/>
      <c r="CG424"/>
      <c r="CH424"/>
      <c r="CI424"/>
      <c r="CJ424"/>
      <c r="CK424"/>
      <c r="CL424"/>
    </row>
    <row r="425" spans="2:90">
      <c r="B425"/>
      <c r="C425"/>
      <c r="D425" s="11"/>
      <c r="E425"/>
      <c r="F425"/>
      <c r="G425"/>
      <c r="H425"/>
      <c r="I425" s="11"/>
      <c r="J425" s="11"/>
      <c r="K425" s="11"/>
      <c r="L425"/>
      <c r="M425" s="11"/>
      <c r="N425" s="11"/>
      <c r="O425" s="11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 s="11"/>
      <c r="AD425"/>
      <c r="AE425" s="11"/>
      <c r="AF425" s="11"/>
      <c r="AG425" s="11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 s="11"/>
      <c r="CE425"/>
      <c r="CF425"/>
      <c r="CG425"/>
      <c r="CH425"/>
      <c r="CI425"/>
      <c r="CJ425"/>
      <c r="CK425"/>
      <c r="CL425"/>
    </row>
    <row r="426" spans="2:90">
      <c r="B426"/>
      <c r="C426"/>
      <c r="D426" s="11"/>
      <c r="E426"/>
      <c r="F426"/>
      <c r="G426"/>
      <c r="H426"/>
      <c r="I426" s="11"/>
      <c r="J426" s="11"/>
      <c r="K426" s="11"/>
      <c r="L426"/>
      <c r="M426" s="11"/>
      <c r="N426" s="11"/>
      <c r="O426" s="11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 s="11"/>
      <c r="AD426"/>
      <c r="AE426" s="11"/>
      <c r="AF426" s="11"/>
      <c r="AG426" s="11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 s="11"/>
      <c r="CE426"/>
      <c r="CF426"/>
      <c r="CG426"/>
      <c r="CH426"/>
      <c r="CI426"/>
      <c r="CJ426"/>
      <c r="CK426"/>
      <c r="CL426"/>
    </row>
    <row r="427" spans="2:90">
      <c r="B427"/>
      <c r="C427"/>
      <c r="D427" s="11"/>
      <c r="E427"/>
      <c r="F427"/>
      <c r="G427"/>
      <c r="H427"/>
      <c r="I427" s="11"/>
      <c r="J427" s="11"/>
      <c r="K427" s="11"/>
      <c r="L427"/>
      <c r="M427" s="11"/>
      <c r="N427" s="11"/>
      <c r="O427" s="11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 s="11"/>
      <c r="AD427"/>
      <c r="AE427" s="11"/>
      <c r="AF427" s="11"/>
      <c r="AG427" s="11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 s="11"/>
      <c r="CE427"/>
      <c r="CF427"/>
      <c r="CG427"/>
      <c r="CH427"/>
      <c r="CI427"/>
      <c r="CJ427"/>
      <c r="CK427"/>
      <c r="CL427"/>
    </row>
    <row r="428" spans="2:90">
      <c r="B428"/>
      <c r="C428"/>
      <c r="D428" s="11"/>
      <c r="E428"/>
      <c r="F428"/>
      <c r="G428"/>
      <c r="H428"/>
      <c r="I428" s="11"/>
      <c r="J428" s="11"/>
      <c r="K428" s="11"/>
      <c r="L428"/>
      <c r="M428" s="11"/>
      <c r="N428" s="11"/>
      <c r="O428" s="11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 s="11"/>
      <c r="AD428"/>
      <c r="AE428" s="11"/>
      <c r="AF428" s="11"/>
      <c r="AG428" s="11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 s="11"/>
      <c r="CE428"/>
      <c r="CF428"/>
      <c r="CG428"/>
      <c r="CH428"/>
      <c r="CI428"/>
      <c r="CJ428"/>
      <c r="CK428"/>
      <c r="CL428"/>
    </row>
    <row r="429" spans="2:90">
      <c r="B429"/>
      <c r="C429"/>
      <c r="D429" s="11"/>
      <c r="E429"/>
      <c r="F429"/>
      <c r="G429"/>
      <c r="H429"/>
      <c r="I429" s="11"/>
      <c r="J429" s="11"/>
      <c r="K429" s="11"/>
      <c r="L429"/>
      <c r="M429" s="11"/>
      <c r="N429" s="11"/>
      <c r="O429" s="11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 s="11"/>
      <c r="AD429"/>
      <c r="AE429" s="11"/>
      <c r="AF429" s="11"/>
      <c r="AG429" s="11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 s="11"/>
      <c r="CE429"/>
      <c r="CF429"/>
      <c r="CG429"/>
      <c r="CH429"/>
      <c r="CI429"/>
      <c r="CJ429"/>
      <c r="CK429"/>
      <c r="CL429"/>
    </row>
    <row r="430" spans="2:90">
      <c r="B430"/>
      <c r="C430"/>
      <c r="D430" s="11"/>
      <c r="E430"/>
      <c r="F430"/>
      <c r="G430"/>
      <c r="H430"/>
      <c r="I430" s="11"/>
      <c r="J430" s="11"/>
      <c r="K430" s="11"/>
      <c r="L430"/>
      <c r="M430" s="11"/>
      <c r="N430" s="11"/>
      <c r="O430" s="11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 s="11"/>
      <c r="AD430"/>
      <c r="AE430" s="11"/>
      <c r="AF430" s="11"/>
      <c r="AG430" s="11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 s="11"/>
      <c r="CE430"/>
      <c r="CF430"/>
      <c r="CG430"/>
      <c r="CH430"/>
      <c r="CI430"/>
      <c r="CJ430"/>
      <c r="CK430"/>
      <c r="CL430"/>
    </row>
    <row r="431" spans="2:90">
      <c r="B431"/>
      <c r="C431"/>
      <c r="D431" s="11"/>
      <c r="E431"/>
      <c r="F431"/>
      <c r="G431"/>
      <c r="H431"/>
      <c r="I431" s="11"/>
      <c r="J431" s="11"/>
      <c r="K431" s="11"/>
      <c r="L431"/>
      <c r="M431" s="11"/>
      <c r="N431" s="11"/>
      <c r="O431" s="1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 s="11"/>
      <c r="AD431"/>
      <c r="AE431" s="11"/>
      <c r="AF431" s="11"/>
      <c r="AG431" s="1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 s="11"/>
      <c r="CE431"/>
      <c r="CF431"/>
      <c r="CG431"/>
      <c r="CH431"/>
      <c r="CI431"/>
      <c r="CJ431"/>
      <c r="CK431"/>
      <c r="CL431"/>
    </row>
    <row r="432" spans="2:90">
      <c r="B432"/>
      <c r="C432"/>
      <c r="D432" s="11"/>
      <c r="E432"/>
      <c r="F432"/>
      <c r="G432"/>
      <c r="H432"/>
      <c r="I432" s="11"/>
      <c r="J432" s="11"/>
      <c r="K432" s="11"/>
      <c r="L432"/>
      <c r="M432" s="11"/>
      <c r="N432" s="11"/>
      <c r="O432" s="11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 s="11"/>
      <c r="AD432"/>
      <c r="AE432" s="11"/>
      <c r="AF432" s="11"/>
      <c r="AG432" s="11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 s="11"/>
      <c r="CE432"/>
      <c r="CF432"/>
      <c r="CG432"/>
      <c r="CH432"/>
      <c r="CI432"/>
      <c r="CJ432"/>
      <c r="CK432"/>
      <c r="CL432"/>
    </row>
    <row r="433" spans="2:90">
      <c r="B433"/>
      <c r="C433"/>
      <c r="D433" s="11"/>
      <c r="E433"/>
      <c r="F433"/>
      <c r="G433"/>
      <c r="H433"/>
      <c r="I433" s="11"/>
      <c r="J433" s="11"/>
      <c r="K433" s="11"/>
      <c r="L433"/>
      <c r="M433" s="11"/>
      <c r="N433" s="11"/>
      <c r="O433" s="11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 s="11"/>
      <c r="AD433"/>
      <c r="AE433" s="11"/>
      <c r="AF433" s="11"/>
      <c r="AG433" s="11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 s="11"/>
      <c r="CE433"/>
      <c r="CF433"/>
      <c r="CG433"/>
      <c r="CH433"/>
      <c r="CI433"/>
      <c r="CJ433"/>
      <c r="CK433"/>
      <c r="CL433"/>
    </row>
    <row r="434" spans="2:90">
      <c r="B434"/>
      <c r="C434"/>
      <c r="D434" s="11"/>
      <c r="E434"/>
      <c r="F434"/>
      <c r="G434"/>
      <c r="H434"/>
      <c r="I434" s="11"/>
      <c r="J434" s="11"/>
      <c r="K434" s="11"/>
      <c r="L434"/>
      <c r="M434" s="11"/>
      <c r="N434" s="11"/>
      <c r="O434" s="11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 s="11"/>
      <c r="AD434"/>
      <c r="AE434" s="11"/>
      <c r="AF434" s="11"/>
      <c r="AG434" s="11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 s="11"/>
      <c r="CE434"/>
      <c r="CF434"/>
      <c r="CG434"/>
      <c r="CH434"/>
      <c r="CI434"/>
      <c r="CJ434"/>
      <c r="CK434"/>
      <c r="CL434"/>
    </row>
    <row r="435" spans="2:90">
      <c r="B435"/>
      <c r="C435"/>
      <c r="D435" s="11"/>
      <c r="E435"/>
      <c r="F435"/>
      <c r="G435"/>
      <c r="H435"/>
      <c r="I435" s="11"/>
      <c r="J435" s="11"/>
      <c r="K435" s="11"/>
      <c r="L435"/>
      <c r="M435" s="11"/>
      <c r="N435" s="11"/>
      <c r="O435" s="11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 s="11"/>
      <c r="AD435"/>
      <c r="AE435" s="11"/>
      <c r="AF435" s="11"/>
      <c r="AG435" s="11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 s="11"/>
      <c r="CE435"/>
      <c r="CF435"/>
      <c r="CG435"/>
      <c r="CH435"/>
      <c r="CI435"/>
      <c r="CJ435"/>
      <c r="CK435"/>
      <c r="CL435"/>
    </row>
    <row r="436" spans="2:90">
      <c r="B436"/>
      <c r="C436"/>
      <c r="D436" s="11"/>
      <c r="E436"/>
      <c r="F436"/>
      <c r="G436"/>
      <c r="H436"/>
      <c r="I436" s="11"/>
      <c r="J436" s="11"/>
      <c r="K436" s="11"/>
      <c r="L436"/>
      <c r="M436" s="11"/>
      <c r="N436" s="11"/>
      <c r="O436" s="11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 s="11"/>
      <c r="AD436"/>
      <c r="AE436" s="11"/>
      <c r="AF436" s="11"/>
      <c r="AG436" s="11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 s="11"/>
      <c r="CE436"/>
      <c r="CF436"/>
      <c r="CG436"/>
      <c r="CH436"/>
      <c r="CI436"/>
      <c r="CJ436"/>
      <c r="CK436"/>
      <c r="CL436"/>
    </row>
    <row r="437" spans="2:90">
      <c r="B437"/>
      <c r="C437"/>
      <c r="D437" s="11"/>
      <c r="E437"/>
      <c r="F437"/>
      <c r="G437"/>
      <c r="H437"/>
      <c r="I437" s="11"/>
      <c r="J437" s="11"/>
      <c r="K437" s="11"/>
      <c r="L437"/>
      <c r="M437" s="11"/>
      <c r="N437" s="11"/>
      <c r="O437" s="11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 s="11"/>
      <c r="AD437"/>
      <c r="AE437" s="11"/>
      <c r="AF437" s="11"/>
      <c r="AG437" s="11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 s="11"/>
      <c r="CE437"/>
      <c r="CF437"/>
      <c r="CG437"/>
      <c r="CH437"/>
      <c r="CI437"/>
      <c r="CJ437"/>
      <c r="CK437"/>
      <c r="CL437"/>
    </row>
    <row r="438" spans="2:90">
      <c r="B438"/>
      <c r="C438"/>
      <c r="D438" s="11"/>
      <c r="E438"/>
      <c r="F438"/>
      <c r="G438"/>
      <c r="H438"/>
      <c r="I438" s="11"/>
      <c r="J438" s="11"/>
      <c r="K438" s="11"/>
      <c r="L438"/>
      <c r="M438" s="11"/>
      <c r="N438" s="11"/>
      <c r="O438" s="11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 s="11"/>
      <c r="AD438"/>
      <c r="AE438" s="11"/>
      <c r="AF438" s="11"/>
      <c r="AG438" s="11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 s="11"/>
      <c r="CE438"/>
      <c r="CF438"/>
      <c r="CG438"/>
      <c r="CH438"/>
      <c r="CI438"/>
      <c r="CJ438"/>
      <c r="CK438"/>
      <c r="CL438"/>
    </row>
    <row r="439" spans="2:90">
      <c r="B439"/>
      <c r="C439"/>
      <c r="D439" s="11"/>
      <c r="E439"/>
      <c r="F439"/>
      <c r="G439"/>
      <c r="H439"/>
      <c r="I439" s="11"/>
      <c r="J439" s="11"/>
      <c r="K439" s="11"/>
      <c r="L439"/>
      <c r="M439" s="11"/>
      <c r="N439" s="11"/>
      <c r="O439" s="11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 s="11"/>
      <c r="AD439"/>
      <c r="AE439" s="11"/>
      <c r="AF439" s="11"/>
      <c r="AG439" s="11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 s="11"/>
      <c r="CE439"/>
      <c r="CF439"/>
      <c r="CG439"/>
      <c r="CH439"/>
      <c r="CI439"/>
      <c r="CJ439"/>
      <c r="CK439"/>
      <c r="CL439"/>
    </row>
    <row r="440" spans="2:90">
      <c r="B440"/>
      <c r="C440"/>
      <c r="D440" s="11"/>
      <c r="E440"/>
      <c r="F440"/>
      <c r="G440"/>
      <c r="H440"/>
      <c r="I440" s="11"/>
      <c r="J440" s="11"/>
      <c r="K440" s="11"/>
      <c r="L440"/>
      <c r="M440" s="11"/>
      <c r="N440" s="11"/>
      <c r="O440" s="11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 s="11"/>
      <c r="AD440"/>
      <c r="AE440" s="11"/>
      <c r="AF440" s="11"/>
      <c r="AG440" s="11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 s="11"/>
      <c r="CE440"/>
      <c r="CF440"/>
      <c r="CG440"/>
      <c r="CH440"/>
      <c r="CI440"/>
      <c r="CJ440"/>
      <c r="CK440"/>
      <c r="CL440"/>
    </row>
    <row r="441" spans="2:90">
      <c r="B441"/>
      <c r="C441"/>
      <c r="D441" s="11"/>
      <c r="E441"/>
      <c r="F441"/>
      <c r="G441"/>
      <c r="H441"/>
      <c r="I441" s="11"/>
      <c r="J441" s="11"/>
      <c r="K441" s="11"/>
      <c r="L441"/>
      <c r="M441" s="11"/>
      <c r="N441" s="11"/>
      <c r="O441" s="1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 s="11"/>
      <c r="AD441"/>
      <c r="AE441" s="11"/>
      <c r="AF441" s="11"/>
      <c r="AG441" s="1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 s="11"/>
      <c r="CE441"/>
      <c r="CF441"/>
      <c r="CG441"/>
      <c r="CH441"/>
      <c r="CI441"/>
      <c r="CJ441"/>
      <c r="CK441"/>
      <c r="CL441"/>
    </row>
    <row r="442" spans="2:90">
      <c r="B442"/>
      <c r="C442"/>
      <c r="D442" s="11"/>
      <c r="E442"/>
      <c r="F442"/>
      <c r="G442"/>
      <c r="H442"/>
      <c r="I442" s="11"/>
      <c r="J442" s="11"/>
      <c r="K442" s="11"/>
      <c r="L442"/>
      <c r="M442" s="11"/>
      <c r="N442" s="11"/>
      <c r="O442" s="11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 s="11"/>
      <c r="AD442"/>
      <c r="AE442" s="11"/>
      <c r="AF442" s="11"/>
      <c r="AG442" s="11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 s="11"/>
      <c r="CE442"/>
      <c r="CF442"/>
      <c r="CG442"/>
      <c r="CH442"/>
      <c r="CI442"/>
      <c r="CJ442"/>
      <c r="CK442"/>
      <c r="CL442"/>
    </row>
    <row r="443" spans="2:90">
      <c r="B443"/>
      <c r="C443"/>
      <c r="D443" s="11"/>
      <c r="E443"/>
      <c r="F443"/>
      <c r="G443"/>
      <c r="H443"/>
      <c r="I443" s="11"/>
      <c r="J443" s="11"/>
      <c r="K443" s="11"/>
      <c r="L443"/>
      <c r="M443" s="11"/>
      <c r="N443" s="11"/>
      <c r="O443" s="11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 s="11"/>
      <c r="AD443"/>
      <c r="AE443" s="11"/>
      <c r="AF443" s="11"/>
      <c r="AG443" s="11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 s="11"/>
      <c r="CE443"/>
      <c r="CF443"/>
      <c r="CG443"/>
      <c r="CH443"/>
      <c r="CI443"/>
      <c r="CJ443"/>
      <c r="CK443"/>
      <c r="CL443"/>
    </row>
    <row r="444" spans="2:90">
      <c r="B444"/>
      <c r="C444"/>
      <c r="D444" s="11"/>
      <c r="E444"/>
      <c r="F444"/>
      <c r="G444"/>
      <c r="H444"/>
      <c r="I444" s="11"/>
      <c r="J444" s="11"/>
      <c r="K444" s="11"/>
      <c r="L444"/>
      <c r="M444" s="11"/>
      <c r="N444" s="11"/>
      <c r="O444" s="11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 s="11"/>
      <c r="AD444"/>
      <c r="AE444" s="11"/>
      <c r="AF444" s="11"/>
      <c r="AG444" s="11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 s="11"/>
      <c r="CE444"/>
      <c r="CF444"/>
      <c r="CG444"/>
      <c r="CH444"/>
      <c r="CI444"/>
      <c r="CJ444"/>
      <c r="CK444"/>
      <c r="CL444"/>
    </row>
    <row r="445" spans="2:90">
      <c r="B445"/>
      <c r="C445"/>
      <c r="D445" s="11"/>
      <c r="E445"/>
      <c r="F445"/>
      <c r="G445"/>
      <c r="H445"/>
      <c r="I445" s="11"/>
      <c r="J445" s="11"/>
      <c r="K445" s="11"/>
      <c r="L445"/>
      <c r="M445" s="11"/>
      <c r="N445" s="11"/>
      <c r="O445" s="11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 s="11"/>
      <c r="AD445"/>
      <c r="AE445" s="11"/>
      <c r="AF445" s="11"/>
      <c r="AG445" s="11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 s="11"/>
      <c r="CE445"/>
      <c r="CF445"/>
      <c r="CG445"/>
      <c r="CH445"/>
      <c r="CI445"/>
      <c r="CJ445"/>
      <c r="CK445"/>
      <c r="CL445"/>
    </row>
    <row r="446" spans="2:90">
      <c r="B446"/>
      <c r="C446"/>
      <c r="D446" s="11"/>
      <c r="E446"/>
      <c r="F446"/>
      <c r="G446"/>
      <c r="H446"/>
      <c r="I446" s="11"/>
      <c r="J446" s="11"/>
      <c r="K446" s="11"/>
      <c r="L446"/>
      <c r="M446" s="11"/>
      <c r="N446" s="11"/>
      <c r="O446" s="11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 s="11"/>
      <c r="AD446"/>
      <c r="AE446" s="11"/>
      <c r="AF446" s="11"/>
      <c r="AG446" s="11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 s="11"/>
      <c r="CE446"/>
      <c r="CF446"/>
      <c r="CG446"/>
      <c r="CH446"/>
      <c r="CI446"/>
      <c r="CJ446"/>
      <c r="CK446"/>
      <c r="CL446"/>
    </row>
    <row r="447" spans="2:90">
      <c r="B447"/>
      <c r="C447"/>
      <c r="D447" s="11"/>
      <c r="E447"/>
      <c r="F447"/>
      <c r="G447"/>
      <c r="H447"/>
      <c r="I447" s="11"/>
      <c r="J447" s="11"/>
      <c r="K447" s="11"/>
      <c r="L447"/>
      <c r="M447" s="11"/>
      <c r="N447" s="11"/>
      <c r="O447" s="11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 s="11"/>
      <c r="AD447"/>
      <c r="AE447" s="11"/>
      <c r="AF447" s="11"/>
      <c r="AG447" s="11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 s="11"/>
      <c r="CE447"/>
      <c r="CF447"/>
      <c r="CG447"/>
      <c r="CH447"/>
      <c r="CI447"/>
      <c r="CJ447"/>
      <c r="CK447"/>
      <c r="CL447"/>
    </row>
    <row r="448" spans="2:90">
      <c r="B448"/>
      <c r="C448"/>
      <c r="D448" s="11"/>
      <c r="E448"/>
      <c r="F448"/>
      <c r="G448"/>
      <c r="H448"/>
      <c r="I448" s="11"/>
      <c r="J448" s="11"/>
      <c r="K448" s="11"/>
      <c r="L448"/>
      <c r="M448" s="11"/>
      <c r="N448" s="11"/>
      <c r="O448" s="11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 s="11"/>
      <c r="AD448"/>
      <c r="AE448" s="11"/>
      <c r="AF448" s="11"/>
      <c r="AG448" s="11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 s="11"/>
      <c r="CE448"/>
      <c r="CF448"/>
      <c r="CG448"/>
      <c r="CH448"/>
      <c r="CI448"/>
      <c r="CJ448"/>
      <c r="CK448"/>
      <c r="CL448"/>
    </row>
    <row r="449" spans="2:90">
      <c r="B449"/>
      <c r="C449"/>
      <c r="D449" s="11"/>
      <c r="E449"/>
      <c r="F449"/>
      <c r="G449"/>
      <c r="H449"/>
      <c r="I449" s="11"/>
      <c r="J449" s="11"/>
      <c r="K449" s="11"/>
      <c r="L449"/>
      <c r="M449" s="11"/>
      <c r="N449" s="11"/>
      <c r="O449" s="11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 s="11"/>
      <c r="AD449"/>
      <c r="AE449" s="11"/>
      <c r="AF449" s="11"/>
      <c r="AG449" s="11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 s="11"/>
      <c r="CE449"/>
      <c r="CF449"/>
      <c r="CG449"/>
      <c r="CH449"/>
      <c r="CI449"/>
      <c r="CJ449"/>
      <c r="CK449"/>
      <c r="CL449"/>
    </row>
    <row r="450" spans="2:90">
      <c r="B450"/>
      <c r="C450"/>
      <c r="D450" s="11"/>
      <c r="E450"/>
      <c r="F450"/>
      <c r="G450"/>
      <c r="H450"/>
      <c r="I450" s="11"/>
      <c r="J450" s="11"/>
      <c r="K450" s="11"/>
      <c r="L450"/>
      <c r="M450" s="11"/>
      <c r="N450" s="11"/>
      <c r="O450" s="11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 s="11"/>
      <c r="AD450"/>
      <c r="AE450" s="11"/>
      <c r="AF450" s="11"/>
      <c r="AG450" s="11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 s="11"/>
      <c r="CE450"/>
      <c r="CF450"/>
      <c r="CG450"/>
      <c r="CH450"/>
      <c r="CI450"/>
      <c r="CJ450"/>
      <c r="CK450"/>
      <c r="CL450"/>
    </row>
    <row r="451" spans="2:90">
      <c r="B451"/>
      <c r="C451"/>
      <c r="D451" s="11"/>
      <c r="E451"/>
      <c r="F451"/>
      <c r="G451"/>
      <c r="H451"/>
      <c r="I451" s="11"/>
      <c r="J451" s="11"/>
      <c r="K451" s="11"/>
      <c r="L451"/>
      <c r="M451" s="11"/>
      <c r="N451" s="11"/>
      <c r="O451" s="1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 s="11"/>
      <c r="AD451"/>
      <c r="AE451" s="11"/>
      <c r="AF451" s="11"/>
      <c r="AG451" s="1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 s="11"/>
      <c r="CE451"/>
      <c r="CF451"/>
      <c r="CG451"/>
      <c r="CH451"/>
      <c r="CI451"/>
      <c r="CJ451"/>
      <c r="CK451"/>
      <c r="CL451"/>
    </row>
    <row r="452" spans="2:90">
      <c r="B452"/>
      <c r="C452"/>
      <c r="D452" s="11"/>
      <c r="E452"/>
      <c r="F452"/>
      <c r="G452"/>
      <c r="H452"/>
      <c r="I452" s="11"/>
      <c r="J452" s="11"/>
      <c r="K452" s="11"/>
      <c r="L452"/>
      <c r="M452" s="11"/>
      <c r="N452" s="11"/>
      <c r="O452" s="11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 s="11"/>
      <c r="AD452"/>
      <c r="AE452" s="11"/>
      <c r="AF452" s="11"/>
      <c r="AG452" s="11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 s="11"/>
      <c r="CE452"/>
      <c r="CF452"/>
      <c r="CG452"/>
      <c r="CH452"/>
      <c r="CI452"/>
      <c r="CJ452"/>
      <c r="CK452"/>
      <c r="CL452"/>
    </row>
    <row r="453" spans="2:90">
      <c r="B453"/>
      <c r="C453"/>
      <c r="D453" s="11"/>
      <c r="E453"/>
      <c r="F453"/>
      <c r="G453"/>
      <c r="H453"/>
      <c r="I453" s="11"/>
      <c r="J453" s="11"/>
      <c r="K453" s="11"/>
      <c r="L453"/>
      <c r="M453" s="11"/>
      <c r="N453" s="11"/>
      <c r="O453" s="11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 s="11"/>
      <c r="AD453"/>
      <c r="AE453" s="11"/>
      <c r="AF453" s="11"/>
      <c r="AG453" s="11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 s="11"/>
      <c r="CE453"/>
      <c r="CF453"/>
      <c r="CG453"/>
      <c r="CH453"/>
      <c r="CI453"/>
      <c r="CJ453"/>
      <c r="CK453"/>
      <c r="CL453"/>
    </row>
    <row r="454" spans="2:90">
      <c r="B454"/>
      <c r="C454"/>
      <c r="D454" s="11"/>
      <c r="E454"/>
      <c r="F454"/>
      <c r="G454"/>
      <c r="H454"/>
      <c r="I454" s="11"/>
      <c r="J454" s="11"/>
      <c r="K454" s="11"/>
      <c r="L454"/>
      <c r="M454" s="11"/>
      <c r="N454" s="11"/>
      <c r="O454" s="11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 s="11"/>
      <c r="AD454"/>
      <c r="AE454" s="11"/>
      <c r="AF454" s="11"/>
      <c r="AG454" s="11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 s="11"/>
      <c r="CE454"/>
      <c r="CF454"/>
      <c r="CG454"/>
      <c r="CH454"/>
      <c r="CI454"/>
      <c r="CJ454"/>
      <c r="CK454"/>
      <c r="CL454"/>
    </row>
    <row r="455" spans="2:90">
      <c r="B455"/>
      <c r="C455"/>
      <c r="D455" s="11"/>
      <c r="E455"/>
      <c r="F455"/>
      <c r="G455"/>
      <c r="H455"/>
      <c r="I455" s="11"/>
      <c r="J455" s="11"/>
      <c r="K455" s="11"/>
      <c r="L455"/>
      <c r="M455" s="11"/>
      <c r="N455" s="11"/>
      <c r="O455" s="11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 s="11"/>
      <c r="AD455"/>
      <c r="AE455" s="11"/>
      <c r="AF455" s="11"/>
      <c r="AG455" s="11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 s="11"/>
      <c r="CE455"/>
      <c r="CF455"/>
      <c r="CG455"/>
      <c r="CH455"/>
      <c r="CI455"/>
      <c r="CJ455"/>
      <c r="CK455"/>
      <c r="CL455"/>
    </row>
    <row r="456" spans="2:90">
      <c r="B456"/>
      <c r="C456"/>
      <c r="D456" s="11"/>
      <c r="E456"/>
      <c r="F456"/>
      <c r="G456"/>
      <c r="H456"/>
      <c r="I456" s="11"/>
      <c r="J456" s="11"/>
      <c r="K456" s="11"/>
      <c r="L456"/>
      <c r="M456" s="11"/>
      <c r="N456" s="11"/>
      <c r="O456" s="11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 s="11"/>
      <c r="AD456"/>
      <c r="AE456" s="11"/>
      <c r="AF456" s="11"/>
      <c r="AG456" s="11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 s="11"/>
      <c r="CE456"/>
      <c r="CF456"/>
      <c r="CG456"/>
      <c r="CH456"/>
      <c r="CI456"/>
      <c r="CJ456"/>
      <c r="CK456"/>
      <c r="CL456"/>
    </row>
    <row r="457" spans="2:90">
      <c r="B457"/>
      <c r="C457"/>
      <c r="D457" s="11"/>
      <c r="E457"/>
      <c r="F457"/>
      <c r="G457"/>
      <c r="H457"/>
      <c r="I457" s="11"/>
      <c r="J457" s="11"/>
      <c r="K457" s="11"/>
      <c r="L457"/>
      <c r="M457" s="11"/>
      <c r="N457" s="11"/>
      <c r="O457" s="11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 s="11"/>
      <c r="AD457"/>
      <c r="AE457" s="11"/>
      <c r="AF457" s="11"/>
      <c r="AG457" s="11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 s="11"/>
      <c r="CE457"/>
      <c r="CF457"/>
      <c r="CG457"/>
      <c r="CH457"/>
      <c r="CI457"/>
      <c r="CJ457"/>
      <c r="CK457"/>
      <c r="CL457"/>
    </row>
    <row r="458" spans="2:90">
      <c r="B458"/>
      <c r="C458"/>
      <c r="D458" s="11"/>
      <c r="E458"/>
      <c r="F458"/>
      <c r="G458"/>
      <c r="H458"/>
      <c r="I458" s="11"/>
      <c r="J458" s="11"/>
      <c r="K458" s="11"/>
      <c r="L458"/>
      <c r="M458" s="11"/>
      <c r="N458" s="11"/>
      <c r="O458" s="11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 s="11"/>
      <c r="AD458"/>
      <c r="AE458" s="11"/>
      <c r="AF458" s="11"/>
      <c r="AG458" s="11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 s="11"/>
      <c r="CE458"/>
      <c r="CF458"/>
      <c r="CG458"/>
      <c r="CH458"/>
      <c r="CI458"/>
      <c r="CJ458"/>
      <c r="CK458"/>
      <c r="CL458"/>
    </row>
    <row r="459" spans="2:90">
      <c r="B459"/>
      <c r="C459"/>
      <c r="D459" s="11"/>
      <c r="E459"/>
      <c r="F459"/>
      <c r="G459"/>
      <c r="H459"/>
      <c r="I459" s="11"/>
      <c r="J459" s="11"/>
      <c r="K459" s="11"/>
      <c r="L459"/>
      <c r="M459" s="11"/>
      <c r="N459" s="11"/>
      <c r="O459" s="11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 s="11"/>
      <c r="AD459"/>
      <c r="AE459" s="11"/>
      <c r="AF459" s="11"/>
      <c r="AG459" s="11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 s="11"/>
      <c r="CE459"/>
      <c r="CF459"/>
      <c r="CG459"/>
      <c r="CH459"/>
      <c r="CI459"/>
      <c r="CJ459"/>
      <c r="CK459"/>
      <c r="CL459"/>
    </row>
    <row r="460" spans="2:90">
      <c r="B460"/>
      <c r="C460"/>
      <c r="D460" s="11"/>
      <c r="E460"/>
      <c r="F460"/>
      <c r="G460"/>
      <c r="H460"/>
      <c r="I460" s="11"/>
      <c r="J460" s="11"/>
      <c r="K460" s="11"/>
      <c r="L460"/>
      <c r="M460" s="11"/>
      <c r="N460" s="11"/>
      <c r="O460" s="11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 s="11"/>
      <c r="AD460"/>
      <c r="AE460" s="11"/>
      <c r="AF460" s="11"/>
      <c r="AG460" s="11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 s="11"/>
      <c r="CE460"/>
      <c r="CF460"/>
      <c r="CG460"/>
      <c r="CH460"/>
      <c r="CI460"/>
      <c r="CJ460"/>
      <c r="CK460"/>
      <c r="CL460"/>
    </row>
    <row r="461" spans="2:90">
      <c r="B461"/>
      <c r="C461"/>
      <c r="D461" s="11"/>
      <c r="E461"/>
      <c r="F461"/>
      <c r="G461"/>
      <c r="H461"/>
      <c r="I461" s="11"/>
      <c r="J461" s="11"/>
      <c r="K461" s="11"/>
      <c r="L461"/>
      <c r="M461" s="11"/>
      <c r="N461" s="11"/>
      <c r="O461" s="1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 s="11"/>
      <c r="AD461"/>
      <c r="AE461" s="11"/>
      <c r="AF461" s="11"/>
      <c r="AG461" s="1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 s="11"/>
      <c r="CE461"/>
      <c r="CF461"/>
      <c r="CG461"/>
      <c r="CH461"/>
      <c r="CI461"/>
      <c r="CJ461"/>
      <c r="CK461"/>
      <c r="CL461"/>
    </row>
    <row r="462" spans="2:90">
      <c r="B462"/>
      <c r="C462"/>
      <c r="D462" s="11"/>
      <c r="E462"/>
      <c r="F462"/>
      <c r="G462"/>
      <c r="H462"/>
      <c r="I462" s="11"/>
      <c r="J462" s="11"/>
      <c r="K462" s="11"/>
      <c r="L462"/>
      <c r="M462" s="11"/>
      <c r="N462" s="11"/>
      <c r="O462" s="11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 s="11"/>
      <c r="AD462"/>
      <c r="AE462" s="11"/>
      <c r="AF462" s="11"/>
      <c r="AG462" s="11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 s="11"/>
      <c r="CE462"/>
      <c r="CF462"/>
      <c r="CG462"/>
      <c r="CH462"/>
      <c r="CI462"/>
      <c r="CJ462"/>
      <c r="CK462"/>
      <c r="CL462"/>
    </row>
    <row r="463" spans="2:90">
      <c r="B463"/>
      <c r="C463"/>
      <c r="D463" s="11"/>
      <c r="E463"/>
      <c r="F463"/>
      <c r="G463"/>
      <c r="H463"/>
      <c r="I463" s="11"/>
      <c r="J463" s="11"/>
      <c r="K463" s="11"/>
      <c r="L463"/>
      <c r="M463" s="11"/>
      <c r="N463" s="11"/>
      <c r="O463" s="11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 s="11"/>
      <c r="AD463"/>
      <c r="AE463" s="11"/>
      <c r="AF463" s="11"/>
      <c r="AG463" s="11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 s="11"/>
      <c r="CE463"/>
      <c r="CF463"/>
      <c r="CG463"/>
      <c r="CH463"/>
      <c r="CI463"/>
      <c r="CJ463"/>
      <c r="CK463"/>
      <c r="CL463"/>
    </row>
    <row r="464" spans="2:90">
      <c r="B464"/>
      <c r="C464"/>
      <c r="D464" s="11"/>
      <c r="E464"/>
      <c r="F464"/>
      <c r="G464"/>
      <c r="H464"/>
      <c r="I464" s="11"/>
      <c r="J464" s="11"/>
      <c r="K464" s="11"/>
      <c r="L464"/>
      <c r="M464" s="11"/>
      <c r="N464" s="11"/>
      <c r="O464" s="11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 s="11"/>
      <c r="AD464"/>
      <c r="AE464" s="11"/>
      <c r="AF464" s="11"/>
      <c r="AG464" s="11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 s="11"/>
      <c r="CE464"/>
      <c r="CF464"/>
      <c r="CG464"/>
      <c r="CH464"/>
      <c r="CI464"/>
      <c r="CJ464"/>
      <c r="CK464"/>
      <c r="CL464"/>
    </row>
    <row r="465" spans="2:90">
      <c r="B465"/>
      <c r="C465"/>
      <c r="D465" s="11"/>
      <c r="E465"/>
      <c r="F465"/>
      <c r="G465"/>
      <c r="H465"/>
      <c r="I465" s="11"/>
      <c r="J465" s="11"/>
      <c r="K465" s="11"/>
      <c r="L465"/>
      <c r="M465" s="11"/>
      <c r="N465" s="11"/>
      <c r="O465" s="11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 s="11"/>
      <c r="AD465"/>
      <c r="AE465" s="11"/>
      <c r="AF465" s="11"/>
      <c r="AG465" s="11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 s="11"/>
      <c r="CE465"/>
      <c r="CF465"/>
      <c r="CG465"/>
      <c r="CH465"/>
      <c r="CI465"/>
      <c r="CJ465"/>
      <c r="CK465"/>
      <c r="CL465"/>
    </row>
    <row r="466" spans="2:90">
      <c r="B466"/>
      <c r="C466"/>
      <c r="D466" s="11"/>
      <c r="E466"/>
      <c r="F466"/>
      <c r="G466"/>
      <c r="H466"/>
      <c r="I466" s="11"/>
      <c r="J466" s="11"/>
      <c r="K466" s="11"/>
      <c r="L466"/>
      <c r="M466" s="11"/>
      <c r="N466" s="11"/>
      <c r="O466" s="11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 s="11"/>
      <c r="AD466"/>
      <c r="AE466" s="11"/>
      <c r="AF466" s="11"/>
      <c r="AG466" s="11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 s="11"/>
      <c r="CE466"/>
      <c r="CF466"/>
      <c r="CG466"/>
      <c r="CH466"/>
      <c r="CI466"/>
      <c r="CJ466"/>
      <c r="CK466"/>
      <c r="CL466"/>
    </row>
    <row r="467" spans="2:90">
      <c r="B467"/>
      <c r="C467"/>
      <c r="D467" s="11"/>
      <c r="E467"/>
      <c r="F467"/>
      <c r="G467"/>
      <c r="H467"/>
      <c r="I467" s="11"/>
      <c r="J467" s="11"/>
      <c r="K467" s="11"/>
      <c r="L467"/>
      <c r="M467" s="11"/>
      <c r="N467" s="11"/>
      <c r="O467" s="11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 s="11"/>
      <c r="AD467"/>
      <c r="AE467" s="11"/>
      <c r="AF467" s="11"/>
      <c r="AG467" s="11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 s="11"/>
      <c r="CE467"/>
      <c r="CF467"/>
      <c r="CG467"/>
      <c r="CH467"/>
      <c r="CI467"/>
      <c r="CJ467"/>
      <c r="CK467"/>
      <c r="CL467"/>
    </row>
    <row r="468" spans="2:90">
      <c r="B468"/>
      <c r="C468"/>
      <c r="D468" s="11"/>
      <c r="E468"/>
      <c r="F468"/>
      <c r="G468"/>
      <c r="H468"/>
      <c r="I468" s="11"/>
      <c r="J468" s="11"/>
      <c r="K468" s="11"/>
      <c r="L468"/>
      <c r="M468" s="11"/>
      <c r="N468" s="11"/>
      <c r="O468" s="11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 s="11"/>
      <c r="AD468"/>
      <c r="AE468" s="11"/>
      <c r="AF468" s="11"/>
      <c r="AG468" s="11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 s="11"/>
      <c r="CE468"/>
      <c r="CF468"/>
      <c r="CG468"/>
      <c r="CH468"/>
      <c r="CI468"/>
      <c r="CJ468"/>
      <c r="CK468"/>
      <c r="CL468"/>
    </row>
    <row r="469" spans="2:90">
      <c r="B469"/>
      <c r="C469"/>
      <c r="D469" s="11"/>
      <c r="E469"/>
      <c r="F469"/>
      <c r="G469"/>
      <c r="H469"/>
      <c r="I469" s="11"/>
      <c r="J469" s="11"/>
      <c r="K469" s="11"/>
      <c r="L469"/>
      <c r="M469" s="11"/>
      <c r="N469" s="11"/>
      <c r="O469" s="11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 s="11"/>
      <c r="AD469"/>
      <c r="AE469" s="11"/>
      <c r="AF469" s="11"/>
      <c r="AG469" s="11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 s="11"/>
      <c r="CE469"/>
      <c r="CF469"/>
      <c r="CG469"/>
      <c r="CH469"/>
      <c r="CI469"/>
      <c r="CJ469"/>
      <c r="CK469"/>
      <c r="CL469"/>
    </row>
    <row r="470" spans="2:90">
      <c r="B470"/>
      <c r="C470"/>
      <c r="D470" s="11"/>
      <c r="E470"/>
      <c r="F470"/>
      <c r="G470"/>
      <c r="H470"/>
      <c r="I470" s="11"/>
      <c r="J470" s="11"/>
      <c r="K470" s="11"/>
      <c r="L470"/>
      <c r="M470" s="11"/>
      <c r="N470" s="11"/>
      <c r="O470" s="11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 s="11"/>
      <c r="AD470"/>
      <c r="AE470" s="11"/>
      <c r="AF470" s="11"/>
      <c r="AG470" s="11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 s="11"/>
      <c r="CE470"/>
      <c r="CF470"/>
      <c r="CG470"/>
      <c r="CH470"/>
      <c r="CI470"/>
      <c r="CJ470"/>
      <c r="CK470"/>
      <c r="CL470"/>
    </row>
    <row r="471" spans="2:90">
      <c r="B471"/>
      <c r="C471"/>
      <c r="D471" s="11"/>
      <c r="E471"/>
      <c r="F471"/>
      <c r="G471"/>
      <c r="H471"/>
      <c r="I471" s="11"/>
      <c r="J471" s="11"/>
      <c r="K471" s="11"/>
      <c r="L471"/>
      <c r="M471" s="11"/>
      <c r="N471" s="11"/>
      <c r="O471" s="1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 s="11"/>
      <c r="AD471"/>
      <c r="AE471" s="11"/>
      <c r="AF471" s="11"/>
      <c r="AG471" s="1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 s="11"/>
      <c r="CE471"/>
      <c r="CF471"/>
      <c r="CG471"/>
      <c r="CH471"/>
      <c r="CI471"/>
      <c r="CJ471"/>
      <c r="CK471"/>
      <c r="CL471"/>
    </row>
    <row r="472" spans="2:90">
      <c r="B472"/>
      <c r="C472"/>
      <c r="D472" s="11"/>
      <c r="E472"/>
      <c r="F472"/>
      <c r="G472"/>
      <c r="H472"/>
      <c r="I472" s="11"/>
      <c r="J472" s="11"/>
      <c r="K472" s="11"/>
      <c r="L472"/>
      <c r="M472" s="11"/>
      <c r="N472" s="11"/>
      <c r="O472" s="11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 s="11"/>
      <c r="AD472"/>
      <c r="AE472" s="11"/>
      <c r="AF472" s="11"/>
      <c r="AG472" s="11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 s="11"/>
      <c r="CE472"/>
      <c r="CF472"/>
      <c r="CG472"/>
      <c r="CH472"/>
      <c r="CI472"/>
      <c r="CJ472"/>
      <c r="CK472"/>
      <c r="CL472"/>
    </row>
    <row r="473" spans="2:90">
      <c r="B473"/>
      <c r="C473"/>
      <c r="D473" s="11"/>
      <c r="E473"/>
      <c r="F473"/>
      <c r="G473"/>
      <c r="H473"/>
      <c r="I473" s="11"/>
      <c r="J473" s="11"/>
      <c r="K473" s="11"/>
      <c r="L473"/>
      <c r="M473" s="11"/>
      <c r="N473" s="11"/>
      <c r="O473" s="11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 s="11"/>
      <c r="AD473"/>
      <c r="AE473" s="11"/>
      <c r="AF473" s="11"/>
      <c r="AG473" s="11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 s="11"/>
      <c r="CE473"/>
      <c r="CF473"/>
      <c r="CG473"/>
      <c r="CH473"/>
      <c r="CI473"/>
      <c r="CJ473"/>
      <c r="CK473"/>
      <c r="CL473"/>
    </row>
    <row r="474" spans="2:90">
      <c r="B474"/>
      <c r="C474"/>
      <c r="D474" s="11"/>
      <c r="E474"/>
      <c r="F474"/>
      <c r="G474"/>
      <c r="H474"/>
      <c r="I474" s="11"/>
      <c r="J474" s="11"/>
      <c r="K474" s="11"/>
      <c r="L474"/>
      <c r="M474" s="11"/>
      <c r="N474" s="11"/>
      <c r="O474" s="11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 s="11"/>
      <c r="AD474"/>
      <c r="AE474" s="11"/>
      <c r="AF474" s="11"/>
      <c r="AG474" s="11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 s="11"/>
      <c r="CE474"/>
      <c r="CF474"/>
      <c r="CG474"/>
      <c r="CH474"/>
      <c r="CI474"/>
      <c r="CJ474"/>
      <c r="CK474"/>
      <c r="CL474"/>
    </row>
    <row r="475" spans="2:90">
      <c r="B475"/>
      <c r="C475"/>
      <c r="D475" s="11"/>
      <c r="E475"/>
      <c r="F475"/>
      <c r="G475"/>
      <c r="H475"/>
      <c r="I475" s="11"/>
      <c r="J475" s="11"/>
      <c r="K475" s="11"/>
      <c r="L475"/>
      <c r="M475" s="11"/>
      <c r="N475" s="11"/>
      <c r="O475" s="11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 s="11"/>
      <c r="AD475"/>
      <c r="AE475" s="11"/>
      <c r="AF475" s="11"/>
      <c r="AG475" s="11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 s="11"/>
      <c r="CE475"/>
      <c r="CF475"/>
      <c r="CG475"/>
      <c r="CH475"/>
      <c r="CI475"/>
      <c r="CJ475"/>
      <c r="CK475"/>
      <c r="CL475"/>
    </row>
    <row r="476" spans="2:90">
      <c r="B476"/>
      <c r="C476"/>
      <c r="D476" s="11"/>
      <c r="E476"/>
      <c r="F476"/>
      <c r="G476"/>
      <c r="H476"/>
      <c r="I476" s="11"/>
      <c r="J476" s="11"/>
      <c r="K476" s="11"/>
      <c r="L476"/>
      <c r="M476" s="11"/>
      <c r="N476" s="11"/>
      <c r="O476" s="11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 s="11"/>
      <c r="AD476"/>
      <c r="AE476" s="11"/>
      <c r="AF476" s="11"/>
      <c r="AG476" s="11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 s="11"/>
      <c r="CE476"/>
      <c r="CF476"/>
      <c r="CG476"/>
      <c r="CH476"/>
      <c r="CI476"/>
      <c r="CJ476"/>
      <c r="CK476"/>
      <c r="CL476"/>
    </row>
    <row r="477" spans="2:90">
      <c r="B477"/>
      <c r="C477"/>
      <c r="D477" s="11"/>
      <c r="E477"/>
      <c r="F477"/>
      <c r="G477"/>
      <c r="H477"/>
      <c r="I477" s="11"/>
      <c r="J477" s="11"/>
      <c r="K477" s="11"/>
      <c r="L477"/>
      <c r="M477" s="11"/>
      <c r="N477" s="11"/>
      <c r="O477" s="11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 s="11"/>
      <c r="AD477"/>
      <c r="AE477" s="11"/>
      <c r="AF477" s="11"/>
      <c r="AG477" s="11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 s="11"/>
      <c r="CE477"/>
      <c r="CF477"/>
      <c r="CG477"/>
      <c r="CH477"/>
      <c r="CI477"/>
      <c r="CJ477"/>
      <c r="CK477"/>
      <c r="CL477"/>
    </row>
    <row r="478" spans="2:90">
      <c r="B478"/>
      <c r="C478"/>
      <c r="D478" s="11"/>
      <c r="E478"/>
      <c r="F478"/>
      <c r="G478"/>
      <c r="H478"/>
      <c r="I478" s="11"/>
      <c r="J478" s="11"/>
      <c r="K478" s="11"/>
      <c r="L478"/>
      <c r="M478" s="11"/>
      <c r="N478" s="11"/>
      <c r="O478" s="11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 s="11"/>
      <c r="AD478"/>
      <c r="AE478" s="11"/>
      <c r="AF478" s="11"/>
      <c r="AG478" s="11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 s="11"/>
      <c r="CE478"/>
      <c r="CF478"/>
      <c r="CG478"/>
      <c r="CH478"/>
      <c r="CI478"/>
      <c r="CJ478"/>
      <c r="CK478"/>
      <c r="CL478"/>
    </row>
    <row r="479" spans="2:90">
      <c r="B479"/>
      <c r="C479"/>
      <c r="D479" s="11"/>
      <c r="E479"/>
      <c r="F479"/>
      <c r="G479"/>
      <c r="H479"/>
      <c r="I479" s="11"/>
      <c r="J479" s="11"/>
      <c r="K479" s="11"/>
      <c r="L479"/>
      <c r="M479" s="11"/>
      <c r="N479" s="11"/>
      <c r="O479" s="11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 s="11"/>
      <c r="AD479"/>
      <c r="AE479" s="11"/>
      <c r="AF479" s="11"/>
      <c r="AG479" s="11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 s="11"/>
      <c r="CE479"/>
      <c r="CF479"/>
      <c r="CG479"/>
      <c r="CH479"/>
      <c r="CI479"/>
      <c r="CJ479"/>
      <c r="CK479"/>
      <c r="CL479"/>
    </row>
    <row r="480" spans="2:90">
      <c r="B480"/>
      <c r="C480"/>
      <c r="D480" s="11"/>
      <c r="E480"/>
      <c r="F480"/>
      <c r="G480"/>
      <c r="H480"/>
      <c r="I480" s="11"/>
      <c r="J480" s="11"/>
      <c r="K480" s="11"/>
      <c r="L480"/>
      <c r="M480" s="11"/>
      <c r="N480" s="11"/>
      <c r="O480" s="11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 s="11"/>
      <c r="AD480"/>
      <c r="AE480" s="11"/>
      <c r="AF480" s="11"/>
      <c r="AG480" s="11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 s="11"/>
      <c r="CE480"/>
      <c r="CF480"/>
      <c r="CG480"/>
      <c r="CH480"/>
      <c r="CI480"/>
      <c r="CJ480"/>
      <c r="CK480"/>
      <c r="CL480"/>
    </row>
    <row r="481" spans="2:90">
      <c r="B481"/>
      <c r="C481"/>
      <c r="D481" s="11"/>
      <c r="E481"/>
      <c r="F481"/>
      <c r="G481"/>
      <c r="H481"/>
      <c r="I481" s="11"/>
      <c r="J481" s="11"/>
      <c r="K481" s="11"/>
      <c r="L481"/>
      <c r="M481" s="11"/>
      <c r="N481" s="11"/>
      <c r="O481" s="1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 s="11"/>
      <c r="AD481"/>
      <c r="AE481" s="11"/>
      <c r="AF481" s="11"/>
      <c r="AG481" s="1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 s="11"/>
      <c r="CE481"/>
      <c r="CF481"/>
      <c r="CG481"/>
      <c r="CH481"/>
      <c r="CI481"/>
      <c r="CJ481"/>
      <c r="CK481"/>
      <c r="CL481"/>
    </row>
    <row r="482" spans="2:90">
      <c r="B482"/>
      <c r="C482"/>
      <c r="D482" s="11"/>
      <c r="E482"/>
      <c r="F482"/>
      <c r="G482"/>
      <c r="H482"/>
      <c r="I482" s="11"/>
      <c r="J482" s="11"/>
      <c r="K482" s="11"/>
      <c r="L482"/>
      <c r="M482" s="11"/>
      <c r="N482" s="11"/>
      <c r="O482" s="11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 s="11"/>
      <c r="AD482"/>
      <c r="AE482" s="11"/>
      <c r="AF482" s="11"/>
      <c r="AG482" s="11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 s="11"/>
      <c r="CE482"/>
      <c r="CF482"/>
      <c r="CG482"/>
      <c r="CH482"/>
      <c r="CI482"/>
      <c r="CJ482"/>
      <c r="CK482"/>
      <c r="CL482"/>
    </row>
    <row r="483" spans="2:90">
      <c r="B483"/>
      <c r="C483"/>
      <c r="D483" s="11"/>
      <c r="E483"/>
      <c r="F483"/>
      <c r="G483"/>
      <c r="H483"/>
      <c r="I483" s="11"/>
      <c r="J483" s="11"/>
      <c r="K483" s="11"/>
      <c r="L483"/>
      <c r="M483" s="11"/>
      <c r="N483" s="11"/>
      <c r="O483" s="11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 s="11"/>
      <c r="AD483"/>
      <c r="AE483" s="11"/>
      <c r="AF483" s="11"/>
      <c r="AG483" s="11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 s="11"/>
      <c r="CE483"/>
      <c r="CF483"/>
      <c r="CG483"/>
      <c r="CH483"/>
      <c r="CI483"/>
      <c r="CJ483"/>
      <c r="CK483"/>
      <c r="CL483"/>
    </row>
    <row r="484" spans="2:90">
      <c r="B484"/>
      <c r="C484"/>
      <c r="D484" s="11"/>
      <c r="E484"/>
      <c r="F484"/>
      <c r="G484"/>
      <c r="H484"/>
      <c r="I484" s="11"/>
      <c r="J484" s="11"/>
      <c r="K484" s="11"/>
      <c r="L484"/>
      <c r="M484" s="11"/>
      <c r="N484" s="11"/>
      <c r="O484" s="11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 s="11"/>
      <c r="AD484"/>
      <c r="AE484" s="11"/>
      <c r="AF484" s="11"/>
      <c r="AG484" s="11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 s="11"/>
      <c r="CE484"/>
      <c r="CF484"/>
      <c r="CG484"/>
      <c r="CH484"/>
      <c r="CI484"/>
      <c r="CJ484"/>
      <c r="CK484"/>
      <c r="CL484"/>
    </row>
    <row r="485" spans="2:90">
      <c r="B485"/>
      <c r="C485"/>
      <c r="D485" s="11"/>
      <c r="E485"/>
      <c r="F485"/>
      <c r="G485"/>
      <c r="H485"/>
      <c r="I485" s="11"/>
      <c r="J485" s="11"/>
      <c r="K485" s="11"/>
      <c r="L485"/>
      <c r="M485" s="11"/>
      <c r="N485" s="11"/>
      <c r="O485" s="11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 s="11"/>
      <c r="AD485"/>
      <c r="AE485" s="11"/>
      <c r="AF485" s="11"/>
      <c r="AG485" s="11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 s="11"/>
      <c r="CE485"/>
      <c r="CF485"/>
      <c r="CG485"/>
      <c r="CH485"/>
      <c r="CI485"/>
      <c r="CJ485"/>
      <c r="CK485"/>
      <c r="CL485"/>
    </row>
    <row r="486" spans="2:90">
      <c r="B486"/>
      <c r="C486"/>
      <c r="D486" s="11"/>
      <c r="E486"/>
      <c r="F486"/>
      <c r="G486"/>
      <c r="H486"/>
      <c r="I486" s="11"/>
      <c r="J486" s="11"/>
      <c r="K486" s="11"/>
      <c r="L486"/>
      <c r="M486" s="11"/>
      <c r="N486" s="11"/>
      <c r="O486" s="11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 s="11"/>
      <c r="AD486"/>
      <c r="AE486" s="11"/>
      <c r="AF486" s="11"/>
      <c r="AG486" s="11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 s="11"/>
      <c r="CE486"/>
      <c r="CF486"/>
      <c r="CG486"/>
      <c r="CH486"/>
      <c r="CI486"/>
      <c r="CJ486"/>
      <c r="CK486"/>
      <c r="CL486"/>
    </row>
    <row r="487" spans="2:90">
      <c r="B487"/>
      <c r="C487"/>
      <c r="D487" s="11"/>
      <c r="E487"/>
      <c r="F487"/>
      <c r="G487"/>
      <c r="H487"/>
      <c r="I487" s="11"/>
      <c r="J487" s="11"/>
      <c r="K487" s="11"/>
      <c r="L487"/>
      <c r="M487" s="11"/>
      <c r="N487" s="11"/>
      <c r="O487" s="11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 s="11"/>
      <c r="AD487"/>
      <c r="AE487" s="11"/>
      <c r="AF487" s="11"/>
      <c r="AG487" s="11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 s="11"/>
      <c r="CE487"/>
      <c r="CF487"/>
      <c r="CG487"/>
      <c r="CH487"/>
      <c r="CI487"/>
      <c r="CJ487"/>
      <c r="CK487"/>
      <c r="CL487"/>
    </row>
    <row r="488" spans="2:90">
      <c r="B488"/>
      <c r="C488"/>
      <c r="D488" s="11"/>
      <c r="E488"/>
      <c r="F488"/>
      <c r="G488"/>
      <c r="H488"/>
      <c r="I488" s="11"/>
      <c r="J488" s="11"/>
      <c r="K488" s="11"/>
      <c r="L488"/>
      <c r="M488" s="11"/>
      <c r="N488" s="11"/>
      <c r="O488" s="11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 s="11"/>
      <c r="AD488"/>
      <c r="AE488" s="11"/>
      <c r="AF488" s="11"/>
      <c r="AG488" s="11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 s="11"/>
      <c r="CE488"/>
      <c r="CF488"/>
      <c r="CG488"/>
      <c r="CH488"/>
      <c r="CI488"/>
      <c r="CJ488"/>
      <c r="CK488"/>
      <c r="CL488"/>
    </row>
    <row r="489" spans="2:90">
      <c r="B489"/>
      <c r="C489"/>
      <c r="D489" s="11"/>
      <c r="E489"/>
      <c r="F489"/>
      <c r="G489"/>
      <c r="H489"/>
      <c r="I489" s="11"/>
      <c r="J489" s="11"/>
      <c r="K489" s="11"/>
      <c r="L489"/>
      <c r="M489" s="11"/>
      <c r="N489" s="11"/>
      <c r="O489" s="11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 s="11"/>
      <c r="AD489"/>
      <c r="AE489" s="11"/>
      <c r="AF489" s="11"/>
      <c r="AG489" s="11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 s="11"/>
      <c r="CE489"/>
      <c r="CF489"/>
      <c r="CG489"/>
      <c r="CH489"/>
      <c r="CI489"/>
      <c r="CJ489"/>
      <c r="CK489"/>
      <c r="CL489"/>
    </row>
    <row r="490" spans="2:90">
      <c r="B490"/>
      <c r="C490"/>
      <c r="D490" s="11"/>
      <c r="E490"/>
      <c r="F490"/>
      <c r="G490"/>
      <c r="H490"/>
      <c r="I490" s="11"/>
      <c r="J490" s="11"/>
      <c r="K490" s="11"/>
      <c r="L490"/>
      <c r="M490" s="11"/>
      <c r="N490" s="11"/>
      <c r="O490" s="11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 s="11"/>
      <c r="AD490"/>
      <c r="AE490" s="11"/>
      <c r="AF490" s="11"/>
      <c r="AG490" s="11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 s="11"/>
      <c r="CE490"/>
      <c r="CF490"/>
      <c r="CG490"/>
      <c r="CH490"/>
      <c r="CI490"/>
      <c r="CJ490"/>
      <c r="CK490"/>
      <c r="CL490"/>
    </row>
    <row r="491" spans="2:90">
      <c r="B491"/>
      <c r="C491"/>
      <c r="D491" s="11"/>
      <c r="E491"/>
      <c r="F491"/>
      <c r="G491"/>
      <c r="H491"/>
      <c r="I491" s="11"/>
      <c r="J491" s="11"/>
      <c r="K491" s="11"/>
      <c r="L491"/>
      <c r="M491" s="11"/>
      <c r="N491" s="11"/>
      <c r="O491" s="1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 s="11"/>
      <c r="AD491"/>
      <c r="AE491" s="11"/>
      <c r="AF491" s="11"/>
      <c r="AG491" s="1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 s="11"/>
      <c r="CE491"/>
      <c r="CF491"/>
      <c r="CG491"/>
      <c r="CH491"/>
      <c r="CI491"/>
      <c r="CJ491"/>
      <c r="CK491"/>
      <c r="CL491"/>
    </row>
    <row r="492" spans="2:90">
      <c r="B492"/>
      <c r="C492"/>
      <c r="D492" s="11"/>
      <c r="E492"/>
      <c r="F492"/>
      <c r="G492"/>
      <c r="H492"/>
      <c r="I492" s="11"/>
      <c r="J492" s="11"/>
      <c r="K492" s="11"/>
      <c r="L492"/>
      <c r="M492" s="11"/>
      <c r="N492" s="11"/>
      <c r="O492" s="11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 s="11"/>
      <c r="AD492"/>
      <c r="AE492" s="11"/>
      <c r="AF492" s="11"/>
      <c r="AG492" s="11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 s="11"/>
      <c r="CE492"/>
      <c r="CF492"/>
      <c r="CG492"/>
      <c r="CH492"/>
      <c r="CI492"/>
      <c r="CJ492"/>
      <c r="CK492"/>
      <c r="CL492"/>
    </row>
    <row r="493" spans="2:90">
      <c r="B493"/>
      <c r="C493"/>
      <c r="D493" s="11"/>
      <c r="E493"/>
      <c r="F493"/>
      <c r="G493"/>
      <c r="H493"/>
      <c r="I493" s="11"/>
      <c r="J493" s="11"/>
      <c r="K493" s="11"/>
      <c r="L493"/>
      <c r="M493" s="11"/>
      <c r="N493" s="11"/>
      <c r="O493" s="11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 s="11"/>
      <c r="AD493"/>
      <c r="AE493" s="11"/>
      <c r="AF493" s="11"/>
      <c r="AG493" s="11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 s="11"/>
      <c r="CE493"/>
      <c r="CF493"/>
      <c r="CG493"/>
      <c r="CH493"/>
      <c r="CI493"/>
      <c r="CJ493"/>
      <c r="CK493"/>
      <c r="CL493"/>
    </row>
    <row r="494" spans="2:90">
      <c r="B494"/>
      <c r="C494"/>
      <c r="D494" s="11"/>
      <c r="E494"/>
      <c r="F494"/>
      <c r="G494"/>
      <c r="H494"/>
      <c r="I494" s="11"/>
      <c r="J494" s="11"/>
      <c r="K494" s="11"/>
      <c r="L494"/>
      <c r="M494" s="11"/>
      <c r="N494" s="11"/>
      <c r="O494" s="11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 s="11"/>
      <c r="AD494"/>
      <c r="AE494" s="11"/>
      <c r="AF494" s="11"/>
      <c r="AG494" s="11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 s="11"/>
      <c r="CE494"/>
      <c r="CF494"/>
      <c r="CG494"/>
      <c r="CH494"/>
      <c r="CI494"/>
      <c r="CJ494"/>
      <c r="CK494"/>
      <c r="CL494"/>
    </row>
    <row r="495" spans="2:90">
      <c r="B495"/>
      <c r="C495"/>
      <c r="D495" s="11"/>
      <c r="E495"/>
      <c r="F495"/>
      <c r="G495"/>
      <c r="H495"/>
      <c r="I495" s="11"/>
      <c r="J495" s="11"/>
      <c r="K495" s="11"/>
      <c r="L495"/>
      <c r="M495" s="11"/>
      <c r="N495" s="11"/>
      <c r="O495" s="11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 s="11"/>
      <c r="AD495"/>
      <c r="AE495" s="11"/>
      <c r="AF495" s="11"/>
      <c r="AG495" s="11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 s="11"/>
      <c r="CE495"/>
      <c r="CF495"/>
      <c r="CG495"/>
      <c r="CH495"/>
      <c r="CI495"/>
      <c r="CJ495"/>
      <c r="CK495"/>
      <c r="CL495"/>
    </row>
    <row r="496" spans="2:90">
      <c r="B496"/>
      <c r="C496"/>
      <c r="D496" s="11"/>
      <c r="E496"/>
      <c r="F496"/>
      <c r="G496"/>
      <c r="H496"/>
      <c r="I496" s="11"/>
      <c r="J496" s="11"/>
      <c r="K496" s="11"/>
      <c r="L496"/>
      <c r="M496" s="11"/>
      <c r="N496" s="11"/>
      <c r="O496" s="11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 s="11"/>
      <c r="AD496"/>
      <c r="AE496" s="11"/>
      <c r="AF496" s="11"/>
      <c r="AG496" s="11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 s="11"/>
      <c r="CE496"/>
      <c r="CF496"/>
      <c r="CG496"/>
      <c r="CH496"/>
      <c r="CI496"/>
      <c r="CJ496"/>
      <c r="CK496"/>
      <c r="CL496"/>
    </row>
    <row r="497" spans="2:90">
      <c r="B497"/>
      <c r="C497"/>
      <c r="D497" s="11"/>
      <c r="E497"/>
      <c r="F497"/>
      <c r="G497"/>
      <c r="H497"/>
      <c r="I497" s="11"/>
      <c r="J497" s="11"/>
      <c r="K497" s="11"/>
      <c r="L497"/>
      <c r="M497" s="11"/>
      <c r="N497" s="11"/>
      <c r="O497" s="11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 s="11"/>
      <c r="AD497"/>
      <c r="AE497" s="11"/>
      <c r="AF497" s="11"/>
      <c r="AG497" s="11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 s="11"/>
      <c r="CE497"/>
      <c r="CF497"/>
      <c r="CG497"/>
      <c r="CH497"/>
      <c r="CI497"/>
      <c r="CJ497"/>
      <c r="CK497"/>
      <c r="CL497"/>
    </row>
    <row r="498" spans="2:90">
      <c r="B498"/>
      <c r="C498"/>
      <c r="D498" s="11"/>
      <c r="E498"/>
      <c r="F498"/>
      <c r="G498"/>
      <c r="H498"/>
      <c r="I498" s="11"/>
      <c r="J498" s="11"/>
      <c r="K498" s="11"/>
      <c r="L498"/>
      <c r="M498" s="11"/>
      <c r="N498" s="11"/>
      <c r="O498" s="11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 s="11"/>
      <c r="AD498"/>
      <c r="AE498" s="11"/>
      <c r="AF498" s="11"/>
      <c r="AG498" s="11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 s="11"/>
      <c r="CE498"/>
      <c r="CF498"/>
      <c r="CG498"/>
      <c r="CH498"/>
      <c r="CI498"/>
      <c r="CJ498"/>
      <c r="CK498"/>
      <c r="CL498"/>
    </row>
    <row r="499" spans="2:90">
      <c r="B499"/>
      <c r="C499"/>
      <c r="D499" s="11"/>
      <c r="E499"/>
      <c r="F499"/>
      <c r="G499"/>
      <c r="H499"/>
      <c r="I499" s="11"/>
      <c r="J499" s="11"/>
      <c r="K499" s="11"/>
      <c r="L499"/>
      <c r="M499" s="11"/>
      <c r="N499" s="11"/>
      <c r="O499" s="11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 s="11"/>
      <c r="AD499"/>
      <c r="AE499" s="11"/>
      <c r="AF499" s="11"/>
      <c r="AG499" s="11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 s="11"/>
      <c r="CE499"/>
      <c r="CF499"/>
      <c r="CG499"/>
      <c r="CH499"/>
      <c r="CI499"/>
      <c r="CJ499"/>
      <c r="CK499"/>
      <c r="CL499"/>
    </row>
    <row r="500" spans="2:90">
      <c r="B500"/>
      <c r="C500"/>
      <c r="D500" s="11"/>
      <c r="E500"/>
      <c r="F500"/>
      <c r="G500"/>
      <c r="H500"/>
      <c r="I500" s="11"/>
      <c r="J500" s="11"/>
      <c r="K500" s="11"/>
      <c r="L500"/>
      <c r="M500" s="11"/>
      <c r="N500" s="11"/>
      <c r="O500" s="11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 s="11"/>
      <c r="AD500"/>
      <c r="AE500" s="11"/>
      <c r="AF500" s="11"/>
      <c r="AG500" s="11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 s="11"/>
      <c r="CE500"/>
      <c r="CF500"/>
      <c r="CG500"/>
      <c r="CH500"/>
      <c r="CI500"/>
      <c r="CJ500"/>
      <c r="CK500"/>
      <c r="CL500"/>
    </row>
    <row r="501" spans="2:90">
      <c r="B501"/>
      <c r="C501"/>
      <c r="D501" s="11"/>
      <c r="E501"/>
      <c r="F501"/>
      <c r="G501"/>
      <c r="H501"/>
      <c r="I501" s="11"/>
      <c r="J501" s="11"/>
      <c r="K501" s="11"/>
      <c r="L501"/>
      <c r="M501" s="11"/>
      <c r="N501" s="11"/>
      <c r="O501" s="1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 s="11"/>
      <c r="AD501"/>
      <c r="AE501" s="11"/>
      <c r="AF501" s="11"/>
      <c r="AG501" s="1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 s="11"/>
      <c r="CE501"/>
      <c r="CF501"/>
      <c r="CG501"/>
      <c r="CH501"/>
      <c r="CI501"/>
      <c r="CJ501"/>
      <c r="CK501"/>
      <c r="CL501"/>
    </row>
    <row r="502" spans="2:90">
      <c r="B502"/>
      <c r="C502"/>
      <c r="D502" s="11"/>
      <c r="E502"/>
      <c r="F502"/>
      <c r="G502"/>
      <c r="H502"/>
      <c r="I502" s="11"/>
      <c r="J502" s="11"/>
      <c r="K502" s="11"/>
      <c r="L502"/>
      <c r="M502" s="11"/>
      <c r="N502" s="11"/>
      <c r="O502" s="11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 s="11"/>
      <c r="AD502"/>
      <c r="AE502" s="11"/>
      <c r="AF502" s="11"/>
      <c r="AG502" s="11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 s="11"/>
      <c r="CE502"/>
      <c r="CF502"/>
      <c r="CG502"/>
      <c r="CH502"/>
      <c r="CI502"/>
      <c r="CJ502"/>
      <c r="CK502"/>
      <c r="CL502"/>
    </row>
    <row r="503" spans="2:90">
      <c r="B503"/>
      <c r="C503"/>
      <c r="D503" s="11"/>
      <c r="E503"/>
      <c r="F503"/>
      <c r="G503"/>
      <c r="H503"/>
      <c r="I503" s="11"/>
      <c r="J503" s="11"/>
      <c r="K503" s="11"/>
      <c r="L503"/>
      <c r="M503" s="11"/>
      <c r="N503" s="11"/>
      <c r="O503" s="11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 s="11"/>
      <c r="AD503"/>
      <c r="AE503" s="11"/>
      <c r="AF503" s="11"/>
      <c r="AG503" s="11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 s="11"/>
      <c r="CE503"/>
      <c r="CF503"/>
      <c r="CG503"/>
      <c r="CH503"/>
      <c r="CI503"/>
      <c r="CJ503"/>
      <c r="CK503"/>
      <c r="CL503"/>
    </row>
    <row r="504" spans="2:90">
      <c r="B504"/>
      <c r="C504"/>
      <c r="D504" s="11"/>
      <c r="E504"/>
      <c r="F504"/>
      <c r="G504"/>
      <c r="H504"/>
      <c r="I504" s="11"/>
      <c r="J504" s="11"/>
      <c r="K504" s="11"/>
      <c r="L504"/>
      <c r="M504" s="11"/>
      <c r="N504" s="11"/>
      <c r="O504" s="11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 s="11"/>
      <c r="AD504"/>
      <c r="AE504" s="11"/>
      <c r="AF504" s="11"/>
      <c r="AG504" s="11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 s="11"/>
      <c r="CE504"/>
      <c r="CF504"/>
      <c r="CG504"/>
      <c r="CH504"/>
      <c r="CI504"/>
      <c r="CJ504"/>
      <c r="CK504"/>
      <c r="CL504"/>
    </row>
    <row r="505" spans="2:90">
      <c r="B505"/>
      <c r="C505"/>
      <c r="D505" s="11"/>
      <c r="E505"/>
      <c r="F505"/>
      <c r="G505"/>
      <c r="H505"/>
      <c r="I505" s="11"/>
      <c r="J505" s="11"/>
      <c r="K505" s="11"/>
      <c r="L505"/>
      <c r="M505" s="11"/>
      <c r="N505" s="11"/>
      <c r="O505" s="11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 s="11"/>
      <c r="AD505"/>
      <c r="AE505" s="11"/>
      <c r="AF505" s="11"/>
      <c r="AG505" s="11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 s="11"/>
      <c r="CE505"/>
      <c r="CF505"/>
      <c r="CG505"/>
      <c r="CH505"/>
      <c r="CI505"/>
      <c r="CJ505"/>
      <c r="CK505"/>
      <c r="CL505"/>
    </row>
    <row r="506" spans="2:90">
      <c r="B506"/>
      <c r="C506"/>
      <c r="D506" s="11"/>
      <c r="E506"/>
      <c r="F506"/>
      <c r="G506"/>
      <c r="H506"/>
      <c r="I506" s="11"/>
      <c r="J506" s="11"/>
      <c r="K506" s="11"/>
      <c r="L506"/>
      <c r="M506" s="11"/>
      <c r="N506" s="11"/>
      <c r="O506" s="11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 s="11"/>
      <c r="AD506"/>
      <c r="AE506" s="11"/>
      <c r="AF506" s="11"/>
      <c r="AG506" s="11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 s="11"/>
      <c r="CE506"/>
      <c r="CF506"/>
      <c r="CG506"/>
      <c r="CH506"/>
      <c r="CI506"/>
      <c r="CJ506"/>
      <c r="CK506"/>
      <c r="CL506"/>
    </row>
    <row r="507" spans="2:90">
      <c r="B507"/>
      <c r="C507"/>
      <c r="D507" s="11"/>
      <c r="E507"/>
      <c r="F507"/>
      <c r="G507"/>
      <c r="H507"/>
      <c r="I507" s="11"/>
      <c r="J507" s="11"/>
      <c r="K507" s="11"/>
      <c r="L507"/>
      <c r="M507" s="11"/>
      <c r="N507" s="11"/>
      <c r="O507" s="11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 s="11"/>
      <c r="AD507"/>
      <c r="AE507" s="11"/>
      <c r="AF507" s="11"/>
      <c r="AG507" s="11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 s="11"/>
      <c r="CE507"/>
      <c r="CF507"/>
      <c r="CG507"/>
      <c r="CH507"/>
      <c r="CI507"/>
      <c r="CJ507"/>
      <c r="CK507"/>
      <c r="CL507"/>
    </row>
    <row r="508" spans="2:90">
      <c r="B508"/>
      <c r="C508"/>
      <c r="D508" s="11"/>
      <c r="E508"/>
      <c r="F508"/>
      <c r="G508"/>
      <c r="H508"/>
      <c r="I508" s="11"/>
      <c r="J508" s="11"/>
      <c r="K508" s="11"/>
      <c r="L508"/>
      <c r="M508" s="11"/>
      <c r="N508" s="11"/>
      <c r="O508" s="11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 s="11"/>
      <c r="AD508"/>
      <c r="AE508" s="11"/>
      <c r="AF508" s="11"/>
      <c r="AG508" s="11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 s="11"/>
      <c r="CE508"/>
      <c r="CF508"/>
      <c r="CG508"/>
      <c r="CH508"/>
      <c r="CI508"/>
      <c r="CJ508"/>
      <c r="CK508"/>
      <c r="CL508"/>
    </row>
    <row r="509" spans="2:90">
      <c r="B509"/>
      <c r="C509"/>
      <c r="D509" s="11"/>
      <c r="E509"/>
      <c r="F509"/>
      <c r="G509"/>
      <c r="H509"/>
      <c r="I509" s="11"/>
      <c r="J509" s="11"/>
      <c r="K509" s="11"/>
      <c r="L509"/>
      <c r="M509" s="11"/>
      <c r="N509" s="11"/>
      <c r="O509" s="11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 s="11"/>
      <c r="AD509"/>
      <c r="AE509" s="11"/>
      <c r="AF509" s="11"/>
      <c r="AG509" s="11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 s="11"/>
      <c r="CE509"/>
      <c r="CF509"/>
      <c r="CG509"/>
      <c r="CH509"/>
      <c r="CI509"/>
      <c r="CJ509"/>
      <c r="CK509"/>
      <c r="CL509"/>
    </row>
    <row r="510" spans="2:90">
      <c r="B510"/>
      <c r="C510"/>
      <c r="D510" s="11"/>
      <c r="E510"/>
      <c r="F510"/>
      <c r="G510"/>
      <c r="H510"/>
      <c r="I510" s="11"/>
      <c r="J510" s="11"/>
      <c r="K510" s="11"/>
      <c r="L510"/>
      <c r="M510" s="11"/>
      <c r="N510" s="11"/>
      <c r="O510" s="11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 s="11"/>
      <c r="AD510"/>
      <c r="AE510" s="11"/>
      <c r="AF510" s="11"/>
      <c r="AG510" s="11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 s="11"/>
      <c r="CE510"/>
      <c r="CF510"/>
      <c r="CG510"/>
      <c r="CH510"/>
      <c r="CI510"/>
      <c r="CJ510"/>
      <c r="CK510"/>
      <c r="CL510"/>
    </row>
    <row r="511" spans="2:90">
      <c r="B511"/>
      <c r="C511"/>
      <c r="D511" s="11"/>
      <c r="E511"/>
      <c r="F511"/>
      <c r="G511"/>
      <c r="H511"/>
      <c r="I511" s="11"/>
      <c r="J511" s="11"/>
      <c r="K511" s="11"/>
      <c r="L511"/>
      <c r="M511" s="11"/>
      <c r="N511" s="11"/>
      <c r="O511" s="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 s="11"/>
      <c r="AD511"/>
      <c r="AE511" s="11"/>
      <c r="AF511" s="11"/>
      <c r="AG511" s="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 s="11"/>
      <c r="CE511"/>
      <c r="CF511"/>
      <c r="CG511"/>
      <c r="CH511"/>
      <c r="CI511"/>
      <c r="CJ511"/>
      <c r="CK511"/>
      <c r="CL511"/>
    </row>
    <row r="512" spans="2:90">
      <c r="B512"/>
      <c r="C512"/>
      <c r="D512" s="11"/>
      <c r="E512"/>
      <c r="F512"/>
      <c r="G512"/>
      <c r="H512"/>
      <c r="I512" s="11"/>
      <c r="J512" s="11"/>
      <c r="K512" s="11"/>
      <c r="L512"/>
      <c r="M512" s="11"/>
      <c r="N512" s="11"/>
      <c r="O512" s="11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 s="11"/>
      <c r="AD512"/>
      <c r="AE512" s="11"/>
      <c r="AF512" s="11"/>
      <c r="AG512" s="11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 s="11"/>
      <c r="CE512"/>
      <c r="CF512"/>
      <c r="CG512"/>
      <c r="CH512"/>
      <c r="CI512"/>
      <c r="CJ512"/>
      <c r="CK512"/>
      <c r="CL512"/>
    </row>
    <row r="513" spans="2:90">
      <c r="B513"/>
      <c r="C513"/>
      <c r="D513" s="11"/>
      <c r="E513"/>
      <c r="F513"/>
      <c r="G513"/>
      <c r="H513"/>
      <c r="I513" s="11"/>
      <c r="J513" s="11"/>
      <c r="K513" s="11"/>
      <c r="L513"/>
      <c r="M513" s="11"/>
      <c r="N513" s="11"/>
      <c r="O513" s="11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 s="11"/>
      <c r="AD513"/>
      <c r="AE513" s="11"/>
      <c r="AF513" s="11"/>
      <c r="AG513" s="11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 s="11"/>
      <c r="CE513"/>
      <c r="CF513"/>
      <c r="CG513"/>
      <c r="CH513"/>
      <c r="CI513"/>
      <c r="CJ513"/>
      <c r="CK513"/>
      <c r="CL513"/>
    </row>
    <row r="514" spans="2:90">
      <c r="B514"/>
      <c r="C514"/>
      <c r="D514" s="11"/>
      <c r="E514"/>
      <c r="F514"/>
      <c r="G514"/>
      <c r="H514"/>
      <c r="I514" s="11"/>
      <c r="J514" s="11"/>
      <c r="K514" s="11"/>
      <c r="L514"/>
      <c r="M514" s="11"/>
      <c r="N514" s="11"/>
      <c r="O514" s="11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 s="11"/>
      <c r="AD514"/>
      <c r="AE514" s="11"/>
      <c r="AF514" s="11"/>
      <c r="AG514" s="11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 s="11"/>
      <c r="CE514"/>
      <c r="CF514"/>
      <c r="CG514"/>
      <c r="CH514"/>
      <c r="CI514"/>
      <c r="CJ514"/>
      <c r="CK514"/>
      <c r="CL514"/>
    </row>
    <row r="515" spans="2:90">
      <c r="B515"/>
      <c r="C515"/>
      <c r="D515" s="11"/>
      <c r="E515"/>
      <c r="F515"/>
      <c r="G515"/>
      <c r="H515"/>
      <c r="I515" s="11"/>
      <c r="J515" s="11"/>
      <c r="K515" s="11"/>
      <c r="L515"/>
      <c r="M515" s="11"/>
      <c r="N515" s="11"/>
      <c r="O515" s="11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 s="11"/>
      <c r="AD515"/>
      <c r="AE515" s="11"/>
      <c r="AF515" s="11"/>
      <c r="AG515" s="11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 s="11"/>
      <c r="CE515"/>
      <c r="CF515"/>
      <c r="CG515"/>
      <c r="CH515"/>
      <c r="CI515"/>
      <c r="CJ515"/>
      <c r="CK515"/>
      <c r="CL515"/>
    </row>
    <row r="516" spans="2:90">
      <c r="B516"/>
      <c r="C516"/>
      <c r="D516" s="11"/>
      <c r="E516"/>
      <c r="F516"/>
      <c r="G516"/>
      <c r="H516"/>
      <c r="I516" s="11"/>
      <c r="J516" s="11"/>
      <c r="K516" s="11"/>
      <c r="L516"/>
      <c r="M516" s="11"/>
      <c r="N516" s="11"/>
      <c r="O516" s="11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 s="11"/>
      <c r="AD516"/>
      <c r="AE516" s="11"/>
      <c r="AF516" s="11"/>
      <c r="AG516" s="11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 s="11"/>
      <c r="CE516"/>
      <c r="CF516"/>
      <c r="CG516"/>
      <c r="CH516"/>
      <c r="CI516"/>
      <c r="CJ516"/>
      <c r="CK516"/>
      <c r="CL516"/>
    </row>
    <row r="517" spans="2:90">
      <c r="B517"/>
      <c r="C517"/>
      <c r="D517" s="11"/>
      <c r="E517"/>
      <c r="F517"/>
      <c r="G517"/>
      <c r="H517"/>
      <c r="I517" s="11"/>
      <c r="J517" s="11"/>
      <c r="K517" s="11"/>
      <c r="L517"/>
      <c r="M517" s="11"/>
      <c r="N517" s="11"/>
      <c r="O517" s="11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 s="11"/>
      <c r="AD517"/>
      <c r="AE517" s="11"/>
      <c r="AF517" s="11"/>
      <c r="AG517" s="11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 s="11"/>
      <c r="CE517"/>
      <c r="CF517"/>
      <c r="CG517"/>
      <c r="CH517"/>
      <c r="CI517"/>
      <c r="CJ517"/>
      <c r="CK517"/>
      <c r="CL517"/>
    </row>
    <row r="518" spans="2:90">
      <c r="B518"/>
      <c r="C518"/>
      <c r="D518" s="11"/>
      <c r="E518"/>
      <c r="F518"/>
      <c r="G518"/>
      <c r="H518"/>
      <c r="I518" s="11"/>
      <c r="J518" s="11"/>
      <c r="K518" s="11"/>
      <c r="L518"/>
      <c r="M518" s="11"/>
      <c r="N518" s="11"/>
      <c r="O518" s="11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 s="11"/>
      <c r="AD518"/>
      <c r="AE518" s="11"/>
      <c r="AF518" s="11"/>
      <c r="AG518" s="11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 s="11"/>
      <c r="CE518"/>
      <c r="CF518"/>
      <c r="CG518"/>
      <c r="CH518"/>
      <c r="CI518"/>
      <c r="CJ518"/>
      <c r="CK518"/>
      <c r="CL518"/>
    </row>
    <row r="519" spans="2:90">
      <c r="B519"/>
      <c r="C519"/>
      <c r="D519" s="11"/>
      <c r="E519"/>
      <c r="F519"/>
      <c r="G519"/>
      <c r="H519"/>
      <c r="I519" s="11"/>
      <c r="J519" s="11"/>
      <c r="K519" s="11"/>
      <c r="L519"/>
      <c r="M519" s="11"/>
      <c r="N519" s="11"/>
      <c r="O519" s="11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 s="11"/>
      <c r="AD519"/>
      <c r="AE519" s="11"/>
      <c r="AF519" s="11"/>
      <c r="AG519" s="11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 s="11"/>
      <c r="CE519"/>
      <c r="CF519"/>
      <c r="CG519"/>
      <c r="CH519"/>
      <c r="CI519"/>
      <c r="CJ519"/>
      <c r="CK519"/>
      <c r="CL519"/>
    </row>
    <row r="520" spans="2:90">
      <c r="B520"/>
      <c r="C520"/>
      <c r="D520" s="11"/>
      <c r="E520"/>
      <c r="F520"/>
      <c r="G520"/>
      <c r="H520"/>
      <c r="I520" s="11"/>
      <c r="J520" s="11"/>
      <c r="K520" s="11"/>
      <c r="L520"/>
      <c r="M520" s="11"/>
      <c r="N520" s="11"/>
      <c r="O520" s="11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 s="11"/>
      <c r="AD520"/>
      <c r="AE520" s="11"/>
      <c r="AF520" s="11"/>
      <c r="AG520" s="11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 s="11"/>
      <c r="CE520"/>
      <c r="CF520"/>
      <c r="CG520"/>
      <c r="CH520"/>
      <c r="CI520"/>
      <c r="CJ520"/>
      <c r="CK520"/>
      <c r="CL520"/>
    </row>
    <row r="521" spans="2:90">
      <c r="B521"/>
      <c r="C521"/>
      <c r="D521" s="11"/>
      <c r="E521"/>
      <c r="F521"/>
      <c r="G521"/>
      <c r="H521"/>
      <c r="I521" s="11"/>
      <c r="J521" s="11"/>
      <c r="K521" s="11"/>
      <c r="L521"/>
      <c r="M521" s="11"/>
      <c r="N521" s="11"/>
      <c r="O521" s="1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 s="11"/>
      <c r="AD521"/>
      <c r="AE521" s="11"/>
      <c r="AF521" s="11"/>
      <c r="AG521" s="1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 s="11"/>
      <c r="CE521"/>
      <c r="CF521"/>
      <c r="CG521"/>
      <c r="CH521"/>
      <c r="CI521"/>
      <c r="CJ521"/>
      <c r="CK521"/>
      <c r="CL521"/>
    </row>
    <row r="522" spans="2:90">
      <c r="B522"/>
      <c r="C522"/>
      <c r="D522" s="11"/>
      <c r="E522"/>
      <c r="F522"/>
      <c r="G522"/>
      <c r="H522"/>
      <c r="I522" s="11"/>
      <c r="J522" s="11"/>
      <c r="K522" s="11"/>
      <c r="L522"/>
      <c r="M522" s="11"/>
      <c r="N522" s="11"/>
      <c r="O522" s="11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 s="11"/>
      <c r="AD522"/>
      <c r="AE522" s="11"/>
      <c r="AF522" s="11"/>
      <c r="AG522" s="11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 s="11"/>
      <c r="CE522"/>
      <c r="CF522"/>
      <c r="CG522"/>
      <c r="CH522"/>
      <c r="CI522"/>
      <c r="CJ522"/>
      <c r="CK522"/>
      <c r="CL522"/>
    </row>
    <row r="523" spans="2:90">
      <c r="B523"/>
      <c r="C523"/>
      <c r="D523" s="11"/>
      <c r="E523"/>
      <c r="F523"/>
      <c r="G523"/>
      <c r="H523"/>
      <c r="I523" s="11"/>
      <c r="J523" s="11"/>
      <c r="K523" s="11"/>
      <c r="L523"/>
      <c r="M523" s="11"/>
      <c r="N523" s="11"/>
      <c r="O523" s="11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 s="11"/>
      <c r="AD523"/>
      <c r="AE523" s="11"/>
      <c r="AF523" s="11"/>
      <c r="AG523" s="11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 s="11"/>
      <c r="CE523"/>
      <c r="CF523"/>
      <c r="CG523"/>
      <c r="CH523"/>
      <c r="CI523"/>
      <c r="CJ523"/>
      <c r="CK523"/>
      <c r="CL523"/>
    </row>
    <row r="524" spans="2:90">
      <c r="B524"/>
      <c r="C524"/>
      <c r="D524" s="11"/>
      <c r="E524"/>
      <c r="F524"/>
      <c r="G524"/>
      <c r="H524"/>
      <c r="I524" s="11"/>
      <c r="J524" s="11"/>
      <c r="K524" s="11"/>
      <c r="L524"/>
      <c r="M524" s="11"/>
      <c r="N524" s="11"/>
      <c r="O524" s="11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 s="11"/>
      <c r="AD524"/>
      <c r="AE524" s="11"/>
      <c r="AF524" s="11"/>
      <c r="AG524" s="11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 s="11"/>
      <c r="CE524"/>
      <c r="CF524"/>
      <c r="CG524"/>
      <c r="CH524"/>
      <c r="CI524"/>
      <c r="CJ524"/>
      <c r="CK524"/>
      <c r="CL524"/>
    </row>
    <row r="525" spans="2:90">
      <c r="B525"/>
      <c r="C525"/>
      <c r="D525" s="11"/>
      <c r="E525"/>
      <c r="F525"/>
      <c r="G525"/>
      <c r="H525"/>
      <c r="I525" s="11"/>
      <c r="J525" s="11"/>
      <c r="K525" s="11"/>
      <c r="L525"/>
      <c r="M525" s="11"/>
      <c r="N525" s="11"/>
      <c r="O525" s="11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 s="11"/>
      <c r="AD525"/>
      <c r="AE525" s="11"/>
      <c r="AF525" s="11"/>
      <c r="AG525" s="11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 s="11"/>
      <c r="CE525"/>
      <c r="CF525"/>
      <c r="CG525"/>
      <c r="CH525"/>
      <c r="CI525"/>
      <c r="CJ525"/>
      <c r="CK525"/>
      <c r="CL525"/>
    </row>
    <row r="526" spans="2:90">
      <c r="B526"/>
      <c r="C526"/>
      <c r="D526" s="11"/>
      <c r="E526"/>
      <c r="F526"/>
      <c r="G526"/>
      <c r="H526"/>
      <c r="I526" s="11"/>
      <c r="J526" s="11"/>
      <c r="K526" s="11"/>
      <c r="L526"/>
      <c r="M526" s="11"/>
      <c r="N526" s="11"/>
      <c r="O526" s="11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 s="11"/>
      <c r="AD526"/>
      <c r="AE526" s="11"/>
      <c r="AF526" s="11"/>
      <c r="AG526" s="11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 s="11"/>
      <c r="CE526"/>
      <c r="CF526"/>
      <c r="CG526"/>
      <c r="CH526"/>
      <c r="CI526"/>
      <c r="CJ526"/>
      <c r="CK526"/>
      <c r="CL526"/>
    </row>
    <row r="527" spans="2:90">
      <c r="B527"/>
      <c r="C527"/>
      <c r="D527" s="11"/>
      <c r="E527"/>
      <c r="F527"/>
      <c r="G527"/>
      <c r="H527"/>
      <c r="I527" s="11"/>
      <c r="J527" s="11"/>
      <c r="K527" s="11"/>
      <c r="L527"/>
      <c r="M527" s="11"/>
      <c r="N527" s="11"/>
      <c r="O527" s="11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 s="11"/>
      <c r="AD527"/>
      <c r="AE527" s="11"/>
      <c r="AF527" s="11"/>
      <c r="AG527" s="11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 s="11"/>
      <c r="CE527"/>
      <c r="CF527"/>
      <c r="CG527"/>
      <c r="CH527"/>
      <c r="CI527"/>
      <c r="CJ527"/>
      <c r="CK527"/>
      <c r="CL527"/>
    </row>
    <row r="528" spans="2:90">
      <c r="B528"/>
      <c r="C528"/>
      <c r="D528" s="11"/>
      <c r="E528"/>
      <c r="F528"/>
      <c r="G528"/>
      <c r="H528"/>
      <c r="I528" s="11"/>
      <c r="J528" s="11"/>
      <c r="K528" s="11"/>
      <c r="L528"/>
      <c r="M528" s="11"/>
      <c r="N528" s="11"/>
      <c r="O528" s="11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 s="11"/>
      <c r="AD528"/>
      <c r="AE528" s="11"/>
      <c r="AF528" s="11"/>
      <c r="AG528" s="11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 s="11"/>
      <c r="CE528"/>
      <c r="CF528"/>
      <c r="CG528"/>
      <c r="CH528"/>
      <c r="CI528"/>
      <c r="CJ528"/>
      <c r="CK528"/>
      <c r="CL528"/>
    </row>
    <row r="529" spans="2:90">
      <c r="B529"/>
      <c r="C529"/>
      <c r="D529" s="11"/>
      <c r="E529"/>
      <c r="F529"/>
      <c r="G529"/>
      <c r="H529"/>
      <c r="I529" s="11"/>
      <c r="J529" s="11"/>
      <c r="K529" s="11"/>
      <c r="L529"/>
      <c r="M529" s="11"/>
      <c r="N529" s="11"/>
      <c r="O529" s="11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 s="11"/>
      <c r="AD529"/>
      <c r="AE529" s="11"/>
      <c r="AF529" s="11"/>
      <c r="AG529" s="11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 s="11"/>
      <c r="CE529"/>
      <c r="CF529"/>
      <c r="CG529"/>
      <c r="CH529"/>
      <c r="CI529"/>
      <c r="CJ529"/>
      <c r="CK529"/>
      <c r="CL529"/>
    </row>
    <row r="530" spans="2:90">
      <c r="B530"/>
      <c r="C530"/>
      <c r="D530" s="11"/>
      <c r="E530"/>
      <c r="F530"/>
      <c r="G530"/>
      <c r="H530"/>
      <c r="I530" s="11"/>
      <c r="J530" s="11"/>
      <c r="K530" s="11"/>
      <c r="L530"/>
      <c r="M530" s="11"/>
      <c r="N530" s="11"/>
      <c r="O530" s="11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 s="11"/>
      <c r="AD530"/>
      <c r="AE530" s="11"/>
      <c r="AF530" s="11"/>
      <c r="AG530" s="11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 s="11"/>
      <c r="CE530"/>
      <c r="CF530"/>
      <c r="CG530"/>
      <c r="CH530"/>
      <c r="CI530"/>
      <c r="CJ530"/>
      <c r="CK530"/>
      <c r="CL530"/>
    </row>
    <row r="531" spans="2:90">
      <c r="B531"/>
      <c r="C531"/>
      <c r="D531" s="11"/>
      <c r="E531"/>
      <c r="F531"/>
      <c r="G531"/>
      <c r="H531"/>
      <c r="I531" s="11"/>
      <c r="J531" s="11"/>
      <c r="K531" s="11"/>
      <c r="L531"/>
      <c r="M531" s="11"/>
      <c r="N531" s="11"/>
      <c r="O531" s="1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 s="11"/>
      <c r="AD531"/>
      <c r="AE531" s="11"/>
      <c r="AF531" s="11"/>
      <c r="AG531" s="1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 s="11"/>
      <c r="CE531"/>
      <c r="CF531"/>
      <c r="CG531"/>
      <c r="CH531"/>
      <c r="CI531"/>
      <c r="CJ531"/>
      <c r="CK531"/>
      <c r="CL531"/>
    </row>
    <row r="532" spans="2:90">
      <c r="B532"/>
      <c r="C532"/>
      <c r="D532" s="11"/>
      <c r="E532"/>
      <c r="F532"/>
      <c r="G532"/>
      <c r="H532"/>
      <c r="I532" s="11"/>
      <c r="J532" s="11"/>
      <c r="K532" s="11"/>
      <c r="L532"/>
      <c r="M532" s="11"/>
      <c r="N532" s="11"/>
      <c r="O532" s="11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 s="11"/>
      <c r="AD532"/>
      <c r="AE532" s="11"/>
      <c r="AF532" s="11"/>
      <c r="AG532" s="11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 s="11"/>
      <c r="CE532"/>
      <c r="CF532"/>
      <c r="CG532"/>
      <c r="CH532"/>
      <c r="CI532"/>
      <c r="CJ532"/>
      <c r="CK532"/>
      <c r="CL532"/>
    </row>
    <row r="533" spans="2:90">
      <c r="B533"/>
      <c r="C533"/>
      <c r="D533" s="11"/>
      <c r="E533"/>
      <c r="F533"/>
      <c r="G533"/>
      <c r="H533"/>
      <c r="I533" s="11"/>
      <c r="J533" s="11"/>
      <c r="K533" s="11"/>
      <c r="L533"/>
      <c r="M533" s="11"/>
      <c r="N533" s="11"/>
      <c r="O533" s="11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 s="11"/>
      <c r="AD533"/>
      <c r="AE533" s="11"/>
      <c r="AF533" s="11"/>
      <c r="AG533" s="11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 s="11"/>
      <c r="CE533"/>
      <c r="CF533"/>
      <c r="CG533"/>
      <c r="CH533"/>
      <c r="CI533"/>
      <c r="CJ533"/>
      <c r="CK533"/>
      <c r="CL533"/>
    </row>
    <row r="534" spans="2:90">
      <c r="B534"/>
      <c r="C534"/>
      <c r="D534" s="11"/>
      <c r="E534"/>
      <c r="F534"/>
      <c r="G534"/>
      <c r="H534"/>
      <c r="I534" s="11"/>
      <c r="J534" s="11"/>
      <c r="K534" s="11"/>
      <c r="L534"/>
      <c r="M534" s="11"/>
      <c r="N534" s="11"/>
      <c r="O534" s="11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 s="11"/>
      <c r="AD534"/>
      <c r="AE534" s="11"/>
      <c r="AF534" s="11"/>
      <c r="AG534" s="11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 s="11"/>
      <c r="CE534"/>
      <c r="CF534"/>
      <c r="CG534"/>
      <c r="CH534"/>
      <c r="CI534"/>
      <c r="CJ534"/>
      <c r="CK534"/>
      <c r="CL534"/>
    </row>
    <row r="535" spans="2:90">
      <c r="B535"/>
      <c r="C535"/>
      <c r="D535" s="11"/>
      <c r="E535"/>
      <c r="F535"/>
      <c r="G535"/>
      <c r="H535"/>
      <c r="I535" s="11"/>
      <c r="J535" s="11"/>
      <c r="K535" s="11"/>
      <c r="L535"/>
      <c r="M535" s="11"/>
      <c r="N535" s="11"/>
      <c r="O535" s="11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 s="11"/>
      <c r="AD535"/>
      <c r="AE535" s="11"/>
      <c r="AF535" s="11"/>
      <c r="AG535" s="11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 s="11"/>
      <c r="CE535"/>
      <c r="CF535"/>
      <c r="CG535"/>
      <c r="CH535"/>
      <c r="CI535"/>
      <c r="CJ535"/>
      <c r="CK535"/>
      <c r="CL535"/>
    </row>
    <row r="536" spans="2:90">
      <c r="B536"/>
      <c r="C536"/>
      <c r="D536" s="11"/>
      <c r="E536"/>
      <c r="F536"/>
      <c r="G536"/>
      <c r="H536"/>
      <c r="I536" s="11"/>
      <c r="J536" s="11"/>
      <c r="K536" s="11"/>
      <c r="L536"/>
      <c r="M536" s="11"/>
      <c r="N536" s="11"/>
      <c r="O536" s="11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 s="11"/>
      <c r="AD536"/>
      <c r="AE536" s="11"/>
      <c r="AF536" s="11"/>
      <c r="AG536" s="11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 s="11"/>
      <c r="CE536"/>
      <c r="CF536"/>
      <c r="CG536"/>
      <c r="CH536"/>
      <c r="CI536"/>
      <c r="CJ536"/>
      <c r="CK536"/>
      <c r="CL536"/>
    </row>
    <row r="537" spans="2:90">
      <c r="B537"/>
      <c r="C537"/>
      <c r="D537" s="11"/>
      <c r="E537"/>
      <c r="F537"/>
      <c r="G537"/>
      <c r="H537"/>
      <c r="I537" s="11"/>
      <c r="J537" s="11"/>
      <c r="K537" s="11"/>
      <c r="L537"/>
      <c r="M537" s="11"/>
      <c r="N537" s="11"/>
      <c r="O537" s="11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 s="11"/>
      <c r="AD537"/>
      <c r="AE537" s="11"/>
      <c r="AF537" s="11"/>
      <c r="AG537" s="11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 s="11"/>
      <c r="CE537"/>
      <c r="CF537"/>
      <c r="CG537"/>
      <c r="CH537"/>
      <c r="CI537"/>
      <c r="CJ537"/>
      <c r="CK537"/>
      <c r="CL537"/>
    </row>
    <row r="538" spans="2:90">
      <c r="B538"/>
      <c r="C538"/>
      <c r="D538" s="11"/>
      <c r="E538"/>
      <c r="F538"/>
      <c r="G538"/>
      <c r="H538"/>
      <c r="I538" s="11"/>
      <c r="J538" s="11"/>
      <c r="K538" s="11"/>
      <c r="L538"/>
      <c r="M538" s="11"/>
      <c r="N538" s="11"/>
      <c r="O538" s="11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 s="11"/>
      <c r="AD538"/>
      <c r="AE538" s="11"/>
      <c r="AF538" s="11"/>
      <c r="AG538" s="11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 s="11"/>
      <c r="CE538"/>
      <c r="CF538"/>
      <c r="CG538"/>
      <c r="CH538"/>
      <c r="CI538"/>
      <c r="CJ538"/>
      <c r="CK538"/>
      <c r="CL538"/>
    </row>
    <row r="539" spans="2:90">
      <c r="B539"/>
      <c r="C539"/>
      <c r="D539" s="11"/>
      <c r="E539"/>
      <c r="F539"/>
      <c r="G539"/>
      <c r="H539"/>
      <c r="I539" s="11"/>
      <c r="J539" s="11"/>
      <c r="K539" s="11"/>
      <c r="L539"/>
      <c r="M539" s="11"/>
      <c r="N539" s="11"/>
      <c r="O539" s="11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 s="11"/>
      <c r="AD539"/>
      <c r="AE539" s="11"/>
      <c r="AF539" s="11"/>
      <c r="AG539" s="11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 s="11"/>
      <c r="CE539"/>
      <c r="CF539"/>
      <c r="CG539"/>
      <c r="CH539"/>
      <c r="CI539"/>
      <c r="CJ539"/>
      <c r="CK539"/>
      <c r="CL539"/>
    </row>
    <row r="540" spans="2:90">
      <c r="B540"/>
      <c r="C540"/>
      <c r="D540" s="11"/>
      <c r="E540"/>
      <c r="F540"/>
      <c r="G540"/>
      <c r="H540"/>
      <c r="I540" s="11"/>
      <c r="J540" s="11"/>
      <c r="K540" s="11"/>
      <c r="L540"/>
      <c r="M540" s="11"/>
      <c r="N540" s="11"/>
      <c r="O540" s="11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 s="11"/>
      <c r="AD540"/>
      <c r="AE540" s="11"/>
      <c r="AF540" s="11"/>
      <c r="AG540" s="11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 s="11"/>
      <c r="CE540"/>
      <c r="CF540"/>
      <c r="CG540"/>
      <c r="CH540"/>
      <c r="CI540"/>
      <c r="CJ540"/>
      <c r="CK540"/>
      <c r="CL540"/>
    </row>
    <row r="541" spans="2:90">
      <c r="B541"/>
      <c r="C541"/>
      <c r="D541" s="11"/>
      <c r="E541"/>
      <c r="F541"/>
      <c r="G541"/>
      <c r="H541"/>
      <c r="I541" s="11"/>
      <c r="J541" s="11"/>
      <c r="K541" s="11"/>
      <c r="L541"/>
      <c r="M541" s="11"/>
      <c r="N541" s="11"/>
      <c r="O541" s="1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 s="11"/>
      <c r="AD541"/>
      <c r="AE541" s="11"/>
      <c r="AF541" s="11"/>
      <c r="AG541" s="1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 s="11"/>
      <c r="CE541"/>
      <c r="CF541"/>
      <c r="CG541"/>
      <c r="CH541"/>
      <c r="CI541"/>
      <c r="CJ541"/>
      <c r="CK541"/>
      <c r="CL541"/>
    </row>
    <row r="542" spans="2:90">
      <c r="B542"/>
      <c r="C542"/>
      <c r="D542" s="11"/>
      <c r="E542"/>
      <c r="F542"/>
      <c r="G542"/>
      <c r="H542"/>
      <c r="I542" s="11"/>
      <c r="J542" s="11"/>
      <c r="K542" s="11"/>
      <c r="L542"/>
      <c r="M542" s="11"/>
      <c r="N542" s="11"/>
      <c r="O542" s="11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 s="11"/>
      <c r="AD542"/>
      <c r="AE542" s="11"/>
      <c r="AF542" s="11"/>
      <c r="AG542" s="11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 s="11"/>
      <c r="CE542"/>
      <c r="CF542"/>
      <c r="CG542"/>
      <c r="CH542"/>
      <c r="CI542"/>
      <c r="CJ542"/>
      <c r="CK542"/>
      <c r="CL542"/>
    </row>
    <row r="543" spans="2:90">
      <c r="B543"/>
      <c r="C543"/>
      <c r="D543" s="11"/>
      <c r="E543"/>
      <c r="F543"/>
      <c r="G543"/>
      <c r="H543"/>
      <c r="I543" s="11"/>
      <c r="J543" s="11"/>
      <c r="K543" s="11"/>
      <c r="L543"/>
      <c r="M543" s="11"/>
      <c r="N543" s="11"/>
      <c r="O543" s="11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 s="11"/>
      <c r="AD543"/>
      <c r="AE543" s="11"/>
      <c r="AF543" s="11"/>
      <c r="AG543" s="11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 s="11"/>
      <c r="CE543"/>
      <c r="CF543"/>
      <c r="CG543"/>
      <c r="CH543"/>
      <c r="CI543"/>
      <c r="CJ543"/>
      <c r="CK543"/>
      <c r="CL543"/>
    </row>
    <row r="544" spans="2:90">
      <c r="B544"/>
      <c r="C544"/>
      <c r="D544" s="11"/>
      <c r="E544"/>
      <c r="F544"/>
      <c r="G544"/>
      <c r="H544"/>
      <c r="I544" s="11"/>
      <c r="J544" s="11"/>
      <c r="K544" s="11"/>
      <c r="L544"/>
      <c r="M544" s="11"/>
      <c r="N544" s="11"/>
      <c r="O544" s="11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 s="11"/>
      <c r="AD544"/>
      <c r="AE544" s="11"/>
      <c r="AF544" s="11"/>
      <c r="AG544" s="11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 s="11"/>
      <c r="CE544"/>
      <c r="CF544"/>
      <c r="CG544"/>
      <c r="CH544"/>
      <c r="CI544"/>
      <c r="CJ544"/>
      <c r="CK544"/>
      <c r="CL544"/>
    </row>
    <row r="545" spans="2:90">
      <c r="B545"/>
      <c r="C545"/>
      <c r="D545" s="11"/>
      <c r="E545"/>
      <c r="F545"/>
      <c r="G545"/>
      <c r="H545"/>
      <c r="I545" s="11"/>
      <c r="J545" s="11"/>
      <c r="K545" s="11"/>
      <c r="L545"/>
      <c r="M545" s="11"/>
      <c r="N545" s="11"/>
      <c r="O545" s="11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 s="11"/>
      <c r="AD545"/>
      <c r="AE545" s="11"/>
      <c r="AF545" s="11"/>
      <c r="AG545" s="11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 s="11"/>
      <c r="CE545"/>
      <c r="CF545"/>
      <c r="CG545"/>
      <c r="CH545"/>
      <c r="CI545"/>
      <c r="CJ545"/>
      <c r="CK545"/>
      <c r="CL545"/>
    </row>
    <row r="546" spans="2:90">
      <c r="B546"/>
      <c r="C546"/>
      <c r="D546" s="11"/>
      <c r="E546"/>
      <c r="F546"/>
      <c r="G546"/>
      <c r="H546"/>
      <c r="I546" s="11"/>
      <c r="J546" s="11"/>
      <c r="K546" s="11"/>
      <c r="L546"/>
      <c r="M546" s="11"/>
      <c r="N546" s="11"/>
      <c r="O546" s="11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 s="11"/>
      <c r="AD546"/>
      <c r="AE546" s="11"/>
      <c r="AF546" s="11"/>
      <c r="AG546" s="11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 s="11"/>
      <c r="CE546"/>
      <c r="CF546"/>
      <c r="CG546"/>
      <c r="CH546"/>
      <c r="CI546"/>
      <c r="CJ546"/>
      <c r="CK546"/>
      <c r="CL546"/>
    </row>
    <row r="547" spans="2:90">
      <c r="B547"/>
      <c r="C547"/>
      <c r="D547" s="11"/>
      <c r="E547"/>
      <c r="F547"/>
      <c r="G547"/>
      <c r="H547"/>
      <c r="I547" s="11"/>
      <c r="J547" s="11"/>
      <c r="K547" s="11"/>
      <c r="L547"/>
      <c r="M547" s="11"/>
      <c r="N547" s="11"/>
      <c r="O547" s="11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 s="11"/>
      <c r="AD547"/>
      <c r="AE547" s="11"/>
      <c r="AF547" s="11"/>
      <c r="AG547" s="11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 s="11"/>
      <c r="CE547"/>
      <c r="CF547"/>
      <c r="CG547"/>
      <c r="CH547"/>
      <c r="CI547"/>
      <c r="CJ547"/>
      <c r="CK547"/>
      <c r="CL547"/>
    </row>
    <row r="548" spans="2:90">
      <c r="B548"/>
      <c r="C548"/>
      <c r="D548" s="11"/>
      <c r="E548"/>
      <c r="F548"/>
      <c r="G548"/>
      <c r="H548"/>
      <c r="I548" s="11"/>
      <c r="J548" s="11"/>
      <c r="K548" s="11"/>
      <c r="L548"/>
      <c r="M548" s="11"/>
      <c r="N548" s="11"/>
      <c r="O548" s="11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 s="11"/>
      <c r="AD548"/>
      <c r="AE548" s="11"/>
      <c r="AF548" s="11"/>
      <c r="AG548" s="11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 s="11"/>
      <c r="CE548"/>
      <c r="CF548"/>
      <c r="CG548"/>
      <c r="CH548"/>
      <c r="CI548"/>
      <c r="CJ548"/>
      <c r="CK548"/>
      <c r="CL548"/>
    </row>
    <row r="549" spans="2:90">
      <c r="B549"/>
      <c r="C549"/>
      <c r="D549" s="11"/>
      <c r="E549"/>
      <c r="F549"/>
      <c r="G549"/>
      <c r="H549"/>
      <c r="I549" s="11"/>
      <c r="J549" s="11"/>
      <c r="K549" s="11"/>
      <c r="L549"/>
      <c r="M549" s="11"/>
      <c r="N549" s="11"/>
      <c r="O549" s="11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 s="11"/>
      <c r="AD549"/>
      <c r="AE549" s="11"/>
      <c r="AF549" s="11"/>
      <c r="AG549" s="11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 s="11"/>
      <c r="CE549"/>
      <c r="CF549"/>
      <c r="CG549"/>
      <c r="CH549"/>
      <c r="CI549"/>
      <c r="CJ549"/>
      <c r="CK549"/>
      <c r="CL549"/>
    </row>
    <row r="550" spans="2:90">
      <c r="B550"/>
      <c r="C550"/>
      <c r="D550" s="11"/>
      <c r="E550"/>
      <c r="F550"/>
      <c r="G550"/>
      <c r="H550"/>
      <c r="I550" s="11"/>
      <c r="J550" s="11"/>
      <c r="K550" s="11"/>
      <c r="L550"/>
      <c r="M550" s="11"/>
      <c r="N550" s="11"/>
      <c r="O550" s="11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 s="11"/>
      <c r="AD550"/>
      <c r="AE550" s="11"/>
      <c r="AF550" s="11"/>
      <c r="AG550" s="11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 s="11"/>
      <c r="CE550"/>
      <c r="CF550"/>
      <c r="CG550"/>
      <c r="CH550"/>
      <c r="CI550"/>
      <c r="CJ550"/>
      <c r="CK550"/>
      <c r="CL550"/>
    </row>
    <row r="551" spans="2:90">
      <c r="B551"/>
      <c r="C551"/>
      <c r="D551" s="11"/>
      <c r="E551"/>
      <c r="F551"/>
      <c r="G551"/>
      <c r="H551"/>
      <c r="I551" s="11"/>
      <c r="J551" s="11"/>
      <c r="K551" s="11"/>
      <c r="L551"/>
      <c r="M551" s="11"/>
      <c r="N551" s="11"/>
      <c r="O551" s="1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 s="11"/>
      <c r="AD551"/>
      <c r="AE551" s="11"/>
      <c r="AF551" s="11"/>
      <c r="AG551" s="1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 s="11"/>
      <c r="CE551"/>
      <c r="CF551"/>
      <c r="CG551"/>
      <c r="CH551"/>
      <c r="CI551"/>
      <c r="CJ551"/>
      <c r="CK551"/>
      <c r="CL551"/>
    </row>
    <row r="552" spans="2:90">
      <c r="B552"/>
      <c r="C552"/>
      <c r="D552" s="11"/>
      <c r="E552"/>
      <c r="F552"/>
      <c r="G552"/>
      <c r="H552"/>
      <c r="I552" s="11"/>
      <c r="J552" s="11"/>
      <c r="K552" s="11"/>
      <c r="L552"/>
      <c r="M552" s="11"/>
      <c r="N552" s="11"/>
      <c r="O552" s="11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 s="11"/>
      <c r="AD552"/>
      <c r="AE552" s="11"/>
      <c r="AF552" s="11"/>
      <c r="AG552" s="11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 s="11"/>
      <c r="CE552"/>
      <c r="CF552"/>
      <c r="CG552"/>
      <c r="CH552"/>
      <c r="CI552"/>
      <c r="CJ552"/>
      <c r="CK552"/>
      <c r="CL552"/>
    </row>
    <row r="553" spans="2:90">
      <c r="B553"/>
      <c r="C553"/>
      <c r="D553" s="11"/>
      <c r="E553"/>
      <c r="F553"/>
      <c r="G553"/>
      <c r="H553"/>
      <c r="I553" s="11"/>
      <c r="J553" s="11"/>
      <c r="K553" s="11"/>
      <c r="L553"/>
      <c r="M553" s="11"/>
      <c r="N553" s="11"/>
      <c r="O553" s="11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 s="11"/>
      <c r="AD553"/>
      <c r="AE553" s="11"/>
      <c r="AF553" s="11"/>
      <c r="AG553" s="11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 s="11"/>
      <c r="CE553"/>
      <c r="CF553"/>
      <c r="CG553"/>
      <c r="CH553"/>
      <c r="CI553"/>
      <c r="CJ553"/>
      <c r="CK553"/>
      <c r="CL553"/>
    </row>
    <row r="554" spans="2:90">
      <c r="B554"/>
      <c r="C554"/>
      <c r="D554" s="11"/>
      <c r="E554"/>
      <c r="F554"/>
      <c r="G554"/>
      <c r="H554"/>
      <c r="I554" s="11"/>
      <c r="J554" s="11"/>
      <c r="K554" s="11"/>
      <c r="L554"/>
      <c r="M554" s="11"/>
      <c r="N554" s="11"/>
      <c r="O554" s="11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 s="11"/>
      <c r="AD554"/>
      <c r="AE554" s="11"/>
      <c r="AF554" s="11"/>
      <c r="AG554" s="11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 s="11"/>
      <c r="CE554"/>
      <c r="CF554"/>
      <c r="CG554"/>
      <c r="CH554"/>
      <c r="CI554"/>
      <c r="CJ554"/>
      <c r="CK554"/>
      <c r="CL554"/>
    </row>
    <row r="555" spans="2:90">
      <c r="B555"/>
      <c r="C555"/>
      <c r="D555" s="11"/>
      <c r="E555"/>
      <c r="F555"/>
      <c r="G555"/>
      <c r="H555"/>
      <c r="I555" s="11"/>
      <c r="J555" s="11"/>
      <c r="K555" s="11"/>
      <c r="L555"/>
      <c r="M555" s="11"/>
      <c r="N555" s="11"/>
      <c r="O555" s="11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 s="11"/>
      <c r="AD555"/>
      <c r="AE555" s="11"/>
      <c r="AF555" s="11"/>
      <c r="AG555" s="11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 s="11"/>
      <c r="CE555"/>
      <c r="CF555"/>
      <c r="CG555"/>
      <c r="CH555"/>
      <c r="CI555"/>
      <c r="CJ555"/>
      <c r="CK555"/>
      <c r="CL555"/>
    </row>
    <row r="556" spans="2:90">
      <c r="B556"/>
      <c r="C556"/>
      <c r="D556" s="11"/>
      <c r="E556"/>
      <c r="F556"/>
      <c r="G556"/>
      <c r="H556"/>
      <c r="I556" s="11"/>
      <c r="J556" s="11"/>
      <c r="K556" s="11"/>
      <c r="L556"/>
      <c r="M556" s="11"/>
      <c r="N556" s="11"/>
      <c r="O556" s="11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 s="11"/>
      <c r="AD556"/>
      <c r="AE556" s="11"/>
      <c r="AF556" s="11"/>
      <c r="AG556" s="11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 s="11"/>
      <c r="CE556"/>
      <c r="CF556"/>
      <c r="CG556"/>
      <c r="CH556"/>
      <c r="CI556"/>
      <c r="CJ556"/>
      <c r="CK556"/>
      <c r="CL556"/>
    </row>
    <row r="557" spans="2:90">
      <c r="B557"/>
      <c r="C557"/>
      <c r="D557" s="11"/>
      <c r="E557"/>
      <c r="F557"/>
      <c r="G557"/>
      <c r="H557"/>
      <c r="I557" s="11"/>
      <c r="J557" s="11"/>
      <c r="K557" s="11"/>
      <c r="L557"/>
      <c r="M557" s="11"/>
      <c r="N557" s="11"/>
      <c r="O557" s="11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 s="11"/>
      <c r="AD557"/>
      <c r="AE557" s="11"/>
      <c r="AF557" s="11"/>
      <c r="AG557" s="11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 s="11"/>
      <c r="CE557"/>
      <c r="CF557"/>
      <c r="CG557"/>
      <c r="CH557"/>
      <c r="CI557"/>
      <c r="CJ557"/>
      <c r="CK557"/>
      <c r="CL557"/>
    </row>
    <row r="558" spans="2:90">
      <c r="B558"/>
      <c r="C558"/>
      <c r="D558" s="11"/>
      <c r="E558"/>
      <c r="F558"/>
      <c r="G558"/>
      <c r="H558"/>
      <c r="I558" s="11"/>
      <c r="J558" s="11"/>
      <c r="K558" s="11"/>
      <c r="L558"/>
      <c r="M558" s="11"/>
      <c r="N558" s="11"/>
      <c r="O558" s="11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 s="11"/>
      <c r="AD558"/>
      <c r="AE558" s="11"/>
      <c r="AF558" s="11"/>
      <c r="AG558" s="11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 s="11"/>
      <c r="CE558"/>
      <c r="CF558"/>
      <c r="CG558"/>
      <c r="CH558"/>
      <c r="CI558"/>
      <c r="CJ558"/>
      <c r="CK558"/>
      <c r="CL558"/>
    </row>
    <row r="559" spans="2:90">
      <c r="B559"/>
      <c r="C559"/>
      <c r="D559" s="11"/>
      <c r="E559"/>
      <c r="F559"/>
      <c r="G559"/>
      <c r="H559"/>
      <c r="I559" s="11"/>
      <c r="J559" s="11"/>
      <c r="K559" s="11"/>
      <c r="L559"/>
      <c r="M559" s="11"/>
      <c r="N559" s="11"/>
      <c r="O559" s="11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 s="11"/>
      <c r="AD559"/>
      <c r="AE559" s="11"/>
      <c r="AF559" s="11"/>
      <c r="AG559" s="11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 s="11"/>
      <c r="CE559"/>
      <c r="CF559"/>
      <c r="CG559"/>
      <c r="CH559"/>
      <c r="CI559"/>
      <c r="CJ559"/>
      <c r="CK559"/>
      <c r="CL559"/>
    </row>
    <row r="560" spans="2:90">
      <c r="B560"/>
      <c r="C560"/>
      <c r="D560" s="11"/>
      <c r="E560"/>
      <c r="F560"/>
      <c r="G560"/>
      <c r="H560"/>
      <c r="I560" s="11"/>
      <c r="J560" s="11"/>
      <c r="K560" s="11"/>
      <c r="L560"/>
      <c r="M560" s="11"/>
      <c r="N560" s="11"/>
      <c r="O560" s="11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 s="11"/>
      <c r="AD560"/>
      <c r="AE560" s="11"/>
      <c r="AF560" s="11"/>
      <c r="AG560" s="11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 s="11"/>
      <c r="CE560"/>
      <c r="CF560"/>
      <c r="CG560"/>
      <c r="CH560"/>
      <c r="CI560"/>
      <c r="CJ560"/>
      <c r="CK560"/>
      <c r="CL560"/>
    </row>
    <row r="561" spans="2:90">
      <c r="B561"/>
      <c r="C561"/>
      <c r="D561" s="11"/>
      <c r="E561"/>
      <c r="F561"/>
      <c r="G561"/>
      <c r="H561"/>
      <c r="I561" s="11"/>
      <c r="J561" s="11"/>
      <c r="K561" s="11"/>
      <c r="L561"/>
      <c r="M561" s="11"/>
      <c r="N561" s="11"/>
      <c r="O561" s="1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 s="11"/>
      <c r="AD561"/>
      <c r="AE561" s="11"/>
      <c r="AF561" s="11"/>
      <c r="AG561" s="1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 s="11"/>
      <c r="CE561"/>
      <c r="CF561"/>
      <c r="CG561"/>
      <c r="CH561"/>
      <c r="CI561"/>
      <c r="CJ561"/>
      <c r="CK561"/>
      <c r="CL561"/>
    </row>
    <row r="562" spans="2:90">
      <c r="B562"/>
      <c r="C562"/>
      <c r="D562" s="11"/>
      <c r="E562"/>
      <c r="F562"/>
      <c r="G562"/>
      <c r="H562"/>
      <c r="I562" s="11"/>
      <c r="J562" s="11"/>
      <c r="K562" s="11"/>
      <c r="L562"/>
      <c r="M562" s="11"/>
      <c r="N562" s="11"/>
      <c r="O562" s="11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 s="11"/>
      <c r="AD562"/>
      <c r="AE562" s="11"/>
      <c r="AF562" s="11"/>
      <c r="AG562" s="11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 s="11"/>
      <c r="CE562"/>
      <c r="CF562"/>
      <c r="CG562"/>
      <c r="CH562"/>
      <c r="CI562"/>
      <c r="CJ562"/>
      <c r="CK562"/>
      <c r="CL562"/>
    </row>
    <row r="563" spans="2:90">
      <c r="B563"/>
      <c r="C563"/>
      <c r="D563" s="11"/>
      <c r="E563"/>
      <c r="F563"/>
      <c r="G563"/>
      <c r="H563"/>
      <c r="I563" s="11"/>
      <c r="J563" s="11"/>
      <c r="K563" s="11"/>
      <c r="L563"/>
      <c r="M563" s="11"/>
      <c r="N563" s="11"/>
      <c r="O563" s="11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 s="11"/>
      <c r="AD563"/>
      <c r="AE563" s="11"/>
      <c r="AF563" s="11"/>
      <c r="AG563" s="11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 s="11"/>
      <c r="CE563"/>
      <c r="CF563"/>
      <c r="CG563"/>
      <c r="CH563"/>
      <c r="CI563"/>
      <c r="CJ563"/>
      <c r="CK563"/>
      <c r="CL563"/>
    </row>
    <row r="564" spans="2:90">
      <c r="B564"/>
      <c r="C564"/>
      <c r="D564" s="11"/>
      <c r="E564"/>
      <c r="F564"/>
      <c r="G564"/>
      <c r="H564"/>
      <c r="I564" s="11"/>
      <c r="J564" s="11"/>
      <c r="K564" s="11"/>
      <c r="L564"/>
      <c r="M564" s="11"/>
      <c r="N564" s="11"/>
      <c r="O564" s="11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 s="11"/>
      <c r="AD564"/>
      <c r="AE564" s="11"/>
      <c r="AF564" s="11"/>
      <c r="AG564" s="11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 s="11"/>
      <c r="CE564"/>
      <c r="CF564"/>
      <c r="CG564"/>
      <c r="CH564"/>
      <c r="CI564"/>
      <c r="CJ564"/>
      <c r="CK564"/>
      <c r="CL564"/>
    </row>
    <row r="565" spans="2:90">
      <c r="B565"/>
      <c r="C565"/>
      <c r="D565" s="11"/>
      <c r="E565"/>
      <c r="F565"/>
      <c r="G565"/>
      <c r="H565"/>
      <c r="I565" s="11"/>
      <c r="J565" s="11"/>
      <c r="K565" s="11"/>
      <c r="L565"/>
      <c r="M565" s="11"/>
      <c r="N565" s="11"/>
      <c r="O565" s="11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 s="11"/>
      <c r="AD565"/>
      <c r="AE565" s="11"/>
      <c r="AF565" s="11"/>
      <c r="AG565" s="11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 s="11"/>
      <c r="CE565"/>
      <c r="CF565"/>
      <c r="CG565"/>
      <c r="CH565"/>
      <c r="CI565"/>
      <c r="CJ565"/>
      <c r="CK565"/>
      <c r="CL565"/>
    </row>
    <row r="566" spans="2:90">
      <c r="B566"/>
      <c r="C566"/>
      <c r="D566" s="11"/>
      <c r="E566"/>
      <c r="F566"/>
      <c r="G566"/>
      <c r="H566"/>
      <c r="I566" s="11"/>
      <c r="J566" s="11"/>
      <c r="K566" s="11"/>
      <c r="L566"/>
      <c r="M566" s="11"/>
      <c r="N566" s="11"/>
      <c r="O566" s="11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 s="11"/>
      <c r="AD566"/>
      <c r="AE566" s="11"/>
      <c r="AF566" s="11"/>
      <c r="AG566" s="11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 s="11"/>
      <c r="CE566"/>
      <c r="CF566"/>
      <c r="CG566"/>
      <c r="CH566"/>
      <c r="CI566"/>
      <c r="CJ566"/>
      <c r="CK566"/>
      <c r="CL566"/>
    </row>
    <row r="567" spans="2:90">
      <c r="B567"/>
      <c r="C567"/>
      <c r="D567" s="11"/>
      <c r="E567"/>
      <c r="F567"/>
      <c r="G567"/>
      <c r="H567"/>
      <c r="I567" s="11"/>
      <c r="J567" s="11"/>
      <c r="K567" s="11"/>
      <c r="L567"/>
      <c r="M567" s="11"/>
      <c r="N567" s="11"/>
      <c r="O567" s="11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 s="11"/>
      <c r="AD567"/>
      <c r="AE567" s="11"/>
      <c r="AF567" s="11"/>
      <c r="AG567" s="11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 s="11"/>
      <c r="CE567"/>
      <c r="CF567"/>
      <c r="CG567"/>
      <c r="CH567"/>
      <c r="CI567"/>
      <c r="CJ567"/>
      <c r="CK567"/>
      <c r="CL567"/>
    </row>
    <row r="568" spans="2:90">
      <c r="B568"/>
      <c r="C568"/>
      <c r="D568" s="11"/>
      <c r="E568"/>
      <c r="F568"/>
      <c r="G568"/>
      <c r="H568"/>
      <c r="I568" s="11"/>
      <c r="J568" s="11"/>
      <c r="K568" s="11"/>
      <c r="L568"/>
      <c r="M568" s="11"/>
      <c r="N568" s="11"/>
      <c r="O568" s="11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 s="11"/>
      <c r="AD568"/>
      <c r="AE568" s="11"/>
      <c r="AF568" s="11"/>
      <c r="AG568" s="11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 s="11"/>
      <c r="CE568"/>
      <c r="CF568"/>
      <c r="CG568"/>
      <c r="CH568"/>
      <c r="CI568"/>
      <c r="CJ568"/>
      <c r="CK568"/>
      <c r="CL568"/>
    </row>
    <row r="569" spans="2:90">
      <c r="B569"/>
      <c r="C569"/>
      <c r="D569" s="11"/>
      <c r="E569"/>
      <c r="F569"/>
      <c r="G569"/>
      <c r="H569"/>
      <c r="I569" s="11"/>
      <c r="J569" s="11"/>
      <c r="K569" s="11"/>
      <c r="L569"/>
      <c r="M569" s="11"/>
      <c r="N569" s="11"/>
      <c r="O569" s="11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 s="11"/>
      <c r="AD569"/>
      <c r="AE569" s="11"/>
      <c r="AF569" s="11"/>
      <c r="AG569" s="11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 s="11"/>
      <c r="CE569"/>
      <c r="CF569"/>
      <c r="CG569"/>
      <c r="CH569"/>
      <c r="CI569"/>
      <c r="CJ569"/>
      <c r="CK569"/>
      <c r="CL569"/>
    </row>
    <row r="570" spans="2:90">
      <c r="B570"/>
      <c r="C570"/>
      <c r="D570" s="11"/>
      <c r="E570"/>
      <c r="F570"/>
      <c r="G570"/>
      <c r="H570"/>
      <c r="I570" s="11"/>
      <c r="J570" s="11"/>
      <c r="K570" s="11"/>
      <c r="L570"/>
      <c r="M570" s="11"/>
      <c r="N570" s="11"/>
      <c r="O570" s="11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 s="11"/>
      <c r="AD570"/>
      <c r="AE570" s="11"/>
      <c r="AF570" s="11"/>
      <c r="AG570" s="11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 s="11"/>
      <c r="CE570"/>
      <c r="CF570"/>
      <c r="CG570"/>
      <c r="CH570"/>
      <c r="CI570"/>
      <c r="CJ570"/>
      <c r="CK570"/>
      <c r="CL570"/>
    </row>
    <row r="571" spans="2:90">
      <c r="B571"/>
      <c r="C571"/>
      <c r="D571" s="11"/>
      <c r="E571"/>
      <c r="F571"/>
      <c r="G571"/>
      <c r="H571"/>
      <c r="I571" s="11"/>
      <c r="J571" s="11"/>
      <c r="K571" s="11"/>
      <c r="L571"/>
      <c r="M571" s="11"/>
      <c r="N571" s="11"/>
      <c r="O571" s="1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 s="11"/>
      <c r="AD571"/>
      <c r="AE571" s="11"/>
      <c r="AF571" s="11"/>
      <c r="AG571" s="1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 s="11"/>
      <c r="CE571"/>
      <c r="CF571"/>
      <c r="CG571"/>
      <c r="CH571"/>
      <c r="CI571"/>
      <c r="CJ571"/>
      <c r="CK571"/>
      <c r="CL571"/>
    </row>
    <row r="572" spans="2:90">
      <c r="B572"/>
      <c r="C572"/>
      <c r="D572" s="11"/>
      <c r="E572"/>
      <c r="F572"/>
      <c r="G572"/>
      <c r="H572"/>
      <c r="I572" s="11"/>
      <c r="J572" s="11"/>
      <c r="K572" s="11"/>
      <c r="L572"/>
      <c r="M572" s="11"/>
      <c r="N572" s="11"/>
      <c r="O572" s="11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 s="11"/>
      <c r="AD572"/>
      <c r="AE572" s="11"/>
      <c r="AF572" s="11"/>
      <c r="AG572" s="11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 s="11"/>
      <c r="CE572"/>
      <c r="CF572"/>
      <c r="CG572"/>
      <c r="CH572"/>
      <c r="CI572"/>
      <c r="CJ572"/>
      <c r="CK572"/>
      <c r="CL572"/>
    </row>
    <row r="573" spans="2:90">
      <c r="B573"/>
      <c r="C573"/>
      <c r="D573" s="11"/>
      <c r="E573"/>
      <c r="F573"/>
      <c r="G573"/>
      <c r="H573"/>
      <c r="I573" s="11"/>
      <c r="J573" s="11"/>
      <c r="K573" s="11"/>
      <c r="L573"/>
      <c r="M573" s="11"/>
      <c r="N573" s="11"/>
      <c r="O573" s="11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 s="11"/>
      <c r="AD573"/>
      <c r="AE573" s="11"/>
      <c r="AF573" s="11"/>
      <c r="AG573" s="11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 s="11"/>
      <c r="CE573"/>
      <c r="CF573"/>
      <c r="CG573"/>
      <c r="CH573"/>
      <c r="CI573"/>
      <c r="CJ573"/>
      <c r="CK573"/>
      <c r="CL573"/>
    </row>
    <row r="574" spans="2:90">
      <c r="B574"/>
      <c r="C574"/>
      <c r="D574" s="11"/>
      <c r="E574"/>
      <c r="F574"/>
      <c r="G574"/>
      <c r="H574"/>
      <c r="I574" s="11"/>
      <c r="J574" s="11"/>
      <c r="K574" s="11"/>
      <c r="L574"/>
      <c r="M574" s="11"/>
      <c r="N574" s="11"/>
      <c r="O574" s="11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 s="11"/>
      <c r="AD574"/>
      <c r="AE574" s="11"/>
      <c r="AF574" s="11"/>
      <c r="AG574" s="11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 s="11"/>
      <c r="CE574"/>
      <c r="CF574"/>
      <c r="CG574"/>
      <c r="CH574"/>
      <c r="CI574"/>
      <c r="CJ574"/>
      <c r="CK574"/>
      <c r="CL574"/>
    </row>
    <row r="575" spans="2:90">
      <c r="B575"/>
      <c r="C575"/>
      <c r="D575" s="11"/>
      <c r="E575"/>
      <c r="F575"/>
      <c r="G575"/>
      <c r="H575"/>
      <c r="I575" s="11"/>
      <c r="J575" s="11"/>
      <c r="K575" s="11"/>
      <c r="L575"/>
      <c r="M575" s="11"/>
      <c r="N575" s="11"/>
      <c r="O575" s="11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 s="11"/>
      <c r="AD575"/>
      <c r="AE575" s="11"/>
      <c r="AF575" s="11"/>
      <c r="AG575" s="11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 s="11"/>
      <c r="CE575"/>
      <c r="CF575"/>
      <c r="CG575"/>
      <c r="CH575"/>
      <c r="CI575"/>
      <c r="CJ575"/>
      <c r="CK575"/>
      <c r="CL575"/>
    </row>
    <row r="576" spans="2:90">
      <c r="B576"/>
      <c r="C576"/>
      <c r="D576" s="11"/>
      <c r="E576"/>
      <c r="F576"/>
      <c r="G576"/>
      <c r="H576"/>
      <c r="I576" s="11"/>
      <c r="J576" s="11"/>
      <c r="K576" s="11"/>
      <c r="L576"/>
      <c r="M576" s="11"/>
      <c r="N576" s="11"/>
      <c r="O576" s="11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 s="11"/>
      <c r="AD576"/>
      <c r="AE576" s="11"/>
      <c r="AF576" s="11"/>
      <c r="AG576" s="11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 s="11"/>
      <c r="CE576"/>
      <c r="CF576"/>
      <c r="CG576"/>
      <c r="CH576"/>
      <c r="CI576"/>
      <c r="CJ576"/>
      <c r="CK576"/>
      <c r="CL576"/>
    </row>
    <row r="577" spans="2:90">
      <c r="B577"/>
      <c r="C577"/>
      <c r="D577" s="11"/>
      <c r="E577"/>
      <c r="F577"/>
      <c r="G577"/>
      <c r="H577"/>
      <c r="I577" s="11"/>
      <c r="J577" s="11"/>
      <c r="K577" s="11"/>
      <c r="L577"/>
      <c r="M577" s="11"/>
      <c r="N577" s="11"/>
      <c r="O577" s="11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 s="11"/>
      <c r="AD577"/>
      <c r="AE577" s="11"/>
      <c r="AF577" s="11"/>
      <c r="AG577" s="11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 s="11"/>
      <c r="CE577"/>
      <c r="CF577"/>
      <c r="CG577"/>
      <c r="CH577"/>
      <c r="CI577"/>
      <c r="CJ577"/>
      <c r="CK577"/>
      <c r="CL577"/>
    </row>
    <row r="578" spans="2:90">
      <c r="B578"/>
      <c r="C578"/>
      <c r="D578" s="11"/>
      <c r="E578"/>
      <c r="F578"/>
      <c r="G578"/>
      <c r="H578"/>
      <c r="I578" s="11"/>
      <c r="J578" s="11"/>
      <c r="K578" s="11"/>
      <c r="L578"/>
      <c r="M578" s="11"/>
      <c r="N578" s="11"/>
      <c r="O578" s="11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 s="11"/>
      <c r="AD578"/>
      <c r="AE578" s="11"/>
      <c r="AF578" s="11"/>
      <c r="AG578" s="11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 s="11"/>
      <c r="CE578"/>
      <c r="CF578"/>
      <c r="CG578"/>
      <c r="CH578"/>
      <c r="CI578"/>
      <c r="CJ578"/>
      <c r="CK578"/>
      <c r="CL578"/>
    </row>
    <row r="579" spans="2:90">
      <c r="B579"/>
      <c r="C579"/>
      <c r="D579" s="11"/>
      <c r="E579"/>
      <c r="F579"/>
      <c r="G579"/>
      <c r="H579"/>
      <c r="I579" s="11"/>
      <c r="J579" s="11"/>
      <c r="K579" s="11"/>
      <c r="L579"/>
      <c r="M579" s="11"/>
      <c r="N579" s="11"/>
      <c r="O579" s="11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 s="11"/>
      <c r="AD579"/>
      <c r="AE579" s="11"/>
      <c r="AF579" s="11"/>
      <c r="AG579" s="11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 s="11"/>
      <c r="CE579"/>
      <c r="CF579"/>
      <c r="CG579"/>
      <c r="CH579"/>
      <c r="CI579"/>
      <c r="CJ579"/>
      <c r="CK579"/>
      <c r="CL579"/>
    </row>
    <row r="580" spans="2:90">
      <c r="B580"/>
      <c r="C580"/>
      <c r="D580" s="11"/>
      <c r="E580"/>
      <c r="F580"/>
      <c r="G580"/>
      <c r="H580"/>
      <c r="I580" s="11"/>
      <c r="J580" s="11"/>
      <c r="K580" s="11"/>
      <c r="L580"/>
      <c r="M580" s="11"/>
      <c r="N580" s="11"/>
      <c r="O580" s="11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 s="11"/>
      <c r="AD580"/>
      <c r="AE580" s="11"/>
      <c r="AF580" s="11"/>
      <c r="AG580" s="11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 s="11"/>
      <c r="CE580"/>
      <c r="CF580"/>
      <c r="CG580"/>
      <c r="CH580"/>
      <c r="CI580"/>
      <c r="CJ580"/>
      <c r="CK580"/>
      <c r="CL580"/>
    </row>
    <row r="581" spans="2:90">
      <c r="B581"/>
      <c r="C581"/>
      <c r="D581" s="11"/>
      <c r="E581"/>
      <c r="F581"/>
      <c r="G581"/>
      <c r="H581"/>
      <c r="I581" s="11"/>
      <c r="J581" s="11"/>
      <c r="K581" s="11"/>
      <c r="L581"/>
      <c r="M581" s="11"/>
      <c r="N581" s="11"/>
      <c r="O581" s="1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 s="11"/>
      <c r="AD581"/>
      <c r="AE581" s="11"/>
      <c r="AF581" s="11"/>
      <c r="AG581" s="1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 s="11"/>
      <c r="CE581"/>
      <c r="CF581"/>
      <c r="CG581"/>
      <c r="CH581"/>
      <c r="CI581"/>
      <c r="CJ581"/>
      <c r="CK581"/>
      <c r="CL581"/>
    </row>
    <row r="582" spans="2:90">
      <c r="B582"/>
      <c r="C582"/>
      <c r="D582" s="11"/>
      <c r="E582"/>
      <c r="F582"/>
      <c r="G582"/>
      <c r="H582"/>
      <c r="I582" s="11"/>
      <c r="J582" s="11"/>
      <c r="K582" s="11"/>
      <c r="L582"/>
      <c r="M582" s="11"/>
      <c r="N582" s="11"/>
      <c r="O582" s="11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 s="11"/>
      <c r="AD582"/>
      <c r="AE582" s="11"/>
      <c r="AF582" s="11"/>
      <c r="AG582" s="11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 s="11"/>
      <c r="CE582"/>
      <c r="CF582"/>
      <c r="CG582"/>
      <c r="CH582"/>
      <c r="CI582"/>
      <c r="CJ582"/>
      <c r="CK582"/>
      <c r="CL582"/>
    </row>
    <row r="583" spans="2:90">
      <c r="B583"/>
      <c r="C583"/>
      <c r="D583" s="11"/>
      <c r="E583"/>
      <c r="F583"/>
      <c r="G583"/>
      <c r="H583"/>
      <c r="I583" s="11"/>
      <c r="J583" s="11"/>
      <c r="K583" s="11"/>
      <c r="L583"/>
      <c r="M583" s="11"/>
      <c r="N583" s="11"/>
      <c r="O583" s="11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 s="11"/>
      <c r="AD583"/>
      <c r="AE583" s="11"/>
      <c r="AF583" s="11"/>
      <c r="AG583" s="11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 s="11"/>
      <c r="CE583"/>
      <c r="CF583"/>
      <c r="CG583"/>
      <c r="CH583"/>
      <c r="CI583"/>
      <c r="CJ583"/>
      <c r="CK583"/>
      <c r="CL583"/>
    </row>
    <row r="584" spans="2:90">
      <c r="B584"/>
      <c r="C584"/>
      <c r="D584" s="11"/>
      <c r="E584"/>
      <c r="F584"/>
      <c r="G584"/>
      <c r="H584"/>
      <c r="I584" s="11"/>
      <c r="J584" s="11"/>
      <c r="K584" s="11"/>
      <c r="L584"/>
      <c r="M584" s="11"/>
      <c r="N584" s="11"/>
      <c r="O584" s="11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 s="11"/>
      <c r="AD584"/>
      <c r="AE584" s="11"/>
      <c r="AF584" s="11"/>
      <c r="AG584" s="11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 s="11"/>
      <c r="CE584"/>
      <c r="CF584"/>
      <c r="CG584"/>
      <c r="CH584"/>
      <c r="CI584"/>
      <c r="CJ584"/>
      <c r="CK584"/>
      <c r="CL584"/>
    </row>
    <row r="585" spans="2:90">
      <c r="B585"/>
      <c r="C585"/>
      <c r="D585" s="11"/>
      <c r="E585"/>
      <c r="F585"/>
      <c r="G585"/>
      <c r="H585"/>
      <c r="I585" s="11"/>
      <c r="J585" s="11"/>
      <c r="K585" s="11"/>
      <c r="L585"/>
      <c r="M585" s="11"/>
      <c r="N585" s="11"/>
      <c r="O585" s="11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 s="11"/>
      <c r="AD585"/>
      <c r="AE585" s="11"/>
      <c r="AF585" s="11"/>
      <c r="AG585" s="11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 s="11"/>
      <c r="CE585"/>
      <c r="CF585"/>
      <c r="CG585"/>
      <c r="CH585"/>
      <c r="CI585"/>
      <c r="CJ585"/>
      <c r="CK585"/>
      <c r="CL585"/>
    </row>
    <row r="586" spans="2:90">
      <c r="B586"/>
      <c r="C586"/>
      <c r="D586" s="11"/>
      <c r="E586"/>
      <c r="F586"/>
      <c r="G586"/>
      <c r="H586"/>
      <c r="I586" s="11"/>
      <c r="J586" s="11"/>
      <c r="K586" s="11"/>
      <c r="L586"/>
      <c r="M586" s="11"/>
      <c r="N586" s="11"/>
      <c r="O586" s="11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 s="11"/>
      <c r="AD586"/>
      <c r="AE586" s="11"/>
      <c r="AF586" s="11"/>
      <c r="AG586" s="11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 s="11"/>
      <c r="CE586"/>
      <c r="CF586"/>
      <c r="CG586"/>
      <c r="CH586"/>
      <c r="CI586"/>
      <c r="CJ586"/>
      <c r="CK586"/>
      <c r="CL586"/>
    </row>
    <row r="587" spans="2:90">
      <c r="B587"/>
      <c r="C587"/>
      <c r="D587" s="11"/>
      <c r="E587"/>
      <c r="F587"/>
      <c r="G587"/>
      <c r="H587"/>
      <c r="I587" s="11"/>
      <c r="J587" s="11"/>
      <c r="K587" s="11"/>
      <c r="L587"/>
      <c r="M587" s="11"/>
      <c r="N587" s="11"/>
      <c r="O587" s="11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 s="11"/>
      <c r="AD587"/>
      <c r="AE587" s="11"/>
      <c r="AF587" s="11"/>
      <c r="AG587" s="11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 s="11"/>
      <c r="CE587"/>
      <c r="CF587"/>
      <c r="CG587"/>
      <c r="CH587"/>
      <c r="CI587"/>
      <c r="CJ587"/>
      <c r="CK587"/>
      <c r="CL587"/>
    </row>
    <row r="588" spans="2:90">
      <c r="B588"/>
      <c r="C588"/>
      <c r="D588" s="11"/>
      <c r="E588"/>
      <c r="F588"/>
      <c r="G588"/>
      <c r="H588"/>
      <c r="I588" s="11"/>
      <c r="J588" s="11"/>
      <c r="K588" s="11"/>
      <c r="L588"/>
      <c r="M588" s="11"/>
      <c r="N588" s="11"/>
      <c r="O588" s="11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 s="11"/>
      <c r="AD588"/>
      <c r="AE588" s="11"/>
      <c r="AF588" s="11"/>
      <c r="AG588" s="11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 s="11"/>
      <c r="CE588"/>
      <c r="CF588"/>
      <c r="CG588"/>
      <c r="CH588"/>
      <c r="CI588"/>
      <c r="CJ588"/>
      <c r="CK588"/>
      <c r="CL588"/>
    </row>
    <row r="589" spans="2:90">
      <c r="B589"/>
      <c r="C589"/>
      <c r="D589" s="11"/>
      <c r="E589"/>
      <c r="F589"/>
      <c r="G589"/>
      <c r="H589"/>
      <c r="I589" s="11"/>
      <c r="J589" s="11"/>
      <c r="K589" s="11"/>
      <c r="L589"/>
      <c r="M589" s="11"/>
      <c r="N589" s="11"/>
      <c r="O589" s="11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 s="11"/>
      <c r="AD589"/>
      <c r="AE589" s="11"/>
      <c r="AF589" s="11"/>
      <c r="AG589" s="11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 s="11"/>
      <c r="CE589"/>
      <c r="CF589"/>
      <c r="CG589"/>
      <c r="CH589"/>
      <c r="CI589"/>
      <c r="CJ589"/>
      <c r="CK589"/>
      <c r="CL589"/>
    </row>
    <row r="590" spans="2:90">
      <c r="B590"/>
      <c r="C590"/>
      <c r="D590" s="11"/>
      <c r="E590"/>
      <c r="F590"/>
      <c r="G590"/>
      <c r="H590"/>
      <c r="I590" s="11"/>
      <c r="J590" s="11"/>
      <c r="K590" s="11"/>
      <c r="L590"/>
      <c r="M590" s="11"/>
      <c r="N590" s="11"/>
      <c r="O590" s="11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 s="11"/>
      <c r="AD590"/>
      <c r="AE590" s="11"/>
      <c r="AF590" s="11"/>
      <c r="AG590" s="11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 s="11"/>
      <c r="CE590"/>
      <c r="CF590"/>
      <c r="CG590"/>
      <c r="CH590"/>
      <c r="CI590"/>
      <c r="CJ590"/>
      <c r="CK590"/>
      <c r="CL590"/>
    </row>
    <row r="591" spans="2:90">
      <c r="B591"/>
      <c r="C591"/>
      <c r="D591" s="11"/>
      <c r="E591"/>
      <c r="F591"/>
      <c r="G591"/>
      <c r="H591"/>
      <c r="I591" s="11"/>
      <c r="J591" s="11"/>
      <c r="K591" s="11"/>
      <c r="L591"/>
      <c r="M591" s="11"/>
      <c r="N591" s="11"/>
      <c r="O591" s="1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 s="11"/>
      <c r="AD591"/>
      <c r="AE591" s="11"/>
      <c r="AF591" s="11"/>
      <c r="AG591" s="1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 s="11"/>
      <c r="CE591"/>
      <c r="CF591"/>
      <c r="CG591"/>
      <c r="CH591"/>
      <c r="CI591"/>
      <c r="CJ591"/>
      <c r="CK591"/>
      <c r="CL591"/>
    </row>
    <row r="592" spans="2:90">
      <c r="B592"/>
      <c r="C592"/>
      <c r="D592" s="11"/>
      <c r="E592"/>
      <c r="F592"/>
      <c r="G592"/>
      <c r="H592"/>
      <c r="I592" s="11"/>
      <c r="J592" s="11"/>
      <c r="K592" s="11"/>
      <c r="L592"/>
      <c r="M592" s="11"/>
      <c r="N592" s="11"/>
      <c r="O592" s="11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 s="11"/>
      <c r="AD592"/>
      <c r="AE592" s="11"/>
      <c r="AF592" s="11"/>
      <c r="AG592" s="11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 s="11"/>
      <c r="CE592"/>
      <c r="CF592"/>
      <c r="CG592"/>
      <c r="CH592"/>
      <c r="CI592"/>
      <c r="CJ592"/>
      <c r="CK592"/>
      <c r="CL592"/>
    </row>
    <row r="593" spans="2:90">
      <c r="B593"/>
      <c r="C593"/>
      <c r="D593" s="11"/>
      <c r="E593"/>
      <c r="F593"/>
      <c r="G593"/>
      <c r="H593"/>
      <c r="I593" s="11"/>
      <c r="J593" s="11"/>
      <c r="K593" s="11"/>
      <c r="L593"/>
      <c r="M593" s="11"/>
      <c r="N593" s="11"/>
      <c r="O593" s="11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 s="11"/>
      <c r="AD593"/>
      <c r="AE593" s="11"/>
      <c r="AF593" s="11"/>
      <c r="AG593" s="11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 s="11"/>
      <c r="CE593"/>
      <c r="CF593"/>
      <c r="CG593"/>
      <c r="CH593"/>
      <c r="CI593"/>
      <c r="CJ593"/>
      <c r="CK593"/>
      <c r="CL593"/>
    </row>
    <row r="594" spans="2:90">
      <c r="B594"/>
      <c r="C594"/>
      <c r="D594" s="11"/>
      <c r="E594"/>
      <c r="F594"/>
      <c r="G594"/>
      <c r="H594"/>
      <c r="I594" s="11"/>
      <c r="J594" s="11"/>
      <c r="K594" s="11"/>
      <c r="L594"/>
      <c r="M594" s="11"/>
      <c r="N594" s="11"/>
      <c r="O594" s="11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 s="11"/>
      <c r="AD594"/>
      <c r="AE594" s="11"/>
      <c r="AF594" s="11"/>
      <c r="AG594" s="11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 s="11"/>
      <c r="CE594"/>
      <c r="CF594"/>
      <c r="CG594"/>
      <c r="CH594"/>
      <c r="CI594"/>
      <c r="CJ594"/>
      <c r="CK594"/>
      <c r="CL594"/>
    </row>
    <row r="595" spans="2:90">
      <c r="B595"/>
      <c r="C595"/>
      <c r="D595" s="11"/>
      <c r="E595"/>
      <c r="F595"/>
      <c r="G595"/>
      <c r="H595"/>
      <c r="I595" s="11"/>
      <c r="J595" s="11"/>
      <c r="K595" s="11"/>
      <c r="L595"/>
      <c r="M595" s="11"/>
      <c r="N595" s="11"/>
      <c r="O595" s="11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 s="11"/>
      <c r="AD595"/>
      <c r="AE595" s="11"/>
      <c r="AF595" s="11"/>
      <c r="AG595" s="11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 s="11"/>
      <c r="CE595"/>
      <c r="CF595"/>
      <c r="CG595"/>
      <c r="CH595"/>
      <c r="CI595"/>
      <c r="CJ595"/>
      <c r="CK595"/>
      <c r="CL595"/>
    </row>
    <row r="596" spans="2:90">
      <c r="B596"/>
      <c r="C596"/>
      <c r="D596" s="11"/>
      <c r="E596"/>
      <c r="F596"/>
      <c r="G596"/>
      <c r="H596"/>
      <c r="I596" s="11"/>
      <c r="J596" s="11"/>
      <c r="K596" s="11"/>
      <c r="L596"/>
      <c r="M596" s="11"/>
      <c r="N596" s="11"/>
      <c r="O596" s="11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 s="11"/>
      <c r="AD596"/>
      <c r="AE596" s="11"/>
      <c r="AF596" s="11"/>
      <c r="AG596" s="11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 s="11"/>
      <c r="CE596"/>
      <c r="CF596"/>
      <c r="CG596"/>
      <c r="CH596"/>
      <c r="CI596"/>
      <c r="CJ596"/>
      <c r="CK596"/>
      <c r="CL596"/>
    </row>
    <row r="597" spans="2:90">
      <c r="B597"/>
      <c r="C597"/>
      <c r="D597" s="11"/>
      <c r="E597"/>
      <c r="F597"/>
      <c r="G597"/>
      <c r="H597"/>
      <c r="I597" s="11"/>
      <c r="J597" s="11"/>
      <c r="K597" s="11"/>
      <c r="L597"/>
      <c r="M597" s="11"/>
      <c r="N597" s="11"/>
      <c r="O597" s="11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 s="11"/>
      <c r="AD597"/>
      <c r="AE597" s="11"/>
      <c r="AF597" s="11"/>
      <c r="AG597" s="11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 s="11"/>
      <c r="CE597"/>
      <c r="CF597"/>
      <c r="CG597"/>
      <c r="CH597"/>
      <c r="CI597"/>
      <c r="CJ597"/>
      <c r="CK597"/>
      <c r="CL597"/>
    </row>
    <row r="598" spans="2:90">
      <c r="B598"/>
      <c r="C598"/>
      <c r="D598" s="11"/>
      <c r="E598"/>
      <c r="F598"/>
      <c r="G598"/>
      <c r="H598"/>
      <c r="I598" s="11"/>
      <c r="J598" s="11"/>
      <c r="K598" s="11"/>
      <c r="L598"/>
      <c r="M598" s="11"/>
      <c r="N598" s="11"/>
      <c r="O598" s="11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 s="11"/>
      <c r="AD598"/>
      <c r="AE598" s="11"/>
      <c r="AF598" s="11"/>
      <c r="AG598" s="11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 s="11"/>
      <c r="CE598"/>
      <c r="CF598"/>
      <c r="CG598"/>
      <c r="CH598"/>
      <c r="CI598"/>
      <c r="CJ598"/>
      <c r="CK598"/>
      <c r="CL598"/>
    </row>
    <row r="599" spans="2:90">
      <c r="B599"/>
      <c r="C599"/>
      <c r="D599" s="11"/>
      <c r="E599"/>
      <c r="F599"/>
      <c r="G599"/>
      <c r="H599"/>
      <c r="I599" s="11"/>
      <c r="J599" s="11"/>
      <c r="K599" s="11"/>
      <c r="L599"/>
      <c r="M599" s="11"/>
      <c r="N599" s="11"/>
      <c r="O599" s="11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 s="11"/>
      <c r="AD599"/>
      <c r="AE599" s="11"/>
      <c r="AF599" s="11"/>
      <c r="AG599" s="11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 s="11"/>
      <c r="CE599"/>
      <c r="CF599"/>
      <c r="CG599"/>
      <c r="CH599"/>
      <c r="CI599"/>
      <c r="CJ599"/>
      <c r="CK599"/>
      <c r="CL599"/>
    </row>
    <row r="600" spans="2:90">
      <c r="B600"/>
      <c r="C600"/>
      <c r="D600" s="11"/>
      <c r="E600"/>
      <c r="F600"/>
      <c r="G600"/>
      <c r="H600"/>
      <c r="I600" s="11"/>
      <c r="J600" s="11"/>
      <c r="K600" s="11"/>
      <c r="L600"/>
      <c r="M600" s="11"/>
      <c r="N600" s="11"/>
      <c r="O600" s="11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 s="11"/>
      <c r="AD600"/>
      <c r="AE600" s="11"/>
      <c r="AF600" s="11"/>
      <c r="AG600" s="11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 s="11"/>
      <c r="CE600"/>
      <c r="CF600"/>
      <c r="CG600"/>
      <c r="CH600"/>
      <c r="CI600"/>
      <c r="CJ600"/>
      <c r="CK600"/>
      <c r="CL600"/>
    </row>
    <row r="601" spans="2:90">
      <c r="B601"/>
      <c r="C601"/>
      <c r="D601" s="11"/>
      <c r="E601"/>
      <c r="F601"/>
      <c r="G601"/>
      <c r="H601"/>
      <c r="I601" s="11"/>
      <c r="J601" s="11"/>
      <c r="K601" s="11"/>
      <c r="L601"/>
      <c r="M601" s="11"/>
      <c r="N601" s="11"/>
      <c r="O601" s="1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 s="11"/>
      <c r="AD601"/>
      <c r="AE601" s="11"/>
      <c r="AF601" s="11"/>
      <c r="AG601" s="1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 s="11"/>
      <c r="CE601"/>
      <c r="CF601"/>
      <c r="CG601"/>
      <c r="CH601"/>
      <c r="CI601"/>
      <c r="CJ601"/>
      <c r="CK601"/>
      <c r="CL601"/>
    </row>
    <row r="602" spans="2:90">
      <c r="B602"/>
      <c r="C602"/>
      <c r="D602" s="11"/>
      <c r="E602"/>
      <c r="F602"/>
      <c r="G602"/>
      <c r="H602"/>
      <c r="I602" s="11"/>
      <c r="J602" s="11"/>
      <c r="K602" s="11"/>
      <c r="L602"/>
      <c r="M602" s="11"/>
      <c r="N602" s="11"/>
      <c r="O602" s="11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 s="11"/>
      <c r="AD602"/>
      <c r="AE602" s="11"/>
      <c r="AF602" s="11"/>
      <c r="AG602" s="11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 s="11"/>
      <c r="CE602"/>
      <c r="CF602"/>
      <c r="CG602"/>
      <c r="CH602"/>
      <c r="CI602"/>
      <c r="CJ602"/>
      <c r="CK602"/>
      <c r="CL602"/>
    </row>
    <row r="603" spans="2:90">
      <c r="B603"/>
      <c r="C603"/>
      <c r="D603" s="11"/>
      <c r="E603"/>
      <c r="F603"/>
      <c r="G603"/>
      <c r="H603"/>
      <c r="I603" s="11"/>
      <c r="J603" s="11"/>
      <c r="K603" s="11"/>
      <c r="L603"/>
      <c r="M603" s="11"/>
      <c r="N603" s="11"/>
      <c r="O603" s="11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 s="11"/>
      <c r="AD603"/>
      <c r="AE603" s="11"/>
      <c r="AF603" s="11"/>
      <c r="AG603" s="11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 s="11"/>
      <c r="CE603"/>
      <c r="CF603"/>
      <c r="CG603"/>
      <c r="CH603"/>
      <c r="CI603"/>
      <c r="CJ603"/>
      <c r="CK603"/>
      <c r="CL603"/>
    </row>
    <row r="604" spans="2:90">
      <c r="B604"/>
      <c r="C604"/>
      <c r="D604" s="11"/>
      <c r="E604"/>
      <c r="F604"/>
      <c r="G604"/>
      <c r="H604"/>
      <c r="I604" s="11"/>
      <c r="J604" s="11"/>
      <c r="K604" s="11"/>
      <c r="L604"/>
      <c r="M604" s="11"/>
      <c r="N604" s="11"/>
      <c r="O604" s="11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 s="11"/>
      <c r="AD604"/>
      <c r="AE604" s="11"/>
      <c r="AF604" s="11"/>
      <c r="AG604" s="11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 s="11"/>
      <c r="CE604"/>
      <c r="CF604"/>
      <c r="CG604"/>
      <c r="CH604"/>
      <c r="CI604"/>
      <c r="CJ604"/>
      <c r="CK604"/>
      <c r="CL604"/>
    </row>
    <row r="605" spans="2:90">
      <c r="B605"/>
      <c r="C605"/>
      <c r="D605" s="11"/>
      <c r="E605"/>
      <c r="F605"/>
      <c r="G605"/>
      <c r="H605"/>
      <c r="I605" s="11"/>
      <c r="J605" s="11"/>
      <c r="K605" s="11"/>
      <c r="L605"/>
      <c r="M605" s="11"/>
      <c r="N605" s="11"/>
      <c r="O605" s="11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 s="11"/>
      <c r="AD605"/>
      <c r="AE605" s="11"/>
      <c r="AF605" s="11"/>
      <c r="AG605" s="11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 s="11"/>
      <c r="CE605"/>
      <c r="CF605"/>
      <c r="CG605"/>
      <c r="CH605"/>
      <c r="CI605"/>
      <c r="CJ605"/>
      <c r="CK605"/>
      <c r="CL605"/>
    </row>
    <row r="606" spans="2:90">
      <c r="B606"/>
      <c r="C606"/>
      <c r="D606" s="11"/>
      <c r="E606"/>
      <c r="F606"/>
      <c r="G606"/>
      <c r="H606"/>
      <c r="I606" s="11"/>
      <c r="J606" s="11"/>
      <c r="K606" s="11"/>
      <c r="L606"/>
      <c r="M606" s="11"/>
      <c r="N606" s="11"/>
      <c r="O606" s="11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 s="11"/>
      <c r="AD606"/>
      <c r="AE606" s="11"/>
      <c r="AF606" s="11"/>
      <c r="AG606" s="11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 s="11"/>
      <c r="CE606"/>
      <c r="CF606"/>
      <c r="CG606"/>
      <c r="CH606"/>
      <c r="CI606"/>
      <c r="CJ606"/>
      <c r="CK606"/>
      <c r="CL606"/>
    </row>
    <row r="607" spans="2:90">
      <c r="B607"/>
      <c r="C607"/>
      <c r="D607" s="11"/>
      <c r="E607"/>
      <c r="F607"/>
      <c r="G607"/>
      <c r="H607"/>
      <c r="I607" s="11"/>
      <c r="J607" s="11"/>
      <c r="K607" s="11"/>
      <c r="L607"/>
      <c r="M607" s="11"/>
      <c r="N607" s="11"/>
      <c r="O607" s="11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 s="11"/>
      <c r="AD607"/>
      <c r="AE607" s="11"/>
      <c r="AF607" s="11"/>
      <c r="AG607" s="11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 s="11"/>
      <c r="CE607"/>
      <c r="CF607"/>
      <c r="CG607"/>
      <c r="CH607"/>
      <c r="CI607"/>
      <c r="CJ607"/>
      <c r="CK607"/>
      <c r="CL607"/>
    </row>
    <row r="608" spans="2:90">
      <c r="B608"/>
      <c r="C608"/>
      <c r="D608" s="11"/>
      <c r="E608"/>
      <c r="F608"/>
      <c r="G608"/>
      <c r="H608"/>
      <c r="I608" s="11"/>
      <c r="J608" s="11"/>
      <c r="K608" s="11"/>
      <c r="L608"/>
      <c r="M608" s="11"/>
      <c r="N608" s="11"/>
      <c r="O608" s="11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 s="11"/>
      <c r="AD608"/>
      <c r="AE608" s="11"/>
      <c r="AF608" s="11"/>
      <c r="AG608" s="11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 s="11"/>
      <c r="CE608"/>
      <c r="CF608"/>
      <c r="CG608"/>
      <c r="CH608"/>
      <c r="CI608"/>
      <c r="CJ608"/>
      <c r="CK608"/>
      <c r="CL608"/>
    </row>
    <row r="609" spans="2:90">
      <c r="B609"/>
      <c r="C609"/>
      <c r="D609" s="11"/>
      <c r="E609"/>
      <c r="F609"/>
      <c r="G609"/>
      <c r="H609"/>
      <c r="I609" s="11"/>
      <c r="J609" s="11"/>
      <c r="K609" s="11"/>
      <c r="L609"/>
      <c r="M609" s="11"/>
      <c r="N609" s="11"/>
      <c r="O609" s="11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 s="11"/>
      <c r="AD609"/>
      <c r="AE609" s="11"/>
      <c r="AF609" s="11"/>
      <c r="AG609" s="11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 s="11"/>
      <c r="CE609"/>
      <c r="CF609"/>
      <c r="CG609"/>
      <c r="CH609"/>
      <c r="CI609"/>
      <c r="CJ609"/>
      <c r="CK609"/>
      <c r="CL609"/>
    </row>
    <row r="610" spans="2:90">
      <c r="B610"/>
      <c r="C610"/>
      <c r="D610" s="11"/>
      <c r="E610"/>
      <c r="F610"/>
      <c r="G610"/>
      <c r="H610"/>
      <c r="I610" s="11"/>
      <c r="J610" s="11"/>
      <c r="K610" s="11"/>
      <c r="L610"/>
      <c r="M610" s="11"/>
      <c r="N610" s="11"/>
      <c r="O610" s="11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 s="11"/>
      <c r="AD610"/>
      <c r="AE610" s="11"/>
      <c r="AF610" s="11"/>
      <c r="AG610" s="11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 s="11"/>
      <c r="CE610"/>
      <c r="CF610"/>
      <c r="CG610"/>
      <c r="CH610"/>
      <c r="CI610"/>
      <c r="CJ610"/>
      <c r="CK610"/>
      <c r="CL610"/>
    </row>
    <row r="611" spans="2:90">
      <c r="B611"/>
      <c r="C611"/>
      <c r="D611" s="11"/>
      <c r="E611"/>
      <c r="F611"/>
      <c r="G611"/>
      <c r="H611"/>
      <c r="I611" s="11"/>
      <c r="J611" s="11"/>
      <c r="K611" s="11"/>
      <c r="L611"/>
      <c r="M611" s="11"/>
      <c r="N611" s="11"/>
      <c r="O611" s="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 s="11"/>
      <c r="AD611"/>
      <c r="AE611" s="11"/>
      <c r="AF611" s="11"/>
      <c r="AG611" s="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 s="11"/>
      <c r="CE611"/>
      <c r="CF611"/>
      <c r="CG611"/>
      <c r="CH611"/>
      <c r="CI611"/>
      <c r="CJ611"/>
      <c r="CK611"/>
      <c r="CL611"/>
    </row>
    <row r="612" spans="2:90">
      <c r="B612"/>
      <c r="C612"/>
      <c r="D612" s="11"/>
      <c r="E612"/>
      <c r="F612"/>
      <c r="G612"/>
      <c r="H612"/>
      <c r="I612" s="11"/>
      <c r="J612" s="11"/>
      <c r="K612" s="11"/>
      <c r="L612"/>
      <c r="M612" s="11"/>
      <c r="N612" s="11"/>
      <c r="O612" s="11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 s="11"/>
      <c r="AD612"/>
      <c r="AE612" s="11"/>
      <c r="AF612" s="11"/>
      <c r="AG612" s="11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 s="11"/>
      <c r="CE612"/>
      <c r="CF612"/>
      <c r="CG612"/>
      <c r="CH612"/>
      <c r="CI612"/>
      <c r="CJ612"/>
      <c r="CK612"/>
      <c r="CL612"/>
    </row>
    <row r="613" spans="2:90">
      <c r="B613"/>
      <c r="C613"/>
      <c r="D613" s="11"/>
      <c r="E613"/>
      <c r="F613"/>
      <c r="G613"/>
      <c r="H613"/>
      <c r="I613" s="11"/>
      <c r="J613" s="11"/>
      <c r="K613" s="11"/>
      <c r="L613"/>
      <c r="M613" s="11"/>
      <c r="N613" s="11"/>
      <c r="O613" s="11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 s="11"/>
      <c r="AD613"/>
      <c r="AE613" s="11"/>
      <c r="AF613" s="11"/>
      <c r="AG613" s="11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 s="11"/>
      <c r="CE613"/>
      <c r="CF613"/>
      <c r="CG613"/>
      <c r="CH613"/>
      <c r="CI613"/>
      <c r="CJ613"/>
      <c r="CK613"/>
      <c r="CL613"/>
    </row>
    <row r="614" spans="2:90">
      <c r="B614"/>
      <c r="C614"/>
      <c r="D614" s="11"/>
      <c r="E614"/>
      <c r="F614"/>
      <c r="G614"/>
      <c r="H614"/>
      <c r="I614" s="11"/>
      <c r="J614" s="11"/>
      <c r="K614" s="11"/>
      <c r="L614"/>
      <c r="M614" s="11"/>
      <c r="N614" s="11"/>
      <c r="O614" s="11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 s="11"/>
      <c r="AD614"/>
      <c r="AE614" s="11"/>
      <c r="AF614" s="11"/>
      <c r="AG614" s="11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 s="11"/>
      <c r="CE614"/>
      <c r="CF614"/>
      <c r="CG614"/>
      <c r="CH614"/>
      <c r="CI614"/>
      <c r="CJ614"/>
      <c r="CK614"/>
      <c r="CL614"/>
    </row>
    <row r="615" spans="2:90">
      <c r="B615"/>
      <c r="C615"/>
      <c r="D615" s="11"/>
      <c r="E615"/>
      <c r="F615"/>
      <c r="G615"/>
      <c r="H615"/>
      <c r="I615" s="11"/>
      <c r="J615" s="11"/>
      <c r="K615" s="11"/>
      <c r="L615"/>
      <c r="M615" s="11"/>
      <c r="N615" s="11"/>
      <c r="O615" s="11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 s="11"/>
      <c r="AD615"/>
      <c r="AE615" s="11"/>
      <c r="AF615" s="11"/>
      <c r="AG615" s="11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 s="11"/>
      <c r="CE615"/>
      <c r="CF615"/>
      <c r="CG615"/>
      <c r="CH615"/>
      <c r="CI615"/>
      <c r="CJ615"/>
      <c r="CK615"/>
      <c r="CL615"/>
    </row>
    <row r="616" spans="2:90">
      <c r="B616"/>
      <c r="C616"/>
      <c r="D616" s="11"/>
      <c r="E616"/>
      <c r="F616"/>
      <c r="G616"/>
      <c r="H616"/>
      <c r="I616" s="11"/>
      <c r="J616" s="11"/>
      <c r="K616" s="11"/>
      <c r="L616"/>
      <c r="M616" s="11"/>
      <c r="N616" s="11"/>
      <c r="O616" s="11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 s="11"/>
      <c r="AD616"/>
      <c r="AE616" s="11"/>
      <c r="AF616" s="11"/>
      <c r="AG616" s="11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 s="11"/>
      <c r="CE616"/>
      <c r="CF616"/>
      <c r="CG616"/>
      <c r="CH616"/>
      <c r="CI616"/>
      <c r="CJ616"/>
      <c r="CK616"/>
      <c r="CL616"/>
    </row>
    <row r="617" spans="2:90">
      <c r="B617"/>
      <c r="C617"/>
      <c r="D617" s="11"/>
      <c r="E617"/>
      <c r="F617"/>
      <c r="G617"/>
      <c r="H617"/>
      <c r="I617" s="11"/>
      <c r="J617" s="11"/>
      <c r="K617" s="11"/>
      <c r="L617"/>
      <c r="M617" s="11"/>
      <c r="N617" s="11"/>
      <c r="O617" s="11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 s="11"/>
      <c r="AD617"/>
      <c r="AE617" s="11"/>
      <c r="AF617" s="11"/>
      <c r="AG617" s="11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 s="11"/>
      <c r="CE617"/>
      <c r="CF617"/>
      <c r="CG617"/>
      <c r="CH617"/>
      <c r="CI617"/>
      <c r="CJ617"/>
      <c r="CK617"/>
      <c r="CL617"/>
    </row>
    <row r="618" spans="2:90">
      <c r="B618"/>
      <c r="C618"/>
      <c r="D618" s="11"/>
      <c r="E618"/>
      <c r="F618"/>
      <c r="G618"/>
      <c r="H618"/>
      <c r="I618" s="11"/>
      <c r="J618" s="11"/>
      <c r="K618" s="11"/>
      <c r="L618"/>
      <c r="M618" s="11"/>
      <c r="N618" s="11"/>
      <c r="O618" s="11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 s="11"/>
      <c r="AD618"/>
      <c r="AE618" s="11"/>
      <c r="AF618" s="11"/>
      <c r="AG618" s="11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 s="11"/>
      <c r="CE618"/>
      <c r="CF618"/>
      <c r="CG618"/>
      <c r="CH618"/>
      <c r="CI618"/>
      <c r="CJ618"/>
      <c r="CK618"/>
      <c r="CL618"/>
    </row>
    <row r="619" spans="2:90">
      <c r="B619"/>
      <c r="C619"/>
      <c r="D619" s="11"/>
      <c r="E619"/>
      <c r="F619"/>
      <c r="G619"/>
      <c r="H619"/>
      <c r="I619" s="11"/>
      <c r="J619" s="11"/>
      <c r="K619" s="11"/>
      <c r="L619"/>
      <c r="M619" s="11"/>
      <c r="N619" s="11"/>
      <c r="O619" s="11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 s="11"/>
      <c r="AD619"/>
      <c r="AE619" s="11"/>
      <c r="AF619" s="11"/>
      <c r="AG619" s="11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 s="11"/>
      <c r="CE619"/>
      <c r="CF619"/>
      <c r="CG619"/>
      <c r="CH619"/>
      <c r="CI619"/>
      <c r="CJ619"/>
      <c r="CK619"/>
      <c r="CL619"/>
    </row>
    <row r="620" spans="2:90">
      <c r="B620"/>
      <c r="C620"/>
      <c r="D620" s="11"/>
      <c r="E620"/>
      <c r="F620"/>
      <c r="G620"/>
      <c r="H620"/>
      <c r="I620" s="11"/>
      <c r="J620" s="11"/>
      <c r="K620" s="11"/>
      <c r="L620"/>
      <c r="M620" s="11"/>
      <c r="N620" s="11"/>
      <c r="O620" s="11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 s="11"/>
      <c r="AD620"/>
      <c r="AE620" s="11"/>
      <c r="AF620" s="11"/>
      <c r="AG620" s="11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 s="11"/>
      <c r="CE620"/>
      <c r="CF620"/>
      <c r="CG620"/>
      <c r="CH620"/>
      <c r="CI620"/>
      <c r="CJ620"/>
      <c r="CK620"/>
      <c r="CL620"/>
    </row>
    <row r="621" spans="2:90">
      <c r="B621"/>
      <c r="C621"/>
      <c r="D621" s="11"/>
      <c r="E621"/>
      <c r="F621"/>
      <c r="G621"/>
      <c r="H621"/>
      <c r="I621" s="11"/>
      <c r="J621" s="11"/>
      <c r="K621" s="11"/>
      <c r="L621"/>
      <c r="M621" s="11"/>
      <c r="N621" s="11"/>
      <c r="O621" s="1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 s="11"/>
      <c r="AD621"/>
      <c r="AE621" s="11"/>
      <c r="AF621" s="11"/>
      <c r="AG621" s="1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 s="11"/>
      <c r="CE621"/>
      <c r="CF621"/>
      <c r="CG621"/>
      <c r="CH621"/>
      <c r="CI621"/>
      <c r="CJ621"/>
      <c r="CK621"/>
      <c r="CL621"/>
    </row>
    <row r="622" spans="2:90">
      <c r="B622"/>
      <c r="C622"/>
      <c r="D622" s="11"/>
      <c r="E622"/>
      <c r="F622"/>
      <c r="G622"/>
      <c r="H622"/>
      <c r="I622" s="11"/>
      <c r="J622" s="11"/>
      <c r="K622" s="11"/>
      <c r="L622"/>
      <c r="M622" s="11"/>
      <c r="N622" s="11"/>
      <c r="O622" s="11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 s="11"/>
      <c r="AD622"/>
      <c r="AE622" s="11"/>
      <c r="AF622" s="11"/>
      <c r="AG622" s="11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 s="11"/>
      <c r="CE622"/>
      <c r="CF622"/>
      <c r="CG622"/>
      <c r="CH622"/>
      <c r="CI622"/>
      <c r="CJ622"/>
      <c r="CK622"/>
      <c r="CL622"/>
    </row>
    <row r="623" spans="2:90">
      <c r="B623"/>
      <c r="C623"/>
      <c r="D623" s="11"/>
      <c r="E623"/>
      <c r="F623"/>
      <c r="G623"/>
      <c r="H623"/>
      <c r="I623" s="11"/>
      <c r="J623" s="11"/>
      <c r="K623" s="11"/>
      <c r="L623"/>
      <c r="M623" s="11"/>
      <c r="N623" s="11"/>
      <c r="O623" s="11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 s="11"/>
      <c r="AD623"/>
      <c r="AE623" s="11"/>
      <c r="AF623" s="11"/>
      <c r="AG623" s="11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 s="11"/>
      <c r="CE623"/>
      <c r="CF623"/>
      <c r="CG623"/>
      <c r="CH623"/>
      <c r="CI623"/>
      <c r="CJ623"/>
      <c r="CK623"/>
      <c r="CL623"/>
    </row>
    <row r="624" spans="2:90">
      <c r="B624"/>
      <c r="C624"/>
      <c r="D624" s="11"/>
      <c r="E624"/>
      <c r="F624"/>
      <c r="G624"/>
      <c r="H624"/>
      <c r="I624" s="11"/>
      <c r="J624" s="11"/>
      <c r="K624" s="11"/>
      <c r="L624"/>
      <c r="M624" s="11"/>
      <c r="N624" s="11"/>
      <c r="O624" s="11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 s="11"/>
      <c r="AD624"/>
      <c r="AE624" s="11"/>
      <c r="AF624" s="11"/>
      <c r="AG624" s="11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 s="11"/>
      <c r="CE624"/>
      <c r="CF624"/>
      <c r="CG624"/>
      <c r="CH624"/>
      <c r="CI624"/>
      <c r="CJ624"/>
      <c r="CK624"/>
      <c r="CL624"/>
    </row>
    <row r="625" spans="2:90">
      <c r="B625"/>
      <c r="C625"/>
      <c r="D625" s="11"/>
      <c r="E625"/>
      <c r="F625"/>
      <c r="G625"/>
      <c r="H625"/>
      <c r="I625" s="11"/>
      <c r="J625" s="11"/>
      <c r="K625" s="11"/>
      <c r="L625"/>
      <c r="M625" s="11"/>
      <c r="N625" s="11"/>
      <c r="O625" s="11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 s="11"/>
      <c r="AD625"/>
      <c r="AE625" s="11"/>
      <c r="AF625" s="11"/>
      <c r="AG625" s="11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 s="11"/>
      <c r="CE625"/>
      <c r="CF625"/>
      <c r="CG625"/>
      <c r="CH625"/>
      <c r="CI625"/>
      <c r="CJ625"/>
      <c r="CK625"/>
      <c r="CL625"/>
    </row>
    <row r="626" spans="2:90">
      <c r="B626"/>
      <c r="C626"/>
      <c r="D626" s="11"/>
      <c r="E626"/>
      <c r="F626"/>
      <c r="G626"/>
      <c r="H626"/>
      <c r="I626" s="11"/>
      <c r="J626" s="11"/>
      <c r="K626" s="11"/>
      <c r="L626"/>
      <c r="M626" s="11"/>
      <c r="N626" s="11"/>
      <c r="O626" s="11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 s="11"/>
      <c r="AD626"/>
      <c r="AE626" s="11"/>
      <c r="AF626" s="11"/>
      <c r="AG626" s="11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 s="11"/>
      <c r="CE626"/>
      <c r="CF626"/>
      <c r="CG626"/>
      <c r="CH626"/>
      <c r="CI626"/>
      <c r="CJ626"/>
      <c r="CK626"/>
      <c r="CL626"/>
    </row>
    <row r="627" spans="2:90">
      <c r="B627"/>
      <c r="C627"/>
      <c r="D627" s="11"/>
      <c r="E627"/>
      <c r="F627"/>
      <c r="G627"/>
      <c r="H627"/>
      <c r="I627" s="11"/>
      <c r="J627" s="11"/>
      <c r="K627" s="11"/>
      <c r="L627"/>
      <c r="M627" s="11"/>
      <c r="N627" s="11"/>
      <c r="O627" s="11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 s="11"/>
      <c r="AD627"/>
      <c r="AE627" s="11"/>
      <c r="AF627" s="11"/>
      <c r="AG627" s="11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 s="11"/>
      <c r="CE627"/>
      <c r="CF627"/>
      <c r="CG627"/>
      <c r="CH627"/>
      <c r="CI627"/>
      <c r="CJ627"/>
      <c r="CK627"/>
      <c r="CL627"/>
    </row>
    <row r="628" spans="2:90">
      <c r="B628"/>
      <c r="C628"/>
      <c r="D628" s="11"/>
      <c r="E628"/>
      <c r="F628"/>
      <c r="G628"/>
      <c r="H628"/>
      <c r="I628" s="11"/>
      <c r="J628" s="11"/>
      <c r="K628" s="11"/>
      <c r="L628"/>
      <c r="M628" s="11"/>
      <c r="N628" s="11"/>
      <c r="O628" s="11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 s="11"/>
      <c r="AD628"/>
      <c r="AE628" s="11"/>
      <c r="AF628" s="11"/>
      <c r="AG628" s="11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 s="11"/>
      <c r="CE628"/>
      <c r="CF628"/>
      <c r="CG628"/>
      <c r="CH628"/>
      <c r="CI628"/>
      <c r="CJ628"/>
      <c r="CK628"/>
      <c r="CL628"/>
    </row>
    <row r="629" spans="2:90">
      <c r="B629"/>
      <c r="C629"/>
      <c r="D629" s="11"/>
      <c r="E629"/>
      <c r="F629"/>
      <c r="G629"/>
      <c r="H629"/>
      <c r="I629" s="11"/>
      <c r="J629" s="11"/>
      <c r="K629" s="11"/>
      <c r="L629"/>
      <c r="M629" s="11"/>
      <c r="N629" s="11"/>
      <c r="O629" s="11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 s="11"/>
      <c r="AD629"/>
      <c r="AE629" s="11"/>
      <c r="AF629" s="11"/>
      <c r="AG629" s="11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 s="11"/>
      <c r="CE629"/>
      <c r="CF629"/>
      <c r="CG629"/>
      <c r="CH629"/>
      <c r="CI629"/>
      <c r="CJ629"/>
      <c r="CK629"/>
      <c r="CL629"/>
    </row>
    <row r="630" spans="2:90">
      <c r="B630"/>
      <c r="C630"/>
      <c r="D630" s="11"/>
      <c r="E630"/>
      <c r="F630"/>
      <c r="G630"/>
      <c r="H630"/>
      <c r="I630" s="11"/>
      <c r="J630" s="11"/>
      <c r="K630" s="11"/>
      <c r="L630"/>
      <c r="M630" s="11"/>
      <c r="N630" s="11"/>
      <c r="O630" s="11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 s="11"/>
      <c r="AD630"/>
      <c r="AE630" s="11"/>
      <c r="AF630" s="11"/>
      <c r="AG630" s="11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 s="11"/>
      <c r="CE630"/>
      <c r="CF630"/>
      <c r="CG630"/>
      <c r="CH630"/>
      <c r="CI630"/>
      <c r="CJ630"/>
      <c r="CK630"/>
      <c r="CL630"/>
    </row>
    <row r="631" spans="2:90">
      <c r="B631"/>
      <c r="C631"/>
      <c r="D631" s="11"/>
      <c r="E631"/>
      <c r="F631"/>
      <c r="G631"/>
      <c r="H631"/>
      <c r="I631" s="11"/>
      <c r="J631" s="11"/>
      <c r="K631" s="11"/>
      <c r="L631"/>
      <c r="M631" s="11"/>
      <c r="N631" s="11"/>
      <c r="O631" s="1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 s="11"/>
      <c r="AD631"/>
      <c r="AE631" s="11"/>
      <c r="AF631" s="11"/>
      <c r="AG631" s="1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 s="11"/>
      <c r="CE631"/>
      <c r="CF631"/>
      <c r="CG631"/>
      <c r="CH631"/>
      <c r="CI631"/>
      <c r="CJ631"/>
      <c r="CK631"/>
      <c r="CL631"/>
    </row>
    <row r="632" spans="2:90">
      <c r="B632"/>
      <c r="C632"/>
      <c r="D632" s="11"/>
      <c r="E632"/>
      <c r="F632"/>
      <c r="G632"/>
      <c r="H632"/>
      <c r="I632" s="11"/>
      <c r="J632" s="11"/>
      <c r="K632" s="11"/>
      <c r="L632"/>
      <c r="M632" s="11"/>
      <c r="N632" s="11"/>
      <c r="O632" s="11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 s="11"/>
      <c r="AD632"/>
      <c r="AE632" s="11"/>
      <c r="AF632" s="11"/>
      <c r="AG632" s="11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 s="11"/>
      <c r="CE632"/>
      <c r="CF632"/>
      <c r="CG632"/>
      <c r="CH632"/>
      <c r="CI632"/>
      <c r="CJ632"/>
      <c r="CK632"/>
      <c r="CL632"/>
    </row>
    <row r="633" spans="2:90">
      <c r="B633"/>
      <c r="C633"/>
      <c r="D633" s="11"/>
      <c r="E633"/>
      <c r="F633"/>
      <c r="G633"/>
      <c r="H633"/>
      <c r="I633" s="11"/>
      <c r="J633" s="11"/>
      <c r="K633" s="11"/>
      <c r="L633"/>
      <c r="M633" s="11"/>
      <c r="N633" s="11"/>
      <c r="O633" s="11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 s="11"/>
      <c r="AD633"/>
      <c r="AE633" s="11"/>
      <c r="AF633" s="11"/>
      <c r="AG633" s="11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 s="11"/>
      <c r="CE633"/>
      <c r="CF633"/>
      <c r="CG633"/>
      <c r="CH633"/>
      <c r="CI633"/>
      <c r="CJ633"/>
      <c r="CK633"/>
      <c r="CL633"/>
    </row>
    <row r="634" spans="2:90">
      <c r="B634"/>
      <c r="C634"/>
      <c r="D634" s="11"/>
      <c r="E634"/>
      <c r="F634"/>
      <c r="G634"/>
      <c r="H634"/>
      <c r="I634" s="11"/>
      <c r="J634" s="11"/>
      <c r="K634" s="11"/>
      <c r="L634"/>
      <c r="M634" s="11"/>
      <c r="N634" s="11"/>
      <c r="O634" s="11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 s="11"/>
      <c r="AD634"/>
      <c r="AE634" s="11"/>
      <c r="AF634" s="11"/>
      <c r="AG634" s="11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 s="11"/>
      <c r="CE634"/>
      <c r="CF634"/>
      <c r="CG634"/>
      <c r="CH634"/>
      <c r="CI634"/>
      <c r="CJ634"/>
      <c r="CK634"/>
      <c r="CL634"/>
    </row>
    <row r="635" spans="2:90">
      <c r="B635"/>
      <c r="C635"/>
      <c r="D635" s="11"/>
      <c r="E635"/>
      <c r="F635"/>
      <c r="G635"/>
      <c r="H635"/>
      <c r="I635" s="11"/>
      <c r="J635" s="11"/>
      <c r="K635" s="11"/>
      <c r="L635"/>
      <c r="M635" s="11"/>
      <c r="N635" s="11"/>
      <c r="O635" s="11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 s="11"/>
      <c r="AD635"/>
      <c r="AE635" s="11"/>
      <c r="AF635" s="11"/>
      <c r="AG635" s="11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 s="11"/>
      <c r="CE635"/>
      <c r="CF635"/>
      <c r="CG635"/>
      <c r="CH635"/>
      <c r="CI635"/>
      <c r="CJ635"/>
      <c r="CK635"/>
      <c r="CL635"/>
    </row>
    <row r="636" spans="2:90">
      <c r="B636"/>
      <c r="C636"/>
      <c r="D636" s="11"/>
      <c r="E636"/>
      <c r="F636"/>
      <c r="G636"/>
      <c r="H636"/>
      <c r="I636" s="11"/>
      <c r="J636" s="11"/>
      <c r="K636" s="11"/>
      <c r="L636"/>
      <c r="M636" s="11"/>
      <c r="N636" s="11"/>
      <c r="O636" s="11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 s="11"/>
      <c r="AD636"/>
      <c r="AE636" s="11"/>
      <c r="AF636" s="11"/>
      <c r="AG636" s="11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 s="11"/>
      <c r="CE636"/>
      <c r="CF636"/>
      <c r="CG636"/>
      <c r="CH636"/>
      <c r="CI636"/>
      <c r="CJ636"/>
      <c r="CK636"/>
      <c r="CL636"/>
    </row>
    <row r="637" spans="2:90">
      <c r="B637"/>
      <c r="C637"/>
      <c r="D637" s="11"/>
      <c r="E637"/>
      <c r="F637"/>
      <c r="G637"/>
      <c r="H637"/>
      <c r="I637" s="11"/>
      <c r="J637" s="11"/>
      <c r="K637" s="11"/>
      <c r="L637"/>
      <c r="M637" s="11"/>
      <c r="N637" s="11"/>
      <c r="O637" s="11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 s="11"/>
      <c r="AD637"/>
      <c r="AE637" s="11"/>
      <c r="AF637" s="11"/>
      <c r="AG637" s="11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 s="11"/>
      <c r="CE637"/>
      <c r="CF637"/>
      <c r="CG637"/>
      <c r="CH637"/>
      <c r="CI637"/>
      <c r="CJ637"/>
      <c r="CK637"/>
      <c r="CL637"/>
    </row>
    <row r="638" spans="2:90">
      <c r="B638"/>
      <c r="C638"/>
      <c r="D638" s="11"/>
      <c r="E638"/>
      <c r="F638"/>
      <c r="G638"/>
      <c r="H638"/>
      <c r="I638" s="11"/>
      <c r="J638" s="11"/>
      <c r="K638" s="11"/>
      <c r="L638"/>
      <c r="M638" s="11"/>
      <c r="N638" s="11"/>
      <c r="O638" s="11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 s="11"/>
      <c r="AD638"/>
      <c r="AE638" s="11"/>
      <c r="AF638" s="11"/>
      <c r="AG638" s="11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 s="11"/>
      <c r="CE638"/>
      <c r="CF638"/>
      <c r="CG638"/>
      <c r="CH638"/>
      <c r="CI638"/>
      <c r="CJ638"/>
      <c r="CK638"/>
      <c r="CL638"/>
    </row>
    <row r="639" spans="2:90">
      <c r="B639"/>
      <c r="C639"/>
      <c r="D639" s="11"/>
      <c r="E639"/>
      <c r="F639"/>
      <c r="G639"/>
      <c r="H639"/>
      <c r="I639" s="11"/>
      <c r="J639" s="11"/>
      <c r="K639" s="11"/>
      <c r="L639"/>
      <c r="M639" s="11"/>
      <c r="N639" s="11"/>
      <c r="O639" s="11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 s="11"/>
      <c r="AD639"/>
      <c r="AE639" s="11"/>
      <c r="AF639" s="11"/>
      <c r="AG639" s="11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 s="11"/>
      <c r="CE639"/>
      <c r="CF639"/>
      <c r="CG639"/>
      <c r="CH639"/>
      <c r="CI639"/>
      <c r="CJ639"/>
      <c r="CK639"/>
      <c r="CL639"/>
    </row>
    <row r="640" spans="2:90">
      <c r="B640"/>
      <c r="C640"/>
      <c r="D640" s="11"/>
      <c r="E640"/>
      <c r="F640"/>
      <c r="G640"/>
      <c r="H640"/>
      <c r="I640" s="11"/>
      <c r="J640" s="11"/>
      <c r="K640" s="11"/>
      <c r="L640"/>
      <c r="M640" s="11"/>
      <c r="N640" s="11"/>
      <c r="O640" s="11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 s="11"/>
      <c r="AD640"/>
      <c r="AE640" s="11"/>
      <c r="AF640" s="11"/>
      <c r="AG640" s="11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 s="11"/>
      <c r="CE640"/>
      <c r="CF640"/>
      <c r="CG640"/>
      <c r="CH640"/>
      <c r="CI640"/>
      <c r="CJ640"/>
      <c r="CK640"/>
      <c r="CL640"/>
    </row>
    <row r="641" spans="2:90">
      <c r="B641"/>
      <c r="C641"/>
      <c r="D641" s="11"/>
      <c r="E641"/>
      <c r="F641"/>
      <c r="G641"/>
      <c r="H641"/>
      <c r="I641" s="11"/>
      <c r="J641" s="11"/>
      <c r="K641" s="11"/>
      <c r="L641"/>
      <c r="M641" s="11"/>
      <c r="N641" s="11"/>
      <c r="O641" s="1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 s="11"/>
      <c r="AD641"/>
      <c r="AE641" s="11"/>
      <c r="AF641" s="11"/>
      <c r="AG641" s="1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 s="11"/>
      <c r="CE641"/>
      <c r="CF641"/>
      <c r="CG641"/>
      <c r="CH641"/>
      <c r="CI641"/>
      <c r="CJ641"/>
      <c r="CK641"/>
      <c r="CL641"/>
    </row>
    <row r="642" spans="2:90">
      <c r="B642"/>
      <c r="C642"/>
      <c r="D642" s="11"/>
      <c r="E642"/>
      <c r="F642"/>
      <c r="G642"/>
      <c r="H642"/>
      <c r="I642" s="11"/>
      <c r="J642" s="11"/>
      <c r="K642" s="11"/>
      <c r="L642"/>
      <c r="M642" s="11"/>
      <c r="N642" s="11"/>
      <c r="O642" s="11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 s="11"/>
      <c r="AD642"/>
      <c r="AE642" s="11"/>
      <c r="AF642" s="11"/>
      <c r="AG642" s="11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 s="11"/>
      <c r="CE642"/>
      <c r="CF642"/>
      <c r="CG642"/>
      <c r="CH642"/>
      <c r="CI642"/>
      <c r="CJ642"/>
      <c r="CK642"/>
      <c r="CL642"/>
    </row>
    <row r="643" spans="2:90">
      <c r="B643"/>
      <c r="C643"/>
      <c r="D643" s="11"/>
      <c r="E643"/>
      <c r="F643"/>
      <c r="G643"/>
      <c r="H643"/>
      <c r="I643" s="11"/>
      <c r="J643" s="11"/>
      <c r="K643" s="11"/>
      <c r="L643"/>
      <c r="M643" s="11"/>
      <c r="N643" s="11"/>
      <c r="O643" s="11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 s="11"/>
      <c r="AD643"/>
      <c r="AE643" s="11"/>
      <c r="AF643" s="11"/>
      <c r="AG643" s="11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 s="11"/>
      <c r="CE643"/>
      <c r="CF643"/>
      <c r="CG643"/>
      <c r="CH643"/>
      <c r="CI643"/>
      <c r="CJ643"/>
      <c r="CK643"/>
      <c r="CL643"/>
    </row>
    <row r="644" spans="2:90">
      <c r="B644"/>
      <c r="C644"/>
      <c r="D644" s="11"/>
      <c r="E644"/>
      <c r="F644"/>
      <c r="G644"/>
      <c r="H644"/>
      <c r="I644" s="11"/>
      <c r="J644" s="11"/>
      <c r="K644" s="11"/>
      <c r="L644"/>
      <c r="M644" s="11"/>
      <c r="N644" s="11"/>
      <c r="O644" s="11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 s="11"/>
      <c r="AD644"/>
      <c r="AE644" s="11"/>
      <c r="AF644" s="11"/>
      <c r="AG644" s="11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 s="11"/>
      <c r="CE644"/>
      <c r="CF644"/>
      <c r="CG644"/>
      <c r="CH644"/>
      <c r="CI644"/>
      <c r="CJ644"/>
      <c r="CK644"/>
      <c r="CL644"/>
    </row>
    <row r="645" spans="2:90">
      <c r="B645"/>
      <c r="C645"/>
      <c r="D645" s="11"/>
      <c r="E645"/>
      <c r="F645"/>
      <c r="G645"/>
      <c r="H645"/>
      <c r="I645" s="11"/>
      <c r="J645" s="11"/>
      <c r="K645" s="11"/>
      <c r="L645"/>
      <c r="M645" s="11"/>
      <c r="N645" s="11"/>
      <c r="O645" s="11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 s="11"/>
      <c r="AD645"/>
      <c r="AE645" s="11"/>
      <c r="AF645" s="11"/>
      <c r="AG645" s="11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 s="11"/>
      <c r="CE645"/>
      <c r="CF645"/>
      <c r="CG645"/>
      <c r="CH645"/>
      <c r="CI645"/>
      <c r="CJ645"/>
      <c r="CK645"/>
      <c r="CL645"/>
    </row>
    <row r="646" spans="2:90">
      <c r="B646"/>
      <c r="C646"/>
      <c r="D646" s="11"/>
      <c r="E646"/>
      <c r="F646"/>
      <c r="G646"/>
      <c r="H646"/>
      <c r="I646" s="11"/>
      <c r="J646" s="11"/>
      <c r="K646" s="11"/>
      <c r="L646"/>
      <c r="M646" s="11"/>
      <c r="N646" s="11"/>
      <c r="O646" s="11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 s="11"/>
      <c r="AD646"/>
      <c r="AE646" s="11"/>
      <c r="AF646" s="11"/>
      <c r="AG646" s="11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 s="11"/>
      <c r="CE646"/>
      <c r="CF646"/>
      <c r="CG646"/>
      <c r="CH646"/>
      <c r="CI646"/>
      <c r="CJ646"/>
      <c r="CK646"/>
      <c r="CL646"/>
    </row>
    <row r="647" spans="2:90">
      <c r="B647"/>
      <c r="C647"/>
      <c r="D647" s="11"/>
      <c r="E647"/>
      <c r="F647"/>
      <c r="G647"/>
      <c r="H647"/>
      <c r="I647" s="11"/>
      <c r="J647" s="11"/>
      <c r="K647" s="11"/>
      <c r="L647"/>
      <c r="M647" s="11"/>
      <c r="N647" s="11"/>
      <c r="O647" s="11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 s="11"/>
      <c r="AD647"/>
      <c r="AE647" s="11"/>
      <c r="AF647" s="11"/>
      <c r="AG647" s="11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 s="11"/>
      <c r="CE647"/>
      <c r="CF647"/>
      <c r="CG647"/>
      <c r="CH647"/>
      <c r="CI647"/>
      <c r="CJ647"/>
      <c r="CK647"/>
      <c r="CL647"/>
    </row>
    <row r="648" spans="2:90">
      <c r="B648"/>
      <c r="C648"/>
      <c r="D648" s="11"/>
      <c r="E648"/>
      <c r="F648"/>
      <c r="G648"/>
      <c r="H648"/>
      <c r="I648" s="11"/>
      <c r="J648" s="11"/>
      <c r="K648" s="11"/>
      <c r="L648"/>
      <c r="M648" s="11"/>
      <c r="N648" s="11"/>
      <c r="O648" s="11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 s="11"/>
      <c r="AD648"/>
      <c r="AE648" s="11"/>
      <c r="AF648" s="11"/>
      <c r="AG648" s="11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 s="11"/>
      <c r="CE648"/>
      <c r="CF648"/>
      <c r="CG648"/>
      <c r="CH648"/>
      <c r="CI648"/>
      <c r="CJ648"/>
      <c r="CK648"/>
      <c r="CL648"/>
    </row>
    <row r="649" spans="2:90">
      <c r="B649"/>
      <c r="C649"/>
      <c r="D649" s="11"/>
      <c r="E649"/>
      <c r="F649"/>
      <c r="G649"/>
      <c r="H649"/>
      <c r="I649" s="11"/>
      <c r="J649" s="11"/>
      <c r="K649" s="11"/>
      <c r="L649"/>
      <c r="M649" s="11"/>
      <c r="N649" s="11"/>
      <c r="O649" s="11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 s="11"/>
      <c r="AD649"/>
      <c r="AE649" s="11"/>
      <c r="AF649" s="11"/>
      <c r="AG649" s="11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 s="11"/>
      <c r="CE649"/>
      <c r="CF649"/>
      <c r="CG649"/>
      <c r="CH649"/>
      <c r="CI649"/>
      <c r="CJ649"/>
      <c r="CK649"/>
      <c r="CL649"/>
    </row>
    <row r="650" spans="2:90">
      <c r="B650"/>
      <c r="C650"/>
      <c r="D650" s="11"/>
      <c r="E650"/>
      <c r="F650"/>
      <c r="G650"/>
      <c r="H650"/>
      <c r="I650" s="11"/>
      <c r="J650" s="11"/>
      <c r="K650" s="11"/>
      <c r="L650"/>
      <c r="M650" s="11"/>
      <c r="N650" s="11"/>
      <c r="O650" s="11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 s="11"/>
      <c r="AD650"/>
      <c r="AE650" s="11"/>
      <c r="AF650" s="11"/>
      <c r="AG650" s="11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 s="11"/>
      <c r="CE650"/>
      <c r="CF650"/>
      <c r="CG650"/>
      <c r="CH650"/>
      <c r="CI650"/>
      <c r="CJ650"/>
      <c r="CK650"/>
      <c r="CL650"/>
    </row>
    <row r="651" spans="2:90">
      <c r="B651"/>
      <c r="C651"/>
      <c r="D651" s="11"/>
      <c r="E651"/>
      <c r="F651"/>
      <c r="G651"/>
      <c r="H651"/>
      <c r="I651" s="11"/>
      <c r="J651" s="11"/>
      <c r="K651" s="11"/>
      <c r="L651"/>
      <c r="M651" s="11"/>
      <c r="N651" s="11"/>
      <c r="O651" s="1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 s="11"/>
      <c r="AD651"/>
      <c r="AE651" s="11"/>
      <c r="AF651" s="11"/>
      <c r="AG651" s="1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 s="11"/>
      <c r="CE651"/>
      <c r="CF651"/>
      <c r="CG651"/>
      <c r="CH651"/>
      <c r="CI651"/>
      <c r="CJ651"/>
      <c r="CK651"/>
      <c r="CL651"/>
    </row>
    <row r="652" spans="2:90">
      <c r="B652"/>
      <c r="C652"/>
      <c r="D652" s="11"/>
      <c r="E652"/>
      <c r="F652"/>
      <c r="G652"/>
      <c r="H652"/>
      <c r="I652" s="11"/>
      <c r="J652" s="11"/>
      <c r="K652" s="11"/>
      <c r="L652"/>
      <c r="M652" s="11"/>
      <c r="N652" s="11"/>
      <c r="O652" s="11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 s="11"/>
      <c r="AD652"/>
      <c r="AE652" s="11"/>
      <c r="AF652" s="11"/>
      <c r="AG652" s="11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 s="11"/>
      <c r="CE652"/>
      <c r="CF652"/>
      <c r="CG652"/>
      <c r="CH652"/>
      <c r="CI652"/>
      <c r="CJ652"/>
      <c r="CK652"/>
      <c r="CL652"/>
    </row>
    <row r="653" spans="2:90">
      <c r="B653"/>
      <c r="C653"/>
      <c r="D653" s="11"/>
      <c r="E653"/>
      <c r="F653"/>
      <c r="G653"/>
      <c r="H653"/>
      <c r="I653" s="11"/>
      <c r="J653" s="11"/>
      <c r="K653" s="11"/>
      <c r="L653"/>
      <c r="M653" s="11"/>
      <c r="N653" s="11"/>
      <c r="O653" s="11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 s="11"/>
      <c r="AD653"/>
      <c r="AE653" s="11"/>
      <c r="AF653" s="11"/>
      <c r="AG653" s="11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 s="11"/>
      <c r="CE653"/>
      <c r="CF653"/>
      <c r="CG653"/>
      <c r="CH653"/>
      <c r="CI653"/>
      <c r="CJ653"/>
      <c r="CK653"/>
      <c r="CL653"/>
    </row>
    <row r="654" spans="2:90">
      <c r="B654"/>
      <c r="C654"/>
      <c r="D654" s="11"/>
      <c r="E654"/>
      <c r="F654"/>
      <c r="G654"/>
      <c r="H654"/>
      <c r="I654" s="11"/>
      <c r="J654" s="11"/>
      <c r="K654" s="11"/>
      <c r="L654"/>
      <c r="M654" s="11"/>
      <c r="N654" s="11"/>
      <c r="O654" s="11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 s="11"/>
      <c r="AD654"/>
      <c r="AE654" s="11"/>
      <c r="AF654" s="11"/>
      <c r="AG654" s="11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 s="11"/>
      <c r="CE654"/>
      <c r="CF654"/>
      <c r="CG654"/>
      <c r="CH654"/>
      <c r="CI654"/>
      <c r="CJ654"/>
      <c r="CK654"/>
      <c r="CL654"/>
    </row>
    <row r="655" spans="2:90">
      <c r="B655"/>
      <c r="C655"/>
      <c r="D655" s="11"/>
      <c r="E655"/>
      <c r="F655"/>
      <c r="G655"/>
      <c r="H655"/>
      <c r="I655" s="11"/>
      <c r="J655" s="11"/>
      <c r="K655" s="11"/>
      <c r="L655"/>
      <c r="M655" s="11"/>
      <c r="N655" s="11"/>
      <c r="O655" s="11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 s="11"/>
      <c r="AD655"/>
      <c r="AE655" s="11"/>
      <c r="AF655" s="11"/>
      <c r="AG655" s="11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 s="11"/>
      <c r="CE655"/>
      <c r="CF655"/>
      <c r="CG655"/>
      <c r="CH655"/>
      <c r="CI655"/>
      <c r="CJ655"/>
      <c r="CK655"/>
      <c r="CL655"/>
    </row>
    <row r="656" spans="2:90">
      <c r="B656"/>
      <c r="C656"/>
      <c r="D656" s="11"/>
      <c r="E656"/>
      <c r="F656"/>
      <c r="G656"/>
      <c r="H656"/>
      <c r="I656" s="11"/>
      <c r="J656" s="11"/>
      <c r="K656" s="11"/>
      <c r="L656"/>
      <c r="M656" s="11"/>
      <c r="N656" s="11"/>
      <c r="O656" s="11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 s="11"/>
      <c r="AD656"/>
      <c r="AE656" s="11"/>
      <c r="AF656" s="11"/>
      <c r="AG656" s="11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 s="11"/>
      <c r="CE656"/>
      <c r="CF656"/>
      <c r="CG656"/>
      <c r="CH656"/>
      <c r="CI656"/>
      <c r="CJ656"/>
      <c r="CK656"/>
      <c r="CL656"/>
    </row>
    <row r="657" spans="2:90">
      <c r="B657"/>
      <c r="C657"/>
      <c r="D657" s="11"/>
      <c r="E657"/>
      <c r="F657"/>
      <c r="G657"/>
      <c r="H657"/>
      <c r="I657" s="11"/>
      <c r="J657" s="11"/>
      <c r="K657" s="11"/>
      <c r="L657"/>
      <c r="M657" s="11"/>
      <c r="N657" s="11"/>
      <c r="O657" s="11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 s="11"/>
      <c r="AD657"/>
      <c r="AE657" s="11"/>
      <c r="AF657" s="11"/>
      <c r="AG657" s="11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 s="11"/>
      <c r="CE657"/>
      <c r="CF657"/>
      <c r="CG657"/>
      <c r="CH657"/>
      <c r="CI657"/>
      <c r="CJ657"/>
      <c r="CK657"/>
      <c r="CL657"/>
    </row>
    <row r="658" spans="2:90">
      <c r="B658"/>
      <c r="C658"/>
      <c r="D658" s="11"/>
      <c r="E658"/>
      <c r="F658"/>
      <c r="G658"/>
      <c r="H658"/>
      <c r="I658" s="11"/>
      <c r="J658" s="11"/>
      <c r="K658" s="11"/>
      <c r="L658"/>
      <c r="M658" s="11"/>
      <c r="N658" s="11"/>
      <c r="O658" s="11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 s="11"/>
      <c r="AD658"/>
      <c r="AE658" s="11"/>
      <c r="AF658" s="11"/>
      <c r="AG658" s="11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 s="11"/>
      <c r="CE658"/>
      <c r="CF658"/>
      <c r="CG658"/>
      <c r="CH658"/>
      <c r="CI658"/>
      <c r="CJ658"/>
      <c r="CK658"/>
      <c r="CL658"/>
    </row>
    <row r="659" spans="2:90">
      <c r="B659"/>
      <c r="C659"/>
      <c r="D659" s="11"/>
      <c r="E659"/>
      <c r="F659"/>
      <c r="G659"/>
      <c r="H659"/>
      <c r="I659" s="11"/>
      <c r="J659" s="11"/>
      <c r="K659" s="11"/>
      <c r="L659"/>
      <c r="M659" s="11"/>
      <c r="N659" s="11"/>
      <c r="O659" s="11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 s="11"/>
      <c r="AD659"/>
      <c r="AE659" s="11"/>
      <c r="AF659" s="11"/>
      <c r="AG659" s="11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 s="11"/>
      <c r="CE659"/>
      <c r="CF659"/>
      <c r="CG659"/>
      <c r="CH659"/>
      <c r="CI659"/>
      <c r="CJ659"/>
      <c r="CK659"/>
      <c r="CL659"/>
    </row>
    <row r="660" spans="2:90">
      <c r="B660"/>
      <c r="C660"/>
      <c r="D660" s="11"/>
      <c r="E660"/>
      <c r="F660"/>
      <c r="G660"/>
      <c r="H660"/>
      <c r="I660" s="11"/>
      <c r="J660" s="11"/>
      <c r="K660" s="11"/>
      <c r="L660"/>
      <c r="M660" s="11"/>
      <c r="N660" s="11"/>
      <c r="O660" s="11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 s="11"/>
      <c r="AD660"/>
      <c r="AE660" s="11"/>
      <c r="AF660" s="11"/>
      <c r="AG660" s="11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 s="11"/>
      <c r="CE660"/>
      <c r="CF660"/>
      <c r="CG660"/>
      <c r="CH660"/>
      <c r="CI660"/>
      <c r="CJ660"/>
      <c r="CK660"/>
      <c r="CL660"/>
    </row>
    <row r="661" spans="2:90">
      <c r="B661"/>
      <c r="C661"/>
      <c r="D661" s="11"/>
      <c r="E661"/>
      <c r="F661"/>
      <c r="G661"/>
      <c r="H661"/>
      <c r="I661" s="11"/>
      <c r="J661" s="11"/>
      <c r="K661" s="11"/>
      <c r="L661"/>
      <c r="M661" s="11"/>
      <c r="N661" s="11"/>
      <c r="O661" s="1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 s="11"/>
      <c r="AD661"/>
      <c r="AE661" s="11"/>
      <c r="AF661" s="11"/>
      <c r="AG661" s="1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 s="11"/>
      <c r="CE661"/>
      <c r="CF661"/>
      <c r="CG661"/>
      <c r="CH661"/>
      <c r="CI661"/>
      <c r="CJ661"/>
      <c r="CK661"/>
      <c r="CL661"/>
    </row>
    <row r="662" spans="2:90">
      <c r="B662"/>
      <c r="C662"/>
      <c r="D662" s="11"/>
      <c r="E662"/>
      <c r="F662"/>
      <c r="G662"/>
      <c r="H662"/>
      <c r="I662" s="11"/>
      <c r="J662" s="11"/>
      <c r="K662" s="11"/>
      <c r="L662"/>
      <c r="M662" s="11"/>
      <c r="N662" s="11"/>
      <c r="O662" s="11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 s="11"/>
      <c r="AD662"/>
      <c r="AE662" s="11"/>
      <c r="AF662" s="11"/>
      <c r="AG662" s="11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 s="11"/>
      <c r="CE662"/>
      <c r="CF662"/>
      <c r="CG662"/>
      <c r="CH662"/>
      <c r="CI662"/>
      <c r="CJ662"/>
      <c r="CK662"/>
      <c r="CL662"/>
    </row>
    <row r="663" spans="2:90">
      <c r="B663"/>
      <c r="C663"/>
      <c r="D663" s="11"/>
      <c r="E663"/>
      <c r="F663"/>
      <c r="G663"/>
      <c r="H663"/>
      <c r="I663" s="11"/>
      <c r="J663" s="11"/>
      <c r="K663" s="11"/>
      <c r="L663"/>
      <c r="M663" s="11"/>
      <c r="N663" s="11"/>
      <c r="O663" s="11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 s="11"/>
      <c r="AD663"/>
      <c r="AE663" s="11"/>
      <c r="AF663" s="11"/>
      <c r="AG663" s="11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 s="11"/>
      <c r="CE663"/>
      <c r="CF663"/>
      <c r="CG663"/>
      <c r="CH663"/>
      <c r="CI663"/>
      <c r="CJ663"/>
      <c r="CK663"/>
      <c r="CL663"/>
    </row>
    <row r="664" spans="2:90">
      <c r="B664"/>
      <c r="C664"/>
      <c r="D664" s="11"/>
      <c r="E664"/>
      <c r="F664"/>
      <c r="G664"/>
      <c r="H664"/>
      <c r="I664" s="11"/>
      <c r="J664" s="11"/>
      <c r="K664" s="11"/>
      <c r="L664"/>
      <c r="M664" s="11"/>
      <c r="N664" s="11"/>
      <c r="O664" s="11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 s="11"/>
      <c r="AD664"/>
      <c r="AE664" s="11"/>
      <c r="AF664" s="11"/>
      <c r="AG664" s="11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 s="11"/>
      <c r="CE664"/>
      <c r="CF664"/>
      <c r="CG664"/>
      <c r="CH664"/>
      <c r="CI664"/>
      <c r="CJ664"/>
      <c r="CK664"/>
      <c r="CL664"/>
    </row>
    <row r="665" spans="2:90">
      <c r="B665"/>
      <c r="C665"/>
      <c r="D665" s="11"/>
      <c r="E665"/>
      <c r="F665"/>
      <c r="G665"/>
      <c r="H665"/>
      <c r="I665" s="11"/>
      <c r="J665" s="11"/>
      <c r="K665" s="11"/>
      <c r="L665"/>
      <c r="M665" s="11"/>
      <c r="N665" s="11"/>
      <c r="O665" s="11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 s="11"/>
      <c r="AD665"/>
      <c r="AE665" s="11"/>
      <c r="AF665" s="11"/>
      <c r="AG665" s="11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 s="11"/>
      <c r="CE665"/>
      <c r="CF665"/>
      <c r="CG665"/>
      <c r="CH665"/>
      <c r="CI665"/>
      <c r="CJ665"/>
      <c r="CK665"/>
      <c r="CL665"/>
    </row>
    <row r="666" spans="2:90">
      <c r="B666"/>
      <c r="C666"/>
      <c r="D666" s="11"/>
      <c r="E666"/>
      <c r="F666"/>
      <c r="G666"/>
      <c r="H666"/>
      <c r="I666" s="11"/>
      <c r="J666" s="11"/>
      <c r="K666" s="11"/>
      <c r="L666"/>
      <c r="M666" s="11"/>
      <c r="N666" s="11"/>
      <c r="O666" s="11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 s="11"/>
      <c r="AD666"/>
      <c r="AE666" s="11"/>
      <c r="AF666" s="11"/>
      <c r="AG666" s="11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 s="11"/>
      <c r="CE666"/>
      <c r="CF666"/>
      <c r="CG666"/>
      <c r="CH666"/>
      <c r="CI666"/>
      <c r="CJ666"/>
      <c r="CK666"/>
      <c r="CL666"/>
    </row>
    <row r="667" spans="2:90">
      <c r="B667"/>
      <c r="C667"/>
      <c r="D667" s="11"/>
      <c r="E667"/>
      <c r="F667"/>
      <c r="G667"/>
      <c r="H667"/>
      <c r="I667" s="11"/>
      <c r="J667" s="11"/>
      <c r="K667" s="11"/>
      <c r="L667"/>
      <c r="M667" s="11"/>
      <c r="N667" s="11"/>
      <c r="O667" s="11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 s="11"/>
      <c r="AD667"/>
      <c r="AE667" s="11"/>
      <c r="AF667" s="11"/>
      <c r="AG667" s="11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 s="11"/>
      <c r="CE667"/>
      <c r="CF667"/>
      <c r="CG667"/>
      <c r="CH667"/>
      <c r="CI667"/>
      <c r="CJ667"/>
      <c r="CK667"/>
      <c r="CL667"/>
    </row>
    <row r="668" spans="2:90">
      <c r="B668"/>
      <c r="C668"/>
      <c r="D668" s="11"/>
      <c r="E668"/>
      <c r="F668"/>
      <c r="G668"/>
      <c r="H668"/>
      <c r="I668" s="11"/>
      <c r="J668" s="11"/>
      <c r="K668" s="11"/>
      <c r="L668"/>
      <c r="M668" s="11"/>
      <c r="N668" s="11"/>
      <c r="O668" s="11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 s="11"/>
      <c r="AD668"/>
      <c r="AE668" s="11"/>
      <c r="AF668" s="11"/>
      <c r="AG668" s="11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 s="11"/>
      <c r="CE668"/>
      <c r="CF668"/>
      <c r="CG668"/>
      <c r="CH668"/>
      <c r="CI668"/>
      <c r="CJ668"/>
      <c r="CK668"/>
      <c r="CL668"/>
    </row>
    <row r="669" spans="2:90">
      <c r="B669"/>
      <c r="C669"/>
      <c r="D669" s="11"/>
      <c r="E669"/>
      <c r="F669"/>
      <c r="G669"/>
      <c r="H669"/>
      <c r="I669" s="11"/>
      <c r="J669" s="11"/>
      <c r="K669" s="11"/>
      <c r="L669"/>
      <c r="M669" s="11"/>
      <c r="N669" s="11"/>
      <c r="O669" s="11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 s="11"/>
      <c r="AD669"/>
      <c r="AE669" s="11"/>
      <c r="AF669" s="11"/>
      <c r="AG669" s="11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 s="11"/>
      <c r="CE669"/>
      <c r="CF669"/>
      <c r="CG669"/>
      <c r="CH669"/>
      <c r="CI669"/>
      <c r="CJ669"/>
      <c r="CK669"/>
      <c r="CL669"/>
    </row>
    <row r="670" spans="2:90">
      <c r="B670"/>
      <c r="C670"/>
      <c r="D670" s="11"/>
      <c r="E670"/>
      <c r="F670"/>
      <c r="G670"/>
      <c r="H670"/>
      <c r="I670" s="11"/>
      <c r="J670" s="11"/>
      <c r="K670" s="11"/>
      <c r="L670"/>
      <c r="M670" s="11"/>
      <c r="N670" s="11"/>
      <c r="O670" s="11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 s="11"/>
      <c r="AD670"/>
      <c r="AE670" s="11"/>
      <c r="AF670" s="11"/>
      <c r="AG670" s="11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 s="11"/>
      <c r="CE670"/>
      <c r="CF670"/>
      <c r="CG670"/>
      <c r="CH670"/>
      <c r="CI670"/>
      <c r="CJ670"/>
      <c r="CK670"/>
      <c r="CL670"/>
    </row>
    <row r="671" spans="2:90">
      <c r="B671"/>
      <c r="C671"/>
      <c r="D671" s="11"/>
      <c r="E671"/>
      <c r="F671"/>
      <c r="G671"/>
      <c r="H671"/>
      <c r="I671" s="11"/>
      <c r="J671" s="11"/>
      <c r="K671" s="11"/>
      <c r="L671"/>
      <c r="M671" s="11"/>
      <c r="N671" s="11"/>
      <c r="O671" s="1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 s="11"/>
      <c r="AD671"/>
      <c r="AE671" s="11"/>
      <c r="AF671" s="11"/>
      <c r="AG671" s="1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 s="11"/>
      <c r="CE671"/>
      <c r="CF671"/>
      <c r="CG671"/>
      <c r="CH671"/>
      <c r="CI671"/>
      <c r="CJ671"/>
      <c r="CK671"/>
      <c r="CL671"/>
    </row>
    <row r="672" spans="2:90">
      <c r="B672"/>
      <c r="C672"/>
      <c r="D672" s="11"/>
      <c r="E672"/>
      <c r="F672"/>
      <c r="G672"/>
      <c r="H672"/>
      <c r="I672" s="11"/>
      <c r="J672" s="11"/>
      <c r="K672" s="11"/>
      <c r="L672"/>
      <c r="M672" s="11"/>
      <c r="N672" s="11"/>
      <c r="O672" s="11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 s="11"/>
      <c r="AD672"/>
      <c r="AE672" s="11"/>
      <c r="AF672" s="11"/>
      <c r="AG672" s="11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 s="11"/>
      <c r="CE672"/>
      <c r="CF672"/>
      <c r="CG672"/>
      <c r="CH672"/>
      <c r="CI672"/>
      <c r="CJ672"/>
      <c r="CK672"/>
      <c r="CL672"/>
    </row>
    <row r="673" spans="2:90">
      <c r="B673"/>
      <c r="C673"/>
      <c r="D673" s="11"/>
      <c r="E673"/>
      <c r="F673"/>
      <c r="G673"/>
      <c r="H673"/>
      <c r="I673" s="11"/>
      <c r="J673" s="11"/>
      <c r="K673" s="11"/>
      <c r="L673"/>
      <c r="M673" s="11"/>
      <c r="N673" s="11"/>
      <c r="O673" s="11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 s="11"/>
      <c r="AD673"/>
      <c r="AE673" s="11"/>
      <c r="AF673" s="11"/>
      <c r="AG673" s="11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 s="11"/>
      <c r="CE673"/>
      <c r="CF673"/>
      <c r="CG673"/>
      <c r="CH673"/>
      <c r="CI673"/>
      <c r="CJ673"/>
      <c r="CK673"/>
      <c r="CL673"/>
    </row>
    <row r="674" spans="2:90">
      <c r="B674"/>
      <c r="C674"/>
      <c r="D674" s="11"/>
      <c r="E674"/>
      <c r="F674"/>
      <c r="G674"/>
      <c r="H674"/>
      <c r="I674" s="11"/>
      <c r="J674" s="11"/>
      <c r="K674" s="11"/>
      <c r="L674"/>
      <c r="M674" s="11"/>
      <c r="N674" s="11"/>
      <c r="O674" s="11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 s="11"/>
      <c r="AD674"/>
      <c r="AE674" s="11"/>
      <c r="AF674" s="11"/>
      <c r="AG674" s="11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 s="11"/>
      <c r="CE674"/>
      <c r="CF674"/>
      <c r="CG674"/>
      <c r="CH674"/>
      <c r="CI674"/>
      <c r="CJ674"/>
      <c r="CK674"/>
      <c r="CL674"/>
    </row>
    <row r="675" spans="2:90">
      <c r="B675"/>
      <c r="C675"/>
      <c r="D675" s="11"/>
      <c r="E675"/>
      <c r="F675"/>
      <c r="G675"/>
      <c r="H675"/>
      <c r="I675" s="11"/>
      <c r="J675" s="11"/>
      <c r="K675" s="11"/>
      <c r="L675"/>
      <c r="M675" s="11"/>
      <c r="N675" s="11"/>
      <c r="O675" s="11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 s="11"/>
      <c r="AD675"/>
      <c r="AE675" s="11"/>
      <c r="AF675" s="11"/>
      <c r="AG675" s="11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 s="11"/>
      <c r="CE675"/>
      <c r="CF675"/>
      <c r="CG675"/>
      <c r="CH675"/>
      <c r="CI675"/>
      <c r="CJ675"/>
      <c r="CK675"/>
      <c r="CL675"/>
    </row>
    <row r="676" spans="2:90">
      <c r="B676"/>
      <c r="C676"/>
      <c r="D676" s="11"/>
      <c r="E676"/>
      <c r="F676"/>
      <c r="G676"/>
      <c r="H676"/>
      <c r="I676" s="11"/>
      <c r="J676" s="11"/>
      <c r="K676" s="11"/>
      <c r="L676"/>
      <c r="M676" s="11"/>
      <c r="N676" s="11"/>
      <c r="O676" s="11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 s="11"/>
      <c r="AD676"/>
      <c r="AE676" s="11"/>
      <c r="AF676" s="11"/>
      <c r="AG676" s="11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 s="11"/>
      <c r="CE676"/>
      <c r="CF676"/>
      <c r="CG676"/>
      <c r="CH676"/>
      <c r="CI676"/>
      <c r="CJ676"/>
      <c r="CK676"/>
      <c r="CL676"/>
    </row>
    <row r="677" spans="2:90">
      <c r="B677"/>
      <c r="C677"/>
      <c r="D677" s="11"/>
      <c r="E677"/>
      <c r="F677"/>
      <c r="G677"/>
      <c r="H677"/>
      <c r="I677" s="11"/>
      <c r="J677" s="11"/>
      <c r="K677" s="11"/>
      <c r="L677"/>
      <c r="M677" s="11"/>
      <c r="N677" s="11"/>
      <c r="O677" s="11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 s="11"/>
      <c r="AD677"/>
      <c r="AE677" s="11"/>
      <c r="AF677" s="11"/>
      <c r="AG677" s="11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 s="11"/>
      <c r="CE677"/>
      <c r="CF677"/>
      <c r="CG677"/>
      <c r="CH677"/>
      <c r="CI677"/>
      <c r="CJ677"/>
      <c r="CK677"/>
      <c r="CL677"/>
    </row>
    <row r="678" spans="2:90">
      <c r="B678"/>
      <c r="C678"/>
      <c r="D678" s="11"/>
      <c r="E678"/>
      <c r="F678"/>
      <c r="G678"/>
      <c r="H678"/>
      <c r="I678" s="11"/>
      <c r="J678" s="11"/>
      <c r="K678" s="11"/>
      <c r="L678"/>
      <c r="M678" s="11"/>
      <c r="N678" s="11"/>
      <c r="O678" s="11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 s="11"/>
      <c r="AD678"/>
      <c r="AE678" s="11"/>
      <c r="AF678" s="11"/>
      <c r="AG678" s="11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 s="11"/>
      <c r="CE678"/>
      <c r="CF678"/>
      <c r="CG678"/>
      <c r="CH678"/>
      <c r="CI678"/>
      <c r="CJ678"/>
      <c r="CK678"/>
      <c r="CL678"/>
    </row>
    <row r="679" spans="2:90">
      <c r="B679"/>
      <c r="C679"/>
      <c r="D679" s="11"/>
      <c r="E679"/>
      <c r="F679"/>
      <c r="G679"/>
      <c r="H679"/>
      <c r="I679" s="11"/>
      <c r="J679" s="11"/>
      <c r="K679" s="11"/>
      <c r="L679"/>
      <c r="M679" s="11"/>
      <c r="N679" s="11"/>
      <c r="O679" s="11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 s="11"/>
      <c r="AD679"/>
      <c r="AE679" s="11"/>
      <c r="AF679" s="11"/>
      <c r="AG679" s="11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 s="11"/>
      <c r="CE679"/>
      <c r="CF679"/>
      <c r="CG679"/>
      <c r="CH679"/>
      <c r="CI679"/>
      <c r="CJ679"/>
      <c r="CK679"/>
      <c r="CL679"/>
    </row>
    <row r="680" spans="2:90">
      <c r="B680"/>
      <c r="C680"/>
      <c r="D680" s="11"/>
      <c r="E680"/>
      <c r="F680"/>
      <c r="G680"/>
      <c r="H680"/>
      <c r="I680" s="11"/>
      <c r="J680" s="11"/>
      <c r="K680" s="11"/>
      <c r="L680"/>
      <c r="M680" s="11"/>
      <c r="N680" s="11"/>
      <c r="O680" s="11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 s="11"/>
      <c r="AD680"/>
      <c r="AE680" s="11"/>
      <c r="AF680" s="11"/>
      <c r="AG680" s="11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 s="11"/>
      <c r="CE680"/>
      <c r="CF680"/>
      <c r="CG680"/>
      <c r="CH680"/>
      <c r="CI680"/>
      <c r="CJ680"/>
      <c r="CK680"/>
      <c r="CL680"/>
    </row>
    <row r="681" spans="2:90">
      <c r="B681"/>
      <c r="C681"/>
      <c r="D681" s="11"/>
      <c r="E681"/>
      <c r="F681"/>
      <c r="G681"/>
      <c r="H681"/>
      <c r="I681" s="11"/>
      <c r="J681" s="11"/>
      <c r="K681" s="11"/>
      <c r="L681"/>
      <c r="M681" s="11"/>
      <c r="N681" s="11"/>
      <c r="O681" s="1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 s="11"/>
      <c r="AD681"/>
      <c r="AE681" s="11"/>
      <c r="AF681" s="11"/>
      <c r="AG681" s="1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 s="11"/>
      <c r="CE681"/>
      <c r="CF681"/>
      <c r="CG681"/>
      <c r="CH681"/>
      <c r="CI681"/>
      <c r="CJ681"/>
      <c r="CK681"/>
      <c r="CL681"/>
    </row>
    <row r="682" spans="2:90">
      <c r="B682"/>
      <c r="C682"/>
      <c r="D682" s="11"/>
      <c r="E682"/>
      <c r="F682"/>
      <c r="G682"/>
      <c r="H682"/>
      <c r="I682" s="11"/>
      <c r="J682" s="11"/>
      <c r="K682" s="11"/>
      <c r="L682"/>
      <c r="M682" s="11"/>
      <c r="N682" s="11"/>
      <c r="O682" s="11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 s="11"/>
      <c r="AD682"/>
      <c r="AE682" s="11"/>
      <c r="AF682" s="11"/>
      <c r="AG682" s="11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 s="11"/>
      <c r="CE682"/>
      <c r="CF682"/>
      <c r="CG682"/>
      <c r="CH682"/>
      <c r="CI682"/>
      <c r="CJ682"/>
      <c r="CK682"/>
      <c r="CL682"/>
    </row>
    <row r="683" spans="2:90">
      <c r="B683"/>
      <c r="C683"/>
      <c r="D683" s="11"/>
      <c r="E683"/>
      <c r="F683"/>
      <c r="G683"/>
      <c r="H683"/>
      <c r="I683" s="11"/>
      <c r="J683" s="11"/>
      <c r="K683" s="11"/>
      <c r="L683"/>
      <c r="M683" s="11"/>
      <c r="N683" s="11"/>
      <c r="O683" s="11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 s="11"/>
      <c r="AD683"/>
      <c r="AE683" s="11"/>
      <c r="AF683" s="11"/>
      <c r="AG683" s="11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 s="11"/>
      <c r="CE683"/>
      <c r="CF683"/>
      <c r="CG683"/>
      <c r="CH683"/>
      <c r="CI683"/>
      <c r="CJ683"/>
      <c r="CK683"/>
      <c r="CL683"/>
    </row>
    <row r="684" spans="2:90">
      <c r="B684"/>
      <c r="C684"/>
      <c r="D684" s="11"/>
      <c r="E684"/>
      <c r="F684"/>
      <c r="G684"/>
      <c r="H684"/>
      <c r="I684" s="11"/>
      <c r="J684" s="11"/>
      <c r="K684" s="11"/>
      <c r="L684"/>
      <c r="M684" s="11"/>
      <c r="N684" s="11"/>
      <c r="O684" s="11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 s="11"/>
      <c r="AD684"/>
      <c r="AE684" s="11"/>
      <c r="AF684" s="11"/>
      <c r="AG684" s="11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 s="11"/>
      <c r="CE684"/>
      <c r="CF684"/>
      <c r="CG684"/>
      <c r="CH684"/>
      <c r="CI684"/>
      <c r="CJ684"/>
      <c r="CK684"/>
      <c r="CL684"/>
    </row>
    <row r="685" spans="2:90">
      <c r="B685"/>
      <c r="C685"/>
      <c r="D685" s="11"/>
      <c r="E685"/>
      <c r="F685"/>
      <c r="G685"/>
      <c r="H685"/>
      <c r="I685" s="11"/>
      <c r="J685" s="11"/>
      <c r="K685" s="11"/>
      <c r="L685"/>
      <c r="M685" s="11"/>
      <c r="N685" s="11"/>
      <c r="O685" s="11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 s="11"/>
      <c r="AD685"/>
      <c r="AE685" s="11"/>
      <c r="AF685" s="11"/>
      <c r="AG685" s="11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 s="11"/>
      <c r="CE685"/>
      <c r="CF685"/>
      <c r="CG685"/>
      <c r="CH685"/>
      <c r="CI685"/>
      <c r="CJ685"/>
      <c r="CK685"/>
      <c r="CL685"/>
    </row>
    <row r="686" spans="2:90">
      <c r="B686"/>
      <c r="C686"/>
      <c r="D686" s="11"/>
      <c r="E686"/>
      <c r="F686"/>
      <c r="G686"/>
      <c r="H686"/>
      <c r="I686" s="11"/>
      <c r="J686" s="11"/>
      <c r="K686" s="11"/>
      <c r="L686"/>
      <c r="M686" s="11"/>
      <c r="N686" s="11"/>
      <c r="O686" s="11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 s="11"/>
      <c r="AD686"/>
      <c r="AE686" s="11"/>
      <c r="AF686" s="11"/>
      <c r="AG686" s="11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 s="11"/>
      <c r="CE686"/>
      <c r="CF686"/>
      <c r="CG686"/>
      <c r="CH686"/>
      <c r="CI686"/>
      <c r="CJ686"/>
      <c r="CK686"/>
      <c r="CL686"/>
    </row>
    <row r="687" spans="2:90">
      <c r="B687"/>
      <c r="C687"/>
      <c r="D687" s="11"/>
      <c r="E687"/>
      <c r="F687"/>
      <c r="G687"/>
      <c r="H687"/>
      <c r="I687" s="11"/>
      <c r="J687" s="11"/>
      <c r="K687" s="11"/>
      <c r="L687"/>
      <c r="M687" s="11"/>
      <c r="N687" s="11"/>
      <c r="O687" s="11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 s="11"/>
      <c r="AD687"/>
      <c r="AE687" s="11"/>
      <c r="AF687" s="11"/>
      <c r="AG687" s="11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 s="11"/>
      <c r="CE687"/>
      <c r="CF687"/>
      <c r="CG687"/>
      <c r="CH687"/>
      <c r="CI687"/>
      <c r="CJ687"/>
      <c r="CK687"/>
      <c r="CL687"/>
    </row>
    <row r="688" spans="2:90">
      <c r="B688"/>
      <c r="C688"/>
      <c r="D688" s="11"/>
      <c r="E688"/>
      <c r="F688"/>
      <c r="G688"/>
      <c r="H688"/>
      <c r="I688" s="11"/>
      <c r="J688" s="11"/>
      <c r="K688" s="11"/>
      <c r="L688"/>
      <c r="M688" s="11"/>
      <c r="N688" s="11"/>
      <c r="O688" s="11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 s="11"/>
      <c r="AD688"/>
      <c r="AE688" s="11"/>
      <c r="AF688" s="11"/>
      <c r="AG688" s="11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 s="11"/>
      <c r="CE688"/>
      <c r="CF688"/>
      <c r="CG688"/>
      <c r="CH688"/>
      <c r="CI688"/>
      <c r="CJ688"/>
      <c r="CK688"/>
      <c r="CL688"/>
    </row>
    <row r="689" spans="2:90">
      <c r="B689"/>
      <c r="C689"/>
      <c r="D689" s="11"/>
      <c r="E689"/>
      <c r="F689"/>
      <c r="G689"/>
      <c r="H689"/>
      <c r="I689" s="11"/>
      <c r="J689" s="11"/>
      <c r="K689" s="11"/>
      <c r="L689"/>
      <c r="M689" s="11"/>
      <c r="N689" s="11"/>
      <c r="O689" s="11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 s="11"/>
      <c r="AD689"/>
      <c r="AE689" s="11"/>
      <c r="AF689" s="11"/>
      <c r="AG689" s="11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 s="11"/>
      <c r="CE689"/>
      <c r="CF689"/>
      <c r="CG689"/>
      <c r="CH689"/>
      <c r="CI689"/>
      <c r="CJ689"/>
      <c r="CK689"/>
      <c r="CL689"/>
    </row>
    <row r="690" spans="2:90">
      <c r="B690"/>
      <c r="C690"/>
      <c r="D690" s="11"/>
      <c r="E690"/>
      <c r="F690"/>
      <c r="G690"/>
      <c r="H690"/>
      <c r="I690" s="11"/>
      <c r="J690" s="11"/>
      <c r="K690" s="11"/>
      <c r="L690"/>
      <c r="M690" s="11"/>
      <c r="N690" s="11"/>
      <c r="O690" s="11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 s="11"/>
      <c r="AD690"/>
      <c r="AE690" s="11"/>
      <c r="AF690" s="11"/>
      <c r="AG690" s="11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 s="11"/>
      <c r="CE690"/>
      <c r="CF690"/>
      <c r="CG690"/>
      <c r="CH690"/>
      <c r="CI690"/>
      <c r="CJ690"/>
      <c r="CK690"/>
      <c r="CL690"/>
    </row>
    <row r="691" spans="2:90">
      <c r="B691"/>
      <c r="C691"/>
      <c r="D691" s="11"/>
      <c r="E691"/>
      <c r="F691"/>
      <c r="G691"/>
      <c r="H691"/>
      <c r="I691" s="11"/>
      <c r="J691" s="11"/>
      <c r="K691" s="11"/>
      <c r="L691"/>
      <c r="M691" s="11"/>
      <c r="N691" s="11"/>
      <c r="O691" s="1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 s="11"/>
      <c r="AD691"/>
      <c r="AE691" s="11"/>
      <c r="AF691" s="11"/>
      <c r="AG691" s="1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 s="11"/>
      <c r="CE691"/>
      <c r="CF691"/>
      <c r="CG691"/>
      <c r="CH691"/>
      <c r="CI691"/>
      <c r="CJ691"/>
      <c r="CK691"/>
      <c r="CL691"/>
    </row>
    <row r="692" spans="2:90">
      <c r="B692"/>
      <c r="C692"/>
      <c r="D692" s="11"/>
      <c r="E692"/>
      <c r="F692"/>
      <c r="G692"/>
      <c r="H692"/>
      <c r="I692" s="11"/>
      <c r="J692" s="11"/>
      <c r="K692" s="11"/>
      <c r="L692"/>
      <c r="M692" s="11"/>
      <c r="N692" s="11"/>
      <c r="O692" s="11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 s="11"/>
      <c r="AD692"/>
      <c r="AE692" s="11"/>
      <c r="AF692" s="11"/>
      <c r="AG692" s="11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 s="11"/>
      <c r="CE692"/>
      <c r="CF692"/>
      <c r="CG692"/>
      <c r="CH692"/>
      <c r="CI692"/>
      <c r="CJ692"/>
      <c r="CK692"/>
      <c r="CL692"/>
    </row>
    <row r="693" spans="2:90">
      <c r="B693"/>
      <c r="C693"/>
      <c r="D693" s="11"/>
      <c r="E693"/>
      <c r="F693"/>
      <c r="G693"/>
      <c r="H693"/>
      <c r="I693" s="11"/>
      <c r="J693" s="11"/>
      <c r="K693" s="11"/>
      <c r="L693"/>
      <c r="M693" s="11"/>
      <c r="N693" s="11"/>
      <c r="O693" s="11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 s="11"/>
      <c r="AD693"/>
      <c r="AE693" s="11"/>
      <c r="AF693" s="11"/>
      <c r="AG693" s="11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 s="11"/>
      <c r="CE693"/>
      <c r="CF693"/>
      <c r="CG693"/>
      <c r="CH693"/>
      <c r="CI693"/>
      <c r="CJ693"/>
      <c r="CK693"/>
      <c r="CL693"/>
    </row>
    <row r="694" spans="2:90">
      <c r="B694"/>
      <c r="C694"/>
      <c r="D694" s="11"/>
      <c r="E694"/>
      <c r="F694"/>
      <c r="G694"/>
      <c r="H694"/>
      <c r="I694" s="11"/>
      <c r="J694" s="11"/>
      <c r="K694" s="11"/>
      <c r="L694"/>
      <c r="M694" s="11"/>
      <c r="N694" s="11"/>
      <c r="O694" s="11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 s="11"/>
      <c r="AD694"/>
      <c r="AE694" s="11"/>
      <c r="AF694" s="11"/>
      <c r="AG694" s="11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 s="11"/>
      <c r="CE694"/>
      <c r="CF694"/>
      <c r="CG694"/>
      <c r="CH694"/>
      <c r="CI694"/>
      <c r="CJ694"/>
      <c r="CK694"/>
      <c r="CL694"/>
    </row>
    <row r="695" spans="2:90">
      <c r="B695"/>
      <c r="C695"/>
      <c r="D695" s="11"/>
      <c r="E695"/>
      <c r="F695"/>
      <c r="G695"/>
      <c r="H695"/>
      <c r="I695" s="11"/>
      <c r="J695" s="11"/>
      <c r="K695" s="11"/>
      <c r="L695"/>
      <c r="M695" s="11"/>
      <c r="N695" s="11"/>
      <c r="O695" s="11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 s="11"/>
      <c r="AD695"/>
      <c r="AE695" s="11"/>
      <c r="AF695" s="11"/>
      <c r="AG695" s="11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 s="11"/>
      <c r="CE695"/>
      <c r="CF695"/>
      <c r="CG695"/>
      <c r="CH695"/>
      <c r="CI695"/>
      <c r="CJ695"/>
      <c r="CK695"/>
      <c r="CL695"/>
    </row>
    <row r="696" spans="2:90">
      <c r="B696"/>
      <c r="C696"/>
      <c r="D696" s="11"/>
      <c r="E696"/>
      <c r="F696"/>
      <c r="G696"/>
      <c r="H696"/>
      <c r="I696" s="11"/>
      <c r="J696" s="11"/>
      <c r="K696" s="11"/>
      <c r="L696"/>
      <c r="M696" s="11"/>
      <c r="N696" s="11"/>
      <c r="O696" s="11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 s="11"/>
      <c r="AD696"/>
      <c r="AE696" s="11"/>
      <c r="AF696" s="11"/>
      <c r="AG696" s="11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 s="11"/>
      <c r="CE696"/>
      <c r="CF696"/>
      <c r="CG696"/>
      <c r="CH696"/>
      <c r="CI696"/>
      <c r="CJ696"/>
      <c r="CK696"/>
      <c r="CL696"/>
    </row>
    <row r="697" spans="2:90">
      <c r="B697"/>
      <c r="C697"/>
      <c r="D697" s="11"/>
      <c r="E697"/>
      <c r="F697"/>
      <c r="G697"/>
      <c r="H697"/>
      <c r="I697" s="11"/>
      <c r="J697" s="11"/>
      <c r="K697" s="11"/>
      <c r="L697"/>
      <c r="M697" s="11"/>
      <c r="N697" s="11"/>
      <c r="O697" s="11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 s="11"/>
      <c r="AD697"/>
      <c r="AE697" s="11"/>
      <c r="AF697" s="11"/>
      <c r="AG697" s="11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 s="11"/>
      <c r="CE697"/>
      <c r="CF697"/>
      <c r="CG697"/>
      <c r="CH697"/>
      <c r="CI697"/>
      <c r="CJ697"/>
      <c r="CK697"/>
      <c r="CL697"/>
    </row>
    <row r="698" spans="2:90">
      <c r="B698"/>
      <c r="C698"/>
      <c r="D698" s="11"/>
      <c r="E698"/>
      <c r="F698"/>
      <c r="G698"/>
      <c r="H698"/>
      <c r="I698" s="11"/>
      <c r="J698" s="11"/>
      <c r="K698" s="11"/>
      <c r="L698"/>
      <c r="M698" s="11"/>
      <c r="N698" s="11"/>
      <c r="O698" s="11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 s="11"/>
      <c r="AD698"/>
      <c r="AE698" s="11"/>
      <c r="AF698" s="11"/>
      <c r="AG698" s="11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 s="11"/>
      <c r="CE698"/>
      <c r="CF698"/>
      <c r="CG698"/>
      <c r="CH698"/>
      <c r="CI698"/>
      <c r="CJ698"/>
      <c r="CK698"/>
      <c r="CL698"/>
    </row>
    <row r="699" spans="2:90">
      <c r="B699"/>
      <c r="C699"/>
      <c r="D699" s="11"/>
      <c r="E699"/>
      <c r="F699"/>
      <c r="G699"/>
      <c r="H699"/>
      <c r="I699" s="11"/>
      <c r="J699" s="11"/>
      <c r="K699" s="11"/>
      <c r="L699"/>
      <c r="M699" s="11"/>
      <c r="N699" s="11"/>
      <c r="O699" s="11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 s="11"/>
      <c r="AD699"/>
      <c r="AE699" s="11"/>
      <c r="AF699" s="11"/>
      <c r="AG699" s="11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 s="11"/>
      <c r="CE699"/>
      <c r="CF699"/>
      <c r="CG699"/>
      <c r="CH699"/>
      <c r="CI699"/>
      <c r="CJ699"/>
      <c r="CK699"/>
      <c r="CL699"/>
    </row>
    <row r="700" spans="2:90">
      <c r="B700"/>
      <c r="C700"/>
      <c r="D700" s="11"/>
      <c r="E700"/>
      <c r="F700"/>
      <c r="G700"/>
      <c r="H700"/>
      <c r="I700" s="11"/>
      <c r="J700" s="11"/>
      <c r="K700" s="11"/>
      <c r="L700"/>
      <c r="M700" s="11"/>
      <c r="N700" s="11"/>
      <c r="O700" s="11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 s="11"/>
      <c r="AD700"/>
      <c r="AE700" s="11"/>
      <c r="AF700" s="11"/>
      <c r="AG700" s="11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 s="11"/>
      <c r="CE700"/>
      <c r="CF700"/>
      <c r="CG700"/>
      <c r="CH700"/>
      <c r="CI700"/>
      <c r="CJ700"/>
      <c r="CK700"/>
      <c r="CL700"/>
    </row>
    <row r="701" spans="2:90">
      <c r="B701"/>
      <c r="C701"/>
      <c r="D701" s="11"/>
      <c r="E701"/>
      <c r="F701"/>
      <c r="G701"/>
      <c r="H701"/>
      <c r="I701" s="11"/>
      <c r="J701" s="11"/>
      <c r="K701" s="11"/>
      <c r="L701"/>
      <c r="M701" s="11"/>
      <c r="N701" s="11"/>
      <c r="O701" s="1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 s="11"/>
      <c r="AD701"/>
      <c r="AE701" s="11"/>
      <c r="AF701" s="11"/>
      <c r="AG701" s="1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 s="11"/>
      <c r="CE701"/>
      <c r="CF701"/>
      <c r="CG701"/>
      <c r="CH701"/>
      <c r="CI701"/>
      <c r="CJ701"/>
      <c r="CK701"/>
      <c r="CL701"/>
    </row>
    <row r="702" spans="2:90">
      <c r="B702"/>
      <c r="C702"/>
      <c r="D702" s="11"/>
      <c r="E702"/>
      <c r="F702"/>
      <c r="G702"/>
      <c r="H702"/>
      <c r="I702" s="11"/>
      <c r="J702" s="11"/>
      <c r="K702" s="11"/>
      <c r="L702"/>
      <c r="M702" s="11"/>
      <c r="N702" s="11"/>
      <c r="O702" s="11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 s="11"/>
      <c r="AD702"/>
      <c r="AE702" s="11"/>
      <c r="AF702" s="11"/>
      <c r="AG702" s="11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 s="11"/>
      <c r="CE702"/>
      <c r="CF702"/>
      <c r="CG702"/>
      <c r="CH702"/>
      <c r="CI702"/>
      <c r="CJ702"/>
      <c r="CK702"/>
      <c r="CL702"/>
    </row>
    <row r="703" spans="2:90">
      <c r="B703"/>
      <c r="C703"/>
      <c r="D703" s="11"/>
      <c r="E703"/>
      <c r="F703"/>
      <c r="G703"/>
      <c r="H703"/>
      <c r="I703" s="11"/>
      <c r="J703" s="11"/>
      <c r="K703" s="11"/>
      <c r="L703"/>
      <c r="M703" s="11"/>
      <c r="N703" s="11"/>
      <c r="O703" s="11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 s="11"/>
      <c r="AD703"/>
      <c r="AE703" s="11"/>
      <c r="AF703" s="11"/>
      <c r="AG703" s="11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 s="11"/>
      <c r="CE703"/>
      <c r="CF703"/>
      <c r="CG703"/>
      <c r="CH703"/>
      <c r="CI703"/>
      <c r="CJ703"/>
      <c r="CK703"/>
      <c r="CL703"/>
    </row>
    <row r="704" spans="2:90">
      <c r="B704"/>
      <c r="C704"/>
      <c r="D704" s="11"/>
      <c r="E704"/>
      <c r="F704"/>
      <c r="G704"/>
      <c r="H704"/>
      <c r="I704" s="11"/>
      <c r="J704" s="11"/>
      <c r="K704" s="11"/>
      <c r="L704"/>
      <c r="M704" s="11"/>
      <c r="N704" s="11"/>
      <c r="O704" s="11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 s="11"/>
      <c r="AD704"/>
      <c r="AE704" s="11"/>
      <c r="AF704" s="11"/>
      <c r="AG704" s="11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 s="11"/>
      <c r="CE704"/>
      <c r="CF704"/>
      <c r="CG704"/>
      <c r="CH704"/>
      <c r="CI704"/>
      <c r="CJ704"/>
      <c r="CK704"/>
      <c r="CL704"/>
    </row>
    <row r="705" spans="2:90">
      <c r="B705"/>
      <c r="C705"/>
      <c r="D705" s="11"/>
      <c r="E705"/>
      <c r="F705"/>
      <c r="G705"/>
      <c r="H705"/>
      <c r="I705" s="11"/>
      <c r="J705" s="11"/>
      <c r="K705" s="11"/>
      <c r="L705"/>
      <c r="M705" s="11"/>
      <c r="N705" s="11"/>
      <c r="O705" s="11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 s="11"/>
      <c r="AD705"/>
      <c r="AE705" s="11"/>
      <c r="AF705" s="11"/>
      <c r="AG705" s="11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 s="11"/>
      <c r="CE705"/>
      <c r="CF705"/>
      <c r="CG705"/>
      <c r="CH705"/>
      <c r="CI705"/>
      <c r="CJ705"/>
      <c r="CK705"/>
      <c r="CL705"/>
    </row>
    <row r="706" spans="2:90">
      <c r="B706"/>
      <c r="C706"/>
      <c r="D706" s="11"/>
      <c r="E706"/>
      <c r="F706"/>
      <c r="G706"/>
      <c r="H706"/>
      <c r="I706" s="11"/>
      <c r="J706" s="11"/>
      <c r="K706" s="11"/>
      <c r="L706"/>
      <c r="M706" s="11"/>
      <c r="N706" s="11"/>
      <c r="O706" s="11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 s="11"/>
      <c r="AD706"/>
      <c r="AE706" s="11"/>
      <c r="AF706" s="11"/>
      <c r="AG706" s="11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 s="11"/>
      <c r="CE706"/>
      <c r="CF706"/>
      <c r="CG706"/>
      <c r="CH706"/>
      <c r="CI706"/>
      <c r="CJ706"/>
      <c r="CK706"/>
      <c r="CL706"/>
    </row>
    <row r="707" spans="2:90">
      <c r="B707"/>
      <c r="C707"/>
      <c r="D707" s="11"/>
      <c r="E707"/>
      <c r="F707"/>
      <c r="G707"/>
      <c r="H707"/>
      <c r="I707" s="11"/>
      <c r="J707" s="11"/>
      <c r="K707" s="11"/>
      <c r="L707"/>
      <c r="M707" s="11"/>
      <c r="N707" s="11"/>
      <c r="O707" s="11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 s="11"/>
      <c r="AD707"/>
      <c r="AE707" s="11"/>
      <c r="AF707" s="11"/>
      <c r="AG707" s="11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 s="11"/>
      <c r="CE707"/>
      <c r="CF707"/>
      <c r="CG707"/>
      <c r="CH707"/>
      <c r="CI707"/>
      <c r="CJ707"/>
      <c r="CK707"/>
      <c r="CL707"/>
    </row>
    <row r="708" spans="2:90">
      <c r="B708"/>
      <c r="C708"/>
      <c r="D708" s="11"/>
      <c r="E708"/>
      <c r="F708"/>
      <c r="G708"/>
      <c r="H708"/>
      <c r="I708" s="11"/>
      <c r="J708" s="11"/>
      <c r="K708" s="11"/>
      <c r="L708"/>
      <c r="M708" s="11"/>
      <c r="N708" s="11"/>
      <c r="O708" s="11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 s="11"/>
      <c r="AD708"/>
      <c r="AE708" s="11"/>
      <c r="AF708" s="11"/>
      <c r="AG708" s="11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 s="11"/>
      <c r="CE708"/>
      <c r="CF708"/>
      <c r="CG708"/>
      <c r="CH708"/>
      <c r="CI708"/>
      <c r="CJ708"/>
      <c r="CK708"/>
      <c r="CL708"/>
    </row>
    <row r="709" spans="2:90">
      <c r="B709"/>
      <c r="C709"/>
      <c r="D709" s="11"/>
      <c r="E709"/>
      <c r="F709"/>
      <c r="G709"/>
      <c r="H709"/>
      <c r="I709" s="11"/>
      <c r="J709" s="11"/>
      <c r="K709" s="11"/>
      <c r="L709"/>
      <c r="M709" s="11"/>
      <c r="N709" s="11"/>
      <c r="O709" s="11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 s="11"/>
      <c r="AD709"/>
      <c r="AE709" s="11"/>
      <c r="AF709" s="11"/>
      <c r="AG709" s="11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 s="11"/>
      <c r="CE709"/>
      <c r="CF709"/>
      <c r="CG709"/>
      <c r="CH709"/>
      <c r="CI709"/>
      <c r="CJ709"/>
      <c r="CK709"/>
      <c r="CL709"/>
    </row>
    <row r="710" spans="2:90">
      <c r="B710"/>
      <c r="C710"/>
      <c r="D710" s="11"/>
      <c r="E710"/>
      <c r="F710"/>
      <c r="G710"/>
      <c r="H710"/>
      <c r="I710" s="11"/>
      <c r="J710" s="11"/>
      <c r="K710" s="11"/>
      <c r="L710"/>
      <c r="M710" s="11"/>
      <c r="N710" s="11"/>
      <c r="O710" s="11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 s="11"/>
      <c r="AD710"/>
      <c r="AE710" s="11"/>
      <c r="AF710" s="11"/>
      <c r="AG710" s="11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 s="11"/>
      <c r="CE710"/>
      <c r="CF710"/>
      <c r="CG710"/>
      <c r="CH710"/>
      <c r="CI710"/>
      <c r="CJ710"/>
      <c r="CK710"/>
      <c r="CL710"/>
    </row>
    <row r="711" spans="2:90">
      <c r="B711"/>
      <c r="C711"/>
      <c r="D711" s="11"/>
      <c r="E711"/>
      <c r="F711"/>
      <c r="G711"/>
      <c r="H711"/>
      <c r="I711" s="11"/>
      <c r="J711" s="11"/>
      <c r="K711" s="11"/>
      <c r="L711"/>
      <c r="M711" s="11"/>
      <c r="N711" s="11"/>
      <c r="O711" s="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 s="11"/>
      <c r="AD711"/>
      <c r="AE711" s="11"/>
      <c r="AF711" s="11"/>
      <c r="AG711" s="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 s="11"/>
      <c r="CE711"/>
      <c r="CF711"/>
      <c r="CG711"/>
      <c r="CH711"/>
      <c r="CI711"/>
      <c r="CJ711"/>
      <c r="CK711"/>
      <c r="CL711"/>
    </row>
    <row r="712" spans="2:90">
      <c r="B712"/>
      <c r="C712"/>
      <c r="D712" s="11"/>
      <c r="E712"/>
      <c r="F712"/>
      <c r="G712"/>
      <c r="H712"/>
      <c r="I712" s="11"/>
      <c r="J712" s="11"/>
      <c r="K712" s="11"/>
      <c r="L712"/>
      <c r="M712" s="11"/>
      <c r="N712" s="11"/>
      <c r="O712" s="11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 s="11"/>
      <c r="AD712"/>
      <c r="AE712" s="11"/>
      <c r="AF712" s="11"/>
      <c r="AG712" s="11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 s="11"/>
      <c r="CE712"/>
      <c r="CF712"/>
      <c r="CG712"/>
      <c r="CH712"/>
      <c r="CI712"/>
      <c r="CJ712"/>
      <c r="CK712"/>
      <c r="CL712"/>
    </row>
    <row r="713" spans="2:90">
      <c r="B713"/>
      <c r="C713"/>
      <c r="D713" s="11"/>
      <c r="E713"/>
      <c r="F713"/>
      <c r="G713"/>
      <c r="H713"/>
      <c r="I713" s="11"/>
      <c r="J713" s="11"/>
      <c r="K713" s="11"/>
      <c r="L713"/>
      <c r="M713" s="11"/>
      <c r="N713" s="11"/>
      <c r="O713" s="11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 s="11"/>
      <c r="AD713"/>
      <c r="AE713" s="11"/>
      <c r="AF713" s="11"/>
      <c r="AG713" s="11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 s="11"/>
      <c r="CE713"/>
      <c r="CF713"/>
      <c r="CG713"/>
      <c r="CH713"/>
      <c r="CI713"/>
      <c r="CJ713"/>
      <c r="CK713"/>
      <c r="CL713"/>
    </row>
    <row r="714" spans="2:90">
      <c r="B714"/>
      <c r="C714"/>
      <c r="D714" s="11"/>
      <c r="E714"/>
      <c r="F714"/>
      <c r="G714"/>
      <c r="H714"/>
      <c r="I714" s="11"/>
      <c r="J714" s="11"/>
      <c r="K714" s="11"/>
      <c r="L714"/>
      <c r="M714" s="11"/>
      <c r="N714" s="11"/>
      <c r="O714" s="11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 s="11"/>
      <c r="AD714"/>
      <c r="AE714" s="11"/>
      <c r="AF714" s="11"/>
      <c r="AG714" s="11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 s="11"/>
      <c r="CE714"/>
      <c r="CF714"/>
      <c r="CG714"/>
      <c r="CH714"/>
      <c r="CI714"/>
      <c r="CJ714"/>
      <c r="CK714"/>
      <c r="CL714"/>
    </row>
    <row r="715" spans="2:90">
      <c r="B715"/>
      <c r="C715"/>
      <c r="D715" s="11"/>
      <c r="E715"/>
      <c r="F715"/>
      <c r="G715"/>
      <c r="H715"/>
      <c r="I715" s="11"/>
      <c r="J715" s="11"/>
      <c r="K715" s="11"/>
      <c r="L715"/>
      <c r="M715" s="11"/>
      <c r="N715" s="11"/>
      <c r="O715" s="11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 s="11"/>
      <c r="AD715"/>
      <c r="AE715" s="11"/>
      <c r="AF715" s="11"/>
      <c r="AG715" s="11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 s="11"/>
      <c r="CE715"/>
      <c r="CF715"/>
      <c r="CG715"/>
      <c r="CH715"/>
      <c r="CI715"/>
      <c r="CJ715"/>
      <c r="CK715"/>
      <c r="CL715"/>
    </row>
    <row r="716" spans="2:90">
      <c r="B716"/>
      <c r="C716"/>
      <c r="D716" s="11"/>
      <c r="E716"/>
      <c r="F716"/>
      <c r="G716"/>
      <c r="H716"/>
      <c r="I716" s="11"/>
      <c r="J716" s="11"/>
      <c r="K716" s="11"/>
      <c r="L716"/>
      <c r="M716" s="11"/>
      <c r="N716" s="11"/>
      <c r="O716" s="11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 s="11"/>
      <c r="AD716"/>
      <c r="AE716" s="11"/>
      <c r="AF716" s="11"/>
      <c r="AG716" s="11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 s="11"/>
      <c r="CE716"/>
      <c r="CF716"/>
      <c r="CG716"/>
      <c r="CH716"/>
      <c r="CI716"/>
      <c r="CJ716"/>
      <c r="CK716"/>
      <c r="CL716"/>
    </row>
    <row r="717" spans="2:90">
      <c r="B717"/>
      <c r="C717"/>
      <c r="D717" s="11"/>
      <c r="E717"/>
      <c r="F717"/>
      <c r="G717"/>
      <c r="H717"/>
      <c r="I717" s="11"/>
      <c r="J717" s="11"/>
      <c r="K717" s="11"/>
      <c r="L717"/>
      <c r="M717" s="11"/>
      <c r="N717" s="11"/>
      <c r="O717" s="11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 s="11"/>
      <c r="AD717"/>
      <c r="AE717" s="11"/>
      <c r="AF717" s="11"/>
      <c r="AG717" s="11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 s="11"/>
      <c r="CE717"/>
      <c r="CF717"/>
      <c r="CG717"/>
      <c r="CH717"/>
      <c r="CI717"/>
      <c r="CJ717"/>
      <c r="CK717"/>
      <c r="CL717"/>
    </row>
    <row r="718" spans="2:90">
      <c r="B718"/>
      <c r="C718"/>
      <c r="D718" s="11"/>
      <c r="E718"/>
      <c r="F718"/>
      <c r="G718"/>
      <c r="H718"/>
      <c r="I718" s="11"/>
      <c r="J718" s="11"/>
      <c r="K718" s="11"/>
      <c r="L718"/>
      <c r="M718" s="11"/>
      <c r="N718" s="11"/>
      <c r="O718" s="11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 s="11"/>
      <c r="AD718"/>
      <c r="AE718" s="11"/>
      <c r="AF718" s="11"/>
      <c r="AG718" s="11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 s="11"/>
      <c r="CE718"/>
      <c r="CF718"/>
      <c r="CG718"/>
      <c r="CH718"/>
      <c r="CI718"/>
      <c r="CJ718"/>
      <c r="CK718"/>
      <c r="CL718"/>
    </row>
    <row r="719" spans="2:90">
      <c r="B719"/>
      <c r="C719"/>
      <c r="D719" s="11"/>
      <c r="E719"/>
      <c r="F719"/>
      <c r="G719"/>
      <c r="H719"/>
      <c r="I719" s="11"/>
      <c r="J719" s="11"/>
      <c r="K719" s="11"/>
      <c r="L719"/>
      <c r="M719" s="11"/>
      <c r="N719" s="11"/>
      <c r="O719" s="11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 s="11"/>
      <c r="AD719"/>
      <c r="AE719" s="11"/>
      <c r="AF719" s="11"/>
      <c r="AG719" s="11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 s="11"/>
      <c r="CE719"/>
      <c r="CF719"/>
      <c r="CG719"/>
      <c r="CH719"/>
      <c r="CI719"/>
      <c r="CJ719"/>
      <c r="CK719"/>
      <c r="CL719"/>
    </row>
    <row r="720" spans="2:90">
      <c r="B720"/>
      <c r="C720"/>
      <c r="D720" s="11"/>
      <c r="E720"/>
      <c r="F720"/>
      <c r="G720"/>
      <c r="H720"/>
      <c r="I720" s="11"/>
      <c r="J720" s="11"/>
      <c r="K720" s="11"/>
      <c r="L720"/>
      <c r="M720" s="11"/>
      <c r="N720" s="11"/>
      <c r="O720" s="11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 s="11"/>
      <c r="AD720"/>
      <c r="AE720" s="11"/>
      <c r="AF720" s="11"/>
      <c r="AG720" s="11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 s="11"/>
      <c r="CE720"/>
      <c r="CF720"/>
      <c r="CG720"/>
      <c r="CH720"/>
      <c r="CI720"/>
      <c r="CJ720"/>
      <c r="CK720"/>
      <c r="CL720"/>
    </row>
    <row r="721" spans="2:90">
      <c r="B721"/>
      <c r="C721"/>
      <c r="D721" s="11"/>
      <c r="E721"/>
      <c r="F721"/>
      <c r="G721"/>
      <c r="H721"/>
      <c r="I721" s="11"/>
      <c r="J721" s="11"/>
      <c r="K721" s="11"/>
      <c r="L721"/>
      <c r="M721" s="11"/>
      <c r="N721" s="11"/>
      <c r="O721" s="1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 s="11"/>
      <c r="AD721"/>
      <c r="AE721" s="11"/>
      <c r="AF721" s="11"/>
      <c r="AG721" s="1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 s="11"/>
      <c r="CE721"/>
      <c r="CF721"/>
      <c r="CG721"/>
      <c r="CH721"/>
      <c r="CI721"/>
      <c r="CJ721"/>
      <c r="CK721"/>
      <c r="CL721"/>
    </row>
    <row r="722" spans="2:90">
      <c r="B722"/>
      <c r="C722"/>
      <c r="D722" s="11"/>
      <c r="E722"/>
      <c r="F722"/>
      <c r="G722"/>
      <c r="H722"/>
      <c r="I722" s="11"/>
      <c r="J722" s="11"/>
      <c r="K722" s="11"/>
      <c r="L722"/>
      <c r="M722" s="11"/>
      <c r="N722" s="11"/>
      <c r="O722" s="11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 s="11"/>
      <c r="AD722"/>
      <c r="AE722" s="11"/>
      <c r="AF722" s="11"/>
      <c r="AG722" s="11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 s="11"/>
      <c r="CE722"/>
      <c r="CF722"/>
      <c r="CG722"/>
      <c r="CH722"/>
      <c r="CI722"/>
      <c r="CJ722"/>
      <c r="CK722"/>
      <c r="CL722"/>
    </row>
    <row r="723" spans="2:90">
      <c r="B723"/>
      <c r="C723"/>
      <c r="D723" s="11"/>
      <c r="E723"/>
      <c r="F723"/>
      <c r="G723"/>
      <c r="H723"/>
      <c r="I723" s="11"/>
      <c r="J723" s="11"/>
      <c r="K723" s="11"/>
      <c r="L723"/>
      <c r="M723" s="11"/>
      <c r="N723" s="11"/>
      <c r="O723" s="11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 s="11"/>
      <c r="AD723"/>
      <c r="AE723" s="11"/>
      <c r="AF723" s="11"/>
      <c r="AG723" s="11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 s="11"/>
      <c r="CE723"/>
      <c r="CF723"/>
      <c r="CG723"/>
      <c r="CH723"/>
      <c r="CI723"/>
      <c r="CJ723"/>
      <c r="CK723"/>
      <c r="CL723"/>
    </row>
    <row r="724" spans="2:90">
      <c r="B724"/>
      <c r="C724"/>
      <c r="D724" s="11"/>
      <c r="E724"/>
      <c r="F724"/>
      <c r="G724"/>
      <c r="H724"/>
      <c r="I724" s="11"/>
      <c r="J724" s="11"/>
      <c r="K724" s="11"/>
      <c r="L724"/>
      <c r="M724" s="11"/>
      <c r="N724" s="11"/>
      <c r="O724" s="11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 s="11"/>
      <c r="AD724"/>
      <c r="AE724" s="11"/>
      <c r="AF724" s="11"/>
      <c r="AG724" s="11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 s="11"/>
      <c r="CE724"/>
      <c r="CF724"/>
      <c r="CG724"/>
      <c r="CH724"/>
      <c r="CI724"/>
      <c r="CJ724"/>
      <c r="CK724"/>
      <c r="CL724"/>
    </row>
    <row r="725" spans="2:90">
      <c r="B725"/>
      <c r="C725"/>
      <c r="D725" s="11"/>
      <c r="E725"/>
      <c r="F725"/>
      <c r="G725"/>
      <c r="H725"/>
      <c r="I725" s="11"/>
      <c r="J725" s="11"/>
      <c r="K725" s="11"/>
      <c r="L725"/>
      <c r="M725" s="11"/>
      <c r="N725" s="11"/>
      <c r="O725" s="11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 s="11"/>
      <c r="AD725"/>
      <c r="AE725" s="11"/>
      <c r="AF725" s="11"/>
      <c r="AG725" s="11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 s="11"/>
      <c r="CE725"/>
      <c r="CF725"/>
      <c r="CG725"/>
      <c r="CH725"/>
      <c r="CI725"/>
      <c r="CJ725"/>
      <c r="CK725"/>
      <c r="CL725"/>
    </row>
    <row r="726" spans="2:90">
      <c r="B726"/>
      <c r="C726"/>
      <c r="D726" s="11"/>
      <c r="E726"/>
      <c r="F726"/>
      <c r="G726"/>
      <c r="H726"/>
      <c r="I726" s="11"/>
      <c r="J726" s="11"/>
      <c r="K726" s="11"/>
      <c r="L726"/>
      <c r="M726" s="11"/>
      <c r="N726" s="11"/>
      <c r="O726" s="11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 s="11"/>
      <c r="AD726"/>
      <c r="AE726" s="11"/>
      <c r="AF726" s="11"/>
      <c r="AG726" s="11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 s="11"/>
      <c r="CE726"/>
      <c r="CF726"/>
      <c r="CG726"/>
      <c r="CH726"/>
      <c r="CI726"/>
      <c r="CJ726"/>
      <c r="CK726"/>
      <c r="CL726"/>
    </row>
    <row r="727" spans="2:90">
      <c r="B727"/>
      <c r="C727"/>
      <c r="D727" s="11"/>
      <c r="E727"/>
      <c r="F727"/>
      <c r="G727"/>
      <c r="H727"/>
      <c r="I727" s="11"/>
      <c r="J727" s="11"/>
      <c r="K727" s="11"/>
      <c r="L727"/>
      <c r="M727" s="11"/>
      <c r="N727" s="11"/>
      <c r="O727" s="11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 s="11"/>
      <c r="AD727"/>
      <c r="AE727" s="11"/>
      <c r="AF727" s="11"/>
      <c r="AG727" s="11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 s="11"/>
      <c r="CE727"/>
      <c r="CF727"/>
      <c r="CG727"/>
      <c r="CH727"/>
      <c r="CI727"/>
      <c r="CJ727"/>
      <c r="CK727"/>
      <c r="CL727"/>
    </row>
    <row r="728" spans="2:90">
      <c r="B728"/>
      <c r="C728"/>
      <c r="D728" s="11"/>
      <c r="E728"/>
      <c r="F728"/>
      <c r="G728"/>
      <c r="H728"/>
      <c r="I728" s="11"/>
      <c r="J728" s="11"/>
      <c r="K728" s="11"/>
      <c r="L728"/>
      <c r="M728" s="11"/>
      <c r="N728" s="11"/>
      <c r="O728" s="11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 s="11"/>
      <c r="AD728"/>
      <c r="AE728" s="11"/>
      <c r="AF728" s="11"/>
      <c r="AG728" s="11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 s="11"/>
      <c r="CE728"/>
      <c r="CF728"/>
      <c r="CG728"/>
      <c r="CH728"/>
      <c r="CI728"/>
      <c r="CJ728"/>
      <c r="CK728"/>
      <c r="CL728"/>
    </row>
    <row r="729" spans="2:90">
      <c r="B729"/>
      <c r="C729"/>
      <c r="D729" s="11"/>
      <c r="E729"/>
      <c r="F729"/>
      <c r="G729"/>
      <c r="H729"/>
      <c r="I729" s="11"/>
      <c r="J729" s="11"/>
      <c r="K729" s="11"/>
      <c r="L729"/>
      <c r="M729" s="11"/>
      <c r="N729" s="11"/>
      <c r="O729" s="11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 s="11"/>
      <c r="AD729"/>
      <c r="AE729" s="11"/>
      <c r="AF729" s="11"/>
      <c r="AG729" s="11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 s="11"/>
      <c r="CE729"/>
      <c r="CF729"/>
      <c r="CG729"/>
      <c r="CH729"/>
      <c r="CI729"/>
      <c r="CJ729"/>
      <c r="CK729"/>
      <c r="CL729"/>
    </row>
    <row r="730" spans="2:90">
      <c r="B730"/>
      <c r="C730"/>
      <c r="D730" s="11"/>
      <c r="E730"/>
      <c r="F730"/>
      <c r="G730"/>
      <c r="H730"/>
      <c r="I730" s="11"/>
      <c r="J730" s="11"/>
      <c r="K730" s="11"/>
      <c r="L730"/>
      <c r="M730" s="11"/>
      <c r="N730" s="11"/>
      <c r="O730" s="11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 s="11"/>
      <c r="AD730"/>
      <c r="AE730" s="11"/>
      <c r="AF730" s="11"/>
      <c r="AG730" s="11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 s="11"/>
      <c r="CE730"/>
      <c r="CF730"/>
      <c r="CG730"/>
      <c r="CH730"/>
      <c r="CI730"/>
      <c r="CJ730"/>
      <c r="CK730"/>
      <c r="CL730"/>
    </row>
    <row r="731" spans="2:90">
      <c r="B731"/>
      <c r="C731"/>
      <c r="D731" s="11"/>
      <c r="E731"/>
      <c r="F731"/>
      <c r="G731"/>
      <c r="H731"/>
      <c r="I731" s="11"/>
      <c r="J731" s="11"/>
      <c r="K731" s="11"/>
      <c r="L731"/>
      <c r="M731" s="11"/>
      <c r="N731" s="11"/>
      <c r="O731" s="1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 s="11"/>
      <c r="AD731"/>
      <c r="AE731" s="11"/>
      <c r="AF731" s="11"/>
      <c r="AG731" s="1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 s="11"/>
      <c r="CE731"/>
      <c r="CF731"/>
      <c r="CG731"/>
      <c r="CH731"/>
      <c r="CI731"/>
      <c r="CJ731"/>
      <c r="CK731"/>
      <c r="CL731"/>
    </row>
    <row r="732" spans="2:90">
      <c r="B732"/>
      <c r="C732"/>
      <c r="D732" s="11"/>
      <c r="E732"/>
      <c r="F732"/>
      <c r="G732"/>
      <c r="H732"/>
      <c r="I732" s="11"/>
      <c r="J732" s="11"/>
      <c r="K732" s="11"/>
      <c r="L732"/>
      <c r="M732" s="11"/>
      <c r="N732" s="11"/>
      <c r="O732" s="11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 s="11"/>
      <c r="AD732"/>
      <c r="AE732" s="11"/>
      <c r="AF732" s="11"/>
      <c r="AG732" s="11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 s="11"/>
      <c r="CE732"/>
      <c r="CF732"/>
      <c r="CG732"/>
      <c r="CH732"/>
      <c r="CI732"/>
      <c r="CJ732"/>
      <c r="CK732"/>
      <c r="CL732"/>
    </row>
    <row r="733" spans="2:90">
      <c r="B733"/>
      <c r="C733"/>
      <c r="D733" s="11"/>
      <c r="E733"/>
      <c r="F733"/>
      <c r="G733"/>
      <c r="H733"/>
      <c r="I733" s="11"/>
      <c r="J733" s="11"/>
      <c r="K733" s="11"/>
      <c r="L733"/>
      <c r="M733" s="11"/>
      <c r="N733" s="11"/>
      <c r="O733" s="11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 s="11"/>
      <c r="AD733"/>
      <c r="AE733" s="11"/>
      <c r="AF733" s="11"/>
      <c r="AG733" s="11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 s="11"/>
      <c r="CE733"/>
      <c r="CF733"/>
      <c r="CG733"/>
      <c r="CH733"/>
      <c r="CI733"/>
      <c r="CJ733"/>
      <c r="CK733"/>
      <c r="CL733"/>
    </row>
    <row r="734" spans="2:90">
      <c r="B734"/>
      <c r="C734"/>
      <c r="D734" s="11"/>
      <c r="E734"/>
      <c r="F734"/>
      <c r="G734"/>
      <c r="H734"/>
      <c r="I734" s="11"/>
      <c r="J734" s="11"/>
      <c r="K734" s="11"/>
      <c r="L734"/>
      <c r="M734" s="11"/>
      <c r="N734" s="11"/>
      <c r="O734" s="11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 s="11"/>
      <c r="AD734"/>
      <c r="AE734" s="11"/>
      <c r="AF734" s="11"/>
      <c r="AG734" s="11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 s="11"/>
      <c r="CE734"/>
      <c r="CF734"/>
      <c r="CG734"/>
      <c r="CH734"/>
      <c r="CI734"/>
      <c r="CJ734"/>
      <c r="CK734"/>
      <c r="CL734"/>
    </row>
    <row r="735" spans="2:90">
      <c r="B735"/>
      <c r="C735"/>
      <c r="D735" s="11"/>
      <c r="E735"/>
      <c r="F735"/>
      <c r="G735"/>
      <c r="H735"/>
      <c r="I735" s="11"/>
      <c r="J735" s="11"/>
      <c r="K735" s="11"/>
      <c r="L735"/>
      <c r="M735" s="11"/>
      <c r="N735" s="11"/>
      <c r="O735" s="11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 s="11"/>
      <c r="AD735"/>
      <c r="AE735" s="11"/>
      <c r="AF735" s="11"/>
      <c r="AG735" s="11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 s="11"/>
      <c r="CE735"/>
      <c r="CF735"/>
      <c r="CG735"/>
      <c r="CH735"/>
      <c r="CI735"/>
      <c r="CJ735"/>
      <c r="CK735"/>
      <c r="CL735"/>
    </row>
    <row r="736" spans="2:90">
      <c r="B736"/>
      <c r="C736"/>
      <c r="D736" s="11"/>
      <c r="E736"/>
      <c r="F736"/>
      <c r="G736"/>
      <c r="H736"/>
      <c r="I736" s="11"/>
      <c r="J736" s="11"/>
      <c r="K736" s="11"/>
      <c r="L736"/>
      <c r="M736" s="11"/>
      <c r="N736" s="11"/>
      <c r="O736" s="11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 s="11"/>
      <c r="AD736"/>
      <c r="AE736" s="11"/>
      <c r="AF736" s="11"/>
      <c r="AG736" s="11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 s="11"/>
      <c r="CE736"/>
      <c r="CF736"/>
      <c r="CG736"/>
      <c r="CH736"/>
      <c r="CI736"/>
      <c r="CJ736"/>
      <c r="CK736"/>
      <c r="CL736"/>
    </row>
    <row r="737" spans="2:90">
      <c r="B737"/>
      <c r="C737"/>
      <c r="D737" s="11"/>
      <c r="E737"/>
      <c r="F737"/>
      <c r="G737"/>
      <c r="H737"/>
      <c r="I737" s="11"/>
      <c r="J737" s="11"/>
      <c r="K737" s="11"/>
      <c r="L737"/>
      <c r="M737" s="11"/>
      <c r="N737" s="11"/>
      <c r="O737" s="11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 s="11"/>
      <c r="AD737"/>
      <c r="AE737" s="11"/>
      <c r="AF737" s="11"/>
      <c r="AG737" s="11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 s="11"/>
      <c r="CE737"/>
      <c r="CF737"/>
      <c r="CG737"/>
      <c r="CH737"/>
      <c r="CI737"/>
      <c r="CJ737"/>
      <c r="CK737"/>
      <c r="CL737"/>
    </row>
    <row r="738" spans="2:90">
      <c r="B738"/>
      <c r="C738"/>
      <c r="D738" s="11"/>
      <c r="E738"/>
      <c r="F738"/>
      <c r="G738"/>
      <c r="H738"/>
      <c r="I738" s="11"/>
      <c r="J738" s="11"/>
      <c r="K738" s="11"/>
      <c r="L738"/>
      <c r="M738" s="11"/>
      <c r="N738" s="11"/>
      <c r="O738" s="11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 s="11"/>
      <c r="AD738"/>
      <c r="AE738" s="11"/>
      <c r="AF738" s="11"/>
      <c r="AG738" s="11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 s="11"/>
      <c r="CE738"/>
      <c r="CF738"/>
      <c r="CG738"/>
      <c r="CH738"/>
      <c r="CI738"/>
      <c r="CJ738"/>
      <c r="CK738"/>
      <c r="CL738"/>
    </row>
    <row r="739" spans="2:90">
      <c r="B739"/>
      <c r="C739"/>
      <c r="D739" s="11"/>
      <c r="E739"/>
      <c r="F739"/>
      <c r="G739"/>
      <c r="H739"/>
      <c r="I739" s="11"/>
      <c r="J739" s="11"/>
      <c r="K739" s="11"/>
      <c r="L739"/>
      <c r="M739" s="11"/>
      <c r="N739" s="11"/>
      <c r="O739" s="11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 s="11"/>
      <c r="AD739"/>
      <c r="AE739" s="11"/>
      <c r="AF739" s="11"/>
      <c r="AG739" s="11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 s="11"/>
      <c r="CE739"/>
      <c r="CF739"/>
      <c r="CG739"/>
      <c r="CH739"/>
      <c r="CI739"/>
      <c r="CJ739"/>
      <c r="CK739"/>
      <c r="CL739"/>
    </row>
    <row r="740" spans="2:90">
      <c r="B740"/>
      <c r="C740"/>
      <c r="D740" s="11"/>
      <c r="E740"/>
      <c r="F740"/>
      <c r="G740"/>
      <c r="H740"/>
      <c r="I740" s="11"/>
      <c r="J740" s="11"/>
      <c r="K740" s="11"/>
      <c r="L740"/>
      <c r="M740" s="11"/>
      <c r="N740" s="11"/>
      <c r="O740" s="11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 s="11"/>
      <c r="AD740"/>
      <c r="AE740" s="11"/>
      <c r="AF740" s="11"/>
      <c r="AG740" s="11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 s="11"/>
      <c r="CE740"/>
      <c r="CF740"/>
      <c r="CG740"/>
      <c r="CH740"/>
      <c r="CI740"/>
      <c r="CJ740"/>
      <c r="CK740"/>
      <c r="CL740"/>
    </row>
    <row r="741" spans="2:90">
      <c r="B741"/>
      <c r="C741"/>
      <c r="D741" s="11"/>
      <c r="E741"/>
      <c r="F741"/>
      <c r="G741"/>
      <c r="H741"/>
      <c r="I741" s="11"/>
      <c r="J741" s="11"/>
      <c r="K741" s="11"/>
      <c r="L741"/>
      <c r="M741" s="11"/>
      <c r="N741" s="11"/>
      <c r="O741" s="1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 s="11"/>
      <c r="AD741"/>
      <c r="AE741" s="11"/>
      <c r="AF741" s="11"/>
      <c r="AG741" s="1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 s="11"/>
      <c r="CE741"/>
      <c r="CF741"/>
      <c r="CG741"/>
      <c r="CH741"/>
      <c r="CI741"/>
      <c r="CJ741"/>
      <c r="CK741"/>
      <c r="CL741"/>
    </row>
    <row r="742" spans="2:90">
      <c r="B742"/>
      <c r="C742"/>
      <c r="D742" s="11"/>
      <c r="E742"/>
      <c r="F742"/>
      <c r="G742"/>
      <c r="H742"/>
      <c r="I742" s="11"/>
      <c r="J742" s="11"/>
      <c r="K742" s="11"/>
      <c r="L742"/>
      <c r="M742" s="11"/>
      <c r="N742" s="11"/>
      <c r="O742" s="11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 s="11"/>
      <c r="AD742"/>
      <c r="AE742" s="11"/>
      <c r="AF742" s="11"/>
      <c r="AG742" s="11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 s="11"/>
      <c r="CE742"/>
      <c r="CF742"/>
      <c r="CG742"/>
      <c r="CH742"/>
      <c r="CI742"/>
      <c r="CJ742"/>
      <c r="CK742"/>
      <c r="CL742"/>
    </row>
    <row r="743" spans="2:90">
      <c r="B743"/>
      <c r="C743"/>
      <c r="D743" s="11"/>
      <c r="E743"/>
      <c r="F743"/>
      <c r="G743"/>
      <c r="H743"/>
      <c r="I743" s="11"/>
      <c r="J743" s="11"/>
      <c r="K743" s="11"/>
      <c r="L743"/>
      <c r="M743" s="11"/>
      <c r="N743" s="11"/>
      <c r="O743" s="11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 s="11"/>
      <c r="AD743"/>
      <c r="AE743" s="11"/>
      <c r="AF743" s="11"/>
      <c r="AG743" s="11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 s="11"/>
      <c r="CE743"/>
      <c r="CF743"/>
      <c r="CG743"/>
      <c r="CH743"/>
      <c r="CI743"/>
      <c r="CJ743"/>
      <c r="CK743"/>
      <c r="CL743"/>
    </row>
    <row r="744" spans="2:90">
      <c r="B744"/>
      <c r="C744"/>
      <c r="D744" s="11"/>
      <c r="E744"/>
      <c r="F744"/>
      <c r="G744"/>
      <c r="H744"/>
      <c r="I744" s="11"/>
      <c r="J744" s="11"/>
      <c r="K744" s="11"/>
      <c r="L744"/>
      <c r="M744" s="11"/>
      <c r="N744" s="11"/>
      <c r="O744" s="11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 s="11"/>
      <c r="AD744"/>
      <c r="AE744" s="11"/>
      <c r="AF744" s="11"/>
      <c r="AG744" s="11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 s="11"/>
      <c r="CE744"/>
      <c r="CF744"/>
      <c r="CG744"/>
      <c r="CH744"/>
      <c r="CI744"/>
      <c r="CJ744"/>
      <c r="CK744"/>
      <c r="CL744"/>
    </row>
    <row r="745" spans="2:90">
      <c r="B745"/>
      <c r="C745"/>
      <c r="D745" s="11"/>
      <c r="E745"/>
      <c r="F745"/>
      <c r="G745"/>
      <c r="H745"/>
      <c r="I745" s="11"/>
      <c r="J745" s="11"/>
      <c r="K745" s="11"/>
      <c r="L745"/>
      <c r="M745" s="11"/>
      <c r="N745" s="11"/>
      <c r="O745" s="11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 s="11"/>
      <c r="AD745"/>
      <c r="AE745" s="11"/>
      <c r="AF745" s="11"/>
      <c r="AG745" s="11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 s="11"/>
      <c r="CE745"/>
      <c r="CF745"/>
      <c r="CG745"/>
      <c r="CH745"/>
      <c r="CI745"/>
      <c r="CJ745"/>
      <c r="CK745"/>
      <c r="CL745"/>
    </row>
    <row r="746" spans="2:90">
      <c r="B746"/>
      <c r="C746"/>
      <c r="D746" s="11"/>
      <c r="E746"/>
      <c r="F746"/>
      <c r="G746"/>
      <c r="H746"/>
      <c r="I746" s="11"/>
      <c r="J746" s="11"/>
      <c r="K746" s="11"/>
      <c r="L746"/>
      <c r="M746" s="11"/>
      <c r="N746" s="11"/>
      <c r="O746" s="11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 s="11"/>
      <c r="AD746"/>
      <c r="AE746" s="11"/>
      <c r="AF746" s="11"/>
      <c r="AG746" s="11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 s="11"/>
      <c r="CE746"/>
      <c r="CF746"/>
      <c r="CG746"/>
      <c r="CH746"/>
      <c r="CI746"/>
      <c r="CJ746"/>
      <c r="CK746"/>
      <c r="CL746"/>
    </row>
    <row r="747" spans="2:90">
      <c r="B747"/>
      <c r="C747"/>
      <c r="D747" s="11"/>
      <c r="E747"/>
      <c r="F747"/>
      <c r="G747"/>
      <c r="H747"/>
      <c r="I747" s="11"/>
      <c r="J747" s="11"/>
      <c r="K747" s="11"/>
      <c r="L747"/>
      <c r="M747" s="11"/>
      <c r="N747" s="11"/>
      <c r="O747" s="11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 s="11"/>
      <c r="AD747"/>
      <c r="AE747" s="11"/>
      <c r="AF747" s="11"/>
      <c r="AG747" s="11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 s="11"/>
      <c r="CE747"/>
      <c r="CF747"/>
      <c r="CG747"/>
      <c r="CH747"/>
      <c r="CI747"/>
      <c r="CJ747"/>
      <c r="CK747"/>
      <c r="CL747"/>
    </row>
    <row r="748" spans="2:90">
      <c r="B748"/>
      <c r="C748"/>
      <c r="D748" s="11"/>
      <c r="E748"/>
      <c r="F748"/>
      <c r="G748"/>
      <c r="H748"/>
      <c r="I748" s="11"/>
      <c r="J748" s="11"/>
      <c r="K748" s="11"/>
      <c r="L748"/>
      <c r="M748" s="11"/>
      <c r="N748" s="11"/>
      <c r="O748" s="11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 s="11"/>
      <c r="AD748"/>
      <c r="AE748" s="11"/>
      <c r="AF748" s="11"/>
      <c r="AG748" s="11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 s="11"/>
      <c r="CE748"/>
      <c r="CF748"/>
      <c r="CG748"/>
      <c r="CH748"/>
      <c r="CI748"/>
      <c r="CJ748"/>
      <c r="CK748"/>
      <c r="CL748"/>
    </row>
    <row r="749" spans="2:90">
      <c r="B749"/>
      <c r="C749"/>
      <c r="D749" s="11"/>
      <c r="E749"/>
      <c r="F749"/>
      <c r="G749"/>
      <c r="H749"/>
      <c r="I749" s="11"/>
      <c r="J749" s="11"/>
      <c r="K749" s="11"/>
      <c r="L749"/>
      <c r="M749" s="11"/>
      <c r="N749" s="11"/>
      <c r="O749" s="11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 s="11"/>
      <c r="AD749"/>
      <c r="AE749" s="11"/>
      <c r="AF749" s="11"/>
      <c r="AG749" s="11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 s="11"/>
      <c r="CE749"/>
      <c r="CF749"/>
      <c r="CG749"/>
      <c r="CH749"/>
      <c r="CI749"/>
      <c r="CJ749"/>
      <c r="CK749"/>
      <c r="CL749"/>
    </row>
    <row r="750" spans="2:90">
      <c r="B750"/>
      <c r="C750"/>
      <c r="D750" s="11"/>
      <c r="E750"/>
      <c r="F750"/>
      <c r="G750"/>
      <c r="H750"/>
      <c r="I750" s="11"/>
      <c r="J750" s="11"/>
      <c r="K750" s="11"/>
      <c r="L750"/>
      <c r="M750" s="11"/>
      <c r="N750" s="11"/>
      <c r="O750" s="11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 s="11"/>
      <c r="AD750"/>
      <c r="AE750" s="11"/>
      <c r="AF750" s="11"/>
      <c r="AG750" s="11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 s="11"/>
      <c r="CE750"/>
      <c r="CF750"/>
      <c r="CG750"/>
      <c r="CH750"/>
      <c r="CI750"/>
      <c r="CJ750"/>
      <c r="CK750"/>
      <c r="CL750"/>
    </row>
    <row r="751" spans="2:90">
      <c r="B751"/>
      <c r="C751"/>
      <c r="D751" s="11"/>
      <c r="E751"/>
      <c r="F751"/>
      <c r="G751"/>
      <c r="H751"/>
      <c r="I751" s="11"/>
      <c r="J751" s="11"/>
      <c r="K751" s="11"/>
      <c r="L751"/>
      <c r="M751" s="11"/>
      <c r="N751" s="11"/>
      <c r="O751" s="1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 s="11"/>
      <c r="AD751"/>
      <c r="AE751" s="11"/>
      <c r="AF751" s="11"/>
      <c r="AG751" s="1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 s="11"/>
      <c r="CE751"/>
      <c r="CF751"/>
      <c r="CG751"/>
      <c r="CH751"/>
      <c r="CI751"/>
      <c r="CJ751"/>
      <c r="CK751"/>
      <c r="CL751"/>
    </row>
    <row r="752" spans="2:90">
      <c r="B752"/>
      <c r="C752"/>
      <c r="D752" s="11"/>
      <c r="E752"/>
      <c r="F752"/>
      <c r="G752"/>
      <c r="H752"/>
      <c r="I752" s="11"/>
      <c r="J752" s="11"/>
      <c r="K752" s="11"/>
      <c r="L752"/>
      <c r="M752" s="11"/>
      <c r="N752" s="11"/>
      <c r="O752" s="11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 s="11"/>
      <c r="AD752"/>
      <c r="AE752" s="11"/>
      <c r="AF752" s="11"/>
      <c r="AG752" s="11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 s="11"/>
      <c r="CE752"/>
      <c r="CF752"/>
      <c r="CG752"/>
      <c r="CH752"/>
      <c r="CI752"/>
      <c r="CJ752"/>
      <c r="CK752"/>
      <c r="CL752"/>
    </row>
    <row r="753" spans="2:90">
      <c r="B753"/>
      <c r="C753"/>
      <c r="D753" s="11"/>
      <c r="E753"/>
      <c r="F753"/>
      <c r="G753"/>
      <c r="H753"/>
      <c r="I753" s="11"/>
      <c r="J753" s="11"/>
      <c r="K753" s="11"/>
      <c r="L753"/>
      <c r="M753" s="11"/>
      <c r="N753" s="11"/>
      <c r="O753" s="11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 s="11"/>
      <c r="AD753"/>
      <c r="AE753" s="11"/>
      <c r="AF753" s="11"/>
      <c r="AG753" s="11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 s="11"/>
      <c r="CE753"/>
      <c r="CF753"/>
      <c r="CG753"/>
      <c r="CH753"/>
      <c r="CI753"/>
      <c r="CJ753"/>
      <c r="CK753"/>
      <c r="CL753"/>
    </row>
    <row r="754" spans="2:90">
      <c r="B754"/>
      <c r="C754"/>
      <c r="D754" s="11"/>
      <c r="E754"/>
      <c r="F754"/>
      <c r="G754"/>
      <c r="H754"/>
      <c r="I754" s="11"/>
      <c r="J754" s="11"/>
      <c r="K754" s="11"/>
      <c r="L754"/>
      <c r="M754" s="11"/>
      <c r="N754" s="11"/>
      <c r="O754" s="11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 s="11"/>
      <c r="AD754"/>
      <c r="AE754" s="11"/>
      <c r="AF754" s="11"/>
      <c r="AG754" s="11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 s="11"/>
      <c r="CE754"/>
      <c r="CF754"/>
      <c r="CG754"/>
      <c r="CH754"/>
      <c r="CI754"/>
      <c r="CJ754"/>
      <c r="CK754"/>
      <c r="CL754"/>
    </row>
    <row r="755" spans="2:90">
      <c r="B755"/>
      <c r="C755"/>
      <c r="D755" s="11"/>
      <c r="E755"/>
      <c r="F755"/>
      <c r="G755"/>
      <c r="H755"/>
      <c r="I755" s="11"/>
      <c r="J755" s="11"/>
      <c r="K755" s="11"/>
      <c r="L755"/>
      <c r="M755" s="11"/>
      <c r="N755" s="11"/>
      <c r="O755" s="11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 s="11"/>
      <c r="AD755"/>
      <c r="AE755" s="11"/>
      <c r="AF755" s="11"/>
      <c r="AG755" s="11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 s="11"/>
      <c r="CE755"/>
      <c r="CF755"/>
      <c r="CG755"/>
      <c r="CH755"/>
      <c r="CI755"/>
      <c r="CJ755"/>
      <c r="CK755"/>
      <c r="CL755"/>
    </row>
    <row r="756" spans="2:90">
      <c r="B756"/>
      <c r="C756"/>
      <c r="D756" s="11"/>
      <c r="E756"/>
      <c r="F756"/>
      <c r="G756"/>
      <c r="H756"/>
      <c r="I756" s="11"/>
      <c r="J756" s="11"/>
      <c r="K756" s="11"/>
      <c r="L756"/>
      <c r="M756" s="11"/>
      <c r="N756" s="11"/>
      <c r="O756" s="11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 s="11"/>
      <c r="AD756"/>
      <c r="AE756" s="11"/>
      <c r="AF756" s="11"/>
      <c r="AG756" s="11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 s="11"/>
      <c r="CE756"/>
      <c r="CF756"/>
      <c r="CG756"/>
      <c r="CH756"/>
      <c r="CI756"/>
      <c r="CJ756"/>
      <c r="CK756"/>
      <c r="CL756"/>
    </row>
    <row r="757" spans="2:90">
      <c r="B757"/>
      <c r="C757"/>
      <c r="D757" s="11"/>
      <c r="E757"/>
      <c r="F757"/>
      <c r="G757"/>
      <c r="H757"/>
      <c r="I757" s="11"/>
      <c r="J757" s="11"/>
      <c r="K757" s="11"/>
      <c r="L757"/>
      <c r="M757" s="11"/>
      <c r="N757" s="11"/>
      <c r="O757" s="11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 s="11"/>
      <c r="AD757"/>
      <c r="AE757" s="11"/>
      <c r="AF757" s="11"/>
      <c r="AG757" s="11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 s="11"/>
      <c r="CE757"/>
      <c r="CF757"/>
      <c r="CG757"/>
      <c r="CH757"/>
      <c r="CI757"/>
      <c r="CJ757"/>
      <c r="CK757"/>
      <c r="CL757"/>
    </row>
    <row r="758" spans="2:90">
      <c r="B758"/>
      <c r="C758"/>
      <c r="D758" s="11"/>
      <c r="E758"/>
      <c r="F758"/>
      <c r="G758"/>
      <c r="H758"/>
      <c r="I758" s="11"/>
      <c r="J758" s="11"/>
      <c r="K758" s="11"/>
      <c r="L758"/>
      <c r="M758" s="11"/>
      <c r="N758" s="11"/>
      <c r="O758" s="11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 s="11"/>
      <c r="AD758"/>
      <c r="AE758" s="11"/>
      <c r="AF758" s="11"/>
      <c r="AG758" s="11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 s="11"/>
      <c r="CE758"/>
      <c r="CF758"/>
      <c r="CG758"/>
      <c r="CH758"/>
      <c r="CI758"/>
      <c r="CJ758"/>
      <c r="CK758"/>
      <c r="CL758"/>
    </row>
    <row r="759" spans="2:90">
      <c r="B759"/>
      <c r="C759"/>
      <c r="D759" s="11"/>
      <c r="E759"/>
      <c r="F759"/>
      <c r="G759"/>
      <c r="H759"/>
      <c r="I759" s="11"/>
      <c r="J759" s="11"/>
      <c r="K759" s="11"/>
      <c r="L759"/>
      <c r="M759" s="11"/>
      <c r="N759" s="11"/>
      <c r="O759" s="11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 s="11"/>
      <c r="AD759"/>
      <c r="AE759" s="11"/>
      <c r="AF759" s="11"/>
      <c r="AG759" s="11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 s="11"/>
      <c r="CE759"/>
      <c r="CF759"/>
      <c r="CG759"/>
      <c r="CH759"/>
      <c r="CI759"/>
      <c r="CJ759"/>
      <c r="CK759"/>
      <c r="CL759"/>
    </row>
    <row r="760" spans="2:90">
      <c r="B760"/>
      <c r="C760"/>
      <c r="D760" s="11"/>
      <c r="E760"/>
      <c r="F760"/>
      <c r="G760"/>
      <c r="H760"/>
      <c r="I760" s="11"/>
      <c r="J760" s="11"/>
      <c r="K760" s="11"/>
      <c r="L760"/>
      <c r="M760" s="11"/>
      <c r="N760" s="11"/>
      <c r="O760" s="11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 s="11"/>
      <c r="AD760"/>
      <c r="AE760" s="11"/>
      <c r="AF760" s="11"/>
      <c r="AG760" s="11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 s="11"/>
      <c r="CE760"/>
      <c r="CF760"/>
      <c r="CG760"/>
      <c r="CH760"/>
      <c r="CI760"/>
      <c r="CJ760"/>
      <c r="CK760"/>
      <c r="CL760"/>
    </row>
    <row r="761" spans="2:90">
      <c r="B761"/>
      <c r="C761"/>
      <c r="D761" s="11"/>
      <c r="E761"/>
      <c r="F761"/>
      <c r="G761"/>
      <c r="H761"/>
      <c r="I761" s="11"/>
      <c r="J761" s="11"/>
      <c r="K761" s="11"/>
      <c r="L761"/>
      <c r="M761" s="11"/>
      <c r="N761" s="11"/>
      <c r="O761" s="1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 s="11"/>
      <c r="AD761"/>
      <c r="AE761" s="11"/>
      <c r="AF761" s="11"/>
      <c r="AG761" s="1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 s="11"/>
      <c r="CE761"/>
      <c r="CF761"/>
      <c r="CG761"/>
      <c r="CH761"/>
      <c r="CI761"/>
      <c r="CJ761"/>
      <c r="CK761"/>
      <c r="CL761"/>
    </row>
    <row r="762" spans="2:90">
      <c r="B762"/>
      <c r="C762"/>
      <c r="D762" s="11"/>
      <c r="E762"/>
      <c r="F762"/>
      <c r="G762"/>
      <c r="H762"/>
      <c r="I762" s="11"/>
      <c r="J762" s="11"/>
      <c r="K762" s="11"/>
      <c r="L762"/>
      <c r="M762" s="11"/>
      <c r="N762" s="11"/>
      <c r="O762" s="11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 s="11"/>
      <c r="AD762"/>
      <c r="AE762" s="11"/>
      <c r="AF762" s="11"/>
      <c r="AG762" s="11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 s="11"/>
      <c r="CE762"/>
      <c r="CF762"/>
      <c r="CG762"/>
      <c r="CH762"/>
      <c r="CI762"/>
      <c r="CJ762"/>
      <c r="CK762"/>
      <c r="CL762"/>
    </row>
    <row r="763" spans="2:90">
      <c r="B763"/>
      <c r="C763"/>
      <c r="D763" s="11"/>
      <c r="E763"/>
      <c r="F763"/>
      <c r="G763"/>
      <c r="H763"/>
      <c r="I763" s="11"/>
      <c r="J763" s="11"/>
      <c r="K763" s="11"/>
      <c r="L763"/>
      <c r="M763" s="11"/>
      <c r="N763" s="11"/>
      <c r="O763" s="11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 s="11"/>
      <c r="AD763"/>
      <c r="AE763" s="11"/>
      <c r="AF763" s="11"/>
      <c r="AG763" s="11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 s="11"/>
      <c r="CE763"/>
      <c r="CF763"/>
      <c r="CG763"/>
      <c r="CH763"/>
      <c r="CI763"/>
      <c r="CJ763"/>
      <c r="CK763"/>
      <c r="CL763"/>
    </row>
    <row r="764" spans="2:90">
      <c r="B764"/>
      <c r="C764"/>
      <c r="D764" s="11"/>
      <c r="E764"/>
      <c r="F764"/>
      <c r="G764"/>
      <c r="H764"/>
      <c r="I764" s="11"/>
      <c r="J764" s="11"/>
      <c r="K764" s="11"/>
      <c r="L764"/>
      <c r="M764" s="11"/>
      <c r="N764" s="11"/>
      <c r="O764" s="11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 s="11"/>
      <c r="AD764"/>
      <c r="AE764" s="11"/>
      <c r="AF764" s="11"/>
      <c r="AG764" s="11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 s="11"/>
      <c r="CE764"/>
      <c r="CF764"/>
      <c r="CG764"/>
      <c r="CH764"/>
      <c r="CI764"/>
      <c r="CJ764"/>
      <c r="CK764"/>
      <c r="CL764"/>
    </row>
    <row r="765" spans="2:90">
      <c r="B765"/>
      <c r="C765"/>
      <c r="D765" s="11"/>
      <c r="E765"/>
      <c r="F765"/>
      <c r="G765"/>
      <c r="H765"/>
      <c r="I765" s="11"/>
      <c r="J765" s="11"/>
      <c r="K765" s="11"/>
      <c r="L765"/>
      <c r="M765" s="11"/>
      <c r="N765" s="11"/>
      <c r="O765" s="11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 s="11"/>
      <c r="AD765"/>
      <c r="AE765" s="11"/>
      <c r="AF765" s="11"/>
      <c r="AG765" s="11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 s="11"/>
      <c r="CE765"/>
      <c r="CF765"/>
      <c r="CG765"/>
      <c r="CH765"/>
      <c r="CI765"/>
      <c r="CJ765"/>
      <c r="CK765"/>
      <c r="CL765"/>
    </row>
    <row r="766" spans="2:90">
      <c r="B766"/>
      <c r="C766"/>
      <c r="D766" s="11"/>
      <c r="E766"/>
      <c r="F766"/>
      <c r="G766"/>
      <c r="H766"/>
      <c r="I766" s="11"/>
      <c r="J766" s="11"/>
      <c r="K766" s="11"/>
      <c r="L766"/>
      <c r="M766" s="11"/>
      <c r="N766" s="11"/>
      <c r="O766" s="11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 s="11"/>
      <c r="AD766"/>
      <c r="AE766" s="11"/>
      <c r="AF766" s="11"/>
      <c r="AG766" s="11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 s="11"/>
      <c r="CE766"/>
      <c r="CF766"/>
      <c r="CG766"/>
      <c r="CH766"/>
      <c r="CI766"/>
      <c r="CJ766"/>
      <c r="CK766"/>
      <c r="CL766"/>
    </row>
    <row r="767" spans="2:90">
      <c r="B767"/>
      <c r="C767"/>
      <c r="D767" s="11"/>
      <c r="E767"/>
      <c r="F767"/>
      <c r="G767"/>
      <c r="H767"/>
      <c r="I767" s="11"/>
      <c r="J767" s="11"/>
      <c r="K767" s="11"/>
      <c r="L767"/>
      <c r="M767" s="11"/>
      <c r="N767" s="11"/>
      <c r="O767" s="11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 s="11"/>
      <c r="AD767"/>
      <c r="AE767" s="11"/>
      <c r="AF767" s="11"/>
      <c r="AG767" s="11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 s="11"/>
      <c r="CE767"/>
      <c r="CF767"/>
      <c r="CG767"/>
      <c r="CH767"/>
      <c r="CI767"/>
      <c r="CJ767"/>
      <c r="CK767"/>
      <c r="CL767"/>
    </row>
    <row r="768" spans="2:90">
      <c r="B768"/>
      <c r="C768"/>
      <c r="D768" s="11"/>
      <c r="E768"/>
      <c r="F768"/>
      <c r="G768"/>
      <c r="H768"/>
      <c r="I768" s="11"/>
      <c r="J768" s="11"/>
      <c r="K768" s="11"/>
      <c r="L768"/>
      <c r="M768" s="11"/>
      <c r="N768" s="11"/>
      <c r="O768" s="11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 s="11"/>
      <c r="AD768"/>
      <c r="AE768" s="11"/>
      <c r="AF768" s="11"/>
      <c r="AG768" s="11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 s="11"/>
      <c r="CE768"/>
      <c r="CF768"/>
      <c r="CG768"/>
      <c r="CH768"/>
      <c r="CI768"/>
      <c r="CJ768"/>
      <c r="CK768"/>
      <c r="CL768"/>
    </row>
    <row r="769" spans="2:90">
      <c r="B769"/>
      <c r="C769"/>
      <c r="D769" s="11"/>
      <c r="E769"/>
      <c r="F769"/>
      <c r="G769"/>
      <c r="H769"/>
      <c r="I769" s="11"/>
      <c r="J769" s="11"/>
      <c r="K769" s="11"/>
      <c r="L769"/>
      <c r="M769" s="11"/>
      <c r="N769" s="11"/>
      <c r="O769" s="11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 s="11"/>
      <c r="AD769"/>
      <c r="AE769" s="11"/>
      <c r="AF769" s="11"/>
      <c r="AG769" s="11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 s="11"/>
      <c r="CE769"/>
      <c r="CF769"/>
      <c r="CG769"/>
      <c r="CH769"/>
      <c r="CI769"/>
      <c r="CJ769"/>
      <c r="CK769"/>
      <c r="CL769"/>
    </row>
    <row r="770" spans="2:90">
      <c r="B770"/>
      <c r="C770"/>
      <c r="D770" s="11"/>
      <c r="E770"/>
      <c r="F770"/>
      <c r="G770"/>
      <c r="H770"/>
      <c r="I770" s="11"/>
      <c r="J770" s="11"/>
      <c r="K770" s="11"/>
      <c r="L770"/>
      <c r="M770" s="11"/>
      <c r="N770" s="11"/>
      <c r="O770" s="11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 s="11"/>
      <c r="AD770"/>
      <c r="AE770" s="11"/>
      <c r="AF770" s="11"/>
      <c r="AG770" s="11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 s="11"/>
      <c r="CE770"/>
      <c r="CF770"/>
      <c r="CG770"/>
      <c r="CH770"/>
      <c r="CI770"/>
      <c r="CJ770"/>
      <c r="CK770"/>
      <c r="CL770"/>
    </row>
    <row r="771" spans="2:90">
      <c r="B771"/>
      <c r="C771"/>
      <c r="D771" s="11"/>
      <c r="E771"/>
      <c r="F771"/>
      <c r="G771"/>
      <c r="H771"/>
      <c r="I771" s="11"/>
      <c r="J771" s="11"/>
      <c r="K771" s="11"/>
      <c r="L771"/>
      <c r="M771" s="11"/>
      <c r="N771" s="11"/>
      <c r="O771" s="1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 s="11"/>
      <c r="AD771"/>
      <c r="AE771" s="11"/>
      <c r="AF771" s="11"/>
      <c r="AG771" s="1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 s="11"/>
      <c r="CE771"/>
      <c r="CF771"/>
      <c r="CG771"/>
      <c r="CH771"/>
      <c r="CI771"/>
      <c r="CJ771"/>
      <c r="CK771"/>
      <c r="CL771"/>
    </row>
    <row r="772" spans="2:90">
      <c r="B772"/>
      <c r="C772"/>
      <c r="D772" s="11"/>
      <c r="E772"/>
      <c r="F772"/>
      <c r="G772"/>
      <c r="H772"/>
      <c r="I772" s="11"/>
      <c r="J772" s="11"/>
      <c r="K772" s="11"/>
      <c r="L772"/>
      <c r="M772" s="11"/>
      <c r="N772" s="11"/>
      <c r="O772" s="11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 s="11"/>
      <c r="AD772"/>
      <c r="AE772" s="11"/>
      <c r="AF772" s="11"/>
      <c r="AG772" s="11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 s="11"/>
      <c r="CE772"/>
      <c r="CF772"/>
      <c r="CG772"/>
      <c r="CH772"/>
      <c r="CI772"/>
      <c r="CJ772"/>
      <c r="CK772"/>
      <c r="CL772"/>
    </row>
    <row r="773" spans="2:90">
      <c r="B773"/>
      <c r="C773"/>
      <c r="D773" s="11"/>
      <c r="E773"/>
      <c r="F773"/>
      <c r="G773"/>
      <c r="H773"/>
      <c r="I773" s="11"/>
      <c r="J773" s="11"/>
      <c r="K773" s="11"/>
      <c r="L773"/>
      <c r="M773" s="11"/>
      <c r="N773" s="11"/>
      <c r="O773" s="11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 s="11"/>
      <c r="AD773"/>
      <c r="AE773" s="11"/>
      <c r="AF773" s="11"/>
      <c r="AG773" s="11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 s="11"/>
      <c r="CE773"/>
      <c r="CF773"/>
      <c r="CG773"/>
      <c r="CH773"/>
      <c r="CI773"/>
      <c r="CJ773"/>
      <c r="CK773"/>
      <c r="CL773"/>
    </row>
    <row r="774" spans="2:90">
      <c r="B774"/>
      <c r="C774"/>
      <c r="D774" s="11"/>
      <c r="E774"/>
      <c r="F774"/>
      <c r="G774"/>
      <c r="H774"/>
      <c r="I774" s="11"/>
      <c r="J774" s="11"/>
      <c r="K774" s="11"/>
      <c r="L774"/>
      <c r="M774" s="11"/>
      <c r="N774" s="11"/>
      <c r="O774" s="11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 s="11"/>
      <c r="AD774"/>
      <c r="AE774" s="11"/>
      <c r="AF774" s="11"/>
      <c r="AG774" s="11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 s="11"/>
      <c r="CE774"/>
      <c r="CF774"/>
      <c r="CG774"/>
      <c r="CH774"/>
      <c r="CI774"/>
      <c r="CJ774"/>
      <c r="CK774"/>
      <c r="CL774"/>
    </row>
    <row r="775" spans="2:90">
      <c r="B775"/>
      <c r="C775"/>
      <c r="D775" s="11"/>
      <c r="E775"/>
      <c r="F775"/>
      <c r="G775"/>
      <c r="H775"/>
      <c r="I775" s="11"/>
      <c r="J775" s="11"/>
      <c r="K775" s="11"/>
      <c r="L775"/>
      <c r="M775" s="11"/>
      <c r="N775" s="11"/>
      <c r="O775" s="11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 s="11"/>
      <c r="AD775"/>
      <c r="AE775" s="11"/>
      <c r="AF775" s="11"/>
      <c r="AG775" s="11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 s="11"/>
      <c r="CE775"/>
      <c r="CF775"/>
      <c r="CG775"/>
      <c r="CH775"/>
      <c r="CI775"/>
      <c r="CJ775"/>
      <c r="CK775"/>
      <c r="CL775"/>
    </row>
    <row r="776" spans="2:90">
      <c r="B776"/>
      <c r="C776"/>
      <c r="D776" s="11"/>
      <c r="E776"/>
      <c r="F776"/>
      <c r="G776"/>
      <c r="H776"/>
      <c r="I776" s="11"/>
      <c r="J776" s="11"/>
      <c r="K776" s="11"/>
      <c r="L776"/>
      <c r="M776" s="11"/>
      <c r="N776" s="11"/>
      <c r="O776" s="11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 s="11"/>
      <c r="AD776"/>
      <c r="AE776" s="11"/>
      <c r="AF776" s="11"/>
      <c r="AG776" s="11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 s="11"/>
      <c r="CE776"/>
      <c r="CF776"/>
      <c r="CG776"/>
      <c r="CH776"/>
      <c r="CI776"/>
      <c r="CJ776"/>
      <c r="CK776"/>
      <c r="CL776"/>
    </row>
    <row r="777" spans="2:90">
      <c r="B777"/>
      <c r="C777"/>
      <c r="D777" s="11"/>
      <c r="E777"/>
      <c r="F777"/>
      <c r="G777"/>
      <c r="H777"/>
      <c r="I777" s="11"/>
      <c r="J777" s="11"/>
      <c r="K777" s="11"/>
      <c r="L777"/>
      <c r="M777" s="11"/>
      <c r="N777" s="11"/>
      <c r="O777" s="11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 s="11"/>
      <c r="AD777"/>
      <c r="AE777" s="11"/>
      <c r="AF777" s="11"/>
      <c r="AG777" s="11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 s="11"/>
      <c r="CE777"/>
      <c r="CF777"/>
      <c r="CG777"/>
      <c r="CH777"/>
      <c r="CI777"/>
      <c r="CJ777"/>
      <c r="CK777"/>
      <c r="CL777"/>
    </row>
    <row r="778" spans="2:90">
      <c r="B778"/>
      <c r="C778"/>
      <c r="D778" s="11"/>
      <c r="E778"/>
      <c r="F778"/>
      <c r="G778"/>
      <c r="H778"/>
      <c r="I778" s="11"/>
      <c r="J778" s="11"/>
      <c r="K778" s="11"/>
      <c r="L778"/>
      <c r="M778" s="11"/>
      <c r="N778" s="11"/>
      <c r="O778" s="11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 s="11"/>
      <c r="AD778"/>
      <c r="AE778" s="11"/>
      <c r="AF778" s="11"/>
      <c r="AG778" s="11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 s="11"/>
      <c r="CE778"/>
      <c r="CF778"/>
      <c r="CG778"/>
      <c r="CH778"/>
      <c r="CI778"/>
      <c r="CJ778"/>
      <c r="CK778"/>
      <c r="CL778"/>
    </row>
    <row r="779" spans="2:90">
      <c r="B779"/>
      <c r="C779"/>
      <c r="D779" s="11"/>
      <c r="E779"/>
      <c r="F779"/>
      <c r="G779"/>
      <c r="H779"/>
      <c r="I779" s="11"/>
      <c r="J779" s="11"/>
      <c r="K779" s="11"/>
      <c r="L779"/>
      <c r="M779" s="11"/>
      <c r="N779" s="11"/>
      <c r="O779" s="11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 s="11"/>
      <c r="AD779"/>
      <c r="AE779" s="11"/>
      <c r="AF779" s="11"/>
      <c r="AG779" s="11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 s="11"/>
      <c r="CE779"/>
      <c r="CF779"/>
      <c r="CG779"/>
      <c r="CH779"/>
      <c r="CI779"/>
      <c r="CJ779"/>
      <c r="CK779"/>
      <c r="CL779"/>
    </row>
    <row r="780" spans="2:90">
      <c r="B780"/>
      <c r="C780"/>
      <c r="D780" s="11"/>
      <c r="E780"/>
      <c r="F780"/>
      <c r="G780"/>
      <c r="H780"/>
      <c r="I780" s="11"/>
      <c r="J780" s="11"/>
      <c r="K780" s="11"/>
      <c r="L780"/>
      <c r="M780" s="11"/>
      <c r="N780" s="11"/>
      <c r="O780" s="11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 s="11"/>
      <c r="AD780"/>
      <c r="AE780" s="11"/>
      <c r="AF780" s="11"/>
      <c r="AG780" s="11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 s="11"/>
      <c r="CE780"/>
      <c r="CF780"/>
      <c r="CG780"/>
      <c r="CH780"/>
      <c r="CI780"/>
      <c r="CJ780"/>
      <c r="CK780"/>
      <c r="CL780"/>
    </row>
    <row r="781" spans="2:90">
      <c r="B781"/>
      <c r="C781"/>
      <c r="D781" s="11"/>
      <c r="E781"/>
      <c r="F781"/>
      <c r="G781"/>
      <c r="H781"/>
      <c r="I781" s="11"/>
      <c r="J781" s="11"/>
      <c r="K781" s="11"/>
      <c r="L781"/>
      <c r="M781" s="11"/>
      <c r="N781" s="11"/>
      <c r="O781" s="1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 s="11"/>
      <c r="AD781"/>
      <c r="AE781" s="11"/>
      <c r="AF781" s="11"/>
      <c r="AG781" s="1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 s="11"/>
      <c r="CE781"/>
      <c r="CF781"/>
      <c r="CG781"/>
      <c r="CH781"/>
      <c r="CI781"/>
      <c r="CJ781"/>
      <c r="CK781"/>
      <c r="CL781"/>
    </row>
    <row r="782" spans="2:90">
      <c r="B782"/>
      <c r="C782"/>
      <c r="D782" s="11"/>
      <c r="E782"/>
      <c r="F782"/>
      <c r="G782"/>
      <c r="H782"/>
      <c r="I782" s="11"/>
      <c r="J782" s="11"/>
      <c r="K782" s="11"/>
      <c r="L782"/>
      <c r="M782" s="11"/>
      <c r="N782" s="11"/>
      <c r="O782" s="11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 s="11"/>
      <c r="AD782"/>
      <c r="AE782" s="11"/>
      <c r="AF782" s="11"/>
      <c r="AG782" s="11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 s="11"/>
      <c r="CE782"/>
      <c r="CF782"/>
      <c r="CG782"/>
      <c r="CH782"/>
      <c r="CI782"/>
      <c r="CJ782"/>
      <c r="CK782"/>
      <c r="CL782"/>
    </row>
    <row r="783" spans="2:90">
      <c r="B783"/>
      <c r="C783"/>
      <c r="D783" s="11"/>
      <c r="E783"/>
      <c r="F783"/>
      <c r="G783"/>
      <c r="H783"/>
      <c r="I783" s="11"/>
      <c r="J783" s="11"/>
      <c r="K783" s="11"/>
      <c r="L783"/>
      <c r="M783" s="11"/>
      <c r="N783" s="11"/>
      <c r="O783" s="11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 s="11"/>
      <c r="AD783"/>
      <c r="AE783" s="11"/>
      <c r="AF783" s="11"/>
      <c r="AG783" s="11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 s="11"/>
      <c r="CE783"/>
      <c r="CF783"/>
      <c r="CG783"/>
      <c r="CH783"/>
      <c r="CI783"/>
      <c r="CJ783"/>
      <c r="CK783"/>
      <c r="CL783"/>
    </row>
    <row r="784" spans="2:90">
      <c r="B784"/>
      <c r="C784"/>
      <c r="D784" s="11"/>
      <c r="E784"/>
      <c r="F784"/>
      <c r="G784"/>
      <c r="H784"/>
      <c r="I784" s="11"/>
      <c r="J784" s="11"/>
      <c r="K784" s="11"/>
      <c r="L784"/>
      <c r="M784" s="11"/>
      <c r="N784" s="11"/>
      <c r="O784" s="11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 s="11"/>
      <c r="AD784"/>
      <c r="AE784" s="11"/>
      <c r="AF784" s="11"/>
      <c r="AG784" s="11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 s="11"/>
      <c r="CE784"/>
      <c r="CF784"/>
      <c r="CG784"/>
      <c r="CH784"/>
      <c r="CI784"/>
      <c r="CJ784"/>
      <c r="CK784"/>
      <c r="CL784"/>
    </row>
    <row r="785" spans="2:90">
      <c r="B785"/>
      <c r="C785"/>
      <c r="D785" s="11"/>
      <c r="E785"/>
      <c r="F785"/>
      <c r="G785"/>
      <c r="H785"/>
      <c r="I785" s="11"/>
      <c r="J785" s="11"/>
      <c r="K785" s="11"/>
      <c r="L785"/>
      <c r="M785" s="11"/>
      <c r="N785" s="11"/>
      <c r="O785" s="11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 s="11"/>
      <c r="AD785"/>
      <c r="AE785" s="11"/>
      <c r="AF785" s="11"/>
      <c r="AG785" s="11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 s="11"/>
      <c r="CE785"/>
      <c r="CF785"/>
      <c r="CG785"/>
      <c r="CH785"/>
      <c r="CI785"/>
      <c r="CJ785"/>
      <c r="CK785"/>
      <c r="CL785"/>
    </row>
    <row r="786" spans="2:90">
      <c r="B786"/>
      <c r="C786"/>
      <c r="D786" s="11"/>
      <c r="E786"/>
      <c r="F786"/>
      <c r="G786"/>
      <c r="H786"/>
      <c r="I786" s="11"/>
      <c r="J786" s="11"/>
      <c r="K786" s="11"/>
      <c r="L786"/>
      <c r="M786" s="11"/>
      <c r="N786" s="11"/>
      <c r="O786" s="11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 s="11"/>
      <c r="AD786"/>
      <c r="AE786" s="11"/>
      <c r="AF786" s="11"/>
      <c r="AG786" s="11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 s="11"/>
      <c r="CE786"/>
      <c r="CF786"/>
      <c r="CG786"/>
      <c r="CH786"/>
      <c r="CI786"/>
      <c r="CJ786"/>
      <c r="CK786"/>
      <c r="CL786"/>
    </row>
    <row r="787" spans="2:90">
      <c r="B787"/>
      <c r="C787"/>
      <c r="D787" s="11"/>
      <c r="E787"/>
      <c r="F787"/>
      <c r="G787"/>
      <c r="H787"/>
      <c r="I787" s="11"/>
      <c r="J787" s="11"/>
      <c r="K787" s="11"/>
      <c r="L787"/>
      <c r="M787" s="11"/>
      <c r="N787" s="11"/>
      <c r="O787" s="11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 s="11"/>
      <c r="AD787"/>
      <c r="AE787" s="11"/>
      <c r="AF787" s="11"/>
      <c r="AG787" s="11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 s="11"/>
      <c r="CE787"/>
      <c r="CF787"/>
      <c r="CG787"/>
      <c r="CH787"/>
      <c r="CI787"/>
      <c r="CJ787"/>
      <c r="CK787"/>
      <c r="CL787"/>
    </row>
    <row r="788" spans="2:90">
      <c r="B788"/>
      <c r="C788"/>
      <c r="D788" s="11"/>
      <c r="E788"/>
      <c r="F788"/>
      <c r="G788"/>
      <c r="H788"/>
      <c r="I788" s="11"/>
      <c r="J788" s="11"/>
      <c r="K788" s="11"/>
      <c r="L788"/>
      <c r="M788" s="11"/>
      <c r="N788" s="11"/>
      <c r="O788" s="11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 s="11"/>
      <c r="AD788"/>
      <c r="AE788" s="11"/>
      <c r="AF788" s="11"/>
      <c r="AG788" s="11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 s="11"/>
      <c r="CE788"/>
      <c r="CF788"/>
      <c r="CG788"/>
      <c r="CH788"/>
      <c r="CI788"/>
      <c r="CJ788"/>
      <c r="CK788"/>
      <c r="CL788"/>
    </row>
    <row r="789" spans="2:90">
      <c r="B789"/>
      <c r="C789"/>
      <c r="D789" s="11"/>
      <c r="E789"/>
      <c r="F789"/>
      <c r="G789"/>
      <c r="H789"/>
      <c r="I789" s="11"/>
      <c r="J789" s="11"/>
      <c r="K789" s="11"/>
      <c r="L789"/>
      <c r="M789" s="11"/>
      <c r="N789" s="11"/>
      <c r="O789" s="11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 s="11"/>
      <c r="AD789"/>
      <c r="AE789" s="11"/>
      <c r="AF789" s="11"/>
      <c r="AG789" s="11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 s="11"/>
      <c r="CE789"/>
      <c r="CF789"/>
      <c r="CG789"/>
      <c r="CH789"/>
      <c r="CI789"/>
      <c r="CJ789"/>
      <c r="CK789"/>
      <c r="CL789"/>
    </row>
    <row r="790" spans="2:90">
      <c r="B790"/>
      <c r="C790"/>
      <c r="D790" s="11"/>
      <c r="E790"/>
      <c r="F790"/>
      <c r="G790"/>
      <c r="H790"/>
      <c r="I790" s="11"/>
      <c r="J790" s="11"/>
      <c r="K790" s="11"/>
      <c r="L790"/>
      <c r="M790" s="11"/>
      <c r="N790" s="11"/>
      <c r="O790" s="11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 s="11"/>
      <c r="AD790"/>
      <c r="AE790" s="11"/>
      <c r="AF790" s="11"/>
      <c r="AG790" s="11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 s="11"/>
      <c r="CE790"/>
      <c r="CF790"/>
      <c r="CG790"/>
      <c r="CH790"/>
      <c r="CI790"/>
      <c r="CJ790"/>
      <c r="CK790"/>
      <c r="CL790"/>
    </row>
    <row r="791" spans="2:90">
      <c r="B791"/>
      <c r="C791"/>
      <c r="D791" s="11"/>
      <c r="E791"/>
      <c r="F791"/>
      <c r="G791"/>
      <c r="H791"/>
      <c r="I791" s="11"/>
      <c r="J791" s="11"/>
      <c r="K791" s="11"/>
      <c r="L791"/>
      <c r="M791" s="11"/>
      <c r="N791" s="11"/>
      <c r="O791" s="1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 s="11"/>
      <c r="AD791"/>
      <c r="AE791" s="11"/>
      <c r="AF791" s="11"/>
      <c r="AG791" s="1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 s="11"/>
      <c r="CE791"/>
      <c r="CF791"/>
      <c r="CG791"/>
      <c r="CH791"/>
      <c r="CI791"/>
      <c r="CJ791"/>
      <c r="CK791"/>
      <c r="CL791"/>
    </row>
    <row r="792" spans="2:90">
      <c r="B792"/>
      <c r="C792"/>
      <c r="D792" s="11"/>
      <c r="E792"/>
      <c r="F792"/>
      <c r="G792"/>
      <c r="H792"/>
      <c r="I792" s="11"/>
      <c r="J792" s="11"/>
      <c r="K792" s="11"/>
      <c r="L792"/>
      <c r="M792" s="11"/>
      <c r="N792" s="11"/>
      <c r="O792" s="11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 s="11"/>
      <c r="AD792"/>
      <c r="AE792" s="11"/>
      <c r="AF792" s="11"/>
      <c r="AG792" s="11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 s="11"/>
      <c r="CE792"/>
      <c r="CF792"/>
      <c r="CG792"/>
      <c r="CH792"/>
      <c r="CI792"/>
      <c r="CJ792"/>
      <c r="CK792"/>
      <c r="CL792"/>
    </row>
    <row r="793" spans="2:90">
      <c r="B793"/>
      <c r="C793"/>
      <c r="D793" s="11"/>
      <c r="E793"/>
      <c r="F793"/>
      <c r="G793"/>
      <c r="H793"/>
      <c r="I793" s="11"/>
      <c r="J793" s="11"/>
      <c r="K793" s="11"/>
      <c r="L793"/>
      <c r="M793" s="11"/>
      <c r="N793" s="11"/>
      <c r="O793" s="11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 s="11"/>
      <c r="AD793"/>
      <c r="AE793" s="11"/>
      <c r="AF793" s="11"/>
      <c r="AG793" s="11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 s="11"/>
      <c r="CE793"/>
      <c r="CF793"/>
      <c r="CG793"/>
      <c r="CH793"/>
      <c r="CI793"/>
      <c r="CJ793"/>
      <c r="CK793"/>
      <c r="CL793"/>
    </row>
    <row r="794" spans="2:90">
      <c r="B794"/>
      <c r="C794"/>
      <c r="D794" s="11"/>
      <c r="E794"/>
      <c r="F794"/>
      <c r="G794"/>
      <c r="H794"/>
      <c r="I794" s="11"/>
      <c r="J794" s="11"/>
      <c r="K794" s="11"/>
      <c r="L794"/>
      <c r="M794" s="11"/>
      <c r="N794" s="11"/>
      <c r="O794" s="11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 s="11"/>
      <c r="AD794"/>
      <c r="AE794" s="11"/>
      <c r="AF794" s="11"/>
      <c r="AG794" s="11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 s="11"/>
      <c r="CE794"/>
      <c r="CF794"/>
      <c r="CG794"/>
      <c r="CH794"/>
      <c r="CI794"/>
      <c r="CJ794"/>
      <c r="CK794"/>
      <c r="CL794"/>
    </row>
    <row r="795" spans="2:90">
      <c r="B795"/>
      <c r="C795"/>
      <c r="D795" s="11"/>
      <c r="E795"/>
      <c r="F795"/>
      <c r="G795"/>
      <c r="H795"/>
      <c r="I795" s="11"/>
      <c r="J795" s="11"/>
      <c r="K795" s="11"/>
      <c r="L795"/>
      <c r="M795" s="11"/>
      <c r="N795" s="11"/>
      <c r="O795" s="11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 s="11"/>
      <c r="AD795"/>
      <c r="AE795" s="11"/>
      <c r="AF795" s="11"/>
      <c r="AG795" s="11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 s="11"/>
      <c r="CE795"/>
      <c r="CF795"/>
      <c r="CG795"/>
      <c r="CH795"/>
      <c r="CI795"/>
      <c r="CJ795"/>
      <c r="CK795"/>
      <c r="CL795"/>
    </row>
    <row r="796" spans="2:90">
      <c r="B796"/>
      <c r="C796"/>
      <c r="D796" s="11"/>
      <c r="E796"/>
      <c r="F796"/>
      <c r="G796"/>
      <c r="H796"/>
      <c r="I796" s="11"/>
      <c r="J796" s="11"/>
      <c r="K796" s="11"/>
      <c r="L796"/>
      <c r="M796" s="11"/>
      <c r="N796" s="11"/>
      <c r="O796" s="11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 s="11"/>
      <c r="AD796"/>
      <c r="AE796" s="11"/>
      <c r="AF796" s="11"/>
      <c r="AG796" s="11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 s="11"/>
      <c r="CE796"/>
      <c r="CF796"/>
      <c r="CG796"/>
      <c r="CH796"/>
      <c r="CI796"/>
      <c r="CJ796"/>
      <c r="CK796"/>
      <c r="CL796"/>
    </row>
    <row r="797" spans="2:90">
      <c r="B797"/>
      <c r="C797"/>
      <c r="D797" s="11"/>
      <c r="E797"/>
      <c r="F797"/>
      <c r="G797"/>
      <c r="H797"/>
      <c r="I797" s="11"/>
      <c r="J797" s="11"/>
      <c r="K797" s="11"/>
      <c r="L797"/>
      <c r="M797" s="11"/>
      <c r="N797" s="11"/>
      <c r="O797" s="11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 s="11"/>
      <c r="AD797"/>
      <c r="AE797" s="11"/>
      <c r="AF797" s="11"/>
      <c r="AG797" s="11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 s="11"/>
      <c r="CE797"/>
      <c r="CF797"/>
      <c r="CG797"/>
      <c r="CH797"/>
      <c r="CI797"/>
      <c r="CJ797"/>
      <c r="CK797"/>
      <c r="CL797"/>
    </row>
    <row r="798" spans="2:90">
      <c r="B798"/>
      <c r="C798"/>
      <c r="D798" s="11"/>
      <c r="E798"/>
      <c r="F798"/>
      <c r="G798"/>
      <c r="H798"/>
      <c r="I798" s="11"/>
      <c r="J798" s="11"/>
      <c r="K798" s="11"/>
      <c r="L798"/>
      <c r="M798" s="11"/>
      <c r="N798" s="11"/>
      <c r="O798" s="11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 s="11"/>
      <c r="AD798"/>
      <c r="AE798" s="11"/>
      <c r="AF798" s="11"/>
      <c r="AG798" s="11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 s="11"/>
      <c r="CE798"/>
      <c r="CF798"/>
      <c r="CG798"/>
      <c r="CH798"/>
      <c r="CI798"/>
      <c r="CJ798"/>
      <c r="CK798"/>
      <c r="CL798"/>
    </row>
    <row r="799" spans="2:90">
      <c r="B799"/>
      <c r="C799"/>
      <c r="D799" s="11"/>
      <c r="E799"/>
      <c r="F799"/>
      <c r="G799"/>
      <c r="H799"/>
      <c r="I799" s="11"/>
      <c r="J799" s="11"/>
      <c r="K799" s="11"/>
      <c r="L799"/>
      <c r="M799" s="11"/>
      <c r="N799" s="11"/>
      <c r="O799" s="11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 s="11"/>
      <c r="AD799"/>
      <c r="AE799" s="11"/>
      <c r="AF799" s="11"/>
      <c r="AG799" s="11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 s="11"/>
      <c r="CE799"/>
      <c r="CF799"/>
      <c r="CG799"/>
      <c r="CH799"/>
      <c r="CI799"/>
      <c r="CJ799"/>
      <c r="CK799"/>
      <c r="CL799"/>
    </row>
    <row r="800" spans="2:90">
      <c r="B800"/>
      <c r="C800"/>
      <c r="D800" s="11"/>
      <c r="E800"/>
      <c r="F800"/>
      <c r="G800"/>
      <c r="H800"/>
      <c r="I800" s="11"/>
      <c r="J800" s="11"/>
      <c r="K800" s="11"/>
      <c r="L800"/>
      <c r="M800" s="11"/>
      <c r="N800" s="11"/>
      <c r="O800" s="11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 s="11"/>
      <c r="AD800"/>
      <c r="AE800" s="11"/>
      <c r="AF800" s="11"/>
      <c r="AG800" s="11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 s="11"/>
      <c r="CE800"/>
      <c r="CF800"/>
      <c r="CG800"/>
      <c r="CH800"/>
      <c r="CI800"/>
      <c r="CJ800"/>
      <c r="CK800"/>
      <c r="CL800"/>
    </row>
    <row r="801" spans="2:90">
      <c r="B801"/>
      <c r="C801"/>
      <c r="D801" s="11"/>
      <c r="E801"/>
      <c r="F801"/>
      <c r="G801"/>
      <c r="H801"/>
      <c r="I801" s="11"/>
      <c r="J801" s="11"/>
      <c r="K801" s="11"/>
      <c r="L801"/>
      <c r="M801" s="11"/>
      <c r="N801" s="11"/>
      <c r="O801" s="1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 s="11"/>
      <c r="AD801"/>
      <c r="AE801" s="11"/>
      <c r="AF801" s="11"/>
      <c r="AG801" s="1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 s="11"/>
      <c r="CE801"/>
      <c r="CF801"/>
      <c r="CG801"/>
      <c r="CH801"/>
      <c r="CI801"/>
      <c r="CJ801"/>
      <c r="CK801"/>
      <c r="CL801"/>
    </row>
    <row r="802" spans="2:90">
      <c r="B802"/>
      <c r="C802"/>
      <c r="D802" s="11"/>
      <c r="E802"/>
      <c r="F802"/>
      <c r="G802"/>
      <c r="H802"/>
      <c r="I802" s="11"/>
      <c r="J802" s="11"/>
      <c r="K802" s="11"/>
      <c r="L802"/>
      <c r="M802" s="11"/>
      <c r="N802" s="11"/>
      <c r="O802" s="11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 s="11"/>
      <c r="AD802"/>
      <c r="AE802" s="11"/>
      <c r="AF802" s="11"/>
      <c r="AG802" s="11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 s="11"/>
      <c r="CE802"/>
      <c r="CF802"/>
      <c r="CG802"/>
      <c r="CH802"/>
      <c r="CI802"/>
      <c r="CJ802"/>
      <c r="CK802"/>
      <c r="CL802"/>
    </row>
    <row r="803" spans="2:90">
      <c r="B803"/>
      <c r="C803"/>
      <c r="D803" s="11"/>
      <c r="E803"/>
      <c r="F803"/>
      <c r="G803"/>
      <c r="H803"/>
      <c r="I803" s="11"/>
      <c r="J803" s="11"/>
      <c r="K803" s="11"/>
      <c r="L803"/>
      <c r="M803" s="11"/>
      <c r="N803" s="11"/>
      <c r="O803" s="11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 s="11"/>
      <c r="AD803"/>
      <c r="AE803" s="11"/>
      <c r="AF803" s="11"/>
      <c r="AG803" s="11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 s="11"/>
      <c r="CE803"/>
      <c r="CF803"/>
      <c r="CG803"/>
      <c r="CH803"/>
      <c r="CI803"/>
      <c r="CJ803"/>
      <c r="CK803"/>
      <c r="CL803"/>
    </row>
    <row r="804" spans="2:90">
      <c r="B804"/>
      <c r="C804"/>
      <c r="D804" s="11"/>
      <c r="E804"/>
      <c r="F804"/>
      <c r="G804"/>
      <c r="H804"/>
      <c r="I804" s="11"/>
      <c r="J804" s="11"/>
      <c r="K804" s="11"/>
      <c r="L804"/>
      <c r="M804" s="11"/>
      <c r="N804" s="11"/>
      <c r="O804" s="11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 s="11"/>
      <c r="AD804"/>
      <c r="AE804" s="11"/>
      <c r="AF804" s="11"/>
      <c r="AG804" s="11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 s="11"/>
      <c r="CE804"/>
      <c r="CF804"/>
      <c r="CG804"/>
      <c r="CH804"/>
      <c r="CI804"/>
      <c r="CJ804"/>
      <c r="CK804"/>
      <c r="CL804"/>
    </row>
    <row r="805" spans="2:90">
      <c r="B805"/>
      <c r="C805"/>
      <c r="D805" s="11"/>
      <c r="E805"/>
      <c r="F805"/>
      <c r="G805"/>
      <c r="H805"/>
      <c r="I805" s="11"/>
      <c r="J805" s="11"/>
      <c r="K805" s="11"/>
      <c r="L805"/>
      <c r="M805" s="11"/>
      <c r="N805" s="11"/>
      <c r="O805" s="11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 s="11"/>
      <c r="AD805"/>
      <c r="AE805" s="11"/>
      <c r="AF805" s="11"/>
      <c r="AG805" s="11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 s="11"/>
      <c r="CE805"/>
      <c r="CF805"/>
      <c r="CG805"/>
      <c r="CH805"/>
      <c r="CI805"/>
      <c r="CJ805"/>
      <c r="CK805"/>
      <c r="CL805"/>
    </row>
    <row r="806" spans="2:90">
      <c r="B806"/>
      <c r="C806"/>
      <c r="D806" s="11"/>
      <c r="E806"/>
      <c r="F806"/>
      <c r="G806"/>
      <c r="H806"/>
      <c r="I806" s="11"/>
      <c r="J806" s="11"/>
      <c r="K806" s="11"/>
      <c r="L806"/>
      <c r="M806" s="11"/>
      <c r="N806" s="11"/>
      <c r="O806" s="11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 s="11"/>
      <c r="AD806"/>
      <c r="AE806" s="11"/>
      <c r="AF806" s="11"/>
      <c r="AG806" s="11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 s="11"/>
      <c r="CE806"/>
      <c r="CF806"/>
      <c r="CG806"/>
      <c r="CH806"/>
      <c r="CI806"/>
      <c r="CJ806"/>
      <c r="CK806"/>
      <c r="CL806"/>
    </row>
    <row r="807" spans="2:90">
      <c r="B807"/>
      <c r="C807"/>
      <c r="D807" s="11"/>
      <c r="E807"/>
      <c r="F807"/>
      <c r="G807"/>
      <c r="H807"/>
      <c r="I807" s="11"/>
      <c r="J807" s="11"/>
      <c r="K807" s="11"/>
      <c r="L807"/>
      <c r="M807" s="11"/>
      <c r="N807" s="11"/>
      <c r="O807" s="11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 s="11"/>
      <c r="AD807"/>
      <c r="AE807" s="11"/>
      <c r="AF807" s="11"/>
      <c r="AG807" s="11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 s="11"/>
      <c r="CE807"/>
      <c r="CF807"/>
      <c r="CG807"/>
      <c r="CH807"/>
      <c r="CI807"/>
      <c r="CJ807"/>
      <c r="CK807"/>
      <c r="CL807"/>
    </row>
    <row r="808" spans="2:90">
      <c r="B808"/>
      <c r="C808"/>
      <c r="D808" s="11"/>
      <c r="E808"/>
      <c r="F808"/>
      <c r="G808"/>
      <c r="H808"/>
      <c r="I808" s="11"/>
      <c r="J808" s="11"/>
      <c r="K808" s="11"/>
      <c r="L808"/>
      <c r="M808" s="11"/>
      <c r="N808" s="11"/>
      <c r="O808" s="11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 s="11"/>
      <c r="AD808"/>
      <c r="AE808" s="11"/>
      <c r="AF808" s="11"/>
      <c r="AG808" s="11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 s="11"/>
      <c r="CE808"/>
      <c r="CF808"/>
      <c r="CG808"/>
      <c r="CH808"/>
      <c r="CI808"/>
      <c r="CJ808"/>
      <c r="CK808"/>
      <c r="CL808"/>
    </row>
    <row r="809" spans="2:90">
      <c r="B809"/>
      <c r="C809"/>
      <c r="D809" s="11"/>
      <c r="E809"/>
      <c r="F809"/>
      <c r="G809"/>
      <c r="H809"/>
      <c r="I809" s="11"/>
      <c r="J809" s="11"/>
      <c r="K809" s="11"/>
      <c r="L809"/>
      <c r="M809" s="11"/>
      <c r="N809" s="11"/>
      <c r="O809" s="11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 s="11"/>
      <c r="AD809"/>
      <c r="AE809" s="11"/>
      <c r="AF809" s="11"/>
      <c r="AG809" s="11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 s="11"/>
      <c r="CE809"/>
      <c r="CF809"/>
      <c r="CG809"/>
      <c r="CH809"/>
      <c r="CI809"/>
      <c r="CJ809"/>
      <c r="CK809"/>
      <c r="CL809"/>
    </row>
    <row r="810" spans="2:90">
      <c r="B810"/>
      <c r="C810"/>
      <c r="D810" s="11"/>
      <c r="E810"/>
      <c r="F810"/>
      <c r="G810"/>
      <c r="H810"/>
      <c r="I810" s="11"/>
      <c r="J810" s="11"/>
      <c r="K810" s="11"/>
      <c r="L810"/>
      <c r="M810" s="11"/>
      <c r="N810" s="11"/>
      <c r="O810" s="11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 s="11"/>
      <c r="AD810"/>
      <c r="AE810" s="11"/>
      <c r="AF810" s="11"/>
      <c r="AG810" s="11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 s="11"/>
      <c r="CE810"/>
      <c r="CF810"/>
      <c r="CG810"/>
      <c r="CH810"/>
      <c r="CI810"/>
      <c r="CJ810"/>
      <c r="CK810"/>
      <c r="CL810"/>
    </row>
    <row r="811" spans="2:90">
      <c r="B811"/>
      <c r="C811"/>
      <c r="D811" s="11"/>
      <c r="E811"/>
      <c r="F811"/>
      <c r="G811"/>
      <c r="H811"/>
      <c r="I811" s="11"/>
      <c r="J811" s="11"/>
      <c r="K811" s="11"/>
      <c r="L811"/>
      <c r="M811" s="11"/>
      <c r="N811" s="11"/>
      <c r="O811" s="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 s="11"/>
      <c r="AD811"/>
      <c r="AE811" s="11"/>
      <c r="AF811" s="11"/>
      <c r="AG811" s="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 s="11"/>
      <c r="CE811"/>
      <c r="CF811"/>
      <c r="CG811"/>
      <c r="CH811"/>
      <c r="CI811"/>
      <c r="CJ811"/>
      <c r="CK811"/>
      <c r="CL811"/>
    </row>
    <row r="812" spans="2:90">
      <c r="B812"/>
      <c r="C812"/>
      <c r="D812" s="11"/>
      <c r="E812"/>
      <c r="F812"/>
      <c r="G812"/>
      <c r="H812"/>
      <c r="I812" s="11"/>
      <c r="J812" s="11"/>
      <c r="K812" s="11"/>
      <c r="L812"/>
      <c r="M812" s="11"/>
      <c r="N812" s="11"/>
      <c r="O812" s="11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 s="11"/>
      <c r="AD812"/>
      <c r="AE812" s="11"/>
      <c r="AF812" s="11"/>
      <c r="AG812" s="11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 s="11"/>
      <c r="CE812"/>
      <c r="CF812"/>
      <c r="CG812"/>
      <c r="CH812"/>
      <c r="CI812"/>
      <c r="CJ812"/>
      <c r="CK812"/>
      <c r="CL812"/>
    </row>
    <row r="813" spans="2:90">
      <c r="B813"/>
      <c r="C813"/>
      <c r="D813" s="11"/>
      <c r="E813"/>
      <c r="F813"/>
      <c r="G813"/>
      <c r="H813"/>
      <c r="I813" s="11"/>
      <c r="J813" s="11"/>
      <c r="K813" s="11"/>
      <c r="L813"/>
      <c r="M813" s="11"/>
      <c r="N813" s="11"/>
      <c r="O813" s="11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 s="11"/>
      <c r="AD813"/>
      <c r="AE813" s="11"/>
      <c r="AF813" s="11"/>
      <c r="AG813" s="11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 s="11"/>
      <c r="CE813"/>
      <c r="CF813"/>
      <c r="CG813"/>
      <c r="CH813"/>
      <c r="CI813"/>
      <c r="CJ813"/>
      <c r="CK813"/>
      <c r="CL813"/>
    </row>
    <row r="814" spans="2:90">
      <c r="B814"/>
      <c r="C814"/>
      <c r="D814" s="11"/>
      <c r="E814"/>
      <c r="F814"/>
      <c r="G814"/>
      <c r="H814"/>
      <c r="I814" s="11"/>
      <c r="J814" s="11"/>
      <c r="K814" s="11"/>
      <c r="L814"/>
      <c r="M814" s="11"/>
      <c r="N814" s="11"/>
      <c r="O814" s="11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 s="11"/>
      <c r="AD814"/>
      <c r="AE814" s="11"/>
      <c r="AF814" s="11"/>
      <c r="AG814" s="11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 s="11"/>
      <c r="CE814"/>
      <c r="CF814"/>
      <c r="CG814"/>
      <c r="CH814"/>
      <c r="CI814"/>
      <c r="CJ814"/>
      <c r="CK814"/>
      <c r="CL814"/>
    </row>
    <row r="815" spans="2:90">
      <c r="B815"/>
      <c r="C815"/>
      <c r="D815" s="11"/>
      <c r="E815"/>
      <c r="F815"/>
      <c r="G815"/>
      <c r="H815"/>
      <c r="I815" s="11"/>
      <c r="J815" s="11"/>
      <c r="K815" s="11"/>
      <c r="L815"/>
      <c r="M815" s="11"/>
      <c r="N815" s="11"/>
      <c r="O815" s="11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 s="11"/>
      <c r="AD815"/>
      <c r="AE815" s="11"/>
      <c r="AF815" s="11"/>
      <c r="AG815" s="11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 s="11"/>
      <c r="CE815"/>
      <c r="CF815"/>
      <c r="CG815"/>
      <c r="CH815"/>
      <c r="CI815"/>
      <c r="CJ815"/>
      <c r="CK815"/>
      <c r="CL815"/>
    </row>
    <row r="816" spans="2:90">
      <c r="B816"/>
      <c r="C816"/>
      <c r="D816" s="11"/>
      <c r="E816"/>
      <c r="F816"/>
      <c r="G816"/>
      <c r="H816"/>
      <c r="I816" s="11"/>
      <c r="J816" s="11"/>
      <c r="K816" s="11"/>
      <c r="L816"/>
      <c r="M816" s="11"/>
      <c r="N816" s="11"/>
      <c r="O816" s="11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 s="11"/>
      <c r="AD816"/>
      <c r="AE816" s="11"/>
      <c r="AF816" s="11"/>
      <c r="AG816" s="11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 s="11"/>
      <c r="CE816"/>
      <c r="CF816"/>
      <c r="CG816"/>
      <c r="CH816"/>
      <c r="CI816"/>
      <c r="CJ816"/>
      <c r="CK816"/>
      <c r="CL816"/>
    </row>
    <row r="817" spans="2:90">
      <c r="B817"/>
      <c r="C817"/>
      <c r="D817" s="11"/>
      <c r="E817"/>
      <c r="F817"/>
      <c r="G817"/>
      <c r="H817"/>
      <c r="I817" s="11"/>
      <c r="J817" s="11"/>
      <c r="K817" s="11"/>
      <c r="L817"/>
      <c r="M817" s="11"/>
      <c r="N817" s="11"/>
      <c r="O817" s="11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 s="11"/>
      <c r="AD817"/>
      <c r="AE817" s="11"/>
      <c r="AF817" s="11"/>
      <c r="AG817" s="11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 s="11"/>
      <c r="CE817"/>
      <c r="CF817"/>
      <c r="CG817"/>
      <c r="CH817"/>
      <c r="CI817"/>
      <c r="CJ817"/>
      <c r="CK817"/>
      <c r="CL817"/>
    </row>
    <row r="818" spans="2:90">
      <c r="B818"/>
      <c r="C818"/>
      <c r="D818" s="11"/>
      <c r="E818"/>
      <c r="F818"/>
      <c r="G818"/>
      <c r="H818"/>
      <c r="I818" s="11"/>
      <c r="J818" s="11"/>
      <c r="K818" s="11"/>
      <c r="L818"/>
      <c r="M818" s="11"/>
      <c r="N818" s="11"/>
      <c r="O818" s="11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 s="11"/>
      <c r="AD818"/>
      <c r="AE818" s="11"/>
      <c r="AF818" s="11"/>
      <c r="AG818" s="11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 s="11"/>
      <c r="CE818"/>
      <c r="CF818"/>
      <c r="CG818"/>
      <c r="CH818"/>
      <c r="CI818"/>
      <c r="CJ818"/>
      <c r="CK818"/>
      <c r="CL818"/>
    </row>
    <row r="819" spans="2:90">
      <c r="B819"/>
      <c r="C819"/>
      <c r="D819" s="11"/>
      <c r="E819"/>
      <c r="F819"/>
      <c r="G819"/>
      <c r="H819"/>
      <c r="I819" s="11"/>
      <c r="J819" s="11"/>
      <c r="K819" s="11"/>
      <c r="L819"/>
      <c r="M819" s="11"/>
      <c r="N819" s="11"/>
      <c r="O819" s="11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 s="11"/>
      <c r="AD819"/>
      <c r="AE819" s="11"/>
      <c r="AF819" s="11"/>
      <c r="AG819" s="11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 s="11"/>
      <c r="CE819"/>
      <c r="CF819"/>
      <c r="CG819"/>
      <c r="CH819"/>
      <c r="CI819"/>
      <c r="CJ819"/>
      <c r="CK819"/>
      <c r="CL819"/>
    </row>
    <row r="820" spans="2:90">
      <c r="B820"/>
      <c r="C820"/>
      <c r="D820" s="11"/>
      <c r="E820"/>
      <c r="F820"/>
      <c r="G820"/>
      <c r="H820"/>
      <c r="I820" s="11"/>
      <c r="J820" s="11"/>
      <c r="K820" s="11"/>
      <c r="L820"/>
      <c r="M820" s="11"/>
      <c r="N820" s="11"/>
      <c r="O820" s="11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 s="11"/>
      <c r="AD820"/>
      <c r="AE820" s="11"/>
      <c r="AF820" s="11"/>
      <c r="AG820" s="11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 s="11"/>
      <c r="CE820"/>
      <c r="CF820"/>
      <c r="CG820"/>
      <c r="CH820"/>
      <c r="CI820"/>
      <c r="CJ820"/>
      <c r="CK820"/>
      <c r="CL820"/>
    </row>
    <row r="821" spans="2:90">
      <c r="B821"/>
      <c r="C821"/>
      <c r="D821" s="11"/>
      <c r="E821"/>
      <c r="F821"/>
      <c r="G821"/>
      <c r="H821"/>
      <c r="I821" s="11"/>
      <c r="J821" s="11"/>
      <c r="K821" s="11"/>
      <c r="L821"/>
      <c r="M821" s="11"/>
      <c r="N821" s="11"/>
      <c r="O821" s="1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 s="11"/>
      <c r="AD821"/>
      <c r="AE821" s="11"/>
      <c r="AF821" s="11"/>
      <c r="AG821" s="1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 s="11"/>
      <c r="CE821"/>
      <c r="CF821"/>
      <c r="CG821"/>
      <c r="CH821"/>
      <c r="CI821"/>
      <c r="CJ821"/>
      <c r="CK821"/>
      <c r="CL821"/>
    </row>
    <row r="822" spans="2:90">
      <c r="B822"/>
      <c r="C822"/>
      <c r="D822" s="11"/>
      <c r="E822"/>
      <c r="F822"/>
      <c r="G822"/>
      <c r="H822"/>
      <c r="I822" s="11"/>
      <c r="J822" s="11"/>
      <c r="K822" s="11"/>
      <c r="L822"/>
      <c r="M822" s="11"/>
      <c r="N822" s="11"/>
      <c r="O822" s="11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 s="11"/>
      <c r="AD822"/>
      <c r="AE822" s="11"/>
      <c r="AF822" s="11"/>
      <c r="AG822" s="11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 s="11"/>
      <c r="CE822"/>
      <c r="CF822"/>
      <c r="CG822"/>
      <c r="CH822"/>
      <c r="CI822"/>
      <c r="CJ822"/>
      <c r="CK822"/>
      <c r="CL822"/>
    </row>
    <row r="823" spans="2:90">
      <c r="B823"/>
      <c r="C823"/>
      <c r="D823" s="11"/>
      <c r="E823"/>
      <c r="F823"/>
      <c r="G823"/>
      <c r="H823"/>
      <c r="I823" s="11"/>
      <c r="J823" s="11"/>
      <c r="K823" s="11"/>
      <c r="L823"/>
      <c r="M823" s="11"/>
      <c r="N823" s="11"/>
      <c r="O823" s="11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 s="11"/>
      <c r="AD823"/>
      <c r="AE823" s="11"/>
      <c r="AF823" s="11"/>
      <c r="AG823" s="11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 s="11"/>
      <c r="CE823"/>
      <c r="CF823"/>
      <c r="CG823"/>
      <c r="CH823"/>
      <c r="CI823"/>
      <c r="CJ823"/>
      <c r="CK823"/>
      <c r="CL823"/>
    </row>
    <row r="824" spans="2:90">
      <c r="B824"/>
      <c r="C824"/>
      <c r="D824" s="11"/>
      <c r="E824"/>
      <c r="F824"/>
      <c r="G824"/>
      <c r="H824"/>
      <c r="I824" s="11"/>
      <c r="J824" s="11"/>
      <c r="K824" s="11"/>
      <c r="L824"/>
      <c r="M824" s="11"/>
      <c r="N824" s="11"/>
      <c r="O824" s="11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 s="11"/>
      <c r="AD824"/>
      <c r="AE824" s="11"/>
      <c r="AF824" s="11"/>
      <c r="AG824" s="11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 s="11"/>
      <c r="CE824"/>
      <c r="CF824"/>
      <c r="CG824"/>
      <c r="CH824"/>
      <c r="CI824"/>
      <c r="CJ824"/>
      <c r="CK824"/>
      <c r="CL824"/>
    </row>
    <row r="825" spans="2:90">
      <c r="B825"/>
      <c r="C825"/>
      <c r="D825" s="11"/>
      <c r="E825"/>
      <c r="F825"/>
      <c r="G825"/>
      <c r="H825"/>
      <c r="I825" s="11"/>
      <c r="J825" s="11"/>
      <c r="K825" s="11"/>
      <c r="L825"/>
      <c r="M825" s="11"/>
      <c r="N825" s="11"/>
      <c r="O825" s="11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 s="11"/>
      <c r="AD825"/>
      <c r="AE825" s="11"/>
      <c r="AF825" s="11"/>
      <c r="AG825" s="11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 s="11"/>
      <c r="CE825"/>
      <c r="CF825"/>
      <c r="CG825"/>
      <c r="CH825"/>
      <c r="CI825"/>
      <c r="CJ825"/>
      <c r="CK825"/>
      <c r="CL825"/>
    </row>
    <row r="826" spans="2:90">
      <c r="B826"/>
      <c r="C826"/>
      <c r="D826" s="11"/>
      <c r="E826"/>
      <c r="F826"/>
      <c r="G826"/>
      <c r="H826"/>
      <c r="I826" s="11"/>
      <c r="J826" s="11"/>
      <c r="K826" s="11"/>
      <c r="L826"/>
      <c r="M826" s="11"/>
      <c r="N826" s="11"/>
      <c r="O826" s="11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 s="11"/>
      <c r="AD826"/>
      <c r="AE826" s="11"/>
      <c r="AF826" s="11"/>
      <c r="AG826" s="11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 s="11"/>
      <c r="CE826"/>
      <c r="CF826"/>
      <c r="CG826"/>
      <c r="CH826"/>
      <c r="CI826"/>
      <c r="CJ826"/>
      <c r="CK826"/>
      <c r="CL826"/>
    </row>
    <row r="827" spans="2:90">
      <c r="B827"/>
      <c r="C827"/>
      <c r="D827" s="11"/>
      <c r="E827"/>
      <c r="F827"/>
      <c r="G827"/>
      <c r="H827"/>
      <c r="I827" s="11"/>
      <c r="J827" s="11"/>
      <c r="K827" s="11"/>
      <c r="L827"/>
      <c r="M827" s="11"/>
      <c r="N827" s="11"/>
      <c r="O827" s="11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 s="11"/>
      <c r="AD827"/>
      <c r="AE827" s="11"/>
      <c r="AF827" s="11"/>
      <c r="AG827" s="11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 s="11"/>
      <c r="CE827"/>
      <c r="CF827"/>
      <c r="CG827"/>
      <c r="CH827"/>
      <c r="CI827"/>
      <c r="CJ827"/>
      <c r="CK827"/>
      <c r="CL827"/>
    </row>
    <row r="828" spans="2:90">
      <c r="B828"/>
      <c r="C828"/>
      <c r="D828" s="11"/>
      <c r="E828"/>
      <c r="F828"/>
      <c r="G828"/>
      <c r="H828"/>
      <c r="I828" s="11"/>
      <c r="J828" s="11"/>
      <c r="K828" s="11"/>
      <c r="L828"/>
      <c r="M828" s="11"/>
      <c r="N828" s="11"/>
      <c r="O828" s="11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 s="11"/>
      <c r="AD828"/>
      <c r="AE828" s="11"/>
      <c r="AF828" s="11"/>
      <c r="AG828" s="11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 s="11"/>
      <c r="CE828"/>
      <c r="CF828"/>
      <c r="CG828"/>
      <c r="CH828"/>
      <c r="CI828"/>
      <c r="CJ828"/>
      <c r="CK828"/>
      <c r="CL828"/>
    </row>
    <row r="829" spans="2:90">
      <c r="B829"/>
      <c r="C829"/>
      <c r="D829" s="11"/>
      <c r="E829"/>
      <c r="F829"/>
      <c r="G829"/>
      <c r="H829"/>
      <c r="I829" s="11"/>
      <c r="J829" s="11"/>
      <c r="K829" s="11"/>
      <c r="L829"/>
      <c r="M829" s="11"/>
      <c r="N829" s="11"/>
      <c r="O829" s="11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 s="11"/>
      <c r="AD829"/>
      <c r="AE829" s="11"/>
      <c r="AF829" s="11"/>
      <c r="AG829" s="11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 s="11"/>
      <c r="CE829"/>
      <c r="CF829"/>
      <c r="CG829"/>
      <c r="CH829"/>
      <c r="CI829"/>
      <c r="CJ829"/>
      <c r="CK829"/>
      <c r="CL829"/>
    </row>
    <row r="830" spans="2:90">
      <c r="B830"/>
      <c r="C830"/>
      <c r="D830" s="11"/>
      <c r="E830"/>
      <c r="F830"/>
      <c r="G830"/>
      <c r="H830"/>
      <c r="I830" s="11"/>
      <c r="J830" s="11"/>
      <c r="K830" s="11"/>
      <c r="L830"/>
      <c r="M830" s="11"/>
      <c r="N830" s="11"/>
      <c r="O830" s="11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 s="11"/>
      <c r="AD830"/>
      <c r="AE830" s="11"/>
      <c r="AF830" s="11"/>
      <c r="AG830" s="11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 s="11"/>
      <c r="CE830"/>
      <c r="CF830"/>
      <c r="CG830"/>
      <c r="CH830"/>
      <c r="CI830"/>
      <c r="CJ830"/>
      <c r="CK830"/>
      <c r="CL830"/>
    </row>
    <row r="831" spans="2:90">
      <c r="B831"/>
      <c r="C831"/>
      <c r="D831" s="11"/>
      <c r="E831"/>
      <c r="F831"/>
      <c r="G831"/>
      <c r="H831"/>
      <c r="I831" s="11"/>
      <c r="J831" s="11"/>
      <c r="K831" s="11"/>
      <c r="L831"/>
      <c r="M831" s="11"/>
      <c r="N831" s="11"/>
      <c r="O831" s="1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 s="11"/>
      <c r="AD831"/>
      <c r="AE831" s="11"/>
      <c r="AF831" s="11"/>
      <c r="AG831" s="1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 s="11"/>
      <c r="CE831"/>
      <c r="CF831"/>
      <c r="CG831"/>
      <c r="CH831"/>
      <c r="CI831"/>
      <c r="CJ831"/>
      <c r="CK831"/>
      <c r="CL831"/>
    </row>
    <row r="832" spans="2:90">
      <c r="B832"/>
      <c r="C832"/>
      <c r="D832" s="11"/>
      <c r="E832"/>
      <c r="F832"/>
      <c r="G832"/>
      <c r="H832"/>
      <c r="I832" s="11"/>
      <c r="J832" s="11"/>
      <c r="K832" s="11"/>
      <c r="L832"/>
      <c r="M832" s="11"/>
      <c r="N832" s="11"/>
      <c r="O832" s="11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 s="11"/>
      <c r="AD832"/>
      <c r="AE832" s="11"/>
      <c r="AF832" s="11"/>
      <c r="AG832" s="11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 s="11"/>
      <c r="CE832"/>
      <c r="CF832"/>
      <c r="CG832"/>
      <c r="CH832"/>
      <c r="CI832"/>
      <c r="CJ832"/>
      <c r="CK832"/>
      <c r="CL832"/>
    </row>
    <row r="833" spans="2:90">
      <c r="B833"/>
      <c r="C833"/>
      <c r="D833" s="11"/>
      <c r="E833"/>
      <c r="F833"/>
      <c r="G833"/>
      <c r="H833"/>
      <c r="I833" s="11"/>
      <c r="J833" s="11"/>
      <c r="K833" s="11"/>
      <c r="L833"/>
      <c r="M833" s="11"/>
      <c r="N833" s="11"/>
      <c r="O833" s="11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 s="11"/>
      <c r="AD833"/>
      <c r="AE833" s="11"/>
      <c r="AF833" s="11"/>
      <c r="AG833" s="11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 s="11"/>
      <c r="CE833"/>
      <c r="CF833"/>
      <c r="CG833"/>
      <c r="CH833"/>
      <c r="CI833"/>
      <c r="CJ833"/>
      <c r="CK833"/>
      <c r="CL833"/>
    </row>
    <row r="834" spans="2:90">
      <c r="B834"/>
      <c r="C834"/>
      <c r="D834" s="11"/>
      <c r="E834"/>
      <c r="F834"/>
      <c r="G834"/>
      <c r="H834"/>
      <c r="I834" s="11"/>
      <c r="J834" s="11"/>
      <c r="K834" s="11"/>
      <c r="L834"/>
      <c r="M834" s="11"/>
      <c r="N834" s="11"/>
      <c r="O834" s="11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 s="11"/>
      <c r="AD834"/>
      <c r="AE834" s="11"/>
      <c r="AF834" s="11"/>
      <c r="AG834" s="11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 s="11"/>
      <c r="CE834"/>
      <c r="CF834"/>
      <c r="CG834"/>
      <c r="CH834"/>
      <c r="CI834"/>
      <c r="CJ834"/>
      <c r="CK834"/>
      <c r="CL834"/>
    </row>
    <row r="835" spans="2:90">
      <c r="B835"/>
      <c r="C835"/>
      <c r="D835" s="11"/>
      <c r="E835"/>
      <c r="F835"/>
      <c r="G835"/>
      <c r="H835"/>
      <c r="I835" s="11"/>
      <c r="J835" s="11"/>
      <c r="K835" s="11"/>
      <c r="L835"/>
      <c r="M835" s="11"/>
      <c r="N835" s="11"/>
      <c r="O835" s="11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 s="11"/>
      <c r="AD835"/>
      <c r="AE835" s="11"/>
      <c r="AF835" s="11"/>
      <c r="AG835" s="11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 s="11"/>
      <c r="CE835"/>
      <c r="CF835"/>
      <c r="CG835"/>
      <c r="CH835"/>
      <c r="CI835"/>
      <c r="CJ835"/>
      <c r="CK835"/>
      <c r="CL835"/>
    </row>
    <row r="836" spans="2:90">
      <c r="B836"/>
      <c r="C836"/>
      <c r="D836" s="11"/>
      <c r="E836"/>
      <c r="F836"/>
      <c r="G836"/>
      <c r="H836"/>
      <c r="I836" s="11"/>
      <c r="J836" s="11"/>
      <c r="K836" s="11"/>
      <c r="L836"/>
      <c r="M836" s="11"/>
      <c r="N836" s="11"/>
      <c r="O836" s="11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 s="11"/>
      <c r="AD836"/>
      <c r="AE836" s="11"/>
      <c r="AF836" s="11"/>
      <c r="AG836" s="11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 s="11"/>
      <c r="CE836"/>
      <c r="CF836"/>
      <c r="CG836"/>
      <c r="CH836"/>
      <c r="CI836"/>
      <c r="CJ836"/>
      <c r="CK836"/>
      <c r="CL836"/>
    </row>
    <row r="837" spans="2:90">
      <c r="B837"/>
      <c r="C837"/>
      <c r="D837" s="11"/>
      <c r="E837"/>
      <c r="F837"/>
      <c r="G837"/>
      <c r="H837"/>
      <c r="I837" s="11"/>
      <c r="J837" s="11"/>
      <c r="K837" s="11"/>
      <c r="L837"/>
      <c r="M837" s="11"/>
      <c r="N837" s="11"/>
      <c r="O837" s="11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 s="11"/>
      <c r="AD837"/>
      <c r="AE837" s="11"/>
      <c r="AF837" s="11"/>
      <c r="AG837" s="11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 s="11"/>
      <c r="CE837"/>
      <c r="CF837"/>
      <c r="CG837"/>
      <c r="CH837"/>
      <c r="CI837"/>
      <c r="CJ837"/>
      <c r="CK837"/>
      <c r="CL837"/>
    </row>
    <row r="838" spans="2:90">
      <c r="B838"/>
      <c r="C838"/>
      <c r="D838" s="11"/>
      <c r="E838"/>
      <c r="F838"/>
      <c r="G838"/>
      <c r="H838"/>
      <c r="I838" s="11"/>
      <c r="J838" s="11"/>
      <c r="K838" s="11"/>
      <c r="L838"/>
      <c r="M838" s="11"/>
      <c r="N838" s="11"/>
      <c r="O838" s="11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 s="11"/>
      <c r="AD838"/>
      <c r="AE838" s="11"/>
      <c r="AF838" s="11"/>
      <c r="AG838" s="11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 s="11"/>
      <c r="CE838"/>
      <c r="CF838"/>
      <c r="CG838"/>
      <c r="CH838"/>
      <c r="CI838"/>
      <c r="CJ838"/>
      <c r="CK838"/>
      <c r="CL838"/>
    </row>
    <row r="839" spans="2:90">
      <c r="B839"/>
      <c r="C839"/>
      <c r="D839" s="11"/>
      <c r="E839"/>
      <c r="F839"/>
      <c r="G839"/>
      <c r="H839"/>
      <c r="I839" s="11"/>
      <c r="J839" s="11"/>
      <c r="K839" s="11"/>
      <c r="L839"/>
      <c r="M839" s="11"/>
      <c r="N839" s="11"/>
      <c r="O839" s="11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 s="11"/>
      <c r="AD839"/>
      <c r="AE839" s="11"/>
      <c r="AF839" s="11"/>
      <c r="AG839" s="11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 s="11"/>
      <c r="CE839"/>
      <c r="CF839"/>
      <c r="CG839"/>
      <c r="CH839"/>
      <c r="CI839"/>
      <c r="CJ839"/>
      <c r="CK839"/>
      <c r="CL839"/>
    </row>
    <row r="840" spans="2:90">
      <c r="B840"/>
      <c r="C840"/>
      <c r="D840" s="11"/>
      <c r="E840"/>
      <c r="F840"/>
      <c r="G840"/>
      <c r="H840"/>
      <c r="I840" s="11"/>
      <c r="J840" s="11"/>
      <c r="K840" s="11"/>
      <c r="L840"/>
      <c r="M840" s="11"/>
      <c r="N840" s="11"/>
      <c r="O840" s="11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 s="11"/>
      <c r="AD840"/>
      <c r="AE840" s="11"/>
      <c r="AF840" s="11"/>
      <c r="AG840" s="11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 s="11"/>
      <c r="CE840"/>
      <c r="CF840"/>
      <c r="CG840"/>
      <c r="CH840"/>
      <c r="CI840"/>
      <c r="CJ840"/>
      <c r="CK840"/>
      <c r="CL840"/>
    </row>
    <row r="841" spans="2:90">
      <c r="B841"/>
      <c r="C841"/>
      <c r="D841" s="11"/>
      <c r="E841"/>
      <c r="F841"/>
      <c r="G841"/>
      <c r="H841"/>
      <c r="I841" s="11"/>
      <c r="J841" s="11"/>
      <c r="K841" s="11"/>
      <c r="L841"/>
      <c r="M841" s="11"/>
      <c r="N841" s="11"/>
      <c r="O841" s="1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 s="11"/>
      <c r="AD841"/>
      <c r="AE841" s="11"/>
      <c r="AF841" s="11"/>
      <c r="AG841" s="1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 s="11"/>
      <c r="CE841"/>
      <c r="CF841"/>
      <c r="CG841"/>
      <c r="CH841"/>
      <c r="CI841"/>
      <c r="CJ841"/>
      <c r="CK841"/>
      <c r="CL841"/>
    </row>
    <row r="842" spans="2:90">
      <c r="B842"/>
      <c r="C842"/>
      <c r="D842" s="11"/>
      <c r="E842"/>
      <c r="F842"/>
      <c r="G842"/>
      <c r="H842"/>
      <c r="I842" s="11"/>
      <c r="J842" s="11"/>
      <c r="K842" s="11"/>
      <c r="L842"/>
      <c r="M842" s="11"/>
      <c r="N842" s="11"/>
      <c r="O842" s="11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 s="11"/>
      <c r="AD842"/>
      <c r="AE842" s="11"/>
      <c r="AF842" s="11"/>
      <c r="AG842" s="11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 s="11"/>
      <c r="CE842"/>
      <c r="CF842"/>
      <c r="CG842"/>
      <c r="CH842"/>
      <c r="CI842"/>
      <c r="CJ842"/>
      <c r="CK842"/>
      <c r="CL842"/>
    </row>
    <row r="843" spans="2:90">
      <c r="B843"/>
      <c r="C843"/>
      <c r="D843" s="11"/>
      <c r="E843"/>
      <c r="F843"/>
      <c r="G843"/>
      <c r="H843"/>
      <c r="I843" s="11"/>
      <c r="J843" s="11"/>
      <c r="K843" s="11"/>
      <c r="L843"/>
      <c r="M843" s="11"/>
      <c r="N843" s="11"/>
      <c r="O843" s="11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 s="11"/>
      <c r="AD843"/>
      <c r="AE843" s="11"/>
      <c r="AF843" s="11"/>
      <c r="AG843" s="11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 s="11"/>
      <c r="CE843"/>
      <c r="CF843"/>
      <c r="CG843"/>
      <c r="CH843"/>
      <c r="CI843"/>
      <c r="CJ843"/>
      <c r="CK843"/>
      <c r="CL843"/>
    </row>
    <row r="844" spans="2:90">
      <c r="B844"/>
      <c r="C844"/>
      <c r="D844" s="11"/>
      <c r="E844"/>
      <c r="F844"/>
      <c r="G844"/>
      <c r="H844"/>
      <c r="I844" s="11"/>
      <c r="J844" s="11"/>
      <c r="K844" s="11"/>
      <c r="L844"/>
      <c r="M844" s="11"/>
      <c r="N844" s="11"/>
      <c r="O844" s="11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 s="11"/>
      <c r="AD844"/>
      <c r="AE844" s="11"/>
      <c r="AF844" s="11"/>
      <c r="AG844" s="11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 s="11"/>
      <c r="CE844"/>
      <c r="CF844"/>
      <c r="CG844"/>
      <c r="CH844"/>
      <c r="CI844"/>
      <c r="CJ844"/>
      <c r="CK844"/>
      <c r="CL844"/>
    </row>
    <row r="845" spans="2:90">
      <c r="B845"/>
      <c r="C845"/>
      <c r="D845" s="11"/>
      <c r="E845"/>
      <c r="F845"/>
      <c r="G845"/>
      <c r="H845"/>
      <c r="I845" s="11"/>
      <c r="J845" s="11"/>
      <c r="K845" s="11"/>
      <c r="L845"/>
      <c r="M845" s="11"/>
      <c r="N845" s="11"/>
      <c r="O845" s="11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 s="11"/>
      <c r="AD845"/>
      <c r="AE845" s="11"/>
      <c r="AF845" s="11"/>
      <c r="AG845" s="11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 s="11"/>
      <c r="CE845"/>
      <c r="CF845"/>
      <c r="CG845"/>
      <c r="CH845"/>
      <c r="CI845"/>
      <c r="CJ845"/>
      <c r="CK845"/>
      <c r="CL845"/>
    </row>
    <row r="846" spans="2:90">
      <c r="B846"/>
      <c r="C846"/>
      <c r="D846" s="11"/>
      <c r="E846"/>
      <c r="F846"/>
      <c r="G846"/>
      <c r="H846"/>
      <c r="I846" s="11"/>
      <c r="J846" s="11"/>
      <c r="K846" s="11"/>
      <c r="L846"/>
      <c r="M846" s="11"/>
      <c r="N846" s="11"/>
      <c r="O846" s="11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 s="11"/>
      <c r="AD846"/>
      <c r="AE846" s="11"/>
      <c r="AF846" s="11"/>
      <c r="AG846" s="11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 s="11"/>
      <c r="CE846"/>
      <c r="CF846"/>
      <c r="CG846"/>
      <c r="CH846"/>
      <c r="CI846"/>
      <c r="CJ846"/>
      <c r="CK846"/>
      <c r="CL846"/>
    </row>
    <row r="847" spans="2:90">
      <c r="B847"/>
      <c r="C847"/>
      <c r="D847" s="11"/>
      <c r="E847"/>
      <c r="F847"/>
      <c r="G847"/>
      <c r="H847"/>
      <c r="I847" s="11"/>
      <c r="J847" s="11"/>
      <c r="K847" s="11"/>
      <c r="L847"/>
      <c r="M847" s="11"/>
      <c r="N847" s="11"/>
      <c r="O847" s="11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 s="11"/>
      <c r="AD847"/>
      <c r="AE847" s="11"/>
      <c r="AF847" s="11"/>
      <c r="AG847" s="11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 s="11"/>
      <c r="CE847"/>
      <c r="CF847"/>
      <c r="CG847"/>
      <c r="CH847"/>
      <c r="CI847"/>
      <c r="CJ847"/>
      <c r="CK847"/>
      <c r="CL847"/>
    </row>
    <row r="848" spans="2:90">
      <c r="B848"/>
      <c r="C848"/>
      <c r="D848" s="11"/>
      <c r="E848"/>
      <c r="F848"/>
      <c r="G848"/>
      <c r="H848"/>
      <c r="I848" s="11"/>
      <c r="J848" s="11"/>
      <c r="K848" s="11"/>
      <c r="L848"/>
      <c r="M848" s="11"/>
      <c r="N848" s="11"/>
      <c r="O848" s="11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 s="11"/>
      <c r="AD848"/>
      <c r="AE848" s="11"/>
      <c r="AF848" s="11"/>
      <c r="AG848" s="11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 s="11"/>
      <c r="CE848"/>
      <c r="CF848"/>
      <c r="CG848"/>
      <c r="CH848"/>
      <c r="CI848"/>
      <c r="CJ848"/>
      <c r="CK848"/>
      <c r="CL848"/>
    </row>
    <row r="849" spans="2:90">
      <c r="B849"/>
      <c r="C849"/>
      <c r="D849" s="11"/>
      <c r="E849"/>
      <c r="F849"/>
      <c r="G849"/>
      <c r="H849"/>
      <c r="I849" s="11"/>
      <c r="J849" s="11"/>
      <c r="K849" s="11"/>
      <c r="L849"/>
      <c r="M849" s="11"/>
      <c r="N849" s="11"/>
      <c r="O849" s="11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 s="11"/>
      <c r="AD849"/>
      <c r="AE849" s="11"/>
      <c r="AF849" s="11"/>
      <c r="AG849" s="11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 s="11"/>
      <c r="CE849"/>
      <c r="CF849"/>
      <c r="CG849"/>
      <c r="CH849"/>
      <c r="CI849"/>
      <c r="CJ849"/>
      <c r="CK849"/>
      <c r="CL849"/>
    </row>
    <row r="850" spans="2:90">
      <c r="B850"/>
      <c r="C850"/>
      <c r="D850" s="11"/>
      <c r="E850"/>
      <c r="F850"/>
      <c r="G850"/>
      <c r="H850"/>
      <c r="I850" s="11"/>
      <c r="J850" s="11"/>
      <c r="K850" s="11"/>
      <c r="L850"/>
      <c r="M850" s="11"/>
      <c r="N850" s="11"/>
      <c r="O850" s="11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 s="11"/>
      <c r="AD850"/>
      <c r="AE850" s="11"/>
      <c r="AF850" s="11"/>
      <c r="AG850" s="11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 s="11"/>
      <c r="CE850"/>
      <c r="CF850"/>
      <c r="CG850"/>
      <c r="CH850"/>
      <c r="CI850"/>
      <c r="CJ850"/>
      <c r="CK850"/>
      <c r="CL850"/>
    </row>
    <row r="851" spans="2:90">
      <c r="B851"/>
      <c r="C851"/>
      <c r="D851" s="11"/>
      <c r="E851"/>
      <c r="F851"/>
      <c r="G851"/>
      <c r="H851"/>
      <c r="I851" s="11"/>
      <c r="J851" s="11"/>
      <c r="K851" s="11"/>
      <c r="L851"/>
      <c r="M851" s="11"/>
      <c r="N851" s="11"/>
      <c r="O851" s="1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 s="11"/>
      <c r="AD851"/>
      <c r="AE851" s="11"/>
      <c r="AF851" s="11"/>
      <c r="AG851" s="1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 s="11"/>
      <c r="CE851"/>
      <c r="CF851"/>
      <c r="CG851"/>
      <c r="CH851"/>
      <c r="CI851"/>
      <c r="CJ851"/>
      <c r="CK851"/>
      <c r="CL851"/>
    </row>
    <row r="852" spans="2:90">
      <c r="B852"/>
      <c r="C852"/>
      <c r="D852" s="11"/>
      <c r="E852"/>
      <c r="F852"/>
      <c r="G852"/>
      <c r="H852"/>
      <c r="I852" s="11"/>
      <c r="J852" s="11"/>
      <c r="K852" s="11"/>
      <c r="L852"/>
      <c r="M852" s="11"/>
      <c r="N852" s="11"/>
      <c r="O852" s="11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 s="11"/>
      <c r="AD852"/>
      <c r="AE852" s="11"/>
      <c r="AF852" s="11"/>
      <c r="AG852" s="11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 s="11"/>
      <c r="CE852"/>
      <c r="CF852"/>
      <c r="CG852"/>
      <c r="CH852"/>
      <c r="CI852"/>
      <c r="CJ852"/>
      <c r="CK852"/>
      <c r="CL852"/>
    </row>
    <row r="853" spans="2:90">
      <c r="B853"/>
      <c r="C853"/>
      <c r="D853" s="11"/>
      <c r="E853"/>
      <c r="F853"/>
      <c r="G853"/>
      <c r="H853"/>
      <c r="I853" s="11"/>
      <c r="J853" s="11"/>
      <c r="K853" s="11"/>
      <c r="L853"/>
      <c r="M853" s="11"/>
      <c r="N853" s="11"/>
      <c r="O853" s="11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 s="11"/>
      <c r="AD853"/>
      <c r="AE853" s="11"/>
      <c r="AF853" s="11"/>
      <c r="AG853" s="11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 s="11"/>
      <c r="CE853"/>
      <c r="CF853"/>
      <c r="CG853"/>
      <c r="CH853"/>
      <c r="CI853"/>
      <c r="CJ853"/>
      <c r="CK853"/>
      <c r="CL853"/>
    </row>
    <row r="854" spans="2:90">
      <c r="B854"/>
      <c r="C854"/>
      <c r="D854" s="11"/>
      <c r="E854"/>
      <c r="F854"/>
      <c r="G854"/>
      <c r="H854"/>
      <c r="I854" s="11"/>
      <c r="J854" s="11"/>
      <c r="K854" s="11"/>
      <c r="L854"/>
      <c r="M854" s="11"/>
      <c r="N854" s="11"/>
      <c r="O854" s="11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 s="11"/>
      <c r="AD854"/>
      <c r="AE854" s="11"/>
      <c r="AF854" s="11"/>
      <c r="AG854" s="11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 s="11"/>
      <c r="CE854"/>
      <c r="CF854"/>
      <c r="CG854"/>
      <c r="CH854"/>
      <c r="CI854"/>
      <c r="CJ854"/>
      <c r="CK854"/>
      <c r="CL854"/>
    </row>
    <row r="855" spans="2:90">
      <c r="B855"/>
      <c r="C855"/>
      <c r="D855" s="11"/>
      <c r="E855"/>
      <c r="F855"/>
      <c r="G855"/>
      <c r="H855"/>
      <c r="I855" s="11"/>
      <c r="J855" s="11"/>
      <c r="K855" s="11"/>
      <c r="L855"/>
      <c r="M855" s="11"/>
      <c r="N855" s="11"/>
      <c r="O855" s="11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 s="11"/>
      <c r="AD855"/>
      <c r="AE855" s="11"/>
      <c r="AF855" s="11"/>
      <c r="AG855" s="11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 s="11"/>
      <c r="CE855"/>
      <c r="CF855"/>
      <c r="CG855"/>
      <c r="CH855"/>
      <c r="CI855"/>
      <c r="CJ855"/>
      <c r="CK855"/>
      <c r="CL855"/>
    </row>
    <row r="856" spans="2:90">
      <c r="B856"/>
      <c r="C856"/>
      <c r="D856" s="11"/>
      <c r="E856"/>
      <c r="F856"/>
      <c r="G856"/>
      <c r="H856"/>
      <c r="I856" s="11"/>
      <c r="J856" s="11"/>
      <c r="K856" s="11"/>
      <c r="L856"/>
      <c r="M856" s="11"/>
      <c r="N856" s="11"/>
      <c r="O856" s="11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 s="11"/>
      <c r="AD856"/>
      <c r="AE856" s="11"/>
      <c r="AF856" s="11"/>
      <c r="AG856" s="11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 s="11"/>
      <c r="CE856"/>
      <c r="CF856"/>
      <c r="CG856"/>
      <c r="CH856"/>
      <c r="CI856"/>
      <c r="CJ856"/>
      <c r="CK856"/>
      <c r="CL856"/>
    </row>
    <row r="857" spans="2:90">
      <c r="B857"/>
      <c r="C857"/>
      <c r="D857" s="11"/>
      <c r="E857"/>
      <c r="F857"/>
      <c r="G857"/>
      <c r="H857"/>
      <c r="I857" s="11"/>
      <c r="J857" s="11"/>
      <c r="K857" s="11"/>
      <c r="L857"/>
      <c r="M857" s="11"/>
      <c r="N857" s="11"/>
      <c r="O857" s="11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 s="11"/>
      <c r="AD857"/>
      <c r="AE857" s="11"/>
      <c r="AF857" s="11"/>
      <c r="AG857" s="11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 s="11"/>
      <c r="CE857"/>
      <c r="CF857"/>
      <c r="CG857"/>
      <c r="CH857"/>
      <c r="CI857"/>
      <c r="CJ857"/>
      <c r="CK857"/>
      <c r="CL857"/>
    </row>
    <row r="858" spans="2:90">
      <c r="B858"/>
      <c r="C858"/>
      <c r="D858" s="11"/>
      <c r="E858"/>
      <c r="F858"/>
      <c r="G858"/>
      <c r="H858"/>
      <c r="I858" s="11"/>
      <c r="J858" s="11"/>
      <c r="K858" s="11"/>
      <c r="L858"/>
      <c r="M858" s="11"/>
      <c r="N858" s="11"/>
      <c r="O858" s="11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 s="11"/>
      <c r="AD858"/>
      <c r="AE858" s="11"/>
      <c r="AF858" s="11"/>
      <c r="AG858" s="11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 s="11"/>
      <c r="CE858"/>
      <c r="CF858"/>
      <c r="CG858"/>
      <c r="CH858"/>
      <c r="CI858"/>
      <c r="CJ858"/>
      <c r="CK858"/>
      <c r="CL858"/>
    </row>
    <row r="859" spans="2:90">
      <c r="B859"/>
      <c r="C859"/>
      <c r="D859" s="11"/>
      <c r="E859"/>
      <c r="F859"/>
      <c r="G859"/>
      <c r="H859"/>
      <c r="I859" s="11"/>
      <c r="J859" s="11"/>
      <c r="K859" s="11"/>
      <c r="L859"/>
      <c r="M859" s="11"/>
      <c r="N859" s="11"/>
      <c r="O859" s="11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 s="11"/>
      <c r="AD859"/>
      <c r="AE859" s="11"/>
      <c r="AF859" s="11"/>
      <c r="AG859" s="11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 s="11"/>
      <c r="CE859"/>
      <c r="CF859"/>
      <c r="CG859"/>
      <c r="CH859"/>
      <c r="CI859"/>
      <c r="CJ859"/>
      <c r="CK859"/>
      <c r="CL859"/>
    </row>
    <row r="860" spans="2:90">
      <c r="B860"/>
      <c r="C860"/>
      <c r="D860" s="11"/>
      <c r="E860"/>
      <c r="F860"/>
      <c r="G860"/>
      <c r="H860"/>
      <c r="I860" s="11"/>
      <c r="J860" s="11"/>
      <c r="K860" s="11"/>
      <c r="L860"/>
      <c r="M860" s="11"/>
      <c r="N860" s="11"/>
      <c r="O860" s="11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 s="11"/>
      <c r="AD860"/>
      <c r="AE860" s="11"/>
      <c r="AF860" s="11"/>
      <c r="AG860" s="11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 s="11"/>
      <c r="CE860"/>
      <c r="CF860"/>
      <c r="CG860"/>
      <c r="CH860"/>
      <c r="CI860"/>
      <c r="CJ860"/>
      <c r="CK860"/>
      <c r="CL860"/>
    </row>
    <row r="861" spans="2:90">
      <c r="B861"/>
      <c r="C861"/>
      <c r="D861" s="11"/>
      <c r="E861"/>
      <c r="F861"/>
      <c r="G861"/>
      <c r="H861"/>
      <c r="I861" s="11"/>
      <c r="J861" s="11"/>
      <c r="K861" s="11"/>
      <c r="L861"/>
      <c r="M861" s="11"/>
      <c r="N861" s="11"/>
      <c r="O861" s="1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 s="11"/>
      <c r="AD861"/>
      <c r="AE861" s="11"/>
      <c r="AF861" s="11"/>
      <c r="AG861" s="1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 s="11"/>
      <c r="CE861"/>
      <c r="CF861"/>
      <c r="CG861"/>
      <c r="CH861"/>
      <c r="CI861"/>
      <c r="CJ861"/>
      <c r="CK861"/>
      <c r="CL861"/>
    </row>
    <row r="862" spans="2:90">
      <c r="B862"/>
      <c r="C862"/>
      <c r="D862" s="11"/>
      <c r="E862"/>
      <c r="F862"/>
      <c r="G862"/>
      <c r="H862"/>
      <c r="I862" s="11"/>
      <c r="J862" s="11"/>
      <c r="K862" s="11"/>
      <c r="L862"/>
      <c r="M862" s="11"/>
      <c r="N862" s="11"/>
      <c r="O862" s="11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 s="11"/>
      <c r="AD862"/>
      <c r="AE862" s="11"/>
      <c r="AF862" s="11"/>
      <c r="AG862" s="11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 s="11"/>
      <c r="CE862"/>
      <c r="CF862"/>
      <c r="CG862"/>
      <c r="CH862"/>
      <c r="CI862"/>
      <c r="CJ862"/>
      <c r="CK862"/>
      <c r="CL862"/>
    </row>
    <row r="863" spans="2:90">
      <c r="B863"/>
      <c r="C863"/>
      <c r="D863" s="11"/>
      <c r="E863"/>
      <c r="F863"/>
      <c r="G863"/>
      <c r="H863"/>
      <c r="I863" s="11"/>
      <c r="J863" s="11"/>
      <c r="K863" s="11"/>
      <c r="L863"/>
      <c r="M863" s="11"/>
      <c r="N863" s="11"/>
      <c r="O863" s="11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 s="11"/>
      <c r="AD863"/>
      <c r="AE863" s="11"/>
      <c r="AF863" s="11"/>
      <c r="AG863" s="11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 s="11"/>
      <c r="CE863"/>
      <c r="CF863"/>
      <c r="CG863"/>
      <c r="CH863"/>
      <c r="CI863"/>
      <c r="CJ863"/>
      <c r="CK863"/>
      <c r="CL863"/>
    </row>
    <row r="864" spans="2:90">
      <c r="B864"/>
      <c r="C864"/>
      <c r="D864" s="11"/>
      <c r="E864"/>
      <c r="F864"/>
      <c r="G864"/>
      <c r="H864"/>
      <c r="I864" s="11"/>
      <c r="J864" s="11"/>
      <c r="K864" s="11"/>
      <c r="L864"/>
      <c r="M864" s="11"/>
      <c r="N864" s="11"/>
      <c r="O864" s="11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 s="11"/>
      <c r="AD864"/>
      <c r="AE864" s="11"/>
      <c r="AF864" s="11"/>
      <c r="AG864" s="11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 s="11"/>
      <c r="CE864"/>
      <c r="CF864"/>
      <c r="CG864"/>
      <c r="CH864"/>
      <c r="CI864"/>
      <c r="CJ864"/>
      <c r="CK864"/>
      <c r="CL864"/>
    </row>
    <row r="865" spans="2:90">
      <c r="B865"/>
      <c r="C865"/>
      <c r="D865" s="11"/>
      <c r="E865"/>
      <c r="F865"/>
      <c r="G865"/>
      <c r="H865"/>
      <c r="I865" s="11"/>
      <c r="J865" s="11"/>
      <c r="K865" s="11"/>
      <c r="L865"/>
      <c r="M865" s="11"/>
      <c r="N865" s="11"/>
      <c r="O865" s="11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 s="11"/>
      <c r="AD865"/>
      <c r="AE865" s="11"/>
      <c r="AF865" s="11"/>
      <c r="AG865" s="11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 s="11"/>
      <c r="CE865"/>
      <c r="CF865"/>
      <c r="CG865"/>
      <c r="CH865"/>
      <c r="CI865"/>
      <c r="CJ865"/>
      <c r="CK865"/>
      <c r="CL865"/>
    </row>
    <row r="866" spans="2:90">
      <c r="B866"/>
      <c r="C866"/>
      <c r="D866" s="11"/>
      <c r="E866"/>
      <c r="F866"/>
      <c r="G866"/>
      <c r="H866"/>
      <c r="I866" s="11"/>
      <c r="J866" s="11"/>
      <c r="K866" s="11"/>
      <c r="L866"/>
      <c r="M866" s="11"/>
      <c r="N866" s="11"/>
      <c r="O866" s="11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 s="11"/>
      <c r="AD866"/>
      <c r="AE866" s="11"/>
      <c r="AF866" s="11"/>
      <c r="AG866" s="11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 s="11"/>
      <c r="CE866"/>
      <c r="CF866"/>
      <c r="CG866"/>
      <c r="CH866"/>
      <c r="CI866"/>
      <c r="CJ866"/>
      <c r="CK866"/>
      <c r="CL866"/>
    </row>
    <row r="867" spans="2:90">
      <c r="B867"/>
      <c r="C867"/>
      <c r="D867" s="11"/>
      <c r="E867"/>
      <c r="F867"/>
      <c r="G867"/>
      <c r="H867"/>
      <c r="I867" s="11"/>
      <c r="J867" s="11"/>
      <c r="K867" s="11"/>
      <c r="L867"/>
      <c r="M867" s="11"/>
      <c r="N867" s="11"/>
      <c r="O867" s="11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 s="11"/>
      <c r="AD867"/>
      <c r="AE867" s="11"/>
      <c r="AF867" s="11"/>
      <c r="AG867" s="11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 s="11"/>
      <c r="CE867"/>
      <c r="CF867"/>
      <c r="CG867"/>
      <c r="CH867"/>
      <c r="CI867"/>
      <c r="CJ867"/>
      <c r="CK867"/>
      <c r="CL867"/>
    </row>
    <row r="868" spans="2:90">
      <c r="B868"/>
      <c r="C868"/>
      <c r="D868" s="11"/>
      <c r="E868"/>
      <c r="F868"/>
      <c r="G868"/>
      <c r="H868"/>
      <c r="I868" s="11"/>
      <c r="J868" s="11"/>
      <c r="K868" s="11"/>
      <c r="L868"/>
      <c r="M868" s="11"/>
      <c r="N868" s="11"/>
      <c r="O868" s="11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 s="11"/>
      <c r="AD868"/>
      <c r="AE868" s="11"/>
      <c r="AF868" s="11"/>
      <c r="AG868" s="11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 s="11"/>
      <c r="CE868"/>
      <c r="CF868"/>
      <c r="CG868"/>
      <c r="CH868"/>
      <c r="CI868"/>
      <c r="CJ868"/>
      <c r="CK868"/>
      <c r="CL868"/>
    </row>
    <row r="869" spans="2:90">
      <c r="B869"/>
      <c r="C869"/>
      <c r="D869" s="11"/>
      <c r="E869"/>
      <c r="F869"/>
      <c r="G869"/>
      <c r="H869"/>
      <c r="I869" s="11"/>
      <c r="J869" s="11"/>
      <c r="K869" s="11"/>
      <c r="L869"/>
      <c r="M869" s="11"/>
      <c r="N869" s="11"/>
      <c r="O869" s="11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 s="11"/>
      <c r="AD869"/>
      <c r="AE869" s="11"/>
      <c r="AF869" s="11"/>
      <c r="AG869" s="11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 s="11"/>
      <c r="CE869"/>
      <c r="CF869"/>
      <c r="CG869"/>
      <c r="CH869"/>
      <c r="CI869"/>
      <c r="CJ869"/>
      <c r="CK869"/>
      <c r="CL869"/>
    </row>
    <row r="870" spans="2:90">
      <c r="B870"/>
      <c r="C870"/>
      <c r="D870" s="11"/>
      <c r="E870"/>
      <c r="F870"/>
      <c r="G870"/>
      <c r="H870"/>
      <c r="I870" s="11"/>
      <c r="J870" s="11"/>
      <c r="K870" s="11"/>
      <c r="L870"/>
      <c r="M870" s="11"/>
      <c r="N870" s="11"/>
      <c r="O870" s="11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 s="11"/>
      <c r="AD870"/>
      <c r="AE870" s="11"/>
      <c r="AF870" s="11"/>
      <c r="AG870" s="11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 s="11"/>
      <c r="CE870"/>
      <c r="CF870"/>
      <c r="CG870"/>
      <c r="CH870"/>
      <c r="CI870"/>
      <c r="CJ870"/>
      <c r="CK870"/>
      <c r="CL870"/>
    </row>
    <row r="871" spans="2:90">
      <c r="B871"/>
      <c r="C871"/>
      <c r="D871" s="11"/>
      <c r="E871"/>
      <c r="F871"/>
      <c r="G871"/>
      <c r="H871"/>
      <c r="I871" s="11"/>
      <c r="J871" s="11"/>
      <c r="K871" s="11"/>
      <c r="L871"/>
      <c r="M871" s="11"/>
      <c r="N871" s="11"/>
      <c r="O871" s="1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 s="11"/>
      <c r="AD871"/>
      <c r="AE871" s="11"/>
      <c r="AF871" s="11"/>
      <c r="AG871" s="1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 s="11"/>
      <c r="CE871"/>
      <c r="CF871"/>
      <c r="CG871"/>
      <c r="CH871"/>
      <c r="CI871"/>
      <c r="CJ871"/>
      <c r="CK871"/>
      <c r="CL871"/>
    </row>
    <row r="872" spans="2:90">
      <c r="B872"/>
      <c r="C872"/>
      <c r="D872" s="11"/>
      <c r="E872"/>
      <c r="F872"/>
      <c r="G872"/>
      <c r="H872"/>
      <c r="I872" s="11"/>
      <c r="J872" s="11"/>
      <c r="K872" s="11"/>
      <c r="L872"/>
      <c r="M872" s="11"/>
      <c r="N872" s="11"/>
      <c r="O872" s="11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 s="11"/>
      <c r="AD872"/>
      <c r="AE872" s="11"/>
      <c r="AF872" s="11"/>
      <c r="AG872" s="11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 s="11"/>
      <c r="CE872"/>
      <c r="CF872"/>
      <c r="CG872"/>
      <c r="CH872"/>
      <c r="CI872"/>
      <c r="CJ872"/>
      <c r="CK872"/>
      <c r="CL872"/>
    </row>
    <row r="873" spans="2:90">
      <c r="B873"/>
      <c r="C873"/>
      <c r="D873" s="11"/>
      <c r="E873"/>
      <c r="F873"/>
      <c r="G873"/>
      <c r="H873"/>
      <c r="I873" s="11"/>
      <c r="J873" s="11"/>
      <c r="K873" s="11"/>
      <c r="L873"/>
      <c r="M873" s="11"/>
      <c r="N873" s="11"/>
      <c r="O873" s="11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 s="11"/>
      <c r="AD873"/>
      <c r="AE873" s="11"/>
      <c r="AF873" s="11"/>
      <c r="AG873" s="11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 s="11"/>
      <c r="CE873"/>
      <c r="CF873"/>
      <c r="CG873"/>
      <c r="CH873"/>
      <c r="CI873"/>
      <c r="CJ873"/>
      <c r="CK873"/>
      <c r="CL873"/>
    </row>
    <row r="874" spans="2:90">
      <c r="B874"/>
      <c r="C874"/>
      <c r="D874" s="11"/>
      <c r="E874"/>
      <c r="F874"/>
      <c r="G874"/>
      <c r="H874"/>
      <c r="I874" s="11"/>
      <c r="J874" s="11"/>
      <c r="K874" s="11"/>
      <c r="L874"/>
      <c r="M874" s="11"/>
      <c r="N874" s="11"/>
      <c r="O874" s="11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 s="11"/>
      <c r="AD874"/>
      <c r="AE874" s="11"/>
      <c r="AF874" s="11"/>
      <c r="AG874" s="11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 s="11"/>
      <c r="CE874"/>
      <c r="CF874"/>
      <c r="CG874"/>
      <c r="CH874"/>
      <c r="CI874"/>
      <c r="CJ874"/>
      <c r="CK874"/>
      <c r="CL874"/>
    </row>
    <row r="875" spans="2:90">
      <c r="B875"/>
      <c r="C875"/>
      <c r="D875" s="11"/>
      <c r="E875"/>
      <c r="F875"/>
      <c r="G875"/>
      <c r="H875"/>
      <c r="I875" s="11"/>
      <c r="J875" s="11"/>
      <c r="K875" s="11"/>
      <c r="L875"/>
      <c r="M875" s="11"/>
      <c r="N875" s="11"/>
      <c r="O875" s="11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 s="11"/>
      <c r="AD875"/>
      <c r="AE875" s="11"/>
      <c r="AF875" s="11"/>
      <c r="AG875" s="11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 s="11"/>
      <c r="CE875"/>
      <c r="CF875"/>
      <c r="CG875"/>
      <c r="CH875"/>
      <c r="CI875"/>
      <c r="CJ875"/>
      <c r="CK875"/>
      <c r="CL875"/>
    </row>
    <row r="876" spans="2:90">
      <c r="B876"/>
      <c r="C876"/>
      <c r="D876" s="11"/>
      <c r="E876"/>
      <c r="F876"/>
      <c r="G876"/>
      <c r="H876"/>
      <c r="I876" s="11"/>
      <c r="J876" s="11"/>
      <c r="K876" s="11"/>
      <c r="L876"/>
      <c r="M876" s="11"/>
      <c r="N876" s="11"/>
      <c r="O876" s="11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 s="11"/>
      <c r="AD876"/>
      <c r="AE876" s="11"/>
      <c r="AF876" s="11"/>
      <c r="AG876" s="11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 s="11"/>
      <c r="CE876"/>
      <c r="CF876"/>
      <c r="CG876"/>
      <c r="CH876"/>
      <c r="CI876"/>
      <c r="CJ876"/>
      <c r="CK876"/>
      <c r="CL876"/>
    </row>
    <row r="877" spans="2:90">
      <c r="B877"/>
      <c r="C877"/>
      <c r="D877" s="11"/>
      <c r="E877"/>
      <c r="F877"/>
      <c r="G877"/>
      <c r="H877"/>
      <c r="I877" s="11"/>
      <c r="J877" s="11"/>
      <c r="K877" s="11"/>
      <c r="L877"/>
      <c r="M877" s="11"/>
      <c r="N877" s="11"/>
      <c r="O877" s="11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 s="11"/>
      <c r="AD877"/>
      <c r="AE877" s="11"/>
      <c r="AF877" s="11"/>
      <c r="AG877" s="11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 s="11"/>
      <c r="CE877"/>
      <c r="CF877"/>
      <c r="CG877"/>
      <c r="CH877"/>
      <c r="CI877"/>
      <c r="CJ877"/>
      <c r="CK877"/>
      <c r="CL877"/>
    </row>
    <row r="878" spans="2:90">
      <c r="B878"/>
      <c r="C878"/>
      <c r="D878" s="11"/>
      <c r="E878"/>
      <c r="F878"/>
      <c r="G878"/>
      <c r="H878"/>
      <c r="I878" s="11"/>
      <c r="J878" s="11"/>
      <c r="K878" s="11"/>
      <c r="L878"/>
      <c r="M878" s="11"/>
      <c r="N878" s="11"/>
      <c r="O878" s="11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 s="11"/>
      <c r="AD878"/>
      <c r="AE878" s="11"/>
      <c r="AF878" s="11"/>
      <c r="AG878" s="11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 s="11"/>
      <c r="CE878"/>
      <c r="CF878"/>
      <c r="CG878"/>
      <c r="CH878"/>
      <c r="CI878"/>
      <c r="CJ878"/>
      <c r="CK878"/>
      <c r="CL878"/>
    </row>
    <row r="879" spans="2:90">
      <c r="B879"/>
      <c r="C879"/>
      <c r="D879" s="11"/>
      <c r="E879"/>
      <c r="F879"/>
      <c r="G879"/>
      <c r="H879"/>
      <c r="I879" s="11"/>
      <c r="J879" s="11"/>
      <c r="K879" s="11"/>
      <c r="L879"/>
      <c r="M879" s="11"/>
      <c r="N879" s="11"/>
      <c r="O879" s="11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 s="11"/>
      <c r="AD879"/>
      <c r="AE879" s="11"/>
      <c r="AF879" s="11"/>
      <c r="AG879" s="11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 s="11"/>
      <c r="CE879"/>
      <c r="CF879"/>
      <c r="CG879"/>
      <c r="CH879"/>
      <c r="CI879"/>
      <c r="CJ879"/>
      <c r="CK879"/>
      <c r="CL879"/>
    </row>
    <row r="880" spans="2:90">
      <c r="B880"/>
      <c r="C880"/>
      <c r="D880" s="11"/>
      <c r="E880"/>
      <c r="F880"/>
      <c r="G880"/>
      <c r="H880"/>
      <c r="I880" s="11"/>
      <c r="J880" s="11"/>
      <c r="K880" s="11"/>
      <c r="L880"/>
      <c r="M880" s="11"/>
      <c r="N880" s="11"/>
      <c r="O880" s="11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 s="11"/>
      <c r="AD880"/>
      <c r="AE880" s="11"/>
      <c r="AF880" s="11"/>
      <c r="AG880" s="11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 s="11"/>
      <c r="CE880"/>
      <c r="CF880"/>
      <c r="CG880"/>
      <c r="CH880"/>
      <c r="CI880"/>
      <c r="CJ880"/>
      <c r="CK880"/>
      <c r="CL880"/>
    </row>
    <row r="881" spans="2:90">
      <c r="B881"/>
      <c r="C881"/>
      <c r="D881" s="11"/>
      <c r="E881"/>
      <c r="F881"/>
      <c r="G881"/>
      <c r="H881"/>
      <c r="I881" s="11"/>
      <c r="J881" s="11"/>
      <c r="K881" s="11"/>
      <c r="L881"/>
      <c r="M881" s="11"/>
      <c r="N881" s="11"/>
      <c r="O881" s="1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 s="11"/>
      <c r="AD881"/>
      <c r="AE881" s="11"/>
      <c r="AF881" s="11"/>
      <c r="AG881" s="1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 s="11"/>
      <c r="CE881"/>
      <c r="CF881"/>
      <c r="CG881"/>
      <c r="CH881"/>
      <c r="CI881"/>
      <c r="CJ881"/>
      <c r="CK881"/>
      <c r="CL881"/>
    </row>
    <row r="882" spans="2:90">
      <c r="B882"/>
      <c r="C882"/>
      <c r="D882" s="11"/>
      <c r="E882"/>
      <c r="F882"/>
      <c r="G882"/>
      <c r="H882"/>
      <c r="I882" s="11"/>
      <c r="J882" s="11"/>
      <c r="K882" s="11"/>
      <c r="L882"/>
      <c r="M882" s="11"/>
      <c r="N882" s="11"/>
      <c r="O882" s="11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 s="11"/>
      <c r="AD882"/>
      <c r="AE882" s="11"/>
      <c r="AF882" s="11"/>
      <c r="AG882" s="11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 s="11"/>
      <c r="CE882"/>
      <c r="CF882"/>
      <c r="CG882"/>
      <c r="CH882"/>
      <c r="CI882"/>
      <c r="CJ882"/>
      <c r="CK882"/>
      <c r="CL882"/>
    </row>
    <row r="883" spans="2:90">
      <c r="B883"/>
      <c r="C883"/>
      <c r="D883" s="11"/>
      <c r="E883"/>
      <c r="F883"/>
      <c r="G883"/>
      <c r="H883"/>
      <c r="I883" s="11"/>
      <c r="J883" s="11"/>
      <c r="K883" s="11"/>
      <c r="L883"/>
      <c r="M883" s="11"/>
      <c r="N883" s="11"/>
      <c r="O883" s="11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 s="11"/>
      <c r="AD883"/>
      <c r="AE883" s="11"/>
      <c r="AF883" s="11"/>
      <c r="AG883" s="11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 s="11"/>
      <c r="CE883"/>
      <c r="CF883"/>
      <c r="CG883"/>
      <c r="CH883"/>
      <c r="CI883"/>
      <c r="CJ883"/>
      <c r="CK883"/>
      <c r="CL883"/>
    </row>
    <row r="884" spans="2:90">
      <c r="B884"/>
      <c r="C884"/>
      <c r="D884" s="11"/>
      <c r="E884"/>
      <c r="F884"/>
      <c r="G884"/>
      <c r="H884"/>
      <c r="I884" s="11"/>
      <c r="J884" s="11"/>
      <c r="K884" s="11"/>
      <c r="L884"/>
      <c r="M884" s="11"/>
      <c r="N884" s="11"/>
      <c r="O884" s="11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 s="11"/>
      <c r="AD884"/>
      <c r="AE884" s="11"/>
      <c r="AF884" s="11"/>
      <c r="AG884" s="11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 s="11"/>
      <c r="CE884"/>
      <c r="CF884"/>
      <c r="CG884"/>
      <c r="CH884"/>
      <c r="CI884"/>
      <c r="CJ884"/>
      <c r="CK884"/>
      <c r="CL884"/>
    </row>
    <row r="885" spans="2:90">
      <c r="B885"/>
      <c r="C885"/>
      <c r="D885" s="11"/>
      <c r="E885"/>
      <c r="F885"/>
      <c r="G885"/>
      <c r="H885"/>
      <c r="I885" s="11"/>
      <c r="J885" s="11"/>
      <c r="K885" s="11"/>
      <c r="L885"/>
      <c r="M885" s="11"/>
      <c r="N885" s="11"/>
      <c r="O885" s="11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 s="11"/>
      <c r="AD885"/>
      <c r="AE885" s="11"/>
      <c r="AF885" s="11"/>
      <c r="AG885" s="11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 s="11"/>
      <c r="CE885"/>
      <c r="CF885"/>
      <c r="CG885"/>
      <c r="CH885"/>
      <c r="CI885"/>
      <c r="CJ885"/>
      <c r="CK885"/>
      <c r="CL885"/>
    </row>
    <row r="886" spans="2:90">
      <c r="B886"/>
      <c r="C886"/>
      <c r="D886" s="11"/>
      <c r="E886"/>
      <c r="F886"/>
      <c r="G886"/>
      <c r="H886"/>
      <c r="I886" s="11"/>
      <c r="J886" s="11"/>
      <c r="K886" s="11"/>
      <c r="L886"/>
      <c r="M886" s="11"/>
      <c r="N886" s="11"/>
      <c r="O886" s="11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 s="11"/>
      <c r="AD886"/>
      <c r="AE886" s="11"/>
      <c r="AF886" s="11"/>
      <c r="AG886" s="11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 s="11"/>
      <c r="CE886"/>
      <c r="CF886"/>
      <c r="CG886"/>
      <c r="CH886"/>
      <c r="CI886"/>
      <c r="CJ886"/>
      <c r="CK886"/>
      <c r="CL886"/>
    </row>
    <row r="887" spans="2:90">
      <c r="B887"/>
      <c r="C887"/>
      <c r="D887" s="11"/>
      <c r="E887"/>
      <c r="F887"/>
      <c r="G887"/>
      <c r="H887"/>
      <c r="I887" s="11"/>
      <c r="J887" s="11"/>
      <c r="K887" s="11"/>
      <c r="L887"/>
      <c r="M887" s="11"/>
      <c r="N887" s="11"/>
      <c r="O887" s="11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 s="11"/>
      <c r="AD887"/>
      <c r="AE887" s="11"/>
      <c r="AF887" s="11"/>
      <c r="AG887" s="11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 s="11"/>
      <c r="CE887"/>
      <c r="CF887"/>
      <c r="CG887"/>
      <c r="CH887"/>
      <c r="CI887"/>
      <c r="CJ887"/>
      <c r="CK887"/>
      <c r="CL887"/>
    </row>
    <row r="888" spans="2:90">
      <c r="B888"/>
      <c r="C888"/>
      <c r="D888" s="11"/>
      <c r="E888"/>
      <c r="F888"/>
      <c r="G888"/>
      <c r="H888"/>
      <c r="I888" s="11"/>
      <c r="J888" s="11"/>
      <c r="K888" s="11"/>
      <c r="L888"/>
      <c r="M888" s="11"/>
      <c r="N888" s="11"/>
      <c r="O888" s="11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 s="11"/>
      <c r="AD888"/>
      <c r="AE888" s="11"/>
      <c r="AF888" s="11"/>
      <c r="AG888" s="11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 s="11"/>
      <c r="CE888"/>
      <c r="CF888"/>
      <c r="CG888"/>
      <c r="CH888"/>
      <c r="CI888"/>
      <c r="CJ888"/>
      <c r="CK888"/>
      <c r="CL888"/>
    </row>
    <row r="889" spans="2:90">
      <c r="B889"/>
      <c r="C889"/>
      <c r="D889" s="11"/>
      <c r="E889"/>
      <c r="F889"/>
      <c r="G889"/>
      <c r="H889"/>
      <c r="I889" s="11"/>
      <c r="J889" s="11"/>
      <c r="K889" s="11"/>
      <c r="L889"/>
      <c r="M889" s="11"/>
      <c r="N889" s="11"/>
      <c r="O889" s="11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 s="11"/>
      <c r="AD889"/>
      <c r="AE889" s="11"/>
      <c r="AF889" s="11"/>
      <c r="AG889" s="11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 s="11"/>
      <c r="CE889"/>
      <c r="CF889"/>
      <c r="CG889"/>
      <c r="CH889"/>
      <c r="CI889"/>
      <c r="CJ889"/>
      <c r="CK889"/>
      <c r="CL889"/>
    </row>
    <row r="890" spans="2:90">
      <c r="B890"/>
      <c r="C890"/>
      <c r="D890" s="11"/>
      <c r="E890"/>
      <c r="F890"/>
      <c r="G890"/>
      <c r="H890"/>
      <c r="I890" s="11"/>
      <c r="J890" s="11"/>
      <c r="K890" s="11"/>
      <c r="L890"/>
      <c r="M890" s="11"/>
      <c r="N890" s="11"/>
      <c r="O890" s="11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 s="11"/>
      <c r="AD890"/>
      <c r="AE890" s="11"/>
      <c r="AF890" s="11"/>
      <c r="AG890" s="11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 s="11"/>
      <c r="CE890"/>
      <c r="CF890"/>
      <c r="CG890"/>
      <c r="CH890"/>
      <c r="CI890"/>
      <c r="CJ890"/>
      <c r="CK890"/>
      <c r="CL890"/>
    </row>
    <row r="891" spans="2:90">
      <c r="B891"/>
      <c r="C891"/>
      <c r="D891" s="11"/>
      <c r="E891"/>
      <c r="F891"/>
      <c r="G891"/>
      <c r="H891"/>
      <c r="I891" s="11"/>
      <c r="J891" s="11"/>
      <c r="K891" s="11"/>
      <c r="L891"/>
      <c r="M891" s="11"/>
      <c r="N891" s="11"/>
      <c r="O891" s="1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 s="11"/>
      <c r="AD891"/>
      <c r="AE891" s="11"/>
      <c r="AF891" s="11"/>
      <c r="AG891" s="1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 s="11"/>
      <c r="CE891"/>
      <c r="CF891"/>
      <c r="CG891"/>
      <c r="CH891"/>
      <c r="CI891"/>
      <c r="CJ891"/>
      <c r="CK891"/>
      <c r="CL891"/>
    </row>
    <row r="892" spans="2:90">
      <c r="B892"/>
      <c r="C892"/>
      <c r="D892" s="11"/>
      <c r="E892"/>
      <c r="F892"/>
      <c r="G892"/>
      <c r="H892"/>
      <c r="I892" s="11"/>
      <c r="J892" s="11"/>
      <c r="K892" s="11"/>
      <c r="L892"/>
      <c r="M892" s="11"/>
      <c r="N892" s="11"/>
      <c r="O892" s="11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 s="11"/>
      <c r="AD892"/>
      <c r="AE892" s="11"/>
      <c r="AF892" s="11"/>
      <c r="AG892" s="11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 s="11"/>
      <c r="CE892"/>
      <c r="CF892"/>
      <c r="CG892"/>
      <c r="CH892"/>
      <c r="CI892"/>
      <c r="CJ892"/>
      <c r="CK892"/>
      <c r="CL892"/>
    </row>
    <row r="893" spans="2:90">
      <c r="B893"/>
      <c r="C893"/>
      <c r="D893" s="11"/>
      <c r="E893"/>
      <c r="F893"/>
      <c r="G893"/>
      <c r="H893"/>
      <c r="I893" s="11"/>
      <c r="J893" s="11"/>
      <c r="K893" s="11"/>
      <c r="L893"/>
      <c r="M893" s="11"/>
      <c r="N893" s="11"/>
      <c r="O893" s="11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 s="11"/>
      <c r="AD893"/>
      <c r="AE893" s="11"/>
      <c r="AF893" s="11"/>
      <c r="AG893" s="11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 s="11"/>
      <c r="CE893"/>
      <c r="CF893"/>
      <c r="CG893"/>
      <c r="CH893"/>
      <c r="CI893"/>
      <c r="CJ893"/>
      <c r="CK893"/>
      <c r="CL893"/>
    </row>
    <row r="894" spans="2:90">
      <c r="B894"/>
      <c r="C894"/>
      <c r="D894" s="11"/>
      <c r="E894"/>
      <c r="F894"/>
      <c r="G894"/>
      <c r="H894"/>
      <c r="I894" s="11"/>
      <c r="J894" s="11"/>
      <c r="K894" s="11"/>
      <c r="L894"/>
      <c r="M894" s="11"/>
      <c r="N894" s="11"/>
      <c r="O894" s="11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 s="11"/>
      <c r="AD894"/>
      <c r="AE894" s="11"/>
      <c r="AF894" s="11"/>
      <c r="AG894" s="11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 s="11"/>
      <c r="CE894"/>
      <c r="CF894"/>
      <c r="CG894"/>
      <c r="CH894"/>
      <c r="CI894"/>
      <c r="CJ894"/>
      <c r="CK894"/>
      <c r="CL894"/>
    </row>
    <row r="895" spans="2:90">
      <c r="B895"/>
      <c r="C895"/>
      <c r="D895" s="11"/>
      <c r="E895"/>
      <c r="F895"/>
      <c r="G895"/>
      <c r="H895"/>
      <c r="I895" s="11"/>
      <c r="J895" s="11"/>
      <c r="K895" s="11"/>
      <c r="L895"/>
      <c r="M895" s="11"/>
      <c r="N895" s="11"/>
      <c r="O895" s="11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 s="11"/>
      <c r="AD895"/>
      <c r="AE895" s="11"/>
      <c r="AF895" s="11"/>
      <c r="AG895" s="11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 s="11"/>
      <c r="CE895"/>
      <c r="CF895"/>
      <c r="CG895"/>
      <c r="CH895"/>
      <c r="CI895"/>
      <c r="CJ895"/>
      <c r="CK895"/>
      <c r="CL895"/>
    </row>
    <row r="896" spans="2:90">
      <c r="B896"/>
      <c r="C896"/>
      <c r="D896" s="11"/>
      <c r="E896"/>
      <c r="F896"/>
      <c r="G896"/>
      <c r="H896"/>
      <c r="I896" s="11"/>
      <c r="J896" s="11"/>
      <c r="K896" s="11"/>
      <c r="L896"/>
      <c r="M896" s="11"/>
      <c r="N896" s="11"/>
      <c r="O896" s="11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 s="11"/>
      <c r="AD896"/>
      <c r="AE896" s="11"/>
      <c r="AF896" s="11"/>
      <c r="AG896" s="11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 s="11"/>
      <c r="CE896"/>
      <c r="CF896"/>
      <c r="CG896"/>
      <c r="CH896"/>
      <c r="CI896"/>
      <c r="CJ896"/>
      <c r="CK896"/>
      <c r="CL896"/>
    </row>
    <row r="897" spans="2:90">
      <c r="B897"/>
      <c r="C897"/>
      <c r="D897" s="11"/>
      <c r="E897"/>
      <c r="F897"/>
      <c r="G897"/>
      <c r="H897"/>
      <c r="I897" s="11"/>
      <c r="J897" s="11"/>
      <c r="K897" s="11"/>
      <c r="L897"/>
      <c r="M897" s="11"/>
      <c r="N897" s="11"/>
      <c r="O897" s="11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 s="11"/>
      <c r="AD897"/>
      <c r="AE897" s="11"/>
      <c r="AF897" s="11"/>
      <c r="AG897" s="11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 s="11"/>
      <c r="CE897"/>
      <c r="CF897"/>
      <c r="CG897"/>
      <c r="CH897"/>
      <c r="CI897"/>
      <c r="CJ897"/>
      <c r="CK897"/>
      <c r="CL897"/>
    </row>
    <row r="898" spans="2:90">
      <c r="B898"/>
      <c r="C898"/>
      <c r="D898" s="11"/>
      <c r="E898"/>
      <c r="F898"/>
      <c r="G898"/>
      <c r="H898"/>
      <c r="I898" s="11"/>
      <c r="J898" s="11"/>
      <c r="K898" s="11"/>
      <c r="L898"/>
      <c r="M898" s="11"/>
      <c r="N898" s="11"/>
      <c r="O898" s="11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 s="11"/>
      <c r="AD898"/>
      <c r="AE898" s="11"/>
      <c r="AF898" s="11"/>
      <c r="AG898" s="11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 s="11"/>
      <c r="CE898"/>
      <c r="CF898"/>
      <c r="CG898"/>
      <c r="CH898"/>
      <c r="CI898"/>
      <c r="CJ898"/>
      <c r="CK898"/>
      <c r="CL898"/>
    </row>
    <row r="899" spans="2:90">
      <c r="B899"/>
      <c r="C899"/>
      <c r="D899" s="11"/>
      <c r="E899"/>
      <c r="F899"/>
      <c r="G899"/>
      <c r="H899"/>
      <c r="I899" s="11"/>
      <c r="J899" s="11"/>
      <c r="K899" s="11"/>
      <c r="L899"/>
      <c r="M899" s="11"/>
      <c r="N899" s="11"/>
      <c r="O899" s="11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 s="11"/>
      <c r="AD899"/>
      <c r="AE899" s="11"/>
      <c r="AF899" s="11"/>
      <c r="AG899" s="11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 s="11"/>
      <c r="CE899"/>
      <c r="CF899"/>
      <c r="CG899"/>
      <c r="CH899"/>
      <c r="CI899"/>
      <c r="CJ899"/>
      <c r="CK899"/>
      <c r="CL899"/>
    </row>
    <row r="900" spans="2:90">
      <c r="B900"/>
      <c r="C900"/>
      <c r="D900" s="11"/>
      <c r="E900"/>
      <c r="F900"/>
      <c r="G900"/>
      <c r="H900"/>
      <c r="I900" s="11"/>
      <c r="J900" s="11"/>
      <c r="K900" s="11"/>
      <c r="L900"/>
      <c r="M900" s="11"/>
      <c r="N900" s="11"/>
      <c r="O900" s="11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 s="11"/>
      <c r="AD900"/>
      <c r="AE900" s="11"/>
      <c r="AF900" s="11"/>
      <c r="AG900" s="11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 s="11"/>
      <c r="CE900"/>
      <c r="CF900"/>
      <c r="CG900"/>
      <c r="CH900"/>
      <c r="CI900"/>
      <c r="CJ900"/>
      <c r="CK900"/>
      <c r="CL900"/>
    </row>
    <row r="901" spans="2:90">
      <c r="B901"/>
      <c r="C901"/>
      <c r="D901" s="11"/>
      <c r="E901"/>
      <c r="F901"/>
      <c r="G901"/>
      <c r="H901"/>
      <c r="I901" s="11"/>
      <c r="J901" s="11"/>
      <c r="K901" s="11"/>
      <c r="L901"/>
      <c r="M901" s="11"/>
      <c r="N901" s="11"/>
      <c r="O901" s="1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 s="11"/>
      <c r="AD901"/>
      <c r="AE901" s="11"/>
      <c r="AF901" s="11"/>
      <c r="AG901" s="1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 s="11"/>
      <c r="CE901"/>
      <c r="CF901"/>
      <c r="CG901"/>
      <c r="CH901"/>
      <c r="CI901"/>
      <c r="CJ901"/>
      <c r="CK901"/>
      <c r="CL901"/>
    </row>
    <row r="902" spans="2:90">
      <c r="B902"/>
      <c r="C902"/>
      <c r="D902" s="11"/>
      <c r="E902"/>
      <c r="F902"/>
      <c r="G902"/>
      <c r="H902"/>
      <c r="I902" s="11"/>
      <c r="J902" s="11"/>
      <c r="K902" s="11"/>
      <c r="L902"/>
      <c r="M902" s="11"/>
      <c r="N902" s="11"/>
      <c r="O902" s="11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 s="11"/>
      <c r="AD902"/>
      <c r="AE902" s="11"/>
      <c r="AF902" s="11"/>
      <c r="AG902" s="11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 s="11"/>
      <c r="CE902"/>
      <c r="CF902"/>
      <c r="CG902"/>
      <c r="CH902"/>
      <c r="CI902"/>
      <c r="CJ902"/>
      <c r="CK902"/>
      <c r="CL902"/>
    </row>
    <row r="903" spans="2:90">
      <c r="B903"/>
      <c r="C903"/>
      <c r="D903" s="11"/>
      <c r="E903"/>
      <c r="F903"/>
      <c r="G903"/>
      <c r="H903"/>
      <c r="I903" s="11"/>
      <c r="J903" s="11"/>
      <c r="K903" s="11"/>
      <c r="L903"/>
      <c r="M903" s="11"/>
      <c r="N903" s="11"/>
      <c r="O903" s="11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 s="11"/>
      <c r="AD903"/>
      <c r="AE903" s="11"/>
      <c r="AF903" s="11"/>
      <c r="AG903" s="11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 s="11"/>
      <c r="CE903"/>
      <c r="CF903"/>
      <c r="CG903"/>
      <c r="CH903"/>
      <c r="CI903"/>
      <c r="CJ903"/>
      <c r="CK903"/>
      <c r="CL903"/>
    </row>
    <row r="904" spans="2:90">
      <c r="B904"/>
      <c r="C904"/>
      <c r="D904" s="11"/>
      <c r="E904"/>
      <c r="F904"/>
      <c r="G904"/>
      <c r="H904"/>
      <c r="I904" s="11"/>
      <c r="J904" s="11"/>
      <c r="K904" s="11"/>
      <c r="L904"/>
      <c r="M904" s="11"/>
      <c r="N904" s="11"/>
      <c r="O904" s="11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 s="11"/>
      <c r="AD904"/>
      <c r="AE904" s="11"/>
      <c r="AF904" s="11"/>
      <c r="AG904" s="11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 s="11"/>
      <c r="CE904"/>
      <c r="CF904"/>
      <c r="CG904"/>
      <c r="CH904"/>
      <c r="CI904"/>
      <c r="CJ904"/>
      <c r="CK904"/>
      <c r="CL904"/>
    </row>
    <row r="905" spans="2:90">
      <c r="B905"/>
      <c r="C905"/>
      <c r="D905" s="11"/>
      <c r="E905"/>
      <c r="F905"/>
      <c r="G905"/>
      <c r="H905"/>
      <c r="I905" s="11"/>
      <c r="J905" s="11"/>
      <c r="K905" s="11"/>
      <c r="L905"/>
      <c r="M905" s="11"/>
      <c r="N905" s="11"/>
      <c r="O905" s="11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 s="11"/>
      <c r="AD905"/>
      <c r="AE905" s="11"/>
      <c r="AF905" s="11"/>
      <c r="AG905" s="11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 s="11"/>
      <c r="CE905"/>
      <c r="CF905"/>
      <c r="CG905"/>
      <c r="CH905"/>
      <c r="CI905"/>
      <c r="CJ905"/>
      <c r="CK905"/>
      <c r="CL905"/>
    </row>
    <row r="906" spans="2:90">
      <c r="B906"/>
      <c r="C906"/>
      <c r="D906" s="11"/>
      <c r="E906"/>
      <c r="F906"/>
      <c r="G906"/>
      <c r="H906"/>
      <c r="I906" s="11"/>
      <c r="J906" s="11"/>
      <c r="K906" s="11"/>
      <c r="L906"/>
      <c r="M906" s="11"/>
      <c r="N906" s="11"/>
      <c r="O906" s="11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 s="11"/>
      <c r="AD906"/>
      <c r="AE906" s="11"/>
      <c r="AF906" s="11"/>
      <c r="AG906" s="11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 s="11"/>
      <c r="CE906"/>
      <c r="CF906"/>
      <c r="CG906"/>
      <c r="CH906"/>
      <c r="CI906"/>
      <c r="CJ906"/>
      <c r="CK906"/>
      <c r="CL906"/>
    </row>
    <row r="907" spans="2:90">
      <c r="B907"/>
      <c r="C907"/>
      <c r="D907" s="11"/>
      <c r="E907"/>
      <c r="F907"/>
      <c r="G907"/>
      <c r="H907"/>
      <c r="I907" s="11"/>
      <c r="J907" s="11"/>
      <c r="K907" s="11"/>
      <c r="L907"/>
      <c r="M907" s="11"/>
      <c r="N907" s="11"/>
      <c r="O907" s="11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 s="11"/>
      <c r="AD907"/>
      <c r="AE907" s="11"/>
      <c r="AF907" s="11"/>
      <c r="AG907" s="11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 s="11"/>
      <c r="CE907"/>
      <c r="CF907"/>
      <c r="CG907"/>
      <c r="CH907"/>
      <c r="CI907"/>
      <c r="CJ907"/>
      <c r="CK907"/>
      <c r="CL907"/>
    </row>
    <row r="908" spans="2:90">
      <c r="B908"/>
      <c r="C908"/>
      <c r="D908" s="11"/>
      <c r="E908"/>
      <c r="F908"/>
      <c r="G908"/>
      <c r="H908"/>
      <c r="I908" s="11"/>
      <c r="J908" s="11"/>
      <c r="K908" s="11"/>
      <c r="L908"/>
      <c r="M908" s="11"/>
      <c r="N908" s="11"/>
      <c r="O908" s="11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 s="11"/>
      <c r="AD908"/>
      <c r="AE908" s="11"/>
      <c r="AF908" s="11"/>
      <c r="AG908" s="11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 s="11"/>
      <c r="CE908"/>
      <c r="CF908"/>
      <c r="CG908"/>
      <c r="CH908"/>
      <c r="CI908"/>
      <c r="CJ908"/>
      <c r="CK908"/>
      <c r="CL908"/>
    </row>
    <row r="909" spans="2:90">
      <c r="B909"/>
      <c r="C909"/>
      <c r="D909" s="11"/>
      <c r="E909"/>
      <c r="F909"/>
      <c r="G909"/>
      <c r="H909"/>
      <c r="I909" s="11"/>
      <c r="J909" s="11"/>
      <c r="K909" s="11"/>
      <c r="L909"/>
      <c r="M909" s="11"/>
      <c r="N909" s="11"/>
      <c r="O909" s="11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 s="11"/>
      <c r="AD909"/>
      <c r="AE909" s="11"/>
      <c r="AF909" s="11"/>
      <c r="AG909" s="11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 s="11"/>
      <c r="CE909"/>
      <c r="CF909"/>
      <c r="CG909"/>
      <c r="CH909"/>
      <c r="CI909"/>
      <c r="CJ909"/>
      <c r="CK909"/>
      <c r="CL909"/>
    </row>
    <row r="910" spans="2:90">
      <c r="B910"/>
      <c r="C910"/>
      <c r="D910" s="11"/>
      <c r="E910"/>
      <c r="F910"/>
      <c r="G910"/>
      <c r="H910"/>
      <c r="I910" s="11"/>
      <c r="J910" s="11"/>
      <c r="K910" s="11"/>
      <c r="L910"/>
      <c r="M910" s="11"/>
      <c r="N910" s="11"/>
      <c r="O910" s="11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 s="11"/>
      <c r="AD910"/>
      <c r="AE910" s="11"/>
      <c r="AF910" s="11"/>
      <c r="AG910" s="11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 s="11"/>
      <c r="CE910"/>
      <c r="CF910"/>
      <c r="CG910"/>
      <c r="CH910"/>
      <c r="CI910"/>
      <c r="CJ910"/>
      <c r="CK910"/>
      <c r="CL910"/>
    </row>
    <row r="911" spans="2:90">
      <c r="B911"/>
      <c r="C911"/>
      <c r="D911" s="11"/>
      <c r="E911"/>
      <c r="F911"/>
      <c r="G911"/>
      <c r="H911"/>
      <c r="I911" s="11"/>
      <c r="J911" s="11"/>
      <c r="K911" s="11"/>
      <c r="L911"/>
      <c r="M911" s="11"/>
      <c r="N911" s="11"/>
      <c r="O911" s="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 s="11"/>
      <c r="AD911"/>
      <c r="AE911" s="11"/>
      <c r="AF911" s="11"/>
      <c r="AG911" s="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 s="11"/>
      <c r="CE911"/>
      <c r="CF911"/>
      <c r="CG911"/>
      <c r="CH911"/>
      <c r="CI911"/>
      <c r="CJ911"/>
      <c r="CK911"/>
      <c r="CL911"/>
    </row>
    <row r="912" spans="2:90">
      <c r="B912"/>
      <c r="C912"/>
      <c r="D912" s="11"/>
      <c r="E912"/>
      <c r="F912"/>
      <c r="G912"/>
      <c r="H912"/>
      <c r="I912" s="11"/>
      <c r="J912" s="11"/>
      <c r="K912" s="11"/>
      <c r="L912"/>
      <c r="M912" s="11"/>
      <c r="N912" s="11"/>
      <c r="O912" s="11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 s="11"/>
      <c r="AD912"/>
      <c r="AE912" s="11"/>
      <c r="AF912" s="11"/>
      <c r="AG912" s="11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 s="11"/>
      <c r="CE912"/>
      <c r="CF912"/>
      <c r="CG912"/>
      <c r="CH912"/>
      <c r="CI912"/>
      <c r="CJ912"/>
      <c r="CK912"/>
      <c r="CL912"/>
    </row>
    <row r="913" spans="2:90">
      <c r="B913"/>
      <c r="C913"/>
      <c r="D913" s="11"/>
      <c r="E913"/>
      <c r="F913"/>
      <c r="G913"/>
      <c r="H913"/>
      <c r="I913" s="11"/>
      <c r="J913" s="11"/>
      <c r="K913" s="11"/>
      <c r="L913"/>
      <c r="M913" s="11"/>
      <c r="N913" s="11"/>
      <c r="O913" s="11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 s="11"/>
      <c r="AD913"/>
      <c r="AE913" s="11"/>
      <c r="AF913" s="11"/>
      <c r="AG913" s="11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 s="11"/>
      <c r="CE913"/>
      <c r="CF913"/>
      <c r="CG913"/>
      <c r="CH913"/>
      <c r="CI913"/>
      <c r="CJ913"/>
      <c r="CK913"/>
      <c r="CL913"/>
    </row>
    <row r="914" spans="2:90">
      <c r="B914"/>
      <c r="C914"/>
      <c r="D914" s="11"/>
      <c r="E914"/>
      <c r="F914"/>
      <c r="G914"/>
      <c r="H914"/>
      <c r="I914" s="11"/>
      <c r="J914" s="11"/>
      <c r="K914" s="11"/>
      <c r="L914"/>
      <c r="M914" s="11"/>
      <c r="N914" s="11"/>
      <c r="O914" s="11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 s="11"/>
      <c r="AD914"/>
      <c r="AE914" s="11"/>
      <c r="AF914" s="11"/>
      <c r="AG914" s="11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 s="11"/>
      <c r="CE914"/>
      <c r="CF914"/>
      <c r="CG914"/>
      <c r="CH914"/>
      <c r="CI914"/>
      <c r="CJ914"/>
      <c r="CK914"/>
      <c r="CL914"/>
    </row>
    <row r="915" spans="2:90">
      <c r="B915"/>
      <c r="C915"/>
      <c r="D915" s="11"/>
      <c r="E915"/>
      <c r="F915"/>
      <c r="G915"/>
      <c r="H915"/>
      <c r="I915" s="11"/>
      <c r="J915" s="11"/>
      <c r="K915" s="11"/>
      <c r="L915"/>
      <c r="M915" s="11"/>
      <c r="N915" s="11"/>
      <c r="O915" s="11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 s="11"/>
      <c r="AD915"/>
      <c r="AE915" s="11"/>
      <c r="AF915" s="11"/>
      <c r="AG915" s="11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 s="11"/>
      <c r="CE915"/>
      <c r="CF915"/>
      <c r="CG915"/>
      <c r="CH915"/>
      <c r="CI915"/>
      <c r="CJ915"/>
      <c r="CK915"/>
      <c r="CL915"/>
    </row>
    <row r="916" spans="2:90">
      <c r="B916"/>
      <c r="C916"/>
      <c r="D916" s="11"/>
      <c r="E916"/>
      <c r="F916"/>
      <c r="G916"/>
      <c r="H916"/>
      <c r="I916" s="11"/>
      <c r="J916" s="11"/>
      <c r="K916" s="11"/>
      <c r="L916"/>
      <c r="M916" s="11"/>
      <c r="N916" s="11"/>
      <c r="O916" s="11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 s="11"/>
      <c r="AD916"/>
      <c r="AE916" s="11"/>
      <c r="AF916" s="11"/>
      <c r="AG916" s="11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 s="11"/>
      <c r="CE916"/>
      <c r="CF916"/>
      <c r="CG916"/>
      <c r="CH916"/>
      <c r="CI916"/>
      <c r="CJ916"/>
      <c r="CK916"/>
      <c r="CL916"/>
    </row>
    <row r="917" spans="2:90">
      <c r="B917"/>
      <c r="C917"/>
      <c r="D917" s="11"/>
      <c r="E917"/>
      <c r="F917"/>
      <c r="G917"/>
      <c r="H917"/>
      <c r="I917" s="11"/>
      <c r="J917" s="11"/>
      <c r="K917" s="11"/>
      <c r="L917"/>
      <c r="M917" s="11"/>
      <c r="N917" s="11"/>
      <c r="O917" s="11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 s="11"/>
      <c r="AD917"/>
      <c r="AE917" s="11"/>
      <c r="AF917" s="11"/>
      <c r="AG917" s="11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 s="11"/>
      <c r="CE917"/>
      <c r="CF917"/>
      <c r="CG917"/>
      <c r="CH917"/>
      <c r="CI917"/>
      <c r="CJ917"/>
      <c r="CK917"/>
      <c r="CL917"/>
    </row>
    <row r="918" spans="2:90">
      <c r="B918"/>
      <c r="C918"/>
      <c r="D918" s="11"/>
      <c r="E918"/>
      <c r="F918"/>
      <c r="G918"/>
      <c r="H918"/>
      <c r="I918" s="11"/>
      <c r="J918" s="11"/>
      <c r="K918" s="11"/>
      <c r="L918"/>
      <c r="M918" s="11"/>
      <c r="N918" s="11"/>
      <c r="O918" s="11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 s="11"/>
      <c r="AD918"/>
      <c r="AE918" s="11"/>
      <c r="AF918" s="11"/>
      <c r="AG918" s="11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 s="11"/>
      <c r="CE918"/>
      <c r="CF918"/>
      <c r="CG918"/>
      <c r="CH918"/>
      <c r="CI918"/>
      <c r="CJ918"/>
      <c r="CK918"/>
      <c r="CL918"/>
    </row>
    <row r="919" spans="2:90">
      <c r="B919"/>
      <c r="C919"/>
      <c r="D919" s="11"/>
      <c r="E919"/>
      <c r="F919"/>
      <c r="G919"/>
      <c r="H919"/>
      <c r="I919" s="11"/>
      <c r="J919" s="11"/>
      <c r="K919" s="11"/>
      <c r="L919"/>
      <c r="M919" s="11"/>
      <c r="N919" s="11"/>
      <c r="O919" s="11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 s="11"/>
      <c r="AD919"/>
      <c r="AE919" s="11"/>
      <c r="AF919" s="11"/>
      <c r="AG919" s="11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 s="11"/>
      <c r="CE919"/>
      <c r="CF919"/>
      <c r="CG919"/>
      <c r="CH919"/>
      <c r="CI919"/>
      <c r="CJ919"/>
      <c r="CK919"/>
      <c r="CL919"/>
    </row>
    <row r="920" spans="2:90">
      <c r="B920"/>
      <c r="C920"/>
      <c r="D920" s="11"/>
      <c r="E920"/>
      <c r="F920"/>
      <c r="G920"/>
      <c r="H920"/>
      <c r="I920" s="11"/>
      <c r="J920" s="11"/>
      <c r="K920" s="11"/>
      <c r="L920"/>
      <c r="M920" s="11"/>
      <c r="N920" s="11"/>
      <c r="O920" s="11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 s="11"/>
      <c r="AD920"/>
      <c r="AE920" s="11"/>
      <c r="AF920" s="11"/>
      <c r="AG920" s="11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 s="11"/>
      <c r="CE920"/>
      <c r="CF920"/>
      <c r="CG920"/>
      <c r="CH920"/>
      <c r="CI920"/>
      <c r="CJ920"/>
      <c r="CK920"/>
      <c r="CL920"/>
    </row>
    <row r="921" spans="2:90">
      <c r="B921"/>
      <c r="C921"/>
      <c r="D921" s="11"/>
      <c r="E921"/>
      <c r="F921"/>
      <c r="G921"/>
      <c r="H921"/>
      <c r="I921" s="11"/>
      <c r="J921" s="11"/>
      <c r="K921" s="11"/>
      <c r="L921"/>
      <c r="M921" s="11"/>
      <c r="N921" s="11"/>
      <c r="O921" s="1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 s="11"/>
      <c r="AD921"/>
      <c r="AE921" s="11"/>
      <c r="AF921" s="11"/>
      <c r="AG921" s="1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 s="11"/>
      <c r="CE921"/>
      <c r="CF921"/>
      <c r="CG921"/>
      <c r="CH921"/>
      <c r="CI921"/>
      <c r="CJ921"/>
      <c r="CK921"/>
      <c r="CL921"/>
    </row>
    <row r="922" spans="2:90">
      <c r="B922"/>
      <c r="C922"/>
      <c r="D922" s="11"/>
      <c r="E922"/>
      <c r="F922"/>
      <c r="G922"/>
      <c r="H922"/>
      <c r="I922" s="11"/>
      <c r="J922" s="11"/>
      <c r="K922" s="11"/>
      <c r="L922"/>
      <c r="M922" s="11"/>
      <c r="N922" s="11"/>
      <c r="O922" s="11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 s="11"/>
      <c r="AD922"/>
      <c r="AE922" s="11"/>
      <c r="AF922" s="11"/>
      <c r="AG922" s="11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 s="11"/>
      <c r="CE922"/>
      <c r="CF922"/>
      <c r="CG922"/>
      <c r="CH922"/>
      <c r="CI922"/>
      <c r="CJ922"/>
      <c r="CK922"/>
      <c r="CL922"/>
    </row>
    <row r="923" spans="2:90">
      <c r="B923"/>
      <c r="C923"/>
      <c r="D923" s="11"/>
      <c r="E923"/>
      <c r="F923"/>
      <c r="G923"/>
      <c r="H923"/>
      <c r="I923" s="11"/>
      <c r="J923" s="11"/>
      <c r="K923" s="11"/>
      <c r="L923"/>
      <c r="M923" s="11"/>
      <c r="N923" s="11"/>
      <c r="O923" s="11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 s="11"/>
      <c r="AD923"/>
      <c r="AE923" s="11"/>
      <c r="AF923" s="11"/>
      <c r="AG923" s="11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 s="11"/>
      <c r="CE923"/>
      <c r="CF923"/>
      <c r="CG923"/>
      <c r="CH923"/>
      <c r="CI923"/>
      <c r="CJ923"/>
      <c r="CK923"/>
      <c r="CL923"/>
    </row>
    <row r="924" spans="2:90">
      <c r="B924"/>
      <c r="C924"/>
      <c r="D924" s="11"/>
      <c r="E924"/>
      <c r="F924"/>
      <c r="G924"/>
      <c r="H924"/>
      <c r="I924" s="11"/>
      <c r="J924" s="11"/>
      <c r="K924" s="11"/>
      <c r="L924"/>
      <c r="M924" s="11"/>
      <c r="N924" s="11"/>
      <c r="O924" s="11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 s="11"/>
      <c r="AD924"/>
      <c r="AE924" s="11"/>
      <c r="AF924" s="11"/>
      <c r="AG924" s="11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 s="11"/>
      <c r="CE924"/>
      <c r="CF924"/>
      <c r="CG924"/>
      <c r="CH924"/>
      <c r="CI924"/>
      <c r="CJ924"/>
      <c r="CK924"/>
      <c r="CL924"/>
    </row>
    <row r="925" spans="2:90">
      <c r="B925"/>
      <c r="C925"/>
      <c r="D925" s="11"/>
      <c r="E925"/>
      <c r="F925"/>
      <c r="G925"/>
      <c r="H925"/>
      <c r="I925" s="11"/>
      <c r="J925" s="11"/>
      <c r="K925" s="11"/>
      <c r="L925"/>
      <c r="M925" s="11"/>
      <c r="N925" s="11"/>
      <c r="O925" s="11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 s="11"/>
      <c r="AD925"/>
      <c r="AE925" s="11"/>
      <c r="AF925" s="11"/>
      <c r="AG925" s="11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 s="11"/>
      <c r="CE925"/>
      <c r="CF925"/>
      <c r="CG925"/>
      <c r="CH925"/>
      <c r="CI925"/>
      <c r="CJ925"/>
      <c r="CK925"/>
      <c r="CL925"/>
    </row>
    <row r="926" spans="2:90">
      <c r="B926"/>
      <c r="C926"/>
      <c r="D926" s="11"/>
      <c r="E926"/>
      <c r="F926"/>
      <c r="G926"/>
      <c r="H926"/>
      <c r="I926" s="11"/>
      <c r="J926" s="11"/>
      <c r="K926" s="11"/>
      <c r="L926"/>
      <c r="M926" s="11"/>
      <c r="N926" s="11"/>
      <c r="O926" s="11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 s="11"/>
      <c r="AD926"/>
      <c r="AE926" s="11"/>
      <c r="AF926" s="11"/>
      <c r="AG926" s="11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 s="11"/>
      <c r="CE926"/>
      <c r="CF926"/>
      <c r="CG926"/>
      <c r="CH926"/>
      <c r="CI926"/>
      <c r="CJ926"/>
      <c r="CK926"/>
      <c r="CL926"/>
    </row>
    <row r="927" spans="2:90">
      <c r="B927"/>
      <c r="C927"/>
      <c r="D927" s="11"/>
      <c r="E927"/>
      <c r="F927"/>
      <c r="G927"/>
      <c r="H927"/>
      <c r="I927" s="11"/>
      <c r="J927" s="11"/>
      <c r="K927" s="11"/>
      <c r="L927"/>
      <c r="M927" s="11"/>
      <c r="N927" s="11"/>
      <c r="O927" s="11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 s="11"/>
      <c r="AD927"/>
      <c r="AE927" s="11"/>
      <c r="AF927" s="11"/>
      <c r="AG927" s="11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 s="11"/>
      <c r="CE927"/>
      <c r="CF927"/>
      <c r="CG927"/>
      <c r="CH927"/>
      <c r="CI927"/>
      <c r="CJ927"/>
      <c r="CK927"/>
      <c r="CL927"/>
    </row>
    <row r="928" spans="2:90">
      <c r="B928"/>
      <c r="C928"/>
      <c r="D928" s="11"/>
      <c r="E928"/>
      <c r="F928"/>
      <c r="G928"/>
      <c r="H928"/>
      <c r="I928" s="11"/>
      <c r="J928" s="11"/>
      <c r="K928" s="11"/>
      <c r="L928"/>
      <c r="M928" s="11"/>
      <c r="N928" s="11"/>
      <c r="O928" s="11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 s="11"/>
      <c r="AD928"/>
      <c r="AE928" s="11"/>
      <c r="AF928" s="11"/>
      <c r="AG928" s="11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 s="11"/>
      <c r="CE928"/>
      <c r="CF928"/>
      <c r="CG928"/>
      <c r="CH928"/>
      <c r="CI928"/>
      <c r="CJ928"/>
      <c r="CK928"/>
      <c r="CL928"/>
    </row>
    <row r="929" spans="2:90">
      <c r="B929"/>
      <c r="C929"/>
      <c r="D929" s="11"/>
      <c r="E929"/>
      <c r="F929"/>
      <c r="G929"/>
      <c r="H929"/>
      <c r="I929" s="11"/>
      <c r="J929" s="11"/>
      <c r="K929" s="11"/>
      <c r="L929"/>
      <c r="M929" s="11"/>
      <c r="N929" s="11"/>
      <c r="O929" s="11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 s="11"/>
      <c r="AD929"/>
      <c r="AE929" s="11"/>
      <c r="AF929" s="11"/>
      <c r="AG929" s="11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 s="11"/>
      <c r="CE929"/>
      <c r="CF929"/>
      <c r="CG929"/>
      <c r="CH929"/>
      <c r="CI929"/>
      <c r="CJ929"/>
      <c r="CK929"/>
      <c r="CL929"/>
    </row>
    <row r="930" spans="2:90">
      <c r="B930"/>
      <c r="C930"/>
      <c r="D930" s="11"/>
      <c r="E930"/>
      <c r="F930"/>
      <c r="G930"/>
      <c r="H930"/>
      <c r="I930" s="11"/>
      <c r="J930" s="11"/>
      <c r="K930" s="11"/>
      <c r="L930"/>
      <c r="M930" s="11"/>
      <c r="N930" s="11"/>
      <c r="O930" s="11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 s="11"/>
      <c r="AD930"/>
      <c r="AE930" s="11"/>
      <c r="AF930" s="11"/>
      <c r="AG930" s="11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 s="11"/>
      <c r="CE930"/>
      <c r="CF930"/>
      <c r="CG930"/>
      <c r="CH930"/>
      <c r="CI930"/>
      <c r="CJ930"/>
      <c r="CK930"/>
      <c r="CL930"/>
    </row>
    <row r="931" spans="2:90">
      <c r="B931"/>
      <c r="C931"/>
      <c r="D931" s="11"/>
      <c r="E931"/>
      <c r="F931"/>
      <c r="G931"/>
      <c r="H931"/>
      <c r="I931" s="11"/>
      <c r="J931" s="11"/>
      <c r="K931" s="11"/>
      <c r="L931"/>
      <c r="M931" s="11"/>
      <c r="N931" s="11"/>
      <c r="O931" s="1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 s="11"/>
      <c r="AD931"/>
      <c r="AE931" s="11"/>
      <c r="AF931" s="11"/>
      <c r="AG931" s="1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 s="11"/>
      <c r="CE931"/>
      <c r="CF931"/>
      <c r="CG931"/>
      <c r="CH931"/>
      <c r="CI931"/>
      <c r="CJ931"/>
      <c r="CK931"/>
      <c r="CL931"/>
    </row>
    <row r="932" spans="2:90">
      <c r="B932"/>
      <c r="C932"/>
      <c r="D932" s="11"/>
      <c r="E932"/>
      <c r="F932"/>
      <c r="G932"/>
      <c r="H932"/>
      <c r="I932" s="11"/>
      <c r="J932" s="11"/>
      <c r="K932" s="11"/>
      <c r="L932"/>
      <c r="M932" s="11"/>
      <c r="N932" s="11"/>
      <c r="O932" s="11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 s="11"/>
      <c r="AD932"/>
      <c r="AE932" s="11"/>
      <c r="AF932" s="11"/>
      <c r="AG932" s="11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 s="11"/>
      <c r="CE932"/>
      <c r="CF932"/>
      <c r="CG932"/>
      <c r="CH932"/>
      <c r="CI932"/>
      <c r="CJ932"/>
      <c r="CK932"/>
      <c r="CL932"/>
    </row>
    <row r="933" spans="2:90">
      <c r="B933"/>
      <c r="C933"/>
      <c r="D933" s="11"/>
      <c r="E933"/>
      <c r="F933"/>
      <c r="G933"/>
      <c r="H933"/>
      <c r="I933" s="11"/>
      <c r="J933" s="11"/>
      <c r="K933" s="11"/>
      <c r="L933"/>
      <c r="M933" s="11"/>
      <c r="N933" s="11"/>
      <c r="O933" s="11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 s="11"/>
      <c r="AD933"/>
      <c r="AE933" s="11"/>
      <c r="AF933" s="11"/>
      <c r="AG933" s="11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 s="11"/>
      <c r="CE933"/>
      <c r="CF933"/>
      <c r="CG933"/>
      <c r="CH933"/>
      <c r="CI933"/>
      <c r="CJ933"/>
      <c r="CK933"/>
      <c r="CL933"/>
    </row>
    <row r="934" spans="2:90">
      <c r="B934"/>
      <c r="C934"/>
      <c r="D934" s="11"/>
      <c r="E934"/>
      <c r="F934"/>
      <c r="G934"/>
      <c r="H934"/>
      <c r="I934" s="11"/>
      <c r="J934" s="11"/>
      <c r="K934" s="11"/>
      <c r="L934"/>
      <c r="M934" s="11"/>
      <c r="N934" s="11"/>
      <c r="O934" s="11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 s="11"/>
      <c r="AD934"/>
      <c r="AE934" s="11"/>
      <c r="AF934" s="11"/>
      <c r="AG934" s="11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 s="11"/>
      <c r="CE934"/>
      <c r="CF934"/>
      <c r="CG934"/>
      <c r="CH934"/>
      <c r="CI934"/>
      <c r="CJ934"/>
      <c r="CK934"/>
      <c r="CL934"/>
    </row>
    <row r="935" spans="2:90">
      <c r="B935"/>
      <c r="C935"/>
      <c r="D935" s="11"/>
      <c r="E935"/>
      <c r="F935"/>
      <c r="G935"/>
      <c r="H935"/>
      <c r="I935" s="11"/>
      <c r="J935" s="11"/>
      <c r="K935" s="11"/>
      <c r="L935"/>
      <c r="M935" s="11"/>
      <c r="N935" s="11"/>
      <c r="O935" s="11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 s="11"/>
      <c r="AD935"/>
      <c r="AE935" s="11"/>
      <c r="AF935" s="11"/>
      <c r="AG935" s="11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 s="11"/>
      <c r="CE935"/>
      <c r="CF935"/>
      <c r="CG935"/>
      <c r="CH935"/>
      <c r="CI935"/>
      <c r="CJ935"/>
      <c r="CK935"/>
      <c r="CL935"/>
    </row>
    <row r="936" spans="2:90">
      <c r="B936"/>
      <c r="C936"/>
      <c r="D936" s="11"/>
      <c r="E936"/>
      <c r="F936"/>
      <c r="G936"/>
      <c r="H936"/>
      <c r="I936" s="11"/>
      <c r="J936" s="11"/>
      <c r="K936" s="11"/>
      <c r="L936"/>
      <c r="M936" s="11"/>
      <c r="N936" s="11"/>
      <c r="O936" s="11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 s="11"/>
      <c r="AD936"/>
      <c r="AE936" s="11"/>
      <c r="AF936" s="11"/>
      <c r="AG936" s="11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 s="11"/>
      <c r="CE936"/>
      <c r="CF936"/>
      <c r="CG936"/>
      <c r="CH936"/>
      <c r="CI936"/>
      <c r="CJ936"/>
      <c r="CK936"/>
      <c r="CL936"/>
    </row>
    <row r="937" spans="2:90">
      <c r="B937"/>
      <c r="C937"/>
      <c r="D937" s="11"/>
      <c r="E937"/>
      <c r="F937"/>
      <c r="G937"/>
      <c r="H937"/>
      <c r="I937" s="11"/>
      <c r="J937" s="11"/>
      <c r="K937" s="11"/>
      <c r="L937"/>
      <c r="M937" s="11"/>
      <c r="N937" s="11"/>
      <c r="O937" s="11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 s="11"/>
      <c r="AD937"/>
      <c r="AE937" s="11"/>
      <c r="AF937" s="11"/>
      <c r="AG937" s="11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 s="11"/>
      <c r="CE937"/>
      <c r="CF937"/>
      <c r="CG937"/>
      <c r="CH937"/>
      <c r="CI937"/>
      <c r="CJ937"/>
      <c r="CK937"/>
      <c r="CL937"/>
    </row>
    <row r="938" spans="2:90">
      <c r="B938"/>
      <c r="C938"/>
      <c r="D938" s="11"/>
      <c r="E938"/>
      <c r="F938"/>
      <c r="G938"/>
      <c r="H938"/>
      <c r="I938" s="11"/>
      <c r="J938" s="11"/>
      <c r="K938" s="11"/>
      <c r="L938"/>
      <c r="M938" s="11"/>
      <c r="N938" s="11"/>
      <c r="O938" s="11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 s="11"/>
      <c r="AD938"/>
      <c r="AE938" s="11"/>
      <c r="AF938" s="11"/>
      <c r="AG938" s="11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 s="11"/>
      <c r="CE938"/>
      <c r="CF938"/>
      <c r="CG938"/>
      <c r="CH938"/>
      <c r="CI938"/>
      <c r="CJ938"/>
      <c r="CK938"/>
      <c r="CL938"/>
    </row>
    <row r="939" spans="2:90">
      <c r="B939"/>
      <c r="C939"/>
      <c r="D939" s="11"/>
      <c r="E939"/>
      <c r="F939"/>
      <c r="G939"/>
      <c r="H939"/>
      <c r="I939" s="11"/>
      <c r="J939" s="11"/>
      <c r="K939" s="11"/>
      <c r="L939"/>
      <c r="M939" s="11"/>
      <c r="N939" s="11"/>
      <c r="O939" s="11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 s="11"/>
      <c r="AD939"/>
      <c r="AE939" s="11"/>
      <c r="AF939" s="11"/>
      <c r="AG939" s="11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 s="11"/>
      <c r="CE939"/>
      <c r="CF939"/>
      <c r="CG939"/>
      <c r="CH939"/>
      <c r="CI939"/>
      <c r="CJ939"/>
      <c r="CK939"/>
      <c r="CL939"/>
    </row>
    <row r="940" spans="2:90">
      <c r="B940"/>
      <c r="C940"/>
      <c r="D940" s="11"/>
      <c r="E940"/>
      <c r="F940"/>
      <c r="G940"/>
      <c r="H940"/>
      <c r="I940" s="11"/>
      <c r="J940" s="11"/>
      <c r="K940" s="11"/>
      <c r="L940"/>
      <c r="M940" s="11"/>
      <c r="N940" s="11"/>
      <c r="O940" s="11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 s="11"/>
      <c r="AD940"/>
      <c r="AE940" s="11"/>
      <c r="AF940" s="11"/>
      <c r="AG940" s="11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 s="11"/>
      <c r="CE940"/>
      <c r="CF940"/>
      <c r="CG940"/>
      <c r="CH940"/>
      <c r="CI940"/>
      <c r="CJ940"/>
      <c r="CK940"/>
      <c r="CL940"/>
    </row>
    <row r="941" spans="2:90">
      <c r="B941"/>
      <c r="C941"/>
      <c r="D941" s="11"/>
      <c r="E941"/>
      <c r="F941"/>
      <c r="G941"/>
      <c r="H941"/>
      <c r="I941" s="11"/>
      <c r="J941" s="11"/>
      <c r="K941" s="11"/>
      <c r="L941"/>
      <c r="M941" s="11"/>
      <c r="N941" s="11"/>
      <c r="O941" s="1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 s="11"/>
      <c r="AD941"/>
      <c r="AE941" s="11"/>
      <c r="AF941" s="11"/>
      <c r="AG941" s="1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 s="11"/>
      <c r="CE941"/>
      <c r="CF941"/>
      <c r="CG941"/>
      <c r="CH941"/>
      <c r="CI941"/>
      <c r="CJ941"/>
      <c r="CK941"/>
      <c r="CL941"/>
    </row>
    <row r="942" spans="2:90">
      <c r="B942"/>
      <c r="C942"/>
      <c r="D942" s="11"/>
      <c r="E942"/>
      <c r="F942"/>
      <c r="G942"/>
      <c r="H942"/>
      <c r="I942" s="11"/>
      <c r="J942" s="11"/>
      <c r="K942" s="11"/>
      <c r="L942"/>
      <c r="M942" s="11"/>
      <c r="N942" s="11"/>
      <c r="O942" s="11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 s="11"/>
      <c r="AD942"/>
      <c r="AE942" s="11"/>
      <c r="AF942" s="11"/>
      <c r="AG942" s="11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 s="11"/>
      <c r="CE942"/>
      <c r="CF942"/>
      <c r="CG942"/>
      <c r="CH942"/>
      <c r="CI942"/>
      <c r="CJ942"/>
      <c r="CK942"/>
      <c r="CL942"/>
    </row>
    <row r="943" spans="2:90">
      <c r="B943"/>
      <c r="C943"/>
      <c r="D943" s="11"/>
      <c r="E943"/>
      <c r="F943"/>
      <c r="G943"/>
      <c r="H943"/>
      <c r="I943" s="11"/>
      <c r="J943" s="11"/>
      <c r="K943" s="11"/>
      <c r="L943"/>
      <c r="M943" s="11"/>
      <c r="N943" s="11"/>
      <c r="O943" s="11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 s="11"/>
      <c r="AD943"/>
      <c r="AE943" s="11"/>
      <c r="AF943" s="11"/>
      <c r="AG943" s="11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 s="11"/>
      <c r="CE943"/>
      <c r="CF943"/>
      <c r="CG943"/>
      <c r="CH943"/>
      <c r="CI943"/>
      <c r="CJ943"/>
      <c r="CK943"/>
      <c r="CL943"/>
    </row>
    <row r="944" spans="2:90">
      <c r="B944"/>
      <c r="C944"/>
      <c r="D944" s="11"/>
      <c r="E944"/>
      <c r="F944"/>
      <c r="G944"/>
      <c r="H944"/>
      <c r="I944" s="11"/>
      <c r="J944" s="11"/>
      <c r="K944" s="11"/>
      <c r="L944"/>
      <c r="M944" s="11"/>
      <c r="N944" s="11"/>
      <c r="O944" s="11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 s="11"/>
      <c r="AD944"/>
      <c r="AE944" s="11"/>
      <c r="AF944" s="11"/>
      <c r="AG944" s="11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 s="11"/>
      <c r="CE944"/>
      <c r="CF944"/>
      <c r="CG944"/>
      <c r="CH944"/>
      <c r="CI944"/>
      <c r="CJ944"/>
      <c r="CK944"/>
      <c r="CL944"/>
    </row>
    <row r="945" spans="2:90">
      <c r="B945"/>
      <c r="C945"/>
      <c r="D945" s="11"/>
      <c r="E945"/>
      <c r="F945"/>
      <c r="G945"/>
      <c r="H945"/>
      <c r="I945" s="11"/>
      <c r="J945" s="11"/>
      <c r="K945" s="11"/>
      <c r="L945"/>
      <c r="M945" s="11"/>
      <c r="N945" s="11"/>
      <c r="O945" s="11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 s="11"/>
      <c r="AD945"/>
      <c r="AE945" s="11"/>
      <c r="AF945" s="11"/>
      <c r="AG945" s="11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 s="11"/>
      <c r="CE945"/>
      <c r="CF945"/>
      <c r="CG945"/>
      <c r="CH945"/>
      <c r="CI945"/>
      <c r="CJ945"/>
      <c r="CK945"/>
      <c r="CL945"/>
    </row>
    <row r="946" spans="2:90">
      <c r="B946"/>
      <c r="C946"/>
      <c r="D946" s="11"/>
      <c r="E946"/>
      <c r="F946"/>
      <c r="G946"/>
      <c r="H946"/>
      <c r="I946" s="11"/>
      <c r="J946" s="11"/>
      <c r="K946" s="11"/>
      <c r="L946"/>
      <c r="M946" s="11"/>
      <c r="N946" s="11"/>
      <c r="O946" s="11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 s="11"/>
      <c r="AD946"/>
      <c r="AE946" s="11"/>
      <c r="AF946" s="11"/>
      <c r="AG946" s="11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 s="11"/>
      <c r="CE946"/>
      <c r="CF946"/>
      <c r="CG946"/>
      <c r="CH946"/>
      <c r="CI946"/>
      <c r="CJ946"/>
      <c r="CK946"/>
      <c r="CL946"/>
    </row>
    <row r="947" spans="2:90">
      <c r="B947"/>
      <c r="C947"/>
      <c r="D947" s="11"/>
      <c r="E947"/>
      <c r="F947"/>
      <c r="G947"/>
      <c r="H947"/>
      <c r="I947" s="11"/>
      <c r="J947" s="11"/>
      <c r="K947" s="11"/>
      <c r="L947"/>
      <c r="M947" s="11"/>
      <c r="N947" s="11"/>
      <c r="O947" s="11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 s="11"/>
      <c r="AD947"/>
      <c r="AE947" s="11"/>
      <c r="AF947" s="11"/>
      <c r="AG947" s="11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 s="11"/>
      <c r="CE947"/>
      <c r="CF947"/>
      <c r="CG947"/>
      <c r="CH947"/>
      <c r="CI947"/>
      <c r="CJ947"/>
      <c r="CK947"/>
      <c r="CL947"/>
    </row>
    <row r="948" spans="2:90">
      <c r="B948"/>
      <c r="C948"/>
      <c r="D948" s="11"/>
      <c r="E948"/>
      <c r="F948"/>
      <c r="G948"/>
      <c r="H948"/>
      <c r="I948" s="11"/>
      <c r="J948" s="11"/>
      <c r="K948" s="11"/>
      <c r="L948"/>
      <c r="M948" s="11"/>
      <c r="N948" s="11"/>
      <c r="O948" s="11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 s="11"/>
      <c r="AD948"/>
      <c r="AE948" s="11"/>
      <c r="AF948" s="11"/>
      <c r="AG948" s="11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 s="11"/>
      <c r="CE948"/>
      <c r="CF948"/>
      <c r="CG948"/>
      <c r="CH948"/>
      <c r="CI948"/>
      <c r="CJ948"/>
      <c r="CK948"/>
      <c r="CL948"/>
    </row>
    <row r="949" spans="2:90">
      <c r="B949"/>
      <c r="C949"/>
      <c r="D949" s="11"/>
      <c r="E949"/>
      <c r="F949"/>
      <c r="G949"/>
      <c r="H949"/>
      <c r="I949" s="11"/>
      <c r="J949" s="11"/>
      <c r="K949" s="11"/>
      <c r="L949"/>
      <c r="M949" s="11"/>
      <c r="N949" s="11"/>
      <c r="O949" s="11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 s="11"/>
      <c r="AD949"/>
      <c r="AE949" s="11"/>
      <c r="AF949" s="11"/>
      <c r="AG949" s="11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 s="11"/>
      <c r="CE949"/>
      <c r="CF949"/>
      <c r="CG949"/>
      <c r="CH949"/>
      <c r="CI949"/>
      <c r="CJ949"/>
      <c r="CK949"/>
      <c r="CL949"/>
    </row>
    <row r="950" spans="2:90">
      <c r="B950"/>
      <c r="C950"/>
      <c r="D950" s="11"/>
      <c r="E950"/>
      <c r="F950"/>
      <c r="G950"/>
      <c r="H950"/>
      <c r="I950" s="11"/>
      <c r="J950" s="11"/>
      <c r="K950" s="11"/>
      <c r="L950"/>
      <c r="M950" s="11"/>
      <c r="N950" s="11"/>
      <c r="O950" s="11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 s="11"/>
      <c r="AD950"/>
      <c r="AE950" s="11"/>
      <c r="AF950" s="11"/>
      <c r="AG950" s="11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 s="11"/>
      <c r="CE950"/>
      <c r="CF950"/>
      <c r="CG950"/>
      <c r="CH950"/>
      <c r="CI950"/>
      <c r="CJ950"/>
      <c r="CK950"/>
      <c r="CL950"/>
    </row>
  </sheetData>
  <sheetProtection selectLockedCells="1" selectUnlockedCells="1"/>
  <mergeCells count="2">
    <mergeCell ref="CH1:CI1"/>
    <mergeCell ref="CJ1:CK1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AD776"/>
  <sheetViews>
    <sheetView topLeftCell="B1" zoomScaleNormal="100" workbookViewId="0">
      <selection activeCell="J18" sqref="J18:L20"/>
    </sheetView>
  </sheetViews>
  <sheetFormatPr defaultRowHeight="15"/>
  <cols>
    <col min="1" max="5" width="9.140625" style="373"/>
    <col min="6" max="6" width="9.140625" style="373" customWidth="1"/>
    <col min="7" max="8" width="9.140625" style="373"/>
    <col min="9" max="9" width="0.7109375" style="373" customWidth="1"/>
    <col min="10" max="12" width="9.140625" style="373"/>
    <col min="13" max="13" width="1.85546875" style="373" customWidth="1"/>
    <col min="14" max="16" width="9.140625" style="373"/>
    <col min="17" max="17" width="0.85546875" style="373" customWidth="1"/>
    <col min="18" max="20" width="9.140625" style="373"/>
    <col min="21" max="21" width="1.7109375" style="373" customWidth="1"/>
    <col min="22" max="24" width="9.140625" style="373"/>
    <col min="25" max="25" width="0.85546875" style="373" customWidth="1"/>
    <col min="26" max="26" width="9.140625" style="373"/>
    <col min="27" max="28" width="9.140625" style="373" customWidth="1"/>
    <col min="29" max="16384" width="9.140625" style="373"/>
  </cols>
  <sheetData>
    <row r="1" spans="4:30">
      <c r="D1" s="371"/>
      <c r="E1" s="449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450"/>
      <c r="AD1" s="371"/>
    </row>
    <row r="2" spans="4:30">
      <c r="E2" s="449"/>
      <c r="F2" s="451" t="s">
        <v>317</v>
      </c>
      <c r="G2" s="451"/>
      <c r="H2" s="451"/>
      <c r="I2" s="451"/>
      <c r="J2" s="451"/>
      <c r="K2" s="451"/>
      <c r="L2" s="451"/>
      <c r="M2" s="451"/>
      <c r="N2" s="451"/>
      <c r="O2" s="451"/>
      <c r="P2" s="451"/>
      <c r="Q2" s="451"/>
      <c r="R2" s="451"/>
      <c r="S2" s="451"/>
      <c r="T2" s="451"/>
      <c r="U2" s="451"/>
      <c r="V2" s="451"/>
      <c r="W2" s="451"/>
      <c r="X2" s="451"/>
      <c r="Y2" s="451"/>
      <c r="Z2" s="451"/>
      <c r="AA2" s="451"/>
      <c r="AB2" s="451"/>
      <c r="AC2" s="450"/>
      <c r="AD2" s="371"/>
    </row>
    <row r="3" spans="4:30">
      <c r="E3" s="449"/>
      <c r="F3" s="451"/>
      <c r="G3" s="451"/>
      <c r="H3" s="451"/>
      <c r="I3" s="451"/>
      <c r="J3" s="451"/>
      <c r="K3" s="451"/>
      <c r="L3" s="451"/>
      <c r="M3" s="451"/>
      <c r="N3" s="451"/>
      <c r="O3" s="451"/>
      <c r="P3" s="451"/>
      <c r="Q3" s="451"/>
      <c r="R3" s="451"/>
      <c r="S3" s="451"/>
      <c r="T3" s="451"/>
      <c r="U3" s="451"/>
      <c r="V3" s="451"/>
      <c r="W3" s="451"/>
      <c r="X3" s="451"/>
      <c r="Y3" s="451"/>
      <c r="Z3" s="451"/>
      <c r="AA3" s="451"/>
      <c r="AB3" s="451"/>
      <c r="AC3" s="450"/>
      <c r="AD3" s="371"/>
    </row>
    <row r="4" spans="4:30">
      <c r="D4" s="371"/>
      <c r="E4" s="449"/>
      <c r="F4" s="451"/>
      <c r="G4" s="451"/>
      <c r="H4" s="451"/>
      <c r="I4" s="451"/>
      <c r="J4" s="451"/>
      <c r="K4" s="451"/>
      <c r="L4" s="451"/>
      <c r="M4" s="451"/>
      <c r="N4" s="451"/>
      <c r="O4" s="451"/>
      <c r="P4" s="451"/>
      <c r="Q4" s="451"/>
      <c r="R4" s="451"/>
      <c r="S4" s="451"/>
      <c r="T4" s="451"/>
      <c r="U4" s="451"/>
      <c r="V4" s="451"/>
      <c r="W4" s="451"/>
      <c r="X4" s="451"/>
      <c r="Y4" s="451"/>
      <c r="Z4" s="451"/>
      <c r="AA4" s="451"/>
      <c r="AB4" s="451"/>
      <c r="AC4" s="450"/>
      <c r="AD4" s="371"/>
    </row>
    <row r="5" spans="4:30" ht="6.75" customHeight="1">
      <c r="E5" s="449"/>
      <c r="F5" s="372"/>
      <c r="G5" s="372"/>
      <c r="H5" s="372"/>
      <c r="I5" s="372"/>
      <c r="J5" s="372"/>
      <c r="K5" s="372"/>
      <c r="L5" s="372"/>
      <c r="M5" s="372"/>
      <c r="N5" s="372"/>
      <c r="O5" s="372"/>
      <c r="P5" s="372"/>
      <c r="Q5" s="372"/>
      <c r="R5" s="372"/>
      <c r="S5" s="372"/>
      <c r="T5" s="372"/>
      <c r="U5" s="372"/>
      <c r="V5" s="372"/>
      <c r="W5" s="372"/>
      <c r="X5" s="372"/>
      <c r="Y5" s="372"/>
      <c r="Z5" s="372"/>
      <c r="AA5" s="372"/>
      <c r="AB5" s="372"/>
      <c r="AC5" s="450"/>
    </row>
    <row r="6" spans="4:30">
      <c r="D6" s="371"/>
      <c r="E6" s="449"/>
      <c r="F6" s="445" t="s">
        <v>318</v>
      </c>
      <c r="G6" s="445"/>
      <c r="H6" s="446"/>
      <c r="I6" s="441"/>
      <c r="J6" s="444">
        <v>2015</v>
      </c>
      <c r="K6" s="444"/>
      <c r="L6" s="444"/>
      <c r="M6" s="372"/>
      <c r="N6" s="445" t="s">
        <v>319</v>
      </c>
      <c r="O6" s="445"/>
      <c r="P6" s="446"/>
      <c r="Q6" s="441"/>
      <c r="R6" s="444">
        <v>4</v>
      </c>
      <c r="S6" s="444"/>
      <c r="T6" s="444"/>
      <c r="U6" s="372"/>
      <c r="V6" s="445" t="s">
        <v>320</v>
      </c>
      <c r="W6" s="445"/>
      <c r="X6" s="446"/>
      <c r="Y6" s="441"/>
      <c r="Z6" s="444">
        <v>1</v>
      </c>
      <c r="AA6" s="444"/>
      <c r="AB6" s="444"/>
      <c r="AC6" s="450"/>
    </row>
    <row r="7" spans="4:30">
      <c r="D7" s="371"/>
      <c r="E7" s="449"/>
      <c r="F7" s="445"/>
      <c r="G7" s="445"/>
      <c r="H7" s="446"/>
      <c r="I7" s="442"/>
      <c r="J7" s="444"/>
      <c r="K7" s="444"/>
      <c r="L7" s="444"/>
      <c r="M7" s="372"/>
      <c r="N7" s="445"/>
      <c r="O7" s="445"/>
      <c r="P7" s="446"/>
      <c r="Q7" s="442"/>
      <c r="R7" s="444"/>
      <c r="S7" s="444"/>
      <c r="T7" s="444"/>
      <c r="U7" s="372"/>
      <c r="V7" s="445"/>
      <c r="W7" s="445"/>
      <c r="X7" s="446"/>
      <c r="Y7" s="442"/>
      <c r="Z7" s="444"/>
      <c r="AA7" s="444"/>
      <c r="AB7" s="444"/>
      <c r="AC7" s="450"/>
    </row>
    <row r="8" spans="4:30">
      <c r="E8" s="449"/>
      <c r="F8" s="445"/>
      <c r="G8" s="445"/>
      <c r="H8" s="446"/>
      <c r="I8" s="443"/>
      <c r="J8" s="444"/>
      <c r="K8" s="444"/>
      <c r="L8" s="444"/>
      <c r="M8" s="372"/>
      <c r="N8" s="445"/>
      <c r="O8" s="445"/>
      <c r="P8" s="446"/>
      <c r="Q8" s="443"/>
      <c r="R8" s="444"/>
      <c r="S8" s="444"/>
      <c r="T8" s="444"/>
      <c r="U8" s="372"/>
      <c r="V8" s="445"/>
      <c r="W8" s="445"/>
      <c r="X8" s="446"/>
      <c r="Y8" s="443"/>
      <c r="Z8" s="444"/>
      <c r="AA8" s="444"/>
      <c r="AB8" s="444"/>
      <c r="AC8" s="450"/>
    </row>
    <row r="9" spans="4:30">
      <c r="E9" s="449"/>
      <c r="F9" s="372"/>
      <c r="G9" s="372"/>
      <c r="H9" s="372"/>
      <c r="I9" s="372"/>
      <c r="J9" s="372"/>
      <c r="K9" s="372"/>
      <c r="L9" s="372"/>
      <c r="M9" s="372"/>
      <c r="N9" s="372"/>
      <c r="O9" s="372"/>
      <c r="P9" s="372"/>
      <c r="Q9" s="372"/>
      <c r="R9" s="372"/>
      <c r="S9" s="372"/>
      <c r="T9" s="372"/>
      <c r="U9" s="372"/>
      <c r="V9" s="372"/>
      <c r="W9" s="372"/>
      <c r="X9" s="372"/>
      <c r="Y9" s="372"/>
      <c r="Z9" s="372"/>
      <c r="AA9" s="372"/>
      <c r="AB9" s="372"/>
      <c r="AC9" s="450"/>
    </row>
    <row r="10" spans="4:30">
      <c r="E10" s="449"/>
      <c r="F10" s="445" t="s">
        <v>321</v>
      </c>
      <c r="G10" s="445"/>
      <c r="H10" s="446"/>
      <c r="I10" s="441"/>
      <c r="J10" s="447">
        <v>42111</v>
      </c>
      <c r="K10" s="448"/>
      <c r="L10" s="448"/>
      <c r="M10" s="372"/>
      <c r="N10" s="445" t="s">
        <v>322</v>
      </c>
      <c r="O10" s="445"/>
      <c r="P10" s="446"/>
      <c r="Q10" s="441"/>
      <c r="R10" s="447">
        <f>DATE(J6,R6,Z6)</f>
        <v>42095</v>
      </c>
      <c r="S10" s="448"/>
      <c r="T10" s="448"/>
      <c r="U10" s="372"/>
      <c r="V10" s="445" t="s">
        <v>323</v>
      </c>
      <c r="W10" s="445"/>
      <c r="X10" s="446"/>
      <c r="Y10" s="441"/>
      <c r="Z10" s="491">
        <v>0.2</v>
      </c>
      <c r="AA10" s="491"/>
      <c r="AB10" s="491"/>
      <c r="AC10" s="450"/>
    </row>
    <row r="11" spans="4:30">
      <c r="E11" s="449"/>
      <c r="F11" s="445"/>
      <c r="G11" s="445"/>
      <c r="H11" s="446"/>
      <c r="I11" s="442"/>
      <c r="J11" s="448"/>
      <c r="K11" s="448"/>
      <c r="L11" s="448"/>
      <c r="M11" s="372"/>
      <c r="N11" s="445"/>
      <c r="O11" s="445"/>
      <c r="P11" s="446"/>
      <c r="Q11" s="442"/>
      <c r="R11" s="448"/>
      <c r="S11" s="448"/>
      <c r="T11" s="448"/>
      <c r="U11" s="372"/>
      <c r="V11" s="445"/>
      <c r="W11" s="445"/>
      <c r="X11" s="446"/>
      <c r="Y11" s="442"/>
      <c r="Z11" s="491"/>
      <c r="AA11" s="491"/>
      <c r="AB11" s="491"/>
      <c r="AC11" s="450"/>
    </row>
    <row r="12" spans="4:30">
      <c r="E12" s="449"/>
      <c r="F12" s="445"/>
      <c r="G12" s="445"/>
      <c r="H12" s="446"/>
      <c r="I12" s="443"/>
      <c r="J12" s="448"/>
      <c r="K12" s="448"/>
      <c r="L12" s="448"/>
      <c r="M12" s="372"/>
      <c r="N12" s="445"/>
      <c r="O12" s="445"/>
      <c r="P12" s="446"/>
      <c r="Q12" s="443"/>
      <c r="R12" s="448"/>
      <c r="S12" s="448"/>
      <c r="T12" s="448"/>
      <c r="U12" s="372"/>
      <c r="V12" s="445"/>
      <c r="W12" s="445"/>
      <c r="X12" s="446"/>
      <c r="Y12" s="443"/>
      <c r="Z12" s="491"/>
      <c r="AA12" s="491"/>
      <c r="AB12" s="491"/>
      <c r="AC12" s="450"/>
    </row>
    <row r="13" spans="4:30">
      <c r="E13" s="449"/>
      <c r="F13" s="372"/>
      <c r="G13" s="372"/>
      <c r="H13" s="372"/>
      <c r="I13" s="372"/>
      <c r="J13" s="372"/>
      <c r="K13" s="372"/>
      <c r="L13" s="372"/>
      <c r="M13" s="372"/>
      <c r="N13" s="372"/>
      <c r="O13" s="372"/>
      <c r="P13" s="372"/>
      <c r="Q13" s="372"/>
      <c r="R13" s="372"/>
      <c r="S13" s="372"/>
      <c r="T13" s="372"/>
      <c r="U13" s="372"/>
      <c r="V13" s="372"/>
      <c r="W13" s="372"/>
      <c r="X13" s="372"/>
      <c r="Y13" s="372"/>
      <c r="Z13" s="372"/>
      <c r="AA13" s="372"/>
      <c r="AB13" s="372"/>
      <c r="AC13" s="450"/>
    </row>
    <row r="14" spans="4:30">
      <c r="D14" s="371"/>
      <c r="E14" s="449"/>
      <c r="F14" s="458" t="s">
        <v>324</v>
      </c>
      <c r="G14" s="459"/>
      <c r="H14" s="459"/>
      <c r="I14" s="374"/>
      <c r="J14" s="492">
        <f>R14</f>
        <v>47119</v>
      </c>
      <c r="K14" s="493"/>
      <c r="L14" s="494"/>
      <c r="M14" s="372"/>
      <c r="N14" s="458" t="s">
        <v>315</v>
      </c>
      <c r="O14" s="459"/>
      <c r="P14" s="459"/>
      <c r="Q14" s="374"/>
      <c r="R14" s="501">
        <v>47119</v>
      </c>
      <c r="S14" s="502"/>
      <c r="T14" s="503"/>
      <c r="U14" s="372"/>
      <c r="V14" s="458" t="s">
        <v>314</v>
      </c>
      <c r="W14" s="459"/>
      <c r="X14" s="459"/>
      <c r="Y14" s="374"/>
      <c r="Z14" s="510">
        <f>IF(R10&gt;R14,0,ROUNDUP((R14-R10)/365,0))</f>
        <v>14</v>
      </c>
      <c r="AA14" s="511"/>
      <c r="AB14" s="512"/>
      <c r="AC14" s="450"/>
    </row>
    <row r="15" spans="4:30">
      <c r="D15" s="371"/>
      <c r="E15" s="449"/>
      <c r="F15" s="460"/>
      <c r="G15" s="461"/>
      <c r="H15" s="461"/>
      <c r="I15" s="375"/>
      <c r="J15" s="495"/>
      <c r="K15" s="496"/>
      <c r="L15" s="497"/>
      <c r="M15" s="372"/>
      <c r="N15" s="460"/>
      <c r="O15" s="461"/>
      <c r="P15" s="461"/>
      <c r="Q15" s="375"/>
      <c r="R15" s="504"/>
      <c r="S15" s="505"/>
      <c r="T15" s="506"/>
      <c r="U15" s="372"/>
      <c r="V15" s="460"/>
      <c r="W15" s="461"/>
      <c r="X15" s="461"/>
      <c r="Y15" s="375"/>
      <c r="Z15" s="513"/>
      <c r="AA15" s="514"/>
      <c r="AB15" s="515"/>
      <c r="AC15" s="450"/>
    </row>
    <row r="16" spans="4:30">
      <c r="E16" s="449"/>
      <c r="F16" s="462"/>
      <c r="G16" s="463"/>
      <c r="H16" s="463"/>
      <c r="I16" s="376"/>
      <c r="J16" s="498"/>
      <c r="K16" s="499"/>
      <c r="L16" s="500"/>
      <c r="M16" s="372"/>
      <c r="N16" s="462"/>
      <c r="O16" s="463"/>
      <c r="P16" s="463"/>
      <c r="Q16" s="376"/>
      <c r="R16" s="507"/>
      <c r="S16" s="508"/>
      <c r="T16" s="509"/>
      <c r="U16" s="372"/>
      <c r="V16" s="462"/>
      <c r="W16" s="463"/>
      <c r="X16" s="463"/>
      <c r="Y16" s="376"/>
      <c r="Z16" s="516"/>
      <c r="AA16" s="517"/>
      <c r="AB16" s="518"/>
      <c r="AC16" s="450"/>
    </row>
    <row r="17" spans="5:30">
      <c r="E17" s="449"/>
      <c r="F17" s="372"/>
      <c r="G17" s="372"/>
      <c r="H17" s="372"/>
      <c r="I17" s="372"/>
      <c r="J17" s="372"/>
      <c r="K17" s="372"/>
      <c r="L17" s="372"/>
      <c r="M17" s="372"/>
      <c r="N17" s="372"/>
      <c r="O17" s="372"/>
      <c r="P17" s="372"/>
      <c r="Q17" s="372"/>
      <c r="R17" s="372"/>
      <c r="S17" s="372"/>
      <c r="T17" s="372"/>
      <c r="U17" s="372"/>
      <c r="V17" s="372"/>
      <c r="W17" s="372"/>
      <c r="X17" s="372"/>
      <c r="Y17" s="372"/>
      <c r="Z17" s="372"/>
      <c r="AA17" s="372"/>
      <c r="AB17" s="372"/>
      <c r="AC17" s="450"/>
    </row>
    <row r="18" spans="5:30">
      <c r="E18" s="449"/>
      <c r="F18" s="458" t="s">
        <v>333</v>
      </c>
      <c r="G18" s="459"/>
      <c r="H18" s="459"/>
      <c r="I18" s="374"/>
      <c r="J18" s="464" t="s">
        <v>334</v>
      </c>
      <c r="K18" s="465"/>
      <c r="L18" s="466"/>
      <c r="M18" s="372"/>
      <c r="N18" s="458" t="s">
        <v>325</v>
      </c>
      <c r="O18" s="459"/>
      <c r="P18" s="459"/>
      <c r="Q18" s="374"/>
      <c r="R18" s="473">
        <f ca="1">SUM(V29:X760)</f>
        <v>19034759.911103763</v>
      </c>
      <c r="S18" s="474"/>
      <c r="T18" s="475"/>
      <c r="U18" s="372"/>
      <c r="V18" s="458" t="s">
        <v>326</v>
      </c>
      <c r="W18" s="459"/>
      <c r="X18" s="459"/>
      <c r="Y18" s="374"/>
      <c r="Z18" s="482">
        <f ca="1">R18*0.85</f>
        <v>16179545.924438197</v>
      </c>
      <c r="AA18" s="483"/>
      <c r="AB18" s="484"/>
      <c r="AC18" s="450"/>
    </row>
    <row r="19" spans="5:30">
      <c r="E19" s="449"/>
      <c r="F19" s="460"/>
      <c r="G19" s="461"/>
      <c r="H19" s="461"/>
      <c r="I19" s="375"/>
      <c r="J19" s="467"/>
      <c r="K19" s="468"/>
      <c r="L19" s="469"/>
      <c r="M19" s="372"/>
      <c r="N19" s="460"/>
      <c r="O19" s="461"/>
      <c r="P19" s="461"/>
      <c r="Q19" s="375"/>
      <c r="R19" s="476"/>
      <c r="S19" s="477"/>
      <c r="T19" s="478"/>
      <c r="U19" s="372"/>
      <c r="V19" s="460"/>
      <c r="W19" s="461"/>
      <c r="X19" s="461"/>
      <c r="Y19" s="375"/>
      <c r="Z19" s="485"/>
      <c r="AA19" s="486"/>
      <c r="AB19" s="487"/>
      <c r="AC19" s="450"/>
      <c r="AD19" s="371"/>
    </row>
    <row r="20" spans="5:30">
      <c r="E20" s="449"/>
      <c r="F20" s="462"/>
      <c r="G20" s="463"/>
      <c r="H20" s="463"/>
      <c r="I20" s="376"/>
      <c r="J20" s="470"/>
      <c r="K20" s="471"/>
      <c r="L20" s="472"/>
      <c r="M20" s="372"/>
      <c r="N20" s="462"/>
      <c r="O20" s="463"/>
      <c r="P20" s="463"/>
      <c r="Q20" s="376"/>
      <c r="R20" s="479"/>
      <c r="S20" s="480"/>
      <c r="T20" s="481"/>
      <c r="U20" s="372"/>
      <c r="V20" s="462"/>
      <c r="W20" s="463"/>
      <c r="X20" s="463"/>
      <c r="Y20" s="376"/>
      <c r="Z20" s="488"/>
      <c r="AA20" s="489"/>
      <c r="AB20" s="490"/>
      <c r="AC20" s="450"/>
    </row>
    <row r="21" spans="5:30" ht="15.75" thickBot="1">
      <c r="E21" s="452"/>
      <c r="F21" s="453"/>
      <c r="G21" s="453"/>
      <c r="H21" s="453"/>
      <c r="I21" s="453"/>
      <c r="J21" s="453"/>
      <c r="K21" s="453"/>
      <c r="L21" s="453"/>
      <c r="M21" s="453"/>
      <c r="N21" s="453"/>
      <c r="O21" s="453"/>
      <c r="P21" s="453"/>
      <c r="Q21" s="453"/>
      <c r="R21" s="453"/>
      <c r="S21" s="453"/>
      <c r="T21" s="453"/>
      <c r="U21" s="453"/>
      <c r="V21" s="453"/>
      <c r="W21" s="453"/>
      <c r="X21" s="453"/>
      <c r="Y21" s="453"/>
      <c r="Z21" s="453"/>
      <c r="AA21" s="453"/>
      <c r="AB21" s="453"/>
      <c r="AC21" s="454"/>
    </row>
    <row r="22" spans="5:30" ht="15.75" thickTop="1">
      <c r="E22" s="371"/>
      <c r="F22" s="371"/>
    </row>
    <row r="23" spans="5:30" ht="3.75" customHeight="1">
      <c r="I23" s="455"/>
      <c r="J23" s="455"/>
      <c r="K23" s="455"/>
      <c r="L23" s="455"/>
      <c r="M23" s="455"/>
      <c r="N23" s="455"/>
      <c r="O23" s="455"/>
      <c r="P23" s="455"/>
      <c r="Q23" s="455"/>
      <c r="R23" s="455"/>
      <c r="S23" s="455"/>
      <c r="T23" s="455"/>
      <c r="U23" s="455"/>
      <c r="V23" s="455"/>
      <c r="W23" s="455"/>
      <c r="X23" s="455"/>
      <c r="Y23" s="455"/>
    </row>
    <row r="24" spans="5:30">
      <c r="I24" s="382"/>
      <c r="J24" s="456" t="s">
        <v>327</v>
      </c>
      <c r="K24" s="456"/>
      <c r="L24" s="456"/>
      <c r="M24" s="456"/>
      <c r="N24" s="456"/>
      <c r="O24" s="456"/>
      <c r="P24" s="456"/>
      <c r="Q24" s="456"/>
      <c r="R24" s="456"/>
      <c r="S24" s="456"/>
      <c r="T24" s="456"/>
      <c r="U24" s="456"/>
      <c r="V24" s="456"/>
      <c r="W24" s="456"/>
      <c r="X24" s="456"/>
      <c r="Y24" s="382"/>
    </row>
    <row r="25" spans="5:30">
      <c r="I25" s="382"/>
      <c r="J25" s="456"/>
      <c r="K25" s="456"/>
      <c r="L25" s="456"/>
      <c r="M25" s="456"/>
      <c r="N25" s="456"/>
      <c r="O25" s="456"/>
      <c r="P25" s="456"/>
      <c r="Q25" s="456"/>
      <c r="R25" s="456"/>
      <c r="S25" s="456"/>
      <c r="T25" s="456"/>
      <c r="U25" s="456"/>
      <c r="V25" s="456"/>
      <c r="W25" s="456"/>
      <c r="X25" s="456"/>
      <c r="Y25" s="382"/>
    </row>
    <row r="26" spans="5:30">
      <c r="I26" s="382"/>
      <c r="J26" s="456"/>
      <c r="K26" s="456"/>
      <c r="L26" s="456"/>
      <c r="M26" s="456"/>
      <c r="N26" s="456"/>
      <c r="O26" s="456"/>
      <c r="P26" s="456"/>
      <c r="Q26" s="456"/>
      <c r="R26" s="456"/>
      <c r="S26" s="456"/>
      <c r="T26" s="456"/>
      <c r="U26" s="456"/>
      <c r="V26" s="456"/>
      <c r="W26" s="456"/>
      <c r="X26" s="456"/>
      <c r="Y26" s="382"/>
    </row>
    <row r="27" spans="5:30">
      <c r="I27" s="382"/>
      <c r="J27" s="457" t="s">
        <v>328</v>
      </c>
      <c r="K27" s="457"/>
      <c r="L27" s="457"/>
      <c r="M27" s="379"/>
      <c r="N27" s="457" t="s">
        <v>307</v>
      </c>
      <c r="O27" s="457"/>
      <c r="P27" s="457"/>
      <c r="Q27" s="381"/>
      <c r="R27" s="457" t="s">
        <v>329</v>
      </c>
      <c r="S27" s="457"/>
      <c r="T27" s="457"/>
      <c r="U27" s="379"/>
      <c r="V27" s="457" t="s">
        <v>330</v>
      </c>
      <c r="W27" s="457"/>
      <c r="X27" s="457"/>
      <c r="Y27" s="382"/>
    </row>
    <row r="28" spans="5:30">
      <c r="I28" s="382"/>
      <c r="J28" s="457"/>
      <c r="K28" s="457"/>
      <c r="L28" s="457"/>
      <c r="M28" s="380"/>
      <c r="N28" s="457"/>
      <c r="O28" s="457"/>
      <c r="P28" s="457"/>
      <c r="Q28" s="382"/>
      <c r="R28" s="457"/>
      <c r="S28" s="457"/>
      <c r="T28" s="457"/>
      <c r="U28" s="380"/>
      <c r="V28" s="457"/>
      <c r="W28" s="457"/>
      <c r="X28" s="457"/>
      <c r="Y28" s="382"/>
    </row>
    <row r="29" spans="5:30" ht="12.75" customHeight="1">
      <c r="I29" s="382"/>
      <c r="J29" s="519">
        <v>1</v>
      </c>
      <c r="K29" s="519"/>
      <c r="L29" s="519"/>
      <c r="M29" s="380"/>
      <c r="N29" s="520">
        <f>$R$14</f>
        <v>47119</v>
      </c>
      <c r="O29" s="519"/>
      <c r="P29" s="519"/>
      <c r="Q29" s="382"/>
      <c r="R29" s="521">
        <f>LOOKUP(ROUNDUP(IF((N29-$R$10)&lt;=0,1,(N29-$R$10))/365,0),'Profit Division'!$A$4:$A$30,'Profit Division'!$C$4:$C$30)</f>
        <v>1.1403848734836686E-4</v>
      </c>
      <c r="S29" s="521"/>
      <c r="T29" s="521"/>
      <c r="U29" s="380"/>
      <c r="V29" s="522">
        <f ca="1">R29*LOOKUP(N29,'reserve calculation'!B:B,'reserve calculation'!D:D)</f>
        <v>49543.256086401823</v>
      </c>
      <c r="W29" s="522"/>
      <c r="X29" s="522"/>
      <c r="Y29" s="382"/>
    </row>
    <row r="30" spans="5:30" ht="12.75" customHeight="1">
      <c r="I30" s="382"/>
      <c r="J30" s="519"/>
      <c r="K30" s="519"/>
      <c r="L30" s="519"/>
      <c r="M30" s="380"/>
      <c r="N30" s="519"/>
      <c r="O30" s="519"/>
      <c r="P30" s="519"/>
      <c r="Q30" s="382"/>
      <c r="R30" s="521"/>
      <c r="S30" s="521"/>
      <c r="T30" s="521"/>
      <c r="U30" s="380"/>
      <c r="V30" s="522"/>
      <c r="W30" s="522"/>
      <c r="X30" s="522"/>
      <c r="Y30" s="382"/>
    </row>
    <row r="31" spans="5:30" ht="12.75" customHeight="1">
      <c r="I31" s="382"/>
      <c r="J31" s="519">
        <f>J29+1</f>
        <v>2</v>
      </c>
      <c r="K31" s="519"/>
      <c r="L31" s="519"/>
      <c r="M31" s="380"/>
      <c r="N31" s="520">
        <f>N29+1</f>
        <v>47120</v>
      </c>
      <c r="O31" s="519"/>
      <c r="P31" s="519"/>
      <c r="Q31" s="382"/>
      <c r="R31" s="521">
        <f>LOOKUP(ROUNDUP(IF((N31-$R$10)&lt;=0,1,(N31-$R$10))/365,0),'Profit Division'!$A$4:$A$30,'Profit Division'!$C$4:$C$30)</f>
        <v>1.1403848734836686E-4</v>
      </c>
      <c r="S31" s="521"/>
      <c r="T31" s="521"/>
      <c r="U31" s="380"/>
      <c r="V31" s="522">
        <f ca="1">R31*LOOKUP(N31,'reserve calculation'!B:B,'reserve calculation'!D:D)</f>
        <v>49562.230298878538</v>
      </c>
      <c r="W31" s="522"/>
      <c r="X31" s="522"/>
      <c r="Y31" s="382"/>
    </row>
    <row r="32" spans="5:30" ht="12.75" customHeight="1">
      <c r="I32" s="382"/>
      <c r="J32" s="519"/>
      <c r="K32" s="519"/>
      <c r="L32" s="519"/>
      <c r="M32" s="380"/>
      <c r="N32" s="519"/>
      <c r="O32" s="519"/>
      <c r="P32" s="519"/>
      <c r="Q32" s="382"/>
      <c r="R32" s="521"/>
      <c r="S32" s="521"/>
      <c r="T32" s="521"/>
      <c r="U32" s="380"/>
      <c r="V32" s="522"/>
      <c r="W32" s="522"/>
      <c r="X32" s="522"/>
      <c r="Y32" s="382"/>
    </row>
    <row r="33" spans="9:25" ht="12.75" customHeight="1">
      <c r="I33" s="382"/>
      <c r="J33" s="519">
        <f t="shared" ref="J33" si="0">J31+1</f>
        <v>3</v>
      </c>
      <c r="K33" s="519"/>
      <c r="L33" s="519"/>
      <c r="M33" s="380"/>
      <c r="N33" s="520">
        <f t="shared" ref="N33" si="1">N31+1</f>
        <v>47121</v>
      </c>
      <c r="O33" s="519"/>
      <c r="P33" s="519"/>
      <c r="Q33" s="382"/>
      <c r="R33" s="521">
        <f>LOOKUP(ROUNDUP(IF((N33-$R$10)&lt;=0,1,(N33-$R$10))/365,0),'Profit Division'!$A$4:$A$30,'Profit Division'!$C$4:$C$30)</f>
        <v>1.1403848734836686E-4</v>
      </c>
      <c r="S33" s="521"/>
      <c r="T33" s="521"/>
      <c r="U33" s="380"/>
      <c r="V33" s="522">
        <f ca="1">R33*LOOKUP(N33,'reserve calculation'!B:B,'reserve calculation'!D:D)</f>
        <v>49581.211778151337</v>
      </c>
      <c r="W33" s="522"/>
      <c r="X33" s="522"/>
      <c r="Y33" s="382"/>
    </row>
    <row r="34" spans="9:25" ht="12.75" customHeight="1">
      <c r="I34" s="382"/>
      <c r="J34" s="519"/>
      <c r="K34" s="519"/>
      <c r="L34" s="519"/>
      <c r="M34" s="380"/>
      <c r="N34" s="519"/>
      <c r="O34" s="519"/>
      <c r="P34" s="519"/>
      <c r="Q34" s="382"/>
      <c r="R34" s="521"/>
      <c r="S34" s="521"/>
      <c r="T34" s="521"/>
      <c r="U34" s="380"/>
      <c r="V34" s="522"/>
      <c r="W34" s="522"/>
      <c r="X34" s="522"/>
      <c r="Y34" s="382"/>
    </row>
    <row r="35" spans="9:25" ht="12.75" customHeight="1">
      <c r="I35" s="382"/>
      <c r="J35" s="519">
        <f t="shared" ref="J35" si="2">J33+1</f>
        <v>4</v>
      </c>
      <c r="K35" s="519"/>
      <c r="L35" s="519"/>
      <c r="M35" s="380"/>
      <c r="N35" s="520">
        <f t="shared" ref="N35" si="3">N33+1</f>
        <v>47122</v>
      </c>
      <c r="O35" s="519"/>
      <c r="P35" s="519"/>
      <c r="Q35" s="382"/>
      <c r="R35" s="521">
        <f>LOOKUP(ROUNDUP(IF((N35-$R$10)&lt;=0,1,(N35-$R$10))/365,0),'Profit Division'!$A$4:$A$30,'Profit Division'!$C$4:$C$30)</f>
        <v>1.1403848734836686E-4</v>
      </c>
      <c r="S35" s="521"/>
      <c r="T35" s="521"/>
      <c r="U35" s="380"/>
      <c r="V35" s="522">
        <f ca="1">R35*LOOKUP(N35,'reserve calculation'!B:B,'reserve calculation'!D:D)</f>
        <v>49600.200527003268</v>
      </c>
      <c r="W35" s="522"/>
      <c r="X35" s="522"/>
      <c r="Y35" s="382"/>
    </row>
    <row r="36" spans="9:25" ht="12.75" customHeight="1">
      <c r="I36" s="382"/>
      <c r="J36" s="519"/>
      <c r="K36" s="519"/>
      <c r="L36" s="519"/>
      <c r="M36" s="380"/>
      <c r="N36" s="519"/>
      <c r="O36" s="519"/>
      <c r="P36" s="519"/>
      <c r="Q36" s="382"/>
      <c r="R36" s="521"/>
      <c r="S36" s="521"/>
      <c r="T36" s="521"/>
      <c r="U36" s="380"/>
      <c r="V36" s="522"/>
      <c r="W36" s="522"/>
      <c r="X36" s="522"/>
      <c r="Y36" s="382"/>
    </row>
    <row r="37" spans="9:25" ht="12.75" customHeight="1">
      <c r="I37" s="382"/>
      <c r="J37" s="519">
        <f t="shared" ref="J37" si="4">J35+1</f>
        <v>5</v>
      </c>
      <c r="K37" s="519"/>
      <c r="L37" s="519"/>
      <c r="M37" s="380"/>
      <c r="N37" s="520">
        <f t="shared" ref="N37" si="5">N35+1</f>
        <v>47123</v>
      </c>
      <c r="O37" s="519"/>
      <c r="P37" s="519"/>
      <c r="Q37" s="382"/>
      <c r="R37" s="521">
        <f>LOOKUP(ROUNDUP(IF((N37-$R$10)&lt;=0,1,(N37-$R$10))/365,0),'Profit Division'!$A$4:$A$30,'Profit Division'!$C$4:$C$30)</f>
        <v>1.1403848734836686E-4</v>
      </c>
      <c r="S37" s="521"/>
      <c r="T37" s="521"/>
      <c r="U37" s="380"/>
      <c r="V37" s="522">
        <f ca="1">R37*LOOKUP(N37,'reserve calculation'!B:B,'reserve calculation'!D:D)</f>
        <v>49619.196548218468</v>
      </c>
      <c r="W37" s="522"/>
      <c r="X37" s="522"/>
      <c r="Y37" s="382"/>
    </row>
    <row r="38" spans="9:25" ht="12.75" customHeight="1">
      <c r="I38" s="382"/>
      <c r="J38" s="519"/>
      <c r="K38" s="519"/>
      <c r="L38" s="519"/>
      <c r="M38" s="380"/>
      <c r="N38" s="519"/>
      <c r="O38" s="519"/>
      <c r="P38" s="519"/>
      <c r="Q38" s="382"/>
      <c r="R38" s="521"/>
      <c r="S38" s="521"/>
      <c r="T38" s="521"/>
      <c r="U38" s="380"/>
      <c r="V38" s="522"/>
      <c r="W38" s="522"/>
      <c r="X38" s="522"/>
      <c r="Y38" s="382"/>
    </row>
    <row r="39" spans="9:25" ht="12.75" customHeight="1">
      <c r="I39" s="382"/>
      <c r="J39" s="519">
        <f t="shared" ref="J39" si="6">J37+1</f>
        <v>6</v>
      </c>
      <c r="K39" s="519"/>
      <c r="L39" s="519"/>
      <c r="M39" s="380"/>
      <c r="N39" s="520">
        <f t="shared" ref="N39" si="7">N37+1</f>
        <v>47124</v>
      </c>
      <c r="O39" s="519"/>
      <c r="P39" s="519"/>
      <c r="Q39" s="382"/>
      <c r="R39" s="521">
        <f>LOOKUP(ROUNDUP(IF((N39-$R$10)&lt;=0,1,(N39-$R$10))/365,0),'Profit Division'!$A$4:$A$30,'Profit Division'!$C$4:$C$30)</f>
        <v>1.1403848734836686E-4</v>
      </c>
      <c r="S39" s="521"/>
      <c r="T39" s="521"/>
      <c r="U39" s="380"/>
      <c r="V39" s="522">
        <f ca="1">R39*LOOKUP(N39,'reserve calculation'!B:B,'reserve calculation'!D:D)</f>
        <v>49638.199844582115</v>
      </c>
      <c r="W39" s="522"/>
      <c r="X39" s="522"/>
      <c r="Y39" s="382"/>
    </row>
    <row r="40" spans="9:25" ht="12.75" customHeight="1">
      <c r="I40" s="382"/>
      <c r="J40" s="519"/>
      <c r="K40" s="519"/>
      <c r="L40" s="519"/>
      <c r="M40" s="380"/>
      <c r="N40" s="519"/>
      <c r="O40" s="519"/>
      <c r="P40" s="519"/>
      <c r="Q40" s="382"/>
      <c r="R40" s="521"/>
      <c r="S40" s="521"/>
      <c r="T40" s="521"/>
      <c r="U40" s="380"/>
      <c r="V40" s="522"/>
      <c r="W40" s="522"/>
      <c r="X40" s="522"/>
      <c r="Y40" s="382"/>
    </row>
    <row r="41" spans="9:25" ht="12.75" customHeight="1">
      <c r="I41" s="382"/>
      <c r="J41" s="519">
        <f t="shared" ref="J41" si="8">J39+1</f>
        <v>7</v>
      </c>
      <c r="K41" s="519"/>
      <c r="L41" s="519"/>
      <c r="M41" s="380"/>
      <c r="N41" s="520">
        <f t="shared" ref="N41" si="9">N39+1</f>
        <v>47125</v>
      </c>
      <c r="O41" s="519"/>
      <c r="P41" s="519"/>
      <c r="Q41" s="382"/>
      <c r="R41" s="521">
        <f>LOOKUP(ROUNDUP(IF((N41-$R$10)&lt;=0,1,(N41-$R$10))/365,0),'Profit Division'!$A$4:$A$30,'Profit Division'!$C$4:$C$30)</f>
        <v>1.1403848734836686E-4</v>
      </c>
      <c r="S41" s="521"/>
      <c r="T41" s="521"/>
      <c r="U41" s="380"/>
      <c r="V41" s="522">
        <f ca="1">R41*LOOKUP(N41,'reserve calculation'!B:B,'reserve calculation'!D:D)</f>
        <v>49657.210418880473</v>
      </c>
      <c r="W41" s="522"/>
      <c r="X41" s="522"/>
      <c r="Y41" s="382"/>
    </row>
    <row r="42" spans="9:25" ht="12.75" customHeight="1">
      <c r="I42" s="382"/>
      <c r="J42" s="519"/>
      <c r="K42" s="519"/>
      <c r="L42" s="519"/>
      <c r="M42" s="380"/>
      <c r="N42" s="519"/>
      <c r="O42" s="519"/>
      <c r="P42" s="519"/>
      <c r="Q42" s="382"/>
      <c r="R42" s="521"/>
      <c r="S42" s="521"/>
      <c r="T42" s="521"/>
      <c r="U42" s="380"/>
      <c r="V42" s="522"/>
      <c r="W42" s="522"/>
      <c r="X42" s="522"/>
      <c r="Y42" s="382"/>
    </row>
    <row r="43" spans="9:25" ht="12.75" customHeight="1">
      <c r="I43" s="382"/>
      <c r="J43" s="519">
        <f t="shared" ref="J43" si="10">J41+1</f>
        <v>8</v>
      </c>
      <c r="K43" s="519"/>
      <c r="L43" s="519"/>
      <c r="M43" s="380"/>
      <c r="N43" s="520">
        <f t="shared" ref="N43" si="11">N41+1</f>
        <v>47126</v>
      </c>
      <c r="O43" s="519"/>
      <c r="P43" s="519"/>
      <c r="Q43" s="382"/>
      <c r="R43" s="521">
        <f>LOOKUP(ROUNDUP(IF((N43-$R$10)&lt;=0,1,(N43-$R$10))/365,0),'Profit Division'!$A$4:$A$30,'Profit Division'!$C$4:$C$30)</f>
        <v>1.1403848734836686E-4</v>
      </c>
      <c r="S43" s="521"/>
      <c r="T43" s="521"/>
      <c r="U43" s="380"/>
      <c r="V43" s="522">
        <f ca="1">R43*LOOKUP(N43,'reserve calculation'!B:B,'reserve calculation'!D:D)</f>
        <v>49676.228273900859</v>
      </c>
      <c r="W43" s="522"/>
      <c r="X43" s="522"/>
      <c r="Y43" s="382"/>
    </row>
    <row r="44" spans="9:25" ht="12.75" customHeight="1">
      <c r="I44" s="382"/>
      <c r="J44" s="519"/>
      <c r="K44" s="519"/>
      <c r="L44" s="519"/>
      <c r="M44" s="380"/>
      <c r="N44" s="519"/>
      <c r="O44" s="519"/>
      <c r="P44" s="519"/>
      <c r="Q44" s="382"/>
      <c r="R44" s="521"/>
      <c r="S44" s="521"/>
      <c r="T44" s="521"/>
      <c r="U44" s="380"/>
      <c r="V44" s="522"/>
      <c r="W44" s="522"/>
      <c r="X44" s="522"/>
      <c r="Y44" s="382"/>
    </row>
    <row r="45" spans="9:25" ht="12.75" customHeight="1">
      <c r="I45" s="382"/>
      <c r="J45" s="519">
        <f t="shared" ref="J45" si="12">J43+1</f>
        <v>9</v>
      </c>
      <c r="K45" s="519"/>
      <c r="L45" s="519"/>
      <c r="M45" s="380"/>
      <c r="N45" s="520">
        <f t="shared" ref="N45" si="13">N43+1</f>
        <v>47127</v>
      </c>
      <c r="O45" s="519"/>
      <c r="P45" s="519"/>
      <c r="Q45" s="382"/>
      <c r="R45" s="521">
        <f>LOOKUP(ROUNDUP(IF((N45-$R$10)&lt;=0,1,(N45-$R$10))/365,0),'Profit Division'!$A$4:$A$30,'Profit Division'!$C$4:$C$30)</f>
        <v>1.1403848734836686E-4</v>
      </c>
      <c r="S45" s="521"/>
      <c r="T45" s="521"/>
      <c r="U45" s="380"/>
      <c r="V45" s="522">
        <f ca="1">R45*LOOKUP(N45,'reserve calculation'!B:B,'reserve calculation'!D:D)</f>
        <v>49695.253412431659</v>
      </c>
      <c r="W45" s="522"/>
      <c r="X45" s="522"/>
      <c r="Y45" s="382"/>
    </row>
    <row r="46" spans="9:25" ht="12.75" customHeight="1">
      <c r="I46" s="382"/>
      <c r="J46" s="519"/>
      <c r="K46" s="519"/>
      <c r="L46" s="519"/>
      <c r="M46" s="380"/>
      <c r="N46" s="519"/>
      <c r="O46" s="519"/>
      <c r="P46" s="519"/>
      <c r="Q46" s="382"/>
      <c r="R46" s="521"/>
      <c r="S46" s="521"/>
      <c r="T46" s="521"/>
      <c r="U46" s="380"/>
      <c r="V46" s="522"/>
      <c r="W46" s="522"/>
      <c r="X46" s="522"/>
      <c r="Y46" s="382"/>
    </row>
    <row r="47" spans="9:25" ht="12.75" customHeight="1">
      <c r="I47" s="382"/>
      <c r="J47" s="519">
        <f t="shared" ref="J47" si="14">J45+1</f>
        <v>10</v>
      </c>
      <c r="K47" s="519"/>
      <c r="L47" s="519"/>
      <c r="M47" s="380"/>
      <c r="N47" s="520">
        <f t="shared" ref="N47" si="15">N45+1</f>
        <v>47128</v>
      </c>
      <c r="O47" s="519"/>
      <c r="P47" s="519"/>
      <c r="Q47" s="382"/>
      <c r="R47" s="521">
        <f>LOOKUP(ROUNDUP(IF((N47-$R$10)&lt;=0,1,(N47-$R$10))/365,0),'Profit Division'!$A$4:$A$30,'Profit Division'!$C$4:$C$30)</f>
        <v>1.1403848734836686E-4</v>
      </c>
      <c r="S47" s="521"/>
      <c r="T47" s="521"/>
      <c r="U47" s="380"/>
      <c r="V47" s="522">
        <f ca="1">R47*LOOKUP(N47,'reserve calculation'!B:B,'reserve calculation'!D:D)</f>
        <v>49714.285837262345</v>
      </c>
      <c r="W47" s="522"/>
      <c r="X47" s="522"/>
      <c r="Y47" s="382"/>
    </row>
    <row r="48" spans="9:25" ht="12.75" customHeight="1">
      <c r="I48" s="382"/>
      <c r="J48" s="519"/>
      <c r="K48" s="519"/>
      <c r="L48" s="519"/>
      <c r="M48" s="380"/>
      <c r="N48" s="519"/>
      <c r="O48" s="519"/>
      <c r="P48" s="519"/>
      <c r="Q48" s="382"/>
      <c r="R48" s="521"/>
      <c r="S48" s="521"/>
      <c r="T48" s="521"/>
      <c r="U48" s="380"/>
      <c r="V48" s="522"/>
      <c r="W48" s="522"/>
      <c r="X48" s="522"/>
      <c r="Y48" s="382"/>
    </row>
    <row r="49" spans="9:25" ht="12.75" customHeight="1">
      <c r="I49" s="382"/>
      <c r="J49" s="519">
        <f t="shared" ref="J49" si="16">J47+1</f>
        <v>11</v>
      </c>
      <c r="K49" s="519"/>
      <c r="L49" s="519"/>
      <c r="M49" s="380"/>
      <c r="N49" s="520">
        <f t="shared" ref="N49" si="17">N47+1</f>
        <v>47129</v>
      </c>
      <c r="O49" s="519"/>
      <c r="P49" s="519"/>
      <c r="Q49" s="382"/>
      <c r="R49" s="521">
        <f>LOOKUP(ROUNDUP(IF((N49-$R$10)&lt;=0,1,(N49-$R$10))/365,0),'Profit Division'!$A$4:$A$30,'Profit Division'!$C$4:$C$30)</f>
        <v>1.1403848734836686E-4</v>
      </c>
      <c r="S49" s="521"/>
      <c r="T49" s="521"/>
      <c r="U49" s="380"/>
      <c r="V49" s="522">
        <f ca="1">R49*LOOKUP(N49,'reserve calculation'!B:B,'reserve calculation'!D:D)</f>
        <v>49733.325551183436</v>
      </c>
      <c r="W49" s="522"/>
      <c r="X49" s="522"/>
      <c r="Y49" s="382"/>
    </row>
    <row r="50" spans="9:25" ht="12.75" customHeight="1">
      <c r="I50" s="382"/>
      <c r="J50" s="519"/>
      <c r="K50" s="519"/>
      <c r="L50" s="519"/>
      <c r="M50" s="380"/>
      <c r="N50" s="519"/>
      <c r="O50" s="519"/>
      <c r="P50" s="519"/>
      <c r="Q50" s="382"/>
      <c r="R50" s="521"/>
      <c r="S50" s="521"/>
      <c r="T50" s="521"/>
      <c r="U50" s="380"/>
      <c r="V50" s="522"/>
      <c r="W50" s="522"/>
      <c r="X50" s="522"/>
      <c r="Y50" s="382"/>
    </row>
    <row r="51" spans="9:25" ht="12.75" customHeight="1">
      <c r="I51" s="382"/>
      <c r="J51" s="519">
        <f t="shared" ref="J51" si="18">J49+1</f>
        <v>12</v>
      </c>
      <c r="K51" s="519"/>
      <c r="L51" s="519"/>
      <c r="M51" s="380"/>
      <c r="N51" s="520">
        <f t="shared" ref="N51" si="19">N49+1</f>
        <v>47130</v>
      </c>
      <c r="O51" s="519"/>
      <c r="P51" s="519"/>
      <c r="Q51" s="382"/>
      <c r="R51" s="521">
        <f>LOOKUP(ROUNDUP(IF((N51-$R$10)&lt;=0,1,(N51-$R$10))/365,0),'Profit Division'!$A$4:$A$30,'Profit Division'!$C$4:$C$30)</f>
        <v>1.1403848734836686E-4</v>
      </c>
      <c r="S51" s="521"/>
      <c r="T51" s="521"/>
      <c r="U51" s="380"/>
      <c r="V51" s="522">
        <f ca="1">R51*LOOKUP(N51,'reserve calculation'!B:B,'reserve calculation'!D:D)</f>
        <v>49752.372556986535</v>
      </c>
      <c r="W51" s="522"/>
      <c r="X51" s="522"/>
      <c r="Y51" s="382"/>
    </row>
    <row r="52" spans="9:25" ht="12.75" customHeight="1">
      <c r="I52" s="382"/>
      <c r="J52" s="519"/>
      <c r="K52" s="519"/>
      <c r="L52" s="519"/>
      <c r="M52" s="380"/>
      <c r="N52" s="519"/>
      <c r="O52" s="519"/>
      <c r="P52" s="519"/>
      <c r="Q52" s="382"/>
      <c r="R52" s="521"/>
      <c r="S52" s="521"/>
      <c r="T52" s="521"/>
      <c r="U52" s="380"/>
      <c r="V52" s="522"/>
      <c r="W52" s="522"/>
      <c r="X52" s="522"/>
      <c r="Y52" s="382"/>
    </row>
    <row r="53" spans="9:25" ht="12.75" customHeight="1">
      <c r="I53" s="382"/>
      <c r="J53" s="519">
        <f t="shared" ref="J53" si="20">J51+1</f>
        <v>13</v>
      </c>
      <c r="K53" s="519"/>
      <c r="L53" s="519"/>
      <c r="M53" s="380"/>
      <c r="N53" s="520">
        <f t="shared" ref="N53" si="21">N51+1</f>
        <v>47131</v>
      </c>
      <c r="O53" s="519"/>
      <c r="P53" s="519"/>
      <c r="Q53" s="382"/>
      <c r="R53" s="521">
        <f>LOOKUP(ROUNDUP(IF((N53-$R$10)&lt;=0,1,(N53-$R$10))/365,0),'Profit Division'!$A$4:$A$30,'Profit Division'!$C$4:$C$30)</f>
        <v>1.1403848734836686E-4</v>
      </c>
      <c r="S53" s="521"/>
      <c r="T53" s="521"/>
      <c r="U53" s="380"/>
      <c r="V53" s="522">
        <f ca="1">R53*LOOKUP(N53,'reserve calculation'!B:B,'reserve calculation'!D:D)</f>
        <v>49771.426857464292</v>
      </c>
      <c r="W53" s="522"/>
      <c r="X53" s="522"/>
      <c r="Y53" s="382"/>
    </row>
    <row r="54" spans="9:25" ht="12.75" customHeight="1">
      <c r="I54" s="382"/>
      <c r="J54" s="519"/>
      <c r="K54" s="519"/>
      <c r="L54" s="519"/>
      <c r="M54" s="380"/>
      <c r="N54" s="519"/>
      <c r="O54" s="519"/>
      <c r="P54" s="519"/>
      <c r="Q54" s="382"/>
      <c r="R54" s="521"/>
      <c r="S54" s="521"/>
      <c r="T54" s="521"/>
      <c r="U54" s="380"/>
      <c r="V54" s="522"/>
      <c r="W54" s="522"/>
      <c r="X54" s="522"/>
      <c r="Y54" s="382"/>
    </row>
    <row r="55" spans="9:25" ht="12.75" customHeight="1">
      <c r="I55" s="382"/>
      <c r="J55" s="519">
        <f t="shared" ref="J55" si="22">J53+1</f>
        <v>14</v>
      </c>
      <c r="K55" s="519"/>
      <c r="L55" s="519"/>
      <c r="M55" s="380"/>
      <c r="N55" s="520">
        <f t="shared" ref="N55" si="23">N53+1</f>
        <v>47132</v>
      </c>
      <c r="O55" s="519"/>
      <c r="P55" s="519"/>
      <c r="Q55" s="382"/>
      <c r="R55" s="521">
        <f>LOOKUP(ROUNDUP(IF((N55-$R$10)&lt;=0,1,(N55-$R$10))/365,0),'Profit Division'!$A$4:$A$30,'Profit Division'!$C$4:$C$30)</f>
        <v>1.1403848734836686E-4</v>
      </c>
      <c r="S55" s="521"/>
      <c r="T55" s="521"/>
      <c r="U55" s="380"/>
      <c r="V55" s="522">
        <f ca="1">R55*LOOKUP(N55,'reserve calculation'!B:B,'reserve calculation'!D:D)</f>
        <v>49790.488455410465</v>
      </c>
      <c r="W55" s="522"/>
      <c r="X55" s="522"/>
      <c r="Y55" s="382"/>
    </row>
    <row r="56" spans="9:25" ht="12.75" customHeight="1">
      <c r="I56" s="382"/>
      <c r="J56" s="519"/>
      <c r="K56" s="519"/>
      <c r="L56" s="519"/>
      <c r="M56" s="380"/>
      <c r="N56" s="519"/>
      <c r="O56" s="519"/>
      <c r="P56" s="519"/>
      <c r="Q56" s="382"/>
      <c r="R56" s="521"/>
      <c r="S56" s="521"/>
      <c r="T56" s="521"/>
      <c r="U56" s="380"/>
      <c r="V56" s="522"/>
      <c r="W56" s="522"/>
      <c r="X56" s="522"/>
      <c r="Y56" s="382"/>
    </row>
    <row r="57" spans="9:25" ht="12.75" customHeight="1">
      <c r="I57" s="382"/>
      <c r="J57" s="519">
        <f t="shared" ref="J57" si="24">J55+1</f>
        <v>15</v>
      </c>
      <c r="K57" s="519"/>
      <c r="L57" s="519"/>
      <c r="M57" s="380"/>
      <c r="N57" s="520">
        <f t="shared" ref="N57" si="25">N55+1</f>
        <v>47133</v>
      </c>
      <c r="O57" s="519"/>
      <c r="P57" s="519"/>
      <c r="Q57" s="382"/>
      <c r="R57" s="521">
        <f>LOOKUP(ROUNDUP(IF((N57-$R$10)&lt;=0,1,(N57-$R$10))/365,0),'Profit Division'!$A$4:$A$30,'Profit Division'!$C$4:$C$30)</f>
        <v>1.1403848734836686E-4</v>
      </c>
      <c r="S57" s="521"/>
      <c r="T57" s="521"/>
      <c r="U57" s="380"/>
      <c r="V57" s="522">
        <f ca="1">R57*LOOKUP(N57,'reserve calculation'!B:B,'reserve calculation'!D:D)</f>
        <v>49809.557353619843</v>
      </c>
      <c r="W57" s="522"/>
      <c r="X57" s="522"/>
      <c r="Y57" s="382"/>
    </row>
    <row r="58" spans="9:25" ht="12.75" customHeight="1">
      <c r="I58" s="382"/>
      <c r="J58" s="519"/>
      <c r="K58" s="519"/>
      <c r="L58" s="519"/>
      <c r="M58" s="380"/>
      <c r="N58" s="519"/>
      <c r="O58" s="519"/>
      <c r="P58" s="519"/>
      <c r="Q58" s="382"/>
      <c r="R58" s="521"/>
      <c r="S58" s="521"/>
      <c r="T58" s="521"/>
      <c r="U58" s="380"/>
      <c r="V58" s="522"/>
      <c r="W58" s="522"/>
      <c r="X58" s="522"/>
      <c r="Y58" s="382"/>
    </row>
    <row r="59" spans="9:25" ht="12.75" customHeight="1">
      <c r="I59" s="382"/>
      <c r="J59" s="519">
        <f t="shared" ref="J59" si="26">J57+1</f>
        <v>16</v>
      </c>
      <c r="K59" s="519"/>
      <c r="L59" s="519"/>
      <c r="M59" s="380"/>
      <c r="N59" s="520">
        <f t="shared" ref="N59" si="27">N57+1</f>
        <v>47134</v>
      </c>
      <c r="O59" s="519"/>
      <c r="P59" s="519"/>
      <c r="Q59" s="382"/>
      <c r="R59" s="521">
        <f>LOOKUP(ROUNDUP(IF((N59-$R$10)&lt;=0,1,(N59-$R$10))/365,0),'Profit Division'!$A$4:$A$30,'Profit Division'!$C$4:$C$30)</f>
        <v>1.1403848734836686E-4</v>
      </c>
      <c r="S59" s="521"/>
      <c r="T59" s="521"/>
      <c r="U59" s="380"/>
      <c r="V59" s="522">
        <f ca="1">R59*LOOKUP(N59,'reserve calculation'!B:B,'reserve calculation'!D:D)</f>
        <v>49828.633554888293</v>
      </c>
      <c r="W59" s="522"/>
      <c r="X59" s="522"/>
      <c r="Y59" s="382"/>
    </row>
    <row r="60" spans="9:25" ht="12.75" customHeight="1">
      <c r="I60" s="382"/>
      <c r="J60" s="519"/>
      <c r="K60" s="519"/>
      <c r="L60" s="519"/>
      <c r="M60" s="380"/>
      <c r="N60" s="519"/>
      <c r="O60" s="519"/>
      <c r="P60" s="519"/>
      <c r="Q60" s="382"/>
      <c r="R60" s="521"/>
      <c r="S60" s="521"/>
      <c r="T60" s="521"/>
      <c r="U60" s="380"/>
      <c r="V60" s="522"/>
      <c r="W60" s="522"/>
      <c r="X60" s="522"/>
      <c r="Y60" s="382"/>
    </row>
    <row r="61" spans="9:25" ht="12.75" customHeight="1">
      <c r="I61" s="382"/>
      <c r="J61" s="519">
        <f t="shared" ref="J61" si="28">J59+1</f>
        <v>17</v>
      </c>
      <c r="K61" s="519"/>
      <c r="L61" s="519"/>
      <c r="M61" s="380"/>
      <c r="N61" s="520">
        <f t="shared" ref="N61" si="29">N59+1</f>
        <v>47135</v>
      </c>
      <c r="O61" s="519"/>
      <c r="P61" s="519"/>
      <c r="Q61" s="382"/>
      <c r="R61" s="521">
        <f>LOOKUP(ROUNDUP(IF((N61-$R$10)&lt;=0,1,(N61-$R$10))/365,0),'Profit Division'!$A$4:$A$30,'Profit Division'!$C$4:$C$30)</f>
        <v>1.1403848734836686E-4</v>
      </c>
      <c r="S61" s="521"/>
      <c r="T61" s="521"/>
      <c r="U61" s="380"/>
      <c r="V61" s="522">
        <f ca="1">R61*LOOKUP(N61,'reserve calculation'!B:B,'reserve calculation'!D:D)</f>
        <v>49847.71706201278</v>
      </c>
      <c r="W61" s="522"/>
      <c r="X61" s="522"/>
      <c r="Y61" s="382"/>
    </row>
    <row r="62" spans="9:25" ht="12.75" customHeight="1">
      <c r="I62" s="382"/>
      <c r="J62" s="519"/>
      <c r="K62" s="519"/>
      <c r="L62" s="519"/>
      <c r="M62" s="380"/>
      <c r="N62" s="519"/>
      <c r="O62" s="519"/>
      <c r="P62" s="519"/>
      <c r="Q62" s="382"/>
      <c r="R62" s="521"/>
      <c r="S62" s="521"/>
      <c r="T62" s="521"/>
      <c r="U62" s="380"/>
      <c r="V62" s="522"/>
      <c r="W62" s="522"/>
      <c r="X62" s="522"/>
      <c r="Y62" s="382"/>
    </row>
    <row r="63" spans="9:25" ht="12.75" customHeight="1">
      <c r="I63" s="382"/>
      <c r="J63" s="519">
        <f t="shared" ref="J63" si="30">J61+1</f>
        <v>18</v>
      </c>
      <c r="K63" s="519"/>
      <c r="L63" s="519"/>
      <c r="M63" s="380"/>
      <c r="N63" s="520">
        <f t="shared" ref="N63" si="31">N61+1</f>
        <v>47136</v>
      </c>
      <c r="O63" s="519"/>
      <c r="P63" s="519"/>
      <c r="Q63" s="382"/>
      <c r="R63" s="521">
        <f>LOOKUP(ROUNDUP(IF((N63-$R$10)&lt;=0,1,(N63-$R$10))/365,0),'Profit Division'!$A$4:$A$30,'Profit Division'!$C$4:$C$30)</f>
        <v>1.1403848734836686E-4</v>
      </c>
      <c r="S63" s="521"/>
      <c r="T63" s="521"/>
      <c r="U63" s="380"/>
      <c r="V63" s="522">
        <f ca="1">R63*LOOKUP(N63,'reserve calculation'!B:B,'reserve calculation'!D:D)</f>
        <v>49866.807877791303</v>
      </c>
      <c r="W63" s="522"/>
      <c r="X63" s="522"/>
      <c r="Y63" s="382"/>
    </row>
    <row r="64" spans="9:25" ht="12.75" customHeight="1">
      <c r="I64" s="382"/>
      <c r="J64" s="519"/>
      <c r="K64" s="519"/>
      <c r="L64" s="519"/>
      <c r="M64" s="380"/>
      <c r="N64" s="519"/>
      <c r="O64" s="519"/>
      <c r="P64" s="519"/>
      <c r="Q64" s="382"/>
      <c r="R64" s="521"/>
      <c r="S64" s="521"/>
      <c r="T64" s="521"/>
      <c r="U64" s="380"/>
      <c r="V64" s="522"/>
      <c r="W64" s="522"/>
      <c r="X64" s="522"/>
      <c r="Y64" s="382"/>
    </row>
    <row r="65" spans="9:25" ht="12.75" customHeight="1">
      <c r="I65" s="382"/>
      <c r="J65" s="519">
        <f t="shared" ref="J65" si="32">J63+1</f>
        <v>19</v>
      </c>
      <c r="K65" s="519"/>
      <c r="L65" s="519"/>
      <c r="M65" s="380"/>
      <c r="N65" s="520">
        <f t="shared" ref="N65" si="33">N63+1</f>
        <v>47137</v>
      </c>
      <c r="O65" s="519"/>
      <c r="P65" s="519"/>
      <c r="Q65" s="382"/>
      <c r="R65" s="521">
        <f>LOOKUP(ROUNDUP(IF((N65-$R$10)&lt;=0,1,(N65-$R$10))/365,0),'Profit Division'!$A$4:$A$30,'Profit Division'!$C$4:$C$30)</f>
        <v>1.1403848734836686E-4</v>
      </c>
      <c r="S65" s="521"/>
      <c r="T65" s="521"/>
      <c r="U65" s="380"/>
      <c r="V65" s="522">
        <f ca="1">R65*LOOKUP(N65,'reserve calculation'!B:B,'reserve calculation'!D:D)</f>
        <v>49885.906005022967</v>
      </c>
      <c r="W65" s="522"/>
      <c r="X65" s="522"/>
      <c r="Y65" s="382"/>
    </row>
    <row r="66" spans="9:25" ht="12.75" customHeight="1">
      <c r="I66" s="382"/>
      <c r="J66" s="519"/>
      <c r="K66" s="519"/>
      <c r="L66" s="519"/>
      <c r="M66" s="380"/>
      <c r="N66" s="519"/>
      <c r="O66" s="519"/>
      <c r="P66" s="519"/>
      <c r="Q66" s="382"/>
      <c r="R66" s="521"/>
      <c r="S66" s="521"/>
      <c r="T66" s="521"/>
      <c r="U66" s="380"/>
      <c r="V66" s="522"/>
      <c r="W66" s="522"/>
      <c r="X66" s="522"/>
      <c r="Y66" s="382"/>
    </row>
    <row r="67" spans="9:25" ht="12.75" customHeight="1">
      <c r="I67" s="382"/>
      <c r="J67" s="519">
        <f t="shared" ref="J67" si="34">J65+1</f>
        <v>20</v>
      </c>
      <c r="K67" s="519"/>
      <c r="L67" s="519"/>
      <c r="M67" s="380"/>
      <c r="N67" s="520">
        <f t="shared" ref="N67" si="35">N65+1</f>
        <v>47138</v>
      </c>
      <c r="O67" s="519"/>
      <c r="P67" s="519"/>
      <c r="Q67" s="382"/>
      <c r="R67" s="521">
        <f>LOOKUP(ROUNDUP(IF((N67-$R$10)&lt;=0,1,(N67-$R$10))/365,0),'Profit Division'!$A$4:$A$30,'Profit Division'!$C$4:$C$30)</f>
        <v>1.1403848734836686E-4</v>
      </c>
      <c r="S67" s="521"/>
      <c r="T67" s="521"/>
      <c r="U67" s="380"/>
      <c r="V67" s="522">
        <f ca="1">R67*LOOKUP(N67,'reserve calculation'!B:B,'reserve calculation'!D:D)</f>
        <v>49905.011446507924</v>
      </c>
      <c r="W67" s="522"/>
      <c r="X67" s="522"/>
      <c r="Y67" s="382"/>
    </row>
    <row r="68" spans="9:25" ht="12.75" customHeight="1">
      <c r="I68" s="382"/>
      <c r="J68" s="519"/>
      <c r="K68" s="519"/>
      <c r="L68" s="519"/>
      <c r="M68" s="380"/>
      <c r="N68" s="519"/>
      <c r="O68" s="519"/>
      <c r="P68" s="519"/>
      <c r="Q68" s="382"/>
      <c r="R68" s="521"/>
      <c r="S68" s="521"/>
      <c r="T68" s="521"/>
      <c r="U68" s="380"/>
      <c r="V68" s="522"/>
      <c r="W68" s="522"/>
      <c r="X68" s="522"/>
      <c r="Y68" s="382"/>
    </row>
    <row r="69" spans="9:25" ht="12.75" customHeight="1">
      <c r="I69" s="382"/>
      <c r="J69" s="519">
        <f t="shared" ref="J69" si="36">J67+1</f>
        <v>21</v>
      </c>
      <c r="K69" s="519"/>
      <c r="L69" s="519"/>
      <c r="M69" s="380"/>
      <c r="N69" s="520">
        <f t="shared" ref="N69" si="37">N67+1</f>
        <v>47139</v>
      </c>
      <c r="O69" s="519"/>
      <c r="P69" s="519"/>
      <c r="Q69" s="382"/>
      <c r="R69" s="521">
        <f>LOOKUP(ROUNDUP(IF((N69-$R$10)&lt;=0,1,(N69-$R$10))/365,0),'Profit Division'!$A$4:$A$30,'Profit Division'!$C$4:$C$30)</f>
        <v>1.1403848734836686E-4</v>
      </c>
      <c r="S69" s="521"/>
      <c r="T69" s="521"/>
      <c r="U69" s="380"/>
      <c r="V69" s="522">
        <f ca="1">R69*LOOKUP(N69,'reserve calculation'!B:B,'reserve calculation'!D:D)</f>
        <v>49924.124205047403</v>
      </c>
      <c r="W69" s="522"/>
      <c r="X69" s="522"/>
      <c r="Y69" s="382"/>
    </row>
    <row r="70" spans="9:25" ht="12.75" customHeight="1">
      <c r="I70" s="382"/>
      <c r="J70" s="519"/>
      <c r="K70" s="519"/>
      <c r="L70" s="519"/>
      <c r="M70" s="380"/>
      <c r="N70" s="519"/>
      <c r="O70" s="519"/>
      <c r="P70" s="519"/>
      <c r="Q70" s="382"/>
      <c r="R70" s="521"/>
      <c r="S70" s="521"/>
      <c r="T70" s="521"/>
      <c r="U70" s="380"/>
      <c r="V70" s="522"/>
      <c r="W70" s="522"/>
      <c r="X70" s="522"/>
      <c r="Y70" s="382"/>
    </row>
    <row r="71" spans="9:25" ht="12.75" customHeight="1">
      <c r="I71" s="382"/>
      <c r="J71" s="519">
        <f t="shared" ref="J71" si="38">J69+1</f>
        <v>22</v>
      </c>
      <c r="K71" s="519"/>
      <c r="L71" s="519"/>
      <c r="M71" s="380"/>
      <c r="N71" s="520">
        <f t="shared" ref="N71" si="39">N69+1</f>
        <v>47140</v>
      </c>
      <c r="O71" s="519"/>
      <c r="P71" s="519"/>
      <c r="Q71" s="382"/>
      <c r="R71" s="521">
        <f>LOOKUP(ROUNDUP(IF((N71-$R$10)&lt;=0,1,(N71-$R$10))/365,0),'Profit Division'!$A$4:$A$30,'Profit Division'!$C$4:$C$30)</f>
        <v>1.1403848734836686E-4</v>
      </c>
      <c r="S71" s="521"/>
      <c r="T71" s="521"/>
      <c r="U71" s="380"/>
      <c r="V71" s="522">
        <f ca="1">R71*LOOKUP(N71,'reserve calculation'!B:B,'reserve calculation'!D:D)</f>
        <v>49943.244283443724</v>
      </c>
      <c r="W71" s="522"/>
      <c r="X71" s="522"/>
      <c r="Y71" s="382"/>
    </row>
    <row r="72" spans="9:25" ht="12.75" customHeight="1">
      <c r="I72" s="382"/>
      <c r="J72" s="519"/>
      <c r="K72" s="519"/>
      <c r="L72" s="519"/>
      <c r="M72" s="380"/>
      <c r="N72" s="519"/>
      <c r="O72" s="519"/>
      <c r="P72" s="519"/>
      <c r="Q72" s="382"/>
      <c r="R72" s="521"/>
      <c r="S72" s="521"/>
      <c r="T72" s="521"/>
      <c r="U72" s="380"/>
      <c r="V72" s="522"/>
      <c r="W72" s="522"/>
      <c r="X72" s="522"/>
      <c r="Y72" s="382"/>
    </row>
    <row r="73" spans="9:25" ht="12.75" customHeight="1">
      <c r="I73" s="382"/>
      <c r="J73" s="519">
        <f t="shared" ref="J73" si="40">J71+1</f>
        <v>23</v>
      </c>
      <c r="K73" s="519"/>
      <c r="L73" s="519"/>
      <c r="M73" s="380"/>
      <c r="N73" s="520">
        <f t="shared" ref="N73" si="41">N71+1</f>
        <v>47141</v>
      </c>
      <c r="O73" s="519"/>
      <c r="P73" s="519"/>
      <c r="Q73" s="382"/>
      <c r="R73" s="521">
        <f>LOOKUP(ROUNDUP(IF((N73-$R$10)&lt;=0,1,(N73-$R$10))/365,0),'Profit Division'!$A$4:$A$30,'Profit Division'!$C$4:$C$30)</f>
        <v>1.1403848734836686E-4</v>
      </c>
      <c r="S73" s="521"/>
      <c r="T73" s="521"/>
      <c r="U73" s="380"/>
      <c r="V73" s="522">
        <f ca="1">R73*LOOKUP(N73,'reserve calculation'!B:B,'reserve calculation'!D:D)</f>
        <v>49962.371684500242</v>
      </c>
      <c r="W73" s="522"/>
      <c r="X73" s="522"/>
      <c r="Y73" s="382"/>
    </row>
    <row r="74" spans="9:25" ht="12.75" customHeight="1">
      <c r="I74" s="382"/>
      <c r="J74" s="519"/>
      <c r="K74" s="519"/>
      <c r="L74" s="519"/>
      <c r="M74" s="380"/>
      <c r="N74" s="519"/>
      <c r="O74" s="519"/>
      <c r="P74" s="519"/>
      <c r="Q74" s="382"/>
      <c r="R74" s="521"/>
      <c r="S74" s="521"/>
      <c r="T74" s="521"/>
      <c r="U74" s="380"/>
      <c r="V74" s="522"/>
      <c r="W74" s="522"/>
      <c r="X74" s="522"/>
      <c r="Y74" s="382"/>
    </row>
    <row r="75" spans="9:25" ht="12.75" customHeight="1">
      <c r="I75" s="382"/>
      <c r="J75" s="519">
        <f t="shared" ref="J75" si="42">J73+1</f>
        <v>24</v>
      </c>
      <c r="K75" s="519"/>
      <c r="L75" s="519"/>
      <c r="M75" s="380"/>
      <c r="N75" s="520">
        <f t="shared" ref="N75" si="43">N73+1</f>
        <v>47142</v>
      </c>
      <c r="O75" s="519"/>
      <c r="P75" s="519"/>
      <c r="Q75" s="382"/>
      <c r="R75" s="521">
        <f>LOOKUP(ROUNDUP(IF((N75-$R$10)&lt;=0,1,(N75-$R$10))/365,0),'Profit Division'!$A$4:$A$30,'Profit Division'!$C$4:$C$30)</f>
        <v>1.1403848734836686E-4</v>
      </c>
      <c r="S75" s="521"/>
      <c r="T75" s="521"/>
      <c r="U75" s="380"/>
      <c r="V75" s="522">
        <f ca="1">R75*LOOKUP(N75,'reserve calculation'!B:B,'reserve calculation'!D:D)</f>
        <v>49981.50641102143</v>
      </c>
      <c r="W75" s="522"/>
      <c r="X75" s="522"/>
      <c r="Y75" s="382"/>
    </row>
    <row r="76" spans="9:25" ht="12.75" customHeight="1">
      <c r="I76" s="382"/>
      <c r="J76" s="519"/>
      <c r="K76" s="519"/>
      <c r="L76" s="519"/>
      <c r="M76" s="380"/>
      <c r="N76" s="519"/>
      <c r="O76" s="519"/>
      <c r="P76" s="519"/>
      <c r="Q76" s="382"/>
      <c r="R76" s="521"/>
      <c r="S76" s="521"/>
      <c r="T76" s="521"/>
      <c r="U76" s="380"/>
      <c r="V76" s="522"/>
      <c r="W76" s="522"/>
      <c r="X76" s="522"/>
      <c r="Y76" s="382"/>
    </row>
    <row r="77" spans="9:25" ht="12.75" customHeight="1">
      <c r="I77" s="382"/>
      <c r="J77" s="519">
        <f t="shared" ref="J77" si="44">J75+1</f>
        <v>25</v>
      </c>
      <c r="K77" s="519"/>
      <c r="L77" s="519"/>
      <c r="M77" s="380"/>
      <c r="N77" s="520">
        <f t="shared" ref="N77" si="45">N75+1</f>
        <v>47143</v>
      </c>
      <c r="O77" s="519"/>
      <c r="P77" s="519"/>
      <c r="Q77" s="382"/>
      <c r="R77" s="521">
        <f>LOOKUP(ROUNDUP(IF((N77-$R$10)&lt;=0,1,(N77-$R$10))/365,0),'Profit Division'!$A$4:$A$30,'Profit Division'!$C$4:$C$30)</f>
        <v>1.1403848734836686E-4</v>
      </c>
      <c r="S77" s="521"/>
      <c r="T77" s="521"/>
      <c r="U77" s="380"/>
      <c r="V77" s="522">
        <f ca="1">R77*LOOKUP(N77,'reserve calculation'!B:B,'reserve calculation'!D:D)</f>
        <v>50000.64846581281</v>
      </c>
      <c r="W77" s="522"/>
      <c r="X77" s="522"/>
      <c r="Y77" s="382"/>
    </row>
    <row r="78" spans="9:25" ht="12.75" customHeight="1">
      <c r="I78" s="382"/>
      <c r="J78" s="519"/>
      <c r="K78" s="519"/>
      <c r="L78" s="519"/>
      <c r="M78" s="380"/>
      <c r="N78" s="519"/>
      <c r="O78" s="519"/>
      <c r="P78" s="519"/>
      <c r="Q78" s="382"/>
      <c r="R78" s="521"/>
      <c r="S78" s="521"/>
      <c r="T78" s="521"/>
      <c r="U78" s="380"/>
      <c r="V78" s="522"/>
      <c r="W78" s="522"/>
      <c r="X78" s="522"/>
      <c r="Y78" s="382"/>
    </row>
    <row r="79" spans="9:25" ht="12.75" customHeight="1">
      <c r="I79" s="382"/>
      <c r="J79" s="519">
        <f t="shared" ref="J79" si="46">J77+1</f>
        <v>26</v>
      </c>
      <c r="K79" s="519"/>
      <c r="L79" s="519"/>
      <c r="M79" s="380"/>
      <c r="N79" s="520">
        <f t="shared" ref="N79" si="47">N77+1</f>
        <v>47144</v>
      </c>
      <c r="O79" s="519"/>
      <c r="P79" s="519"/>
      <c r="Q79" s="382"/>
      <c r="R79" s="521">
        <f>LOOKUP(ROUNDUP(IF((N79-$R$10)&lt;=0,1,(N79-$R$10))/365,0),'Profit Division'!$A$4:$A$30,'Profit Division'!$C$4:$C$30)</f>
        <v>1.1403848734836686E-4</v>
      </c>
      <c r="S79" s="521"/>
      <c r="T79" s="521"/>
      <c r="U79" s="380"/>
      <c r="V79" s="522">
        <f ca="1">R79*LOOKUP(N79,'reserve calculation'!B:B,'reserve calculation'!D:D)</f>
        <v>50019.797851680982</v>
      </c>
      <c r="W79" s="522"/>
      <c r="X79" s="522"/>
      <c r="Y79" s="382"/>
    </row>
    <row r="80" spans="9:25" ht="12.75" customHeight="1">
      <c r="I80" s="382"/>
      <c r="J80" s="519"/>
      <c r="K80" s="519"/>
      <c r="L80" s="519"/>
      <c r="M80" s="380"/>
      <c r="N80" s="519"/>
      <c r="O80" s="519"/>
      <c r="P80" s="519"/>
      <c r="Q80" s="382"/>
      <c r="R80" s="521"/>
      <c r="S80" s="521"/>
      <c r="T80" s="521"/>
      <c r="U80" s="380"/>
      <c r="V80" s="522"/>
      <c r="W80" s="522"/>
      <c r="X80" s="522"/>
      <c r="Y80" s="382"/>
    </row>
    <row r="81" spans="9:25" ht="12.75" customHeight="1">
      <c r="I81" s="382"/>
      <c r="J81" s="519">
        <f t="shared" ref="J81" si="48">J79+1</f>
        <v>27</v>
      </c>
      <c r="K81" s="519"/>
      <c r="L81" s="519"/>
      <c r="M81" s="380"/>
      <c r="N81" s="520">
        <f t="shared" ref="N81" si="49">N79+1</f>
        <v>47145</v>
      </c>
      <c r="O81" s="519"/>
      <c r="P81" s="519"/>
      <c r="Q81" s="382"/>
      <c r="R81" s="521">
        <f>LOOKUP(ROUNDUP(IF((N81-$R$10)&lt;=0,1,(N81-$R$10))/365,0),'Profit Division'!$A$4:$A$30,'Profit Division'!$C$4:$C$30)</f>
        <v>1.1403848734836686E-4</v>
      </c>
      <c r="S81" s="521"/>
      <c r="T81" s="521"/>
      <c r="U81" s="380"/>
      <c r="V81" s="522">
        <f ca="1">R81*LOOKUP(N81,'reserve calculation'!B:B,'reserve calculation'!D:D)</f>
        <v>50038.95457143362</v>
      </c>
      <c r="W81" s="522"/>
      <c r="X81" s="522"/>
      <c r="Y81" s="382"/>
    </row>
    <row r="82" spans="9:25" ht="12.75" customHeight="1">
      <c r="I82" s="382"/>
      <c r="J82" s="519"/>
      <c r="K82" s="519"/>
      <c r="L82" s="519"/>
      <c r="M82" s="380"/>
      <c r="N82" s="519"/>
      <c r="O82" s="519"/>
      <c r="P82" s="519"/>
      <c r="Q82" s="382"/>
      <c r="R82" s="521"/>
      <c r="S82" s="521"/>
      <c r="T82" s="521"/>
      <c r="U82" s="380"/>
      <c r="V82" s="522"/>
      <c r="W82" s="522"/>
      <c r="X82" s="522"/>
      <c r="Y82" s="382"/>
    </row>
    <row r="83" spans="9:25" ht="12.75" customHeight="1">
      <c r="I83" s="382"/>
      <c r="J83" s="519">
        <f t="shared" ref="J83" si="50">J81+1</f>
        <v>28</v>
      </c>
      <c r="K83" s="519"/>
      <c r="L83" s="519"/>
      <c r="M83" s="380"/>
      <c r="N83" s="520">
        <f t="shared" ref="N83" si="51">N81+1</f>
        <v>47146</v>
      </c>
      <c r="O83" s="519"/>
      <c r="P83" s="519"/>
      <c r="Q83" s="382"/>
      <c r="R83" s="521">
        <f>LOOKUP(ROUNDUP(IF((N83-$R$10)&lt;=0,1,(N83-$R$10))/365,0),'Profit Division'!$A$4:$A$30,'Profit Division'!$C$4:$C$30)</f>
        <v>1.1403848734836686E-4</v>
      </c>
      <c r="S83" s="521"/>
      <c r="T83" s="521"/>
      <c r="U83" s="380"/>
      <c r="V83" s="522">
        <f ca="1">R83*LOOKUP(N83,'reserve calculation'!B:B,'reserve calculation'!D:D)</f>
        <v>50058.11862787947</v>
      </c>
      <c r="W83" s="522"/>
      <c r="X83" s="522"/>
      <c r="Y83" s="382"/>
    </row>
    <row r="84" spans="9:25" ht="12.75" customHeight="1">
      <c r="I84" s="382"/>
      <c r="J84" s="519"/>
      <c r="K84" s="519"/>
      <c r="L84" s="519"/>
      <c r="M84" s="380"/>
      <c r="N84" s="519"/>
      <c r="O84" s="519"/>
      <c r="P84" s="519"/>
      <c r="Q84" s="382"/>
      <c r="R84" s="521"/>
      <c r="S84" s="521"/>
      <c r="T84" s="521"/>
      <c r="U84" s="380"/>
      <c r="V84" s="522"/>
      <c r="W84" s="522"/>
      <c r="X84" s="522"/>
      <c r="Y84" s="382"/>
    </row>
    <row r="85" spans="9:25" ht="12.75" customHeight="1">
      <c r="I85" s="382"/>
      <c r="J85" s="519">
        <f t="shared" ref="J85" si="52">J83+1</f>
        <v>29</v>
      </c>
      <c r="K85" s="519"/>
      <c r="L85" s="519"/>
      <c r="M85" s="380"/>
      <c r="N85" s="520">
        <f t="shared" ref="N85" si="53">N83+1</f>
        <v>47147</v>
      </c>
      <c r="O85" s="519"/>
      <c r="P85" s="519"/>
      <c r="Q85" s="382"/>
      <c r="R85" s="521">
        <f>LOOKUP(ROUNDUP(IF((N85-$R$10)&lt;=0,1,(N85-$R$10))/365,0),'Profit Division'!$A$4:$A$30,'Profit Division'!$C$4:$C$30)</f>
        <v>1.1403848734836686E-4</v>
      </c>
      <c r="S85" s="521"/>
      <c r="T85" s="521"/>
      <c r="U85" s="380"/>
      <c r="V85" s="522">
        <f ca="1">R85*LOOKUP(N85,'reserve calculation'!B:B,'reserve calculation'!D:D)</f>
        <v>50077.290023828369</v>
      </c>
      <c r="W85" s="522"/>
      <c r="X85" s="522"/>
      <c r="Y85" s="382"/>
    </row>
    <row r="86" spans="9:25" ht="12.75" customHeight="1">
      <c r="I86" s="382"/>
      <c r="J86" s="519"/>
      <c r="K86" s="519"/>
      <c r="L86" s="519"/>
      <c r="M86" s="380"/>
      <c r="N86" s="519"/>
      <c r="O86" s="519"/>
      <c r="P86" s="519"/>
      <c r="Q86" s="382"/>
      <c r="R86" s="521"/>
      <c r="S86" s="521"/>
      <c r="T86" s="521"/>
      <c r="U86" s="380"/>
      <c r="V86" s="522"/>
      <c r="W86" s="522"/>
      <c r="X86" s="522"/>
      <c r="Y86" s="382"/>
    </row>
    <row r="87" spans="9:25" ht="12.75" customHeight="1">
      <c r="I87" s="382"/>
      <c r="J87" s="519">
        <f t="shared" ref="J87" si="54">J85+1</f>
        <v>30</v>
      </c>
      <c r="K87" s="519"/>
      <c r="L87" s="519"/>
      <c r="M87" s="380"/>
      <c r="N87" s="520">
        <f t="shared" ref="N87" si="55">N85+1</f>
        <v>47148</v>
      </c>
      <c r="O87" s="519"/>
      <c r="P87" s="519"/>
      <c r="Q87" s="382"/>
      <c r="R87" s="521">
        <f>LOOKUP(ROUNDUP(IF((N87-$R$10)&lt;=0,1,(N87-$R$10))/365,0),'Profit Division'!$A$4:$A$30,'Profit Division'!$C$4:$C$30)</f>
        <v>1.1403848734836686E-4</v>
      </c>
      <c r="S87" s="521"/>
      <c r="T87" s="521"/>
      <c r="U87" s="380"/>
      <c r="V87" s="522">
        <f ca="1">R87*LOOKUP(N87,'reserve calculation'!B:B,'reserve calculation'!D:D)</f>
        <v>50096.468762091215</v>
      </c>
      <c r="W87" s="522"/>
      <c r="X87" s="522"/>
      <c r="Y87" s="382"/>
    </row>
    <row r="88" spans="9:25" ht="12.75" customHeight="1">
      <c r="I88" s="382"/>
      <c r="J88" s="519"/>
      <c r="K88" s="519"/>
      <c r="L88" s="519"/>
      <c r="M88" s="380"/>
      <c r="N88" s="519"/>
      <c r="O88" s="519"/>
      <c r="P88" s="519"/>
      <c r="Q88" s="382"/>
      <c r="R88" s="521"/>
      <c r="S88" s="521"/>
      <c r="T88" s="521"/>
      <c r="U88" s="380"/>
      <c r="V88" s="522"/>
      <c r="W88" s="522"/>
      <c r="X88" s="522"/>
      <c r="Y88" s="382"/>
    </row>
    <row r="89" spans="9:25" ht="12.75" customHeight="1">
      <c r="I89" s="382"/>
      <c r="J89" s="519">
        <f t="shared" ref="J89" si="56">J87+1</f>
        <v>31</v>
      </c>
      <c r="K89" s="519"/>
      <c r="L89" s="519"/>
      <c r="M89" s="380"/>
      <c r="N89" s="520">
        <f t="shared" ref="N89" si="57">N87+1</f>
        <v>47149</v>
      </c>
      <c r="O89" s="519"/>
      <c r="P89" s="519"/>
      <c r="Q89" s="382"/>
      <c r="R89" s="521">
        <f>LOOKUP(ROUNDUP(IF((N89-$R$10)&lt;=0,1,(N89-$R$10))/365,0),'Profit Division'!$A$4:$A$30,'Profit Division'!$C$4:$C$30)</f>
        <v>1.1403848734836686E-4</v>
      </c>
      <c r="S89" s="521"/>
      <c r="T89" s="521"/>
      <c r="U89" s="380"/>
      <c r="V89" s="522">
        <f ca="1">R89*LOOKUP(N89,'reserve calculation'!B:B,'reserve calculation'!D:D)</f>
        <v>50115.654845479992</v>
      </c>
      <c r="W89" s="522"/>
      <c r="X89" s="522"/>
      <c r="Y89" s="382"/>
    </row>
    <row r="90" spans="9:25" ht="12.75" customHeight="1">
      <c r="I90" s="382"/>
      <c r="J90" s="519"/>
      <c r="K90" s="519"/>
      <c r="L90" s="519"/>
      <c r="M90" s="380"/>
      <c r="N90" s="519"/>
      <c r="O90" s="519"/>
      <c r="P90" s="519"/>
      <c r="Q90" s="382"/>
      <c r="R90" s="521"/>
      <c r="S90" s="521"/>
      <c r="T90" s="521"/>
      <c r="U90" s="380"/>
      <c r="V90" s="522"/>
      <c r="W90" s="522"/>
      <c r="X90" s="522"/>
      <c r="Y90" s="382"/>
    </row>
    <row r="91" spans="9:25" ht="12.75" customHeight="1">
      <c r="I91" s="382"/>
      <c r="J91" s="519">
        <f t="shared" ref="J91" si="58">J89+1</f>
        <v>32</v>
      </c>
      <c r="K91" s="519"/>
      <c r="L91" s="519"/>
      <c r="M91" s="380"/>
      <c r="N91" s="520">
        <f t="shared" ref="N91" si="59">N89+1</f>
        <v>47150</v>
      </c>
      <c r="O91" s="519"/>
      <c r="P91" s="519"/>
      <c r="Q91" s="382"/>
      <c r="R91" s="521">
        <f>LOOKUP(ROUNDUP(IF((N91-$R$10)&lt;=0,1,(N91-$R$10))/365,0),'Profit Division'!$A$4:$A$30,'Profit Division'!$C$4:$C$30)</f>
        <v>1.1403848734836686E-4</v>
      </c>
      <c r="S91" s="521"/>
      <c r="T91" s="521"/>
      <c r="U91" s="380"/>
      <c r="V91" s="522">
        <f ca="1">R91*LOOKUP(N91,'reserve calculation'!B:B,'reserve calculation'!D:D)</f>
        <v>50134.848276807759</v>
      </c>
      <c r="W91" s="522"/>
      <c r="X91" s="522"/>
      <c r="Y91" s="382"/>
    </row>
    <row r="92" spans="9:25" ht="12.75" customHeight="1">
      <c r="I92" s="382"/>
      <c r="J92" s="519"/>
      <c r="K92" s="519"/>
      <c r="L92" s="519"/>
      <c r="M92" s="380"/>
      <c r="N92" s="519"/>
      <c r="O92" s="519"/>
      <c r="P92" s="519"/>
      <c r="Q92" s="382"/>
      <c r="R92" s="521"/>
      <c r="S92" s="521"/>
      <c r="T92" s="521"/>
      <c r="U92" s="380"/>
      <c r="V92" s="522"/>
      <c r="W92" s="522"/>
      <c r="X92" s="522"/>
      <c r="Y92" s="382"/>
    </row>
    <row r="93" spans="9:25" ht="12.75" customHeight="1">
      <c r="I93" s="382"/>
      <c r="J93" s="519">
        <f t="shared" ref="J93" si="60">J91+1</f>
        <v>33</v>
      </c>
      <c r="K93" s="519"/>
      <c r="L93" s="519"/>
      <c r="M93" s="380"/>
      <c r="N93" s="520">
        <f t="shared" ref="N93" si="61">N91+1</f>
        <v>47151</v>
      </c>
      <c r="O93" s="519"/>
      <c r="P93" s="519"/>
      <c r="Q93" s="382"/>
      <c r="R93" s="521">
        <f>LOOKUP(ROUNDUP(IF((N93-$R$10)&lt;=0,1,(N93-$R$10))/365,0),'Profit Division'!$A$4:$A$30,'Profit Division'!$C$4:$C$30)</f>
        <v>1.1403848734836686E-4</v>
      </c>
      <c r="S93" s="521"/>
      <c r="T93" s="521"/>
      <c r="U93" s="380"/>
      <c r="V93" s="522">
        <f ca="1">R93*LOOKUP(N93,'reserve calculation'!B:B,'reserve calculation'!D:D)</f>
        <v>50154.049058888639</v>
      </c>
      <c r="W93" s="522"/>
      <c r="X93" s="522"/>
      <c r="Y93" s="382"/>
    </row>
    <row r="94" spans="9:25" ht="12.75" customHeight="1">
      <c r="I94" s="382"/>
      <c r="J94" s="519"/>
      <c r="K94" s="519"/>
      <c r="L94" s="519"/>
      <c r="M94" s="380"/>
      <c r="N94" s="519"/>
      <c r="O94" s="519"/>
      <c r="P94" s="519"/>
      <c r="Q94" s="382"/>
      <c r="R94" s="521"/>
      <c r="S94" s="521"/>
      <c r="T94" s="521"/>
      <c r="U94" s="380"/>
      <c r="V94" s="522"/>
      <c r="W94" s="522"/>
      <c r="X94" s="522"/>
      <c r="Y94" s="382"/>
    </row>
    <row r="95" spans="9:25" ht="12.75" customHeight="1">
      <c r="I95" s="382"/>
      <c r="J95" s="519">
        <f t="shared" ref="J95" si="62">J93+1</f>
        <v>34</v>
      </c>
      <c r="K95" s="519"/>
      <c r="L95" s="519"/>
      <c r="M95" s="380"/>
      <c r="N95" s="520">
        <f t="shared" ref="N95" si="63">N93+1</f>
        <v>47152</v>
      </c>
      <c r="O95" s="519"/>
      <c r="P95" s="519"/>
      <c r="Q95" s="382"/>
      <c r="R95" s="521">
        <f>LOOKUP(ROUNDUP(IF((N95-$R$10)&lt;=0,1,(N95-$R$10))/365,0),'Profit Division'!$A$4:$A$30,'Profit Division'!$C$4:$C$30)</f>
        <v>1.1403848734836686E-4</v>
      </c>
      <c r="S95" s="521"/>
      <c r="T95" s="521"/>
      <c r="U95" s="380"/>
      <c r="V95" s="522">
        <f ca="1">R95*LOOKUP(N95,'reserve calculation'!B:B,'reserve calculation'!D:D)</f>
        <v>50173.257194537844</v>
      </c>
      <c r="W95" s="522"/>
      <c r="X95" s="522"/>
      <c r="Y95" s="382"/>
    </row>
    <row r="96" spans="9:25" ht="12.75" customHeight="1">
      <c r="I96" s="382"/>
      <c r="J96" s="519"/>
      <c r="K96" s="519"/>
      <c r="L96" s="519"/>
      <c r="M96" s="380"/>
      <c r="N96" s="519"/>
      <c r="O96" s="519"/>
      <c r="P96" s="519"/>
      <c r="Q96" s="382"/>
      <c r="R96" s="521"/>
      <c r="S96" s="521"/>
      <c r="T96" s="521"/>
      <c r="U96" s="380"/>
      <c r="V96" s="522"/>
      <c r="W96" s="522"/>
      <c r="X96" s="522"/>
      <c r="Y96" s="382"/>
    </row>
    <row r="97" spans="9:25" ht="12.75" customHeight="1">
      <c r="I97" s="382"/>
      <c r="J97" s="519">
        <f t="shared" ref="J97" si="64">J95+1</f>
        <v>35</v>
      </c>
      <c r="K97" s="519"/>
      <c r="L97" s="519"/>
      <c r="M97" s="380"/>
      <c r="N97" s="520">
        <f t="shared" ref="N97" si="65">N95+1</f>
        <v>47153</v>
      </c>
      <c r="O97" s="519"/>
      <c r="P97" s="519"/>
      <c r="Q97" s="382"/>
      <c r="R97" s="521">
        <f>LOOKUP(ROUNDUP(IF((N97-$R$10)&lt;=0,1,(N97-$R$10))/365,0),'Profit Division'!$A$4:$A$30,'Profit Division'!$C$4:$C$30)</f>
        <v>1.1403848734836686E-4</v>
      </c>
      <c r="S97" s="521"/>
      <c r="T97" s="521"/>
      <c r="U97" s="380"/>
      <c r="V97" s="522">
        <f ca="1">R97*LOOKUP(N97,'reserve calculation'!B:B,'reserve calculation'!D:D)</f>
        <v>50192.472686571673</v>
      </c>
      <c r="W97" s="522"/>
      <c r="X97" s="522"/>
      <c r="Y97" s="382"/>
    </row>
    <row r="98" spans="9:25" ht="12.75" customHeight="1">
      <c r="I98" s="382"/>
      <c r="J98" s="519"/>
      <c r="K98" s="519"/>
      <c r="L98" s="519"/>
      <c r="M98" s="380"/>
      <c r="N98" s="519"/>
      <c r="O98" s="519"/>
      <c r="P98" s="519"/>
      <c r="Q98" s="382"/>
      <c r="R98" s="521"/>
      <c r="S98" s="521"/>
      <c r="T98" s="521"/>
      <c r="U98" s="380"/>
      <c r="V98" s="522"/>
      <c r="W98" s="522"/>
      <c r="X98" s="522"/>
      <c r="Y98" s="382"/>
    </row>
    <row r="99" spans="9:25" ht="12.75" customHeight="1">
      <c r="I99" s="382"/>
      <c r="J99" s="519">
        <f t="shared" ref="J99" si="66">J97+1</f>
        <v>36</v>
      </c>
      <c r="K99" s="519"/>
      <c r="L99" s="519"/>
      <c r="M99" s="380"/>
      <c r="N99" s="520">
        <f t="shared" ref="N99" si="67">N97+1</f>
        <v>47154</v>
      </c>
      <c r="O99" s="519"/>
      <c r="P99" s="519"/>
      <c r="Q99" s="382"/>
      <c r="R99" s="521">
        <f>LOOKUP(ROUNDUP(IF((N99-$R$10)&lt;=0,1,(N99-$R$10))/365,0),'Profit Division'!$A$4:$A$30,'Profit Division'!$C$4:$C$30)</f>
        <v>1.1403848734836686E-4</v>
      </c>
      <c r="S99" s="521"/>
      <c r="T99" s="521"/>
      <c r="U99" s="380"/>
      <c r="V99" s="522">
        <f ca="1">R99*LOOKUP(N99,'reserve calculation'!B:B,'reserve calculation'!D:D)</f>
        <v>50211.695537807493</v>
      </c>
      <c r="W99" s="522"/>
      <c r="X99" s="522"/>
      <c r="Y99" s="382"/>
    </row>
    <row r="100" spans="9:25" ht="12.75" customHeight="1">
      <c r="I100" s="382"/>
      <c r="J100" s="519"/>
      <c r="K100" s="519"/>
      <c r="L100" s="519"/>
      <c r="M100" s="380"/>
      <c r="N100" s="519"/>
      <c r="O100" s="519"/>
      <c r="P100" s="519"/>
      <c r="Q100" s="382"/>
      <c r="R100" s="521"/>
      <c r="S100" s="521"/>
      <c r="T100" s="521"/>
      <c r="U100" s="380"/>
      <c r="V100" s="522"/>
      <c r="W100" s="522"/>
      <c r="X100" s="522"/>
      <c r="Y100" s="382"/>
    </row>
    <row r="101" spans="9:25" ht="12.75" customHeight="1">
      <c r="I101" s="382"/>
      <c r="J101" s="519">
        <f t="shared" ref="J101" si="68">J99+1</f>
        <v>37</v>
      </c>
      <c r="K101" s="519"/>
      <c r="L101" s="519"/>
      <c r="M101" s="380"/>
      <c r="N101" s="520">
        <f t="shared" ref="N101" si="69">N99+1</f>
        <v>47155</v>
      </c>
      <c r="O101" s="519"/>
      <c r="P101" s="519"/>
      <c r="Q101" s="382"/>
      <c r="R101" s="521">
        <f>LOOKUP(ROUNDUP(IF((N101-$R$10)&lt;=0,1,(N101-$R$10))/365,0),'Profit Division'!$A$4:$A$30,'Profit Division'!$C$4:$C$30)</f>
        <v>1.1403848734836686E-4</v>
      </c>
      <c r="S101" s="521"/>
      <c r="T101" s="521"/>
      <c r="U101" s="380"/>
      <c r="V101" s="522">
        <f ca="1">R101*LOOKUP(N101,'reserve calculation'!B:B,'reserve calculation'!D:D)</f>
        <v>50230.925751063747</v>
      </c>
      <c r="W101" s="522"/>
      <c r="X101" s="522"/>
      <c r="Y101" s="382"/>
    </row>
    <row r="102" spans="9:25" ht="12.75" customHeight="1">
      <c r="I102" s="382"/>
      <c r="J102" s="519"/>
      <c r="K102" s="519"/>
      <c r="L102" s="519"/>
      <c r="M102" s="380"/>
      <c r="N102" s="519"/>
      <c r="O102" s="519"/>
      <c r="P102" s="519"/>
      <c r="Q102" s="382"/>
      <c r="R102" s="521"/>
      <c r="S102" s="521"/>
      <c r="T102" s="521"/>
      <c r="U102" s="380"/>
      <c r="V102" s="522"/>
      <c r="W102" s="522"/>
      <c r="X102" s="522"/>
      <c r="Y102" s="382"/>
    </row>
    <row r="103" spans="9:25" ht="12.75" customHeight="1">
      <c r="I103" s="382"/>
      <c r="J103" s="519">
        <f t="shared" ref="J103" si="70">J101+1</f>
        <v>38</v>
      </c>
      <c r="K103" s="519"/>
      <c r="L103" s="519"/>
      <c r="M103" s="380"/>
      <c r="N103" s="520">
        <f t="shared" ref="N103" si="71">N101+1</f>
        <v>47156</v>
      </c>
      <c r="O103" s="519"/>
      <c r="P103" s="519"/>
      <c r="Q103" s="382"/>
      <c r="R103" s="521">
        <f>LOOKUP(ROUNDUP(IF((N103-$R$10)&lt;=0,1,(N103-$R$10))/365,0),'Profit Division'!$A$4:$A$30,'Profit Division'!$C$4:$C$30)</f>
        <v>1.1403848734836686E-4</v>
      </c>
      <c r="S103" s="521"/>
      <c r="T103" s="521"/>
      <c r="U103" s="380"/>
      <c r="V103" s="522">
        <f ca="1">R103*LOOKUP(N103,'reserve calculation'!B:B,'reserve calculation'!D:D)</f>
        <v>50250.163329159965</v>
      </c>
      <c r="W103" s="522"/>
      <c r="X103" s="522"/>
      <c r="Y103" s="382"/>
    </row>
    <row r="104" spans="9:25" ht="12.75" customHeight="1">
      <c r="I104" s="382"/>
      <c r="J104" s="519"/>
      <c r="K104" s="519"/>
      <c r="L104" s="519"/>
      <c r="M104" s="380"/>
      <c r="N104" s="519"/>
      <c r="O104" s="519"/>
      <c r="P104" s="519"/>
      <c r="Q104" s="382"/>
      <c r="R104" s="521"/>
      <c r="S104" s="521"/>
      <c r="T104" s="521"/>
      <c r="U104" s="380"/>
      <c r="V104" s="522"/>
      <c r="W104" s="522"/>
      <c r="X104" s="522"/>
      <c r="Y104" s="382"/>
    </row>
    <row r="105" spans="9:25" ht="12.75" customHeight="1">
      <c r="I105" s="382"/>
      <c r="J105" s="519">
        <f t="shared" ref="J105" si="72">J103+1</f>
        <v>39</v>
      </c>
      <c r="K105" s="519"/>
      <c r="L105" s="519"/>
      <c r="M105" s="380"/>
      <c r="N105" s="520">
        <f t="shared" ref="N105" si="73">N103+1</f>
        <v>47157</v>
      </c>
      <c r="O105" s="519"/>
      <c r="P105" s="519"/>
      <c r="Q105" s="382"/>
      <c r="R105" s="521">
        <f>LOOKUP(ROUNDUP(IF((N105-$R$10)&lt;=0,1,(N105-$R$10))/365,0),'Profit Division'!$A$4:$A$30,'Profit Division'!$C$4:$C$30)</f>
        <v>1.1403848734836686E-4</v>
      </c>
      <c r="S105" s="521"/>
      <c r="T105" s="521"/>
      <c r="U105" s="380"/>
      <c r="V105" s="522">
        <f ca="1">R105*LOOKUP(N105,'reserve calculation'!B:B,'reserve calculation'!D:D)</f>
        <v>50269.40827491675</v>
      </c>
      <c r="W105" s="522"/>
      <c r="X105" s="522"/>
      <c r="Y105" s="382"/>
    </row>
    <row r="106" spans="9:25" ht="12.75" customHeight="1">
      <c r="I106" s="382"/>
      <c r="J106" s="519"/>
      <c r="K106" s="519"/>
      <c r="L106" s="519"/>
      <c r="M106" s="380"/>
      <c r="N106" s="519"/>
      <c r="O106" s="519"/>
      <c r="P106" s="519"/>
      <c r="Q106" s="382"/>
      <c r="R106" s="521"/>
      <c r="S106" s="521"/>
      <c r="T106" s="521"/>
      <c r="U106" s="380"/>
      <c r="V106" s="522"/>
      <c r="W106" s="522"/>
      <c r="X106" s="522"/>
      <c r="Y106" s="382"/>
    </row>
    <row r="107" spans="9:25" ht="12.75" customHeight="1">
      <c r="I107" s="382"/>
      <c r="J107" s="519">
        <f t="shared" ref="J107" si="74">J105+1</f>
        <v>40</v>
      </c>
      <c r="K107" s="519"/>
      <c r="L107" s="519"/>
      <c r="M107" s="380"/>
      <c r="N107" s="520">
        <f t="shared" ref="N107" si="75">N105+1</f>
        <v>47158</v>
      </c>
      <c r="O107" s="519"/>
      <c r="P107" s="519"/>
      <c r="Q107" s="382"/>
      <c r="R107" s="521">
        <f>LOOKUP(ROUNDUP(IF((N107-$R$10)&lt;=0,1,(N107-$R$10))/365,0),'Profit Division'!$A$4:$A$30,'Profit Division'!$C$4:$C$30)</f>
        <v>1.1403848734836686E-4</v>
      </c>
      <c r="S107" s="521"/>
      <c r="T107" s="521"/>
      <c r="U107" s="380"/>
      <c r="V107" s="522">
        <f ca="1">R107*LOOKUP(N107,'reserve calculation'!B:B,'reserve calculation'!D:D)</f>
        <v>50288.660591155785</v>
      </c>
      <c r="W107" s="522"/>
      <c r="X107" s="522"/>
      <c r="Y107" s="382"/>
    </row>
    <row r="108" spans="9:25" ht="12.75" customHeight="1">
      <c r="I108" s="382"/>
      <c r="J108" s="519"/>
      <c r="K108" s="519"/>
      <c r="L108" s="519"/>
      <c r="M108" s="380"/>
      <c r="N108" s="519"/>
      <c r="O108" s="519"/>
      <c r="P108" s="519"/>
      <c r="Q108" s="382"/>
      <c r="R108" s="521"/>
      <c r="S108" s="521"/>
      <c r="T108" s="521"/>
      <c r="U108" s="380"/>
      <c r="V108" s="522"/>
      <c r="W108" s="522"/>
      <c r="X108" s="522"/>
      <c r="Y108" s="382"/>
    </row>
    <row r="109" spans="9:25" ht="12.75" customHeight="1">
      <c r="I109" s="382"/>
      <c r="J109" s="519">
        <f t="shared" ref="J109" si="76">J107+1</f>
        <v>41</v>
      </c>
      <c r="K109" s="519"/>
      <c r="L109" s="519"/>
      <c r="M109" s="380"/>
      <c r="N109" s="520">
        <f t="shared" ref="N109" si="77">N107+1</f>
        <v>47159</v>
      </c>
      <c r="O109" s="519"/>
      <c r="P109" s="519"/>
      <c r="Q109" s="382"/>
      <c r="R109" s="521">
        <f>LOOKUP(ROUNDUP(IF((N109-$R$10)&lt;=0,1,(N109-$R$10))/365,0),'Profit Division'!$A$4:$A$30,'Profit Division'!$C$4:$C$30)</f>
        <v>1.1403848734836686E-4</v>
      </c>
      <c r="S109" s="521"/>
      <c r="T109" s="521"/>
      <c r="U109" s="380"/>
      <c r="V109" s="522">
        <f ca="1">R109*LOOKUP(N109,'reserve calculation'!B:B,'reserve calculation'!D:D)</f>
        <v>50307.920280699851</v>
      </c>
      <c r="W109" s="522"/>
      <c r="X109" s="522"/>
      <c r="Y109" s="382"/>
    </row>
    <row r="110" spans="9:25" ht="12.75" customHeight="1">
      <c r="I110" s="382"/>
      <c r="J110" s="519"/>
      <c r="K110" s="519"/>
      <c r="L110" s="519"/>
      <c r="M110" s="380"/>
      <c r="N110" s="519"/>
      <c r="O110" s="519"/>
      <c r="P110" s="519"/>
      <c r="Q110" s="382"/>
      <c r="R110" s="521"/>
      <c r="S110" s="521"/>
      <c r="T110" s="521"/>
      <c r="U110" s="380"/>
      <c r="V110" s="522"/>
      <c r="W110" s="522"/>
      <c r="X110" s="522"/>
      <c r="Y110" s="382"/>
    </row>
    <row r="111" spans="9:25" ht="12.75" customHeight="1">
      <c r="I111" s="382"/>
      <c r="J111" s="519">
        <f t="shared" ref="J111" si="78">J109+1</f>
        <v>42</v>
      </c>
      <c r="K111" s="519"/>
      <c r="L111" s="519"/>
      <c r="M111" s="380"/>
      <c r="N111" s="520">
        <f t="shared" ref="N111" si="79">N109+1</f>
        <v>47160</v>
      </c>
      <c r="O111" s="519"/>
      <c r="P111" s="519"/>
      <c r="Q111" s="382"/>
      <c r="R111" s="521">
        <f>LOOKUP(ROUNDUP(IF((N111-$R$10)&lt;=0,1,(N111-$R$10))/365,0),'Profit Division'!$A$4:$A$30,'Profit Division'!$C$4:$C$30)</f>
        <v>1.1403848734836686E-4</v>
      </c>
      <c r="S111" s="521"/>
      <c r="T111" s="521"/>
      <c r="U111" s="380"/>
      <c r="V111" s="522">
        <f ca="1">R111*LOOKUP(N111,'reserve calculation'!B:B,'reserve calculation'!D:D)</f>
        <v>50327.18734637279</v>
      </c>
      <c r="W111" s="522"/>
      <c r="X111" s="522"/>
      <c r="Y111" s="382"/>
    </row>
    <row r="112" spans="9:25" ht="12.75" customHeight="1">
      <c r="I112" s="382"/>
      <c r="J112" s="519"/>
      <c r="K112" s="519"/>
      <c r="L112" s="519"/>
      <c r="M112" s="380"/>
      <c r="N112" s="519"/>
      <c r="O112" s="519"/>
      <c r="P112" s="519"/>
      <c r="Q112" s="382"/>
      <c r="R112" s="521"/>
      <c r="S112" s="521"/>
      <c r="T112" s="521"/>
      <c r="U112" s="380"/>
      <c r="V112" s="522"/>
      <c r="W112" s="522"/>
      <c r="X112" s="522"/>
      <c r="Y112" s="382"/>
    </row>
    <row r="113" spans="9:25" ht="12.75" customHeight="1">
      <c r="I113" s="382"/>
      <c r="J113" s="519">
        <f t="shared" ref="J113" si="80">J111+1</f>
        <v>43</v>
      </c>
      <c r="K113" s="519"/>
      <c r="L113" s="519"/>
      <c r="M113" s="380"/>
      <c r="N113" s="520">
        <f t="shared" ref="N113" si="81">N111+1</f>
        <v>47161</v>
      </c>
      <c r="O113" s="519"/>
      <c r="P113" s="519"/>
      <c r="Q113" s="382"/>
      <c r="R113" s="521">
        <f>LOOKUP(ROUNDUP(IF((N113-$R$10)&lt;=0,1,(N113-$R$10))/365,0),'Profit Division'!$A$4:$A$30,'Profit Division'!$C$4:$C$30)</f>
        <v>1.1403848734836686E-4</v>
      </c>
      <c r="S113" s="521"/>
      <c r="T113" s="521"/>
      <c r="U113" s="380"/>
      <c r="V113" s="522">
        <f ca="1">R113*LOOKUP(N113,'reserve calculation'!B:B,'reserve calculation'!D:D)</f>
        <v>50346.461790999529</v>
      </c>
      <c r="W113" s="522"/>
      <c r="X113" s="522"/>
      <c r="Y113" s="382"/>
    </row>
    <row r="114" spans="9:25" ht="12.75" customHeight="1">
      <c r="I114" s="382"/>
      <c r="J114" s="519"/>
      <c r="K114" s="519"/>
      <c r="L114" s="519"/>
      <c r="M114" s="380"/>
      <c r="N114" s="519"/>
      <c r="O114" s="519"/>
      <c r="P114" s="519"/>
      <c r="Q114" s="382"/>
      <c r="R114" s="521"/>
      <c r="S114" s="521"/>
      <c r="T114" s="521"/>
      <c r="U114" s="380"/>
      <c r="V114" s="522"/>
      <c r="W114" s="522"/>
      <c r="X114" s="522"/>
      <c r="Y114" s="382"/>
    </row>
    <row r="115" spans="9:25" ht="12.75" customHeight="1">
      <c r="I115" s="382"/>
      <c r="J115" s="519">
        <f t="shared" ref="J115" si="82">J113+1</f>
        <v>44</v>
      </c>
      <c r="K115" s="519"/>
      <c r="L115" s="519"/>
      <c r="M115" s="380"/>
      <c r="N115" s="520">
        <f t="shared" ref="N115" si="83">N113+1</f>
        <v>47162</v>
      </c>
      <c r="O115" s="519"/>
      <c r="P115" s="519"/>
      <c r="Q115" s="382"/>
      <c r="R115" s="521">
        <f>LOOKUP(ROUNDUP(IF((N115-$R$10)&lt;=0,1,(N115-$R$10))/365,0),'Profit Division'!$A$4:$A$30,'Profit Division'!$C$4:$C$30)</f>
        <v>1.1403848734836686E-4</v>
      </c>
      <c r="S115" s="521"/>
      <c r="T115" s="521"/>
      <c r="U115" s="380"/>
      <c r="V115" s="522">
        <f ca="1">R115*LOOKUP(N115,'reserve calculation'!B:B,'reserve calculation'!D:D)</f>
        <v>50365.743617406079</v>
      </c>
      <c r="W115" s="522"/>
      <c r="X115" s="522"/>
      <c r="Y115" s="382"/>
    </row>
    <row r="116" spans="9:25" ht="12.75" customHeight="1">
      <c r="I116" s="382"/>
      <c r="J116" s="519"/>
      <c r="K116" s="519"/>
      <c r="L116" s="519"/>
      <c r="M116" s="380"/>
      <c r="N116" s="519"/>
      <c r="O116" s="519"/>
      <c r="P116" s="519"/>
      <c r="Q116" s="382"/>
      <c r="R116" s="521"/>
      <c r="S116" s="521"/>
      <c r="T116" s="521"/>
      <c r="U116" s="380"/>
      <c r="V116" s="522"/>
      <c r="W116" s="522"/>
      <c r="X116" s="522"/>
      <c r="Y116" s="382"/>
    </row>
    <row r="117" spans="9:25" ht="12.75" customHeight="1">
      <c r="I117" s="382"/>
      <c r="J117" s="519">
        <f t="shared" ref="J117" si="84">J115+1</f>
        <v>45</v>
      </c>
      <c r="K117" s="519"/>
      <c r="L117" s="519"/>
      <c r="M117" s="380"/>
      <c r="N117" s="520">
        <f t="shared" ref="N117" si="85">N115+1</f>
        <v>47163</v>
      </c>
      <c r="O117" s="519"/>
      <c r="P117" s="519"/>
      <c r="Q117" s="382"/>
      <c r="R117" s="521">
        <f>LOOKUP(ROUNDUP(IF((N117-$R$10)&lt;=0,1,(N117-$R$10))/365,0),'Profit Division'!$A$4:$A$30,'Profit Division'!$C$4:$C$30)</f>
        <v>1.1403848734836686E-4</v>
      </c>
      <c r="S117" s="521"/>
      <c r="T117" s="521"/>
      <c r="U117" s="380"/>
      <c r="V117" s="522">
        <f ca="1">R117*LOOKUP(N117,'reserve calculation'!B:B,'reserve calculation'!D:D)</f>
        <v>50385.032828419542</v>
      </c>
      <c r="W117" s="522"/>
      <c r="X117" s="522"/>
      <c r="Y117" s="382"/>
    </row>
    <row r="118" spans="9:25" ht="12.75" customHeight="1">
      <c r="I118" s="382"/>
      <c r="J118" s="519"/>
      <c r="K118" s="519"/>
      <c r="L118" s="519"/>
      <c r="M118" s="380"/>
      <c r="N118" s="519"/>
      <c r="O118" s="519"/>
      <c r="P118" s="519"/>
      <c r="Q118" s="382"/>
      <c r="R118" s="521"/>
      <c r="S118" s="521"/>
      <c r="T118" s="521"/>
      <c r="U118" s="380"/>
      <c r="V118" s="522"/>
      <c r="W118" s="522"/>
      <c r="X118" s="522"/>
      <c r="Y118" s="382"/>
    </row>
    <row r="119" spans="9:25" ht="12.75" customHeight="1">
      <c r="I119" s="382"/>
      <c r="J119" s="519">
        <f t="shared" ref="J119" si="86">J117+1</f>
        <v>46</v>
      </c>
      <c r="K119" s="519"/>
      <c r="L119" s="519"/>
      <c r="M119" s="380"/>
      <c r="N119" s="520">
        <f t="shared" ref="N119" si="87">N117+1</f>
        <v>47164</v>
      </c>
      <c r="O119" s="519"/>
      <c r="P119" s="519"/>
      <c r="Q119" s="382"/>
      <c r="R119" s="521">
        <f>LOOKUP(ROUNDUP(IF((N119-$R$10)&lt;=0,1,(N119-$R$10))/365,0),'Profit Division'!$A$4:$A$30,'Profit Division'!$C$4:$C$30)</f>
        <v>1.1403848734836686E-4</v>
      </c>
      <c r="S119" s="521"/>
      <c r="T119" s="521"/>
      <c r="U119" s="380"/>
      <c r="V119" s="522">
        <f ca="1">R119*LOOKUP(N119,'reserve calculation'!B:B,'reserve calculation'!D:D)</f>
        <v>50404.329426868098</v>
      </c>
      <c r="W119" s="522"/>
      <c r="X119" s="522"/>
      <c r="Y119" s="382"/>
    </row>
    <row r="120" spans="9:25" ht="12.75" customHeight="1">
      <c r="I120" s="382"/>
      <c r="J120" s="519"/>
      <c r="K120" s="519"/>
      <c r="L120" s="519"/>
      <c r="M120" s="380"/>
      <c r="N120" s="519"/>
      <c r="O120" s="519"/>
      <c r="P120" s="519"/>
      <c r="Q120" s="382"/>
      <c r="R120" s="521"/>
      <c r="S120" s="521"/>
      <c r="T120" s="521"/>
      <c r="U120" s="380"/>
      <c r="V120" s="522"/>
      <c r="W120" s="522"/>
      <c r="X120" s="522"/>
      <c r="Y120" s="382"/>
    </row>
    <row r="121" spans="9:25" ht="12.75" customHeight="1">
      <c r="I121" s="382"/>
      <c r="J121" s="519">
        <f t="shared" ref="J121" si="88">J119+1</f>
        <v>47</v>
      </c>
      <c r="K121" s="519"/>
      <c r="L121" s="519"/>
      <c r="M121" s="380"/>
      <c r="N121" s="520">
        <f t="shared" ref="N121" si="89">N119+1</f>
        <v>47165</v>
      </c>
      <c r="O121" s="519"/>
      <c r="P121" s="519"/>
      <c r="Q121" s="382"/>
      <c r="R121" s="521">
        <f>LOOKUP(ROUNDUP(IF((N121-$R$10)&lt;=0,1,(N121-$R$10))/365,0),'Profit Division'!$A$4:$A$30,'Profit Division'!$C$4:$C$30)</f>
        <v>1.1403848734836686E-4</v>
      </c>
      <c r="S121" s="521"/>
      <c r="T121" s="521"/>
      <c r="U121" s="380"/>
      <c r="V121" s="522">
        <f ca="1">R121*LOOKUP(N121,'reserve calculation'!B:B,'reserve calculation'!D:D)</f>
        <v>50423.633415580989</v>
      </c>
      <c r="W121" s="522"/>
      <c r="X121" s="522"/>
      <c r="Y121" s="382"/>
    </row>
    <row r="122" spans="9:25" ht="12.75" customHeight="1">
      <c r="I122" s="382"/>
      <c r="J122" s="519"/>
      <c r="K122" s="519"/>
      <c r="L122" s="519"/>
      <c r="M122" s="380"/>
      <c r="N122" s="519"/>
      <c r="O122" s="519"/>
      <c r="P122" s="519"/>
      <c r="Q122" s="382"/>
      <c r="R122" s="521"/>
      <c r="S122" s="521"/>
      <c r="T122" s="521"/>
      <c r="U122" s="380"/>
      <c r="V122" s="522"/>
      <c r="W122" s="522"/>
      <c r="X122" s="522"/>
      <c r="Y122" s="382"/>
    </row>
    <row r="123" spans="9:25" ht="12.75" customHeight="1">
      <c r="I123" s="382"/>
      <c r="J123" s="519">
        <f t="shared" ref="J123" si="90">J121+1</f>
        <v>48</v>
      </c>
      <c r="K123" s="519"/>
      <c r="L123" s="519"/>
      <c r="M123" s="380"/>
      <c r="N123" s="520">
        <f t="shared" ref="N123" si="91">N121+1</f>
        <v>47166</v>
      </c>
      <c r="O123" s="519"/>
      <c r="P123" s="519"/>
      <c r="Q123" s="382"/>
      <c r="R123" s="521">
        <f>LOOKUP(ROUNDUP(IF((N123-$R$10)&lt;=0,1,(N123-$R$10))/365,0),'Profit Division'!$A$4:$A$30,'Profit Division'!$C$4:$C$30)</f>
        <v>1.1403848734836686E-4</v>
      </c>
      <c r="S123" s="521"/>
      <c r="T123" s="521"/>
      <c r="U123" s="380"/>
      <c r="V123" s="522">
        <f ca="1">R123*LOOKUP(N123,'reserve calculation'!B:B,'reserve calculation'!D:D)</f>
        <v>50442.944797388569</v>
      </c>
      <c r="W123" s="522"/>
      <c r="X123" s="522"/>
      <c r="Y123" s="382"/>
    </row>
    <row r="124" spans="9:25" ht="12.75" customHeight="1">
      <c r="I124" s="382"/>
      <c r="J124" s="519"/>
      <c r="K124" s="519"/>
      <c r="L124" s="519"/>
      <c r="M124" s="380"/>
      <c r="N124" s="519"/>
      <c r="O124" s="519"/>
      <c r="P124" s="519"/>
      <c r="Q124" s="382"/>
      <c r="R124" s="521"/>
      <c r="S124" s="521"/>
      <c r="T124" s="521"/>
      <c r="U124" s="380"/>
      <c r="V124" s="522"/>
      <c r="W124" s="522"/>
      <c r="X124" s="522"/>
      <c r="Y124" s="382"/>
    </row>
    <row r="125" spans="9:25" ht="12.75" customHeight="1">
      <c r="I125" s="382"/>
      <c r="J125" s="519">
        <f t="shared" ref="J125" si="92">J123+1</f>
        <v>49</v>
      </c>
      <c r="K125" s="519"/>
      <c r="L125" s="519"/>
      <c r="M125" s="380"/>
      <c r="N125" s="520">
        <f t="shared" ref="N125" si="93">N123+1</f>
        <v>47167</v>
      </c>
      <c r="O125" s="519"/>
      <c r="P125" s="519"/>
      <c r="Q125" s="382"/>
      <c r="R125" s="521">
        <f>LOOKUP(ROUNDUP(IF((N125-$R$10)&lt;=0,1,(N125-$R$10))/365,0),'Profit Division'!$A$4:$A$30,'Profit Division'!$C$4:$C$30)</f>
        <v>1.1403848734836686E-4</v>
      </c>
      <c r="S125" s="521"/>
      <c r="T125" s="521"/>
      <c r="U125" s="380"/>
      <c r="V125" s="522">
        <f ca="1">R125*LOOKUP(N125,'reserve calculation'!B:B,'reserve calculation'!D:D)</f>
        <v>50462.26357512227</v>
      </c>
      <c r="W125" s="522"/>
      <c r="X125" s="522"/>
      <c r="Y125" s="382"/>
    </row>
    <row r="126" spans="9:25" ht="12.75" customHeight="1">
      <c r="I126" s="382"/>
      <c r="J126" s="519"/>
      <c r="K126" s="519"/>
      <c r="L126" s="519"/>
      <c r="M126" s="380"/>
      <c r="N126" s="519"/>
      <c r="O126" s="519"/>
      <c r="P126" s="519"/>
      <c r="Q126" s="382"/>
      <c r="R126" s="521"/>
      <c r="S126" s="521"/>
      <c r="T126" s="521"/>
      <c r="U126" s="380"/>
      <c r="V126" s="522"/>
      <c r="W126" s="522"/>
      <c r="X126" s="522"/>
      <c r="Y126" s="382"/>
    </row>
    <row r="127" spans="9:25" ht="12.75" customHeight="1">
      <c r="I127" s="382"/>
      <c r="J127" s="519">
        <f t="shared" ref="J127" si="94">J125+1</f>
        <v>50</v>
      </c>
      <c r="K127" s="519"/>
      <c r="L127" s="519"/>
      <c r="M127" s="380"/>
      <c r="N127" s="520">
        <f t="shared" ref="N127" si="95">N125+1</f>
        <v>47168</v>
      </c>
      <c r="O127" s="519"/>
      <c r="P127" s="519"/>
      <c r="Q127" s="382"/>
      <c r="R127" s="521">
        <f>LOOKUP(ROUNDUP(IF((N127-$R$10)&lt;=0,1,(N127-$R$10))/365,0),'Profit Division'!$A$4:$A$30,'Profit Division'!$C$4:$C$30)</f>
        <v>1.1403848734836686E-4</v>
      </c>
      <c r="S127" s="521"/>
      <c r="T127" s="521"/>
      <c r="U127" s="380"/>
      <c r="V127" s="522">
        <f ca="1">R127*LOOKUP(N127,'reserve calculation'!B:B,'reserve calculation'!D:D)</f>
        <v>50481.5897516146</v>
      </c>
      <c r="W127" s="522"/>
      <c r="X127" s="522"/>
      <c r="Y127" s="382"/>
    </row>
    <row r="128" spans="9:25" ht="12.75" customHeight="1">
      <c r="I128" s="382"/>
      <c r="J128" s="519"/>
      <c r="K128" s="519"/>
      <c r="L128" s="519"/>
      <c r="M128" s="380"/>
      <c r="N128" s="519"/>
      <c r="O128" s="519"/>
      <c r="P128" s="519"/>
      <c r="Q128" s="382"/>
      <c r="R128" s="521"/>
      <c r="S128" s="521"/>
      <c r="T128" s="521"/>
      <c r="U128" s="380"/>
      <c r="V128" s="522"/>
      <c r="W128" s="522"/>
      <c r="X128" s="522"/>
      <c r="Y128" s="382"/>
    </row>
    <row r="129" spans="9:25" ht="12.75" customHeight="1">
      <c r="I129" s="382"/>
      <c r="J129" s="519">
        <f t="shared" ref="J129" si="96">J127+1</f>
        <v>51</v>
      </c>
      <c r="K129" s="519"/>
      <c r="L129" s="519"/>
      <c r="M129" s="380"/>
      <c r="N129" s="520">
        <f t="shared" ref="N129" si="97">N127+1</f>
        <v>47169</v>
      </c>
      <c r="O129" s="519"/>
      <c r="P129" s="519"/>
      <c r="Q129" s="382"/>
      <c r="R129" s="521">
        <f>LOOKUP(ROUNDUP(IF((N129-$R$10)&lt;=0,1,(N129-$R$10))/365,0),'Profit Division'!$A$4:$A$30,'Profit Division'!$C$4:$C$30)</f>
        <v>1.1403848734836686E-4</v>
      </c>
      <c r="S129" s="521"/>
      <c r="T129" s="521"/>
      <c r="U129" s="380"/>
      <c r="V129" s="522">
        <f ca="1">R129*LOOKUP(N129,'reserve calculation'!B:B,'reserve calculation'!D:D)</f>
        <v>50500.923329699159</v>
      </c>
      <c r="W129" s="522"/>
      <c r="X129" s="522"/>
      <c r="Y129" s="382"/>
    </row>
    <row r="130" spans="9:25" ht="12.75" customHeight="1">
      <c r="I130" s="382"/>
      <c r="J130" s="519"/>
      <c r="K130" s="519"/>
      <c r="L130" s="519"/>
      <c r="M130" s="380"/>
      <c r="N130" s="519"/>
      <c r="O130" s="519"/>
      <c r="P130" s="519"/>
      <c r="Q130" s="382"/>
      <c r="R130" s="521"/>
      <c r="S130" s="521"/>
      <c r="T130" s="521"/>
      <c r="U130" s="380"/>
      <c r="V130" s="522"/>
      <c r="W130" s="522"/>
      <c r="X130" s="522"/>
      <c r="Y130" s="382"/>
    </row>
    <row r="131" spans="9:25" ht="12.75" customHeight="1">
      <c r="I131" s="382"/>
      <c r="J131" s="519">
        <f t="shared" ref="J131" si="98">J129+1</f>
        <v>52</v>
      </c>
      <c r="K131" s="519"/>
      <c r="L131" s="519"/>
      <c r="M131" s="380"/>
      <c r="N131" s="520">
        <f t="shared" ref="N131" si="99">N129+1</f>
        <v>47170</v>
      </c>
      <c r="O131" s="519"/>
      <c r="P131" s="519"/>
      <c r="Q131" s="382"/>
      <c r="R131" s="521">
        <f>LOOKUP(ROUNDUP(IF((N131-$R$10)&lt;=0,1,(N131-$R$10))/365,0),'Profit Division'!$A$4:$A$30,'Profit Division'!$C$4:$C$30)</f>
        <v>1.1403848734836686E-4</v>
      </c>
      <c r="S131" s="521"/>
      <c r="T131" s="521"/>
      <c r="U131" s="380"/>
      <c r="V131" s="522">
        <f ca="1">R131*LOOKUP(N131,'reserve calculation'!B:B,'reserve calculation'!D:D)</f>
        <v>50520.264312210624</v>
      </c>
      <c r="W131" s="522"/>
      <c r="X131" s="522"/>
      <c r="Y131" s="382"/>
    </row>
    <row r="132" spans="9:25" ht="12.75" customHeight="1">
      <c r="I132" s="382"/>
      <c r="J132" s="519"/>
      <c r="K132" s="519"/>
      <c r="L132" s="519"/>
      <c r="M132" s="380"/>
      <c r="N132" s="519"/>
      <c r="O132" s="519"/>
      <c r="P132" s="519"/>
      <c r="Q132" s="382"/>
      <c r="R132" s="521"/>
      <c r="S132" s="521"/>
      <c r="T132" s="521"/>
      <c r="U132" s="380"/>
      <c r="V132" s="522"/>
      <c r="W132" s="522"/>
      <c r="X132" s="522"/>
      <c r="Y132" s="382"/>
    </row>
    <row r="133" spans="9:25" ht="12.75" customHeight="1">
      <c r="I133" s="382"/>
      <c r="J133" s="519">
        <f t="shared" ref="J133" si="100">J131+1</f>
        <v>53</v>
      </c>
      <c r="K133" s="519"/>
      <c r="L133" s="519"/>
      <c r="M133" s="380"/>
      <c r="N133" s="520">
        <f t="shared" ref="N133" si="101">N131+1</f>
        <v>47171</v>
      </c>
      <c r="O133" s="519"/>
      <c r="P133" s="519"/>
      <c r="Q133" s="382"/>
      <c r="R133" s="521">
        <f>LOOKUP(ROUNDUP(IF((N133-$R$10)&lt;=0,1,(N133-$R$10))/365,0),'Profit Division'!$A$4:$A$30,'Profit Division'!$C$4:$C$30)</f>
        <v>1.1403848734836686E-4</v>
      </c>
      <c r="S133" s="521"/>
      <c r="T133" s="521"/>
      <c r="U133" s="380"/>
      <c r="V133" s="522">
        <f ca="1">R133*LOOKUP(N133,'reserve calculation'!B:B,'reserve calculation'!D:D)</f>
        <v>50539.61270198477</v>
      </c>
      <c r="W133" s="522"/>
      <c r="X133" s="522"/>
      <c r="Y133" s="382"/>
    </row>
    <row r="134" spans="9:25" ht="12.75" customHeight="1">
      <c r="I134" s="382"/>
      <c r="J134" s="519"/>
      <c r="K134" s="519"/>
      <c r="L134" s="519"/>
      <c r="M134" s="380"/>
      <c r="N134" s="519"/>
      <c r="O134" s="519"/>
      <c r="P134" s="519"/>
      <c r="Q134" s="382"/>
      <c r="R134" s="521"/>
      <c r="S134" s="521"/>
      <c r="T134" s="521"/>
      <c r="U134" s="380"/>
      <c r="V134" s="522"/>
      <c r="W134" s="522"/>
      <c r="X134" s="522"/>
      <c r="Y134" s="382"/>
    </row>
    <row r="135" spans="9:25" ht="12.75" customHeight="1">
      <c r="I135" s="382"/>
      <c r="J135" s="519">
        <f t="shared" ref="J135" si="102">J133+1</f>
        <v>54</v>
      </c>
      <c r="K135" s="519"/>
      <c r="L135" s="519"/>
      <c r="M135" s="380"/>
      <c r="N135" s="520">
        <f t="shared" ref="N135" si="103">N133+1</f>
        <v>47172</v>
      </c>
      <c r="O135" s="519"/>
      <c r="P135" s="519"/>
      <c r="Q135" s="382"/>
      <c r="R135" s="521">
        <f>LOOKUP(ROUNDUP(IF((N135-$R$10)&lt;=0,1,(N135-$R$10))/365,0),'Profit Division'!$A$4:$A$30,'Profit Division'!$C$4:$C$30)</f>
        <v>1.1403848734836686E-4</v>
      </c>
      <c r="S135" s="521"/>
      <c r="T135" s="521"/>
      <c r="U135" s="380"/>
      <c r="V135" s="522">
        <f ca="1">R135*LOOKUP(N135,'reserve calculation'!B:B,'reserve calculation'!D:D)</f>
        <v>50558.96850185845</v>
      </c>
      <c r="W135" s="522"/>
      <c r="X135" s="522"/>
      <c r="Y135" s="382"/>
    </row>
    <row r="136" spans="9:25" ht="12.75" customHeight="1">
      <c r="I136" s="382"/>
      <c r="J136" s="519"/>
      <c r="K136" s="519"/>
      <c r="L136" s="519"/>
      <c r="M136" s="380"/>
      <c r="N136" s="519"/>
      <c r="O136" s="519"/>
      <c r="P136" s="519"/>
      <c r="Q136" s="382"/>
      <c r="R136" s="521"/>
      <c r="S136" s="521"/>
      <c r="T136" s="521"/>
      <c r="U136" s="380"/>
      <c r="V136" s="522"/>
      <c r="W136" s="522"/>
      <c r="X136" s="522"/>
      <c r="Y136" s="382"/>
    </row>
    <row r="137" spans="9:25" ht="12.75" customHeight="1">
      <c r="I137" s="382"/>
      <c r="J137" s="519">
        <f t="shared" ref="J137" si="104">J135+1</f>
        <v>55</v>
      </c>
      <c r="K137" s="519"/>
      <c r="L137" s="519"/>
      <c r="M137" s="380"/>
      <c r="N137" s="520">
        <f t="shared" ref="N137" si="105">N135+1</f>
        <v>47173</v>
      </c>
      <c r="O137" s="519"/>
      <c r="P137" s="519"/>
      <c r="Q137" s="382"/>
      <c r="R137" s="521">
        <f>LOOKUP(ROUNDUP(IF((N137-$R$10)&lt;=0,1,(N137-$R$10))/365,0),'Profit Division'!$A$4:$A$30,'Profit Division'!$C$4:$C$30)</f>
        <v>1.1403848734836686E-4</v>
      </c>
      <c r="S137" s="521"/>
      <c r="T137" s="521"/>
      <c r="U137" s="380"/>
      <c r="V137" s="522">
        <f ca="1">R137*LOOKUP(N137,'reserve calculation'!B:B,'reserve calculation'!D:D)</f>
        <v>50578.331714669592</v>
      </c>
      <c r="W137" s="522"/>
      <c r="X137" s="522"/>
      <c r="Y137" s="382"/>
    </row>
    <row r="138" spans="9:25" ht="12.75" customHeight="1">
      <c r="I138" s="382"/>
      <c r="J138" s="519"/>
      <c r="K138" s="519"/>
      <c r="L138" s="519"/>
      <c r="M138" s="380"/>
      <c r="N138" s="519"/>
      <c r="O138" s="519"/>
      <c r="P138" s="519"/>
      <c r="Q138" s="382"/>
      <c r="R138" s="521"/>
      <c r="S138" s="521"/>
      <c r="T138" s="521"/>
      <c r="U138" s="380"/>
      <c r="V138" s="522"/>
      <c r="W138" s="522"/>
      <c r="X138" s="522"/>
      <c r="Y138" s="382"/>
    </row>
    <row r="139" spans="9:25" ht="12.75" customHeight="1">
      <c r="I139" s="382"/>
      <c r="J139" s="519">
        <f t="shared" ref="J139" si="106">J137+1</f>
        <v>56</v>
      </c>
      <c r="K139" s="519"/>
      <c r="L139" s="519"/>
      <c r="M139" s="380"/>
      <c r="N139" s="520">
        <f t="shared" ref="N139" si="107">N137+1</f>
        <v>47174</v>
      </c>
      <c r="O139" s="519"/>
      <c r="P139" s="519"/>
      <c r="Q139" s="382"/>
      <c r="R139" s="521">
        <f>LOOKUP(ROUNDUP(IF((N139-$R$10)&lt;=0,1,(N139-$R$10))/365,0),'Profit Division'!$A$4:$A$30,'Profit Division'!$C$4:$C$30)</f>
        <v>1.1403848734836686E-4</v>
      </c>
      <c r="S139" s="521"/>
      <c r="T139" s="521"/>
      <c r="U139" s="380"/>
      <c r="V139" s="522">
        <f ca="1">R139*LOOKUP(N139,'reserve calculation'!B:B,'reserve calculation'!D:D)</f>
        <v>50597.702343257231</v>
      </c>
      <c r="W139" s="522"/>
      <c r="X139" s="522"/>
      <c r="Y139" s="382"/>
    </row>
    <row r="140" spans="9:25" ht="12.75" customHeight="1">
      <c r="I140" s="382"/>
      <c r="J140" s="519"/>
      <c r="K140" s="519"/>
      <c r="L140" s="519"/>
      <c r="M140" s="380"/>
      <c r="N140" s="519"/>
      <c r="O140" s="519"/>
      <c r="P140" s="519"/>
      <c r="Q140" s="382"/>
      <c r="R140" s="521"/>
      <c r="S140" s="521"/>
      <c r="T140" s="521"/>
      <c r="U140" s="380"/>
      <c r="V140" s="522"/>
      <c r="W140" s="522"/>
      <c r="X140" s="522"/>
      <c r="Y140" s="382"/>
    </row>
    <row r="141" spans="9:25" ht="12.75" customHeight="1">
      <c r="I141" s="382"/>
      <c r="J141" s="519">
        <f t="shared" ref="J141" si="108">J139+1</f>
        <v>57</v>
      </c>
      <c r="K141" s="519"/>
      <c r="L141" s="519"/>
      <c r="M141" s="380"/>
      <c r="N141" s="520">
        <f t="shared" ref="N141" si="109">N139+1</f>
        <v>47175</v>
      </c>
      <c r="O141" s="519"/>
      <c r="P141" s="519"/>
      <c r="Q141" s="382"/>
      <c r="R141" s="521">
        <f>LOOKUP(ROUNDUP(IF((N141-$R$10)&lt;=0,1,(N141-$R$10))/365,0),'Profit Division'!$A$4:$A$30,'Profit Division'!$C$4:$C$30)</f>
        <v>1.1403848734836686E-4</v>
      </c>
      <c r="S141" s="521"/>
      <c r="T141" s="521"/>
      <c r="U141" s="380"/>
      <c r="V141" s="522">
        <f ca="1">R141*LOOKUP(N141,'reserve calculation'!B:B,'reserve calculation'!D:D)</f>
        <v>50617.080390461488</v>
      </c>
      <c r="W141" s="522"/>
      <c r="X141" s="522"/>
      <c r="Y141" s="382"/>
    </row>
    <row r="142" spans="9:25" ht="12.75" customHeight="1">
      <c r="I142" s="382"/>
      <c r="J142" s="519"/>
      <c r="K142" s="519"/>
      <c r="L142" s="519"/>
      <c r="M142" s="380"/>
      <c r="N142" s="519"/>
      <c r="O142" s="519"/>
      <c r="P142" s="519"/>
      <c r="Q142" s="382"/>
      <c r="R142" s="521"/>
      <c r="S142" s="521"/>
      <c r="T142" s="521"/>
      <c r="U142" s="380"/>
      <c r="V142" s="522"/>
      <c r="W142" s="522"/>
      <c r="X142" s="522"/>
      <c r="Y142" s="382"/>
    </row>
    <row r="143" spans="9:25" ht="12.75" customHeight="1">
      <c r="I143" s="382"/>
      <c r="J143" s="519">
        <f t="shared" ref="J143" si="110">J141+1</f>
        <v>58</v>
      </c>
      <c r="K143" s="519"/>
      <c r="L143" s="519"/>
      <c r="M143" s="380"/>
      <c r="N143" s="520">
        <f t="shared" ref="N143" si="111">N141+1</f>
        <v>47176</v>
      </c>
      <c r="O143" s="519"/>
      <c r="P143" s="519"/>
      <c r="Q143" s="382"/>
      <c r="R143" s="521">
        <f>LOOKUP(ROUNDUP(IF((N143-$R$10)&lt;=0,1,(N143-$R$10))/365,0),'Profit Division'!$A$4:$A$30,'Profit Division'!$C$4:$C$30)</f>
        <v>1.1403848734836686E-4</v>
      </c>
      <c r="S143" s="521"/>
      <c r="T143" s="521"/>
      <c r="U143" s="380"/>
      <c r="V143" s="522">
        <f ca="1">R143*LOOKUP(N143,'reserve calculation'!B:B,'reserve calculation'!D:D)</f>
        <v>50636.465859123549</v>
      </c>
      <c r="W143" s="522"/>
      <c r="X143" s="522"/>
      <c r="Y143" s="382"/>
    </row>
    <row r="144" spans="9:25" ht="12.75" customHeight="1">
      <c r="I144" s="382"/>
      <c r="J144" s="519"/>
      <c r="K144" s="519"/>
      <c r="L144" s="519"/>
      <c r="M144" s="380"/>
      <c r="N144" s="519"/>
      <c r="O144" s="519"/>
      <c r="P144" s="519"/>
      <c r="Q144" s="382"/>
      <c r="R144" s="521"/>
      <c r="S144" s="521"/>
      <c r="T144" s="521"/>
      <c r="U144" s="380"/>
      <c r="V144" s="522"/>
      <c r="W144" s="522"/>
      <c r="X144" s="522"/>
      <c r="Y144" s="382"/>
    </row>
    <row r="145" spans="9:25" ht="12.75" customHeight="1">
      <c r="I145" s="382"/>
      <c r="J145" s="519">
        <f t="shared" ref="J145" si="112">J143+1</f>
        <v>59</v>
      </c>
      <c r="K145" s="519"/>
      <c r="L145" s="519"/>
      <c r="M145" s="380"/>
      <c r="N145" s="520">
        <f t="shared" ref="N145" si="113">N143+1</f>
        <v>47177</v>
      </c>
      <c r="O145" s="519"/>
      <c r="P145" s="519"/>
      <c r="Q145" s="382"/>
      <c r="R145" s="521">
        <f>LOOKUP(ROUNDUP(IF((N145-$R$10)&lt;=0,1,(N145-$R$10))/365,0),'Profit Division'!$A$4:$A$30,'Profit Division'!$C$4:$C$30)</f>
        <v>1.1403848734836686E-4</v>
      </c>
      <c r="S145" s="521"/>
      <c r="T145" s="521"/>
      <c r="U145" s="380"/>
      <c r="V145" s="522">
        <f ca="1">R145*LOOKUP(N145,'reserve calculation'!B:B,'reserve calculation'!D:D)</f>
        <v>50655.858752085725</v>
      </c>
      <c r="W145" s="522"/>
      <c r="X145" s="522"/>
      <c r="Y145" s="382"/>
    </row>
    <row r="146" spans="9:25" ht="12.75" customHeight="1">
      <c r="I146" s="382"/>
      <c r="J146" s="519"/>
      <c r="K146" s="519"/>
      <c r="L146" s="519"/>
      <c r="M146" s="380"/>
      <c r="N146" s="519"/>
      <c r="O146" s="519"/>
      <c r="P146" s="519"/>
      <c r="Q146" s="382"/>
      <c r="R146" s="521"/>
      <c r="S146" s="521"/>
      <c r="T146" s="521"/>
      <c r="U146" s="380"/>
      <c r="V146" s="522"/>
      <c r="W146" s="522"/>
      <c r="X146" s="522"/>
      <c r="Y146" s="382"/>
    </row>
    <row r="147" spans="9:25" ht="12.75" customHeight="1">
      <c r="I147" s="382"/>
      <c r="J147" s="519">
        <f t="shared" ref="J147" si="114">J145+1</f>
        <v>60</v>
      </c>
      <c r="K147" s="519"/>
      <c r="L147" s="519"/>
      <c r="M147" s="380"/>
      <c r="N147" s="520">
        <f t="shared" ref="N147" si="115">N145+1</f>
        <v>47178</v>
      </c>
      <c r="O147" s="519"/>
      <c r="P147" s="519"/>
      <c r="Q147" s="382"/>
      <c r="R147" s="521">
        <f>LOOKUP(ROUNDUP(IF((N147-$R$10)&lt;=0,1,(N147-$R$10))/365,0),'Profit Division'!$A$4:$A$30,'Profit Division'!$C$4:$C$30)</f>
        <v>1.1403848734836686E-4</v>
      </c>
      <c r="S147" s="521"/>
      <c r="T147" s="521"/>
      <c r="U147" s="380"/>
      <c r="V147" s="522">
        <f ca="1">R147*LOOKUP(N147,'reserve calculation'!B:B,'reserve calculation'!D:D)</f>
        <v>50675.259072191388</v>
      </c>
      <c r="W147" s="522"/>
      <c r="X147" s="522"/>
      <c r="Y147" s="382"/>
    </row>
    <row r="148" spans="9:25" ht="12.75" customHeight="1">
      <c r="I148" s="382"/>
      <c r="J148" s="519"/>
      <c r="K148" s="519"/>
      <c r="L148" s="519"/>
      <c r="M148" s="380"/>
      <c r="N148" s="519"/>
      <c r="O148" s="519"/>
      <c r="P148" s="519"/>
      <c r="Q148" s="382"/>
      <c r="R148" s="521"/>
      <c r="S148" s="521"/>
      <c r="T148" s="521"/>
      <c r="U148" s="380"/>
      <c r="V148" s="522"/>
      <c r="W148" s="522"/>
      <c r="X148" s="522"/>
      <c r="Y148" s="382"/>
    </row>
    <row r="149" spans="9:25" ht="12.75" customHeight="1">
      <c r="I149" s="382"/>
      <c r="J149" s="519">
        <f t="shared" ref="J149" si="116">J147+1</f>
        <v>61</v>
      </c>
      <c r="K149" s="519"/>
      <c r="L149" s="519"/>
      <c r="M149" s="380"/>
      <c r="N149" s="520">
        <f t="shared" ref="N149" si="117">N147+1</f>
        <v>47179</v>
      </c>
      <c r="O149" s="519"/>
      <c r="P149" s="519"/>
      <c r="Q149" s="382"/>
      <c r="R149" s="521">
        <f>LOOKUP(ROUNDUP(IF((N149-$R$10)&lt;=0,1,(N149-$R$10))/365,0),'Profit Division'!$A$4:$A$30,'Profit Division'!$C$4:$C$30)</f>
        <v>1.1403848734836686E-4</v>
      </c>
      <c r="S149" s="521"/>
      <c r="T149" s="521"/>
      <c r="U149" s="380"/>
      <c r="V149" s="522">
        <f ca="1">R149*LOOKUP(N149,'reserve calculation'!B:B,'reserve calculation'!D:D)</f>
        <v>50694.666822284991</v>
      </c>
      <c r="W149" s="522"/>
      <c r="X149" s="522"/>
      <c r="Y149" s="382"/>
    </row>
    <row r="150" spans="9:25" ht="12.75" customHeight="1">
      <c r="I150" s="382"/>
      <c r="J150" s="519"/>
      <c r="K150" s="519"/>
      <c r="L150" s="519"/>
      <c r="M150" s="380"/>
      <c r="N150" s="519"/>
      <c r="O150" s="519"/>
      <c r="P150" s="519"/>
      <c r="Q150" s="382"/>
      <c r="R150" s="521"/>
      <c r="S150" s="521"/>
      <c r="T150" s="521"/>
      <c r="U150" s="380"/>
      <c r="V150" s="522"/>
      <c r="W150" s="522"/>
      <c r="X150" s="522"/>
      <c r="Y150" s="382"/>
    </row>
    <row r="151" spans="9:25" ht="12.75" customHeight="1">
      <c r="I151" s="382"/>
      <c r="J151" s="519">
        <f t="shared" ref="J151" si="118">J149+1</f>
        <v>62</v>
      </c>
      <c r="K151" s="519"/>
      <c r="L151" s="519"/>
      <c r="M151" s="380"/>
      <c r="N151" s="520">
        <f t="shared" ref="N151" si="119">N149+1</f>
        <v>47180</v>
      </c>
      <c r="O151" s="519"/>
      <c r="P151" s="519"/>
      <c r="Q151" s="382"/>
      <c r="R151" s="521">
        <f>LOOKUP(ROUNDUP(IF((N151-$R$10)&lt;=0,1,(N151-$R$10))/365,0),'Profit Division'!$A$4:$A$30,'Profit Division'!$C$4:$C$30)</f>
        <v>1.1403848734836686E-4</v>
      </c>
      <c r="S151" s="521"/>
      <c r="T151" s="521"/>
      <c r="U151" s="380"/>
      <c r="V151" s="522">
        <f ca="1">R151*LOOKUP(N151,'reserve calculation'!B:B,'reserve calculation'!D:D)</f>
        <v>50714.082005212113</v>
      </c>
      <c r="W151" s="522"/>
      <c r="X151" s="522"/>
      <c r="Y151" s="382"/>
    </row>
    <row r="152" spans="9:25" ht="12.75" customHeight="1">
      <c r="I152" s="382"/>
      <c r="J152" s="519"/>
      <c r="K152" s="519"/>
      <c r="L152" s="519"/>
      <c r="M152" s="380"/>
      <c r="N152" s="519"/>
      <c r="O152" s="519"/>
      <c r="P152" s="519"/>
      <c r="Q152" s="382"/>
      <c r="R152" s="521"/>
      <c r="S152" s="521"/>
      <c r="T152" s="521"/>
      <c r="U152" s="380"/>
      <c r="V152" s="522"/>
      <c r="W152" s="522"/>
      <c r="X152" s="522"/>
      <c r="Y152" s="382"/>
    </row>
    <row r="153" spans="9:25" ht="12.75" customHeight="1">
      <c r="I153" s="382"/>
      <c r="J153" s="519">
        <f t="shared" ref="J153" si="120">J151+1</f>
        <v>63</v>
      </c>
      <c r="K153" s="519"/>
      <c r="L153" s="519"/>
      <c r="M153" s="380"/>
      <c r="N153" s="520">
        <f t="shared" ref="N153" si="121">N151+1</f>
        <v>47181</v>
      </c>
      <c r="O153" s="519"/>
      <c r="P153" s="519"/>
      <c r="Q153" s="382"/>
      <c r="R153" s="521">
        <f>LOOKUP(ROUNDUP(IF((N153-$R$10)&lt;=0,1,(N153-$R$10))/365,0),'Profit Division'!$A$4:$A$30,'Profit Division'!$C$4:$C$30)</f>
        <v>1.1403848734836686E-4</v>
      </c>
      <c r="S153" s="521"/>
      <c r="T153" s="521"/>
      <c r="U153" s="380"/>
      <c r="V153" s="522">
        <f ca="1">R153*LOOKUP(N153,'reserve calculation'!B:B,'reserve calculation'!D:D)</f>
        <v>50733.504623819383</v>
      </c>
      <c r="W153" s="522"/>
      <c r="X153" s="522"/>
      <c r="Y153" s="382"/>
    </row>
    <row r="154" spans="9:25" ht="12.75" customHeight="1">
      <c r="I154" s="382"/>
      <c r="J154" s="519"/>
      <c r="K154" s="519"/>
      <c r="L154" s="519"/>
      <c r="M154" s="380"/>
      <c r="N154" s="519"/>
      <c r="O154" s="519"/>
      <c r="P154" s="519"/>
      <c r="Q154" s="382"/>
      <c r="R154" s="521"/>
      <c r="S154" s="521"/>
      <c r="T154" s="521"/>
      <c r="U154" s="380"/>
      <c r="V154" s="522"/>
      <c r="W154" s="522"/>
      <c r="X154" s="522"/>
      <c r="Y154" s="382"/>
    </row>
    <row r="155" spans="9:25" ht="12.75" customHeight="1">
      <c r="I155" s="382"/>
      <c r="J155" s="519">
        <f t="shared" ref="J155" si="122">J153+1</f>
        <v>64</v>
      </c>
      <c r="K155" s="519"/>
      <c r="L155" s="519"/>
      <c r="M155" s="380"/>
      <c r="N155" s="520">
        <f t="shared" ref="N155" si="123">N153+1</f>
        <v>47182</v>
      </c>
      <c r="O155" s="519"/>
      <c r="P155" s="519"/>
      <c r="Q155" s="382"/>
      <c r="R155" s="521">
        <f>LOOKUP(ROUNDUP(IF((N155-$R$10)&lt;=0,1,(N155-$R$10))/365,0),'Profit Division'!$A$4:$A$30,'Profit Division'!$C$4:$C$30)</f>
        <v>1.1403848734836686E-4</v>
      </c>
      <c r="S155" s="521"/>
      <c r="T155" s="521"/>
      <c r="U155" s="380"/>
      <c r="V155" s="522">
        <f ca="1">R155*LOOKUP(N155,'reserve calculation'!B:B,'reserve calculation'!D:D)</f>
        <v>50752.934680954553</v>
      </c>
      <c r="W155" s="522"/>
      <c r="X155" s="522"/>
      <c r="Y155" s="382"/>
    </row>
    <row r="156" spans="9:25" ht="12.75" customHeight="1">
      <c r="I156" s="382"/>
      <c r="J156" s="519"/>
      <c r="K156" s="519"/>
      <c r="L156" s="519"/>
      <c r="M156" s="380"/>
      <c r="N156" s="519"/>
      <c r="O156" s="519"/>
      <c r="P156" s="519"/>
      <c r="Q156" s="382"/>
      <c r="R156" s="521"/>
      <c r="S156" s="521"/>
      <c r="T156" s="521"/>
      <c r="U156" s="380"/>
      <c r="V156" s="522"/>
      <c r="W156" s="522"/>
      <c r="X156" s="522"/>
      <c r="Y156" s="382"/>
    </row>
    <row r="157" spans="9:25" ht="12.75" customHeight="1">
      <c r="I157" s="382"/>
      <c r="J157" s="519">
        <f t="shared" ref="J157" si="124">J155+1</f>
        <v>65</v>
      </c>
      <c r="K157" s="519"/>
      <c r="L157" s="519"/>
      <c r="M157" s="380"/>
      <c r="N157" s="520">
        <f t="shared" ref="N157" si="125">N155+1</f>
        <v>47183</v>
      </c>
      <c r="O157" s="519"/>
      <c r="P157" s="519"/>
      <c r="Q157" s="382"/>
      <c r="R157" s="521">
        <f>LOOKUP(ROUNDUP(IF((N157-$R$10)&lt;=0,1,(N157-$R$10))/365,0),'Profit Division'!$A$4:$A$30,'Profit Division'!$C$4:$C$30)</f>
        <v>1.1403848734836686E-4</v>
      </c>
      <c r="S157" s="521"/>
      <c r="T157" s="521"/>
      <c r="U157" s="380"/>
      <c r="V157" s="522">
        <f ca="1">R157*LOOKUP(N157,'reserve calculation'!B:B,'reserve calculation'!D:D)</f>
        <v>50772.372179466438</v>
      </c>
      <c r="W157" s="522"/>
      <c r="X157" s="522"/>
      <c r="Y157" s="382"/>
    </row>
    <row r="158" spans="9:25" ht="12.75" customHeight="1">
      <c r="I158" s="382"/>
      <c r="J158" s="519"/>
      <c r="K158" s="519"/>
      <c r="L158" s="519"/>
      <c r="M158" s="380"/>
      <c r="N158" s="519"/>
      <c r="O158" s="519"/>
      <c r="P158" s="519"/>
      <c r="Q158" s="382"/>
      <c r="R158" s="521"/>
      <c r="S158" s="521"/>
      <c r="T158" s="521"/>
      <c r="U158" s="380"/>
      <c r="V158" s="522"/>
      <c r="W158" s="522"/>
      <c r="X158" s="522"/>
      <c r="Y158" s="382"/>
    </row>
    <row r="159" spans="9:25" ht="12.75" customHeight="1">
      <c r="I159" s="382"/>
      <c r="J159" s="519">
        <f t="shared" ref="J159" si="126">J157+1</f>
        <v>66</v>
      </c>
      <c r="K159" s="519"/>
      <c r="L159" s="519"/>
      <c r="M159" s="380"/>
      <c r="N159" s="520">
        <f t="shared" ref="N159" si="127">N157+1</f>
        <v>47184</v>
      </c>
      <c r="O159" s="519"/>
      <c r="P159" s="519"/>
      <c r="Q159" s="382"/>
      <c r="R159" s="521">
        <f>LOOKUP(ROUNDUP(IF((N159-$R$10)&lt;=0,1,(N159-$R$10))/365,0),'Profit Division'!$A$4:$A$30,'Profit Division'!$C$4:$C$30)</f>
        <v>1.1403848734836686E-4</v>
      </c>
      <c r="S159" s="521"/>
      <c r="T159" s="521"/>
      <c r="U159" s="380"/>
      <c r="V159" s="522">
        <f ca="1">R159*LOOKUP(N159,'reserve calculation'!B:B,'reserve calculation'!D:D)</f>
        <v>50791.817122204964</v>
      </c>
      <c r="W159" s="522"/>
      <c r="X159" s="522"/>
      <c r="Y159" s="382"/>
    </row>
    <row r="160" spans="9:25" ht="12.75" customHeight="1">
      <c r="I160" s="382"/>
      <c r="J160" s="519"/>
      <c r="K160" s="519"/>
      <c r="L160" s="519"/>
      <c r="M160" s="380"/>
      <c r="N160" s="519"/>
      <c r="O160" s="519"/>
      <c r="P160" s="519"/>
      <c r="Q160" s="382"/>
      <c r="R160" s="521"/>
      <c r="S160" s="521"/>
      <c r="T160" s="521"/>
      <c r="U160" s="380"/>
      <c r="V160" s="522"/>
      <c r="W160" s="522"/>
      <c r="X160" s="522"/>
      <c r="Y160" s="382"/>
    </row>
    <row r="161" spans="9:25" ht="12.75" customHeight="1">
      <c r="I161" s="382"/>
      <c r="J161" s="519">
        <f t="shared" ref="J161" si="128">J159+1</f>
        <v>67</v>
      </c>
      <c r="K161" s="519"/>
      <c r="L161" s="519"/>
      <c r="M161" s="380"/>
      <c r="N161" s="520">
        <f t="shared" ref="N161" si="129">N159+1</f>
        <v>47185</v>
      </c>
      <c r="O161" s="519"/>
      <c r="P161" s="519"/>
      <c r="Q161" s="382"/>
      <c r="R161" s="521">
        <f>LOOKUP(ROUNDUP(IF((N161-$R$10)&lt;=0,1,(N161-$R$10))/365,0),'Profit Division'!$A$4:$A$30,'Profit Division'!$C$4:$C$30)</f>
        <v>1.1403848734836686E-4</v>
      </c>
      <c r="S161" s="521"/>
      <c r="T161" s="521"/>
      <c r="U161" s="380"/>
      <c r="V161" s="522">
        <f ca="1">R161*LOOKUP(N161,'reserve calculation'!B:B,'reserve calculation'!D:D)</f>
        <v>50811.269512021143</v>
      </c>
      <c r="W161" s="522"/>
      <c r="X161" s="522"/>
      <c r="Y161" s="382"/>
    </row>
    <row r="162" spans="9:25" ht="12.75" customHeight="1">
      <c r="I162" s="382"/>
      <c r="J162" s="519"/>
      <c r="K162" s="519"/>
      <c r="L162" s="519"/>
      <c r="M162" s="380"/>
      <c r="N162" s="519"/>
      <c r="O162" s="519"/>
      <c r="P162" s="519"/>
      <c r="Q162" s="382"/>
      <c r="R162" s="521"/>
      <c r="S162" s="521"/>
      <c r="T162" s="521"/>
      <c r="U162" s="380"/>
      <c r="V162" s="522"/>
      <c r="W162" s="522"/>
      <c r="X162" s="522"/>
      <c r="Y162" s="382"/>
    </row>
    <row r="163" spans="9:25" ht="12.75" customHeight="1">
      <c r="I163" s="382"/>
      <c r="J163" s="519">
        <f t="shared" ref="J163" si="130">J161+1</f>
        <v>68</v>
      </c>
      <c r="K163" s="519"/>
      <c r="L163" s="519"/>
      <c r="M163" s="380"/>
      <c r="N163" s="520">
        <f t="shared" ref="N163" si="131">N161+1</f>
        <v>47186</v>
      </c>
      <c r="O163" s="519"/>
      <c r="P163" s="519"/>
      <c r="Q163" s="382"/>
      <c r="R163" s="521">
        <f>LOOKUP(ROUNDUP(IF((N163-$R$10)&lt;=0,1,(N163-$R$10))/365,0),'Profit Division'!$A$4:$A$30,'Profit Division'!$C$4:$C$30)</f>
        <v>1.1403848734836686E-4</v>
      </c>
      <c r="S163" s="521"/>
      <c r="T163" s="521"/>
      <c r="U163" s="380"/>
      <c r="V163" s="522">
        <f ca="1">R163*LOOKUP(N163,'reserve calculation'!B:B,'reserve calculation'!D:D)</f>
        <v>50830.72935176707</v>
      </c>
      <c r="W163" s="522"/>
      <c r="X163" s="522"/>
      <c r="Y163" s="382"/>
    </row>
    <row r="164" spans="9:25" ht="12.75" customHeight="1">
      <c r="I164" s="382"/>
      <c r="J164" s="519"/>
      <c r="K164" s="519"/>
      <c r="L164" s="519"/>
      <c r="M164" s="380"/>
      <c r="N164" s="519"/>
      <c r="O164" s="519"/>
      <c r="P164" s="519"/>
      <c r="Q164" s="382"/>
      <c r="R164" s="521"/>
      <c r="S164" s="521"/>
      <c r="T164" s="521"/>
      <c r="U164" s="380"/>
      <c r="V164" s="522"/>
      <c r="W164" s="522"/>
      <c r="X164" s="522"/>
      <c r="Y164" s="382"/>
    </row>
    <row r="165" spans="9:25" ht="12.75" customHeight="1">
      <c r="I165" s="382"/>
      <c r="J165" s="519">
        <f t="shared" ref="J165" si="132">J163+1</f>
        <v>69</v>
      </c>
      <c r="K165" s="519"/>
      <c r="L165" s="519"/>
      <c r="M165" s="380"/>
      <c r="N165" s="520">
        <f t="shared" ref="N165" si="133">N163+1</f>
        <v>47187</v>
      </c>
      <c r="O165" s="519"/>
      <c r="P165" s="519"/>
      <c r="Q165" s="382"/>
      <c r="R165" s="521">
        <f>LOOKUP(ROUNDUP(IF((N165-$R$10)&lt;=0,1,(N165-$R$10))/365,0),'Profit Division'!$A$4:$A$30,'Profit Division'!$C$4:$C$30)</f>
        <v>1.1403848734836686E-4</v>
      </c>
      <c r="S165" s="521"/>
      <c r="T165" s="521"/>
      <c r="U165" s="380"/>
      <c r="V165" s="522">
        <f ca="1">R165*LOOKUP(N165,'reserve calculation'!B:B,'reserve calculation'!D:D)</f>
        <v>50850.196644295946</v>
      </c>
      <c r="W165" s="522"/>
      <c r="X165" s="522"/>
      <c r="Y165" s="382"/>
    </row>
    <row r="166" spans="9:25" ht="12.75" customHeight="1">
      <c r="I166" s="382"/>
      <c r="J166" s="519"/>
      <c r="K166" s="519"/>
      <c r="L166" s="519"/>
      <c r="M166" s="380"/>
      <c r="N166" s="519"/>
      <c r="O166" s="519"/>
      <c r="P166" s="519"/>
      <c r="Q166" s="382"/>
      <c r="R166" s="521"/>
      <c r="S166" s="521"/>
      <c r="T166" s="521"/>
      <c r="U166" s="380"/>
      <c r="V166" s="522"/>
      <c r="W166" s="522"/>
      <c r="X166" s="522"/>
      <c r="Y166" s="382"/>
    </row>
    <row r="167" spans="9:25" ht="12.75" customHeight="1">
      <c r="I167" s="382"/>
      <c r="J167" s="519">
        <f t="shared" ref="J167" si="134">J165+1</f>
        <v>70</v>
      </c>
      <c r="K167" s="519"/>
      <c r="L167" s="519"/>
      <c r="M167" s="380"/>
      <c r="N167" s="520">
        <f t="shared" ref="N167" si="135">N165+1</f>
        <v>47188</v>
      </c>
      <c r="O167" s="519"/>
      <c r="P167" s="519"/>
      <c r="Q167" s="382"/>
      <c r="R167" s="521">
        <f>LOOKUP(ROUNDUP(IF((N167-$R$10)&lt;=0,1,(N167-$R$10))/365,0),'Profit Division'!$A$4:$A$30,'Profit Division'!$C$4:$C$30)</f>
        <v>1.1403848734836686E-4</v>
      </c>
      <c r="S167" s="521"/>
      <c r="T167" s="521"/>
      <c r="U167" s="380"/>
      <c r="V167" s="522">
        <f ca="1">R167*LOOKUP(N167,'reserve calculation'!B:B,'reserve calculation'!D:D)</f>
        <v>50869.671392462056</v>
      </c>
      <c r="W167" s="522"/>
      <c r="X167" s="522"/>
      <c r="Y167" s="382"/>
    </row>
    <row r="168" spans="9:25" ht="12.75" customHeight="1">
      <c r="I168" s="382"/>
      <c r="J168" s="519"/>
      <c r="K168" s="519"/>
      <c r="L168" s="519"/>
      <c r="M168" s="380"/>
      <c r="N168" s="519"/>
      <c r="O168" s="519"/>
      <c r="P168" s="519"/>
      <c r="Q168" s="382"/>
      <c r="R168" s="521"/>
      <c r="S168" s="521"/>
      <c r="T168" s="521"/>
      <c r="U168" s="380"/>
      <c r="V168" s="522"/>
      <c r="W168" s="522"/>
      <c r="X168" s="522"/>
      <c r="Y168" s="382"/>
    </row>
    <row r="169" spans="9:25" ht="12.75" customHeight="1">
      <c r="I169" s="382"/>
      <c r="J169" s="519">
        <f t="shared" ref="J169" si="136">J167+1</f>
        <v>71</v>
      </c>
      <c r="K169" s="519"/>
      <c r="L169" s="519"/>
      <c r="M169" s="380"/>
      <c r="N169" s="520">
        <f t="shared" ref="N169" si="137">N167+1</f>
        <v>47189</v>
      </c>
      <c r="O169" s="519"/>
      <c r="P169" s="519"/>
      <c r="Q169" s="382"/>
      <c r="R169" s="521">
        <f>LOOKUP(ROUNDUP(IF((N169-$R$10)&lt;=0,1,(N169-$R$10))/365,0),'Profit Division'!$A$4:$A$30,'Profit Division'!$C$4:$C$30)</f>
        <v>1.1403848734836686E-4</v>
      </c>
      <c r="S169" s="521"/>
      <c r="T169" s="521"/>
      <c r="U169" s="380"/>
      <c r="V169" s="522">
        <f ca="1">R169*LOOKUP(N169,'reserve calculation'!B:B,'reserve calculation'!D:D)</f>
        <v>50889.153599120778</v>
      </c>
      <c r="W169" s="522"/>
      <c r="X169" s="522"/>
      <c r="Y169" s="382"/>
    </row>
    <row r="170" spans="9:25" ht="12.75" customHeight="1">
      <c r="I170" s="382"/>
      <c r="J170" s="519"/>
      <c r="K170" s="519"/>
      <c r="L170" s="519"/>
      <c r="M170" s="380"/>
      <c r="N170" s="519"/>
      <c r="O170" s="519"/>
      <c r="P170" s="519"/>
      <c r="Q170" s="382"/>
      <c r="R170" s="521"/>
      <c r="S170" s="521"/>
      <c r="T170" s="521"/>
      <c r="U170" s="380"/>
      <c r="V170" s="522"/>
      <c r="W170" s="522"/>
      <c r="X170" s="522"/>
      <c r="Y170" s="382"/>
    </row>
    <row r="171" spans="9:25" ht="12.75" customHeight="1">
      <c r="I171" s="382"/>
      <c r="J171" s="519">
        <f t="shared" ref="J171" si="138">J169+1</f>
        <v>72</v>
      </c>
      <c r="K171" s="519"/>
      <c r="L171" s="519"/>
      <c r="M171" s="380"/>
      <c r="N171" s="520">
        <f t="shared" ref="N171" si="139">N169+1</f>
        <v>47190</v>
      </c>
      <c r="O171" s="519"/>
      <c r="P171" s="519"/>
      <c r="Q171" s="382"/>
      <c r="R171" s="521">
        <f>LOOKUP(ROUNDUP(IF((N171-$R$10)&lt;=0,1,(N171-$R$10))/365,0),'Profit Division'!$A$4:$A$30,'Profit Division'!$C$4:$C$30)</f>
        <v>1.1403848734836686E-4</v>
      </c>
      <c r="S171" s="521"/>
      <c r="T171" s="521"/>
      <c r="U171" s="380"/>
      <c r="V171" s="522">
        <f ca="1">R171*LOOKUP(N171,'reserve calculation'!B:B,'reserve calculation'!D:D)</f>
        <v>50908.643267128595</v>
      </c>
      <c r="W171" s="522"/>
      <c r="X171" s="522"/>
      <c r="Y171" s="382"/>
    </row>
    <row r="172" spans="9:25" ht="12.75" customHeight="1">
      <c r="I172" s="382"/>
      <c r="J172" s="519"/>
      <c r="K172" s="519"/>
      <c r="L172" s="519"/>
      <c r="M172" s="380"/>
      <c r="N172" s="519"/>
      <c r="O172" s="519"/>
      <c r="P172" s="519"/>
      <c r="Q172" s="382"/>
      <c r="R172" s="521"/>
      <c r="S172" s="521"/>
      <c r="T172" s="521"/>
      <c r="U172" s="380"/>
      <c r="V172" s="522"/>
      <c r="W172" s="522"/>
      <c r="X172" s="522"/>
      <c r="Y172" s="382"/>
    </row>
    <row r="173" spans="9:25" ht="12.75" customHeight="1">
      <c r="I173" s="382"/>
      <c r="J173" s="519">
        <f t="shared" ref="J173" si="140">J171+1</f>
        <v>73</v>
      </c>
      <c r="K173" s="519"/>
      <c r="L173" s="519"/>
      <c r="M173" s="380"/>
      <c r="N173" s="520">
        <f t="shared" ref="N173" si="141">N171+1</f>
        <v>47191</v>
      </c>
      <c r="O173" s="519"/>
      <c r="P173" s="519"/>
      <c r="Q173" s="382"/>
      <c r="R173" s="521">
        <f>LOOKUP(ROUNDUP(IF((N173-$R$10)&lt;=0,1,(N173-$R$10))/365,0),'Profit Division'!$A$4:$A$30,'Profit Division'!$C$4:$C$30)</f>
        <v>1.1403848734836686E-4</v>
      </c>
      <c r="S173" s="521"/>
      <c r="T173" s="521"/>
      <c r="U173" s="380"/>
      <c r="V173" s="522">
        <f ca="1">R173*LOOKUP(N173,'reserve calculation'!B:B,'reserve calculation'!D:D)</f>
        <v>50928.140399343058</v>
      </c>
      <c r="W173" s="522"/>
      <c r="X173" s="522"/>
      <c r="Y173" s="382"/>
    </row>
    <row r="174" spans="9:25" ht="12.75" customHeight="1">
      <c r="I174" s="382"/>
      <c r="J174" s="519"/>
      <c r="K174" s="519"/>
      <c r="L174" s="519"/>
      <c r="M174" s="380"/>
      <c r="N174" s="519"/>
      <c r="O174" s="519"/>
      <c r="P174" s="519"/>
      <c r="Q174" s="382"/>
      <c r="R174" s="521"/>
      <c r="S174" s="521"/>
      <c r="T174" s="521"/>
      <c r="U174" s="380"/>
      <c r="V174" s="522"/>
      <c r="W174" s="522"/>
      <c r="X174" s="522"/>
      <c r="Y174" s="382"/>
    </row>
    <row r="175" spans="9:25" ht="12.75" customHeight="1">
      <c r="I175" s="382"/>
      <c r="J175" s="519">
        <f t="shared" ref="J175" si="142">J173+1</f>
        <v>74</v>
      </c>
      <c r="K175" s="519"/>
      <c r="L175" s="519"/>
      <c r="M175" s="380"/>
      <c r="N175" s="520">
        <f t="shared" ref="N175" si="143">N173+1</f>
        <v>47192</v>
      </c>
      <c r="O175" s="519"/>
      <c r="P175" s="519"/>
      <c r="Q175" s="382"/>
      <c r="R175" s="521">
        <f>LOOKUP(ROUNDUP(IF((N175-$R$10)&lt;=0,1,(N175-$R$10))/365,0),'Profit Division'!$A$4:$A$30,'Profit Division'!$C$4:$C$30)</f>
        <v>1.1403848734836686E-4</v>
      </c>
      <c r="S175" s="521"/>
      <c r="T175" s="521"/>
      <c r="U175" s="380"/>
      <c r="V175" s="522">
        <f ca="1">R175*LOOKUP(N175,'reserve calculation'!B:B,'reserve calculation'!D:D)</f>
        <v>50947.644998622847</v>
      </c>
      <c r="W175" s="522"/>
      <c r="X175" s="522"/>
      <c r="Y175" s="382"/>
    </row>
    <row r="176" spans="9:25" ht="12.75" customHeight="1">
      <c r="I176" s="382"/>
      <c r="J176" s="519"/>
      <c r="K176" s="519"/>
      <c r="L176" s="519"/>
      <c r="M176" s="380"/>
      <c r="N176" s="519"/>
      <c r="O176" s="519"/>
      <c r="P176" s="519"/>
      <c r="Q176" s="382"/>
      <c r="R176" s="521"/>
      <c r="S176" s="521"/>
      <c r="T176" s="521"/>
      <c r="U176" s="380"/>
      <c r="V176" s="522"/>
      <c r="W176" s="522"/>
      <c r="X176" s="522"/>
      <c r="Y176" s="382"/>
    </row>
    <row r="177" spans="9:25" ht="12.75" customHeight="1">
      <c r="I177" s="382"/>
      <c r="J177" s="519">
        <f t="shared" ref="J177" si="144">J175+1</f>
        <v>75</v>
      </c>
      <c r="K177" s="519"/>
      <c r="L177" s="519"/>
      <c r="M177" s="380"/>
      <c r="N177" s="520">
        <f t="shared" ref="N177" si="145">N175+1</f>
        <v>47193</v>
      </c>
      <c r="O177" s="519"/>
      <c r="P177" s="519"/>
      <c r="Q177" s="382"/>
      <c r="R177" s="521">
        <f>LOOKUP(ROUNDUP(IF((N177-$R$10)&lt;=0,1,(N177-$R$10))/365,0),'Profit Division'!$A$4:$A$30,'Profit Division'!$C$4:$C$30)</f>
        <v>1.1403848734836686E-4</v>
      </c>
      <c r="S177" s="521"/>
      <c r="T177" s="521"/>
      <c r="U177" s="380"/>
      <c r="V177" s="522">
        <f ca="1">R177*LOOKUP(N177,'reserve calculation'!B:B,'reserve calculation'!D:D)</f>
        <v>50967.15706782772</v>
      </c>
      <c r="W177" s="522"/>
      <c r="X177" s="522"/>
      <c r="Y177" s="382"/>
    </row>
    <row r="178" spans="9:25" ht="12.75" customHeight="1">
      <c r="I178" s="382"/>
      <c r="J178" s="519"/>
      <c r="K178" s="519"/>
      <c r="L178" s="519"/>
      <c r="M178" s="380"/>
      <c r="N178" s="519"/>
      <c r="O178" s="519"/>
      <c r="P178" s="519"/>
      <c r="Q178" s="382"/>
      <c r="R178" s="521"/>
      <c r="S178" s="521"/>
      <c r="T178" s="521"/>
      <c r="U178" s="380"/>
      <c r="V178" s="522"/>
      <c r="W178" s="522"/>
      <c r="X178" s="522"/>
      <c r="Y178" s="382"/>
    </row>
    <row r="179" spans="9:25" ht="12.75" customHeight="1">
      <c r="I179" s="382"/>
      <c r="J179" s="519">
        <f t="shared" ref="J179" si="146">J177+1</f>
        <v>76</v>
      </c>
      <c r="K179" s="519"/>
      <c r="L179" s="519"/>
      <c r="M179" s="380"/>
      <c r="N179" s="520">
        <f t="shared" ref="N179" si="147">N177+1</f>
        <v>47194</v>
      </c>
      <c r="O179" s="519"/>
      <c r="P179" s="519"/>
      <c r="Q179" s="382"/>
      <c r="R179" s="521">
        <f>LOOKUP(ROUNDUP(IF((N179-$R$10)&lt;=0,1,(N179-$R$10))/365,0),'Profit Division'!$A$4:$A$30,'Profit Division'!$C$4:$C$30)</f>
        <v>1.1403848734836686E-4</v>
      </c>
      <c r="S179" s="521"/>
      <c r="T179" s="521"/>
      <c r="U179" s="380"/>
      <c r="V179" s="522">
        <f ca="1">R179*LOOKUP(N179,'reserve calculation'!B:B,'reserve calculation'!D:D)</f>
        <v>50986.676609818511</v>
      </c>
      <c r="W179" s="522"/>
      <c r="X179" s="522"/>
      <c r="Y179" s="382"/>
    </row>
    <row r="180" spans="9:25" ht="12.75" customHeight="1">
      <c r="I180" s="382"/>
      <c r="J180" s="519"/>
      <c r="K180" s="519"/>
      <c r="L180" s="519"/>
      <c r="M180" s="380"/>
      <c r="N180" s="519"/>
      <c r="O180" s="519"/>
      <c r="P180" s="519"/>
      <c r="Q180" s="382"/>
      <c r="R180" s="521"/>
      <c r="S180" s="521"/>
      <c r="T180" s="521"/>
      <c r="U180" s="380"/>
      <c r="V180" s="522"/>
      <c r="W180" s="522"/>
      <c r="X180" s="522"/>
      <c r="Y180" s="382"/>
    </row>
    <row r="181" spans="9:25" ht="12.75" customHeight="1">
      <c r="I181" s="382"/>
      <c r="J181" s="519">
        <f t="shared" ref="J181" si="148">J179+1</f>
        <v>77</v>
      </c>
      <c r="K181" s="519"/>
      <c r="L181" s="519"/>
      <c r="M181" s="380"/>
      <c r="N181" s="520">
        <f t="shared" ref="N181" si="149">N179+1</f>
        <v>47195</v>
      </c>
      <c r="O181" s="519"/>
      <c r="P181" s="519"/>
      <c r="Q181" s="382"/>
      <c r="R181" s="521">
        <f>LOOKUP(ROUNDUP(IF((N181-$R$10)&lt;=0,1,(N181-$R$10))/365,0),'Profit Division'!$A$4:$A$30,'Profit Division'!$C$4:$C$30)</f>
        <v>1.1403848734836686E-4</v>
      </c>
      <c r="S181" s="521"/>
      <c r="T181" s="521"/>
      <c r="U181" s="380"/>
      <c r="V181" s="522">
        <f ca="1">R181*LOOKUP(N181,'reserve calculation'!B:B,'reserve calculation'!D:D)</f>
        <v>51006.203627457187</v>
      </c>
      <c r="W181" s="522"/>
      <c r="X181" s="522"/>
      <c r="Y181" s="382"/>
    </row>
    <row r="182" spans="9:25" ht="12.75" customHeight="1">
      <c r="I182" s="382"/>
      <c r="J182" s="519"/>
      <c r="K182" s="519"/>
      <c r="L182" s="519"/>
      <c r="M182" s="380"/>
      <c r="N182" s="519"/>
      <c r="O182" s="519"/>
      <c r="P182" s="519"/>
      <c r="Q182" s="382"/>
      <c r="R182" s="521"/>
      <c r="S182" s="521"/>
      <c r="T182" s="521"/>
      <c r="U182" s="380"/>
      <c r="V182" s="522"/>
      <c r="W182" s="522"/>
      <c r="X182" s="522"/>
      <c r="Y182" s="382"/>
    </row>
    <row r="183" spans="9:25" ht="12.75" customHeight="1">
      <c r="I183" s="382"/>
      <c r="J183" s="519">
        <f t="shared" ref="J183" si="150">J181+1</f>
        <v>78</v>
      </c>
      <c r="K183" s="519"/>
      <c r="L183" s="519"/>
      <c r="M183" s="380"/>
      <c r="N183" s="520">
        <f t="shared" ref="N183" si="151">N181+1</f>
        <v>47196</v>
      </c>
      <c r="O183" s="519"/>
      <c r="P183" s="519"/>
      <c r="Q183" s="382"/>
      <c r="R183" s="521">
        <f>LOOKUP(ROUNDUP(IF((N183-$R$10)&lt;=0,1,(N183-$R$10))/365,0),'Profit Division'!$A$4:$A$30,'Profit Division'!$C$4:$C$30)</f>
        <v>1.1403848734836686E-4</v>
      </c>
      <c r="S183" s="521"/>
      <c r="T183" s="521"/>
      <c r="U183" s="380"/>
      <c r="V183" s="522">
        <f ca="1">R183*LOOKUP(N183,'reserve calculation'!B:B,'reserve calculation'!D:D)</f>
        <v>51025.738123606781</v>
      </c>
      <c r="W183" s="522"/>
      <c r="X183" s="522"/>
      <c r="Y183" s="382"/>
    </row>
    <row r="184" spans="9:25" ht="12.75" customHeight="1">
      <c r="I184" s="382"/>
      <c r="J184" s="519"/>
      <c r="K184" s="519"/>
      <c r="L184" s="519"/>
      <c r="M184" s="380"/>
      <c r="N184" s="519"/>
      <c r="O184" s="519"/>
      <c r="P184" s="519"/>
      <c r="Q184" s="382"/>
      <c r="R184" s="521"/>
      <c r="S184" s="521"/>
      <c r="T184" s="521"/>
      <c r="U184" s="380"/>
      <c r="V184" s="522"/>
      <c r="W184" s="522"/>
      <c r="X184" s="522"/>
      <c r="Y184" s="382"/>
    </row>
    <row r="185" spans="9:25" ht="12.75" customHeight="1">
      <c r="I185" s="382"/>
      <c r="J185" s="519">
        <f t="shared" ref="J185" si="152">J183+1</f>
        <v>79</v>
      </c>
      <c r="K185" s="519"/>
      <c r="L185" s="519"/>
      <c r="M185" s="380"/>
      <c r="N185" s="520">
        <f t="shared" ref="N185" si="153">N183+1</f>
        <v>47197</v>
      </c>
      <c r="O185" s="519"/>
      <c r="P185" s="519"/>
      <c r="Q185" s="382"/>
      <c r="R185" s="521">
        <f>LOOKUP(ROUNDUP(IF((N185-$R$10)&lt;=0,1,(N185-$R$10))/365,0),'Profit Division'!$A$4:$A$30,'Profit Division'!$C$4:$C$30)</f>
        <v>1.1403848734836686E-4</v>
      </c>
      <c r="S185" s="521"/>
      <c r="T185" s="521"/>
      <c r="U185" s="380"/>
      <c r="V185" s="522">
        <f ca="1">R185*LOOKUP(N185,'reserve calculation'!B:B,'reserve calculation'!D:D)</f>
        <v>51045.280101131437</v>
      </c>
      <c r="W185" s="522"/>
      <c r="X185" s="522"/>
      <c r="Y185" s="382"/>
    </row>
    <row r="186" spans="9:25" ht="12.75" customHeight="1">
      <c r="I186" s="382"/>
      <c r="J186" s="519"/>
      <c r="K186" s="519"/>
      <c r="L186" s="519"/>
      <c r="M186" s="380"/>
      <c r="N186" s="519"/>
      <c r="O186" s="519"/>
      <c r="P186" s="519"/>
      <c r="Q186" s="382"/>
      <c r="R186" s="521"/>
      <c r="S186" s="521"/>
      <c r="T186" s="521"/>
      <c r="U186" s="380"/>
      <c r="V186" s="522"/>
      <c r="W186" s="522"/>
      <c r="X186" s="522"/>
      <c r="Y186" s="382"/>
    </row>
    <row r="187" spans="9:25" ht="12.75" customHeight="1">
      <c r="I187" s="382"/>
      <c r="J187" s="519">
        <f t="shared" ref="J187" si="154">J185+1</f>
        <v>80</v>
      </c>
      <c r="K187" s="519"/>
      <c r="L187" s="519"/>
      <c r="M187" s="380"/>
      <c r="N187" s="520">
        <f t="shared" ref="N187" si="155">N185+1</f>
        <v>47198</v>
      </c>
      <c r="O187" s="519"/>
      <c r="P187" s="519"/>
      <c r="Q187" s="382"/>
      <c r="R187" s="521">
        <f>LOOKUP(ROUNDUP(IF((N187-$R$10)&lt;=0,1,(N187-$R$10))/365,0),'Profit Division'!$A$4:$A$30,'Profit Division'!$C$4:$C$30)</f>
        <v>1.1403848734836686E-4</v>
      </c>
      <c r="S187" s="521"/>
      <c r="T187" s="521"/>
      <c r="U187" s="380"/>
      <c r="V187" s="522">
        <f ca="1">R187*LOOKUP(N187,'reserve calculation'!B:B,'reserve calculation'!D:D)</f>
        <v>51064.829562896397</v>
      </c>
      <c r="W187" s="522"/>
      <c r="X187" s="522"/>
      <c r="Y187" s="382"/>
    </row>
    <row r="188" spans="9:25" ht="12.75" customHeight="1">
      <c r="I188" s="382"/>
      <c r="J188" s="519"/>
      <c r="K188" s="519"/>
      <c r="L188" s="519"/>
      <c r="M188" s="380"/>
      <c r="N188" s="519"/>
      <c r="O188" s="519"/>
      <c r="P188" s="519"/>
      <c r="Q188" s="382"/>
      <c r="R188" s="521"/>
      <c r="S188" s="521"/>
      <c r="T188" s="521"/>
      <c r="U188" s="380"/>
      <c r="V188" s="522"/>
      <c r="W188" s="522"/>
      <c r="X188" s="522"/>
      <c r="Y188" s="382"/>
    </row>
    <row r="189" spans="9:25" ht="12.75" customHeight="1">
      <c r="I189" s="382"/>
      <c r="J189" s="519">
        <f t="shared" ref="J189" si="156">J187+1</f>
        <v>81</v>
      </c>
      <c r="K189" s="519"/>
      <c r="L189" s="519"/>
      <c r="M189" s="380"/>
      <c r="N189" s="520">
        <f t="shared" ref="N189" si="157">N187+1</f>
        <v>47199</v>
      </c>
      <c r="O189" s="519"/>
      <c r="P189" s="519"/>
      <c r="Q189" s="382"/>
      <c r="R189" s="521">
        <f>LOOKUP(ROUNDUP(IF((N189-$R$10)&lt;=0,1,(N189-$R$10))/365,0),'Profit Division'!$A$4:$A$30,'Profit Division'!$C$4:$C$30)</f>
        <v>1.1403848734836686E-4</v>
      </c>
      <c r="S189" s="521"/>
      <c r="T189" s="521"/>
      <c r="U189" s="380"/>
      <c r="V189" s="522">
        <f ca="1">R189*LOOKUP(N189,'reserve calculation'!B:B,'reserve calculation'!D:D)</f>
        <v>51084.386511767982</v>
      </c>
      <c r="W189" s="522"/>
      <c r="X189" s="522"/>
      <c r="Y189" s="382"/>
    </row>
    <row r="190" spans="9:25" ht="12.75" customHeight="1">
      <c r="I190" s="382"/>
      <c r="J190" s="519"/>
      <c r="K190" s="519"/>
      <c r="L190" s="519"/>
      <c r="M190" s="380"/>
      <c r="N190" s="519"/>
      <c r="O190" s="519"/>
      <c r="P190" s="519"/>
      <c r="Q190" s="382"/>
      <c r="R190" s="521"/>
      <c r="S190" s="521"/>
      <c r="T190" s="521"/>
      <c r="U190" s="380"/>
      <c r="V190" s="522"/>
      <c r="W190" s="522"/>
      <c r="X190" s="522"/>
      <c r="Y190" s="382"/>
    </row>
    <row r="191" spans="9:25" ht="12.75" customHeight="1">
      <c r="I191" s="382"/>
      <c r="J191" s="519">
        <f t="shared" ref="J191" si="158">J189+1</f>
        <v>82</v>
      </c>
      <c r="K191" s="519"/>
      <c r="L191" s="519"/>
      <c r="M191" s="380"/>
      <c r="N191" s="520">
        <f t="shared" ref="N191" si="159">N189+1</f>
        <v>47200</v>
      </c>
      <c r="O191" s="519"/>
      <c r="P191" s="519"/>
      <c r="Q191" s="382"/>
      <c r="R191" s="521">
        <f>LOOKUP(ROUNDUP(IF((N191-$R$10)&lt;=0,1,(N191-$R$10))/365,0),'Profit Division'!$A$4:$A$30,'Profit Division'!$C$4:$C$30)</f>
        <v>1.1403848734836686E-4</v>
      </c>
      <c r="S191" s="521"/>
      <c r="T191" s="521"/>
      <c r="U191" s="380"/>
      <c r="V191" s="522">
        <f ca="1">R191*LOOKUP(N191,'reserve calculation'!B:B,'reserve calculation'!D:D)</f>
        <v>51103.950950613638</v>
      </c>
      <c r="W191" s="522"/>
      <c r="X191" s="522"/>
      <c r="Y191" s="382"/>
    </row>
    <row r="192" spans="9:25" ht="12.75" customHeight="1">
      <c r="I192" s="382"/>
      <c r="J192" s="519"/>
      <c r="K192" s="519"/>
      <c r="L192" s="519"/>
      <c r="M192" s="380"/>
      <c r="N192" s="519"/>
      <c r="O192" s="519"/>
      <c r="P192" s="519"/>
      <c r="Q192" s="382"/>
      <c r="R192" s="521"/>
      <c r="S192" s="521"/>
      <c r="T192" s="521"/>
      <c r="U192" s="380"/>
      <c r="V192" s="522"/>
      <c r="W192" s="522"/>
      <c r="X192" s="522"/>
      <c r="Y192" s="382"/>
    </row>
    <row r="193" spans="9:25" ht="12.75" customHeight="1">
      <c r="I193" s="382"/>
      <c r="J193" s="519">
        <f t="shared" ref="J193" si="160">J191+1</f>
        <v>83</v>
      </c>
      <c r="K193" s="519"/>
      <c r="L193" s="519"/>
      <c r="M193" s="380"/>
      <c r="N193" s="520">
        <f t="shared" ref="N193" si="161">N191+1</f>
        <v>47201</v>
      </c>
      <c r="O193" s="519"/>
      <c r="P193" s="519"/>
      <c r="Q193" s="382"/>
      <c r="R193" s="521">
        <f>LOOKUP(ROUNDUP(IF((N193-$R$10)&lt;=0,1,(N193-$R$10))/365,0),'Profit Division'!$A$4:$A$30,'Profit Division'!$C$4:$C$30)</f>
        <v>1.1403848734836686E-4</v>
      </c>
      <c r="S193" s="521"/>
      <c r="T193" s="521"/>
      <c r="U193" s="380"/>
      <c r="V193" s="522">
        <f ca="1">R193*LOOKUP(N193,'reserve calculation'!B:B,'reserve calculation'!D:D)</f>
        <v>51123.522882301899</v>
      </c>
      <c r="W193" s="522"/>
      <c r="X193" s="522"/>
      <c r="Y193" s="382"/>
    </row>
    <row r="194" spans="9:25" ht="12.75" customHeight="1">
      <c r="I194" s="382"/>
      <c r="J194" s="519"/>
      <c r="K194" s="519"/>
      <c r="L194" s="519"/>
      <c r="M194" s="380"/>
      <c r="N194" s="519"/>
      <c r="O194" s="519"/>
      <c r="P194" s="519"/>
      <c r="Q194" s="382"/>
      <c r="R194" s="521"/>
      <c r="S194" s="521"/>
      <c r="T194" s="521"/>
      <c r="U194" s="380"/>
      <c r="V194" s="522"/>
      <c r="W194" s="522"/>
      <c r="X194" s="522"/>
      <c r="Y194" s="382"/>
    </row>
    <row r="195" spans="9:25" ht="12.75" customHeight="1">
      <c r="I195" s="382"/>
      <c r="J195" s="519">
        <f t="shared" ref="J195" si="162">J193+1</f>
        <v>84</v>
      </c>
      <c r="K195" s="519"/>
      <c r="L195" s="519"/>
      <c r="M195" s="380"/>
      <c r="N195" s="520">
        <f t="shared" ref="N195" si="163">N193+1</f>
        <v>47202</v>
      </c>
      <c r="O195" s="519"/>
      <c r="P195" s="519"/>
      <c r="Q195" s="382"/>
      <c r="R195" s="521">
        <f>LOOKUP(ROUNDUP(IF((N195-$R$10)&lt;=0,1,(N195-$R$10))/365,0),'Profit Division'!$A$4:$A$30,'Profit Division'!$C$4:$C$30)</f>
        <v>1.1403848734836686E-4</v>
      </c>
      <c r="S195" s="521"/>
      <c r="T195" s="521"/>
      <c r="U195" s="380"/>
      <c r="V195" s="522">
        <f ca="1">R195*LOOKUP(N195,'reserve calculation'!B:B,'reserve calculation'!D:D)</f>
        <v>51143.102309702379</v>
      </c>
      <c r="W195" s="522"/>
      <c r="X195" s="522"/>
      <c r="Y195" s="382"/>
    </row>
    <row r="196" spans="9:25" ht="12.75" customHeight="1">
      <c r="I196" s="382"/>
      <c r="J196" s="519"/>
      <c r="K196" s="519"/>
      <c r="L196" s="519"/>
      <c r="M196" s="380"/>
      <c r="N196" s="519"/>
      <c r="O196" s="519"/>
      <c r="P196" s="519"/>
      <c r="Q196" s="382"/>
      <c r="R196" s="521"/>
      <c r="S196" s="521"/>
      <c r="T196" s="521"/>
      <c r="U196" s="380"/>
      <c r="V196" s="522"/>
      <c r="W196" s="522"/>
      <c r="X196" s="522"/>
      <c r="Y196" s="382"/>
    </row>
    <row r="197" spans="9:25" ht="12.75" customHeight="1">
      <c r="I197" s="382"/>
      <c r="J197" s="519">
        <f t="shared" ref="J197" si="164">J195+1</f>
        <v>85</v>
      </c>
      <c r="K197" s="519"/>
      <c r="L197" s="519"/>
      <c r="M197" s="380"/>
      <c r="N197" s="520">
        <f t="shared" ref="N197" si="165">N195+1</f>
        <v>47203</v>
      </c>
      <c r="O197" s="519"/>
      <c r="P197" s="519"/>
      <c r="Q197" s="382"/>
      <c r="R197" s="521">
        <f>LOOKUP(ROUNDUP(IF((N197-$R$10)&lt;=0,1,(N197-$R$10))/365,0),'Profit Division'!$A$4:$A$30,'Profit Division'!$C$4:$C$30)</f>
        <v>1.1403848734836686E-4</v>
      </c>
      <c r="S197" s="521"/>
      <c r="T197" s="521"/>
      <c r="U197" s="380"/>
      <c r="V197" s="522">
        <f ca="1">R197*LOOKUP(N197,'reserve calculation'!B:B,'reserve calculation'!D:D)</f>
        <v>51162.689235685822</v>
      </c>
      <c r="W197" s="522"/>
      <c r="X197" s="522"/>
      <c r="Y197" s="382"/>
    </row>
    <row r="198" spans="9:25" ht="12.75" customHeight="1">
      <c r="I198" s="382"/>
      <c r="J198" s="519"/>
      <c r="K198" s="519"/>
      <c r="L198" s="519"/>
      <c r="M198" s="380"/>
      <c r="N198" s="519"/>
      <c r="O198" s="519"/>
      <c r="P198" s="519"/>
      <c r="Q198" s="382"/>
      <c r="R198" s="521"/>
      <c r="S198" s="521"/>
      <c r="T198" s="521"/>
      <c r="U198" s="380"/>
      <c r="V198" s="522"/>
      <c r="W198" s="522"/>
      <c r="X198" s="522"/>
      <c r="Y198" s="382"/>
    </row>
    <row r="199" spans="9:25" ht="12.75" customHeight="1">
      <c r="I199" s="382"/>
      <c r="J199" s="519">
        <f t="shared" ref="J199" si="166">J197+1</f>
        <v>86</v>
      </c>
      <c r="K199" s="519"/>
      <c r="L199" s="519"/>
      <c r="M199" s="380"/>
      <c r="N199" s="520">
        <f t="shared" ref="N199" si="167">N197+1</f>
        <v>47204</v>
      </c>
      <c r="O199" s="519"/>
      <c r="P199" s="519"/>
      <c r="Q199" s="382"/>
      <c r="R199" s="521">
        <f>LOOKUP(ROUNDUP(IF((N199-$R$10)&lt;=0,1,(N199-$R$10))/365,0),'Profit Division'!$A$4:$A$30,'Profit Division'!$C$4:$C$30)</f>
        <v>1.1403848734836686E-4</v>
      </c>
      <c r="S199" s="521"/>
      <c r="T199" s="521"/>
      <c r="U199" s="380"/>
      <c r="V199" s="522">
        <f ca="1">R199*LOOKUP(N199,'reserve calculation'!B:B,'reserve calculation'!D:D)</f>
        <v>51182.283663124035</v>
      </c>
      <c r="W199" s="522"/>
      <c r="X199" s="522"/>
      <c r="Y199" s="382"/>
    </row>
    <row r="200" spans="9:25" ht="12.75" customHeight="1">
      <c r="I200" s="382"/>
      <c r="J200" s="519"/>
      <c r="K200" s="519"/>
      <c r="L200" s="519"/>
      <c r="M200" s="380"/>
      <c r="N200" s="519"/>
      <c r="O200" s="519"/>
      <c r="P200" s="519"/>
      <c r="Q200" s="382"/>
      <c r="R200" s="521"/>
      <c r="S200" s="521"/>
      <c r="T200" s="521"/>
      <c r="U200" s="380"/>
      <c r="V200" s="522"/>
      <c r="W200" s="522"/>
      <c r="X200" s="522"/>
      <c r="Y200" s="382"/>
    </row>
    <row r="201" spans="9:25" ht="12.75" customHeight="1">
      <c r="I201" s="382"/>
      <c r="J201" s="519">
        <f t="shared" ref="J201" si="168">J199+1</f>
        <v>87</v>
      </c>
      <c r="K201" s="519"/>
      <c r="L201" s="519"/>
      <c r="M201" s="380"/>
      <c r="N201" s="520">
        <f t="shared" ref="N201" si="169">N199+1</f>
        <v>47205</v>
      </c>
      <c r="O201" s="519"/>
      <c r="P201" s="519"/>
      <c r="Q201" s="382"/>
      <c r="R201" s="521">
        <f>LOOKUP(ROUNDUP(IF((N201-$R$10)&lt;=0,1,(N201-$R$10))/365,0),'Profit Division'!$A$4:$A$30,'Profit Division'!$C$4:$C$30)</f>
        <v>1.1403848734836686E-4</v>
      </c>
      <c r="S201" s="521"/>
      <c r="T201" s="521"/>
      <c r="U201" s="380"/>
      <c r="V201" s="522">
        <f ca="1">R201*LOOKUP(N201,'reserve calculation'!B:B,'reserve calculation'!D:D)</f>
        <v>51201.885594889973</v>
      </c>
      <c r="W201" s="522"/>
      <c r="X201" s="522"/>
      <c r="Y201" s="382"/>
    </row>
    <row r="202" spans="9:25" ht="12.75" customHeight="1">
      <c r="I202" s="382"/>
      <c r="J202" s="519"/>
      <c r="K202" s="519"/>
      <c r="L202" s="519"/>
      <c r="M202" s="380"/>
      <c r="N202" s="519"/>
      <c r="O202" s="519"/>
      <c r="P202" s="519"/>
      <c r="Q202" s="382"/>
      <c r="R202" s="521"/>
      <c r="S202" s="521"/>
      <c r="T202" s="521"/>
      <c r="U202" s="380"/>
      <c r="V202" s="522"/>
      <c r="W202" s="522"/>
      <c r="X202" s="522"/>
      <c r="Y202" s="382"/>
    </row>
    <row r="203" spans="9:25" ht="12.75" customHeight="1">
      <c r="I203" s="382"/>
      <c r="J203" s="519">
        <f t="shared" ref="J203" si="170">J201+1</f>
        <v>88</v>
      </c>
      <c r="K203" s="519"/>
      <c r="L203" s="519"/>
      <c r="M203" s="380"/>
      <c r="N203" s="520">
        <f t="shared" ref="N203" si="171">N201+1</f>
        <v>47206</v>
      </c>
      <c r="O203" s="519"/>
      <c r="P203" s="519"/>
      <c r="Q203" s="382"/>
      <c r="R203" s="521">
        <f>LOOKUP(ROUNDUP(IF((N203-$R$10)&lt;=0,1,(N203-$R$10))/365,0),'Profit Division'!$A$4:$A$30,'Profit Division'!$C$4:$C$30)</f>
        <v>1.1403848734836686E-4</v>
      </c>
      <c r="S203" s="521"/>
      <c r="T203" s="521"/>
      <c r="U203" s="380"/>
      <c r="V203" s="522">
        <f ca="1">R203*LOOKUP(N203,'reserve calculation'!B:B,'reserve calculation'!D:D)</f>
        <v>51221.495033857645</v>
      </c>
      <c r="W203" s="522"/>
      <c r="X203" s="522"/>
      <c r="Y203" s="382"/>
    </row>
    <row r="204" spans="9:25" ht="12.75" customHeight="1">
      <c r="I204" s="382"/>
      <c r="J204" s="519"/>
      <c r="K204" s="519"/>
      <c r="L204" s="519"/>
      <c r="M204" s="380"/>
      <c r="N204" s="519"/>
      <c r="O204" s="519"/>
      <c r="P204" s="519"/>
      <c r="Q204" s="382"/>
      <c r="R204" s="521"/>
      <c r="S204" s="521"/>
      <c r="T204" s="521"/>
      <c r="U204" s="380"/>
      <c r="V204" s="522"/>
      <c r="W204" s="522"/>
      <c r="X204" s="522"/>
      <c r="Y204" s="382"/>
    </row>
    <row r="205" spans="9:25" ht="12.75" customHeight="1">
      <c r="I205" s="382"/>
      <c r="J205" s="519">
        <f t="shared" ref="J205" si="172">J203+1</f>
        <v>89</v>
      </c>
      <c r="K205" s="519"/>
      <c r="L205" s="519"/>
      <c r="M205" s="380"/>
      <c r="N205" s="520">
        <f t="shared" ref="N205" si="173">N203+1</f>
        <v>47207</v>
      </c>
      <c r="O205" s="519"/>
      <c r="P205" s="519"/>
      <c r="Q205" s="382"/>
      <c r="R205" s="521">
        <f>LOOKUP(ROUNDUP(IF((N205-$R$10)&lt;=0,1,(N205-$R$10))/365,0),'Profit Division'!$A$4:$A$30,'Profit Division'!$C$4:$C$30)</f>
        <v>1.1403848734836686E-4</v>
      </c>
      <c r="S205" s="521"/>
      <c r="T205" s="521"/>
      <c r="U205" s="380"/>
      <c r="V205" s="522">
        <f ca="1">R205*LOOKUP(N205,'reserve calculation'!B:B,'reserve calculation'!D:D)</f>
        <v>51241.111982902185</v>
      </c>
      <c r="W205" s="522"/>
      <c r="X205" s="522"/>
      <c r="Y205" s="382"/>
    </row>
    <row r="206" spans="9:25" ht="12.75" customHeight="1">
      <c r="I206" s="382"/>
      <c r="J206" s="519"/>
      <c r="K206" s="519"/>
      <c r="L206" s="519"/>
      <c r="M206" s="380"/>
      <c r="N206" s="519"/>
      <c r="O206" s="519"/>
      <c r="P206" s="519"/>
      <c r="Q206" s="382"/>
      <c r="R206" s="521"/>
      <c r="S206" s="521"/>
      <c r="T206" s="521"/>
      <c r="U206" s="380"/>
      <c r="V206" s="522"/>
      <c r="W206" s="522"/>
      <c r="X206" s="522"/>
      <c r="Y206" s="382"/>
    </row>
    <row r="207" spans="9:25" ht="12.75" customHeight="1">
      <c r="I207" s="382"/>
      <c r="J207" s="519">
        <f t="shared" ref="J207" si="174">J205+1</f>
        <v>90</v>
      </c>
      <c r="K207" s="519"/>
      <c r="L207" s="519"/>
      <c r="M207" s="380"/>
      <c r="N207" s="520">
        <f t="shared" ref="N207" si="175">N205+1</f>
        <v>47208</v>
      </c>
      <c r="O207" s="519"/>
      <c r="P207" s="519"/>
      <c r="Q207" s="382"/>
      <c r="R207" s="521">
        <f>LOOKUP(ROUNDUP(IF((N207-$R$10)&lt;=0,1,(N207-$R$10))/365,0),'Profit Division'!$A$4:$A$30,'Profit Division'!$C$4:$C$30)</f>
        <v>1.1403848734836686E-4</v>
      </c>
      <c r="S207" s="521"/>
      <c r="T207" s="521"/>
      <c r="U207" s="380"/>
      <c r="V207" s="522">
        <f ca="1">R207*LOOKUP(N207,'reserve calculation'!B:B,'reserve calculation'!D:D)</f>
        <v>51260.736444899827</v>
      </c>
      <c r="W207" s="522"/>
      <c r="X207" s="522"/>
      <c r="Y207" s="382"/>
    </row>
    <row r="208" spans="9:25" ht="12.75" customHeight="1">
      <c r="I208" s="382"/>
      <c r="J208" s="519"/>
      <c r="K208" s="519"/>
      <c r="L208" s="519"/>
      <c r="M208" s="380"/>
      <c r="N208" s="519"/>
      <c r="O208" s="519"/>
      <c r="P208" s="519"/>
      <c r="Q208" s="382"/>
      <c r="R208" s="521"/>
      <c r="S208" s="521"/>
      <c r="T208" s="521"/>
      <c r="U208" s="380"/>
      <c r="V208" s="522"/>
      <c r="W208" s="522"/>
      <c r="X208" s="522"/>
      <c r="Y208" s="382"/>
    </row>
    <row r="209" spans="9:25" ht="12.75" customHeight="1">
      <c r="I209" s="382"/>
      <c r="J209" s="519">
        <f t="shared" ref="J209" si="176">J207+1</f>
        <v>91</v>
      </c>
      <c r="K209" s="519"/>
      <c r="L209" s="519"/>
      <c r="M209" s="380"/>
      <c r="N209" s="520">
        <f t="shared" ref="N209" si="177">N207+1</f>
        <v>47209</v>
      </c>
      <c r="O209" s="519"/>
      <c r="P209" s="519"/>
      <c r="Q209" s="382"/>
      <c r="R209" s="521">
        <f>LOOKUP(ROUNDUP(IF((N209-$R$10)&lt;=0,1,(N209-$R$10))/365,0),'Profit Division'!$A$4:$A$30,'Profit Division'!$C$4:$C$30)</f>
        <v>1.1403848734836686E-4</v>
      </c>
      <c r="S209" s="521"/>
      <c r="T209" s="521"/>
      <c r="U209" s="380"/>
      <c r="V209" s="522">
        <f ca="1">R209*LOOKUP(N209,'reserve calculation'!B:B,'reserve calculation'!D:D)</f>
        <v>50006.065093839963</v>
      </c>
      <c r="W209" s="522"/>
      <c r="X209" s="522"/>
      <c r="Y209" s="382"/>
    </row>
    <row r="210" spans="9:25" ht="12.75" customHeight="1">
      <c r="I210" s="382"/>
      <c r="J210" s="519"/>
      <c r="K210" s="519"/>
      <c r="L210" s="519"/>
      <c r="M210" s="380"/>
      <c r="N210" s="519"/>
      <c r="O210" s="519"/>
      <c r="P210" s="519"/>
      <c r="Q210" s="382"/>
      <c r="R210" s="521"/>
      <c r="S210" s="521"/>
      <c r="T210" s="521"/>
      <c r="U210" s="380"/>
      <c r="V210" s="522"/>
      <c r="W210" s="522"/>
      <c r="X210" s="522"/>
      <c r="Y210" s="382"/>
    </row>
    <row r="211" spans="9:25" ht="12.75" customHeight="1">
      <c r="I211" s="382"/>
      <c r="J211" s="519">
        <f t="shared" ref="J211" si="178">J209+1</f>
        <v>92</v>
      </c>
      <c r="K211" s="519"/>
      <c r="L211" s="519"/>
      <c r="M211" s="380"/>
      <c r="N211" s="520">
        <f t="shared" ref="N211" si="179">N209+1</f>
        <v>47210</v>
      </c>
      <c r="O211" s="519"/>
      <c r="P211" s="519"/>
      <c r="Q211" s="382"/>
      <c r="R211" s="521">
        <f>LOOKUP(ROUNDUP(IF((N211-$R$10)&lt;=0,1,(N211-$R$10))/365,0),'Profit Division'!$A$4:$A$30,'Profit Division'!$C$4:$C$30)</f>
        <v>1.1403848734836686E-4</v>
      </c>
      <c r="S211" s="521"/>
      <c r="T211" s="521"/>
      <c r="U211" s="380"/>
      <c r="V211" s="522">
        <f ca="1">R211*LOOKUP(N211,'reserve calculation'!B:B,'reserve calculation'!D:D)</f>
        <v>50025.216554183236</v>
      </c>
      <c r="W211" s="522"/>
      <c r="X211" s="522"/>
      <c r="Y211" s="382"/>
    </row>
    <row r="212" spans="9:25" ht="12.75" customHeight="1">
      <c r="I212" s="382"/>
      <c r="J212" s="519"/>
      <c r="K212" s="519"/>
      <c r="L212" s="519"/>
      <c r="M212" s="380"/>
      <c r="N212" s="519"/>
      <c r="O212" s="519"/>
      <c r="P212" s="519"/>
      <c r="Q212" s="382"/>
      <c r="R212" s="521"/>
      <c r="S212" s="521"/>
      <c r="T212" s="521"/>
      <c r="U212" s="380"/>
      <c r="V212" s="522"/>
      <c r="W212" s="522"/>
      <c r="X212" s="522"/>
      <c r="Y212" s="382"/>
    </row>
    <row r="213" spans="9:25" ht="12.75" customHeight="1">
      <c r="I213" s="382"/>
      <c r="J213" s="519">
        <f t="shared" ref="J213" si="180">J211+1</f>
        <v>93</v>
      </c>
      <c r="K213" s="519"/>
      <c r="L213" s="519"/>
      <c r="M213" s="380"/>
      <c r="N213" s="520">
        <f t="shared" ref="N213" si="181">N211+1</f>
        <v>47211</v>
      </c>
      <c r="O213" s="519"/>
      <c r="P213" s="519"/>
      <c r="Q213" s="382"/>
      <c r="R213" s="521">
        <f>LOOKUP(ROUNDUP(IF((N213-$R$10)&lt;=0,1,(N213-$R$10))/365,0),'Profit Division'!$A$4:$A$30,'Profit Division'!$C$4:$C$30)</f>
        <v>1.1403848734836686E-4</v>
      </c>
      <c r="S213" s="521"/>
      <c r="T213" s="521"/>
      <c r="U213" s="380"/>
      <c r="V213" s="522">
        <f ca="1">R213*LOOKUP(N213,'reserve calculation'!B:B,'reserve calculation'!D:D)</f>
        <v>50044.37534920546</v>
      </c>
      <c r="W213" s="522"/>
      <c r="X213" s="522"/>
      <c r="Y213" s="382"/>
    </row>
    <row r="214" spans="9:25" ht="12.75" customHeight="1">
      <c r="I214" s="382"/>
      <c r="J214" s="519"/>
      <c r="K214" s="519"/>
      <c r="L214" s="519"/>
      <c r="M214" s="380"/>
      <c r="N214" s="519"/>
      <c r="O214" s="519"/>
      <c r="P214" s="519"/>
      <c r="Q214" s="382"/>
      <c r="R214" s="521"/>
      <c r="S214" s="521"/>
      <c r="T214" s="521"/>
      <c r="U214" s="380"/>
      <c r="V214" s="522"/>
      <c r="W214" s="522"/>
      <c r="X214" s="522"/>
      <c r="Y214" s="382"/>
    </row>
    <row r="215" spans="9:25" ht="12.75" customHeight="1">
      <c r="I215" s="382"/>
      <c r="J215" s="519">
        <f t="shared" ref="J215" si="182">J213+1</f>
        <v>94</v>
      </c>
      <c r="K215" s="519"/>
      <c r="L215" s="519"/>
      <c r="M215" s="380"/>
      <c r="N215" s="520">
        <f t="shared" ref="N215" si="183">N213+1</f>
        <v>47212</v>
      </c>
      <c r="O215" s="519"/>
      <c r="P215" s="519"/>
      <c r="Q215" s="382"/>
      <c r="R215" s="521">
        <f>LOOKUP(ROUNDUP(IF((N215-$R$10)&lt;=0,1,(N215-$R$10))/365,0),'Profit Division'!$A$4:$A$30,'Profit Division'!$C$4:$C$30)</f>
        <v>1.1403848734836686E-4</v>
      </c>
      <c r="S215" s="521"/>
      <c r="T215" s="521"/>
      <c r="U215" s="380"/>
      <c r="V215" s="522">
        <f ca="1">R215*LOOKUP(N215,'reserve calculation'!B:B,'reserve calculation'!D:D)</f>
        <v>50063.541481715692</v>
      </c>
      <c r="W215" s="522"/>
      <c r="X215" s="522"/>
      <c r="Y215" s="382"/>
    </row>
    <row r="216" spans="9:25" ht="12.75" customHeight="1">
      <c r="I216" s="382"/>
      <c r="J216" s="519"/>
      <c r="K216" s="519"/>
      <c r="L216" s="519"/>
      <c r="M216" s="380"/>
      <c r="N216" s="519"/>
      <c r="O216" s="519"/>
      <c r="P216" s="519"/>
      <c r="Q216" s="382"/>
      <c r="R216" s="521"/>
      <c r="S216" s="521"/>
      <c r="T216" s="521"/>
      <c r="U216" s="380"/>
      <c r="V216" s="522"/>
      <c r="W216" s="522"/>
      <c r="X216" s="522"/>
      <c r="Y216" s="382"/>
    </row>
    <row r="217" spans="9:25" ht="12.75" customHeight="1">
      <c r="I217" s="382"/>
      <c r="J217" s="519">
        <f t="shared" ref="J217" si="184">J215+1</f>
        <v>95</v>
      </c>
      <c r="K217" s="519"/>
      <c r="L217" s="519"/>
      <c r="M217" s="380"/>
      <c r="N217" s="520">
        <f t="shared" ref="N217" si="185">N215+1</f>
        <v>47213</v>
      </c>
      <c r="O217" s="519"/>
      <c r="P217" s="519"/>
      <c r="Q217" s="382"/>
      <c r="R217" s="521">
        <f>LOOKUP(ROUNDUP(IF((N217-$R$10)&lt;=0,1,(N217-$R$10))/365,0),'Profit Division'!$A$4:$A$30,'Profit Division'!$C$4:$C$30)</f>
        <v>1.1403848734836686E-4</v>
      </c>
      <c r="S217" s="521"/>
      <c r="T217" s="521"/>
      <c r="U217" s="380"/>
      <c r="V217" s="522">
        <f ca="1">R217*LOOKUP(N217,'reserve calculation'!B:B,'reserve calculation'!D:D)</f>
        <v>50082.714954524068</v>
      </c>
      <c r="W217" s="522"/>
      <c r="X217" s="522"/>
      <c r="Y217" s="382"/>
    </row>
    <row r="218" spans="9:25" ht="12.75" customHeight="1">
      <c r="I218" s="382"/>
      <c r="J218" s="519"/>
      <c r="K218" s="519"/>
      <c r="L218" s="519"/>
      <c r="M218" s="380"/>
      <c r="N218" s="519"/>
      <c r="O218" s="519"/>
      <c r="P218" s="519"/>
      <c r="Q218" s="382"/>
      <c r="R218" s="521"/>
      <c r="S218" s="521"/>
      <c r="T218" s="521"/>
      <c r="U218" s="380"/>
      <c r="V218" s="522"/>
      <c r="W218" s="522"/>
      <c r="X218" s="522"/>
      <c r="Y218" s="382"/>
    </row>
    <row r="219" spans="9:25" ht="12.75" customHeight="1">
      <c r="I219" s="382"/>
      <c r="J219" s="519">
        <f t="shared" ref="J219" si="186">J217+1</f>
        <v>96</v>
      </c>
      <c r="K219" s="519"/>
      <c r="L219" s="519"/>
      <c r="M219" s="380"/>
      <c r="N219" s="520">
        <f t="shared" ref="N219" si="187">N217+1</f>
        <v>47214</v>
      </c>
      <c r="O219" s="519"/>
      <c r="P219" s="519"/>
      <c r="Q219" s="382"/>
      <c r="R219" s="521">
        <f>LOOKUP(ROUNDUP(IF((N219-$R$10)&lt;=0,1,(N219-$R$10))/365,0),'Profit Division'!$A$4:$A$30,'Profit Division'!$C$4:$C$30)</f>
        <v>1.1403848734836686E-4</v>
      </c>
      <c r="S219" s="521"/>
      <c r="T219" s="521"/>
      <c r="U219" s="380"/>
      <c r="V219" s="522">
        <f ca="1">R219*LOOKUP(N219,'reserve calculation'!B:B,'reserve calculation'!D:D)</f>
        <v>50101.895770441799</v>
      </c>
      <c r="W219" s="522"/>
      <c r="X219" s="522"/>
      <c r="Y219" s="382"/>
    </row>
    <row r="220" spans="9:25" ht="12.75" customHeight="1">
      <c r="I220" s="382"/>
      <c r="J220" s="519"/>
      <c r="K220" s="519"/>
      <c r="L220" s="519"/>
      <c r="M220" s="380"/>
      <c r="N220" s="519"/>
      <c r="O220" s="519"/>
      <c r="P220" s="519"/>
      <c r="Q220" s="382"/>
      <c r="R220" s="521"/>
      <c r="S220" s="521"/>
      <c r="T220" s="521"/>
      <c r="U220" s="380"/>
      <c r="V220" s="522"/>
      <c r="W220" s="522"/>
      <c r="X220" s="522"/>
      <c r="Y220" s="382"/>
    </row>
    <row r="221" spans="9:25" ht="12.75" customHeight="1">
      <c r="I221" s="382"/>
      <c r="J221" s="519">
        <f t="shared" ref="J221" si="188">J219+1</f>
        <v>97</v>
      </c>
      <c r="K221" s="519"/>
      <c r="L221" s="519"/>
      <c r="M221" s="380"/>
      <c r="N221" s="520">
        <f t="shared" ref="N221" si="189">N219+1</f>
        <v>47215</v>
      </c>
      <c r="O221" s="519"/>
      <c r="P221" s="519"/>
      <c r="Q221" s="382"/>
      <c r="R221" s="521">
        <f>LOOKUP(ROUNDUP(IF((N221-$R$10)&lt;=0,1,(N221-$R$10))/365,0),'Profit Division'!$A$4:$A$30,'Profit Division'!$C$4:$C$30)</f>
        <v>1.1403848734836686E-4</v>
      </c>
      <c r="S221" s="521"/>
      <c r="T221" s="521"/>
      <c r="U221" s="380"/>
      <c r="V221" s="522">
        <f ca="1">R221*LOOKUP(N221,'reserve calculation'!B:B,'reserve calculation'!D:D)</f>
        <v>50121.083932281159</v>
      </c>
      <c r="W221" s="522"/>
      <c r="X221" s="522"/>
      <c r="Y221" s="382"/>
    </row>
    <row r="222" spans="9:25" ht="12.75" customHeight="1">
      <c r="I222" s="382"/>
      <c r="J222" s="519"/>
      <c r="K222" s="519"/>
      <c r="L222" s="519"/>
      <c r="M222" s="380"/>
      <c r="N222" s="519"/>
      <c r="O222" s="519"/>
      <c r="P222" s="519"/>
      <c r="Q222" s="382"/>
      <c r="R222" s="521"/>
      <c r="S222" s="521"/>
      <c r="T222" s="521"/>
      <c r="U222" s="380"/>
      <c r="V222" s="522"/>
      <c r="W222" s="522"/>
      <c r="X222" s="522"/>
      <c r="Y222" s="382"/>
    </row>
    <row r="223" spans="9:25" ht="12.75" customHeight="1">
      <c r="I223" s="382"/>
      <c r="J223" s="519">
        <f t="shared" ref="J223" si="190">J221+1</f>
        <v>98</v>
      </c>
      <c r="K223" s="519"/>
      <c r="L223" s="519"/>
      <c r="M223" s="380"/>
      <c r="N223" s="520">
        <f t="shared" ref="N223" si="191">N221+1</f>
        <v>47216</v>
      </c>
      <c r="O223" s="519"/>
      <c r="P223" s="519"/>
      <c r="Q223" s="382"/>
      <c r="R223" s="521">
        <f>LOOKUP(ROUNDUP(IF((N223-$R$10)&lt;=0,1,(N223-$R$10))/365,0),'Profit Division'!$A$4:$A$30,'Profit Division'!$C$4:$C$30)</f>
        <v>1.1403848734836686E-4</v>
      </c>
      <c r="S223" s="521"/>
      <c r="T223" s="521"/>
      <c r="U223" s="380"/>
      <c r="V223" s="522">
        <f ca="1">R223*LOOKUP(N223,'reserve calculation'!B:B,'reserve calculation'!D:D)</f>
        <v>50140.279442855513</v>
      </c>
      <c r="W223" s="522"/>
      <c r="X223" s="522"/>
      <c r="Y223" s="382"/>
    </row>
    <row r="224" spans="9:25" ht="12.75" customHeight="1">
      <c r="I224" s="382"/>
      <c r="J224" s="519"/>
      <c r="K224" s="519"/>
      <c r="L224" s="519"/>
      <c r="M224" s="380"/>
      <c r="N224" s="519"/>
      <c r="O224" s="519"/>
      <c r="P224" s="519"/>
      <c r="Q224" s="382"/>
      <c r="R224" s="521"/>
      <c r="S224" s="521"/>
      <c r="T224" s="521"/>
      <c r="U224" s="380"/>
      <c r="V224" s="522"/>
      <c r="W224" s="522"/>
      <c r="X224" s="522"/>
      <c r="Y224" s="382"/>
    </row>
    <row r="225" spans="9:25" ht="12.75" customHeight="1">
      <c r="I225" s="382"/>
      <c r="J225" s="519">
        <f t="shared" ref="J225" si="192">J223+1</f>
        <v>99</v>
      </c>
      <c r="K225" s="519"/>
      <c r="L225" s="519"/>
      <c r="M225" s="380"/>
      <c r="N225" s="520">
        <f t="shared" ref="N225" si="193">N223+1</f>
        <v>47217</v>
      </c>
      <c r="O225" s="519"/>
      <c r="P225" s="519"/>
      <c r="Q225" s="382"/>
      <c r="R225" s="521">
        <f>LOOKUP(ROUNDUP(IF((N225-$R$10)&lt;=0,1,(N225-$R$10))/365,0),'Profit Division'!$A$4:$A$30,'Profit Division'!$C$4:$C$30)</f>
        <v>1.1403848734836686E-4</v>
      </c>
      <c r="S225" s="521"/>
      <c r="T225" s="521"/>
      <c r="U225" s="380"/>
      <c r="V225" s="522">
        <f ca="1">R225*LOOKUP(N225,'reserve calculation'!B:B,'reserve calculation'!D:D)</f>
        <v>50159.482304979305</v>
      </c>
      <c r="W225" s="522"/>
      <c r="X225" s="522"/>
      <c r="Y225" s="382"/>
    </row>
    <row r="226" spans="9:25" ht="12.75" customHeight="1">
      <c r="I226" s="382"/>
      <c r="J226" s="519"/>
      <c r="K226" s="519"/>
      <c r="L226" s="519"/>
      <c r="M226" s="380"/>
      <c r="N226" s="519"/>
      <c r="O226" s="519"/>
      <c r="P226" s="519"/>
      <c r="Q226" s="382"/>
      <c r="R226" s="521"/>
      <c r="S226" s="521"/>
      <c r="T226" s="521"/>
      <c r="U226" s="380"/>
      <c r="V226" s="522"/>
      <c r="W226" s="522"/>
      <c r="X226" s="522"/>
      <c r="Y226" s="382"/>
    </row>
    <row r="227" spans="9:25" ht="12.75" customHeight="1">
      <c r="I227" s="382"/>
      <c r="J227" s="519">
        <f t="shared" ref="J227" si="194">J225+1</f>
        <v>100</v>
      </c>
      <c r="K227" s="519"/>
      <c r="L227" s="519"/>
      <c r="M227" s="380"/>
      <c r="N227" s="520">
        <f t="shared" ref="N227" si="195">N225+1</f>
        <v>47218</v>
      </c>
      <c r="O227" s="519"/>
      <c r="P227" s="519"/>
      <c r="Q227" s="382"/>
      <c r="R227" s="521">
        <f>LOOKUP(ROUNDUP(IF((N227-$R$10)&lt;=0,1,(N227-$R$10))/365,0),'Profit Division'!$A$4:$A$30,'Profit Division'!$C$4:$C$30)</f>
        <v>1.1403848734836686E-4</v>
      </c>
      <c r="S227" s="521"/>
      <c r="T227" s="521"/>
      <c r="U227" s="380"/>
      <c r="V227" s="522">
        <f ca="1">R227*LOOKUP(N227,'reserve calculation'!B:B,'reserve calculation'!D:D)</f>
        <v>50178.692521468045</v>
      </c>
      <c r="W227" s="522"/>
      <c r="X227" s="522"/>
      <c r="Y227" s="382"/>
    </row>
    <row r="228" spans="9:25" ht="12.75" customHeight="1">
      <c r="I228" s="382"/>
      <c r="J228" s="519"/>
      <c r="K228" s="519"/>
      <c r="L228" s="519"/>
      <c r="M228" s="380"/>
      <c r="N228" s="519"/>
      <c r="O228" s="519"/>
      <c r="P228" s="519"/>
      <c r="Q228" s="382"/>
      <c r="R228" s="521"/>
      <c r="S228" s="521"/>
      <c r="T228" s="521"/>
      <c r="U228" s="380"/>
      <c r="V228" s="522"/>
      <c r="W228" s="522"/>
      <c r="X228" s="522"/>
      <c r="Y228" s="382"/>
    </row>
    <row r="229" spans="9:25" ht="12.75" customHeight="1">
      <c r="I229" s="382"/>
      <c r="J229" s="519">
        <f t="shared" ref="J229" si="196">J227+1</f>
        <v>101</v>
      </c>
      <c r="K229" s="519"/>
      <c r="L229" s="519"/>
      <c r="M229" s="380"/>
      <c r="N229" s="520">
        <f t="shared" ref="N229" si="197">N227+1</f>
        <v>47219</v>
      </c>
      <c r="O229" s="519"/>
      <c r="P229" s="519"/>
      <c r="Q229" s="382"/>
      <c r="R229" s="521">
        <f>LOOKUP(ROUNDUP(IF((N229-$R$10)&lt;=0,1,(N229-$R$10))/365,0),'Profit Division'!$A$4:$A$30,'Profit Division'!$C$4:$C$30)</f>
        <v>1.1403848734836686E-4</v>
      </c>
      <c r="S229" s="521"/>
      <c r="T229" s="521"/>
      <c r="U229" s="380"/>
      <c r="V229" s="522">
        <f ca="1">R229*LOOKUP(N229,'reserve calculation'!B:B,'reserve calculation'!D:D)</f>
        <v>50197.91009513833</v>
      </c>
      <c r="W229" s="522"/>
      <c r="X229" s="522"/>
      <c r="Y229" s="382"/>
    </row>
    <row r="230" spans="9:25" ht="12.75" customHeight="1">
      <c r="I230" s="382"/>
      <c r="J230" s="519"/>
      <c r="K230" s="519"/>
      <c r="L230" s="519"/>
      <c r="M230" s="380"/>
      <c r="N230" s="519"/>
      <c r="O230" s="519"/>
      <c r="P230" s="519"/>
      <c r="Q230" s="382"/>
      <c r="R230" s="521"/>
      <c r="S230" s="521"/>
      <c r="T230" s="521"/>
      <c r="U230" s="380"/>
      <c r="V230" s="522"/>
      <c r="W230" s="522"/>
      <c r="X230" s="522"/>
      <c r="Y230" s="382"/>
    </row>
    <row r="231" spans="9:25" ht="12.75" customHeight="1">
      <c r="I231" s="382"/>
      <c r="J231" s="519">
        <f t="shared" ref="J231" si="198">J229+1</f>
        <v>102</v>
      </c>
      <c r="K231" s="519"/>
      <c r="L231" s="519"/>
      <c r="M231" s="380"/>
      <c r="N231" s="520">
        <f t="shared" ref="N231" si="199">N229+1</f>
        <v>47220</v>
      </c>
      <c r="O231" s="519"/>
      <c r="P231" s="519"/>
      <c r="Q231" s="382"/>
      <c r="R231" s="521">
        <f>LOOKUP(ROUNDUP(IF((N231-$R$10)&lt;=0,1,(N231-$R$10))/365,0),'Profit Division'!$A$4:$A$30,'Profit Division'!$C$4:$C$30)</f>
        <v>1.1403848734836686E-4</v>
      </c>
      <c r="S231" s="521"/>
      <c r="T231" s="521"/>
      <c r="U231" s="380"/>
      <c r="V231" s="522">
        <f ca="1">R231*LOOKUP(N231,'reserve calculation'!B:B,'reserve calculation'!D:D)</f>
        <v>50217.135028807839</v>
      </c>
      <c r="W231" s="522"/>
      <c r="X231" s="522"/>
      <c r="Y231" s="382"/>
    </row>
    <row r="232" spans="9:25" ht="12.75" customHeight="1">
      <c r="I232" s="382"/>
      <c r="J232" s="519"/>
      <c r="K232" s="519"/>
      <c r="L232" s="519"/>
      <c r="M232" s="380"/>
      <c r="N232" s="519"/>
      <c r="O232" s="519"/>
      <c r="P232" s="519"/>
      <c r="Q232" s="382"/>
      <c r="R232" s="521"/>
      <c r="S232" s="521"/>
      <c r="T232" s="521"/>
      <c r="U232" s="380"/>
      <c r="V232" s="522"/>
      <c r="W232" s="522"/>
      <c r="X232" s="522"/>
      <c r="Y232" s="382"/>
    </row>
    <row r="233" spans="9:25" ht="12.75" customHeight="1">
      <c r="I233" s="382"/>
      <c r="J233" s="519">
        <f t="shared" ref="J233" si="200">J231+1</f>
        <v>103</v>
      </c>
      <c r="K233" s="519"/>
      <c r="L233" s="519"/>
      <c r="M233" s="380"/>
      <c r="N233" s="520">
        <f t="shared" ref="N233" si="201">N231+1</f>
        <v>47221</v>
      </c>
      <c r="O233" s="519"/>
      <c r="P233" s="519"/>
      <c r="Q233" s="382"/>
      <c r="R233" s="521">
        <f>LOOKUP(ROUNDUP(IF((N233-$R$10)&lt;=0,1,(N233-$R$10))/365,0),'Profit Division'!$A$4:$A$30,'Profit Division'!$C$4:$C$30)</f>
        <v>1.1403848734836686E-4</v>
      </c>
      <c r="S233" s="521"/>
      <c r="T233" s="521"/>
      <c r="U233" s="380"/>
      <c r="V233" s="522">
        <f ca="1">R233*LOOKUP(N233,'reserve calculation'!B:B,'reserve calculation'!D:D)</f>
        <v>50236.367325295316</v>
      </c>
      <c r="W233" s="522"/>
      <c r="X233" s="522"/>
      <c r="Y233" s="382"/>
    </row>
    <row r="234" spans="9:25" ht="12.75" customHeight="1">
      <c r="I234" s="382"/>
      <c r="J234" s="519"/>
      <c r="K234" s="519"/>
      <c r="L234" s="519"/>
      <c r="M234" s="380"/>
      <c r="N234" s="519"/>
      <c r="O234" s="519"/>
      <c r="P234" s="519"/>
      <c r="Q234" s="382"/>
      <c r="R234" s="521"/>
      <c r="S234" s="521"/>
      <c r="T234" s="521"/>
      <c r="U234" s="380"/>
      <c r="V234" s="522"/>
      <c r="W234" s="522"/>
      <c r="X234" s="522"/>
      <c r="Y234" s="382"/>
    </row>
    <row r="235" spans="9:25" ht="12.75" customHeight="1">
      <c r="I235" s="382"/>
      <c r="J235" s="519">
        <f t="shared" ref="J235" si="202">J233+1</f>
        <v>104</v>
      </c>
      <c r="K235" s="519"/>
      <c r="L235" s="519"/>
      <c r="M235" s="380"/>
      <c r="N235" s="520">
        <f t="shared" ref="N235" si="203">N233+1</f>
        <v>47222</v>
      </c>
      <c r="O235" s="519"/>
      <c r="P235" s="519"/>
      <c r="Q235" s="382"/>
      <c r="R235" s="521">
        <f>LOOKUP(ROUNDUP(IF((N235-$R$10)&lt;=0,1,(N235-$R$10))/365,0),'Profit Division'!$A$4:$A$30,'Profit Division'!$C$4:$C$30)</f>
        <v>1.1403848734836686E-4</v>
      </c>
      <c r="S235" s="521"/>
      <c r="T235" s="521"/>
      <c r="U235" s="380"/>
      <c r="V235" s="522">
        <f ca="1">R235*LOOKUP(N235,'reserve calculation'!B:B,'reserve calculation'!D:D)</f>
        <v>50255.606987420593</v>
      </c>
      <c r="W235" s="522"/>
      <c r="X235" s="522"/>
      <c r="Y235" s="382"/>
    </row>
    <row r="236" spans="9:25" ht="12.75" customHeight="1">
      <c r="I236" s="382"/>
      <c r="J236" s="519"/>
      <c r="K236" s="519"/>
      <c r="L236" s="519"/>
      <c r="M236" s="380"/>
      <c r="N236" s="519"/>
      <c r="O236" s="519"/>
      <c r="P236" s="519"/>
      <c r="Q236" s="382"/>
      <c r="R236" s="521"/>
      <c r="S236" s="521"/>
      <c r="T236" s="521"/>
      <c r="U236" s="380"/>
      <c r="V236" s="522"/>
      <c r="W236" s="522"/>
      <c r="X236" s="522"/>
      <c r="Y236" s="382"/>
    </row>
    <row r="237" spans="9:25" ht="12.75" customHeight="1">
      <c r="I237" s="382"/>
      <c r="J237" s="519">
        <f t="shared" ref="J237" si="204">J235+1</f>
        <v>105</v>
      </c>
      <c r="K237" s="519"/>
      <c r="L237" s="519"/>
      <c r="M237" s="380"/>
      <c r="N237" s="520">
        <f t="shared" ref="N237" si="205">N235+1</f>
        <v>47223</v>
      </c>
      <c r="O237" s="519"/>
      <c r="P237" s="519"/>
      <c r="Q237" s="382"/>
      <c r="R237" s="521">
        <f>LOOKUP(ROUNDUP(IF((N237-$R$10)&lt;=0,1,(N237-$R$10))/365,0),'Profit Division'!$A$4:$A$30,'Profit Division'!$C$4:$C$30)</f>
        <v>1.1403848734836686E-4</v>
      </c>
      <c r="S237" s="521"/>
      <c r="T237" s="521"/>
      <c r="U237" s="380"/>
      <c r="V237" s="522">
        <f ca="1">R237*LOOKUP(N237,'reserve calculation'!B:B,'reserve calculation'!D:D)</f>
        <v>50274.854018004589</v>
      </c>
      <c r="W237" s="522"/>
      <c r="X237" s="522"/>
      <c r="Y237" s="382"/>
    </row>
    <row r="238" spans="9:25" ht="12.75" customHeight="1">
      <c r="I238" s="382"/>
      <c r="J238" s="519"/>
      <c r="K238" s="519"/>
      <c r="L238" s="519"/>
      <c r="M238" s="380"/>
      <c r="N238" s="519"/>
      <c r="O238" s="519"/>
      <c r="P238" s="519"/>
      <c r="Q238" s="382"/>
      <c r="R238" s="521"/>
      <c r="S238" s="521"/>
      <c r="T238" s="521"/>
      <c r="U238" s="380"/>
      <c r="V238" s="522"/>
      <c r="W238" s="522"/>
      <c r="X238" s="522"/>
      <c r="Y238" s="382"/>
    </row>
    <row r="239" spans="9:25" ht="12.75" customHeight="1">
      <c r="I239" s="382"/>
      <c r="J239" s="519">
        <f t="shared" ref="J239" si="206">J237+1</f>
        <v>106</v>
      </c>
      <c r="K239" s="519"/>
      <c r="L239" s="519"/>
      <c r="M239" s="380"/>
      <c r="N239" s="520">
        <f t="shared" ref="N239" si="207">N237+1</f>
        <v>47224</v>
      </c>
      <c r="O239" s="519"/>
      <c r="P239" s="519"/>
      <c r="Q239" s="382"/>
      <c r="R239" s="521">
        <f>LOOKUP(ROUNDUP(IF((N239-$R$10)&lt;=0,1,(N239-$R$10))/365,0),'Profit Division'!$A$4:$A$30,'Profit Division'!$C$4:$C$30)</f>
        <v>1.1403848734836686E-4</v>
      </c>
      <c r="S239" s="521"/>
      <c r="T239" s="521"/>
      <c r="U239" s="380"/>
      <c r="V239" s="522">
        <f ca="1">R239*LOOKUP(N239,'reserve calculation'!B:B,'reserve calculation'!D:D)</f>
        <v>50294.108419869299</v>
      </c>
      <c r="W239" s="522"/>
      <c r="X239" s="522"/>
      <c r="Y239" s="382"/>
    </row>
    <row r="240" spans="9:25" ht="12.75" customHeight="1">
      <c r="I240" s="382"/>
      <c r="J240" s="519"/>
      <c r="K240" s="519"/>
      <c r="L240" s="519"/>
      <c r="M240" s="380"/>
      <c r="N240" s="519"/>
      <c r="O240" s="519"/>
      <c r="P240" s="519"/>
      <c r="Q240" s="382"/>
      <c r="R240" s="521"/>
      <c r="S240" s="521"/>
      <c r="T240" s="521"/>
      <c r="U240" s="380"/>
      <c r="V240" s="522"/>
      <c r="W240" s="522"/>
      <c r="X240" s="522"/>
      <c r="Y240" s="382"/>
    </row>
    <row r="241" spans="9:25" ht="12.75" customHeight="1">
      <c r="I241" s="382"/>
      <c r="J241" s="519">
        <f t="shared" ref="J241" si="208">J239+1</f>
        <v>107</v>
      </c>
      <c r="K241" s="519"/>
      <c r="L241" s="519"/>
      <c r="M241" s="380"/>
      <c r="N241" s="520">
        <f t="shared" ref="N241" si="209">N239+1</f>
        <v>47225</v>
      </c>
      <c r="O241" s="519"/>
      <c r="P241" s="519"/>
      <c r="Q241" s="382"/>
      <c r="R241" s="521">
        <f>LOOKUP(ROUNDUP(IF((N241-$R$10)&lt;=0,1,(N241-$R$10))/365,0),'Profit Division'!$A$4:$A$30,'Profit Division'!$C$4:$C$30)</f>
        <v>1.1403848734836686E-4</v>
      </c>
      <c r="S241" s="521"/>
      <c r="T241" s="521"/>
      <c r="U241" s="380"/>
      <c r="V241" s="522">
        <f ca="1">R241*LOOKUP(N241,'reserve calculation'!B:B,'reserve calculation'!D:D)</f>
        <v>50313.370195837786</v>
      </c>
      <c r="W241" s="522"/>
      <c r="X241" s="522"/>
      <c r="Y241" s="382"/>
    </row>
    <row r="242" spans="9:25" ht="12.75" customHeight="1">
      <c r="I242" s="382"/>
      <c r="J242" s="519"/>
      <c r="K242" s="519"/>
      <c r="L242" s="519"/>
      <c r="M242" s="380"/>
      <c r="N242" s="519"/>
      <c r="O242" s="519"/>
      <c r="P242" s="519"/>
      <c r="Q242" s="382"/>
      <c r="R242" s="521"/>
      <c r="S242" s="521"/>
      <c r="T242" s="521"/>
      <c r="U242" s="380"/>
      <c r="V242" s="522"/>
      <c r="W242" s="522"/>
      <c r="X242" s="522"/>
      <c r="Y242" s="382"/>
    </row>
    <row r="243" spans="9:25" ht="12.75" customHeight="1">
      <c r="I243" s="382"/>
      <c r="J243" s="519">
        <f t="shared" ref="J243" si="210">J241+1</f>
        <v>108</v>
      </c>
      <c r="K243" s="519"/>
      <c r="L243" s="519"/>
      <c r="M243" s="380"/>
      <c r="N243" s="520">
        <f t="shared" ref="N243" si="211">N241+1</f>
        <v>47226</v>
      </c>
      <c r="O243" s="519"/>
      <c r="P243" s="519"/>
      <c r="Q243" s="382"/>
      <c r="R243" s="521">
        <f>LOOKUP(ROUNDUP(IF((N243-$R$10)&lt;=0,1,(N243-$R$10))/365,0),'Profit Division'!$A$4:$A$30,'Profit Division'!$C$4:$C$30)</f>
        <v>1.1403848734836686E-4</v>
      </c>
      <c r="S243" s="521"/>
      <c r="T243" s="521"/>
      <c r="U243" s="380"/>
      <c r="V243" s="522">
        <f ca="1">R243*LOOKUP(N243,'reserve calculation'!B:B,'reserve calculation'!D:D)</f>
        <v>50332.639348734207</v>
      </c>
      <c r="W243" s="522"/>
      <c r="X243" s="522"/>
      <c r="Y243" s="382"/>
    </row>
    <row r="244" spans="9:25" ht="12.75" customHeight="1">
      <c r="I244" s="382"/>
      <c r="J244" s="519"/>
      <c r="K244" s="519"/>
      <c r="L244" s="519"/>
      <c r="M244" s="380"/>
      <c r="N244" s="519"/>
      <c r="O244" s="519"/>
      <c r="P244" s="519"/>
      <c r="Q244" s="382"/>
      <c r="R244" s="521"/>
      <c r="S244" s="521"/>
      <c r="T244" s="521"/>
      <c r="U244" s="380"/>
      <c r="V244" s="522"/>
      <c r="W244" s="522"/>
      <c r="X244" s="522"/>
      <c r="Y244" s="382"/>
    </row>
    <row r="245" spans="9:25" ht="12.75" customHeight="1">
      <c r="I245" s="382"/>
      <c r="J245" s="519">
        <f t="shared" ref="J245" si="212">J243+1</f>
        <v>109</v>
      </c>
      <c r="K245" s="519"/>
      <c r="L245" s="519"/>
      <c r="M245" s="380"/>
      <c r="N245" s="520">
        <f t="shared" ref="N245" si="213">N243+1</f>
        <v>47227</v>
      </c>
      <c r="O245" s="519"/>
      <c r="P245" s="519"/>
      <c r="Q245" s="382"/>
      <c r="R245" s="521">
        <f>LOOKUP(ROUNDUP(IF((N245-$R$10)&lt;=0,1,(N245-$R$10))/365,0),'Profit Division'!$A$4:$A$30,'Profit Division'!$C$4:$C$30)</f>
        <v>1.1403848734836686E-4</v>
      </c>
      <c r="S245" s="521"/>
      <c r="T245" s="521"/>
      <c r="U245" s="380"/>
      <c r="V245" s="522">
        <f ca="1">R245*LOOKUP(N245,'reserve calculation'!B:B,'reserve calculation'!D:D)</f>
        <v>50351.915881383808</v>
      </c>
      <c r="W245" s="522"/>
      <c r="X245" s="522"/>
      <c r="Y245" s="382"/>
    </row>
    <row r="246" spans="9:25" ht="12.75" customHeight="1">
      <c r="I246" s="382"/>
      <c r="J246" s="519"/>
      <c r="K246" s="519"/>
      <c r="L246" s="519"/>
      <c r="M246" s="380"/>
      <c r="N246" s="519"/>
      <c r="O246" s="519"/>
      <c r="P246" s="519"/>
      <c r="Q246" s="382"/>
      <c r="R246" s="521"/>
      <c r="S246" s="521"/>
      <c r="T246" s="521"/>
      <c r="U246" s="380"/>
      <c r="V246" s="522"/>
      <c r="W246" s="522"/>
      <c r="X246" s="522"/>
      <c r="Y246" s="382"/>
    </row>
    <row r="247" spans="9:25" ht="12.75" customHeight="1">
      <c r="I247" s="382"/>
      <c r="J247" s="519">
        <f t="shared" ref="J247" si="214">J245+1</f>
        <v>110</v>
      </c>
      <c r="K247" s="519"/>
      <c r="L247" s="519"/>
      <c r="M247" s="380"/>
      <c r="N247" s="520">
        <f t="shared" ref="N247" si="215">N245+1</f>
        <v>47228</v>
      </c>
      <c r="O247" s="519"/>
      <c r="P247" s="519"/>
      <c r="Q247" s="382"/>
      <c r="R247" s="521">
        <f>LOOKUP(ROUNDUP(IF((N247-$R$10)&lt;=0,1,(N247-$R$10))/365,0),'Profit Division'!$A$4:$A$30,'Profit Division'!$C$4:$C$30)</f>
        <v>1.1403848734836686E-4</v>
      </c>
      <c r="S247" s="521"/>
      <c r="T247" s="521"/>
      <c r="U247" s="380"/>
      <c r="V247" s="522">
        <f ca="1">R247*LOOKUP(N247,'reserve calculation'!B:B,'reserve calculation'!D:D)</f>
        <v>50371.199796612898</v>
      </c>
      <c r="W247" s="522"/>
      <c r="X247" s="522"/>
      <c r="Y247" s="382"/>
    </row>
    <row r="248" spans="9:25" ht="12.75" customHeight="1">
      <c r="I248" s="382"/>
      <c r="J248" s="519"/>
      <c r="K248" s="519"/>
      <c r="L248" s="519"/>
      <c r="M248" s="380"/>
      <c r="N248" s="519"/>
      <c r="O248" s="519"/>
      <c r="P248" s="519"/>
      <c r="Q248" s="382"/>
      <c r="R248" s="521"/>
      <c r="S248" s="521"/>
      <c r="T248" s="521"/>
      <c r="U248" s="380"/>
      <c r="V248" s="522"/>
      <c r="W248" s="522"/>
      <c r="X248" s="522"/>
      <c r="Y248" s="382"/>
    </row>
    <row r="249" spans="9:25" ht="12.75" customHeight="1">
      <c r="I249" s="382"/>
      <c r="J249" s="519">
        <f t="shared" ref="J249" si="216">J247+1</f>
        <v>111</v>
      </c>
      <c r="K249" s="519"/>
      <c r="L249" s="519"/>
      <c r="M249" s="380"/>
      <c r="N249" s="520">
        <f t="shared" ref="N249" si="217">N247+1</f>
        <v>47229</v>
      </c>
      <c r="O249" s="519"/>
      <c r="P249" s="519"/>
      <c r="Q249" s="382"/>
      <c r="R249" s="521">
        <f>LOOKUP(ROUNDUP(IF((N249-$R$10)&lt;=0,1,(N249-$R$10))/365,0),'Profit Division'!$A$4:$A$30,'Profit Division'!$C$4:$C$30)</f>
        <v>1.1403848734836686E-4</v>
      </c>
      <c r="S249" s="521"/>
      <c r="T249" s="521"/>
      <c r="U249" s="380"/>
      <c r="V249" s="522">
        <f ca="1">R249*LOOKUP(N249,'reserve calculation'!B:B,'reserve calculation'!D:D)</f>
        <v>50390.49109724888</v>
      </c>
      <c r="W249" s="522"/>
      <c r="X249" s="522"/>
      <c r="Y249" s="382"/>
    </row>
    <row r="250" spans="9:25" ht="12.75" customHeight="1">
      <c r="I250" s="382"/>
      <c r="J250" s="519"/>
      <c r="K250" s="519"/>
      <c r="L250" s="519"/>
      <c r="M250" s="380"/>
      <c r="N250" s="519"/>
      <c r="O250" s="519"/>
      <c r="P250" s="519"/>
      <c r="Q250" s="382"/>
      <c r="R250" s="521"/>
      <c r="S250" s="521"/>
      <c r="T250" s="521"/>
      <c r="U250" s="380"/>
      <c r="V250" s="522"/>
      <c r="W250" s="522"/>
      <c r="X250" s="522"/>
      <c r="Y250" s="382"/>
    </row>
    <row r="251" spans="9:25" ht="12.75" customHeight="1">
      <c r="I251" s="382"/>
      <c r="J251" s="519">
        <f t="shared" ref="J251" si="218">J249+1</f>
        <v>112</v>
      </c>
      <c r="K251" s="519"/>
      <c r="L251" s="519"/>
      <c r="M251" s="380"/>
      <c r="N251" s="520">
        <f t="shared" ref="N251" si="219">N249+1</f>
        <v>47230</v>
      </c>
      <c r="O251" s="519"/>
      <c r="P251" s="519"/>
      <c r="Q251" s="382"/>
      <c r="R251" s="521">
        <f>LOOKUP(ROUNDUP(IF((N251-$R$10)&lt;=0,1,(N251-$R$10))/365,0),'Profit Division'!$A$4:$A$30,'Profit Division'!$C$4:$C$30)</f>
        <v>1.1403848734836686E-4</v>
      </c>
      <c r="S251" s="521"/>
      <c r="T251" s="521"/>
      <c r="U251" s="380"/>
      <c r="V251" s="522">
        <f ca="1">R251*LOOKUP(N251,'reserve calculation'!B:B,'reserve calculation'!D:D)</f>
        <v>50409.789786120236</v>
      </c>
      <c r="W251" s="522"/>
      <c r="X251" s="522"/>
      <c r="Y251" s="382"/>
    </row>
    <row r="252" spans="9:25" ht="12.75" customHeight="1">
      <c r="I252" s="382"/>
      <c r="J252" s="519"/>
      <c r="K252" s="519"/>
      <c r="L252" s="519"/>
      <c r="M252" s="380"/>
      <c r="N252" s="519"/>
      <c r="O252" s="519"/>
      <c r="P252" s="519"/>
      <c r="Q252" s="382"/>
      <c r="R252" s="521"/>
      <c r="S252" s="521"/>
      <c r="T252" s="521"/>
      <c r="U252" s="380"/>
      <c r="V252" s="522"/>
      <c r="W252" s="522"/>
      <c r="X252" s="522"/>
      <c r="Y252" s="382"/>
    </row>
    <row r="253" spans="9:25" ht="12.75" customHeight="1">
      <c r="I253" s="382"/>
      <c r="J253" s="519">
        <f t="shared" ref="J253" si="220">J251+1</f>
        <v>113</v>
      </c>
      <c r="K253" s="519"/>
      <c r="L253" s="519"/>
      <c r="M253" s="380"/>
      <c r="N253" s="520">
        <f t="shared" ref="N253" si="221">N251+1</f>
        <v>47231</v>
      </c>
      <c r="O253" s="519"/>
      <c r="P253" s="519"/>
      <c r="Q253" s="382"/>
      <c r="R253" s="521">
        <f>LOOKUP(ROUNDUP(IF((N253-$R$10)&lt;=0,1,(N253-$R$10))/365,0),'Profit Division'!$A$4:$A$30,'Profit Division'!$C$4:$C$30)</f>
        <v>1.1403848734836686E-4</v>
      </c>
      <c r="S253" s="521"/>
      <c r="T253" s="521"/>
      <c r="U253" s="380"/>
      <c r="V253" s="522">
        <f ca="1">R253*LOOKUP(N253,'reserve calculation'!B:B,'reserve calculation'!D:D)</f>
        <v>50429.095866056537</v>
      </c>
      <c r="W253" s="522"/>
      <c r="X253" s="522"/>
      <c r="Y253" s="382"/>
    </row>
    <row r="254" spans="9:25" ht="12.75" customHeight="1">
      <c r="I254" s="382"/>
      <c r="J254" s="519"/>
      <c r="K254" s="519"/>
      <c r="L254" s="519"/>
      <c r="M254" s="380"/>
      <c r="N254" s="519"/>
      <c r="O254" s="519"/>
      <c r="P254" s="519"/>
      <c r="Q254" s="382"/>
      <c r="R254" s="521"/>
      <c r="S254" s="521"/>
      <c r="T254" s="521"/>
      <c r="U254" s="380"/>
      <c r="V254" s="522"/>
      <c r="W254" s="522"/>
      <c r="X254" s="522"/>
      <c r="Y254" s="382"/>
    </row>
    <row r="255" spans="9:25" ht="12.75" customHeight="1">
      <c r="I255" s="382"/>
      <c r="J255" s="519">
        <f t="shared" ref="J255" si="222">J253+1</f>
        <v>114</v>
      </c>
      <c r="K255" s="519"/>
      <c r="L255" s="519"/>
      <c r="M255" s="380"/>
      <c r="N255" s="520">
        <f t="shared" ref="N255" si="223">N253+1</f>
        <v>47232</v>
      </c>
      <c r="O255" s="519"/>
      <c r="P255" s="519"/>
      <c r="Q255" s="382"/>
      <c r="R255" s="521">
        <f>LOOKUP(ROUNDUP(IF((N255-$R$10)&lt;=0,1,(N255-$R$10))/365,0),'Profit Division'!$A$4:$A$30,'Profit Division'!$C$4:$C$30)</f>
        <v>1.1403848734836686E-4</v>
      </c>
      <c r="S255" s="521"/>
      <c r="T255" s="521"/>
      <c r="U255" s="380"/>
      <c r="V255" s="522">
        <f ca="1">R255*LOOKUP(N255,'reserve calculation'!B:B,'reserve calculation'!D:D)</f>
        <v>50448.409339888422</v>
      </c>
      <c r="W255" s="522"/>
      <c r="X255" s="522"/>
      <c r="Y255" s="382"/>
    </row>
    <row r="256" spans="9:25" ht="12.75" customHeight="1">
      <c r="I256" s="382"/>
      <c r="J256" s="519"/>
      <c r="K256" s="519"/>
      <c r="L256" s="519"/>
      <c r="M256" s="380"/>
      <c r="N256" s="519"/>
      <c r="O256" s="519"/>
      <c r="P256" s="519"/>
      <c r="Q256" s="382"/>
      <c r="R256" s="521"/>
      <c r="S256" s="521"/>
      <c r="T256" s="521"/>
      <c r="U256" s="380"/>
      <c r="V256" s="522"/>
      <c r="W256" s="522"/>
      <c r="X256" s="522"/>
      <c r="Y256" s="382"/>
    </row>
    <row r="257" spans="9:25" ht="12.75" customHeight="1">
      <c r="I257" s="382"/>
      <c r="J257" s="519">
        <f t="shared" ref="J257" si="224">J255+1</f>
        <v>115</v>
      </c>
      <c r="K257" s="519"/>
      <c r="L257" s="519"/>
      <c r="M257" s="380"/>
      <c r="N257" s="520">
        <f t="shared" ref="N257" si="225">N255+1</f>
        <v>47233</v>
      </c>
      <c r="O257" s="519"/>
      <c r="P257" s="519"/>
      <c r="Q257" s="382"/>
      <c r="R257" s="521">
        <f>LOOKUP(ROUNDUP(IF((N257-$R$10)&lt;=0,1,(N257-$R$10))/365,0),'Profit Division'!$A$4:$A$30,'Profit Division'!$C$4:$C$30)</f>
        <v>1.1403848734836686E-4</v>
      </c>
      <c r="S257" s="521"/>
      <c r="T257" s="521"/>
      <c r="U257" s="380"/>
      <c r="V257" s="522">
        <f ca="1">R257*LOOKUP(N257,'reserve calculation'!B:B,'reserve calculation'!D:D)</f>
        <v>50467.73021044764</v>
      </c>
      <c r="W257" s="522"/>
      <c r="X257" s="522"/>
      <c r="Y257" s="382"/>
    </row>
    <row r="258" spans="9:25" ht="12.75" customHeight="1">
      <c r="I258" s="382"/>
      <c r="J258" s="519"/>
      <c r="K258" s="519"/>
      <c r="L258" s="519"/>
      <c r="M258" s="380"/>
      <c r="N258" s="519"/>
      <c r="O258" s="519"/>
      <c r="P258" s="519"/>
      <c r="Q258" s="382"/>
      <c r="R258" s="521"/>
      <c r="S258" s="521"/>
      <c r="T258" s="521"/>
      <c r="U258" s="380"/>
      <c r="V258" s="522"/>
      <c r="W258" s="522"/>
      <c r="X258" s="522"/>
      <c r="Y258" s="382"/>
    </row>
    <row r="259" spans="9:25" ht="12.75" customHeight="1">
      <c r="I259" s="382"/>
      <c r="J259" s="519">
        <f t="shared" ref="J259" si="226">J257+1</f>
        <v>116</v>
      </c>
      <c r="K259" s="519"/>
      <c r="L259" s="519"/>
      <c r="M259" s="380"/>
      <c r="N259" s="520">
        <f t="shared" ref="N259" si="227">N257+1</f>
        <v>47234</v>
      </c>
      <c r="O259" s="519"/>
      <c r="P259" s="519"/>
      <c r="Q259" s="382"/>
      <c r="R259" s="521">
        <f>LOOKUP(ROUNDUP(IF((N259-$R$10)&lt;=0,1,(N259-$R$10))/365,0),'Profit Division'!$A$4:$A$30,'Profit Division'!$C$4:$C$30)</f>
        <v>1.1403848734836686E-4</v>
      </c>
      <c r="S259" s="521"/>
      <c r="T259" s="521"/>
      <c r="U259" s="380"/>
      <c r="V259" s="522">
        <f ca="1">R259*LOOKUP(N259,'reserve calculation'!B:B,'reserve calculation'!D:D)</f>
        <v>50487.058480567001</v>
      </c>
      <c r="W259" s="522"/>
      <c r="X259" s="522"/>
      <c r="Y259" s="382"/>
    </row>
    <row r="260" spans="9:25" ht="12.75" customHeight="1">
      <c r="I260" s="382"/>
      <c r="J260" s="519"/>
      <c r="K260" s="519"/>
      <c r="L260" s="519"/>
      <c r="M260" s="380"/>
      <c r="N260" s="519"/>
      <c r="O260" s="519"/>
      <c r="P260" s="519"/>
      <c r="Q260" s="382"/>
      <c r="R260" s="521"/>
      <c r="S260" s="521"/>
      <c r="T260" s="521"/>
      <c r="U260" s="380"/>
      <c r="V260" s="522"/>
      <c r="W260" s="522"/>
      <c r="X260" s="522"/>
      <c r="Y260" s="382"/>
    </row>
    <row r="261" spans="9:25" ht="12.75" customHeight="1">
      <c r="I261" s="382"/>
      <c r="J261" s="519">
        <f t="shared" ref="J261" si="228">J259+1</f>
        <v>117</v>
      </c>
      <c r="K261" s="519"/>
      <c r="L261" s="519"/>
      <c r="M261" s="380"/>
      <c r="N261" s="520">
        <f t="shared" ref="N261" si="229">N259+1</f>
        <v>47235</v>
      </c>
      <c r="O261" s="519"/>
      <c r="P261" s="519"/>
      <c r="Q261" s="382"/>
      <c r="R261" s="521">
        <f>LOOKUP(ROUNDUP(IF((N261-$R$10)&lt;=0,1,(N261-$R$10))/365,0),'Profit Division'!$A$4:$A$30,'Profit Division'!$C$4:$C$30)</f>
        <v>1.1403848734836686E-4</v>
      </c>
      <c r="S261" s="521"/>
      <c r="T261" s="521"/>
      <c r="U261" s="380"/>
      <c r="V261" s="522">
        <f ca="1">R261*LOOKUP(N261,'reserve calculation'!B:B,'reserve calculation'!D:D)</f>
        <v>50506.394153080415</v>
      </c>
      <c r="W261" s="522"/>
      <c r="X261" s="522"/>
      <c r="Y261" s="382"/>
    </row>
    <row r="262" spans="9:25" ht="12.75" customHeight="1">
      <c r="I262" s="382"/>
      <c r="J262" s="519"/>
      <c r="K262" s="519"/>
      <c r="L262" s="519"/>
      <c r="M262" s="380"/>
      <c r="N262" s="519"/>
      <c r="O262" s="519"/>
      <c r="P262" s="519"/>
      <c r="Q262" s="382"/>
      <c r="R262" s="521"/>
      <c r="S262" s="521"/>
      <c r="T262" s="521"/>
      <c r="U262" s="380"/>
      <c r="V262" s="522"/>
      <c r="W262" s="522"/>
      <c r="X262" s="522"/>
      <c r="Y262" s="382"/>
    </row>
    <row r="263" spans="9:25" ht="12.75" customHeight="1">
      <c r="I263" s="382"/>
      <c r="J263" s="519">
        <f t="shared" ref="J263" si="230">J261+1</f>
        <v>118</v>
      </c>
      <c r="K263" s="519"/>
      <c r="L263" s="519"/>
      <c r="M263" s="380"/>
      <c r="N263" s="520">
        <f t="shared" ref="N263" si="231">N261+1</f>
        <v>47236</v>
      </c>
      <c r="O263" s="519"/>
      <c r="P263" s="519"/>
      <c r="Q263" s="382"/>
      <c r="R263" s="521">
        <f>LOOKUP(ROUNDUP(IF((N263-$R$10)&lt;=0,1,(N263-$R$10))/365,0),'Profit Division'!$A$4:$A$30,'Profit Division'!$C$4:$C$30)</f>
        <v>1.1403848734836686E-4</v>
      </c>
      <c r="S263" s="521"/>
      <c r="T263" s="521"/>
      <c r="U263" s="380"/>
      <c r="V263" s="522">
        <f ca="1">R263*LOOKUP(N263,'reserve calculation'!B:B,'reserve calculation'!D:D)</f>
        <v>50525.737230822866</v>
      </c>
      <c r="W263" s="522"/>
      <c r="X263" s="522"/>
      <c r="Y263" s="382"/>
    </row>
    <row r="264" spans="9:25" ht="12.75" customHeight="1">
      <c r="I264" s="382"/>
      <c r="J264" s="519"/>
      <c r="K264" s="519"/>
      <c r="L264" s="519"/>
      <c r="M264" s="380"/>
      <c r="N264" s="519"/>
      <c r="O264" s="519"/>
      <c r="P264" s="519"/>
      <c r="Q264" s="382"/>
      <c r="R264" s="521"/>
      <c r="S264" s="521"/>
      <c r="T264" s="521"/>
      <c r="U264" s="380"/>
      <c r="V264" s="522"/>
      <c r="W264" s="522"/>
      <c r="X264" s="522"/>
      <c r="Y264" s="382"/>
    </row>
    <row r="265" spans="9:25" ht="12.75" customHeight="1">
      <c r="I265" s="382"/>
      <c r="J265" s="519">
        <f t="shared" ref="J265" si="232">J263+1</f>
        <v>119</v>
      </c>
      <c r="K265" s="519"/>
      <c r="L265" s="519"/>
      <c r="M265" s="380"/>
      <c r="N265" s="520">
        <f t="shared" ref="N265" si="233">N263+1</f>
        <v>47237</v>
      </c>
      <c r="O265" s="519"/>
      <c r="P265" s="519"/>
      <c r="Q265" s="382"/>
      <c r="R265" s="521">
        <f>LOOKUP(ROUNDUP(IF((N265-$R$10)&lt;=0,1,(N265-$R$10))/365,0),'Profit Division'!$A$4:$A$30,'Profit Division'!$C$4:$C$30)</f>
        <v>1.1403848734836686E-4</v>
      </c>
      <c r="S265" s="521"/>
      <c r="T265" s="521"/>
      <c r="U265" s="380"/>
      <c r="V265" s="522">
        <f ca="1">R265*LOOKUP(N265,'reserve calculation'!B:B,'reserve calculation'!D:D)</f>
        <v>50545.087716630434</v>
      </c>
      <c r="W265" s="522"/>
      <c r="X265" s="522"/>
      <c r="Y265" s="382"/>
    </row>
    <row r="266" spans="9:25" ht="12.75" customHeight="1">
      <c r="I266" s="382"/>
      <c r="J266" s="519"/>
      <c r="K266" s="519"/>
      <c r="L266" s="519"/>
      <c r="M266" s="380"/>
      <c r="N266" s="519"/>
      <c r="O266" s="519"/>
      <c r="P266" s="519"/>
      <c r="Q266" s="382"/>
      <c r="R266" s="521"/>
      <c r="S266" s="521"/>
      <c r="T266" s="521"/>
      <c r="U266" s="380"/>
      <c r="V266" s="522"/>
      <c r="W266" s="522"/>
      <c r="X266" s="522"/>
      <c r="Y266" s="382"/>
    </row>
    <row r="267" spans="9:25" ht="12.75" customHeight="1">
      <c r="I267" s="382"/>
      <c r="J267" s="519">
        <f t="shared" ref="J267" si="234">J265+1</f>
        <v>120</v>
      </c>
      <c r="K267" s="519"/>
      <c r="L267" s="519"/>
      <c r="M267" s="380"/>
      <c r="N267" s="520">
        <f t="shared" ref="N267" si="235">N265+1</f>
        <v>47238</v>
      </c>
      <c r="O267" s="519"/>
      <c r="P267" s="519"/>
      <c r="Q267" s="382"/>
      <c r="R267" s="521">
        <f>LOOKUP(ROUNDUP(IF((N267-$R$10)&lt;=0,1,(N267-$R$10))/365,0),'Profit Division'!$A$4:$A$30,'Profit Division'!$C$4:$C$30)</f>
        <v>1.1403848734836686E-4</v>
      </c>
      <c r="S267" s="521"/>
      <c r="T267" s="521"/>
      <c r="U267" s="380"/>
      <c r="V267" s="522">
        <f ca="1">R267*LOOKUP(N267,'reserve calculation'!B:B,'reserve calculation'!D:D)</f>
        <v>50564.445613340271</v>
      </c>
      <c r="W267" s="522"/>
      <c r="X267" s="522"/>
      <c r="Y267" s="382"/>
    </row>
    <row r="268" spans="9:25" ht="12.75" customHeight="1">
      <c r="I268" s="382"/>
      <c r="J268" s="519"/>
      <c r="K268" s="519"/>
      <c r="L268" s="519"/>
      <c r="M268" s="380"/>
      <c r="N268" s="519"/>
      <c r="O268" s="519"/>
      <c r="P268" s="519"/>
      <c r="Q268" s="382"/>
      <c r="R268" s="521"/>
      <c r="S268" s="521"/>
      <c r="T268" s="521"/>
      <c r="U268" s="380"/>
      <c r="V268" s="522"/>
      <c r="W268" s="522"/>
      <c r="X268" s="522"/>
      <c r="Y268" s="382"/>
    </row>
    <row r="269" spans="9:25" ht="12.75" customHeight="1">
      <c r="I269" s="382"/>
      <c r="J269" s="519">
        <f t="shared" ref="J269" si="236">J267+1</f>
        <v>121</v>
      </c>
      <c r="K269" s="519"/>
      <c r="L269" s="519"/>
      <c r="M269" s="380"/>
      <c r="N269" s="520">
        <f t="shared" ref="N269" si="237">N267+1</f>
        <v>47239</v>
      </c>
      <c r="O269" s="519"/>
      <c r="P269" s="519"/>
      <c r="Q269" s="382"/>
      <c r="R269" s="521">
        <f>LOOKUP(ROUNDUP(IF((N269-$R$10)&lt;=0,1,(N269-$R$10))/365,0),'Profit Division'!$A$4:$A$30,'Profit Division'!$C$4:$C$30)</f>
        <v>1.1403848734836686E-4</v>
      </c>
      <c r="S269" s="521"/>
      <c r="T269" s="521"/>
      <c r="U269" s="380"/>
      <c r="V269" s="522">
        <f ca="1">R269*LOOKUP(N269,'reserve calculation'!B:B,'reserve calculation'!D:D)</f>
        <v>50583.810923790632</v>
      </c>
      <c r="W269" s="522"/>
      <c r="X269" s="522"/>
      <c r="Y269" s="382"/>
    </row>
    <row r="270" spans="9:25" ht="12.75" customHeight="1">
      <c r="I270" s="382"/>
      <c r="J270" s="519"/>
      <c r="K270" s="519"/>
      <c r="L270" s="519"/>
      <c r="M270" s="380"/>
      <c r="N270" s="519"/>
      <c r="O270" s="519"/>
      <c r="P270" s="519"/>
      <c r="Q270" s="382"/>
      <c r="R270" s="521"/>
      <c r="S270" s="521"/>
      <c r="T270" s="521"/>
      <c r="U270" s="380"/>
      <c r="V270" s="522"/>
      <c r="W270" s="522"/>
      <c r="X270" s="522"/>
      <c r="Y270" s="382"/>
    </row>
    <row r="271" spans="9:25" ht="12.75" customHeight="1">
      <c r="I271" s="382"/>
      <c r="J271" s="519">
        <f t="shared" ref="J271" si="238">J269+1</f>
        <v>122</v>
      </c>
      <c r="K271" s="519"/>
      <c r="L271" s="519"/>
      <c r="M271" s="380"/>
      <c r="N271" s="520">
        <f t="shared" ref="N271" si="239">N269+1</f>
        <v>47240</v>
      </c>
      <c r="O271" s="519"/>
      <c r="P271" s="519"/>
      <c r="Q271" s="382"/>
      <c r="R271" s="521">
        <f>LOOKUP(ROUNDUP(IF((N271-$R$10)&lt;=0,1,(N271-$R$10))/365,0),'Profit Division'!$A$4:$A$30,'Profit Division'!$C$4:$C$30)</f>
        <v>1.1403848734836686E-4</v>
      </c>
      <c r="S271" s="521"/>
      <c r="T271" s="521"/>
      <c r="U271" s="380"/>
      <c r="V271" s="522">
        <f ca="1">R271*LOOKUP(N271,'reserve calculation'!B:B,'reserve calculation'!D:D)</f>
        <v>50603.183650820851</v>
      </c>
      <c r="W271" s="522"/>
      <c r="X271" s="522"/>
      <c r="Y271" s="382"/>
    </row>
    <row r="272" spans="9:25" ht="12.75" customHeight="1">
      <c r="I272" s="382"/>
      <c r="J272" s="519"/>
      <c r="K272" s="519"/>
      <c r="L272" s="519"/>
      <c r="M272" s="380"/>
      <c r="N272" s="519"/>
      <c r="O272" s="519"/>
      <c r="P272" s="519"/>
      <c r="Q272" s="382"/>
      <c r="R272" s="521"/>
      <c r="S272" s="521"/>
      <c r="T272" s="521"/>
      <c r="U272" s="380"/>
      <c r="V272" s="522"/>
      <c r="W272" s="522"/>
      <c r="X272" s="522"/>
      <c r="Y272" s="382"/>
    </row>
    <row r="273" spans="9:25" ht="12.75" customHeight="1">
      <c r="I273" s="382"/>
      <c r="J273" s="519">
        <f t="shared" ref="J273" si="240">J271+1</f>
        <v>123</v>
      </c>
      <c r="K273" s="519"/>
      <c r="L273" s="519"/>
      <c r="M273" s="380"/>
      <c r="N273" s="520">
        <f t="shared" ref="N273" si="241">N271+1</f>
        <v>47241</v>
      </c>
      <c r="O273" s="519"/>
      <c r="P273" s="519"/>
      <c r="Q273" s="382"/>
      <c r="R273" s="521">
        <f>LOOKUP(ROUNDUP(IF((N273-$R$10)&lt;=0,1,(N273-$R$10))/365,0),'Profit Division'!$A$4:$A$30,'Profit Division'!$C$4:$C$30)</f>
        <v>1.1403848734836686E-4</v>
      </c>
      <c r="S273" s="521"/>
      <c r="T273" s="521"/>
      <c r="U273" s="380"/>
      <c r="V273" s="522">
        <f ca="1">R273*LOOKUP(N273,'reserve calculation'!B:B,'reserve calculation'!D:D)</f>
        <v>50622.563797271352</v>
      </c>
      <c r="W273" s="522"/>
      <c r="X273" s="522"/>
      <c r="Y273" s="382"/>
    </row>
    <row r="274" spans="9:25" ht="12.75" customHeight="1">
      <c r="I274" s="382"/>
      <c r="J274" s="519"/>
      <c r="K274" s="519"/>
      <c r="L274" s="519"/>
      <c r="M274" s="380"/>
      <c r="N274" s="519"/>
      <c r="O274" s="519"/>
      <c r="P274" s="519"/>
      <c r="Q274" s="382"/>
      <c r="R274" s="521"/>
      <c r="S274" s="521"/>
      <c r="T274" s="521"/>
      <c r="U274" s="380"/>
      <c r="V274" s="522"/>
      <c r="W274" s="522"/>
      <c r="X274" s="522"/>
      <c r="Y274" s="382"/>
    </row>
    <row r="275" spans="9:25" ht="12.75" customHeight="1">
      <c r="I275" s="382"/>
      <c r="J275" s="519">
        <f t="shared" ref="J275" si="242">J273+1</f>
        <v>124</v>
      </c>
      <c r="K275" s="519"/>
      <c r="L275" s="519"/>
      <c r="M275" s="380"/>
      <c r="N275" s="520">
        <f t="shared" ref="N275" si="243">N273+1</f>
        <v>47242</v>
      </c>
      <c r="O275" s="519"/>
      <c r="P275" s="519"/>
      <c r="Q275" s="382"/>
      <c r="R275" s="521">
        <f>LOOKUP(ROUNDUP(IF((N275-$R$10)&lt;=0,1,(N275-$R$10))/365,0),'Profit Division'!$A$4:$A$30,'Profit Division'!$C$4:$C$30)</f>
        <v>1.1403848734836686E-4</v>
      </c>
      <c r="S275" s="521"/>
      <c r="T275" s="521"/>
      <c r="U275" s="380"/>
      <c r="V275" s="522">
        <f ca="1">R275*LOOKUP(N275,'reserve calculation'!B:B,'reserve calculation'!D:D)</f>
        <v>50641.951365983645</v>
      </c>
      <c r="W275" s="522"/>
      <c r="X275" s="522"/>
      <c r="Y275" s="382"/>
    </row>
    <row r="276" spans="9:25" ht="12.75" customHeight="1">
      <c r="I276" s="382"/>
      <c r="J276" s="519"/>
      <c r="K276" s="519"/>
      <c r="L276" s="519"/>
      <c r="M276" s="380"/>
      <c r="N276" s="519"/>
      <c r="O276" s="519"/>
      <c r="P276" s="519"/>
      <c r="Q276" s="382"/>
      <c r="R276" s="521"/>
      <c r="S276" s="521"/>
      <c r="T276" s="521"/>
      <c r="U276" s="380"/>
      <c r="V276" s="522"/>
      <c r="W276" s="522"/>
      <c r="X276" s="522"/>
      <c r="Y276" s="382"/>
    </row>
    <row r="277" spans="9:25" ht="12.75" customHeight="1">
      <c r="I277" s="382"/>
      <c r="J277" s="519">
        <f t="shared" ref="J277" si="244">J275+1</f>
        <v>125</v>
      </c>
      <c r="K277" s="519"/>
      <c r="L277" s="519"/>
      <c r="M277" s="380"/>
      <c r="N277" s="520">
        <f t="shared" ref="N277" si="245">N275+1</f>
        <v>47243</v>
      </c>
      <c r="O277" s="519"/>
      <c r="P277" s="519"/>
      <c r="Q277" s="382"/>
      <c r="R277" s="521">
        <f>LOOKUP(ROUNDUP(IF((N277-$R$10)&lt;=0,1,(N277-$R$10))/365,0),'Profit Division'!$A$4:$A$30,'Profit Division'!$C$4:$C$30)</f>
        <v>1.1403848734836686E-4</v>
      </c>
      <c r="S277" s="521"/>
      <c r="T277" s="521"/>
      <c r="U277" s="380"/>
      <c r="V277" s="522">
        <f ca="1">R277*LOOKUP(N277,'reserve calculation'!B:B,'reserve calculation'!D:D)</f>
        <v>50661.346359800322</v>
      </c>
      <c r="W277" s="522"/>
      <c r="X277" s="522"/>
      <c r="Y277" s="382"/>
    </row>
    <row r="278" spans="9:25" ht="12.75" customHeight="1">
      <c r="I278" s="382"/>
      <c r="J278" s="519"/>
      <c r="K278" s="519"/>
      <c r="L278" s="519"/>
      <c r="M278" s="380"/>
      <c r="N278" s="519"/>
      <c r="O278" s="519"/>
      <c r="P278" s="519"/>
      <c r="Q278" s="382"/>
      <c r="R278" s="521"/>
      <c r="S278" s="521"/>
      <c r="T278" s="521"/>
      <c r="U278" s="380"/>
      <c r="V278" s="522"/>
      <c r="W278" s="522"/>
      <c r="X278" s="522"/>
      <c r="Y278" s="382"/>
    </row>
    <row r="279" spans="9:25" ht="12.75" customHeight="1">
      <c r="I279" s="382"/>
      <c r="J279" s="519">
        <f t="shared" ref="J279" si="246">J277+1</f>
        <v>126</v>
      </c>
      <c r="K279" s="519"/>
      <c r="L279" s="519"/>
      <c r="M279" s="380"/>
      <c r="N279" s="520">
        <f t="shared" ref="N279" si="247">N277+1</f>
        <v>47244</v>
      </c>
      <c r="O279" s="519"/>
      <c r="P279" s="519"/>
      <c r="Q279" s="382"/>
      <c r="R279" s="521">
        <f>LOOKUP(ROUNDUP(IF((N279-$R$10)&lt;=0,1,(N279-$R$10))/365,0),'Profit Division'!$A$4:$A$30,'Profit Division'!$C$4:$C$30)</f>
        <v>1.1403848734836686E-4</v>
      </c>
      <c r="S279" s="521"/>
      <c r="T279" s="521"/>
      <c r="U279" s="380"/>
      <c r="V279" s="522">
        <f ca="1">R279*LOOKUP(N279,'reserve calculation'!B:B,'reserve calculation'!D:D)</f>
        <v>50680.748781565075</v>
      </c>
      <c r="W279" s="522"/>
      <c r="X279" s="522"/>
      <c r="Y279" s="382"/>
    </row>
    <row r="280" spans="9:25" ht="12.75" customHeight="1">
      <c r="I280" s="382"/>
      <c r="J280" s="519"/>
      <c r="K280" s="519"/>
      <c r="L280" s="519"/>
      <c r="M280" s="380"/>
      <c r="N280" s="519"/>
      <c r="O280" s="519"/>
      <c r="P280" s="519"/>
      <c r="Q280" s="382"/>
      <c r="R280" s="521"/>
      <c r="S280" s="521"/>
      <c r="T280" s="521"/>
      <c r="U280" s="380"/>
      <c r="V280" s="522"/>
      <c r="W280" s="522"/>
      <c r="X280" s="522"/>
      <c r="Y280" s="382"/>
    </row>
    <row r="281" spans="9:25" ht="12.75" customHeight="1">
      <c r="I281" s="382"/>
      <c r="J281" s="519">
        <f t="shared" ref="J281" si="248">J279+1</f>
        <v>127</v>
      </c>
      <c r="K281" s="519"/>
      <c r="L281" s="519"/>
      <c r="M281" s="380"/>
      <c r="N281" s="520">
        <f t="shared" ref="N281" si="249">N279+1</f>
        <v>47245</v>
      </c>
      <c r="O281" s="519"/>
      <c r="P281" s="519"/>
      <c r="Q281" s="382"/>
      <c r="R281" s="521">
        <f>LOOKUP(ROUNDUP(IF((N281-$R$10)&lt;=0,1,(N281-$R$10))/365,0),'Profit Division'!$A$4:$A$30,'Profit Division'!$C$4:$C$30)</f>
        <v>1.1403848734836686E-4</v>
      </c>
      <c r="S281" s="521"/>
      <c r="T281" s="521"/>
      <c r="U281" s="380"/>
      <c r="V281" s="522">
        <f ca="1">R281*LOOKUP(N281,'reserve calculation'!B:B,'reserve calculation'!D:D)</f>
        <v>50700.158634122672</v>
      </c>
      <c r="W281" s="522"/>
      <c r="X281" s="522"/>
      <c r="Y281" s="382"/>
    </row>
    <row r="282" spans="9:25" ht="12.75" customHeight="1">
      <c r="I282" s="382"/>
      <c r="J282" s="519"/>
      <c r="K282" s="519"/>
      <c r="L282" s="519"/>
      <c r="M282" s="380"/>
      <c r="N282" s="519"/>
      <c r="O282" s="519"/>
      <c r="P282" s="519"/>
      <c r="Q282" s="382"/>
      <c r="R282" s="521"/>
      <c r="S282" s="521"/>
      <c r="T282" s="521"/>
      <c r="U282" s="380"/>
      <c r="V282" s="522"/>
      <c r="W282" s="522"/>
      <c r="X282" s="522"/>
      <c r="Y282" s="382"/>
    </row>
    <row r="283" spans="9:25" ht="12.75" customHeight="1">
      <c r="I283" s="382"/>
      <c r="J283" s="519">
        <f t="shared" ref="J283" si="250">J281+1</f>
        <v>128</v>
      </c>
      <c r="K283" s="519"/>
      <c r="L283" s="519"/>
      <c r="M283" s="380"/>
      <c r="N283" s="520">
        <f t="shared" ref="N283" si="251">N281+1</f>
        <v>47246</v>
      </c>
      <c r="O283" s="519"/>
      <c r="P283" s="519"/>
      <c r="Q283" s="382"/>
      <c r="R283" s="521">
        <f>LOOKUP(ROUNDUP(IF((N283-$R$10)&lt;=0,1,(N283-$R$10))/365,0),'Profit Division'!$A$4:$A$30,'Profit Division'!$C$4:$C$30)</f>
        <v>1.1403848734836686E-4</v>
      </c>
      <c r="S283" s="521"/>
      <c r="T283" s="521"/>
      <c r="U283" s="380"/>
      <c r="V283" s="522">
        <f ca="1">R283*LOOKUP(N283,'reserve calculation'!B:B,'reserve calculation'!D:D)</f>
        <v>50719.575920318988</v>
      </c>
      <c r="W283" s="522"/>
      <c r="X283" s="522"/>
      <c r="Y283" s="382"/>
    </row>
    <row r="284" spans="9:25" ht="12.75" customHeight="1">
      <c r="I284" s="382"/>
      <c r="J284" s="519"/>
      <c r="K284" s="519"/>
      <c r="L284" s="519"/>
      <c r="M284" s="380"/>
      <c r="N284" s="519"/>
      <c r="O284" s="519"/>
      <c r="P284" s="519"/>
      <c r="Q284" s="382"/>
      <c r="R284" s="521"/>
      <c r="S284" s="521"/>
      <c r="T284" s="521"/>
      <c r="U284" s="380"/>
      <c r="V284" s="522"/>
      <c r="W284" s="522"/>
      <c r="X284" s="522"/>
      <c r="Y284" s="382"/>
    </row>
    <row r="285" spans="9:25" ht="12.75" customHeight="1">
      <c r="I285" s="382"/>
      <c r="J285" s="519">
        <f t="shared" ref="J285" si="252">J283+1</f>
        <v>129</v>
      </c>
      <c r="K285" s="519"/>
      <c r="L285" s="519"/>
      <c r="M285" s="380"/>
      <c r="N285" s="520">
        <f t="shared" ref="N285" si="253">N283+1</f>
        <v>47247</v>
      </c>
      <c r="O285" s="519"/>
      <c r="P285" s="519"/>
      <c r="Q285" s="382"/>
      <c r="R285" s="521">
        <f>LOOKUP(ROUNDUP(IF((N285-$R$10)&lt;=0,1,(N285-$R$10))/365,0),'Profit Division'!$A$4:$A$30,'Profit Division'!$C$4:$C$30)</f>
        <v>1.1403848734836686E-4</v>
      </c>
      <c r="S285" s="521"/>
      <c r="T285" s="521"/>
      <c r="U285" s="380"/>
      <c r="V285" s="522">
        <f ca="1">R285*LOOKUP(N285,'reserve calculation'!B:B,'reserve calculation'!D:D)</f>
        <v>50739.000643000982</v>
      </c>
      <c r="W285" s="522"/>
      <c r="X285" s="522"/>
      <c r="Y285" s="382"/>
    </row>
    <row r="286" spans="9:25" ht="12.75" customHeight="1">
      <c r="I286" s="382"/>
      <c r="J286" s="519"/>
      <c r="K286" s="519"/>
      <c r="L286" s="519"/>
      <c r="M286" s="380"/>
      <c r="N286" s="519"/>
      <c r="O286" s="519"/>
      <c r="P286" s="519"/>
      <c r="Q286" s="382"/>
      <c r="R286" s="521"/>
      <c r="S286" s="521"/>
      <c r="T286" s="521"/>
      <c r="U286" s="380"/>
      <c r="V286" s="522"/>
      <c r="W286" s="522"/>
      <c r="X286" s="522"/>
      <c r="Y286" s="382"/>
    </row>
    <row r="287" spans="9:25" ht="12.75" customHeight="1">
      <c r="I287" s="382"/>
      <c r="J287" s="519">
        <f t="shared" ref="J287" si="254">J285+1</f>
        <v>130</v>
      </c>
      <c r="K287" s="519"/>
      <c r="L287" s="519"/>
      <c r="M287" s="380"/>
      <c r="N287" s="520">
        <f t="shared" ref="N287" si="255">N285+1</f>
        <v>47248</v>
      </c>
      <c r="O287" s="519"/>
      <c r="P287" s="519"/>
      <c r="Q287" s="382"/>
      <c r="R287" s="521">
        <f>LOOKUP(ROUNDUP(IF((N287-$R$10)&lt;=0,1,(N287-$R$10))/365,0),'Profit Division'!$A$4:$A$30,'Profit Division'!$C$4:$C$30)</f>
        <v>1.1403848734836686E-4</v>
      </c>
      <c r="S287" s="521"/>
      <c r="T287" s="521"/>
      <c r="U287" s="380"/>
      <c r="V287" s="522">
        <f ca="1">R287*LOOKUP(N287,'reserve calculation'!B:B,'reserve calculation'!D:D)</f>
        <v>50758.432805016695</v>
      </c>
      <c r="W287" s="522"/>
      <c r="X287" s="522"/>
      <c r="Y287" s="382"/>
    </row>
    <row r="288" spans="9:25" ht="12.75" customHeight="1">
      <c r="I288" s="382"/>
      <c r="J288" s="519"/>
      <c r="K288" s="519"/>
      <c r="L288" s="519"/>
      <c r="M288" s="380"/>
      <c r="N288" s="519"/>
      <c r="O288" s="519"/>
      <c r="P288" s="519"/>
      <c r="Q288" s="382"/>
      <c r="R288" s="521"/>
      <c r="S288" s="521"/>
      <c r="T288" s="521"/>
      <c r="U288" s="380"/>
      <c r="V288" s="522"/>
      <c r="W288" s="522"/>
      <c r="X288" s="522"/>
      <c r="Y288" s="382"/>
    </row>
    <row r="289" spans="9:25" ht="12.75" customHeight="1">
      <c r="I289" s="382"/>
      <c r="J289" s="519">
        <f t="shared" ref="J289" si="256">J287+1</f>
        <v>131</v>
      </c>
      <c r="K289" s="519"/>
      <c r="L289" s="519"/>
      <c r="M289" s="380"/>
      <c r="N289" s="520">
        <f t="shared" ref="N289" si="257">N287+1</f>
        <v>47249</v>
      </c>
      <c r="O289" s="519"/>
      <c r="P289" s="519"/>
      <c r="Q289" s="382"/>
      <c r="R289" s="521">
        <f>LOOKUP(ROUNDUP(IF((N289-$R$10)&lt;=0,1,(N289-$R$10))/365,0),'Profit Division'!$A$4:$A$30,'Profit Division'!$C$4:$C$30)</f>
        <v>1.1403848734836686E-4</v>
      </c>
      <c r="S289" s="521"/>
      <c r="T289" s="521"/>
      <c r="U289" s="380"/>
      <c r="V289" s="522">
        <f ca="1">R289*LOOKUP(N289,'reserve calculation'!B:B,'reserve calculation'!D:D)</f>
        <v>50777.872409215255</v>
      </c>
      <c r="W289" s="522"/>
      <c r="X289" s="522"/>
      <c r="Y289" s="382"/>
    </row>
    <row r="290" spans="9:25" ht="12.75" customHeight="1">
      <c r="I290" s="382"/>
      <c r="J290" s="519"/>
      <c r="K290" s="519"/>
      <c r="L290" s="519"/>
      <c r="M290" s="380"/>
      <c r="N290" s="519"/>
      <c r="O290" s="519"/>
      <c r="P290" s="519"/>
      <c r="Q290" s="382"/>
      <c r="R290" s="521"/>
      <c r="S290" s="521"/>
      <c r="T290" s="521"/>
      <c r="U290" s="380"/>
      <c r="V290" s="522"/>
      <c r="W290" s="522"/>
      <c r="X290" s="522"/>
      <c r="Y290" s="382"/>
    </row>
    <row r="291" spans="9:25" ht="12.75" customHeight="1">
      <c r="I291" s="382"/>
      <c r="J291" s="519">
        <f t="shared" ref="J291" si="258">J289+1</f>
        <v>132</v>
      </c>
      <c r="K291" s="519"/>
      <c r="L291" s="519"/>
      <c r="M291" s="380"/>
      <c r="N291" s="520">
        <f t="shared" ref="N291" si="259">N289+1</f>
        <v>47250</v>
      </c>
      <c r="O291" s="519"/>
      <c r="P291" s="519"/>
      <c r="Q291" s="382"/>
      <c r="R291" s="521">
        <f>LOOKUP(ROUNDUP(IF((N291-$R$10)&lt;=0,1,(N291-$R$10))/365,0),'Profit Division'!$A$4:$A$30,'Profit Division'!$C$4:$C$30)</f>
        <v>1.1403848734836686E-4</v>
      </c>
      <c r="S291" s="521"/>
      <c r="T291" s="521"/>
      <c r="U291" s="380"/>
      <c r="V291" s="522">
        <f ca="1">R291*LOOKUP(N291,'reserve calculation'!B:B,'reserve calculation'!D:D)</f>
        <v>50797.319458446902</v>
      </c>
      <c r="W291" s="522"/>
      <c r="X291" s="522"/>
      <c r="Y291" s="382"/>
    </row>
    <row r="292" spans="9:25" ht="12.75" customHeight="1">
      <c r="I292" s="382"/>
      <c r="J292" s="519"/>
      <c r="K292" s="519"/>
      <c r="L292" s="519"/>
      <c r="M292" s="380"/>
      <c r="N292" s="519"/>
      <c r="O292" s="519"/>
      <c r="P292" s="519"/>
      <c r="Q292" s="382"/>
      <c r="R292" s="521"/>
      <c r="S292" s="521"/>
      <c r="T292" s="521"/>
      <c r="U292" s="380"/>
      <c r="V292" s="522"/>
      <c r="W292" s="522"/>
      <c r="X292" s="522"/>
      <c r="Y292" s="382"/>
    </row>
    <row r="293" spans="9:25" ht="12.75" customHeight="1">
      <c r="I293" s="382"/>
      <c r="J293" s="519">
        <f t="shared" ref="J293" si="260">J291+1</f>
        <v>133</v>
      </c>
      <c r="K293" s="519"/>
      <c r="L293" s="519"/>
      <c r="M293" s="380"/>
      <c r="N293" s="520">
        <f t="shared" ref="N293" si="261">N291+1</f>
        <v>47251</v>
      </c>
      <c r="O293" s="519"/>
      <c r="P293" s="519"/>
      <c r="Q293" s="382"/>
      <c r="R293" s="521">
        <f>LOOKUP(ROUNDUP(IF((N293-$R$10)&lt;=0,1,(N293-$R$10))/365,0),'Profit Division'!$A$4:$A$30,'Profit Division'!$C$4:$C$30)</f>
        <v>1.1403848734836686E-4</v>
      </c>
      <c r="S293" s="521"/>
      <c r="T293" s="521"/>
      <c r="U293" s="380"/>
      <c r="V293" s="522">
        <f ca="1">R293*LOOKUP(N293,'reserve calculation'!B:B,'reserve calculation'!D:D)</f>
        <v>50816.773955562952</v>
      </c>
      <c r="W293" s="522"/>
      <c r="X293" s="522"/>
      <c r="Y293" s="382"/>
    </row>
    <row r="294" spans="9:25" ht="12.75" customHeight="1">
      <c r="I294" s="382"/>
      <c r="J294" s="519"/>
      <c r="K294" s="519"/>
      <c r="L294" s="519"/>
      <c r="M294" s="380"/>
      <c r="N294" s="519"/>
      <c r="O294" s="519"/>
      <c r="P294" s="519"/>
      <c r="Q294" s="382"/>
      <c r="R294" s="521"/>
      <c r="S294" s="521"/>
      <c r="T294" s="521"/>
      <c r="U294" s="380"/>
      <c r="V294" s="522"/>
      <c r="W294" s="522"/>
      <c r="X294" s="522"/>
      <c r="Y294" s="382"/>
    </row>
    <row r="295" spans="9:25" ht="12.75" customHeight="1">
      <c r="I295" s="382"/>
      <c r="J295" s="519">
        <f t="shared" ref="J295" si="262">J293+1</f>
        <v>134</v>
      </c>
      <c r="K295" s="519"/>
      <c r="L295" s="519"/>
      <c r="M295" s="380"/>
      <c r="N295" s="520">
        <f t="shared" ref="N295" si="263">N293+1</f>
        <v>47252</v>
      </c>
      <c r="O295" s="519"/>
      <c r="P295" s="519"/>
      <c r="Q295" s="382"/>
      <c r="R295" s="521">
        <f>LOOKUP(ROUNDUP(IF((N295-$R$10)&lt;=0,1,(N295-$R$10))/365,0),'Profit Division'!$A$4:$A$30,'Profit Division'!$C$4:$C$30)</f>
        <v>1.1403848734836686E-4</v>
      </c>
      <c r="S295" s="521"/>
      <c r="T295" s="521"/>
      <c r="U295" s="380"/>
      <c r="V295" s="522">
        <f ca="1">R295*LOOKUP(N295,'reserve calculation'!B:B,'reserve calculation'!D:D)</f>
        <v>50836.235903415807</v>
      </c>
      <c r="W295" s="522"/>
      <c r="X295" s="522"/>
      <c r="Y295" s="382"/>
    </row>
    <row r="296" spans="9:25" ht="12.75" customHeight="1">
      <c r="I296" s="382"/>
      <c r="J296" s="519"/>
      <c r="K296" s="519"/>
      <c r="L296" s="519"/>
      <c r="M296" s="380"/>
      <c r="N296" s="519"/>
      <c r="O296" s="519"/>
      <c r="P296" s="519"/>
      <c r="Q296" s="382"/>
      <c r="R296" s="521"/>
      <c r="S296" s="521"/>
      <c r="T296" s="521"/>
      <c r="U296" s="380"/>
      <c r="V296" s="522"/>
      <c r="W296" s="522"/>
      <c r="X296" s="522"/>
      <c r="Y296" s="382"/>
    </row>
    <row r="297" spans="9:25" ht="12.75" customHeight="1">
      <c r="I297" s="382"/>
      <c r="J297" s="519">
        <f t="shared" ref="J297" si="264">J295+1</f>
        <v>135</v>
      </c>
      <c r="K297" s="519"/>
      <c r="L297" s="519"/>
      <c r="M297" s="380"/>
      <c r="N297" s="520">
        <f t="shared" ref="N297" si="265">N295+1</f>
        <v>47253</v>
      </c>
      <c r="O297" s="519"/>
      <c r="P297" s="519"/>
      <c r="Q297" s="382"/>
      <c r="R297" s="521">
        <f>LOOKUP(ROUNDUP(IF((N297-$R$10)&lt;=0,1,(N297-$R$10))/365,0),'Profit Division'!$A$4:$A$30,'Profit Division'!$C$4:$C$30)</f>
        <v>1.1403848734836686E-4</v>
      </c>
      <c r="S297" s="521"/>
      <c r="T297" s="521"/>
      <c r="U297" s="380"/>
      <c r="V297" s="522">
        <f ca="1">R297*LOOKUP(N297,'reserve calculation'!B:B,'reserve calculation'!D:D)</f>
        <v>50855.705304858973</v>
      </c>
      <c r="W297" s="522"/>
      <c r="X297" s="522"/>
      <c r="Y297" s="382"/>
    </row>
    <row r="298" spans="9:25" ht="12.75" customHeight="1">
      <c r="I298" s="382"/>
      <c r="J298" s="519"/>
      <c r="K298" s="519"/>
      <c r="L298" s="519"/>
      <c r="M298" s="380"/>
      <c r="N298" s="519"/>
      <c r="O298" s="519"/>
      <c r="P298" s="519"/>
      <c r="Q298" s="382"/>
      <c r="R298" s="521"/>
      <c r="S298" s="521"/>
      <c r="T298" s="521"/>
      <c r="U298" s="380"/>
      <c r="V298" s="522"/>
      <c r="W298" s="522"/>
      <c r="X298" s="522"/>
      <c r="Y298" s="382"/>
    </row>
    <row r="299" spans="9:25" ht="12.75" customHeight="1">
      <c r="I299" s="382"/>
      <c r="J299" s="519">
        <f t="shared" ref="J299" si="266">J297+1</f>
        <v>136</v>
      </c>
      <c r="K299" s="519"/>
      <c r="L299" s="519"/>
      <c r="M299" s="380"/>
      <c r="N299" s="520">
        <f t="shared" ref="N299" si="267">N297+1</f>
        <v>47254</v>
      </c>
      <c r="O299" s="519"/>
      <c r="P299" s="519"/>
      <c r="Q299" s="382"/>
      <c r="R299" s="521">
        <f>LOOKUP(ROUNDUP(IF((N299-$R$10)&lt;=0,1,(N299-$R$10))/365,0),'Profit Division'!$A$4:$A$30,'Profit Division'!$C$4:$C$30)</f>
        <v>1.1403848734836686E-4</v>
      </c>
      <c r="S299" s="521"/>
      <c r="T299" s="521"/>
      <c r="U299" s="380"/>
      <c r="V299" s="522">
        <f ca="1">R299*LOOKUP(N299,'reserve calculation'!B:B,'reserve calculation'!D:D)</f>
        <v>50875.182162747056</v>
      </c>
      <c r="W299" s="522"/>
      <c r="X299" s="522"/>
      <c r="Y299" s="382"/>
    </row>
    <row r="300" spans="9:25" ht="12.75" customHeight="1">
      <c r="I300" s="382"/>
      <c r="J300" s="519"/>
      <c r="K300" s="519"/>
      <c r="L300" s="519"/>
      <c r="M300" s="380"/>
      <c r="N300" s="519"/>
      <c r="O300" s="519"/>
      <c r="P300" s="519"/>
      <c r="Q300" s="382"/>
      <c r="R300" s="521"/>
      <c r="S300" s="521"/>
      <c r="T300" s="521"/>
      <c r="U300" s="380"/>
      <c r="V300" s="522"/>
      <c r="W300" s="522"/>
      <c r="X300" s="522"/>
      <c r="Y300" s="382"/>
    </row>
    <row r="301" spans="9:25" ht="12.75" customHeight="1">
      <c r="I301" s="382"/>
      <c r="J301" s="519">
        <f t="shared" ref="J301" si="268">J299+1</f>
        <v>137</v>
      </c>
      <c r="K301" s="519"/>
      <c r="L301" s="519"/>
      <c r="M301" s="380"/>
      <c r="N301" s="520">
        <f t="shared" ref="N301" si="269">N299+1</f>
        <v>47255</v>
      </c>
      <c r="O301" s="519"/>
      <c r="P301" s="519"/>
      <c r="Q301" s="382"/>
      <c r="R301" s="521">
        <f>LOOKUP(ROUNDUP(IF((N301-$R$10)&lt;=0,1,(N301-$R$10))/365,0),'Profit Division'!$A$4:$A$30,'Profit Division'!$C$4:$C$30)</f>
        <v>1.1403848734836686E-4</v>
      </c>
      <c r="S301" s="521"/>
      <c r="T301" s="521"/>
      <c r="U301" s="380"/>
      <c r="V301" s="522">
        <f ca="1">R301*LOOKUP(N301,'reserve calculation'!B:B,'reserve calculation'!D:D)</f>
        <v>50894.666479935739</v>
      </c>
      <c r="W301" s="522"/>
      <c r="X301" s="522"/>
      <c r="Y301" s="382"/>
    </row>
    <row r="302" spans="9:25" ht="12.75" customHeight="1">
      <c r="I302" s="382"/>
      <c r="J302" s="519"/>
      <c r="K302" s="519"/>
      <c r="L302" s="519"/>
      <c r="M302" s="380"/>
      <c r="N302" s="519"/>
      <c r="O302" s="519"/>
      <c r="P302" s="519"/>
      <c r="Q302" s="382"/>
      <c r="R302" s="521"/>
      <c r="S302" s="521"/>
      <c r="T302" s="521"/>
      <c r="U302" s="380"/>
      <c r="V302" s="522"/>
      <c r="W302" s="522"/>
      <c r="X302" s="522"/>
      <c r="Y302" s="382"/>
    </row>
    <row r="303" spans="9:25" ht="12.75" customHeight="1">
      <c r="I303" s="382"/>
      <c r="J303" s="519">
        <f t="shared" ref="J303" si="270">J301+1</f>
        <v>138</v>
      </c>
      <c r="K303" s="519"/>
      <c r="L303" s="519"/>
      <c r="M303" s="380"/>
      <c r="N303" s="520">
        <f t="shared" ref="N303" si="271">N301+1</f>
        <v>47256</v>
      </c>
      <c r="O303" s="519"/>
      <c r="P303" s="519"/>
      <c r="Q303" s="382"/>
      <c r="R303" s="521">
        <f>LOOKUP(ROUNDUP(IF((N303-$R$10)&lt;=0,1,(N303-$R$10))/365,0),'Profit Division'!$A$4:$A$30,'Profit Division'!$C$4:$C$30)</f>
        <v>1.1403848734836686E-4</v>
      </c>
      <c r="S303" s="521"/>
      <c r="T303" s="521"/>
      <c r="U303" s="380"/>
      <c r="V303" s="522">
        <f ca="1">R303*LOOKUP(N303,'reserve calculation'!B:B,'reserve calculation'!D:D)</f>
        <v>50914.158259281816</v>
      </c>
      <c r="W303" s="522"/>
      <c r="X303" s="522"/>
      <c r="Y303" s="382"/>
    </row>
    <row r="304" spans="9:25" ht="12.75" customHeight="1">
      <c r="I304" s="382"/>
      <c r="J304" s="519"/>
      <c r="K304" s="519"/>
      <c r="L304" s="519"/>
      <c r="M304" s="380"/>
      <c r="N304" s="519"/>
      <c r="O304" s="519"/>
      <c r="P304" s="519"/>
      <c r="Q304" s="382"/>
      <c r="R304" s="521"/>
      <c r="S304" s="521"/>
      <c r="T304" s="521"/>
      <c r="U304" s="380"/>
      <c r="V304" s="522"/>
      <c r="W304" s="522"/>
      <c r="X304" s="522"/>
      <c r="Y304" s="382"/>
    </row>
    <row r="305" spans="9:25" ht="12.75" customHeight="1">
      <c r="I305" s="382"/>
      <c r="J305" s="519">
        <f t="shared" ref="J305" si="272">J303+1</f>
        <v>139</v>
      </c>
      <c r="K305" s="519"/>
      <c r="L305" s="519"/>
      <c r="M305" s="380"/>
      <c r="N305" s="520">
        <f t="shared" ref="N305" si="273">N303+1</f>
        <v>47257</v>
      </c>
      <c r="O305" s="519"/>
      <c r="P305" s="519"/>
      <c r="Q305" s="382"/>
      <c r="R305" s="521">
        <f>LOOKUP(ROUNDUP(IF((N305-$R$10)&lt;=0,1,(N305-$R$10))/365,0),'Profit Division'!$A$4:$A$30,'Profit Division'!$C$4:$C$30)</f>
        <v>1.1403848734836686E-4</v>
      </c>
      <c r="S305" s="521"/>
      <c r="T305" s="521"/>
      <c r="U305" s="380"/>
      <c r="V305" s="522">
        <f ca="1">R305*LOOKUP(N305,'reserve calculation'!B:B,'reserve calculation'!D:D)</f>
        <v>50933.657503643146</v>
      </c>
      <c r="W305" s="522"/>
      <c r="X305" s="522"/>
      <c r="Y305" s="382"/>
    </row>
    <row r="306" spans="9:25" ht="12.75" customHeight="1">
      <c r="I306" s="382"/>
      <c r="J306" s="519"/>
      <c r="K306" s="519"/>
      <c r="L306" s="519"/>
      <c r="M306" s="380"/>
      <c r="N306" s="519"/>
      <c r="O306" s="519"/>
      <c r="P306" s="519"/>
      <c r="Q306" s="382"/>
      <c r="R306" s="521"/>
      <c r="S306" s="521"/>
      <c r="T306" s="521"/>
      <c r="U306" s="380"/>
      <c r="V306" s="522"/>
      <c r="W306" s="522"/>
      <c r="X306" s="522"/>
      <c r="Y306" s="382"/>
    </row>
    <row r="307" spans="9:25" ht="12.75" customHeight="1">
      <c r="I307" s="382"/>
      <c r="J307" s="519">
        <f t="shared" ref="J307" si="274">J305+1</f>
        <v>140</v>
      </c>
      <c r="K307" s="519"/>
      <c r="L307" s="519"/>
      <c r="M307" s="380"/>
      <c r="N307" s="520">
        <f t="shared" ref="N307" si="275">N305+1</f>
        <v>47258</v>
      </c>
      <c r="O307" s="519"/>
      <c r="P307" s="519"/>
      <c r="Q307" s="382"/>
      <c r="R307" s="521">
        <f>LOOKUP(ROUNDUP(IF((N307-$R$10)&lt;=0,1,(N307-$R$10))/365,0),'Profit Division'!$A$4:$A$30,'Profit Division'!$C$4:$C$30)</f>
        <v>1.1403848734836686E-4</v>
      </c>
      <c r="S307" s="521"/>
      <c r="T307" s="521"/>
      <c r="U307" s="380"/>
      <c r="V307" s="522">
        <f ca="1">R307*LOOKUP(N307,'reserve calculation'!B:B,'reserve calculation'!D:D)</f>
        <v>50953.164215878714</v>
      </c>
      <c r="W307" s="522"/>
      <c r="X307" s="522"/>
      <c r="Y307" s="382"/>
    </row>
    <row r="308" spans="9:25" ht="12.75" customHeight="1">
      <c r="I308" s="382"/>
      <c r="J308" s="519"/>
      <c r="K308" s="519"/>
      <c r="L308" s="519"/>
      <c r="M308" s="380"/>
      <c r="N308" s="519"/>
      <c r="O308" s="519"/>
      <c r="P308" s="519"/>
      <c r="Q308" s="382"/>
      <c r="R308" s="521"/>
      <c r="S308" s="521"/>
      <c r="T308" s="521"/>
      <c r="U308" s="380"/>
      <c r="V308" s="522"/>
      <c r="W308" s="522"/>
      <c r="X308" s="522"/>
      <c r="Y308" s="382"/>
    </row>
    <row r="309" spans="9:25" ht="12.75" customHeight="1">
      <c r="I309" s="382"/>
      <c r="J309" s="519">
        <f t="shared" ref="J309" si="276">J307+1</f>
        <v>141</v>
      </c>
      <c r="K309" s="519"/>
      <c r="L309" s="519"/>
      <c r="M309" s="380"/>
      <c r="N309" s="520">
        <f t="shared" ref="N309" si="277">N307+1</f>
        <v>47259</v>
      </c>
      <c r="O309" s="519"/>
      <c r="P309" s="519"/>
      <c r="Q309" s="382"/>
      <c r="R309" s="521">
        <f>LOOKUP(ROUNDUP(IF((N309-$R$10)&lt;=0,1,(N309-$R$10))/365,0),'Profit Division'!$A$4:$A$30,'Profit Division'!$C$4:$C$30)</f>
        <v>1.1403848734836686E-4</v>
      </c>
      <c r="S309" s="521"/>
      <c r="T309" s="521"/>
      <c r="U309" s="380"/>
      <c r="V309" s="522">
        <f ca="1">R309*LOOKUP(N309,'reserve calculation'!B:B,'reserve calculation'!D:D)</f>
        <v>50972.678398848584</v>
      </c>
      <c r="W309" s="522"/>
      <c r="X309" s="522"/>
      <c r="Y309" s="382"/>
    </row>
    <row r="310" spans="9:25" ht="12.75" customHeight="1">
      <c r="I310" s="382"/>
      <c r="J310" s="519"/>
      <c r="K310" s="519"/>
      <c r="L310" s="519"/>
      <c r="M310" s="380"/>
      <c r="N310" s="519"/>
      <c r="O310" s="519"/>
      <c r="P310" s="519"/>
      <c r="Q310" s="382"/>
      <c r="R310" s="521"/>
      <c r="S310" s="521"/>
      <c r="T310" s="521"/>
      <c r="U310" s="380"/>
      <c r="V310" s="522"/>
      <c r="W310" s="522"/>
      <c r="X310" s="522"/>
      <c r="Y310" s="382"/>
    </row>
    <row r="311" spans="9:25" ht="12.75" customHeight="1">
      <c r="I311" s="382"/>
      <c r="J311" s="519">
        <f t="shared" ref="J311" si="278">J309+1</f>
        <v>142</v>
      </c>
      <c r="K311" s="519"/>
      <c r="L311" s="519"/>
      <c r="M311" s="380"/>
      <c r="N311" s="520">
        <f t="shared" ref="N311" si="279">N309+1</f>
        <v>47260</v>
      </c>
      <c r="O311" s="519"/>
      <c r="P311" s="519"/>
      <c r="Q311" s="382"/>
      <c r="R311" s="521">
        <f>LOOKUP(ROUNDUP(IF((N311-$R$10)&lt;=0,1,(N311-$R$10))/365,0),'Profit Division'!$A$4:$A$30,'Profit Division'!$C$4:$C$30)</f>
        <v>1.1403848734836686E-4</v>
      </c>
      <c r="S311" s="521"/>
      <c r="T311" s="521"/>
      <c r="U311" s="380"/>
      <c r="V311" s="522">
        <f ca="1">R311*LOOKUP(N311,'reserve calculation'!B:B,'reserve calculation'!D:D)</f>
        <v>50992.200055413923</v>
      </c>
      <c r="W311" s="522"/>
      <c r="X311" s="522"/>
      <c r="Y311" s="382"/>
    </row>
    <row r="312" spans="9:25" ht="12.75" customHeight="1">
      <c r="I312" s="382"/>
      <c r="J312" s="519"/>
      <c r="K312" s="519"/>
      <c r="L312" s="519"/>
      <c r="M312" s="380"/>
      <c r="N312" s="519"/>
      <c r="O312" s="519"/>
      <c r="P312" s="519"/>
      <c r="Q312" s="382"/>
      <c r="R312" s="521"/>
      <c r="S312" s="521"/>
      <c r="T312" s="521"/>
      <c r="U312" s="380"/>
      <c r="V312" s="522"/>
      <c r="W312" s="522"/>
      <c r="X312" s="522"/>
      <c r="Y312" s="382"/>
    </row>
    <row r="313" spans="9:25" ht="12.75" customHeight="1">
      <c r="I313" s="382"/>
      <c r="J313" s="519">
        <f t="shared" ref="J313" si="280">J311+1</f>
        <v>143</v>
      </c>
      <c r="K313" s="519"/>
      <c r="L313" s="519"/>
      <c r="M313" s="380"/>
      <c r="N313" s="520">
        <f t="shared" ref="N313" si="281">N311+1</f>
        <v>47261</v>
      </c>
      <c r="O313" s="519"/>
      <c r="P313" s="519"/>
      <c r="Q313" s="382"/>
      <c r="R313" s="521">
        <f>LOOKUP(ROUNDUP(IF((N313-$R$10)&lt;=0,1,(N313-$R$10))/365,0),'Profit Division'!$A$4:$A$30,'Profit Division'!$C$4:$C$30)</f>
        <v>1.1403848734836686E-4</v>
      </c>
      <c r="S313" s="521"/>
      <c r="T313" s="521"/>
      <c r="U313" s="380"/>
      <c r="V313" s="522">
        <f ca="1">R313*LOOKUP(N313,'reserve calculation'!B:B,'reserve calculation'!D:D)</f>
        <v>51011.729188436977</v>
      </c>
      <c r="W313" s="522"/>
      <c r="X313" s="522"/>
      <c r="Y313" s="382"/>
    </row>
    <row r="314" spans="9:25" ht="12.75" customHeight="1">
      <c r="I314" s="382"/>
      <c r="J314" s="519"/>
      <c r="K314" s="519"/>
      <c r="L314" s="519"/>
      <c r="M314" s="380"/>
      <c r="N314" s="519"/>
      <c r="O314" s="519"/>
      <c r="P314" s="519"/>
      <c r="Q314" s="382"/>
      <c r="R314" s="521"/>
      <c r="S314" s="521"/>
      <c r="T314" s="521"/>
      <c r="U314" s="380"/>
      <c r="V314" s="522"/>
      <c r="W314" s="522"/>
      <c r="X314" s="522"/>
      <c r="Y314" s="382"/>
    </row>
    <row r="315" spans="9:25" ht="12.75" customHeight="1">
      <c r="I315" s="382"/>
      <c r="J315" s="519">
        <f t="shared" ref="J315" si="282">J313+1</f>
        <v>144</v>
      </c>
      <c r="K315" s="519"/>
      <c r="L315" s="519"/>
      <c r="M315" s="380"/>
      <c r="N315" s="520">
        <f t="shared" ref="N315" si="283">N313+1</f>
        <v>47262</v>
      </c>
      <c r="O315" s="519"/>
      <c r="P315" s="519"/>
      <c r="Q315" s="382"/>
      <c r="R315" s="521">
        <f>LOOKUP(ROUNDUP(IF((N315-$R$10)&lt;=0,1,(N315-$R$10))/365,0),'Profit Division'!$A$4:$A$30,'Profit Division'!$C$4:$C$30)</f>
        <v>1.1403848734836686E-4</v>
      </c>
      <c r="S315" s="521"/>
      <c r="T315" s="521"/>
      <c r="U315" s="380"/>
      <c r="V315" s="522">
        <f ca="1">R315*LOOKUP(N315,'reserve calculation'!B:B,'reserve calculation'!D:D)</f>
        <v>51031.265800781119</v>
      </c>
      <c r="W315" s="522"/>
      <c r="X315" s="522"/>
      <c r="Y315" s="382"/>
    </row>
    <row r="316" spans="9:25" ht="12.75" customHeight="1">
      <c r="I316" s="382"/>
      <c r="J316" s="519"/>
      <c r="K316" s="519"/>
      <c r="L316" s="519"/>
      <c r="M316" s="380"/>
      <c r="N316" s="519"/>
      <c r="O316" s="519"/>
      <c r="P316" s="519"/>
      <c r="Q316" s="382"/>
      <c r="R316" s="521"/>
      <c r="S316" s="521"/>
      <c r="T316" s="521"/>
      <c r="U316" s="380"/>
      <c r="V316" s="522"/>
      <c r="W316" s="522"/>
      <c r="X316" s="522"/>
      <c r="Y316" s="382"/>
    </row>
    <row r="317" spans="9:25" ht="12.75" customHeight="1">
      <c r="I317" s="382"/>
      <c r="J317" s="519">
        <f t="shared" ref="J317" si="284">J315+1</f>
        <v>145</v>
      </c>
      <c r="K317" s="519"/>
      <c r="L317" s="519"/>
      <c r="M317" s="380"/>
      <c r="N317" s="520">
        <f t="shared" ref="N317" si="285">N315+1</f>
        <v>47263</v>
      </c>
      <c r="O317" s="519"/>
      <c r="P317" s="519"/>
      <c r="Q317" s="382"/>
      <c r="R317" s="521">
        <f>LOOKUP(ROUNDUP(IF((N317-$R$10)&lt;=0,1,(N317-$R$10))/365,0),'Profit Division'!$A$4:$A$30,'Profit Division'!$C$4:$C$30)</f>
        <v>1.1403848734836686E-4</v>
      </c>
      <c r="S317" s="521"/>
      <c r="T317" s="521"/>
      <c r="U317" s="380"/>
      <c r="V317" s="522">
        <f ca="1">R317*LOOKUP(N317,'reserve calculation'!B:B,'reserve calculation'!D:D)</f>
        <v>51050.809895310784</v>
      </c>
      <c r="W317" s="522"/>
      <c r="X317" s="522"/>
      <c r="Y317" s="382"/>
    </row>
    <row r="318" spans="9:25" ht="12.75" customHeight="1">
      <c r="I318" s="382"/>
      <c r="J318" s="519"/>
      <c r="K318" s="519"/>
      <c r="L318" s="519"/>
      <c r="M318" s="380"/>
      <c r="N318" s="519"/>
      <c r="O318" s="519"/>
      <c r="P318" s="519"/>
      <c r="Q318" s="382"/>
      <c r="R318" s="521"/>
      <c r="S318" s="521"/>
      <c r="T318" s="521"/>
      <c r="U318" s="380"/>
      <c r="V318" s="522"/>
      <c r="W318" s="522"/>
      <c r="X318" s="522"/>
      <c r="Y318" s="382"/>
    </row>
    <row r="319" spans="9:25" ht="12.75" customHeight="1">
      <c r="I319" s="382"/>
      <c r="J319" s="519">
        <f t="shared" ref="J319" si="286">J317+1</f>
        <v>146</v>
      </c>
      <c r="K319" s="519"/>
      <c r="L319" s="519"/>
      <c r="M319" s="380"/>
      <c r="N319" s="520">
        <f t="shared" ref="N319" si="287">N317+1</f>
        <v>47264</v>
      </c>
      <c r="O319" s="519"/>
      <c r="P319" s="519"/>
      <c r="Q319" s="382"/>
      <c r="R319" s="521">
        <f>LOOKUP(ROUNDUP(IF((N319-$R$10)&lt;=0,1,(N319-$R$10))/365,0),'Profit Division'!$A$4:$A$30,'Profit Division'!$C$4:$C$30)</f>
        <v>1.1403848734836686E-4</v>
      </c>
      <c r="S319" s="521"/>
      <c r="T319" s="521"/>
      <c r="U319" s="380"/>
      <c r="V319" s="522">
        <f ca="1">R319*LOOKUP(N319,'reserve calculation'!B:B,'reserve calculation'!D:D)</f>
        <v>51070.361474891521</v>
      </c>
      <c r="W319" s="522"/>
      <c r="X319" s="522"/>
      <c r="Y319" s="382"/>
    </row>
    <row r="320" spans="9:25" ht="12.75" customHeight="1">
      <c r="I320" s="382"/>
      <c r="J320" s="519"/>
      <c r="K320" s="519"/>
      <c r="L320" s="519"/>
      <c r="M320" s="380"/>
      <c r="N320" s="519"/>
      <c r="O320" s="519"/>
      <c r="P320" s="519"/>
      <c r="Q320" s="382"/>
      <c r="R320" s="521"/>
      <c r="S320" s="521"/>
      <c r="T320" s="521"/>
      <c r="U320" s="380"/>
      <c r="V320" s="522"/>
      <c r="W320" s="522"/>
      <c r="X320" s="522"/>
      <c r="Y320" s="382"/>
    </row>
    <row r="321" spans="9:25" ht="12.75" customHeight="1">
      <c r="I321" s="382"/>
      <c r="J321" s="519">
        <f t="shared" ref="J321" si="288">J319+1</f>
        <v>147</v>
      </c>
      <c r="K321" s="519"/>
      <c r="L321" s="519"/>
      <c r="M321" s="380"/>
      <c r="N321" s="520">
        <f t="shared" ref="N321" si="289">N319+1</f>
        <v>47265</v>
      </c>
      <c r="O321" s="519"/>
      <c r="P321" s="519"/>
      <c r="Q321" s="382"/>
      <c r="R321" s="521">
        <f>LOOKUP(ROUNDUP(IF((N321-$R$10)&lt;=0,1,(N321-$R$10))/365,0),'Profit Division'!$A$4:$A$30,'Profit Division'!$C$4:$C$30)</f>
        <v>1.1403848734836686E-4</v>
      </c>
      <c r="S321" s="521"/>
      <c r="T321" s="521"/>
      <c r="U321" s="380"/>
      <c r="V321" s="522">
        <f ca="1">R321*LOOKUP(N321,'reserve calculation'!B:B,'reserve calculation'!D:D)</f>
        <v>51089.920542389984</v>
      </c>
      <c r="W321" s="522"/>
      <c r="X321" s="522"/>
      <c r="Y321" s="382"/>
    </row>
    <row r="322" spans="9:25" ht="12.75" customHeight="1">
      <c r="I322" s="382"/>
      <c r="J322" s="519"/>
      <c r="K322" s="519"/>
      <c r="L322" s="519"/>
      <c r="M322" s="380"/>
      <c r="N322" s="519"/>
      <c r="O322" s="519"/>
      <c r="P322" s="519"/>
      <c r="Q322" s="382"/>
      <c r="R322" s="521"/>
      <c r="S322" s="521"/>
      <c r="T322" s="521"/>
      <c r="U322" s="380"/>
      <c r="V322" s="522"/>
      <c r="W322" s="522"/>
      <c r="X322" s="522"/>
      <c r="Y322" s="382"/>
    </row>
    <row r="323" spans="9:25" ht="12.75" customHeight="1">
      <c r="I323" s="382"/>
      <c r="J323" s="519">
        <f t="shared" ref="J323" si="290">J321+1</f>
        <v>148</v>
      </c>
      <c r="K323" s="519"/>
      <c r="L323" s="519"/>
      <c r="M323" s="380"/>
      <c r="N323" s="520">
        <f t="shared" ref="N323" si="291">N321+1</f>
        <v>47266</v>
      </c>
      <c r="O323" s="519"/>
      <c r="P323" s="519"/>
      <c r="Q323" s="382"/>
      <c r="R323" s="521">
        <f>LOOKUP(ROUNDUP(IF((N323-$R$10)&lt;=0,1,(N323-$R$10))/365,0),'Profit Division'!$A$4:$A$30,'Profit Division'!$C$4:$C$30)</f>
        <v>1.1403848734836686E-4</v>
      </c>
      <c r="S323" s="521"/>
      <c r="T323" s="521"/>
      <c r="U323" s="380"/>
      <c r="V323" s="522">
        <f ca="1">R323*LOOKUP(N323,'reserve calculation'!B:B,'reserve calculation'!D:D)</f>
        <v>51109.487100673912</v>
      </c>
      <c r="W323" s="522"/>
      <c r="X323" s="522"/>
      <c r="Y323" s="382"/>
    </row>
    <row r="324" spans="9:25" ht="12.75" customHeight="1">
      <c r="I324" s="382"/>
      <c r="J324" s="519"/>
      <c r="K324" s="519"/>
      <c r="L324" s="519"/>
      <c r="M324" s="380"/>
      <c r="N324" s="519"/>
      <c r="O324" s="519"/>
      <c r="P324" s="519"/>
      <c r="Q324" s="382"/>
      <c r="R324" s="521"/>
      <c r="S324" s="521"/>
      <c r="T324" s="521"/>
      <c r="U324" s="380"/>
      <c r="V324" s="522"/>
      <c r="W324" s="522"/>
      <c r="X324" s="522"/>
      <c r="Y324" s="382"/>
    </row>
    <row r="325" spans="9:25" ht="12.75" customHeight="1">
      <c r="I325" s="382"/>
      <c r="J325" s="519">
        <f t="shared" ref="J325" si="292">J323+1</f>
        <v>149</v>
      </c>
      <c r="K325" s="519"/>
      <c r="L325" s="519"/>
      <c r="M325" s="380"/>
      <c r="N325" s="520">
        <f t="shared" ref="N325" si="293">N323+1</f>
        <v>47267</v>
      </c>
      <c r="O325" s="519"/>
      <c r="P325" s="519"/>
      <c r="Q325" s="382"/>
      <c r="R325" s="521">
        <f>LOOKUP(ROUNDUP(IF((N325-$R$10)&lt;=0,1,(N325-$R$10))/365,0),'Profit Division'!$A$4:$A$30,'Profit Division'!$C$4:$C$30)</f>
        <v>1.1403848734836686E-4</v>
      </c>
      <c r="S325" s="521"/>
      <c r="T325" s="521"/>
      <c r="U325" s="380"/>
      <c r="V325" s="522">
        <f ca="1">R325*LOOKUP(N325,'reserve calculation'!B:B,'reserve calculation'!D:D)</f>
        <v>51129.061152612143</v>
      </c>
      <c r="W325" s="522"/>
      <c r="X325" s="522"/>
      <c r="Y325" s="382"/>
    </row>
    <row r="326" spans="9:25" ht="12.75" customHeight="1">
      <c r="I326" s="382"/>
      <c r="J326" s="519"/>
      <c r="K326" s="519"/>
      <c r="L326" s="519"/>
      <c r="M326" s="380"/>
      <c r="N326" s="519"/>
      <c r="O326" s="519"/>
      <c r="P326" s="519"/>
      <c r="Q326" s="382"/>
      <c r="R326" s="521"/>
      <c r="S326" s="521"/>
      <c r="T326" s="521"/>
      <c r="U326" s="380"/>
      <c r="V326" s="522"/>
      <c r="W326" s="522"/>
      <c r="X326" s="522"/>
      <c r="Y326" s="382"/>
    </row>
    <row r="327" spans="9:25" ht="12.75" customHeight="1">
      <c r="I327" s="382"/>
      <c r="J327" s="519">
        <f t="shared" ref="J327" si="294">J325+1</f>
        <v>150</v>
      </c>
      <c r="K327" s="519"/>
      <c r="L327" s="519"/>
      <c r="M327" s="380"/>
      <c r="N327" s="520">
        <f t="shared" ref="N327" si="295">N325+1</f>
        <v>47268</v>
      </c>
      <c r="O327" s="519"/>
      <c r="P327" s="519"/>
      <c r="Q327" s="382"/>
      <c r="R327" s="521">
        <f>LOOKUP(ROUNDUP(IF((N327-$R$10)&lt;=0,1,(N327-$R$10))/365,0),'Profit Division'!$A$4:$A$30,'Profit Division'!$C$4:$C$30)</f>
        <v>1.1403848734836686E-4</v>
      </c>
      <c r="S327" s="521"/>
      <c r="T327" s="521"/>
      <c r="U327" s="380"/>
      <c r="V327" s="522">
        <f ca="1">R327*LOOKUP(N327,'reserve calculation'!B:B,'reserve calculation'!D:D)</f>
        <v>51148.642701074619</v>
      </c>
      <c r="W327" s="522"/>
      <c r="X327" s="522"/>
      <c r="Y327" s="382"/>
    </row>
    <row r="328" spans="9:25" ht="12.75" customHeight="1">
      <c r="I328" s="382"/>
      <c r="J328" s="519"/>
      <c r="K328" s="519"/>
      <c r="L328" s="519"/>
      <c r="M328" s="380"/>
      <c r="N328" s="519"/>
      <c r="O328" s="519"/>
      <c r="P328" s="519"/>
      <c r="Q328" s="382"/>
      <c r="R328" s="521"/>
      <c r="S328" s="521"/>
      <c r="T328" s="521"/>
      <c r="U328" s="380"/>
      <c r="V328" s="522"/>
      <c r="W328" s="522"/>
      <c r="X328" s="522"/>
      <c r="Y328" s="382"/>
    </row>
    <row r="329" spans="9:25" ht="12.75" customHeight="1">
      <c r="I329" s="382"/>
      <c r="J329" s="519">
        <f t="shared" ref="J329" si="296">J327+1</f>
        <v>151</v>
      </c>
      <c r="K329" s="519"/>
      <c r="L329" s="519"/>
      <c r="M329" s="380"/>
      <c r="N329" s="520">
        <f t="shared" ref="N329" si="297">N327+1</f>
        <v>47269</v>
      </c>
      <c r="O329" s="519"/>
      <c r="P329" s="519"/>
      <c r="Q329" s="382"/>
      <c r="R329" s="521">
        <f>LOOKUP(ROUNDUP(IF((N329-$R$10)&lt;=0,1,(N329-$R$10))/365,0),'Profit Division'!$A$4:$A$30,'Profit Division'!$C$4:$C$30)</f>
        <v>1.1403848734836686E-4</v>
      </c>
      <c r="S329" s="521"/>
      <c r="T329" s="521"/>
      <c r="U329" s="380"/>
      <c r="V329" s="522">
        <f ca="1">R329*LOOKUP(N329,'reserve calculation'!B:B,'reserve calculation'!D:D)</f>
        <v>51168.231748932383</v>
      </c>
      <c r="W329" s="522"/>
      <c r="X329" s="522"/>
      <c r="Y329" s="382"/>
    </row>
    <row r="330" spans="9:25" ht="12.75" customHeight="1">
      <c r="I330" s="382"/>
      <c r="J330" s="519"/>
      <c r="K330" s="519"/>
      <c r="L330" s="519"/>
      <c r="M330" s="380"/>
      <c r="N330" s="519"/>
      <c r="O330" s="519"/>
      <c r="P330" s="519"/>
      <c r="Q330" s="382"/>
      <c r="R330" s="521"/>
      <c r="S330" s="521"/>
      <c r="T330" s="521"/>
      <c r="U330" s="380"/>
      <c r="V330" s="522"/>
      <c r="W330" s="522"/>
      <c r="X330" s="522"/>
      <c r="Y330" s="382"/>
    </row>
    <row r="331" spans="9:25" ht="12.75" customHeight="1">
      <c r="I331" s="382"/>
      <c r="J331" s="519">
        <f t="shared" ref="J331" si="298">J329+1</f>
        <v>152</v>
      </c>
      <c r="K331" s="519"/>
      <c r="L331" s="519"/>
      <c r="M331" s="380"/>
      <c r="N331" s="520">
        <f t="shared" ref="N331" si="299">N329+1</f>
        <v>47270</v>
      </c>
      <c r="O331" s="519"/>
      <c r="P331" s="519"/>
      <c r="Q331" s="382"/>
      <c r="R331" s="521">
        <f>LOOKUP(ROUNDUP(IF((N331-$R$10)&lt;=0,1,(N331-$R$10))/365,0),'Profit Division'!$A$4:$A$30,'Profit Division'!$C$4:$C$30)</f>
        <v>1.1403848734836686E-4</v>
      </c>
      <c r="S331" s="521"/>
      <c r="T331" s="521"/>
      <c r="U331" s="380"/>
      <c r="V331" s="522">
        <f ca="1">R331*LOOKUP(N331,'reserve calculation'!B:B,'reserve calculation'!D:D)</f>
        <v>51187.828299057568</v>
      </c>
      <c r="W331" s="522"/>
      <c r="X331" s="522"/>
      <c r="Y331" s="382"/>
    </row>
    <row r="332" spans="9:25" ht="12.75" customHeight="1">
      <c r="I332" s="382"/>
      <c r="J332" s="519"/>
      <c r="K332" s="519"/>
      <c r="L332" s="519"/>
      <c r="M332" s="380"/>
      <c r="N332" s="519"/>
      <c r="O332" s="519"/>
      <c r="P332" s="519"/>
      <c r="Q332" s="382"/>
      <c r="R332" s="521"/>
      <c r="S332" s="521"/>
      <c r="T332" s="521"/>
      <c r="U332" s="380"/>
      <c r="V332" s="522"/>
      <c r="W332" s="522"/>
      <c r="X332" s="522"/>
      <c r="Y332" s="382"/>
    </row>
    <row r="333" spans="9:25" ht="12.75" customHeight="1">
      <c r="I333" s="382"/>
      <c r="J333" s="519">
        <f t="shared" ref="J333" si="300">J331+1</f>
        <v>153</v>
      </c>
      <c r="K333" s="519"/>
      <c r="L333" s="519"/>
      <c r="M333" s="380"/>
      <c r="N333" s="520">
        <f t="shared" ref="N333" si="301">N331+1</f>
        <v>47271</v>
      </c>
      <c r="O333" s="519"/>
      <c r="P333" s="519"/>
      <c r="Q333" s="382"/>
      <c r="R333" s="521">
        <f>LOOKUP(ROUNDUP(IF((N333-$R$10)&lt;=0,1,(N333-$R$10))/365,0),'Profit Division'!$A$4:$A$30,'Profit Division'!$C$4:$C$30)</f>
        <v>1.1403848734836686E-4</v>
      </c>
      <c r="S333" s="521"/>
      <c r="T333" s="521"/>
      <c r="U333" s="380"/>
      <c r="V333" s="522">
        <f ca="1">R333*LOOKUP(N333,'reserve calculation'!B:B,'reserve calculation'!D:D)</f>
        <v>51207.432354323428</v>
      </c>
      <c r="W333" s="522"/>
      <c r="X333" s="522"/>
      <c r="Y333" s="382"/>
    </row>
    <row r="334" spans="9:25" ht="12.75" customHeight="1">
      <c r="I334" s="382"/>
      <c r="J334" s="519"/>
      <c r="K334" s="519"/>
      <c r="L334" s="519"/>
      <c r="M334" s="380"/>
      <c r="N334" s="519"/>
      <c r="O334" s="519"/>
      <c r="P334" s="519"/>
      <c r="Q334" s="382"/>
      <c r="R334" s="521"/>
      <c r="S334" s="521"/>
      <c r="T334" s="521"/>
      <c r="U334" s="380"/>
      <c r="V334" s="522"/>
      <c r="W334" s="522"/>
      <c r="X334" s="522"/>
      <c r="Y334" s="382"/>
    </row>
    <row r="335" spans="9:25" ht="12.75" customHeight="1">
      <c r="I335" s="382"/>
      <c r="J335" s="519">
        <f t="shared" ref="J335" si="302">J333+1</f>
        <v>154</v>
      </c>
      <c r="K335" s="519"/>
      <c r="L335" s="519"/>
      <c r="M335" s="380"/>
      <c r="N335" s="520">
        <f t="shared" ref="N335" si="303">N333+1</f>
        <v>47272</v>
      </c>
      <c r="O335" s="519"/>
      <c r="P335" s="519"/>
      <c r="Q335" s="382"/>
      <c r="R335" s="521">
        <f>LOOKUP(ROUNDUP(IF((N335-$R$10)&lt;=0,1,(N335-$R$10))/365,0),'Profit Division'!$A$4:$A$30,'Profit Division'!$C$4:$C$30)</f>
        <v>1.1403848734836686E-4</v>
      </c>
      <c r="S335" s="521"/>
      <c r="T335" s="521"/>
      <c r="U335" s="380"/>
      <c r="V335" s="522">
        <f ca="1">R335*LOOKUP(N335,'reserve calculation'!B:B,'reserve calculation'!D:D)</f>
        <v>51227.043917604286</v>
      </c>
      <c r="W335" s="522"/>
      <c r="X335" s="522"/>
      <c r="Y335" s="382"/>
    </row>
    <row r="336" spans="9:25" ht="12.75" customHeight="1">
      <c r="I336" s="382"/>
      <c r="J336" s="519"/>
      <c r="K336" s="519"/>
      <c r="L336" s="519"/>
      <c r="M336" s="380"/>
      <c r="N336" s="519"/>
      <c r="O336" s="519"/>
      <c r="P336" s="519"/>
      <c r="Q336" s="382"/>
      <c r="R336" s="521"/>
      <c r="S336" s="521"/>
      <c r="T336" s="521"/>
      <c r="U336" s="380"/>
      <c r="V336" s="522"/>
      <c r="W336" s="522"/>
      <c r="X336" s="522"/>
      <c r="Y336" s="382"/>
    </row>
    <row r="337" spans="9:25" ht="12.75" customHeight="1">
      <c r="I337" s="382"/>
      <c r="J337" s="519">
        <f t="shared" ref="J337" si="304">J335+1</f>
        <v>155</v>
      </c>
      <c r="K337" s="519"/>
      <c r="L337" s="519"/>
      <c r="M337" s="380"/>
      <c r="N337" s="520">
        <f t="shared" ref="N337" si="305">N335+1</f>
        <v>47273</v>
      </c>
      <c r="O337" s="519"/>
      <c r="P337" s="519"/>
      <c r="Q337" s="382"/>
      <c r="R337" s="521">
        <f>LOOKUP(ROUNDUP(IF((N337-$R$10)&lt;=0,1,(N337-$R$10))/365,0),'Profit Division'!$A$4:$A$30,'Profit Division'!$C$4:$C$30)</f>
        <v>1.1403848734836686E-4</v>
      </c>
      <c r="S337" s="521"/>
      <c r="T337" s="521"/>
      <c r="U337" s="380"/>
      <c r="V337" s="522">
        <f ca="1">R337*LOOKUP(N337,'reserve calculation'!B:B,'reserve calculation'!D:D)</f>
        <v>51246.662991775585</v>
      </c>
      <c r="W337" s="522"/>
      <c r="X337" s="522"/>
      <c r="Y337" s="382"/>
    </row>
    <row r="338" spans="9:25" ht="12.75" customHeight="1">
      <c r="I338" s="382"/>
      <c r="J338" s="519"/>
      <c r="K338" s="519"/>
      <c r="L338" s="519"/>
      <c r="M338" s="380"/>
      <c r="N338" s="519"/>
      <c r="O338" s="519"/>
      <c r="P338" s="519"/>
      <c r="Q338" s="382"/>
      <c r="R338" s="521"/>
      <c r="S338" s="521"/>
      <c r="T338" s="521"/>
      <c r="U338" s="380"/>
      <c r="V338" s="522"/>
      <c r="W338" s="522"/>
      <c r="X338" s="522"/>
      <c r="Y338" s="382"/>
    </row>
    <row r="339" spans="9:25" ht="12.75" customHeight="1">
      <c r="I339" s="382"/>
      <c r="J339" s="519">
        <f t="shared" ref="J339" si="306">J337+1</f>
        <v>156</v>
      </c>
      <c r="K339" s="519"/>
      <c r="L339" s="519"/>
      <c r="M339" s="380"/>
      <c r="N339" s="520">
        <f t="shared" ref="N339" si="307">N337+1</f>
        <v>47274</v>
      </c>
      <c r="O339" s="519"/>
      <c r="P339" s="519"/>
      <c r="Q339" s="382"/>
      <c r="R339" s="521">
        <f>LOOKUP(ROUNDUP(IF((N339-$R$10)&lt;=0,1,(N339-$R$10))/365,0),'Profit Division'!$A$4:$A$30,'Profit Division'!$C$4:$C$30)</f>
        <v>1.1403848734836686E-4</v>
      </c>
      <c r="S339" s="521"/>
      <c r="T339" s="521"/>
      <c r="U339" s="380"/>
      <c r="V339" s="522">
        <f ca="1">R339*LOOKUP(N339,'reserve calculation'!B:B,'reserve calculation'!D:D)</f>
        <v>51266.28957971387</v>
      </c>
      <c r="W339" s="522"/>
      <c r="X339" s="522"/>
      <c r="Y339" s="382"/>
    </row>
    <row r="340" spans="9:25" ht="12.75" customHeight="1">
      <c r="I340" s="382"/>
      <c r="J340" s="519"/>
      <c r="K340" s="519"/>
      <c r="L340" s="519"/>
      <c r="M340" s="380"/>
      <c r="N340" s="519"/>
      <c r="O340" s="519"/>
      <c r="P340" s="519"/>
      <c r="Q340" s="382"/>
      <c r="R340" s="521"/>
      <c r="S340" s="521"/>
      <c r="T340" s="521"/>
      <c r="U340" s="380"/>
      <c r="V340" s="522"/>
      <c r="W340" s="522"/>
      <c r="X340" s="522"/>
      <c r="Y340" s="382"/>
    </row>
    <row r="341" spans="9:25" ht="12.75" customHeight="1">
      <c r="I341" s="382"/>
      <c r="J341" s="519">
        <f t="shared" ref="J341" si="308">J339+1</f>
        <v>157</v>
      </c>
      <c r="K341" s="519"/>
      <c r="L341" s="519"/>
      <c r="M341" s="380"/>
      <c r="N341" s="520">
        <f t="shared" ref="N341" si="309">N339+1</f>
        <v>47275</v>
      </c>
      <c r="O341" s="519"/>
      <c r="P341" s="519"/>
      <c r="Q341" s="382"/>
      <c r="R341" s="521">
        <f>LOOKUP(ROUNDUP(IF((N341-$R$10)&lt;=0,1,(N341-$R$10))/365,0),'Profit Division'!$A$4:$A$30,'Profit Division'!$C$4:$C$30)</f>
        <v>1.1403848734836686E-4</v>
      </c>
      <c r="S341" s="521"/>
      <c r="T341" s="521"/>
      <c r="U341" s="380"/>
      <c r="V341" s="522">
        <f ca="1">R341*LOOKUP(N341,'reserve calculation'!B:B,'reserve calculation'!D:D)</f>
        <v>51285.923684296788</v>
      </c>
      <c r="W341" s="522"/>
      <c r="X341" s="522"/>
      <c r="Y341" s="382"/>
    </row>
    <row r="342" spans="9:25" ht="12.75" customHeight="1">
      <c r="I342" s="382"/>
      <c r="J342" s="519"/>
      <c r="K342" s="519"/>
      <c r="L342" s="519"/>
      <c r="M342" s="380"/>
      <c r="N342" s="519"/>
      <c r="O342" s="519"/>
      <c r="P342" s="519"/>
      <c r="Q342" s="382"/>
      <c r="R342" s="521"/>
      <c r="S342" s="521"/>
      <c r="T342" s="521"/>
      <c r="U342" s="380"/>
      <c r="V342" s="522"/>
      <c r="W342" s="522"/>
      <c r="X342" s="522"/>
      <c r="Y342" s="382"/>
    </row>
    <row r="343" spans="9:25" ht="12.75" customHeight="1">
      <c r="I343" s="382"/>
      <c r="J343" s="519">
        <f t="shared" ref="J343" si="310">J341+1</f>
        <v>158</v>
      </c>
      <c r="K343" s="519"/>
      <c r="L343" s="519"/>
      <c r="M343" s="380"/>
      <c r="N343" s="520">
        <f t="shared" ref="N343" si="311">N341+1</f>
        <v>47276</v>
      </c>
      <c r="O343" s="519"/>
      <c r="P343" s="519"/>
      <c r="Q343" s="382"/>
      <c r="R343" s="521">
        <f>LOOKUP(ROUNDUP(IF((N343-$R$10)&lt;=0,1,(N343-$R$10))/365,0),'Profit Division'!$A$4:$A$30,'Profit Division'!$C$4:$C$30)</f>
        <v>1.1403848734836686E-4</v>
      </c>
      <c r="S343" s="521"/>
      <c r="T343" s="521"/>
      <c r="U343" s="380"/>
      <c r="V343" s="522">
        <f ca="1">R343*LOOKUP(N343,'reserve calculation'!B:B,'reserve calculation'!D:D)</f>
        <v>51305.565308403071</v>
      </c>
      <c r="W343" s="522"/>
      <c r="X343" s="522"/>
      <c r="Y343" s="382"/>
    </row>
    <row r="344" spans="9:25" ht="12.75" customHeight="1">
      <c r="I344" s="382"/>
      <c r="J344" s="519"/>
      <c r="K344" s="519"/>
      <c r="L344" s="519"/>
      <c r="M344" s="380"/>
      <c r="N344" s="519"/>
      <c r="O344" s="519"/>
      <c r="P344" s="519"/>
      <c r="Q344" s="382"/>
      <c r="R344" s="521"/>
      <c r="S344" s="521"/>
      <c r="T344" s="521"/>
      <c r="U344" s="380"/>
      <c r="V344" s="522"/>
      <c r="W344" s="522"/>
      <c r="X344" s="522"/>
      <c r="Y344" s="382"/>
    </row>
    <row r="345" spans="9:25" ht="12.75" customHeight="1">
      <c r="I345" s="382"/>
      <c r="J345" s="519">
        <f t="shared" ref="J345" si="312">J343+1</f>
        <v>159</v>
      </c>
      <c r="K345" s="519"/>
      <c r="L345" s="519"/>
      <c r="M345" s="380"/>
      <c r="N345" s="520">
        <f t="shared" ref="N345" si="313">N343+1</f>
        <v>47277</v>
      </c>
      <c r="O345" s="519"/>
      <c r="P345" s="519"/>
      <c r="Q345" s="382"/>
      <c r="R345" s="521">
        <f>LOOKUP(ROUNDUP(IF((N345-$R$10)&lt;=0,1,(N345-$R$10))/365,0),'Profit Division'!$A$4:$A$30,'Profit Division'!$C$4:$C$30)</f>
        <v>1.1403848734836686E-4</v>
      </c>
      <c r="S345" s="521"/>
      <c r="T345" s="521"/>
      <c r="U345" s="380"/>
      <c r="V345" s="522">
        <f ca="1">R345*LOOKUP(N345,'reserve calculation'!B:B,'reserve calculation'!D:D)</f>
        <v>51325.214454912581</v>
      </c>
      <c r="W345" s="522"/>
      <c r="X345" s="522"/>
      <c r="Y345" s="382"/>
    </row>
    <row r="346" spans="9:25" ht="12.75" customHeight="1">
      <c r="I346" s="382"/>
      <c r="J346" s="519"/>
      <c r="K346" s="519"/>
      <c r="L346" s="519"/>
      <c r="M346" s="380"/>
      <c r="N346" s="519"/>
      <c r="O346" s="519"/>
      <c r="P346" s="519"/>
      <c r="Q346" s="382"/>
      <c r="R346" s="521"/>
      <c r="S346" s="521"/>
      <c r="T346" s="521"/>
      <c r="U346" s="380"/>
      <c r="V346" s="522"/>
      <c r="W346" s="522"/>
      <c r="X346" s="522"/>
      <c r="Y346" s="382"/>
    </row>
    <row r="347" spans="9:25" ht="12.75" customHeight="1">
      <c r="I347" s="382"/>
      <c r="J347" s="519">
        <f t="shared" ref="J347" si="314">J345+1</f>
        <v>160</v>
      </c>
      <c r="K347" s="519"/>
      <c r="L347" s="519"/>
      <c r="M347" s="380"/>
      <c r="N347" s="520">
        <f t="shared" ref="N347" si="315">N345+1</f>
        <v>47278</v>
      </c>
      <c r="O347" s="519"/>
      <c r="P347" s="519"/>
      <c r="Q347" s="382"/>
      <c r="R347" s="521">
        <f>LOOKUP(ROUNDUP(IF((N347-$R$10)&lt;=0,1,(N347-$R$10))/365,0),'Profit Division'!$A$4:$A$30,'Profit Division'!$C$4:$C$30)</f>
        <v>1.1403848734836686E-4</v>
      </c>
      <c r="S347" s="521"/>
      <c r="T347" s="521"/>
      <c r="U347" s="380"/>
      <c r="V347" s="522">
        <f ca="1">R347*LOOKUP(N347,'reserve calculation'!B:B,'reserve calculation'!D:D)</f>
        <v>51344.871126706261</v>
      </c>
      <c r="W347" s="522"/>
      <c r="X347" s="522"/>
      <c r="Y347" s="382"/>
    </row>
    <row r="348" spans="9:25" ht="12.75" customHeight="1">
      <c r="I348" s="382"/>
      <c r="J348" s="519"/>
      <c r="K348" s="519"/>
      <c r="L348" s="519"/>
      <c r="M348" s="380"/>
      <c r="N348" s="519"/>
      <c r="O348" s="519"/>
      <c r="P348" s="519"/>
      <c r="Q348" s="382"/>
      <c r="R348" s="521"/>
      <c r="S348" s="521"/>
      <c r="T348" s="521"/>
      <c r="U348" s="380"/>
      <c r="V348" s="522"/>
      <c r="W348" s="522"/>
      <c r="X348" s="522"/>
      <c r="Y348" s="382"/>
    </row>
    <row r="349" spans="9:25" ht="12.75" customHeight="1">
      <c r="I349" s="382"/>
      <c r="J349" s="519">
        <f t="shared" ref="J349" si="316">J347+1</f>
        <v>161</v>
      </c>
      <c r="K349" s="519"/>
      <c r="L349" s="519"/>
      <c r="M349" s="380"/>
      <c r="N349" s="520">
        <f t="shared" ref="N349" si="317">N347+1</f>
        <v>47279</v>
      </c>
      <c r="O349" s="519"/>
      <c r="P349" s="519"/>
      <c r="Q349" s="382"/>
      <c r="R349" s="521">
        <f>LOOKUP(ROUNDUP(IF((N349-$R$10)&lt;=0,1,(N349-$R$10))/365,0),'Profit Division'!$A$4:$A$30,'Profit Division'!$C$4:$C$30)</f>
        <v>1.1403848734836686E-4</v>
      </c>
      <c r="S349" s="521"/>
      <c r="T349" s="521"/>
      <c r="U349" s="380"/>
      <c r="V349" s="522">
        <f ca="1">R349*LOOKUP(N349,'reserve calculation'!B:B,'reserve calculation'!D:D)</f>
        <v>51364.535326666162</v>
      </c>
      <c r="W349" s="522"/>
      <c r="X349" s="522"/>
      <c r="Y349" s="382"/>
    </row>
    <row r="350" spans="9:25" ht="12.75" customHeight="1">
      <c r="I350" s="382"/>
      <c r="J350" s="519"/>
      <c r="K350" s="519"/>
      <c r="L350" s="519"/>
      <c r="M350" s="380"/>
      <c r="N350" s="519"/>
      <c r="O350" s="519"/>
      <c r="P350" s="519"/>
      <c r="Q350" s="382"/>
      <c r="R350" s="521"/>
      <c r="S350" s="521"/>
      <c r="T350" s="521"/>
      <c r="U350" s="380"/>
      <c r="V350" s="522"/>
      <c r="W350" s="522"/>
      <c r="X350" s="522"/>
      <c r="Y350" s="382"/>
    </row>
    <row r="351" spans="9:25" ht="12.75" customHeight="1">
      <c r="I351" s="382"/>
      <c r="J351" s="519">
        <f t="shared" ref="J351" si="318">J349+1</f>
        <v>162</v>
      </c>
      <c r="K351" s="519"/>
      <c r="L351" s="519"/>
      <c r="M351" s="380"/>
      <c r="N351" s="520">
        <f t="shared" ref="N351" si="319">N349+1</f>
        <v>47280</v>
      </c>
      <c r="O351" s="519"/>
      <c r="P351" s="519"/>
      <c r="Q351" s="382"/>
      <c r="R351" s="521">
        <f>LOOKUP(ROUNDUP(IF((N351-$R$10)&lt;=0,1,(N351-$R$10))/365,0),'Profit Division'!$A$4:$A$30,'Profit Division'!$C$4:$C$30)</f>
        <v>1.1403848734836686E-4</v>
      </c>
      <c r="S351" s="521"/>
      <c r="T351" s="521"/>
      <c r="U351" s="380"/>
      <c r="V351" s="522">
        <f ca="1">R351*LOOKUP(N351,'reserve calculation'!B:B,'reserve calculation'!D:D)</f>
        <v>51384.207057675456</v>
      </c>
      <c r="W351" s="522"/>
      <c r="X351" s="522"/>
      <c r="Y351" s="382"/>
    </row>
    <row r="352" spans="9:25" ht="12.75" customHeight="1">
      <c r="I352" s="382"/>
      <c r="J352" s="519"/>
      <c r="K352" s="519"/>
      <c r="L352" s="519"/>
      <c r="M352" s="380"/>
      <c r="N352" s="519"/>
      <c r="O352" s="519"/>
      <c r="P352" s="519"/>
      <c r="Q352" s="382"/>
      <c r="R352" s="521"/>
      <c r="S352" s="521"/>
      <c r="T352" s="521"/>
      <c r="U352" s="380"/>
      <c r="V352" s="522"/>
      <c r="W352" s="522"/>
      <c r="X352" s="522"/>
      <c r="Y352" s="382"/>
    </row>
    <row r="353" spans="9:25" ht="12.75" customHeight="1">
      <c r="I353" s="382"/>
      <c r="J353" s="519">
        <f t="shared" ref="J353" si="320">J351+1</f>
        <v>163</v>
      </c>
      <c r="K353" s="519"/>
      <c r="L353" s="519"/>
      <c r="M353" s="380"/>
      <c r="N353" s="520">
        <f t="shared" ref="N353" si="321">N351+1</f>
        <v>47281</v>
      </c>
      <c r="O353" s="519"/>
      <c r="P353" s="519"/>
      <c r="Q353" s="382"/>
      <c r="R353" s="521">
        <f>LOOKUP(ROUNDUP(IF((N353-$R$10)&lt;=0,1,(N353-$R$10))/365,0),'Profit Division'!$A$4:$A$30,'Profit Division'!$C$4:$C$30)</f>
        <v>1.1403848734836686E-4</v>
      </c>
      <c r="S353" s="521"/>
      <c r="T353" s="521"/>
      <c r="U353" s="380"/>
      <c r="V353" s="522">
        <f ca="1">R353*LOOKUP(N353,'reserve calculation'!B:B,'reserve calculation'!D:D)</f>
        <v>51403.886322618389</v>
      </c>
      <c r="W353" s="522"/>
      <c r="X353" s="522"/>
      <c r="Y353" s="382"/>
    </row>
    <row r="354" spans="9:25" ht="12.75" customHeight="1">
      <c r="I354" s="382"/>
      <c r="J354" s="519"/>
      <c r="K354" s="519"/>
      <c r="L354" s="519"/>
      <c r="M354" s="380"/>
      <c r="N354" s="519"/>
      <c r="O354" s="519"/>
      <c r="P354" s="519"/>
      <c r="Q354" s="382"/>
      <c r="R354" s="521"/>
      <c r="S354" s="521"/>
      <c r="T354" s="521"/>
      <c r="U354" s="380"/>
      <c r="V354" s="522"/>
      <c r="W354" s="522"/>
      <c r="X354" s="522"/>
      <c r="Y354" s="382"/>
    </row>
    <row r="355" spans="9:25" ht="12.75" customHeight="1">
      <c r="I355" s="382"/>
      <c r="J355" s="519">
        <f t="shared" ref="J355" si="322">J353+1</f>
        <v>164</v>
      </c>
      <c r="K355" s="519"/>
      <c r="L355" s="519"/>
      <c r="M355" s="380"/>
      <c r="N355" s="520">
        <f t="shared" ref="N355" si="323">N353+1</f>
        <v>47282</v>
      </c>
      <c r="O355" s="519"/>
      <c r="P355" s="519"/>
      <c r="Q355" s="382"/>
      <c r="R355" s="521">
        <f>LOOKUP(ROUNDUP(IF((N355-$R$10)&lt;=0,1,(N355-$R$10))/365,0),'Profit Division'!$A$4:$A$30,'Profit Division'!$C$4:$C$30)</f>
        <v>1.1403848734836686E-4</v>
      </c>
      <c r="S355" s="521"/>
      <c r="T355" s="521"/>
      <c r="U355" s="380"/>
      <c r="V355" s="522">
        <f ca="1">R355*LOOKUP(N355,'reserve calculation'!B:B,'reserve calculation'!D:D)</f>
        <v>51423.573124380338</v>
      </c>
      <c r="W355" s="522"/>
      <c r="X355" s="522"/>
      <c r="Y355" s="382"/>
    </row>
    <row r="356" spans="9:25" ht="12.75" customHeight="1">
      <c r="I356" s="382"/>
      <c r="J356" s="519"/>
      <c r="K356" s="519"/>
      <c r="L356" s="519"/>
      <c r="M356" s="380"/>
      <c r="N356" s="519"/>
      <c r="O356" s="519"/>
      <c r="P356" s="519"/>
      <c r="Q356" s="382"/>
      <c r="R356" s="521"/>
      <c r="S356" s="521"/>
      <c r="T356" s="521"/>
      <c r="U356" s="380"/>
      <c r="V356" s="522"/>
      <c r="W356" s="522"/>
      <c r="X356" s="522"/>
      <c r="Y356" s="382"/>
    </row>
    <row r="357" spans="9:25" ht="12.75" customHeight="1">
      <c r="I357" s="382"/>
      <c r="J357" s="519">
        <f t="shared" ref="J357" si="324">J355+1</f>
        <v>165</v>
      </c>
      <c r="K357" s="519"/>
      <c r="L357" s="519"/>
      <c r="M357" s="380"/>
      <c r="N357" s="520">
        <f t="shared" ref="N357" si="325">N355+1</f>
        <v>47283</v>
      </c>
      <c r="O357" s="519"/>
      <c r="P357" s="519"/>
      <c r="Q357" s="382"/>
      <c r="R357" s="521">
        <f>LOOKUP(ROUNDUP(IF((N357-$R$10)&lt;=0,1,(N357-$R$10))/365,0),'Profit Division'!$A$4:$A$30,'Profit Division'!$C$4:$C$30)</f>
        <v>1.1403848734836686E-4</v>
      </c>
      <c r="S357" s="521"/>
      <c r="T357" s="521"/>
      <c r="U357" s="380"/>
      <c r="V357" s="522">
        <f ca="1">R357*LOOKUP(N357,'reserve calculation'!B:B,'reserve calculation'!D:D)</f>
        <v>51443.26746584777</v>
      </c>
      <c r="W357" s="522"/>
      <c r="X357" s="522"/>
      <c r="Y357" s="382"/>
    </row>
    <row r="358" spans="9:25" ht="12.75" customHeight="1">
      <c r="I358" s="382"/>
      <c r="J358" s="519"/>
      <c r="K358" s="519"/>
      <c r="L358" s="519"/>
      <c r="M358" s="380"/>
      <c r="N358" s="519"/>
      <c r="O358" s="519"/>
      <c r="P358" s="519"/>
      <c r="Q358" s="382"/>
      <c r="R358" s="521"/>
      <c r="S358" s="521"/>
      <c r="T358" s="521"/>
      <c r="U358" s="380"/>
      <c r="V358" s="522"/>
      <c r="W358" s="522"/>
      <c r="X358" s="522"/>
      <c r="Y358" s="382"/>
    </row>
    <row r="359" spans="9:25" ht="12.75" customHeight="1">
      <c r="I359" s="382"/>
      <c r="J359" s="519">
        <f t="shared" ref="J359" si="326">J357+1</f>
        <v>166</v>
      </c>
      <c r="K359" s="519"/>
      <c r="L359" s="519"/>
      <c r="M359" s="380"/>
      <c r="N359" s="520">
        <f t="shared" ref="N359" si="327">N357+1</f>
        <v>47284</v>
      </c>
      <c r="O359" s="519"/>
      <c r="P359" s="519"/>
      <c r="Q359" s="382"/>
      <c r="R359" s="521">
        <f>LOOKUP(ROUNDUP(IF((N359-$R$10)&lt;=0,1,(N359-$R$10))/365,0),'Profit Division'!$A$4:$A$30,'Profit Division'!$C$4:$C$30)</f>
        <v>1.1403848734836686E-4</v>
      </c>
      <c r="S359" s="521"/>
      <c r="T359" s="521"/>
      <c r="U359" s="380"/>
      <c r="V359" s="522">
        <f ca="1">R359*LOOKUP(N359,'reserve calculation'!B:B,'reserve calculation'!D:D)</f>
        <v>51462.969349908264</v>
      </c>
      <c r="W359" s="522"/>
      <c r="X359" s="522"/>
      <c r="Y359" s="382"/>
    </row>
    <row r="360" spans="9:25" ht="12.75" customHeight="1">
      <c r="I360" s="382"/>
      <c r="J360" s="519"/>
      <c r="K360" s="519"/>
      <c r="L360" s="519"/>
      <c r="M360" s="380"/>
      <c r="N360" s="519"/>
      <c r="O360" s="519"/>
      <c r="P360" s="519"/>
      <c r="Q360" s="382"/>
      <c r="R360" s="521"/>
      <c r="S360" s="521"/>
      <c r="T360" s="521"/>
      <c r="U360" s="380"/>
      <c r="V360" s="522"/>
      <c r="W360" s="522"/>
      <c r="X360" s="522"/>
      <c r="Y360" s="382"/>
    </row>
    <row r="361" spans="9:25" ht="12.75" customHeight="1">
      <c r="I361" s="382"/>
      <c r="J361" s="519">
        <f t="shared" ref="J361" si="328">J359+1</f>
        <v>167</v>
      </c>
      <c r="K361" s="519"/>
      <c r="L361" s="519"/>
      <c r="M361" s="380"/>
      <c r="N361" s="520">
        <f t="shared" ref="N361" si="329">N359+1</f>
        <v>47285</v>
      </c>
      <c r="O361" s="519"/>
      <c r="P361" s="519"/>
      <c r="Q361" s="382"/>
      <c r="R361" s="521">
        <f>LOOKUP(ROUNDUP(IF((N361-$R$10)&lt;=0,1,(N361-$R$10))/365,0),'Profit Division'!$A$4:$A$30,'Profit Division'!$C$4:$C$30)</f>
        <v>1.1403848734836686E-4</v>
      </c>
      <c r="S361" s="521"/>
      <c r="T361" s="521"/>
      <c r="U361" s="380"/>
      <c r="V361" s="522">
        <f ca="1">R361*LOOKUP(N361,'reserve calculation'!B:B,'reserve calculation'!D:D)</f>
        <v>51482.678779450507</v>
      </c>
      <c r="W361" s="522"/>
      <c r="X361" s="522"/>
      <c r="Y361" s="382"/>
    </row>
    <row r="362" spans="9:25" ht="12.75" customHeight="1">
      <c r="I362" s="382"/>
      <c r="J362" s="519"/>
      <c r="K362" s="519"/>
      <c r="L362" s="519"/>
      <c r="M362" s="380"/>
      <c r="N362" s="519"/>
      <c r="O362" s="519"/>
      <c r="P362" s="519"/>
      <c r="Q362" s="382"/>
      <c r="R362" s="521"/>
      <c r="S362" s="521"/>
      <c r="T362" s="521"/>
      <c r="U362" s="380"/>
      <c r="V362" s="522"/>
      <c r="W362" s="522"/>
      <c r="X362" s="522"/>
      <c r="Y362" s="382"/>
    </row>
    <row r="363" spans="9:25" ht="12.75" customHeight="1">
      <c r="I363" s="382"/>
      <c r="J363" s="519">
        <f t="shared" ref="J363" si="330">J361+1</f>
        <v>168</v>
      </c>
      <c r="K363" s="519"/>
      <c r="L363" s="519"/>
      <c r="M363" s="380"/>
      <c r="N363" s="520">
        <f t="shared" ref="N363" si="331">N361+1</f>
        <v>47286</v>
      </c>
      <c r="O363" s="519"/>
      <c r="P363" s="519"/>
      <c r="Q363" s="382"/>
      <c r="R363" s="521">
        <f>LOOKUP(ROUNDUP(IF((N363-$R$10)&lt;=0,1,(N363-$R$10))/365,0),'Profit Division'!$A$4:$A$30,'Profit Division'!$C$4:$C$30)</f>
        <v>1.1403848734836686E-4</v>
      </c>
      <c r="S363" s="521"/>
      <c r="T363" s="521"/>
      <c r="U363" s="380"/>
      <c r="V363" s="522">
        <f ca="1">R363*LOOKUP(N363,'reserve calculation'!B:B,'reserve calculation'!D:D)</f>
        <v>51502.395757364284</v>
      </c>
      <c r="W363" s="522"/>
      <c r="X363" s="522"/>
      <c r="Y363" s="382"/>
    </row>
    <row r="364" spans="9:25" ht="12.75" customHeight="1">
      <c r="I364" s="382"/>
      <c r="J364" s="519"/>
      <c r="K364" s="519"/>
      <c r="L364" s="519"/>
      <c r="M364" s="380"/>
      <c r="N364" s="519"/>
      <c r="O364" s="519"/>
      <c r="P364" s="519"/>
      <c r="Q364" s="382"/>
      <c r="R364" s="521"/>
      <c r="S364" s="521"/>
      <c r="T364" s="521"/>
      <c r="U364" s="380"/>
      <c r="V364" s="522"/>
      <c r="W364" s="522"/>
      <c r="X364" s="522"/>
      <c r="Y364" s="382"/>
    </row>
    <row r="365" spans="9:25" ht="12.75" customHeight="1">
      <c r="I365" s="382"/>
      <c r="J365" s="519">
        <f t="shared" ref="J365" si="332">J363+1</f>
        <v>169</v>
      </c>
      <c r="K365" s="519"/>
      <c r="L365" s="519"/>
      <c r="M365" s="380"/>
      <c r="N365" s="520">
        <f t="shared" ref="N365" si="333">N363+1</f>
        <v>47287</v>
      </c>
      <c r="O365" s="519"/>
      <c r="P365" s="519"/>
      <c r="Q365" s="382"/>
      <c r="R365" s="521">
        <f>LOOKUP(ROUNDUP(IF((N365-$R$10)&lt;=0,1,(N365-$R$10))/365,0),'Profit Division'!$A$4:$A$30,'Profit Division'!$C$4:$C$30)</f>
        <v>1.1403848734836686E-4</v>
      </c>
      <c r="S365" s="521"/>
      <c r="T365" s="521"/>
      <c r="U365" s="380"/>
      <c r="V365" s="522">
        <f ca="1">R365*LOOKUP(N365,'reserve calculation'!B:B,'reserve calculation'!D:D)</f>
        <v>51522.120286540485</v>
      </c>
      <c r="W365" s="522"/>
      <c r="X365" s="522"/>
      <c r="Y365" s="382"/>
    </row>
    <row r="366" spans="9:25" ht="12.75" customHeight="1">
      <c r="I366" s="382"/>
      <c r="J366" s="519"/>
      <c r="K366" s="519"/>
      <c r="L366" s="519"/>
      <c r="M366" s="380"/>
      <c r="N366" s="519"/>
      <c r="O366" s="519"/>
      <c r="P366" s="519"/>
      <c r="Q366" s="382"/>
      <c r="R366" s="521"/>
      <c r="S366" s="521"/>
      <c r="T366" s="521"/>
      <c r="U366" s="380"/>
      <c r="V366" s="522"/>
      <c r="W366" s="522"/>
      <c r="X366" s="522"/>
      <c r="Y366" s="382"/>
    </row>
    <row r="367" spans="9:25" ht="12.75" customHeight="1">
      <c r="I367" s="382"/>
      <c r="J367" s="519">
        <f t="shared" ref="J367" si="334">J365+1</f>
        <v>170</v>
      </c>
      <c r="K367" s="519"/>
      <c r="L367" s="519"/>
      <c r="M367" s="380"/>
      <c r="N367" s="520">
        <f t="shared" ref="N367" si="335">N365+1</f>
        <v>47288</v>
      </c>
      <c r="O367" s="519"/>
      <c r="P367" s="519"/>
      <c r="Q367" s="382"/>
      <c r="R367" s="521">
        <f>LOOKUP(ROUNDUP(IF((N367-$R$10)&lt;=0,1,(N367-$R$10))/365,0),'Profit Division'!$A$4:$A$30,'Profit Division'!$C$4:$C$30)</f>
        <v>1.1403848734836686E-4</v>
      </c>
      <c r="S367" s="521"/>
      <c r="T367" s="521"/>
      <c r="U367" s="380"/>
      <c r="V367" s="522">
        <f ca="1">R367*LOOKUP(N367,'reserve calculation'!B:B,'reserve calculation'!D:D)</f>
        <v>51541.852369871114</v>
      </c>
      <c r="W367" s="522"/>
      <c r="X367" s="522"/>
      <c r="Y367" s="382"/>
    </row>
    <row r="368" spans="9:25" ht="12.75" customHeight="1">
      <c r="I368" s="382"/>
      <c r="J368" s="519"/>
      <c r="K368" s="519"/>
      <c r="L368" s="519"/>
      <c r="M368" s="380"/>
      <c r="N368" s="519"/>
      <c r="O368" s="519"/>
      <c r="P368" s="519"/>
      <c r="Q368" s="382"/>
      <c r="R368" s="521"/>
      <c r="S368" s="521"/>
      <c r="T368" s="521"/>
      <c r="U368" s="380"/>
      <c r="V368" s="522"/>
      <c r="W368" s="522"/>
      <c r="X368" s="522"/>
      <c r="Y368" s="382"/>
    </row>
    <row r="369" spans="9:25" ht="12.75" customHeight="1">
      <c r="I369" s="382"/>
      <c r="J369" s="519">
        <f t="shared" ref="J369" si="336">J367+1</f>
        <v>171</v>
      </c>
      <c r="K369" s="519"/>
      <c r="L369" s="519"/>
      <c r="M369" s="380"/>
      <c r="N369" s="520">
        <f t="shared" ref="N369" si="337">N367+1</f>
        <v>47289</v>
      </c>
      <c r="O369" s="519"/>
      <c r="P369" s="519"/>
      <c r="Q369" s="382"/>
      <c r="R369" s="521">
        <f>LOOKUP(ROUNDUP(IF((N369-$R$10)&lt;=0,1,(N369-$R$10))/365,0),'Profit Division'!$A$4:$A$30,'Profit Division'!$C$4:$C$30)</f>
        <v>1.1403848734836686E-4</v>
      </c>
      <c r="S369" s="521"/>
      <c r="T369" s="521"/>
      <c r="U369" s="380"/>
      <c r="V369" s="522">
        <f ca="1">R369*LOOKUP(N369,'reserve calculation'!B:B,'reserve calculation'!D:D)</f>
        <v>51561.592010249296</v>
      </c>
      <c r="W369" s="522"/>
      <c r="X369" s="522"/>
      <c r="Y369" s="382"/>
    </row>
    <row r="370" spans="9:25" ht="12.75" customHeight="1">
      <c r="I370" s="382"/>
      <c r="J370" s="519"/>
      <c r="K370" s="519"/>
      <c r="L370" s="519"/>
      <c r="M370" s="380"/>
      <c r="N370" s="519"/>
      <c r="O370" s="519"/>
      <c r="P370" s="519"/>
      <c r="Q370" s="382"/>
      <c r="R370" s="521"/>
      <c r="S370" s="521"/>
      <c r="T370" s="521"/>
      <c r="U370" s="380"/>
      <c r="V370" s="522"/>
      <c r="W370" s="522"/>
      <c r="X370" s="522"/>
      <c r="Y370" s="382"/>
    </row>
    <row r="371" spans="9:25" ht="12.75" customHeight="1">
      <c r="I371" s="382"/>
      <c r="J371" s="519">
        <f t="shared" ref="J371" si="338">J369+1</f>
        <v>172</v>
      </c>
      <c r="K371" s="519"/>
      <c r="L371" s="519"/>
      <c r="M371" s="380"/>
      <c r="N371" s="520">
        <f t="shared" ref="N371" si="339">N369+1</f>
        <v>47290</v>
      </c>
      <c r="O371" s="519"/>
      <c r="P371" s="519"/>
      <c r="Q371" s="382"/>
      <c r="R371" s="521">
        <f>LOOKUP(ROUNDUP(IF((N371-$R$10)&lt;=0,1,(N371-$R$10))/365,0),'Profit Division'!$A$4:$A$30,'Profit Division'!$C$4:$C$30)</f>
        <v>1.1403848734836686E-4</v>
      </c>
      <c r="S371" s="521"/>
      <c r="T371" s="521"/>
      <c r="U371" s="380"/>
      <c r="V371" s="522">
        <f ca="1">R371*LOOKUP(N371,'reserve calculation'!B:B,'reserve calculation'!D:D)</f>
        <v>51581.339210569233</v>
      </c>
      <c r="W371" s="522"/>
      <c r="X371" s="522"/>
      <c r="Y371" s="382"/>
    </row>
    <row r="372" spans="9:25" ht="12.75" customHeight="1">
      <c r="I372" s="382"/>
      <c r="J372" s="519"/>
      <c r="K372" s="519"/>
      <c r="L372" s="519"/>
      <c r="M372" s="380"/>
      <c r="N372" s="519"/>
      <c r="O372" s="519"/>
      <c r="P372" s="519"/>
      <c r="Q372" s="382"/>
      <c r="R372" s="521"/>
      <c r="S372" s="521"/>
      <c r="T372" s="521"/>
      <c r="U372" s="380"/>
      <c r="V372" s="522"/>
      <c r="W372" s="522"/>
      <c r="X372" s="522"/>
      <c r="Y372" s="382"/>
    </row>
    <row r="373" spans="9:25" ht="12.75" customHeight="1">
      <c r="I373" s="382"/>
      <c r="J373" s="519">
        <f t="shared" ref="J373" si="340">J371+1</f>
        <v>173</v>
      </c>
      <c r="K373" s="519"/>
      <c r="L373" s="519"/>
      <c r="M373" s="380"/>
      <c r="N373" s="520">
        <f t="shared" ref="N373" si="341">N371+1</f>
        <v>47291</v>
      </c>
      <c r="O373" s="519"/>
      <c r="P373" s="519"/>
      <c r="Q373" s="382"/>
      <c r="R373" s="521">
        <f>LOOKUP(ROUNDUP(IF((N373-$R$10)&lt;=0,1,(N373-$R$10))/365,0),'Profit Division'!$A$4:$A$30,'Profit Division'!$C$4:$C$30)</f>
        <v>1.1403848734836686E-4</v>
      </c>
      <c r="S373" s="521"/>
      <c r="T373" s="521"/>
      <c r="U373" s="380"/>
      <c r="V373" s="522">
        <f ca="1">R373*LOOKUP(N373,'reserve calculation'!B:B,'reserve calculation'!D:D)</f>
        <v>51601.093973726267</v>
      </c>
      <c r="W373" s="522"/>
      <c r="X373" s="522"/>
      <c r="Y373" s="382"/>
    </row>
    <row r="374" spans="9:25" ht="12.75" customHeight="1">
      <c r="I374" s="382"/>
      <c r="J374" s="519"/>
      <c r="K374" s="519"/>
      <c r="L374" s="519"/>
      <c r="M374" s="380"/>
      <c r="N374" s="519"/>
      <c r="O374" s="519"/>
      <c r="P374" s="519"/>
      <c r="Q374" s="382"/>
      <c r="R374" s="521"/>
      <c r="S374" s="521"/>
      <c r="T374" s="521"/>
      <c r="U374" s="380"/>
      <c r="V374" s="522"/>
      <c r="W374" s="522"/>
      <c r="X374" s="522"/>
      <c r="Y374" s="382"/>
    </row>
    <row r="375" spans="9:25" ht="12.75" customHeight="1">
      <c r="I375" s="382"/>
      <c r="J375" s="519">
        <f t="shared" ref="J375" si="342">J373+1</f>
        <v>174</v>
      </c>
      <c r="K375" s="519"/>
      <c r="L375" s="519"/>
      <c r="M375" s="380"/>
      <c r="N375" s="520">
        <f t="shared" ref="N375" si="343">N373+1</f>
        <v>47292</v>
      </c>
      <c r="O375" s="519"/>
      <c r="P375" s="519"/>
      <c r="Q375" s="382"/>
      <c r="R375" s="521">
        <f>LOOKUP(ROUNDUP(IF((N375-$R$10)&lt;=0,1,(N375-$R$10))/365,0),'Profit Division'!$A$4:$A$30,'Profit Division'!$C$4:$C$30)</f>
        <v>1.1403848734836686E-4</v>
      </c>
      <c r="S375" s="521"/>
      <c r="T375" s="521"/>
      <c r="U375" s="380"/>
      <c r="V375" s="522">
        <f ca="1">R375*LOOKUP(N375,'reserve calculation'!B:B,'reserve calculation'!D:D)</f>
        <v>51620.856302616827</v>
      </c>
      <c r="W375" s="522"/>
      <c r="X375" s="522"/>
      <c r="Y375" s="382"/>
    </row>
    <row r="376" spans="9:25" ht="12.75" customHeight="1">
      <c r="I376" s="382"/>
      <c r="J376" s="519"/>
      <c r="K376" s="519"/>
      <c r="L376" s="519"/>
      <c r="M376" s="380"/>
      <c r="N376" s="519"/>
      <c r="O376" s="519"/>
      <c r="P376" s="519"/>
      <c r="Q376" s="382"/>
      <c r="R376" s="521"/>
      <c r="S376" s="521"/>
      <c r="T376" s="521"/>
      <c r="U376" s="380"/>
      <c r="V376" s="522"/>
      <c r="W376" s="522"/>
      <c r="X376" s="522"/>
      <c r="Y376" s="382"/>
    </row>
    <row r="377" spans="9:25" ht="12.75" customHeight="1">
      <c r="I377" s="382"/>
      <c r="J377" s="519">
        <f t="shared" ref="J377" si="344">J375+1</f>
        <v>175</v>
      </c>
      <c r="K377" s="519"/>
      <c r="L377" s="519"/>
      <c r="M377" s="380"/>
      <c r="N377" s="520">
        <f t="shared" ref="N377" si="345">N375+1</f>
        <v>47293</v>
      </c>
      <c r="O377" s="519"/>
      <c r="P377" s="519"/>
      <c r="Q377" s="382"/>
      <c r="R377" s="521">
        <f>LOOKUP(ROUNDUP(IF((N377-$R$10)&lt;=0,1,(N377-$R$10))/365,0),'Profit Division'!$A$4:$A$30,'Profit Division'!$C$4:$C$30)</f>
        <v>1.1403848734836686E-4</v>
      </c>
      <c r="S377" s="521"/>
      <c r="T377" s="521"/>
      <c r="U377" s="380"/>
      <c r="V377" s="522">
        <f ca="1">R377*LOOKUP(N377,'reserve calculation'!B:B,'reserve calculation'!D:D)</f>
        <v>51640.62620013846</v>
      </c>
      <c r="W377" s="522"/>
      <c r="X377" s="522"/>
      <c r="Y377" s="382"/>
    </row>
    <row r="378" spans="9:25" ht="12.75" customHeight="1">
      <c r="I378" s="382"/>
      <c r="J378" s="519"/>
      <c r="K378" s="519"/>
      <c r="L378" s="519"/>
      <c r="M378" s="380"/>
      <c r="N378" s="519"/>
      <c r="O378" s="519"/>
      <c r="P378" s="519"/>
      <c r="Q378" s="382"/>
      <c r="R378" s="521"/>
      <c r="S378" s="521"/>
      <c r="T378" s="521"/>
      <c r="U378" s="380"/>
      <c r="V378" s="522"/>
      <c r="W378" s="522"/>
      <c r="X378" s="522"/>
      <c r="Y378" s="382"/>
    </row>
    <row r="379" spans="9:25" ht="12.75" customHeight="1">
      <c r="I379" s="382"/>
      <c r="J379" s="519">
        <f t="shared" ref="J379" si="346">J377+1</f>
        <v>176</v>
      </c>
      <c r="K379" s="519"/>
      <c r="L379" s="519"/>
      <c r="M379" s="380"/>
      <c r="N379" s="520">
        <f t="shared" ref="N379" si="347">N377+1</f>
        <v>47294</v>
      </c>
      <c r="O379" s="519"/>
      <c r="P379" s="519"/>
      <c r="Q379" s="382"/>
      <c r="R379" s="521">
        <f>LOOKUP(ROUNDUP(IF((N379-$R$10)&lt;=0,1,(N379-$R$10))/365,0),'Profit Division'!$A$4:$A$30,'Profit Division'!$C$4:$C$30)</f>
        <v>1.1403848734836686E-4</v>
      </c>
      <c r="S379" s="521"/>
      <c r="T379" s="521"/>
      <c r="U379" s="380"/>
      <c r="V379" s="522">
        <f ca="1">R379*LOOKUP(N379,'reserve calculation'!B:B,'reserve calculation'!D:D)</f>
        <v>51660.403669189815</v>
      </c>
      <c r="W379" s="522"/>
      <c r="X379" s="522"/>
      <c r="Y379" s="382"/>
    </row>
    <row r="380" spans="9:25" ht="12.75" customHeight="1">
      <c r="I380" s="382"/>
      <c r="J380" s="519"/>
      <c r="K380" s="519"/>
      <c r="L380" s="519"/>
      <c r="M380" s="380"/>
      <c r="N380" s="519"/>
      <c r="O380" s="519"/>
      <c r="P380" s="519"/>
      <c r="Q380" s="382"/>
      <c r="R380" s="521"/>
      <c r="S380" s="521"/>
      <c r="T380" s="521"/>
      <c r="U380" s="380"/>
      <c r="V380" s="522"/>
      <c r="W380" s="522"/>
      <c r="X380" s="522"/>
      <c r="Y380" s="382"/>
    </row>
    <row r="381" spans="9:25" ht="12.75" customHeight="1">
      <c r="I381" s="382"/>
      <c r="J381" s="519">
        <f t="shared" ref="J381" si="348">J379+1</f>
        <v>177</v>
      </c>
      <c r="K381" s="519"/>
      <c r="L381" s="519"/>
      <c r="M381" s="380"/>
      <c r="N381" s="520">
        <f t="shared" ref="N381" si="349">N379+1</f>
        <v>47295</v>
      </c>
      <c r="O381" s="519"/>
      <c r="P381" s="519"/>
      <c r="Q381" s="382"/>
      <c r="R381" s="521">
        <f>LOOKUP(ROUNDUP(IF((N381-$R$10)&lt;=0,1,(N381-$R$10))/365,0),'Profit Division'!$A$4:$A$30,'Profit Division'!$C$4:$C$30)</f>
        <v>1.1403848734836686E-4</v>
      </c>
      <c r="S381" s="521"/>
      <c r="T381" s="521"/>
      <c r="U381" s="380"/>
      <c r="V381" s="522">
        <f ca="1">R381*LOOKUP(N381,'reserve calculation'!B:B,'reserve calculation'!D:D)</f>
        <v>51680.188712670664</v>
      </c>
      <c r="W381" s="522"/>
      <c r="X381" s="522"/>
      <c r="Y381" s="382"/>
    </row>
    <row r="382" spans="9:25" ht="12.75" customHeight="1">
      <c r="I382" s="382"/>
      <c r="J382" s="519"/>
      <c r="K382" s="519"/>
      <c r="L382" s="519"/>
      <c r="M382" s="380"/>
      <c r="N382" s="519"/>
      <c r="O382" s="519"/>
      <c r="P382" s="519"/>
      <c r="Q382" s="382"/>
      <c r="R382" s="521"/>
      <c r="S382" s="521"/>
      <c r="T382" s="521"/>
      <c r="U382" s="380"/>
      <c r="V382" s="522"/>
      <c r="W382" s="522"/>
      <c r="X382" s="522"/>
      <c r="Y382" s="382"/>
    </row>
    <row r="383" spans="9:25" ht="12.75" customHeight="1">
      <c r="I383" s="382"/>
      <c r="J383" s="519">
        <f t="shared" ref="J383:J445" si="350">J381+1</f>
        <v>178</v>
      </c>
      <c r="K383" s="519"/>
      <c r="L383" s="519"/>
      <c r="M383" s="380"/>
      <c r="N383" s="520">
        <f t="shared" ref="N383:N445" si="351">N381+1</f>
        <v>47296</v>
      </c>
      <c r="O383" s="519"/>
      <c r="P383" s="519"/>
      <c r="Q383" s="382"/>
      <c r="R383" s="521">
        <f>LOOKUP(ROUNDUP(IF((N383-$R$10)&lt;=0,1,(N383-$R$10))/365,0),'Profit Division'!$A$4:$A$30,'Profit Division'!$C$4:$C$30)</f>
        <v>1.1403848734836686E-4</v>
      </c>
      <c r="S383" s="521"/>
      <c r="T383" s="521"/>
      <c r="U383" s="380"/>
      <c r="V383" s="522">
        <f ca="1">R383*LOOKUP(N383,'reserve calculation'!B:B,'reserve calculation'!D:D)</f>
        <v>51699.981333481883</v>
      </c>
      <c r="W383" s="522"/>
      <c r="X383" s="522"/>
      <c r="Y383" s="382"/>
    </row>
    <row r="384" spans="9:25" ht="12.75" customHeight="1">
      <c r="I384" s="382"/>
      <c r="J384" s="519"/>
      <c r="K384" s="519"/>
      <c r="L384" s="519"/>
      <c r="M384" s="380"/>
      <c r="N384" s="519"/>
      <c r="O384" s="519"/>
      <c r="P384" s="519"/>
      <c r="Q384" s="382"/>
      <c r="R384" s="521"/>
      <c r="S384" s="521"/>
      <c r="T384" s="521"/>
      <c r="U384" s="380"/>
      <c r="V384" s="522"/>
      <c r="W384" s="522"/>
      <c r="X384" s="522"/>
      <c r="Y384" s="382"/>
    </row>
    <row r="385" spans="9:25" ht="12.75" customHeight="1">
      <c r="I385" s="382"/>
      <c r="J385" s="519">
        <f t="shared" si="350"/>
        <v>179</v>
      </c>
      <c r="K385" s="519"/>
      <c r="L385" s="519"/>
      <c r="M385" s="380"/>
      <c r="N385" s="520">
        <f t="shared" si="351"/>
        <v>47297</v>
      </c>
      <c r="O385" s="519"/>
      <c r="P385" s="519"/>
      <c r="Q385" s="382"/>
      <c r="R385" s="521">
        <f>LOOKUP(ROUNDUP(IF((N385-$R$10)&lt;=0,1,(N385-$R$10))/365,0),'Profit Division'!$A$4:$A$30,'Profit Division'!$C$4:$C$30)</f>
        <v>1.1403848734836686E-4</v>
      </c>
      <c r="S385" s="521"/>
      <c r="T385" s="521"/>
      <c r="U385" s="380"/>
      <c r="V385" s="522">
        <f ca="1">R385*LOOKUP(N385,'reserve calculation'!B:B,'reserve calculation'!D:D)</f>
        <v>51719.781534525449</v>
      </c>
      <c r="W385" s="522"/>
      <c r="X385" s="522"/>
      <c r="Y385" s="382"/>
    </row>
    <row r="386" spans="9:25" ht="12.75" customHeight="1">
      <c r="I386" s="382"/>
      <c r="J386" s="519"/>
      <c r="K386" s="519"/>
      <c r="L386" s="519"/>
      <c r="M386" s="380"/>
      <c r="N386" s="519"/>
      <c r="O386" s="519"/>
      <c r="P386" s="519"/>
      <c r="Q386" s="382"/>
      <c r="R386" s="521"/>
      <c r="S386" s="521"/>
      <c r="T386" s="521"/>
      <c r="U386" s="380"/>
      <c r="V386" s="522"/>
      <c r="W386" s="522"/>
      <c r="X386" s="522"/>
      <c r="Y386" s="382"/>
    </row>
    <row r="387" spans="9:25" ht="12.75" customHeight="1">
      <c r="I387" s="382"/>
      <c r="J387" s="519">
        <f t="shared" si="350"/>
        <v>180</v>
      </c>
      <c r="K387" s="519"/>
      <c r="L387" s="519"/>
      <c r="M387" s="380"/>
      <c r="N387" s="520">
        <f t="shared" si="351"/>
        <v>47298</v>
      </c>
      <c r="O387" s="519"/>
      <c r="P387" s="519"/>
      <c r="Q387" s="382"/>
      <c r="R387" s="521">
        <f>LOOKUP(ROUNDUP(IF((N387-$R$10)&lt;=0,1,(N387-$R$10))/365,0),'Profit Division'!$A$4:$A$30,'Profit Division'!$C$4:$C$30)</f>
        <v>1.1403848734836686E-4</v>
      </c>
      <c r="S387" s="521"/>
      <c r="T387" s="521"/>
      <c r="U387" s="380"/>
      <c r="V387" s="522">
        <f ca="1">R387*LOOKUP(N387,'reserve calculation'!B:B,'reserve calculation'!D:D)</f>
        <v>51739.589318704471</v>
      </c>
      <c r="W387" s="522"/>
      <c r="X387" s="522"/>
      <c r="Y387" s="382"/>
    </row>
    <row r="388" spans="9:25" ht="12.75" customHeight="1">
      <c r="I388" s="382"/>
      <c r="J388" s="519"/>
      <c r="K388" s="519"/>
      <c r="L388" s="519"/>
      <c r="M388" s="380"/>
      <c r="N388" s="519"/>
      <c r="O388" s="519"/>
      <c r="P388" s="519"/>
      <c r="Q388" s="382"/>
      <c r="R388" s="521"/>
      <c r="S388" s="521"/>
      <c r="T388" s="521"/>
      <c r="U388" s="380"/>
      <c r="V388" s="522"/>
      <c r="W388" s="522"/>
      <c r="X388" s="522"/>
      <c r="Y388" s="382"/>
    </row>
    <row r="389" spans="9:25" ht="12.75" customHeight="1">
      <c r="I389" s="382"/>
      <c r="J389" s="519">
        <f t="shared" si="350"/>
        <v>181</v>
      </c>
      <c r="K389" s="519"/>
      <c r="L389" s="519"/>
      <c r="M389" s="380"/>
      <c r="N389" s="520">
        <f t="shared" si="351"/>
        <v>47299</v>
      </c>
      <c r="O389" s="519"/>
      <c r="P389" s="519"/>
      <c r="Q389" s="382"/>
      <c r="R389" s="521">
        <f>LOOKUP(ROUNDUP(IF((N389-$R$10)&lt;=0,1,(N389-$R$10))/365,0),'Profit Division'!$A$4:$A$30,'Profit Division'!$C$4:$C$30)</f>
        <v>1.1403848734836686E-4</v>
      </c>
      <c r="S389" s="521"/>
      <c r="T389" s="521"/>
      <c r="U389" s="380"/>
      <c r="V389" s="522">
        <f ca="1">R389*LOOKUP(N389,'reserve calculation'!B:B,'reserve calculation'!D:D)</f>
        <v>51759.404688923161</v>
      </c>
      <c r="W389" s="522"/>
      <c r="X389" s="522"/>
      <c r="Y389" s="382"/>
    </row>
    <row r="390" spans="9:25" ht="12.75" customHeight="1">
      <c r="I390" s="382"/>
      <c r="J390" s="519"/>
      <c r="K390" s="519"/>
      <c r="L390" s="519"/>
      <c r="M390" s="380"/>
      <c r="N390" s="519"/>
      <c r="O390" s="519"/>
      <c r="P390" s="519"/>
      <c r="Q390" s="382"/>
      <c r="R390" s="521"/>
      <c r="S390" s="521"/>
      <c r="T390" s="521"/>
      <c r="U390" s="380"/>
      <c r="V390" s="522"/>
      <c r="W390" s="522"/>
      <c r="X390" s="522"/>
      <c r="Y390" s="382"/>
    </row>
    <row r="391" spans="9:25" ht="12.75" customHeight="1">
      <c r="I391" s="382"/>
      <c r="J391" s="519">
        <f t="shared" si="350"/>
        <v>182</v>
      </c>
      <c r="K391" s="519"/>
      <c r="L391" s="519"/>
      <c r="M391" s="380"/>
      <c r="N391" s="520">
        <f t="shared" si="351"/>
        <v>47300</v>
      </c>
      <c r="O391" s="519"/>
      <c r="P391" s="519"/>
      <c r="Q391" s="382"/>
      <c r="R391" s="521">
        <f>LOOKUP(ROUNDUP(IF((N391-$R$10)&lt;=0,1,(N391-$R$10))/365,0),'Profit Division'!$A$4:$A$30,'Profit Division'!$C$4:$C$30)</f>
        <v>1.1403848734836686E-4</v>
      </c>
      <c r="S391" s="521"/>
      <c r="T391" s="521"/>
      <c r="U391" s="380"/>
      <c r="V391" s="522">
        <f ca="1">R391*LOOKUP(N391,'reserve calculation'!B:B,'reserve calculation'!D:D)</f>
        <v>51779.227648086831</v>
      </c>
      <c r="W391" s="522"/>
      <c r="X391" s="522"/>
      <c r="Y391" s="382"/>
    </row>
    <row r="392" spans="9:25" ht="12.75" customHeight="1">
      <c r="I392" s="382"/>
      <c r="J392" s="519"/>
      <c r="K392" s="519"/>
      <c r="L392" s="519"/>
      <c r="M392" s="380"/>
      <c r="N392" s="519"/>
      <c r="O392" s="519"/>
      <c r="P392" s="519"/>
      <c r="Q392" s="382"/>
      <c r="R392" s="521"/>
      <c r="S392" s="521"/>
      <c r="T392" s="521"/>
      <c r="U392" s="380"/>
      <c r="V392" s="522"/>
      <c r="W392" s="522"/>
      <c r="X392" s="522"/>
      <c r="Y392" s="382"/>
    </row>
    <row r="393" spans="9:25" ht="12.75" customHeight="1">
      <c r="I393" s="382"/>
      <c r="J393" s="519">
        <f t="shared" si="350"/>
        <v>183</v>
      </c>
      <c r="K393" s="519"/>
      <c r="L393" s="519"/>
      <c r="M393" s="380"/>
      <c r="N393" s="520">
        <f t="shared" si="351"/>
        <v>47301</v>
      </c>
      <c r="O393" s="519"/>
      <c r="P393" s="519"/>
      <c r="Q393" s="382"/>
      <c r="R393" s="521">
        <f>LOOKUP(ROUNDUP(IF((N393-$R$10)&lt;=0,1,(N393-$R$10))/365,0),'Profit Division'!$A$4:$A$30,'Profit Division'!$C$4:$C$30)</f>
        <v>1.1403848734836686E-4</v>
      </c>
      <c r="S393" s="521"/>
      <c r="T393" s="521"/>
      <c r="U393" s="380"/>
      <c r="V393" s="522">
        <f ca="1">R393*LOOKUP(N393,'reserve calculation'!B:B,'reserve calculation'!D:D)</f>
        <v>51799.058199101921</v>
      </c>
      <c r="W393" s="522"/>
      <c r="X393" s="522"/>
      <c r="Y393" s="382"/>
    </row>
    <row r="394" spans="9:25" ht="12.75" customHeight="1">
      <c r="I394" s="382"/>
      <c r="J394" s="519"/>
      <c r="K394" s="519"/>
      <c r="L394" s="519"/>
      <c r="M394" s="380"/>
      <c r="N394" s="519"/>
      <c r="O394" s="519"/>
      <c r="P394" s="519"/>
      <c r="Q394" s="382"/>
      <c r="R394" s="521"/>
      <c r="S394" s="521"/>
      <c r="T394" s="521"/>
      <c r="U394" s="380"/>
      <c r="V394" s="522"/>
      <c r="W394" s="522"/>
      <c r="X394" s="522"/>
      <c r="Y394" s="382"/>
    </row>
    <row r="395" spans="9:25" ht="12.75" customHeight="1">
      <c r="I395" s="382"/>
      <c r="J395" s="519">
        <f t="shared" si="350"/>
        <v>184</v>
      </c>
      <c r="K395" s="519"/>
      <c r="L395" s="519"/>
      <c r="M395" s="380"/>
      <c r="N395" s="520">
        <f t="shared" si="351"/>
        <v>47302</v>
      </c>
      <c r="O395" s="519"/>
      <c r="P395" s="519"/>
      <c r="Q395" s="382"/>
      <c r="R395" s="521">
        <f>LOOKUP(ROUNDUP(IF((N395-$R$10)&lt;=0,1,(N395-$R$10))/365,0),'Profit Division'!$A$4:$A$30,'Profit Division'!$C$4:$C$30)</f>
        <v>1.1403848734836686E-4</v>
      </c>
      <c r="S395" s="521"/>
      <c r="T395" s="521"/>
      <c r="U395" s="380"/>
      <c r="V395" s="522">
        <f ca="1">R395*LOOKUP(N395,'reserve calculation'!B:B,'reserve calculation'!D:D)</f>
        <v>51818.896344875982</v>
      </c>
      <c r="W395" s="522"/>
      <c r="X395" s="522"/>
      <c r="Y395" s="382"/>
    </row>
    <row r="396" spans="9:25" ht="12.75" customHeight="1">
      <c r="I396" s="382"/>
      <c r="J396" s="519"/>
      <c r="K396" s="519"/>
      <c r="L396" s="519"/>
      <c r="M396" s="380"/>
      <c r="N396" s="519"/>
      <c r="O396" s="519"/>
      <c r="P396" s="519"/>
      <c r="Q396" s="382"/>
      <c r="R396" s="521"/>
      <c r="S396" s="521"/>
      <c r="T396" s="521"/>
      <c r="U396" s="380"/>
      <c r="V396" s="522"/>
      <c r="W396" s="522"/>
      <c r="X396" s="522"/>
      <c r="Y396" s="382"/>
    </row>
    <row r="397" spans="9:25" ht="12.75" customHeight="1">
      <c r="I397" s="382"/>
      <c r="J397" s="519">
        <f t="shared" si="350"/>
        <v>185</v>
      </c>
      <c r="K397" s="519"/>
      <c r="L397" s="519"/>
      <c r="M397" s="380"/>
      <c r="N397" s="520">
        <f t="shared" si="351"/>
        <v>47303</v>
      </c>
      <c r="O397" s="519"/>
      <c r="P397" s="519"/>
      <c r="Q397" s="382"/>
      <c r="R397" s="521">
        <f>LOOKUP(ROUNDUP(IF((N397-$R$10)&lt;=0,1,(N397-$R$10))/365,0),'Profit Division'!$A$4:$A$30,'Profit Division'!$C$4:$C$30)</f>
        <v>1.1403848734836686E-4</v>
      </c>
      <c r="S397" s="521"/>
      <c r="T397" s="521"/>
      <c r="U397" s="380"/>
      <c r="V397" s="522">
        <f ca="1">R397*LOOKUP(N397,'reserve calculation'!B:B,'reserve calculation'!D:D)</f>
        <v>51838.742088317675</v>
      </c>
      <c r="W397" s="522"/>
      <c r="X397" s="522"/>
      <c r="Y397" s="382"/>
    </row>
    <row r="398" spans="9:25" ht="12.75" customHeight="1">
      <c r="I398" s="382"/>
      <c r="J398" s="519"/>
      <c r="K398" s="519"/>
      <c r="L398" s="519"/>
      <c r="M398" s="380"/>
      <c r="N398" s="519"/>
      <c r="O398" s="519"/>
      <c r="P398" s="519"/>
      <c r="Q398" s="382"/>
      <c r="R398" s="521"/>
      <c r="S398" s="521"/>
      <c r="T398" s="521"/>
      <c r="U398" s="380"/>
      <c r="V398" s="522"/>
      <c r="W398" s="522"/>
      <c r="X398" s="522"/>
      <c r="Y398" s="382"/>
    </row>
    <row r="399" spans="9:25" ht="12.75" customHeight="1">
      <c r="I399" s="382"/>
      <c r="J399" s="519">
        <f t="shared" si="350"/>
        <v>186</v>
      </c>
      <c r="K399" s="519"/>
      <c r="L399" s="519"/>
      <c r="M399" s="380"/>
      <c r="N399" s="520">
        <f t="shared" si="351"/>
        <v>47304</v>
      </c>
      <c r="O399" s="519"/>
      <c r="P399" s="519"/>
      <c r="Q399" s="382"/>
      <c r="R399" s="521">
        <f>LOOKUP(ROUNDUP(IF((N399-$R$10)&lt;=0,1,(N399-$R$10))/365,0),'Profit Division'!$A$4:$A$30,'Profit Division'!$C$4:$C$30)</f>
        <v>1.1403848734836686E-4</v>
      </c>
      <c r="S399" s="521"/>
      <c r="T399" s="521"/>
      <c r="U399" s="380"/>
      <c r="V399" s="522">
        <f ca="1">R399*LOOKUP(N399,'reserve calculation'!B:B,'reserve calculation'!D:D)</f>
        <v>51858.59543233677</v>
      </c>
      <c r="W399" s="522"/>
      <c r="X399" s="522"/>
      <c r="Y399" s="382"/>
    </row>
    <row r="400" spans="9:25" ht="12.75" customHeight="1">
      <c r="I400" s="382"/>
      <c r="J400" s="519"/>
      <c r="K400" s="519"/>
      <c r="L400" s="519"/>
      <c r="M400" s="380"/>
      <c r="N400" s="519"/>
      <c r="O400" s="519"/>
      <c r="P400" s="519"/>
      <c r="Q400" s="382"/>
      <c r="R400" s="521"/>
      <c r="S400" s="521"/>
      <c r="T400" s="521"/>
      <c r="U400" s="380"/>
      <c r="V400" s="522"/>
      <c r="W400" s="522"/>
      <c r="X400" s="522"/>
      <c r="Y400" s="382"/>
    </row>
    <row r="401" spans="9:25" ht="12.75" customHeight="1">
      <c r="I401" s="382"/>
      <c r="J401" s="519">
        <f t="shared" si="350"/>
        <v>187</v>
      </c>
      <c r="K401" s="519"/>
      <c r="L401" s="519"/>
      <c r="M401" s="380"/>
      <c r="N401" s="520">
        <f t="shared" si="351"/>
        <v>47305</v>
      </c>
      <c r="O401" s="519"/>
      <c r="P401" s="519"/>
      <c r="Q401" s="382"/>
      <c r="R401" s="521">
        <f>LOOKUP(ROUNDUP(IF((N401-$R$10)&lt;=0,1,(N401-$R$10))/365,0),'Profit Division'!$A$4:$A$30,'Profit Division'!$C$4:$C$30)</f>
        <v>1.1403848734836686E-4</v>
      </c>
      <c r="S401" s="521"/>
      <c r="T401" s="521"/>
      <c r="U401" s="380"/>
      <c r="V401" s="522">
        <f ca="1">R401*LOOKUP(N401,'reserve calculation'!B:B,'reserve calculation'!D:D)</f>
        <v>51878.456379844167</v>
      </c>
      <c r="W401" s="522"/>
      <c r="X401" s="522"/>
      <c r="Y401" s="382"/>
    </row>
    <row r="402" spans="9:25" ht="12.75" customHeight="1">
      <c r="I402" s="382"/>
      <c r="J402" s="519"/>
      <c r="K402" s="519"/>
      <c r="L402" s="519"/>
      <c r="M402" s="380"/>
      <c r="N402" s="519"/>
      <c r="O402" s="519"/>
      <c r="P402" s="519"/>
      <c r="Q402" s="382"/>
      <c r="R402" s="521"/>
      <c r="S402" s="521"/>
      <c r="T402" s="521"/>
      <c r="U402" s="380"/>
      <c r="V402" s="522"/>
      <c r="W402" s="522"/>
      <c r="X402" s="522"/>
      <c r="Y402" s="382"/>
    </row>
    <row r="403" spans="9:25" ht="12.75" customHeight="1">
      <c r="I403" s="382"/>
      <c r="J403" s="519">
        <f t="shared" si="350"/>
        <v>188</v>
      </c>
      <c r="K403" s="519"/>
      <c r="L403" s="519"/>
      <c r="M403" s="380"/>
      <c r="N403" s="520">
        <f t="shared" si="351"/>
        <v>47306</v>
      </c>
      <c r="O403" s="519"/>
      <c r="P403" s="519"/>
      <c r="Q403" s="382"/>
      <c r="R403" s="521">
        <f>LOOKUP(ROUNDUP(IF((N403-$R$10)&lt;=0,1,(N403-$R$10))/365,0),'Profit Division'!$A$4:$A$30,'Profit Division'!$C$4:$C$30)</f>
        <v>1.1403848734836686E-4</v>
      </c>
      <c r="S403" s="521"/>
      <c r="T403" s="521"/>
      <c r="U403" s="380"/>
      <c r="V403" s="522">
        <f ca="1">R403*LOOKUP(N403,'reserve calculation'!B:B,'reserve calculation'!D:D)</f>
        <v>51898.324933751857</v>
      </c>
      <c r="W403" s="522"/>
      <c r="X403" s="522"/>
      <c r="Y403" s="382"/>
    </row>
    <row r="404" spans="9:25" ht="12.75" customHeight="1">
      <c r="I404" s="382"/>
      <c r="J404" s="519"/>
      <c r="K404" s="519"/>
      <c r="L404" s="519"/>
      <c r="M404" s="380"/>
      <c r="N404" s="519"/>
      <c r="O404" s="519"/>
      <c r="P404" s="519"/>
      <c r="Q404" s="382"/>
      <c r="R404" s="521"/>
      <c r="S404" s="521"/>
      <c r="T404" s="521"/>
      <c r="U404" s="380"/>
      <c r="V404" s="522"/>
      <c r="W404" s="522"/>
      <c r="X404" s="522"/>
      <c r="Y404" s="382"/>
    </row>
    <row r="405" spans="9:25" ht="12.75" customHeight="1">
      <c r="I405" s="382"/>
      <c r="J405" s="519">
        <f t="shared" si="350"/>
        <v>189</v>
      </c>
      <c r="K405" s="519"/>
      <c r="L405" s="519"/>
      <c r="M405" s="380"/>
      <c r="N405" s="520">
        <f t="shared" si="351"/>
        <v>47307</v>
      </c>
      <c r="O405" s="519"/>
      <c r="P405" s="519"/>
      <c r="Q405" s="382"/>
      <c r="R405" s="521">
        <f>LOOKUP(ROUNDUP(IF((N405-$R$10)&lt;=0,1,(N405-$R$10))/365,0),'Profit Division'!$A$4:$A$30,'Profit Division'!$C$4:$C$30)</f>
        <v>1.1403848734836686E-4</v>
      </c>
      <c r="S405" s="521"/>
      <c r="T405" s="521"/>
      <c r="U405" s="380"/>
      <c r="V405" s="522">
        <f ca="1">R405*LOOKUP(N405,'reserve calculation'!B:B,'reserve calculation'!D:D)</f>
        <v>51918.201096972974</v>
      </c>
      <c r="W405" s="522"/>
      <c r="X405" s="522"/>
      <c r="Y405" s="382"/>
    </row>
    <row r="406" spans="9:25" ht="12.75" customHeight="1">
      <c r="I406" s="382"/>
      <c r="J406" s="519"/>
      <c r="K406" s="519"/>
      <c r="L406" s="519"/>
      <c r="M406" s="380"/>
      <c r="N406" s="519"/>
      <c r="O406" s="519"/>
      <c r="P406" s="519"/>
      <c r="Q406" s="382"/>
      <c r="R406" s="521"/>
      <c r="S406" s="521"/>
      <c r="T406" s="521"/>
      <c r="U406" s="380"/>
      <c r="V406" s="522"/>
      <c r="W406" s="522"/>
      <c r="X406" s="522"/>
      <c r="Y406" s="382"/>
    </row>
    <row r="407" spans="9:25" ht="12.75" customHeight="1">
      <c r="I407" s="382"/>
      <c r="J407" s="519">
        <f t="shared" si="350"/>
        <v>190</v>
      </c>
      <c r="K407" s="519"/>
      <c r="L407" s="519"/>
      <c r="M407" s="380"/>
      <c r="N407" s="520">
        <f t="shared" si="351"/>
        <v>47308</v>
      </c>
      <c r="O407" s="519"/>
      <c r="P407" s="519"/>
      <c r="Q407" s="382"/>
      <c r="R407" s="521">
        <f>LOOKUP(ROUNDUP(IF((N407-$R$10)&lt;=0,1,(N407-$R$10))/365,0),'Profit Division'!$A$4:$A$30,'Profit Division'!$C$4:$C$30)</f>
        <v>1.1403848734836686E-4</v>
      </c>
      <c r="S407" s="521"/>
      <c r="T407" s="521"/>
      <c r="U407" s="380"/>
      <c r="V407" s="522">
        <f ca="1">R407*LOOKUP(N407,'reserve calculation'!B:B,'reserve calculation'!D:D)</f>
        <v>51938.084872421743</v>
      </c>
      <c r="W407" s="522"/>
      <c r="X407" s="522"/>
      <c r="Y407" s="382"/>
    </row>
    <row r="408" spans="9:25" ht="12.75" customHeight="1">
      <c r="I408" s="382"/>
      <c r="J408" s="519"/>
      <c r="K408" s="519"/>
      <c r="L408" s="519"/>
      <c r="M408" s="380"/>
      <c r="N408" s="519"/>
      <c r="O408" s="519"/>
      <c r="P408" s="519"/>
      <c r="Q408" s="382"/>
      <c r="R408" s="521"/>
      <c r="S408" s="521"/>
      <c r="T408" s="521"/>
      <c r="U408" s="380"/>
      <c r="V408" s="522"/>
      <c r="W408" s="522"/>
      <c r="X408" s="522"/>
      <c r="Y408" s="382"/>
    </row>
    <row r="409" spans="9:25" ht="12.75" customHeight="1">
      <c r="I409" s="382"/>
      <c r="J409" s="519">
        <f t="shared" si="350"/>
        <v>191</v>
      </c>
      <c r="K409" s="519"/>
      <c r="L409" s="519"/>
      <c r="M409" s="380"/>
      <c r="N409" s="520">
        <f t="shared" si="351"/>
        <v>47309</v>
      </c>
      <c r="O409" s="519"/>
      <c r="P409" s="519"/>
      <c r="Q409" s="382"/>
      <c r="R409" s="521">
        <f>LOOKUP(ROUNDUP(IF((N409-$R$10)&lt;=0,1,(N409-$R$10))/365,0),'Profit Division'!$A$4:$A$30,'Profit Division'!$C$4:$C$30)</f>
        <v>1.1403848734836686E-4</v>
      </c>
      <c r="S409" s="521"/>
      <c r="T409" s="521"/>
      <c r="U409" s="380"/>
      <c r="V409" s="522">
        <f ca="1">R409*LOOKUP(N409,'reserve calculation'!B:B,'reserve calculation'!D:D)</f>
        <v>51957.976263013523</v>
      </c>
      <c r="W409" s="522"/>
      <c r="X409" s="522"/>
      <c r="Y409" s="382"/>
    </row>
    <row r="410" spans="9:25" ht="12.75" customHeight="1">
      <c r="I410" s="382"/>
      <c r="J410" s="519"/>
      <c r="K410" s="519"/>
      <c r="L410" s="519"/>
      <c r="M410" s="380"/>
      <c r="N410" s="519"/>
      <c r="O410" s="519"/>
      <c r="P410" s="519"/>
      <c r="Q410" s="382"/>
      <c r="R410" s="521"/>
      <c r="S410" s="521"/>
      <c r="T410" s="521"/>
      <c r="U410" s="380"/>
      <c r="V410" s="522"/>
      <c r="W410" s="522"/>
      <c r="X410" s="522"/>
      <c r="Y410" s="382"/>
    </row>
    <row r="411" spans="9:25" ht="12.75" customHeight="1">
      <c r="I411" s="382"/>
      <c r="J411" s="519">
        <f t="shared" si="350"/>
        <v>192</v>
      </c>
      <c r="K411" s="519"/>
      <c r="L411" s="519"/>
      <c r="M411" s="380"/>
      <c r="N411" s="520">
        <f t="shared" si="351"/>
        <v>47310</v>
      </c>
      <c r="O411" s="519"/>
      <c r="P411" s="519"/>
      <c r="Q411" s="382"/>
      <c r="R411" s="521">
        <f>LOOKUP(ROUNDUP(IF((N411-$R$10)&lt;=0,1,(N411-$R$10))/365,0),'Profit Division'!$A$4:$A$30,'Profit Division'!$C$4:$C$30)</f>
        <v>1.1403848734836686E-4</v>
      </c>
      <c r="S411" s="521"/>
      <c r="T411" s="521"/>
      <c r="U411" s="380"/>
      <c r="V411" s="522">
        <f ca="1">R411*LOOKUP(N411,'reserve calculation'!B:B,'reserve calculation'!D:D)</f>
        <v>51977.87527166478</v>
      </c>
      <c r="W411" s="522"/>
      <c r="X411" s="522"/>
      <c r="Y411" s="382"/>
    </row>
    <row r="412" spans="9:25" ht="12.75" customHeight="1">
      <c r="I412" s="382"/>
      <c r="J412" s="519"/>
      <c r="K412" s="519"/>
      <c r="L412" s="519"/>
      <c r="M412" s="380"/>
      <c r="N412" s="519"/>
      <c r="O412" s="519"/>
      <c r="P412" s="519"/>
      <c r="Q412" s="382"/>
      <c r="R412" s="521"/>
      <c r="S412" s="521"/>
      <c r="T412" s="521"/>
      <c r="U412" s="380"/>
      <c r="V412" s="522"/>
      <c r="W412" s="522"/>
      <c r="X412" s="522"/>
      <c r="Y412" s="382"/>
    </row>
    <row r="413" spans="9:25" ht="12.75" customHeight="1">
      <c r="I413" s="382"/>
      <c r="J413" s="519">
        <f t="shared" si="350"/>
        <v>193</v>
      </c>
      <c r="K413" s="519"/>
      <c r="L413" s="519"/>
      <c r="M413" s="380"/>
      <c r="N413" s="520">
        <f t="shared" si="351"/>
        <v>47311</v>
      </c>
      <c r="O413" s="519"/>
      <c r="P413" s="519"/>
      <c r="Q413" s="382"/>
      <c r="R413" s="521">
        <f>LOOKUP(ROUNDUP(IF((N413-$R$10)&lt;=0,1,(N413-$R$10))/365,0),'Profit Division'!$A$4:$A$30,'Profit Division'!$C$4:$C$30)</f>
        <v>1.1403848734836686E-4</v>
      </c>
      <c r="S413" s="521"/>
      <c r="T413" s="521"/>
      <c r="U413" s="380"/>
      <c r="V413" s="522">
        <f ca="1">R413*LOOKUP(N413,'reserve calculation'!B:B,'reserve calculation'!D:D)</f>
        <v>51997.7819012931</v>
      </c>
      <c r="W413" s="522"/>
      <c r="X413" s="522"/>
      <c r="Y413" s="382"/>
    </row>
    <row r="414" spans="9:25" ht="12.75" customHeight="1">
      <c r="I414" s="382"/>
      <c r="J414" s="519"/>
      <c r="K414" s="519"/>
      <c r="L414" s="519"/>
      <c r="M414" s="380"/>
      <c r="N414" s="519"/>
      <c r="O414" s="519"/>
      <c r="P414" s="519"/>
      <c r="Q414" s="382"/>
      <c r="R414" s="521"/>
      <c r="S414" s="521"/>
      <c r="T414" s="521"/>
      <c r="U414" s="380"/>
      <c r="V414" s="522"/>
      <c r="W414" s="522"/>
      <c r="X414" s="522"/>
      <c r="Y414" s="382"/>
    </row>
    <row r="415" spans="9:25" ht="12.75" customHeight="1">
      <c r="I415" s="382"/>
      <c r="J415" s="519">
        <f t="shared" si="350"/>
        <v>194</v>
      </c>
      <c r="K415" s="519"/>
      <c r="L415" s="519"/>
      <c r="M415" s="380"/>
      <c r="N415" s="520">
        <f t="shared" si="351"/>
        <v>47312</v>
      </c>
      <c r="O415" s="519"/>
      <c r="P415" s="519"/>
      <c r="Q415" s="382"/>
      <c r="R415" s="521">
        <f>LOOKUP(ROUNDUP(IF((N415-$R$10)&lt;=0,1,(N415-$R$10))/365,0),'Profit Division'!$A$4:$A$30,'Profit Division'!$C$4:$C$30)</f>
        <v>1.1403848734836686E-4</v>
      </c>
      <c r="S415" s="521"/>
      <c r="T415" s="521"/>
      <c r="U415" s="380"/>
      <c r="V415" s="522">
        <f ca="1">R415*LOOKUP(N415,'reserve calculation'!B:B,'reserve calculation'!D:D)</f>
        <v>52017.696154817182</v>
      </c>
      <c r="W415" s="522"/>
      <c r="X415" s="522"/>
      <c r="Y415" s="382"/>
    </row>
    <row r="416" spans="9:25" ht="12.75" customHeight="1">
      <c r="I416" s="382"/>
      <c r="J416" s="519"/>
      <c r="K416" s="519"/>
      <c r="L416" s="519"/>
      <c r="M416" s="380"/>
      <c r="N416" s="519"/>
      <c r="O416" s="519"/>
      <c r="P416" s="519"/>
      <c r="Q416" s="382"/>
      <c r="R416" s="521"/>
      <c r="S416" s="521"/>
      <c r="T416" s="521"/>
      <c r="U416" s="380"/>
      <c r="V416" s="522"/>
      <c r="W416" s="522"/>
      <c r="X416" s="522"/>
      <c r="Y416" s="382"/>
    </row>
    <row r="417" spans="9:25" ht="12.75" customHeight="1">
      <c r="I417" s="382"/>
      <c r="J417" s="519">
        <f t="shared" si="350"/>
        <v>195</v>
      </c>
      <c r="K417" s="519"/>
      <c r="L417" s="519"/>
      <c r="M417" s="380"/>
      <c r="N417" s="520">
        <f t="shared" si="351"/>
        <v>47313</v>
      </c>
      <c r="O417" s="519"/>
      <c r="P417" s="519"/>
      <c r="Q417" s="382"/>
      <c r="R417" s="521">
        <f>LOOKUP(ROUNDUP(IF((N417-$R$10)&lt;=0,1,(N417-$R$10))/365,0),'Profit Division'!$A$4:$A$30,'Profit Division'!$C$4:$C$30)</f>
        <v>1.1403848734836686E-4</v>
      </c>
      <c r="S417" s="521"/>
      <c r="T417" s="521"/>
      <c r="U417" s="380"/>
      <c r="V417" s="522">
        <f ca="1">R417*LOOKUP(N417,'reserve calculation'!B:B,'reserve calculation'!D:D)</f>
        <v>52037.618035156847</v>
      </c>
      <c r="W417" s="522"/>
      <c r="X417" s="522"/>
      <c r="Y417" s="382"/>
    </row>
    <row r="418" spans="9:25" ht="12.75" customHeight="1">
      <c r="I418" s="382"/>
      <c r="J418" s="519"/>
      <c r="K418" s="519"/>
      <c r="L418" s="519"/>
      <c r="M418" s="380"/>
      <c r="N418" s="519"/>
      <c r="O418" s="519"/>
      <c r="P418" s="519"/>
      <c r="Q418" s="382"/>
      <c r="R418" s="521"/>
      <c r="S418" s="521"/>
      <c r="T418" s="521"/>
      <c r="U418" s="380"/>
      <c r="V418" s="522"/>
      <c r="W418" s="522"/>
      <c r="X418" s="522"/>
      <c r="Y418" s="382"/>
    </row>
    <row r="419" spans="9:25" ht="12.75" customHeight="1">
      <c r="I419" s="382"/>
      <c r="J419" s="519">
        <f t="shared" si="350"/>
        <v>196</v>
      </c>
      <c r="K419" s="519"/>
      <c r="L419" s="519"/>
      <c r="M419" s="380"/>
      <c r="N419" s="520">
        <f t="shared" si="351"/>
        <v>47314</v>
      </c>
      <c r="O419" s="519"/>
      <c r="P419" s="519"/>
      <c r="Q419" s="382"/>
      <c r="R419" s="521">
        <f>LOOKUP(ROUNDUP(IF((N419-$R$10)&lt;=0,1,(N419-$R$10))/365,0),'Profit Division'!$A$4:$A$30,'Profit Division'!$C$4:$C$30)</f>
        <v>1.1403848734836686E-4</v>
      </c>
      <c r="S419" s="521"/>
      <c r="T419" s="521"/>
      <c r="U419" s="380"/>
      <c r="V419" s="522">
        <f ca="1">R419*LOOKUP(N419,'reserve calculation'!B:B,'reserve calculation'!D:D)</f>
        <v>52057.547545233043</v>
      </c>
      <c r="W419" s="522"/>
      <c r="X419" s="522"/>
      <c r="Y419" s="382"/>
    </row>
    <row r="420" spans="9:25" ht="12.75" customHeight="1">
      <c r="I420" s="382"/>
      <c r="J420" s="519"/>
      <c r="K420" s="519"/>
      <c r="L420" s="519"/>
      <c r="M420" s="380"/>
      <c r="N420" s="519"/>
      <c r="O420" s="519"/>
      <c r="P420" s="519"/>
      <c r="Q420" s="382"/>
      <c r="R420" s="521"/>
      <c r="S420" s="521"/>
      <c r="T420" s="521"/>
      <c r="U420" s="380"/>
      <c r="V420" s="522"/>
      <c r="W420" s="522"/>
      <c r="X420" s="522"/>
      <c r="Y420" s="382"/>
    </row>
    <row r="421" spans="9:25" ht="12.75" customHeight="1">
      <c r="I421" s="382"/>
      <c r="J421" s="519">
        <f t="shared" si="350"/>
        <v>197</v>
      </c>
      <c r="K421" s="519"/>
      <c r="L421" s="519"/>
      <c r="M421" s="380"/>
      <c r="N421" s="520">
        <f t="shared" si="351"/>
        <v>47315</v>
      </c>
      <c r="O421" s="519"/>
      <c r="P421" s="519"/>
      <c r="Q421" s="382"/>
      <c r="R421" s="521">
        <f>LOOKUP(ROUNDUP(IF((N421-$R$10)&lt;=0,1,(N421-$R$10))/365,0),'Profit Division'!$A$4:$A$30,'Profit Division'!$C$4:$C$30)</f>
        <v>1.1403848734836686E-4</v>
      </c>
      <c r="S421" s="521"/>
      <c r="T421" s="521"/>
      <c r="U421" s="380"/>
      <c r="V421" s="522">
        <f ca="1">R421*LOOKUP(N421,'reserve calculation'!B:B,'reserve calculation'!D:D)</f>
        <v>52077.484687967815</v>
      </c>
      <c r="W421" s="522"/>
      <c r="X421" s="522"/>
      <c r="Y421" s="382"/>
    </row>
    <row r="422" spans="9:25" ht="12.75" customHeight="1">
      <c r="I422" s="382"/>
      <c r="J422" s="519"/>
      <c r="K422" s="519"/>
      <c r="L422" s="519"/>
      <c r="M422" s="380"/>
      <c r="N422" s="519"/>
      <c r="O422" s="519"/>
      <c r="P422" s="519"/>
      <c r="Q422" s="382"/>
      <c r="R422" s="521"/>
      <c r="S422" s="521"/>
      <c r="T422" s="521"/>
      <c r="U422" s="380"/>
      <c r="V422" s="522"/>
      <c r="W422" s="522"/>
      <c r="X422" s="522"/>
      <c r="Y422" s="382"/>
    </row>
    <row r="423" spans="9:25" ht="12.75" customHeight="1">
      <c r="I423" s="382"/>
      <c r="J423" s="519">
        <f t="shared" si="350"/>
        <v>198</v>
      </c>
      <c r="K423" s="519"/>
      <c r="L423" s="519"/>
      <c r="M423" s="380"/>
      <c r="N423" s="520">
        <f t="shared" si="351"/>
        <v>47316</v>
      </c>
      <c r="O423" s="519"/>
      <c r="P423" s="519"/>
      <c r="Q423" s="382"/>
      <c r="R423" s="521">
        <f>LOOKUP(ROUNDUP(IF((N423-$R$10)&lt;=0,1,(N423-$R$10))/365,0),'Profit Division'!$A$4:$A$30,'Profit Division'!$C$4:$C$30)</f>
        <v>1.1403848734836686E-4</v>
      </c>
      <c r="S423" s="521"/>
      <c r="T423" s="521"/>
      <c r="U423" s="380"/>
      <c r="V423" s="522">
        <f ca="1">R423*LOOKUP(N423,'reserve calculation'!B:B,'reserve calculation'!D:D)</f>
        <v>52097.429466284353</v>
      </c>
      <c r="W423" s="522"/>
      <c r="X423" s="522"/>
      <c r="Y423" s="382"/>
    </row>
    <row r="424" spans="9:25" ht="12.75" customHeight="1">
      <c r="I424" s="382"/>
      <c r="J424" s="519"/>
      <c r="K424" s="519"/>
      <c r="L424" s="519"/>
      <c r="M424" s="380"/>
      <c r="N424" s="519"/>
      <c r="O424" s="519"/>
      <c r="P424" s="519"/>
      <c r="Q424" s="382"/>
      <c r="R424" s="521"/>
      <c r="S424" s="521"/>
      <c r="T424" s="521"/>
      <c r="U424" s="380"/>
      <c r="V424" s="522"/>
      <c r="W424" s="522"/>
      <c r="X424" s="522"/>
      <c r="Y424" s="382"/>
    </row>
    <row r="425" spans="9:25" ht="12.75" customHeight="1">
      <c r="I425" s="382"/>
      <c r="J425" s="519">
        <f t="shared" si="350"/>
        <v>199</v>
      </c>
      <c r="K425" s="519"/>
      <c r="L425" s="519"/>
      <c r="M425" s="380"/>
      <c r="N425" s="520">
        <f t="shared" si="351"/>
        <v>47317</v>
      </c>
      <c r="O425" s="519"/>
      <c r="P425" s="519"/>
      <c r="Q425" s="382"/>
      <c r="R425" s="521">
        <f>LOOKUP(ROUNDUP(IF((N425-$R$10)&lt;=0,1,(N425-$R$10))/365,0),'Profit Division'!$A$4:$A$30,'Profit Division'!$C$4:$C$30)</f>
        <v>1.1403848734836686E-4</v>
      </c>
      <c r="S425" s="521"/>
      <c r="T425" s="521"/>
      <c r="U425" s="380"/>
      <c r="V425" s="522">
        <f ca="1">R425*LOOKUP(N425,'reserve calculation'!B:B,'reserve calculation'!D:D)</f>
        <v>52117.381883106937</v>
      </c>
      <c r="W425" s="522"/>
      <c r="X425" s="522"/>
      <c r="Y425" s="382"/>
    </row>
    <row r="426" spans="9:25" ht="12.75" customHeight="1">
      <c r="I426" s="382"/>
      <c r="J426" s="519"/>
      <c r="K426" s="519"/>
      <c r="L426" s="519"/>
      <c r="M426" s="380"/>
      <c r="N426" s="519"/>
      <c r="O426" s="519"/>
      <c r="P426" s="519"/>
      <c r="Q426" s="382"/>
      <c r="R426" s="521"/>
      <c r="S426" s="521"/>
      <c r="T426" s="521"/>
      <c r="U426" s="380"/>
      <c r="V426" s="522"/>
      <c r="W426" s="522"/>
      <c r="X426" s="522"/>
      <c r="Y426" s="382"/>
    </row>
    <row r="427" spans="9:25" ht="12.75" customHeight="1">
      <c r="I427" s="382"/>
      <c r="J427" s="519">
        <f t="shared" si="350"/>
        <v>200</v>
      </c>
      <c r="K427" s="519"/>
      <c r="L427" s="519"/>
      <c r="M427" s="380"/>
      <c r="N427" s="520">
        <f t="shared" si="351"/>
        <v>47318</v>
      </c>
      <c r="O427" s="519"/>
      <c r="P427" s="519"/>
      <c r="Q427" s="382"/>
      <c r="R427" s="521">
        <f>LOOKUP(ROUNDUP(IF((N427-$R$10)&lt;=0,1,(N427-$R$10))/365,0),'Profit Division'!$A$4:$A$30,'Profit Division'!$C$4:$C$30)</f>
        <v>1.1403848734836686E-4</v>
      </c>
      <c r="S427" s="521"/>
      <c r="T427" s="521"/>
      <c r="U427" s="380"/>
      <c r="V427" s="522">
        <f ca="1">R427*LOOKUP(N427,'reserve calculation'!B:B,'reserve calculation'!D:D)</f>
        <v>52137.341941360995</v>
      </c>
      <c r="W427" s="522"/>
      <c r="X427" s="522"/>
      <c r="Y427" s="382"/>
    </row>
    <row r="428" spans="9:25" ht="12.75" customHeight="1">
      <c r="I428" s="382"/>
      <c r="J428" s="519"/>
      <c r="K428" s="519"/>
      <c r="L428" s="519"/>
      <c r="M428" s="380"/>
      <c r="N428" s="519"/>
      <c r="O428" s="519"/>
      <c r="P428" s="519"/>
      <c r="Q428" s="382"/>
      <c r="R428" s="521"/>
      <c r="S428" s="521"/>
      <c r="T428" s="521"/>
      <c r="U428" s="380"/>
      <c r="V428" s="522"/>
      <c r="W428" s="522"/>
      <c r="X428" s="522"/>
      <c r="Y428" s="382"/>
    </row>
    <row r="429" spans="9:25" ht="12.75" customHeight="1">
      <c r="I429" s="382"/>
      <c r="J429" s="519">
        <f t="shared" si="350"/>
        <v>201</v>
      </c>
      <c r="K429" s="519"/>
      <c r="L429" s="519"/>
      <c r="M429" s="380"/>
      <c r="N429" s="520">
        <f t="shared" si="351"/>
        <v>47319</v>
      </c>
      <c r="O429" s="519"/>
      <c r="P429" s="519"/>
      <c r="Q429" s="382"/>
      <c r="R429" s="521">
        <f>LOOKUP(ROUNDUP(IF((N429-$R$10)&lt;=0,1,(N429-$R$10))/365,0),'Profit Division'!$A$4:$A$30,'Profit Division'!$C$4:$C$30)</f>
        <v>1.1403848734836686E-4</v>
      </c>
      <c r="S429" s="521"/>
      <c r="T429" s="521"/>
      <c r="U429" s="380"/>
      <c r="V429" s="522">
        <f ca="1">R429*LOOKUP(N429,'reserve calculation'!B:B,'reserve calculation'!D:D)</f>
        <v>52157.309643973065</v>
      </c>
      <c r="W429" s="522"/>
      <c r="X429" s="522"/>
      <c r="Y429" s="382"/>
    </row>
    <row r="430" spans="9:25" ht="12.75" customHeight="1">
      <c r="I430" s="382"/>
      <c r="J430" s="519"/>
      <c r="K430" s="519"/>
      <c r="L430" s="519"/>
      <c r="M430" s="380"/>
      <c r="N430" s="519"/>
      <c r="O430" s="519"/>
      <c r="P430" s="519"/>
      <c r="Q430" s="382"/>
      <c r="R430" s="521"/>
      <c r="S430" s="521"/>
      <c r="T430" s="521"/>
      <c r="U430" s="380"/>
      <c r="V430" s="522"/>
      <c r="W430" s="522"/>
      <c r="X430" s="522"/>
      <c r="Y430" s="382"/>
    </row>
    <row r="431" spans="9:25" ht="12.75" customHeight="1">
      <c r="I431" s="382"/>
      <c r="J431" s="519">
        <f t="shared" si="350"/>
        <v>202</v>
      </c>
      <c r="K431" s="519"/>
      <c r="L431" s="519"/>
      <c r="M431" s="380"/>
      <c r="N431" s="520">
        <f t="shared" si="351"/>
        <v>47320</v>
      </c>
      <c r="O431" s="519"/>
      <c r="P431" s="519"/>
      <c r="Q431" s="382"/>
      <c r="R431" s="521">
        <f>LOOKUP(ROUNDUP(IF((N431-$R$10)&lt;=0,1,(N431-$R$10))/365,0),'Profit Division'!$A$4:$A$30,'Profit Division'!$C$4:$C$30)</f>
        <v>1.1403848734836686E-4</v>
      </c>
      <c r="S431" s="521"/>
      <c r="T431" s="521"/>
      <c r="U431" s="380"/>
      <c r="V431" s="522">
        <f ca="1">R431*LOOKUP(N431,'reserve calculation'!B:B,'reserve calculation'!D:D)</f>
        <v>52177.284993870795</v>
      </c>
      <c r="W431" s="522"/>
      <c r="X431" s="522"/>
      <c r="Y431" s="382"/>
    </row>
    <row r="432" spans="9:25" ht="12.75" customHeight="1">
      <c r="I432" s="382"/>
      <c r="J432" s="519"/>
      <c r="K432" s="519"/>
      <c r="L432" s="519"/>
      <c r="M432" s="380"/>
      <c r="N432" s="519"/>
      <c r="O432" s="519"/>
      <c r="P432" s="519"/>
      <c r="Q432" s="382"/>
      <c r="R432" s="521"/>
      <c r="S432" s="521"/>
      <c r="T432" s="521"/>
      <c r="U432" s="380"/>
      <c r="V432" s="522"/>
      <c r="W432" s="522"/>
      <c r="X432" s="522"/>
      <c r="Y432" s="382"/>
    </row>
    <row r="433" spans="9:25" ht="12.75" customHeight="1">
      <c r="I433" s="382"/>
      <c r="J433" s="519">
        <f t="shared" si="350"/>
        <v>203</v>
      </c>
      <c r="K433" s="519"/>
      <c r="L433" s="519"/>
      <c r="M433" s="380"/>
      <c r="N433" s="520">
        <f t="shared" si="351"/>
        <v>47321</v>
      </c>
      <c r="O433" s="519"/>
      <c r="P433" s="519"/>
      <c r="Q433" s="382"/>
      <c r="R433" s="521">
        <f>LOOKUP(ROUNDUP(IF((N433-$R$10)&lt;=0,1,(N433-$R$10))/365,0),'Profit Division'!$A$4:$A$30,'Profit Division'!$C$4:$C$30)</f>
        <v>1.1403848734836686E-4</v>
      </c>
      <c r="S433" s="521"/>
      <c r="T433" s="521"/>
      <c r="U433" s="380"/>
      <c r="V433" s="522">
        <f ca="1">R433*LOOKUP(N433,'reserve calculation'!B:B,'reserve calculation'!D:D)</f>
        <v>52197.267993982976</v>
      </c>
      <c r="W433" s="522"/>
      <c r="X433" s="522"/>
      <c r="Y433" s="382"/>
    </row>
    <row r="434" spans="9:25" ht="12.75" customHeight="1">
      <c r="I434" s="382"/>
      <c r="J434" s="519"/>
      <c r="K434" s="519"/>
      <c r="L434" s="519"/>
      <c r="M434" s="380"/>
      <c r="N434" s="519"/>
      <c r="O434" s="519"/>
      <c r="P434" s="519"/>
      <c r="Q434" s="382"/>
      <c r="R434" s="521"/>
      <c r="S434" s="521"/>
      <c r="T434" s="521"/>
      <c r="U434" s="380"/>
      <c r="V434" s="522"/>
      <c r="W434" s="522"/>
      <c r="X434" s="522"/>
      <c r="Y434" s="382"/>
    </row>
    <row r="435" spans="9:25" ht="12.75" customHeight="1">
      <c r="I435" s="382"/>
      <c r="J435" s="519">
        <f t="shared" si="350"/>
        <v>204</v>
      </c>
      <c r="K435" s="519"/>
      <c r="L435" s="519"/>
      <c r="M435" s="380"/>
      <c r="N435" s="520">
        <f t="shared" si="351"/>
        <v>47322</v>
      </c>
      <c r="O435" s="519"/>
      <c r="P435" s="519"/>
      <c r="Q435" s="382"/>
      <c r="R435" s="521">
        <f>LOOKUP(ROUNDUP(IF((N435-$R$10)&lt;=0,1,(N435-$R$10))/365,0),'Profit Division'!$A$4:$A$30,'Profit Division'!$C$4:$C$30)</f>
        <v>1.1403848734836686E-4</v>
      </c>
      <c r="S435" s="521"/>
      <c r="T435" s="521"/>
      <c r="U435" s="380"/>
      <c r="V435" s="522">
        <f ca="1">R435*LOOKUP(N435,'reserve calculation'!B:B,'reserve calculation'!D:D)</f>
        <v>52217.258647239491</v>
      </c>
      <c r="W435" s="522"/>
      <c r="X435" s="522"/>
      <c r="Y435" s="382"/>
    </row>
    <row r="436" spans="9:25" ht="12.75" customHeight="1">
      <c r="I436" s="382"/>
      <c r="J436" s="519"/>
      <c r="K436" s="519"/>
      <c r="L436" s="519"/>
      <c r="M436" s="380"/>
      <c r="N436" s="519"/>
      <c r="O436" s="519"/>
      <c r="P436" s="519"/>
      <c r="Q436" s="382"/>
      <c r="R436" s="521"/>
      <c r="S436" s="521"/>
      <c r="T436" s="521"/>
      <c r="U436" s="380"/>
      <c r="V436" s="522"/>
      <c r="W436" s="522"/>
      <c r="X436" s="522"/>
      <c r="Y436" s="382"/>
    </row>
    <row r="437" spans="9:25" ht="12.75" customHeight="1">
      <c r="I437" s="382"/>
      <c r="J437" s="519">
        <f t="shared" si="350"/>
        <v>205</v>
      </c>
      <c r="K437" s="519"/>
      <c r="L437" s="519"/>
      <c r="M437" s="380"/>
      <c r="N437" s="520">
        <f t="shared" si="351"/>
        <v>47323</v>
      </c>
      <c r="O437" s="519"/>
      <c r="P437" s="519"/>
      <c r="Q437" s="382"/>
      <c r="R437" s="521">
        <f>LOOKUP(ROUNDUP(IF((N437-$R$10)&lt;=0,1,(N437-$R$10))/365,0),'Profit Division'!$A$4:$A$30,'Profit Division'!$C$4:$C$30)</f>
        <v>1.1403848734836686E-4</v>
      </c>
      <c r="S437" s="521"/>
      <c r="T437" s="521"/>
      <c r="U437" s="380"/>
      <c r="V437" s="522">
        <f ca="1">R437*LOOKUP(N437,'reserve calculation'!B:B,'reserve calculation'!D:D)</f>
        <v>52237.256956571371</v>
      </c>
      <c r="W437" s="522"/>
      <c r="X437" s="522"/>
      <c r="Y437" s="382"/>
    </row>
    <row r="438" spans="9:25" ht="12.75" customHeight="1">
      <c r="I438" s="382"/>
      <c r="J438" s="519"/>
      <c r="K438" s="519"/>
      <c r="L438" s="519"/>
      <c r="M438" s="380"/>
      <c r="N438" s="519"/>
      <c r="O438" s="519"/>
      <c r="P438" s="519"/>
      <c r="Q438" s="382"/>
      <c r="R438" s="521"/>
      <c r="S438" s="521"/>
      <c r="T438" s="521"/>
      <c r="U438" s="380"/>
      <c r="V438" s="522"/>
      <c r="W438" s="522"/>
      <c r="X438" s="522"/>
      <c r="Y438" s="382"/>
    </row>
    <row r="439" spans="9:25" ht="12.75" customHeight="1">
      <c r="I439" s="382"/>
      <c r="J439" s="519">
        <f t="shared" si="350"/>
        <v>206</v>
      </c>
      <c r="K439" s="519"/>
      <c r="L439" s="519"/>
      <c r="M439" s="380"/>
      <c r="N439" s="520">
        <f t="shared" si="351"/>
        <v>47324</v>
      </c>
      <c r="O439" s="519"/>
      <c r="P439" s="519"/>
      <c r="Q439" s="382"/>
      <c r="R439" s="521">
        <f>LOOKUP(ROUNDUP(IF((N439-$R$10)&lt;=0,1,(N439-$R$10))/365,0),'Profit Division'!$A$4:$A$30,'Profit Division'!$C$4:$C$30)</f>
        <v>1.1403848734836686E-4</v>
      </c>
      <c r="S439" s="521"/>
      <c r="T439" s="521"/>
      <c r="U439" s="380"/>
      <c r="V439" s="522">
        <f ca="1">R439*LOOKUP(N439,'reserve calculation'!B:B,'reserve calculation'!D:D)</f>
        <v>52257.262924910763</v>
      </c>
      <c r="W439" s="522"/>
      <c r="X439" s="522"/>
      <c r="Y439" s="382"/>
    </row>
    <row r="440" spans="9:25" ht="12.75" customHeight="1">
      <c r="I440" s="382"/>
      <c r="J440" s="519"/>
      <c r="K440" s="519"/>
      <c r="L440" s="519"/>
      <c r="M440" s="380"/>
      <c r="N440" s="519"/>
      <c r="O440" s="519"/>
      <c r="P440" s="519"/>
      <c r="Q440" s="382"/>
      <c r="R440" s="521"/>
      <c r="S440" s="521"/>
      <c r="T440" s="521"/>
      <c r="U440" s="380"/>
      <c r="V440" s="522"/>
      <c r="W440" s="522"/>
      <c r="X440" s="522"/>
      <c r="Y440" s="382"/>
    </row>
    <row r="441" spans="9:25" ht="12.75" customHeight="1">
      <c r="I441" s="382"/>
      <c r="J441" s="519">
        <f t="shared" si="350"/>
        <v>207</v>
      </c>
      <c r="K441" s="519"/>
      <c r="L441" s="519"/>
      <c r="M441" s="380"/>
      <c r="N441" s="520">
        <f t="shared" si="351"/>
        <v>47325</v>
      </c>
      <c r="O441" s="519"/>
      <c r="P441" s="519"/>
      <c r="Q441" s="382"/>
      <c r="R441" s="521">
        <f>LOOKUP(ROUNDUP(IF((N441-$R$10)&lt;=0,1,(N441-$R$10))/365,0),'Profit Division'!$A$4:$A$30,'Profit Division'!$C$4:$C$30)</f>
        <v>1.1403848734836686E-4</v>
      </c>
      <c r="S441" s="521"/>
      <c r="T441" s="521"/>
      <c r="U441" s="380"/>
      <c r="V441" s="522">
        <f ca="1">R441*LOOKUP(N441,'reserve calculation'!B:B,'reserve calculation'!D:D)</f>
        <v>52277.276555190932</v>
      </c>
      <c r="W441" s="522"/>
      <c r="X441" s="522"/>
      <c r="Y441" s="382"/>
    </row>
    <row r="442" spans="9:25" ht="12.75" customHeight="1">
      <c r="I442" s="382"/>
      <c r="J442" s="519"/>
      <c r="K442" s="519"/>
      <c r="L442" s="519"/>
      <c r="M442" s="380"/>
      <c r="N442" s="519"/>
      <c r="O442" s="519"/>
      <c r="P442" s="519"/>
      <c r="Q442" s="382"/>
      <c r="R442" s="521"/>
      <c r="S442" s="521"/>
      <c r="T442" s="521"/>
      <c r="U442" s="380"/>
      <c r="V442" s="522"/>
      <c r="W442" s="522"/>
      <c r="X442" s="522"/>
      <c r="Y442" s="382"/>
    </row>
    <row r="443" spans="9:25" ht="12.75" customHeight="1">
      <c r="I443" s="382"/>
      <c r="J443" s="519">
        <f t="shared" si="350"/>
        <v>208</v>
      </c>
      <c r="K443" s="519"/>
      <c r="L443" s="519"/>
      <c r="M443" s="380"/>
      <c r="N443" s="520">
        <f t="shared" si="351"/>
        <v>47326</v>
      </c>
      <c r="O443" s="519"/>
      <c r="P443" s="519"/>
      <c r="Q443" s="382"/>
      <c r="R443" s="521">
        <f>LOOKUP(ROUNDUP(IF((N443-$R$10)&lt;=0,1,(N443-$R$10))/365,0),'Profit Division'!$A$4:$A$30,'Profit Division'!$C$4:$C$30)</f>
        <v>1.1403848734836686E-4</v>
      </c>
      <c r="S443" s="521"/>
      <c r="T443" s="521"/>
      <c r="U443" s="380"/>
      <c r="V443" s="522">
        <f ca="1">R443*LOOKUP(N443,'reserve calculation'!B:B,'reserve calculation'!D:D)</f>
        <v>52297.297850346273</v>
      </c>
      <c r="W443" s="522"/>
      <c r="X443" s="522"/>
      <c r="Y443" s="382"/>
    </row>
    <row r="444" spans="9:25" ht="12.75" customHeight="1">
      <c r="I444" s="382"/>
      <c r="J444" s="519"/>
      <c r="K444" s="519"/>
      <c r="L444" s="519"/>
      <c r="M444" s="380"/>
      <c r="N444" s="519"/>
      <c r="O444" s="519"/>
      <c r="P444" s="519"/>
      <c r="Q444" s="382"/>
      <c r="R444" s="521"/>
      <c r="S444" s="521"/>
      <c r="T444" s="521"/>
      <c r="U444" s="380"/>
      <c r="V444" s="522"/>
      <c r="W444" s="522"/>
      <c r="X444" s="522"/>
      <c r="Y444" s="382"/>
    </row>
    <row r="445" spans="9:25" ht="12.75" customHeight="1">
      <c r="I445" s="382"/>
      <c r="J445" s="519">
        <f t="shared" si="350"/>
        <v>209</v>
      </c>
      <c r="K445" s="519"/>
      <c r="L445" s="519"/>
      <c r="M445" s="380"/>
      <c r="N445" s="520">
        <f t="shared" si="351"/>
        <v>47327</v>
      </c>
      <c r="O445" s="519"/>
      <c r="P445" s="519"/>
      <c r="Q445" s="382"/>
      <c r="R445" s="521">
        <f>LOOKUP(ROUNDUP(IF((N445-$R$10)&lt;=0,1,(N445-$R$10))/365,0),'Profit Division'!$A$4:$A$30,'Profit Division'!$C$4:$C$30)</f>
        <v>1.1403848734836686E-4</v>
      </c>
      <c r="S445" s="521"/>
      <c r="T445" s="521"/>
      <c r="U445" s="380"/>
      <c r="V445" s="522">
        <f ca="1">R445*LOOKUP(N445,'reserve calculation'!B:B,'reserve calculation'!D:D)</f>
        <v>52317.326813312298</v>
      </c>
      <c r="W445" s="522"/>
      <c r="X445" s="522"/>
      <c r="Y445" s="382"/>
    </row>
    <row r="446" spans="9:25" ht="12.75" customHeight="1">
      <c r="I446" s="382"/>
      <c r="J446" s="519"/>
      <c r="K446" s="519"/>
      <c r="L446" s="519"/>
      <c r="M446" s="380"/>
      <c r="N446" s="519"/>
      <c r="O446" s="519"/>
      <c r="P446" s="519"/>
      <c r="Q446" s="382"/>
      <c r="R446" s="521"/>
      <c r="S446" s="521"/>
      <c r="T446" s="521"/>
      <c r="U446" s="380"/>
      <c r="V446" s="522"/>
      <c r="W446" s="522"/>
      <c r="X446" s="522"/>
      <c r="Y446" s="382"/>
    </row>
    <row r="447" spans="9:25" ht="12.75" customHeight="1">
      <c r="I447" s="382"/>
      <c r="J447" s="519">
        <f t="shared" ref="J447:J509" si="352">J445+1</f>
        <v>210</v>
      </c>
      <c r="K447" s="519"/>
      <c r="L447" s="519"/>
      <c r="M447" s="380"/>
      <c r="N447" s="520">
        <f t="shared" ref="N447:N509" si="353">N445+1</f>
        <v>47328</v>
      </c>
      <c r="O447" s="519"/>
      <c r="P447" s="519"/>
      <c r="Q447" s="382"/>
      <c r="R447" s="521">
        <f>LOOKUP(ROUNDUP(IF((N447-$R$10)&lt;=0,1,(N447-$R$10))/365,0),'Profit Division'!$A$4:$A$30,'Profit Division'!$C$4:$C$30)</f>
        <v>1.1403848734836686E-4</v>
      </c>
      <c r="S447" s="521"/>
      <c r="T447" s="521"/>
      <c r="U447" s="380"/>
      <c r="V447" s="522">
        <f ca="1">R447*LOOKUP(N447,'reserve calculation'!B:B,'reserve calculation'!D:D)</f>
        <v>52337.363447025644</v>
      </c>
      <c r="W447" s="522"/>
      <c r="X447" s="522"/>
      <c r="Y447" s="382"/>
    </row>
    <row r="448" spans="9:25" ht="12.75" customHeight="1">
      <c r="I448" s="382"/>
      <c r="J448" s="519"/>
      <c r="K448" s="519"/>
      <c r="L448" s="519"/>
      <c r="M448" s="380"/>
      <c r="N448" s="519"/>
      <c r="O448" s="519"/>
      <c r="P448" s="519"/>
      <c r="Q448" s="382"/>
      <c r="R448" s="521"/>
      <c r="S448" s="521"/>
      <c r="T448" s="521"/>
      <c r="U448" s="380"/>
      <c r="V448" s="522"/>
      <c r="W448" s="522"/>
      <c r="X448" s="522"/>
      <c r="Y448" s="382"/>
    </row>
    <row r="449" spans="9:25" ht="12.75" customHeight="1">
      <c r="I449" s="382"/>
      <c r="J449" s="519">
        <f t="shared" si="352"/>
        <v>211</v>
      </c>
      <c r="K449" s="519"/>
      <c r="L449" s="519"/>
      <c r="M449" s="380"/>
      <c r="N449" s="520">
        <f t="shared" si="353"/>
        <v>47329</v>
      </c>
      <c r="O449" s="519"/>
      <c r="P449" s="519"/>
      <c r="Q449" s="382"/>
      <c r="R449" s="521">
        <f>LOOKUP(ROUNDUP(IF((N449-$R$10)&lt;=0,1,(N449-$R$10))/365,0),'Profit Division'!$A$4:$A$30,'Profit Division'!$C$4:$C$30)</f>
        <v>1.1403848734836686E-4</v>
      </c>
      <c r="S449" s="521"/>
      <c r="T449" s="521"/>
      <c r="U449" s="380"/>
      <c r="V449" s="522">
        <f ca="1">R449*LOOKUP(N449,'reserve calculation'!B:B,'reserve calculation'!D:D)</f>
        <v>52357.407754424072</v>
      </c>
      <c r="W449" s="522"/>
      <c r="X449" s="522"/>
      <c r="Y449" s="382"/>
    </row>
    <row r="450" spans="9:25" ht="12.75" customHeight="1">
      <c r="I450" s="382"/>
      <c r="J450" s="519"/>
      <c r="K450" s="519"/>
      <c r="L450" s="519"/>
      <c r="M450" s="380"/>
      <c r="N450" s="519"/>
      <c r="O450" s="519"/>
      <c r="P450" s="519"/>
      <c r="Q450" s="382"/>
      <c r="R450" s="521"/>
      <c r="S450" s="521"/>
      <c r="T450" s="521"/>
      <c r="U450" s="380"/>
      <c r="V450" s="522"/>
      <c r="W450" s="522"/>
      <c r="X450" s="522"/>
      <c r="Y450" s="382"/>
    </row>
    <row r="451" spans="9:25" ht="12.75" customHeight="1">
      <c r="I451" s="382"/>
      <c r="J451" s="519">
        <f t="shared" si="352"/>
        <v>212</v>
      </c>
      <c r="K451" s="519"/>
      <c r="L451" s="519"/>
      <c r="M451" s="380"/>
      <c r="N451" s="520">
        <f t="shared" si="353"/>
        <v>47330</v>
      </c>
      <c r="O451" s="519"/>
      <c r="P451" s="519"/>
      <c r="Q451" s="382"/>
      <c r="R451" s="521">
        <f>LOOKUP(ROUNDUP(IF((N451-$R$10)&lt;=0,1,(N451-$R$10))/365,0),'Profit Division'!$A$4:$A$30,'Profit Division'!$C$4:$C$30)</f>
        <v>1.1403848734836686E-4</v>
      </c>
      <c r="S451" s="521"/>
      <c r="T451" s="521"/>
      <c r="U451" s="380"/>
      <c r="V451" s="522">
        <f ca="1">R451*LOOKUP(N451,'reserve calculation'!B:B,'reserve calculation'!D:D)</f>
        <v>52377.45973844648</v>
      </c>
      <c r="W451" s="522"/>
      <c r="X451" s="522"/>
      <c r="Y451" s="382"/>
    </row>
    <row r="452" spans="9:25" ht="12.75" customHeight="1">
      <c r="I452" s="382"/>
      <c r="J452" s="519"/>
      <c r="K452" s="519"/>
      <c r="L452" s="519"/>
      <c r="M452" s="380"/>
      <c r="N452" s="519"/>
      <c r="O452" s="519"/>
      <c r="P452" s="519"/>
      <c r="Q452" s="382"/>
      <c r="R452" s="521"/>
      <c r="S452" s="521"/>
      <c r="T452" s="521"/>
      <c r="U452" s="380"/>
      <c r="V452" s="522"/>
      <c r="W452" s="522"/>
      <c r="X452" s="522"/>
      <c r="Y452" s="382"/>
    </row>
    <row r="453" spans="9:25" ht="12.75" customHeight="1">
      <c r="I453" s="382"/>
      <c r="J453" s="519">
        <f t="shared" si="352"/>
        <v>213</v>
      </c>
      <c r="K453" s="519"/>
      <c r="L453" s="519"/>
      <c r="M453" s="380"/>
      <c r="N453" s="520">
        <f t="shared" si="353"/>
        <v>47331</v>
      </c>
      <c r="O453" s="519"/>
      <c r="P453" s="519"/>
      <c r="Q453" s="382"/>
      <c r="R453" s="521">
        <f>LOOKUP(ROUNDUP(IF((N453-$R$10)&lt;=0,1,(N453-$R$10))/365,0),'Profit Division'!$A$4:$A$30,'Profit Division'!$C$4:$C$30)</f>
        <v>1.1403848734836686E-4</v>
      </c>
      <c r="S453" s="521"/>
      <c r="T453" s="521"/>
      <c r="U453" s="380"/>
      <c r="V453" s="522">
        <f ca="1">R453*LOOKUP(N453,'reserve calculation'!B:B,'reserve calculation'!D:D)</f>
        <v>52397.519402032878</v>
      </c>
      <c r="W453" s="522"/>
      <c r="X453" s="522"/>
      <c r="Y453" s="382"/>
    </row>
    <row r="454" spans="9:25" ht="12.75" customHeight="1">
      <c r="I454" s="382"/>
      <c r="J454" s="519"/>
      <c r="K454" s="519"/>
      <c r="L454" s="519"/>
      <c r="M454" s="380"/>
      <c r="N454" s="519"/>
      <c r="O454" s="519"/>
      <c r="P454" s="519"/>
      <c r="Q454" s="382"/>
      <c r="R454" s="521"/>
      <c r="S454" s="521"/>
      <c r="T454" s="521"/>
      <c r="U454" s="380"/>
      <c r="V454" s="522"/>
      <c r="W454" s="522"/>
      <c r="X454" s="522"/>
      <c r="Y454" s="382"/>
    </row>
    <row r="455" spans="9:25" ht="12.75" customHeight="1">
      <c r="I455" s="382"/>
      <c r="J455" s="519">
        <f t="shared" si="352"/>
        <v>214</v>
      </c>
      <c r="K455" s="519"/>
      <c r="L455" s="519"/>
      <c r="M455" s="380"/>
      <c r="N455" s="520">
        <f t="shared" si="353"/>
        <v>47332</v>
      </c>
      <c r="O455" s="519"/>
      <c r="P455" s="519"/>
      <c r="Q455" s="382"/>
      <c r="R455" s="521">
        <f>LOOKUP(ROUNDUP(IF((N455-$R$10)&lt;=0,1,(N455-$R$10))/365,0),'Profit Division'!$A$4:$A$30,'Profit Division'!$C$4:$C$30)</f>
        <v>1.1403848734836686E-4</v>
      </c>
      <c r="S455" s="521"/>
      <c r="T455" s="521"/>
      <c r="U455" s="380"/>
      <c r="V455" s="522">
        <f ca="1">R455*LOOKUP(N455,'reserve calculation'!B:B,'reserve calculation'!D:D)</f>
        <v>52417.586748124406</v>
      </c>
      <c r="W455" s="522"/>
      <c r="X455" s="522"/>
      <c r="Y455" s="382"/>
    </row>
    <row r="456" spans="9:25" ht="12.75" customHeight="1">
      <c r="I456" s="382"/>
      <c r="J456" s="519"/>
      <c r="K456" s="519"/>
      <c r="L456" s="519"/>
      <c r="M456" s="380"/>
      <c r="N456" s="519"/>
      <c r="O456" s="519"/>
      <c r="P456" s="519"/>
      <c r="Q456" s="382"/>
      <c r="R456" s="521"/>
      <c r="S456" s="521"/>
      <c r="T456" s="521"/>
      <c r="U456" s="380"/>
      <c r="V456" s="522"/>
      <c r="W456" s="522"/>
      <c r="X456" s="522"/>
      <c r="Y456" s="382"/>
    </row>
    <row r="457" spans="9:25" ht="12.75" customHeight="1">
      <c r="I457" s="382"/>
      <c r="J457" s="519">
        <f t="shared" si="352"/>
        <v>215</v>
      </c>
      <c r="K457" s="519"/>
      <c r="L457" s="519"/>
      <c r="M457" s="380"/>
      <c r="N457" s="520">
        <f t="shared" si="353"/>
        <v>47333</v>
      </c>
      <c r="O457" s="519"/>
      <c r="P457" s="519"/>
      <c r="Q457" s="382"/>
      <c r="R457" s="521">
        <f>LOOKUP(ROUNDUP(IF((N457-$R$10)&lt;=0,1,(N457-$R$10))/365,0),'Profit Division'!$A$4:$A$30,'Profit Division'!$C$4:$C$30)</f>
        <v>1.1403848734836686E-4</v>
      </c>
      <c r="S457" s="521"/>
      <c r="T457" s="521"/>
      <c r="U457" s="380"/>
      <c r="V457" s="522">
        <f ca="1">R457*LOOKUP(N457,'reserve calculation'!B:B,'reserve calculation'!D:D)</f>
        <v>52437.661779663344</v>
      </c>
      <c r="W457" s="522"/>
      <c r="X457" s="522"/>
      <c r="Y457" s="382"/>
    </row>
    <row r="458" spans="9:25" ht="12.75" customHeight="1">
      <c r="I458" s="382"/>
      <c r="J458" s="519"/>
      <c r="K458" s="519"/>
      <c r="L458" s="519"/>
      <c r="M458" s="380"/>
      <c r="N458" s="519"/>
      <c r="O458" s="519"/>
      <c r="P458" s="519"/>
      <c r="Q458" s="382"/>
      <c r="R458" s="521"/>
      <c r="S458" s="521"/>
      <c r="T458" s="521"/>
      <c r="U458" s="380"/>
      <c r="V458" s="522"/>
      <c r="W458" s="522"/>
      <c r="X458" s="522"/>
      <c r="Y458" s="382"/>
    </row>
    <row r="459" spans="9:25" ht="12.75" customHeight="1">
      <c r="I459" s="382"/>
      <c r="J459" s="519">
        <f t="shared" si="352"/>
        <v>216</v>
      </c>
      <c r="K459" s="519"/>
      <c r="L459" s="519"/>
      <c r="M459" s="380"/>
      <c r="N459" s="520">
        <f t="shared" si="353"/>
        <v>47334</v>
      </c>
      <c r="O459" s="519"/>
      <c r="P459" s="519"/>
      <c r="Q459" s="382"/>
      <c r="R459" s="521">
        <f>LOOKUP(ROUNDUP(IF((N459-$R$10)&lt;=0,1,(N459-$R$10))/365,0),'Profit Division'!$A$4:$A$30,'Profit Division'!$C$4:$C$30)</f>
        <v>1.1403848734836686E-4</v>
      </c>
      <c r="S459" s="521"/>
      <c r="T459" s="521"/>
      <c r="U459" s="380"/>
      <c r="V459" s="522">
        <f ca="1">R459*LOOKUP(N459,'reserve calculation'!B:B,'reserve calculation'!D:D)</f>
        <v>52457.744499593064</v>
      </c>
      <c r="W459" s="522"/>
      <c r="X459" s="522"/>
      <c r="Y459" s="382"/>
    </row>
    <row r="460" spans="9:25" ht="12.75" customHeight="1">
      <c r="I460" s="382"/>
      <c r="J460" s="519"/>
      <c r="K460" s="519"/>
      <c r="L460" s="519"/>
      <c r="M460" s="380"/>
      <c r="N460" s="519"/>
      <c r="O460" s="519"/>
      <c r="P460" s="519"/>
      <c r="Q460" s="382"/>
      <c r="R460" s="521"/>
      <c r="S460" s="521"/>
      <c r="T460" s="521"/>
      <c r="U460" s="380"/>
      <c r="V460" s="522"/>
      <c r="W460" s="522"/>
      <c r="X460" s="522"/>
      <c r="Y460" s="382"/>
    </row>
    <row r="461" spans="9:25" ht="12.75" customHeight="1">
      <c r="I461" s="382"/>
      <c r="J461" s="519">
        <f t="shared" si="352"/>
        <v>217</v>
      </c>
      <c r="K461" s="519"/>
      <c r="L461" s="519"/>
      <c r="M461" s="380"/>
      <c r="N461" s="520">
        <f t="shared" si="353"/>
        <v>47335</v>
      </c>
      <c r="O461" s="519"/>
      <c r="P461" s="519"/>
      <c r="Q461" s="382"/>
      <c r="R461" s="521">
        <f>LOOKUP(ROUNDUP(IF((N461-$R$10)&lt;=0,1,(N461-$R$10))/365,0),'Profit Division'!$A$4:$A$30,'Profit Division'!$C$4:$C$30)</f>
        <v>1.1403848734836686E-4</v>
      </c>
      <c r="S461" s="521"/>
      <c r="T461" s="521"/>
      <c r="U461" s="380"/>
      <c r="V461" s="522">
        <f ca="1">R461*LOOKUP(N461,'reserve calculation'!B:B,'reserve calculation'!D:D)</f>
        <v>52477.834910858095</v>
      </c>
      <c r="W461" s="522"/>
      <c r="X461" s="522"/>
      <c r="Y461" s="382"/>
    </row>
    <row r="462" spans="9:25" ht="12.75" customHeight="1">
      <c r="I462" s="382"/>
      <c r="J462" s="519"/>
      <c r="K462" s="519"/>
      <c r="L462" s="519"/>
      <c r="M462" s="380"/>
      <c r="N462" s="519"/>
      <c r="O462" s="519"/>
      <c r="P462" s="519"/>
      <c r="Q462" s="382"/>
      <c r="R462" s="521"/>
      <c r="S462" s="521"/>
      <c r="T462" s="521"/>
      <c r="U462" s="380"/>
      <c r="V462" s="522"/>
      <c r="W462" s="522"/>
      <c r="X462" s="522"/>
      <c r="Y462" s="382"/>
    </row>
    <row r="463" spans="9:25" ht="12.75" customHeight="1">
      <c r="I463" s="382"/>
      <c r="J463" s="519">
        <f t="shared" si="352"/>
        <v>218</v>
      </c>
      <c r="K463" s="519"/>
      <c r="L463" s="519"/>
      <c r="M463" s="380"/>
      <c r="N463" s="520">
        <f t="shared" si="353"/>
        <v>47336</v>
      </c>
      <c r="O463" s="519"/>
      <c r="P463" s="519"/>
      <c r="Q463" s="382"/>
      <c r="R463" s="521">
        <f>LOOKUP(ROUNDUP(IF((N463-$R$10)&lt;=0,1,(N463-$R$10))/365,0),'Profit Division'!$A$4:$A$30,'Profit Division'!$C$4:$C$30)</f>
        <v>1.1403848734836686E-4</v>
      </c>
      <c r="S463" s="521"/>
      <c r="T463" s="521"/>
      <c r="U463" s="380"/>
      <c r="V463" s="522">
        <f ca="1">R463*LOOKUP(N463,'reserve calculation'!B:B,'reserve calculation'!D:D)</f>
        <v>52497.933016404095</v>
      </c>
      <c r="W463" s="522"/>
      <c r="X463" s="522"/>
      <c r="Y463" s="382"/>
    </row>
    <row r="464" spans="9:25" ht="12.75" customHeight="1">
      <c r="I464" s="382"/>
      <c r="J464" s="519"/>
      <c r="K464" s="519"/>
      <c r="L464" s="519"/>
      <c r="M464" s="380"/>
      <c r="N464" s="519"/>
      <c r="O464" s="519"/>
      <c r="P464" s="519"/>
      <c r="Q464" s="382"/>
      <c r="R464" s="521"/>
      <c r="S464" s="521"/>
      <c r="T464" s="521"/>
      <c r="U464" s="380"/>
      <c r="V464" s="522"/>
      <c r="W464" s="522"/>
      <c r="X464" s="522"/>
      <c r="Y464" s="382"/>
    </row>
    <row r="465" spans="9:25" ht="12.75" customHeight="1">
      <c r="I465" s="382"/>
      <c r="J465" s="519">
        <f t="shared" si="352"/>
        <v>219</v>
      </c>
      <c r="K465" s="519"/>
      <c r="L465" s="519"/>
      <c r="M465" s="380"/>
      <c r="N465" s="520">
        <f t="shared" si="353"/>
        <v>47337</v>
      </c>
      <c r="O465" s="519"/>
      <c r="P465" s="519"/>
      <c r="Q465" s="382"/>
      <c r="R465" s="521">
        <f>LOOKUP(ROUNDUP(IF((N465-$R$10)&lt;=0,1,(N465-$R$10))/365,0),'Profit Division'!$A$4:$A$30,'Profit Division'!$C$4:$C$30)</f>
        <v>1.1403848734836686E-4</v>
      </c>
      <c r="S465" s="521"/>
      <c r="T465" s="521"/>
      <c r="U465" s="380"/>
      <c r="V465" s="522">
        <f ca="1">R465*LOOKUP(N465,'reserve calculation'!B:B,'reserve calculation'!D:D)</f>
        <v>52518.038819177826</v>
      </c>
      <c r="W465" s="522"/>
      <c r="X465" s="522"/>
      <c r="Y465" s="382"/>
    </row>
    <row r="466" spans="9:25" ht="12.75" customHeight="1">
      <c r="I466" s="382"/>
      <c r="J466" s="519"/>
      <c r="K466" s="519"/>
      <c r="L466" s="519"/>
      <c r="M466" s="380"/>
      <c r="N466" s="519"/>
      <c r="O466" s="519"/>
      <c r="P466" s="519"/>
      <c r="Q466" s="382"/>
      <c r="R466" s="521"/>
      <c r="S466" s="521"/>
      <c r="T466" s="521"/>
      <c r="U466" s="380"/>
      <c r="V466" s="522"/>
      <c r="W466" s="522"/>
      <c r="X466" s="522"/>
      <c r="Y466" s="382"/>
    </row>
    <row r="467" spans="9:25" ht="12.75" customHeight="1">
      <c r="I467" s="382"/>
      <c r="J467" s="519">
        <f t="shared" si="352"/>
        <v>220</v>
      </c>
      <c r="K467" s="519"/>
      <c r="L467" s="519"/>
      <c r="M467" s="380"/>
      <c r="N467" s="520">
        <f t="shared" si="353"/>
        <v>47338</v>
      </c>
      <c r="O467" s="519"/>
      <c r="P467" s="519"/>
      <c r="Q467" s="382"/>
      <c r="R467" s="521">
        <f>LOOKUP(ROUNDUP(IF((N467-$R$10)&lt;=0,1,(N467-$R$10))/365,0),'Profit Division'!$A$4:$A$30,'Profit Division'!$C$4:$C$30)</f>
        <v>1.1403848734836686E-4</v>
      </c>
      <c r="S467" s="521"/>
      <c r="T467" s="521"/>
      <c r="U467" s="380"/>
      <c r="V467" s="522">
        <f ca="1">R467*LOOKUP(N467,'reserve calculation'!B:B,'reserve calculation'!D:D)</f>
        <v>52538.152322127207</v>
      </c>
      <c r="W467" s="522"/>
      <c r="X467" s="522"/>
      <c r="Y467" s="382"/>
    </row>
    <row r="468" spans="9:25" ht="12.75" customHeight="1">
      <c r="I468" s="382"/>
      <c r="J468" s="519"/>
      <c r="K468" s="519"/>
      <c r="L468" s="519"/>
      <c r="M468" s="380"/>
      <c r="N468" s="519"/>
      <c r="O468" s="519"/>
      <c r="P468" s="519"/>
      <c r="Q468" s="382"/>
      <c r="R468" s="521"/>
      <c r="S468" s="521"/>
      <c r="T468" s="521"/>
      <c r="U468" s="380"/>
      <c r="V468" s="522"/>
      <c r="W468" s="522"/>
      <c r="X468" s="522"/>
      <c r="Y468" s="382"/>
    </row>
    <row r="469" spans="9:25" ht="12.75" customHeight="1">
      <c r="I469" s="382"/>
      <c r="J469" s="519">
        <f t="shared" si="352"/>
        <v>221</v>
      </c>
      <c r="K469" s="519"/>
      <c r="L469" s="519"/>
      <c r="M469" s="380"/>
      <c r="N469" s="520">
        <f t="shared" si="353"/>
        <v>47339</v>
      </c>
      <c r="O469" s="519"/>
      <c r="P469" s="519"/>
      <c r="Q469" s="382"/>
      <c r="R469" s="521">
        <f>LOOKUP(ROUNDUP(IF((N469-$R$10)&lt;=0,1,(N469-$R$10))/365,0),'Profit Division'!$A$4:$A$30,'Profit Division'!$C$4:$C$30)</f>
        <v>1.1403848734836686E-4</v>
      </c>
      <c r="S469" s="521"/>
      <c r="T469" s="521"/>
      <c r="U469" s="380"/>
      <c r="V469" s="522">
        <f ca="1">R469*LOOKUP(N469,'reserve calculation'!B:B,'reserve calculation'!D:D)</f>
        <v>52558.273528201265</v>
      </c>
      <c r="W469" s="522"/>
      <c r="X469" s="522"/>
      <c r="Y469" s="382"/>
    </row>
    <row r="470" spans="9:25" ht="12.75" customHeight="1">
      <c r="I470" s="382"/>
      <c r="J470" s="519"/>
      <c r="K470" s="519"/>
      <c r="L470" s="519"/>
      <c r="M470" s="380"/>
      <c r="N470" s="519"/>
      <c r="O470" s="519"/>
      <c r="P470" s="519"/>
      <c r="Q470" s="382"/>
      <c r="R470" s="521"/>
      <c r="S470" s="521"/>
      <c r="T470" s="521"/>
      <c r="U470" s="380"/>
      <c r="V470" s="522"/>
      <c r="W470" s="522"/>
      <c r="X470" s="522"/>
      <c r="Y470" s="382"/>
    </row>
    <row r="471" spans="9:25" ht="12.75" customHeight="1">
      <c r="I471" s="382"/>
      <c r="J471" s="519">
        <f t="shared" si="352"/>
        <v>222</v>
      </c>
      <c r="K471" s="519"/>
      <c r="L471" s="519"/>
      <c r="M471" s="380"/>
      <c r="N471" s="520">
        <f t="shared" si="353"/>
        <v>47340</v>
      </c>
      <c r="O471" s="519"/>
      <c r="P471" s="519"/>
      <c r="Q471" s="382"/>
      <c r="R471" s="521">
        <f>LOOKUP(ROUNDUP(IF((N471-$R$10)&lt;=0,1,(N471-$R$10))/365,0),'Profit Division'!$A$4:$A$30,'Profit Division'!$C$4:$C$30)</f>
        <v>1.1403848734836686E-4</v>
      </c>
      <c r="S471" s="521"/>
      <c r="T471" s="521"/>
      <c r="U471" s="380"/>
      <c r="V471" s="522">
        <f ca="1">R471*LOOKUP(N471,'reserve calculation'!B:B,'reserve calculation'!D:D)</f>
        <v>52578.402440350161</v>
      </c>
      <c r="W471" s="522"/>
      <c r="X471" s="522"/>
      <c r="Y471" s="382"/>
    </row>
    <row r="472" spans="9:25" ht="12.75" customHeight="1">
      <c r="I472" s="382"/>
      <c r="J472" s="519"/>
      <c r="K472" s="519"/>
      <c r="L472" s="519"/>
      <c r="M472" s="380"/>
      <c r="N472" s="519"/>
      <c r="O472" s="519"/>
      <c r="P472" s="519"/>
      <c r="Q472" s="382"/>
      <c r="R472" s="521"/>
      <c r="S472" s="521"/>
      <c r="T472" s="521"/>
      <c r="U472" s="380"/>
      <c r="V472" s="522"/>
      <c r="W472" s="522"/>
      <c r="X472" s="522"/>
      <c r="Y472" s="382"/>
    </row>
    <row r="473" spans="9:25" ht="12.75" customHeight="1">
      <c r="I473" s="382"/>
      <c r="J473" s="519">
        <f t="shared" si="352"/>
        <v>223</v>
      </c>
      <c r="K473" s="519"/>
      <c r="L473" s="519"/>
      <c r="M473" s="380"/>
      <c r="N473" s="520">
        <f t="shared" si="353"/>
        <v>47341</v>
      </c>
      <c r="O473" s="519"/>
      <c r="P473" s="519"/>
      <c r="Q473" s="382"/>
      <c r="R473" s="521">
        <f>LOOKUP(ROUNDUP(IF((N473-$R$10)&lt;=0,1,(N473-$R$10))/365,0),'Profit Division'!$A$4:$A$30,'Profit Division'!$C$4:$C$30)</f>
        <v>1.1403848734836686E-4</v>
      </c>
      <c r="S473" s="521"/>
      <c r="T473" s="521"/>
      <c r="U473" s="380"/>
      <c r="V473" s="522">
        <f ca="1">R473*LOOKUP(N473,'reserve calculation'!B:B,'reserve calculation'!D:D)</f>
        <v>52598.539061525196</v>
      </c>
      <c r="W473" s="522"/>
      <c r="X473" s="522"/>
      <c r="Y473" s="382"/>
    </row>
    <row r="474" spans="9:25" ht="12.75" customHeight="1">
      <c r="I474" s="382"/>
      <c r="J474" s="519"/>
      <c r="K474" s="519"/>
      <c r="L474" s="519"/>
      <c r="M474" s="380"/>
      <c r="N474" s="519"/>
      <c r="O474" s="519"/>
      <c r="P474" s="519"/>
      <c r="Q474" s="382"/>
      <c r="R474" s="521"/>
      <c r="S474" s="521"/>
      <c r="T474" s="521"/>
      <c r="U474" s="380"/>
      <c r="V474" s="522"/>
      <c r="W474" s="522"/>
      <c r="X474" s="522"/>
      <c r="Y474" s="382"/>
    </row>
    <row r="475" spans="9:25" ht="12.75" customHeight="1">
      <c r="I475" s="382"/>
      <c r="J475" s="519">
        <f t="shared" si="352"/>
        <v>224</v>
      </c>
      <c r="K475" s="519"/>
      <c r="L475" s="519"/>
      <c r="M475" s="380"/>
      <c r="N475" s="520">
        <f t="shared" si="353"/>
        <v>47342</v>
      </c>
      <c r="O475" s="519"/>
      <c r="P475" s="519"/>
      <c r="Q475" s="382"/>
      <c r="R475" s="521">
        <f>LOOKUP(ROUNDUP(IF((N475-$R$10)&lt;=0,1,(N475-$R$10))/365,0),'Profit Division'!$A$4:$A$30,'Profit Division'!$C$4:$C$30)</f>
        <v>1.1403848734836686E-4</v>
      </c>
      <c r="S475" s="521"/>
      <c r="T475" s="521"/>
      <c r="U475" s="380"/>
      <c r="V475" s="522">
        <f ca="1">R475*LOOKUP(N475,'reserve calculation'!B:B,'reserve calculation'!D:D)</f>
        <v>52618.683394678796</v>
      </c>
      <c r="W475" s="522"/>
      <c r="X475" s="522"/>
      <c r="Y475" s="382"/>
    </row>
    <row r="476" spans="9:25" ht="12.75" customHeight="1">
      <c r="I476" s="382"/>
      <c r="J476" s="519"/>
      <c r="K476" s="519"/>
      <c r="L476" s="519"/>
      <c r="M476" s="380"/>
      <c r="N476" s="519"/>
      <c r="O476" s="519"/>
      <c r="P476" s="519"/>
      <c r="Q476" s="382"/>
      <c r="R476" s="521"/>
      <c r="S476" s="521"/>
      <c r="T476" s="521"/>
      <c r="U476" s="380"/>
      <c r="V476" s="522"/>
      <c r="W476" s="522"/>
      <c r="X476" s="522"/>
      <c r="Y476" s="382"/>
    </row>
    <row r="477" spans="9:25" ht="12.75" customHeight="1">
      <c r="I477" s="382"/>
      <c r="J477" s="519">
        <f t="shared" si="352"/>
        <v>225</v>
      </c>
      <c r="K477" s="519"/>
      <c r="L477" s="519"/>
      <c r="M477" s="380"/>
      <c r="N477" s="520">
        <f t="shared" si="353"/>
        <v>47343</v>
      </c>
      <c r="O477" s="519"/>
      <c r="P477" s="519"/>
      <c r="Q477" s="382"/>
      <c r="R477" s="521">
        <f>LOOKUP(ROUNDUP(IF((N477-$R$10)&lt;=0,1,(N477-$R$10))/365,0),'Profit Division'!$A$4:$A$30,'Profit Division'!$C$4:$C$30)</f>
        <v>1.1403848734836686E-4</v>
      </c>
      <c r="S477" s="521"/>
      <c r="T477" s="521"/>
      <c r="U477" s="380"/>
      <c r="V477" s="522">
        <f ca="1">R477*LOOKUP(N477,'reserve calculation'!B:B,'reserve calculation'!D:D)</f>
        <v>52638.835442764503</v>
      </c>
      <c r="W477" s="522"/>
      <c r="X477" s="522"/>
      <c r="Y477" s="382"/>
    </row>
    <row r="478" spans="9:25" ht="12.75" customHeight="1">
      <c r="I478" s="382"/>
      <c r="J478" s="519"/>
      <c r="K478" s="519"/>
      <c r="L478" s="519"/>
      <c r="M478" s="380"/>
      <c r="N478" s="519"/>
      <c r="O478" s="519"/>
      <c r="P478" s="519"/>
      <c r="Q478" s="382"/>
      <c r="R478" s="521"/>
      <c r="S478" s="521"/>
      <c r="T478" s="521"/>
      <c r="U478" s="380"/>
      <c r="V478" s="522"/>
      <c r="W478" s="522"/>
      <c r="X478" s="522"/>
      <c r="Y478" s="382"/>
    </row>
    <row r="479" spans="9:25" ht="12.75" customHeight="1">
      <c r="I479" s="382"/>
      <c r="J479" s="519">
        <f t="shared" si="352"/>
        <v>226</v>
      </c>
      <c r="K479" s="519"/>
      <c r="L479" s="519"/>
      <c r="M479" s="380"/>
      <c r="N479" s="520">
        <f t="shared" si="353"/>
        <v>47344</v>
      </c>
      <c r="O479" s="519"/>
      <c r="P479" s="519"/>
      <c r="Q479" s="382"/>
      <c r="R479" s="521">
        <f>LOOKUP(ROUNDUP(IF((N479-$R$10)&lt;=0,1,(N479-$R$10))/365,0),'Profit Division'!$A$4:$A$30,'Profit Division'!$C$4:$C$30)</f>
        <v>1.1403848734836686E-4</v>
      </c>
      <c r="S479" s="521"/>
      <c r="T479" s="521"/>
      <c r="U479" s="380"/>
      <c r="V479" s="522">
        <f ca="1">R479*LOOKUP(N479,'reserve calculation'!B:B,'reserve calculation'!D:D)</f>
        <v>52658.995208737011</v>
      </c>
      <c r="W479" s="522"/>
      <c r="X479" s="522"/>
      <c r="Y479" s="382"/>
    </row>
    <row r="480" spans="9:25" ht="12.75" customHeight="1">
      <c r="I480" s="382"/>
      <c r="J480" s="519"/>
      <c r="K480" s="519"/>
      <c r="L480" s="519"/>
      <c r="M480" s="380"/>
      <c r="N480" s="519"/>
      <c r="O480" s="519"/>
      <c r="P480" s="519"/>
      <c r="Q480" s="382"/>
      <c r="R480" s="521"/>
      <c r="S480" s="521"/>
      <c r="T480" s="521"/>
      <c r="U480" s="380"/>
      <c r="V480" s="522"/>
      <c r="W480" s="522"/>
      <c r="X480" s="522"/>
      <c r="Y480" s="382"/>
    </row>
    <row r="481" spans="9:25" ht="12.75" customHeight="1">
      <c r="I481" s="382"/>
      <c r="J481" s="519">
        <f t="shared" si="352"/>
        <v>227</v>
      </c>
      <c r="K481" s="519"/>
      <c r="L481" s="519"/>
      <c r="M481" s="380"/>
      <c r="N481" s="520">
        <f t="shared" si="353"/>
        <v>47345</v>
      </c>
      <c r="O481" s="519"/>
      <c r="P481" s="519"/>
      <c r="Q481" s="382"/>
      <c r="R481" s="521">
        <f>LOOKUP(ROUNDUP(IF((N481-$R$10)&lt;=0,1,(N481-$R$10))/365,0),'Profit Division'!$A$4:$A$30,'Profit Division'!$C$4:$C$30)</f>
        <v>1.1403848734836686E-4</v>
      </c>
      <c r="S481" s="521"/>
      <c r="T481" s="521"/>
      <c r="U481" s="380"/>
      <c r="V481" s="522">
        <f ca="1">R481*LOOKUP(N481,'reserve calculation'!B:B,'reserve calculation'!D:D)</f>
        <v>52679.162695552142</v>
      </c>
      <c r="W481" s="522"/>
      <c r="X481" s="522"/>
      <c r="Y481" s="382"/>
    </row>
    <row r="482" spans="9:25" ht="12.75" customHeight="1">
      <c r="I482" s="382"/>
      <c r="J482" s="519"/>
      <c r="K482" s="519"/>
      <c r="L482" s="519"/>
      <c r="M482" s="380"/>
      <c r="N482" s="519"/>
      <c r="O482" s="519"/>
      <c r="P482" s="519"/>
      <c r="Q482" s="382"/>
      <c r="R482" s="521"/>
      <c r="S482" s="521"/>
      <c r="T482" s="521"/>
      <c r="U482" s="380"/>
      <c r="V482" s="522"/>
      <c r="W482" s="522"/>
      <c r="X482" s="522"/>
      <c r="Y482" s="382"/>
    </row>
    <row r="483" spans="9:25" ht="12.75" customHeight="1">
      <c r="I483" s="382"/>
      <c r="J483" s="519">
        <f t="shared" si="352"/>
        <v>228</v>
      </c>
      <c r="K483" s="519"/>
      <c r="L483" s="519"/>
      <c r="M483" s="380"/>
      <c r="N483" s="520">
        <f t="shared" si="353"/>
        <v>47346</v>
      </c>
      <c r="O483" s="519"/>
      <c r="P483" s="519"/>
      <c r="Q483" s="382"/>
      <c r="R483" s="521">
        <f>LOOKUP(ROUNDUP(IF((N483-$R$10)&lt;=0,1,(N483-$R$10))/365,0),'Profit Division'!$A$4:$A$30,'Profit Division'!$C$4:$C$30)</f>
        <v>1.1403848734836686E-4</v>
      </c>
      <c r="S483" s="521"/>
      <c r="T483" s="521"/>
      <c r="U483" s="380"/>
      <c r="V483" s="522">
        <f ca="1">R483*LOOKUP(N483,'reserve calculation'!B:B,'reserve calculation'!D:D)</f>
        <v>52699.337906166838</v>
      </c>
      <c r="W483" s="522"/>
      <c r="X483" s="522"/>
      <c r="Y483" s="382"/>
    </row>
    <row r="484" spans="9:25" ht="12.75" customHeight="1">
      <c r="I484" s="382"/>
      <c r="J484" s="519"/>
      <c r="K484" s="519"/>
      <c r="L484" s="519"/>
      <c r="M484" s="380"/>
      <c r="N484" s="519"/>
      <c r="O484" s="519"/>
      <c r="P484" s="519"/>
      <c r="Q484" s="382"/>
      <c r="R484" s="521"/>
      <c r="S484" s="521"/>
      <c r="T484" s="521"/>
      <c r="U484" s="380"/>
      <c r="V484" s="522"/>
      <c r="W484" s="522"/>
      <c r="X484" s="522"/>
      <c r="Y484" s="382"/>
    </row>
    <row r="485" spans="9:25" ht="12.75" customHeight="1">
      <c r="I485" s="382"/>
      <c r="J485" s="519">
        <f t="shared" si="352"/>
        <v>229</v>
      </c>
      <c r="K485" s="519"/>
      <c r="L485" s="519"/>
      <c r="M485" s="380"/>
      <c r="N485" s="520">
        <f t="shared" si="353"/>
        <v>47347</v>
      </c>
      <c r="O485" s="519"/>
      <c r="P485" s="519"/>
      <c r="Q485" s="382"/>
      <c r="R485" s="521">
        <f>LOOKUP(ROUNDUP(IF((N485-$R$10)&lt;=0,1,(N485-$R$10))/365,0),'Profit Division'!$A$4:$A$30,'Profit Division'!$C$4:$C$30)</f>
        <v>1.1403848734836686E-4</v>
      </c>
      <c r="S485" s="521"/>
      <c r="T485" s="521"/>
      <c r="U485" s="380"/>
      <c r="V485" s="522">
        <f ca="1">R485*LOOKUP(N485,'reserve calculation'!B:B,'reserve calculation'!D:D)</f>
        <v>52719.520843539183</v>
      </c>
      <c r="W485" s="522"/>
      <c r="X485" s="522"/>
      <c r="Y485" s="382"/>
    </row>
    <row r="486" spans="9:25" ht="12.75" customHeight="1">
      <c r="I486" s="382"/>
      <c r="J486" s="519"/>
      <c r="K486" s="519"/>
      <c r="L486" s="519"/>
      <c r="M486" s="380"/>
      <c r="N486" s="519"/>
      <c r="O486" s="519"/>
      <c r="P486" s="519"/>
      <c r="Q486" s="382"/>
      <c r="R486" s="521"/>
      <c r="S486" s="521"/>
      <c r="T486" s="521"/>
      <c r="U486" s="380"/>
      <c r="V486" s="522"/>
      <c r="W486" s="522"/>
      <c r="X486" s="522"/>
      <c r="Y486" s="382"/>
    </row>
    <row r="487" spans="9:25" ht="12.75" customHeight="1">
      <c r="I487" s="382"/>
      <c r="J487" s="519">
        <f t="shared" si="352"/>
        <v>230</v>
      </c>
      <c r="K487" s="519"/>
      <c r="L487" s="519"/>
      <c r="M487" s="380"/>
      <c r="N487" s="520">
        <f t="shared" si="353"/>
        <v>47348</v>
      </c>
      <c r="O487" s="519"/>
      <c r="P487" s="519"/>
      <c r="Q487" s="382"/>
      <c r="R487" s="521">
        <f>LOOKUP(ROUNDUP(IF((N487-$R$10)&lt;=0,1,(N487-$R$10))/365,0),'Profit Division'!$A$4:$A$30,'Profit Division'!$C$4:$C$30)</f>
        <v>1.1403848734836686E-4</v>
      </c>
      <c r="S487" s="521"/>
      <c r="T487" s="521"/>
      <c r="U487" s="380"/>
      <c r="V487" s="522">
        <f ca="1">R487*LOOKUP(N487,'reserve calculation'!B:B,'reserve calculation'!D:D)</f>
        <v>52739.711510628396</v>
      </c>
      <c r="W487" s="522"/>
      <c r="X487" s="522"/>
      <c r="Y487" s="382"/>
    </row>
    <row r="488" spans="9:25" ht="12.75" customHeight="1">
      <c r="I488" s="382"/>
      <c r="J488" s="519"/>
      <c r="K488" s="519"/>
      <c r="L488" s="519"/>
      <c r="M488" s="380"/>
      <c r="N488" s="519"/>
      <c r="O488" s="519"/>
      <c r="P488" s="519"/>
      <c r="Q488" s="382"/>
      <c r="R488" s="521"/>
      <c r="S488" s="521"/>
      <c r="T488" s="521"/>
      <c r="U488" s="380"/>
      <c r="V488" s="522"/>
      <c r="W488" s="522"/>
      <c r="X488" s="522"/>
      <c r="Y488" s="382"/>
    </row>
    <row r="489" spans="9:25" ht="12.75" customHeight="1">
      <c r="I489" s="382"/>
      <c r="J489" s="519">
        <f t="shared" si="352"/>
        <v>231</v>
      </c>
      <c r="K489" s="519"/>
      <c r="L489" s="519"/>
      <c r="M489" s="380"/>
      <c r="N489" s="520">
        <f t="shared" si="353"/>
        <v>47349</v>
      </c>
      <c r="O489" s="519"/>
      <c r="P489" s="519"/>
      <c r="Q489" s="382"/>
      <c r="R489" s="521">
        <f>LOOKUP(ROUNDUP(IF((N489-$R$10)&lt;=0,1,(N489-$R$10))/365,0),'Profit Division'!$A$4:$A$30,'Profit Division'!$C$4:$C$30)</f>
        <v>1.1403848734836686E-4</v>
      </c>
      <c r="S489" s="521"/>
      <c r="T489" s="521"/>
      <c r="U489" s="380"/>
      <c r="V489" s="522">
        <f ca="1">R489*LOOKUP(N489,'reserve calculation'!B:B,'reserve calculation'!D:D)</f>
        <v>52759.909910394825</v>
      </c>
      <c r="W489" s="522"/>
      <c r="X489" s="522"/>
      <c r="Y489" s="382"/>
    </row>
    <row r="490" spans="9:25" ht="12.75" customHeight="1">
      <c r="I490" s="382"/>
      <c r="J490" s="519"/>
      <c r="K490" s="519"/>
      <c r="L490" s="519"/>
      <c r="M490" s="380"/>
      <c r="N490" s="519"/>
      <c r="O490" s="519"/>
      <c r="P490" s="519"/>
      <c r="Q490" s="382"/>
      <c r="R490" s="521"/>
      <c r="S490" s="521"/>
      <c r="T490" s="521"/>
      <c r="U490" s="380"/>
      <c r="V490" s="522"/>
      <c r="W490" s="522"/>
      <c r="X490" s="522"/>
      <c r="Y490" s="382"/>
    </row>
    <row r="491" spans="9:25" ht="12.75" customHeight="1">
      <c r="I491" s="382"/>
      <c r="J491" s="519">
        <f t="shared" si="352"/>
        <v>232</v>
      </c>
      <c r="K491" s="519"/>
      <c r="L491" s="519"/>
      <c r="M491" s="380"/>
      <c r="N491" s="520">
        <f t="shared" si="353"/>
        <v>47350</v>
      </c>
      <c r="O491" s="519"/>
      <c r="P491" s="519"/>
      <c r="Q491" s="382"/>
      <c r="R491" s="521">
        <f>LOOKUP(ROUNDUP(IF((N491-$R$10)&lt;=0,1,(N491-$R$10))/365,0),'Profit Division'!$A$4:$A$30,'Profit Division'!$C$4:$C$30)</f>
        <v>1.1403848734836686E-4</v>
      </c>
      <c r="S491" s="521"/>
      <c r="T491" s="521"/>
      <c r="U491" s="380"/>
      <c r="V491" s="522">
        <f ca="1">R491*LOOKUP(N491,'reserve calculation'!B:B,'reserve calculation'!D:D)</f>
        <v>52780.116045799943</v>
      </c>
      <c r="W491" s="522"/>
      <c r="X491" s="522"/>
      <c r="Y491" s="382"/>
    </row>
    <row r="492" spans="9:25" ht="12.75" customHeight="1">
      <c r="I492" s="382"/>
      <c r="J492" s="519"/>
      <c r="K492" s="519"/>
      <c r="L492" s="519"/>
      <c r="M492" s="380"/>
      <c r="N492" s="519"/>
      <c r="O492" s="519"/>
      <c r="P492" s="519"/>
      <c r="Q492" s="382"/>
      <c r="R492" s="521"/>
      <c r="S492" s="521"/>
      <c r="T492" s="521"/>
      <c r="U492" s="380"/>
      <c r="V492" s="522"/>
      <c r="W492" s="522"/>
      <c r="X492" s="522"/>
      <c r="Y492" s="382"/>
    </row>
    <row r="493" spans="9:25" ht="12.75" customHeight="1">
      <c r="I493" s="382"/>
      <c r="J493" s="519">
        <f t="shared" si="352"/>
        <v>233</v>
      </c>
      <c r="K493" s="519"/>
      <c r="L493" s="519"/>
      <c r="M493" s="380"/>
      <c r="N493" s="520">
        <f t="shared" si="353"/>
        <v>47351</v>
      </c>
      <c r="O493" s="519"/>
      <c r="P493" s="519"/>
      <c r="Q493" s="382"/>
      <c r="R493" s="521">
        <f>LOOKUP(ROUNDUP(IF((N493-$R$10)&lt;=0,1,(N493-$R$10))/365,0),'Profit Division'!$A$4:$A$30,'Profit Division'!$C$4:$C$30)</f>
        <v>1.1403848734836686E-4</v>
      </c>
      <c r="S493" s="521"/>
      <c r="T493" s="521"/>
      <c r="U493" s="380"/>
      <c r="V493" s="522">
        <f ca="1">R493*LOOKUP(N493,'reserve calculation'!B:B,'reserve calculation'!D:D)</f>
        <v>52800.329919806376</v>
      </c>
      <c r="W493" s="522"/>
      <c r="X493" s="522"/>
      <c r="Y493" s="382"/>
    </row>
    <row r="494" spans="9:25" ht="12.75" customHeight="1">
      <c r="I494" s="382"/>
      <c r="J494" s="519"/>
      <c r="K494" s="519"/>
      <c r="L494" s="519"/>
      <c r="M494" s="380"/>
      <c r="N494" s="519"/>
      <c r="O494" s="519"/>
      <c r="P494" s="519"/>
      <c r="Q494" s="382"/>
      <c r="R494" s="521"/>
      <c r="S494" s="521"/>
      <c r="T494" s="521"/>
      <c r="U494" s="380"/>
      <c r="V494" s="522"/>
      <c r="W494" s="522"/>
      <c r="X494" s="522"/>
      <c r="Y494" s="382"/>
    </row>
    <row r="495" spans="9:25" ht="12.75" customHeight="1">
      <c r="I495" s="382"/>
      <c r="J495" s="519">
        <f t="shared" si="352"/>
        <v>234</v>
      </c>
      <c r="K495" s="519"/>
      <c r="L495" s="519"/>
      <c r="M495" s="380"/>
      <c r="N495" s="520">
        <f t="shared" si="353"/>
        <v>47352</v>
      </c>
      <c r="O495" s="519"/>
      <c r="P495" s="519"/>
      <c r="Q495" s="382"/>
      <c r="R495" s="521">
        <f>LOOKUP(ROUNDUP(IF((N495-$R$10)&lt;=0,1,(N495-$R$10))/365,0),'Profit Division'!$A$4:$A$30,'Profit Division'!$C$4:$C$30)</f>
        <v>1.1403848734836686E-4</v>
      </c>
      <c r="S495" s="521"/>
      <c r="T495" s="521"/>
      <c r="U495" s="380"/>
      <c r="V495" s="522">
        <f ca="1">R495*LOOKUP(N495,'reserve calculation'!B:B,'reserve calculation'!D:D)</f>
        <v>52820.551535377876</v>
      </c>
      <c r="W495" s="522"/>
      <c r="X495" s="522"/>
      <c r="Y495" s="382"/>
    </row>
    <row r="496" spans="9:25" ht="12.75" customHeight="1">
      <c r="I496" s="382"/>
      <c r="J496" s="519"/>
      <c r="K496" s="519"/>
      <c r="L496" s="519"/>
      <c r="M496" s="380"/>
      <c r="N496" s="519"/>
      <c r="O496" s="519"/>
      <c r="P496" s="519"/>
      <c r="Q496" s="382"/>
      <c r="R496" s="521"/>
      <c r="S496" s="521"/>
      <c r="T496" s="521"/>
      <c r="U496" s="380"/>
      <c r="V496" s="522"/>
      <c r="W496" s="522"/>
      <c r="X496" s="522"/>
      <c r="Y496" s="382"/>
    </row>
    <row r="497" spans="9:25" ht="12.75" customHeight="1">
      <c r="I497" s="382"/>
      <c r="J497" s="519">
        <f t="shared" si="352"/>
        <v>235</v>
      </c>
      <c r="K497" s="519"/>
      <c r="L497" s="519"/>
      <c r="M497" s="380"/>
      <c r="N497" s="520">
        <f t="shared" si="353"/>
        <v>47353</v>
      </c>
      <c r="O497" s="519"/>
      <c r="P497" s="519"/>
      <c r="Q497" s="382"/>
      <c r="R497" s="521">
        <f>LOOKUP(ROUNDUP(IF((N497-$R$10)&lt;=0,1,(N497-$R$10))/365,0),'Profit Division'!$A$4:$A$30,'Profit Division'!$C$4:$C$30)</f>
        <v>1.1403848734836686E-4</v>
      </c>
      <c r="S497" s="521"/>
      <c r="T497" s="521"/>
      <c r="U497" s="380"/>
      <c r="V497" s="522">
        <f ca="1">R497*LOOKUP(N497,'reserve calculation'!B:B,'reserve calculation'!D:D)</f>
        <v>52840.780895479314</v>
      </c>
      <c r="W497" s="522"/>
      <c r="X497" s="522"/>
      <c r="Y497" s="382"/>
    </row>
    <row r="498" spans="9:25" ht="12.75" customHeight="1">
      <c r="I498" s="382"/>
      <c r="J498" s="519"/>
      <c r="K498" s="519"/>
      <c r="L498" s="519"/>
      <c r="M498" s="380"/>
      <c r="N498" s="519"/>
      <c r="O498" s="519"/>
      <c r="P498" s="519"/>
      <c r="Q498" s="382"/>
      <c r="R498" s="521"/>
      <c r="S498" s="521"/>
      <c r="T498" s="521"/>
      <c r="U498" s="380"/>
      <c r="V498" s="522"/>
      <c r="W498" s="522"/>
      <c r="X498" s="522"/>
      <c r="Y498" s="382"/>
    </row>
    <row r="499" spans="9:25" ht="12.75" customHeight="1">
      <c r="I499" s="382"/>
      <c r="J499" s="519">
        <f t="shared" si="352"/>
        <v>236</v>
      </c>
      <c r="K499" s="519"/>
      <c r="L499" s="519"/>
      <c r="M499" s="380"/>
      <c r="N499" s="520">
        <f t="shared" si="353"/>
        <v>47354</v>
      </c>
      <c r="O499" s="519"/>
      <c r="P499" s="519"/>
      <c r="Q499" s="382"/>
      <c r="R499" s="521">
        <f>LOOKUP(ROUNDUP(IF((N499-$R$10)&lt;=0,1,(N499-$R$10))/365,0),'Profit Division'!$A$4:$A$30,'Profit Division'!$C$4:$C$30)</f>
        <v>1.1403848734836686E-4</v>
      </c>
      <c r="S499" s="521"/>
      <c r="T499" s="521"/>
      <c r="U499" s="380"/>
      <c r="V499" s="522">
        <f ca="1">R499*LOOKUP(N499,'reserve calculation'!B:B,'reserve calculation'!D:D)</f>
        <v>52861.018003076722</v>
      </c>
      <c r="W499" s="522"/>
      <c r="X499" s="522"/>
      <c r="Y499" s="382"/>
    </row>
    <row r="500" spans="9:25" ht="12.75" customHeight="1">
      <c r="I500" s="382"/>
      <c r="J500" s="519"/>
      <c r="K500" s="519"/>
      <c r="L500" s="519"/>
      <c r="M500" s="380"/>
      <c r="N500" s="519"/>
      <c r="O500" s="519"/>
      <c r="P500" s="519"/>
      <c r="Q500" s="382"/>
      <c r="R500" s="521"/>
      <c r="S500" s="521"/>
      <c r="T500" s="521"/>
      <c r="U500" s="380"/>
      <c r="V500" s="522"/>
      <c r="W500" s="522"/>
      <c r="X500" s="522"/>
      <c r="Y500" s="382"/>
    </row>
    <row r="501" spans="9:25" ht="12.75" customHeight="1">
      <c r="I501" s="382"/>
      <c r="J501" s="519">
        <f t="shared" si="352"/>
        <v>237</v>
      </c>
      <c r="K501" s="519"/>
      <c r="L501" s="519"/>
      <c r="M501" s="380"/>
      <c r="N501" s="520">
        <f t="shared" si="353"/>
        <v>47355</v>
      </c>
      <c r="O501" s="519"/>
      <c r="P501" s="519"/>
      <c r="Q501" s="382"/>
      <c r="R501" s="521">
        <f>LOOKUP(ROUNDUP(IF((N501-$R$10)&lt;=0,1,(N501-$R$10))/365,0),'Profit Division'!$A$4:$A$30,'Profit Division'!$C$4:$C$30)</f>
        <v>1.1403848734836686E-4</v>
      </c>
      <c r="S501" s="521"/>
      <c r="T501" s="521"/>
      <c r="U501" s="380"/>
      <c r="V501" s="522">
        <f ca="1">R501*LOOKUP(N501,'reserve calculation'!B:B,'reserve calculation'!D:D)</f>
        <v>52881.262861137264</v>
      </c>
      <c r="W501" s="522"/>
      <c r="X501" s="522"/>
      <c r="Y501" s="382"/>
    </row>
    <row r="502" spans="9:25" ht="12.75" customHeight="1">
      <c r="I502" s="382"/>
      <c r="J502" s="519"/>
      <c r="K502" s="519"/>
      <c r="L502" s="519"/>
      <c r="M502" s="380"/>
      <c r="N502" s="519"/>
      <c r="O502" s="519"/>
      <c r="P502" s="519"/>
      <c r="Q502" s="382"/>
      <c r="R502" s="521"/>
      <c r="S502" s="521"/>
      <c r="T502" s="521"/>
      <c r="U502" s="380"/>
      <c r="V502" s="522"/>
      <c r="W502" s="522"/>
      <c r="X502" s="522"/>
      <c r="Y502" s="382"/>
    </row>
    <row r="503" spans="9:25" ht="12.75" customHeight="1">
      <c r="I503" s="382"/>
      <c r="J503" s="519">
        <f t="shared" si="352"/>
        <v>238</v>
      </c>
      <c r="K503" s="519"/>
      <c r="L503" s="519"/>
      <c r="M503" s="380"/>
      <c r="N503" s="520">
        <f t="shared" si="353"/>
        <v>47356</v>
      </c>
      <c r="O503" s="519"/>
      <c r="P503" s="519"/>
      <c r="Q503" s="382"/>
      <c r="R503" s="521">
        <f>LOOKUP(ROUNDUP(IF((N503-$R$10)&lt;=0,1,(N503-$R$10))/365,0),'Profit Division'!$A$4:$A$30,'Profit Division'!$C$4:$C$30)</f>
        <v>1.1403848734836686E-4</v>
      </c>
      <c r="S503" s="521"/>
      <c r="T503" s="521"/>
      <c r="U503" s="380"/>
      <c r="V503" s="522">
        <f ca="1">R503*LOOKUP(N503,'reserve calculation'!B:B,'reserve calculation'!D:D)</f>
        <v>52901.515472629217</v>
      </c>
      <c r="W503" s="522"/>
      <c r="X503" s="522"/>
      <c r="Y503" s="382"/>
    </row>
    <row r="504" spans="9:25" ht="12.75" customHeight="1">
      <c r="I504" s="382"/>
      <c r="J504" s="519"/>
      <c r="K504" s="519"/>
      <c r="L504" s="519"/>
      <c r="M504" s="380"/>
      <c r="N504" s="519"/>
      <c r="O504" s="519"/>
      <c r="P504" s="519"/>
      <c r="Q504" s="382"/>
      <c r="R504" s="521"/>
      <c r="S504" s="521"/>
      <c r="T504" s="521"/>
      <c r="U504" s="380"/>
      <c r="V504" s="522"/>
      <c r="W504" s="522"/>
      <c r="X504" s="522"/>
      <c r="Y504" s="382"/>
    </row>
    <row r="505" spans="9:25" ht="12.75" customHeight="1">
      <c r="I505" s="382"/>
      <c r="J505" s="519">
        <f t="shared" si="352"/>
        <v>239</v>
      </c>
      <c r="K505" s="519"/>
      <c r="L505" s="519"/>
      <c r="M505" s="380"/>
      <c r="N505" s="520">
        <f t="shared" si="353"/>
        <v>47357</v>
      </c>
      <c r="O505" s="519"/>
      <c r="P505" s="519"/>
      <c r="Q505" s="382"/>
      <c r="R505" s="521">
        <f>LOOKUP(ROUNDUP(IF((N505-$R$10)&lt;=0,1,(N505-$R$10))/365,0),'Profit Division'!$A$4:$A$30,'Profit Division'!$C$4:$C$30)</f>
        <v>1.1403848734836686E-4</v>
      </c>
      <c r="S505" s="521"/>
      <c r="T505" s="521"/>
      <c r="U505" s="380"/>
      <c r="V505" s="522">
        <f ca="1">R505*LOOKUP(N505,'reserve calculation'!B:B,'reserve calculation'!D:D)</f>
        <v>52921.775840522023</v>
      </c>
      <c r="W505" s="522"/>
      <c r="X505" s="522"/>
      <c r="Y505" s="382"/>
    </row>
    <row r="506" spans="9:25" ht="12.75" customHeight="1">
      <c r="I506" s="382"/>
      <c r="J506" s="519"/>
      <c r="K506" s="519"/>
      <c r="L506" s="519"/>
      <c r="M506" s="380"/>
      <c r="N506" s="519"/>
      <c r="O506" s="519"/>
      <c r="P506" s="519"/>
      <c r="Q506" s="382"/>
      <c r="R506" s="521"/>
      <c r="S506" s="521"/>
      <c r="T506" s="521"/>
      <c r="U506" s="380"/>
      <c r="V506" s="522"/>
      <c r="W506" s="522"/>
      <c r="X506" s="522"/>
      <c r="Y506" s="382"/>
    </row>
    <row r="507" spans="9:25" ht="12.75" customHeight="1">
      <c r="I507" s="382"/>
      <c r="J507" s="519">
        <f t="shared" si="352"/>
        <v>240</v>
      </c>
      <c r="K507" s="519"/>
      <c r="L507" s="519"/>
      <c r="M507" s="380"/>
      <c r="N507" s="520">
        <f t="shared" si="353"/>
        <v>47358</v>
      </c>
      <c r="O507" s="519"/>
      <c r="P507" s="519"/>
      <c r="Q507" s="382"/>
      <c r="R507" s="521">
        <f>LOOKUP(ROUNDUP(IF((N507-$R$10)&lt;=0,1,(N507-$R$10))/365,0),'Profit Division'!$A$4:$A$30,'Profit Division'!$C$4:$C$30)</f>
        <v>1.1403848734836686E-4</v>
      </c>
      <c r="S507" s="521"/>
      <c r="T507" s="521"/>
      <c r="U507" s="380"/>
      <c r="V507" s="522">
        <f ca="1">R507*LOOKUP(N507,'reserve calculation'!B:B,'reserve calculation'!D:D)</f>
        <v>52942.043967786252</v>
      </c>
      <c r="W507" s="522"/>
      <c r="X507" s="522"/>
      <c r="Y507" s="382"/>
    </row>
    <row r="508" spans="9:25" ht="12.75" customHeight="1">
      <c r="I508" s="382"/>
      <c r="J508" s="519"/>
      <c r="K508" s="519"/>
      <c r="L508" s="519"/>
      <c r="M508" s="380"/>
      <c r="N508" s="519"/>
      <c r="O508" s="519"/>
      <c r="P508" s="519"/>
      <c r="Q508" s="382"/>
      <c r="R508" s="521"/>
      <c r="S508" s="521"/>
      <c r="T508" s="521"/>
      <c r="U508" s="380"/>
      <c r="V508" s="522"/>
      <c r="W508" s="522"/>
      <c r="X508" s="522"/>
      <c r="Y508" s="382"/>
    </row>
    <row r="509" spans="9:25" ht="12.75" customHeight="1">
      <c r="I509" s="382"/>
      <c r="J509" s="519">
        <f t="shared" si="352"/>
        <v>241</v>
      </c>
      <c r="K509" s="519"/>
      <c r="L509" s="519"/>
      <c r="M509" s="380"/>
      <c r="N509" s="520">
        <f t="shared" si="353"/>
        <v>47359</v>
      </c>
      <c r="O509" s="519"/>
      <c r="P509" s="519"/>
      <c r="Q509" s="382"/>
      <c r="R509" s="521">
        <f>LOOKUP(ROUNDUP(IF((N509-$R$10)&lt;=0,1,(N509-$R$10))/365,0),'Profit Division'!$A$4:$A$30,'Profit Division'!$C$4:$C$30)</f>
        <v>1.1403848734836686E-4</v>
      </c>
      <c r="S509" s="521"/>
      <c r="T509" s="521"/>
      <c r="U509" s="380"/>
      <c r="V509" s="522">
        <f ca="1">R509*LOOKUP(N509,'reserve calculation'!B:B,'reserve calculation'!D:D)</f>
        <v>52962.319857393602</v>
      </c>
      <c r="W509" s="522"/>
      <c r="X509" s="522"/>
      <c r="Y509" s="382"/>
    </row>
    <row r="510" spans="9:25" ht="12.75" customHeight="1">
      <c r="I510" s="382"/>
      <c r="J510" s="519"/>
      <c r="K510" s="519"/>
      <c r="L510" s="519"/>
      <c r="M510" s="380"/>
      <c r="N510" s="519"/>
      <c r="O510" s="519"/>
      <c r="P510" s="519"/>
      <c r="Q510" s="382"/>
      <c r="R510" s="521"/>
      <c r="S510" s="521"/>
      <c r="T510" s="521"/>
      <c r="U510" s="380"/>
      <c r="V510" s="522"/>
      <c r="W510" s="522"/>
      <c r="X510" s="522"/>
      <c r="Y510" s="382"/>
    </row>
    <row r="511" spans="9:25" ht="12.75" customHeight="1">
      <c r="I511" s="382"/>
      <c r="J511" s="519">
        <f t="shared" ref="J511" si="354">J509+1</f>
        <v>242</v>
      </c>
      <c r="K511" s="519"/>
      <c r="L511" s="519"/>
      <c r="M511" s="380"/>
      <c r="N511" s="520">
        <f t="shared" ref="N511:N573" si="355">N509+1</f>
        <v>47360</v>
      </c>
      <c r="O511" s="519"/>
      <c r="P511" s="519"/>
      <c r="Q511" s="382"/>
      <c r="R511" s="521">
        <f>LOOKUP(ROUNDUP(IF((N511-$R$10)&lt;=0,1,(N511-$R$10))/365,0),'Profit Division'!$A$4:$A$30,'Profit Division'!$C$4:$C$30)</f>
        <v>1.1403848734836686E-4</v>
      </c>
      <c r="S511" s="521"/>
      <c r="T511" s="521"/>
      <c r="U511" s="380"/>
      <c r="V511" s="522">
        <f ca="1">R511*LOOKUP(N511,'reserve calculation'!B:B,'reserve calculation'!D:D)</f>
        <v>52982.603512316928</v>
      </c>
      <c r="W511" s="522"/>
      <c r="X511" s="522"/>
      <c r="Y511" s="382"/>
    </row>
    <row r="512" spans="9:25" ht="12.75" customHeight="1">
      <c r="I512" s="382"/>
      <c r="J512" s="519"/>
      <c r="K512" s="519"/>
      <c r="L512" s="519"/>
      <c r="M512" s="380"/>
      <c r="N512" s="519"/>
      <c r="O512" s="519"/>
      <c r="P512" s="519"/>
      <c r="Q512" s="382"/>
      <c r="R512" s="521"/>
      <c r="S512" s="521"/>
      <c r="T512" s="521"/>
      <c r="U512" s="380"/>
      <c r="V512" s="522"/>
      <c r="W512" s="522"/>
      <c r="X512" s="522"/>
      <c r="Y512" s="382"/>
    </row>
    <row r="513" spans="9:25" ht="12.75" customHeight="1">
      <c r="I513" s="382"/>
      <c r="J513" s="519">
        <f t="shared" ref="J513:J575" si="356">J511+1</f>
        <v>243</v>
      </c>
      <c r="K513" s="519"/>
      <c r="L513" s="519"/>
      <c r="M513" s="380"/>
      <c r="N513" s="520">
        <f t="shared" si="355"/>
        <v>47361</v>
      </c>
      <c r="O513" s="519"/>
      <c r="P513" s="519"/>
      <c r="Q513" s="382"/>
      <c r="R513" s="521">
        <f>LOOKUP(ROUNDUP(IF((N513-$R$10)&lt;=0,1,(N513-$R$10))/365,0),'Profit Division'!$A$4:$A$30,'Profit Division'!$C$4:$C$30)</f>
        <v>1.1403848734836686E-4</v>
      </c>
      <c r="S513" s="521"/>
      <c r="T513" s="521"/>
      <c r="U513" s="380"/>
      <c r="V513" s="522">
        <f ca="1">R513*LOOKUP(N513,'reserve calculation'!B:B,'reserve calculation'!D:D)</f>
        <v>53002.894935530188</v>
      </c>
      <c r="W513" s="522"/>
      <c r="X513" s="522"/>
      <c r="Y513" s="382"/>
    </row>
    <row r="514" spans="9:25" ht="12.75" customHeight="1">
      <c r="I514" s="382"/>
      <c r="J514" s="519"/>
      <c r="K514" s="519"/>
      <c r="L514" s="519"/>
      <c r="M514" s="380"/>
      <c r="N514" s="519"/>
      <c r="O514" s="519"/>
      <c r="P514" s="519"/>
      <c r="Q514" s="382"/>
      <c r="R514" s="521"/>
      <c r="S514" s="521"/>
      <c r="T514" s="521"/>
      <c r="U514" s="380"/>
      <c r="V514" s="522"/>
      <c r="W514" s="522"/>
      <c r="X514" s="522"/>
      <c r="Y514" s="382"/>
    </row>
    <row r="515" spans="9:25" ht="12.75" customHeight="1">
      <c r="I515" s="382"/>
      <c r="J515" s="519">
        <f t="shared" si="356"/>
        <v>244</v>
      </c>
      <c r="K515" s="519"/>
      <c r="L515" s="519"/>
      <c r="M515" s="380"/>
      <c r="N515" s="520">
        <f t="shared" si="355"/>
        <v>47362</v>
      </c>
      <c r="O515" s="519"/>
      <c r="P515" s="519"/>
      <c r="Q515" s="382"/>
      <c r="R515" s="521">
        <f>LOOKUP(ROUNDUP(IF((N515-$R$10)&lt;=0,1,(N515-$R$10))/365,0),'Profit Division'!$A$4:$A$30,'Profit Division'!$C$4:$C$30)</f>
        <v>1.1403848734836686E-4</v>
      </c>
      <c r="S515" s="521"/>
      <c r="T515" s="521"/>
      <c r="U515" s="380"/>
      <c r="V515" s="522">
        <f ca="1">R515*LOOKUP(N515,'reserve calculation'!B:B,'reserve calculation'!D:D)</f>
        <v>53023.194130008524</v>
      </c>
      <c r="W515" s="522"/>
      <c r="X515" s="522"/>
      <c r="Y515" s="382"/>
    </row>
    <row r="516" spans="9:25" ht="12.75" customHeight="1">
      <c r="I516" s="382"/>
      <c r="J516" s="519"/>
      <c r="K516" s="519"/>
      <c r="L516" s="519"/>
      <c r="M516" s="380"/>
      <c r="N516" s="519"/>
      <c r="O516" s="519"/>
      <c r="P516" s="519"/>
      <c r="Q516" s="382"/>
      <c r="R516" s="521"/>
      <c r="S516" s="521"/>
      <c r="T516" s="521"/>
      <c r="U516" s="380"/>
      <c r="V516" s="522"/>
      <c r="W516" s="522"/>
      <c r="X516" s="522"/>
      <c r="Y516" s="382"/>
    </row>
    <row r="517" spans="9:25" ht="12.75" customHeight="1">
      <c r="I517" s="382"/>
      <c r="J517" s="519">
        <f t="shared" si="356"/>
        <v>245</v>
      </c>
      <c r="K517" s="519"/>
      <c r="L517" s="519"/>
      <c r="M517" s="380"/>
      <c r="N517" s="520">
        <f t="shared" si="355"/>
        <v>47363</v>
      </c>
      <c r="O517" s="519"/>
      <c r="P517" s="519"/>
      <c r="Q517" s="382"/>
      <c r="R517" s="521">
        <f>LOOKUP(ROUNDUP(IF((N517-$R$10)&lt;=0,1,(N517-$R$10))/365,0),'Profit Division'!$A$4:$A$30,'Profit Division'!$C$4:$C$30)</f>
        <v>1.1403848734836686E-4</v>
      </c>
      <c r="S517" s="521"/>
      <c r="T517" s="521"/>
      <c r="U517" s="380"/>
      <c r="V517" s="522">
        <f ca="1">R517*LOOKUP(N517,'reserve calculation'!B:B,'reserve calculation'!D:D)</f>
        <v>53043.5010987282</v>
      </c>
      <c r="W517" s="522"/>
      <c r="X517" s="522"/>
      <c r="Y517" s="382"/>
    </row>
    <row r="518" spans="9:25" ht="12.75" customHeight="1">
      <c r="I518" s="382"/>
      <c r="J518" s="519"/>
      <c r="K518" s="519"/>
      <c r="L518" s="519"/>
      <c r="M518" s="380"/>
      <c r="N518" s="519"/>
      <c r="O518" s="519"/>
      <c r="P518" s="519"/>
      <c r="Q518" s="382"/>
      <c r="R518" s="521"/>
      <c r="S518" s="521"/>
      <c r="T518" s="521"/>
      <c r="U518" s="380"/>
      <c r="V518" s="522"/>
      <c r="W518" s="522"/>
      <c r="X518" s="522"/>
      <c r="Y518" s="382"/>
    </row>
    <row r="519" spans="9:25" ht="12.75" customHeight="1">
      <c r="I519" s="382"/>
      <c r="J519" s="519">
        <f t="shared" si="356"/>
        <v>246</v>
      </c>
      <c r="K519" s="519"/>
      <c r="L519" s="519"/>
      <c r="M519" s="380"/>
      <c r="N519" s="520">
        <f t="shared" si="355"/>
        <v>47364</v>
      </c>
      <c r="O519" s="519"/>
      <c r="P519" s="519"/>
      <c r="Q519" s="382"/>
      <c r="R519" s="521">
        <f>LOOKUP(ROUNDUP(IF((N519-$R$10)&lt;=0,1,(N519-$R$10))/365,0),'Profit Division'!$A$4:$A$30,'Profit Division'!$C$4:$C$30)</f>
        <v>1.1403848734836686E-4</v>
      </c>
      <c r="S519" s="521"/>
      <c r="T519" s="521"/>
      <c r="U519" s="380"/>
      <c r="V519" s="522">
        <f ca="1">R519*LOOKUP(N519,'reserve calculation'!B:B,'reserve calculation'!D:D)</f>
        <v>53063.815844666598</v>
      </c>
      <c r="W519" s="522"/>
      <c r="X519" s="522"/>
      <c r="Y519" s="382"/>
    </row>
    <row r="520" spans="9:25" ht="12.75" customHeight="1">
      <c r="I520" s="382"/>
      <c r="J520" s="519"/>
      <c r="K520" s="519"/>
      <c r="L520" s="519"/>
      <c r="M520" s="380"/>
      <c r="N520" s="519"/>
      <c r="O520" s="519"/>
      <c r="P520" s="519"/>
      <c r="Q520" s="382"/>
      <c r="R520" s="521"/>
      <c r="S520" s="521"/>
      <c r="T520" s="521"/>
      <c r="U520" s="380"/>
      <c r="V520" s="522"/>
      <c r="W520" s="522"/>
      <c r="X520" s="522"/>
      <c r="Y520" s="382"/>
    </row>
    <row r="521" spans="9:25" ht="12.75" customHeight="1">
      <c r="I521" s="382"/>
      <c r="J521" s="519">
        <f t="shared" si="356"/>
        <v>247</v>
      </c>
      <c r="K521" s="519"/>
      <c r="L521" s="519"/>
      <c r="M521" s="380"/>
      <c r="N521" s="520">
        <f t="shared" si="355"/>
        <v>47365</v>
      </c>
      <c r="O521" s="519"/>
      <c r="P521" s="519"/>
      <c r="Q521" s="382"/>
      <c r="R521" s="521">
        <f>LOOKUP(ROUNDUP(IF((N521-$R$10)&lt;=0,1,(N521-$R$10))/365,0),'Profit Division'!$A$4:$A$30,'Profit Division'!$C$4:$C$30)</f>
        <v>1.1403848734836686E-4</v>
      </c>
      <c r="S521" s="521"/>
      <c r="T521" s="521"/>
      <c r="U521" s="380"/>
      <c r="V521" s="522">
        <f ca="1">R521*LOOKUP(N521,'reserve calculation'!B:B,'reserve calculation'!D:D)</f>
        <v>53084.138370802277</v>
      </c>
      <c r="W521" s="522"/>
      <c r="X521" s="522"/>
      <c r="Y521" s="382"/>
    </row>
    <row r="522" spans="9:25" ht="12.75" customHeight="1">
      <c r="I522" s="382"/>
      <c r="J522" s="519"/>
      <c r="K522" s="519"/>
      <c r="L522" s="519"/>
      <c r="M522" s="380"/>
      <c r="N522" s="519"/>
      <c r="O522" s="519"/>
      <c r="P522" s="519"/>
      <c r="Q522" s="382"/>
      <c r="R522" s="521"/>
      <c r="S522" s="521"/>
      <c r="T522" s="521"/>
      <c r="U522" s="380"/>
      <c r="V522" s="522"/>
      <c r="W522" s="522"/>
      <c r="X522" s="522"/>
      <c r="Y522" s="382"/>
    </row>
    <row r="523" spans="9:25" ht="12.75" customHeight="1">
      <c r="I523" s="382"/>
      <c r="J523" s="519">
        <f t="shared" si="356"/>
        <v>248</v>
      </c>
      <c r="K523" s="519"/>
      <c r="L523" s="519"/>
      <c r="M523" s="380"/>
      <c r="N523" s="520">
        <f t="shared" si="355"/>
        <v>47366</v>
      </c>
      <c r="O523" s="519"/>
      <c r="P523" s="519"/>
      <c r="Q523" s="382"/>
      <c r="R523" s="521">
        <f>LOOKUP(ROUNDUP(IF((N523-$R$10)&lt;=0,1,(N523-$R$10))/365,0),'Profit Division'!$A$4:$A$30,'Profit Division'!$C$4:$C$30)</f>
        <v>1.1403848734836686E-4</v>
      </c>
      <c r="S523" s="521"/>
      <c r="T523" s="521"/>
      <c r="U523" s="380"/>
      <c r="V523" s="522">
        <f ca="1">R523*LOOKUP(N523,'reserve calculation'!B:B,'reserve calculation'!D:D)</f>
        <v>53104.4686801149</v>
      </c>
      <c r="W523" s="522"/>
      <c r="X523" s="522"/>
      <c r="Y523" s="382"/>
    </row>
    <row r="524" spans="9:25" ht="12.75" customHeight="1">
      <c r="I524" s="382"/>
      <c r="J524" s="519"/>
      <c r="K524" s="519"/>
      <c r="L524" s="519"/>
      <c r="M524" s="380"/>
      <c r="N524" s="519"/>
      <c r="O524" s="519"/>
      <c r="P524" s="519"/>
      <c r="Q524" s="382"/>
      <c r="R524" s="521"/>
      <c r="S524" s="521"/>
      <c r="T524" s="521"/>
      <c r="U524" s="380"/>
      <c r="V524" s="522"/>
      <c r="W524" s="522"/>
      <c r="X524" s="522"/>
      <c r="Y524" s="382"/>
    </row>
    <row r="525" spans="9:25" ht="12.75" customHeight="1">
      <c r="I525" s="382"/>
      <c r="J525" s="519">
        <f t="shared" si="356"/>
        <v>249</v>
      </c>
      <c r="K525" s="519"/>
      <c r="L525" s="519"/>
      <c r="M525" s="380"/>
      <c r="N525" s="520">
        <f t="shared" si="355"/>
        <v>47367</v>
      </c>
      <c r="O525" s="519"/>
      <c r="P525" s="519"/>
      <c r="Q525" s="382"/>
      <c r="R525" s="521">
        <f>LOOKUP(ROUNDUP(IF((N525-$R$10)&lt;=0,1,(N525-$R$10))/365,0),'Profit Division'!$A$4:$A$30,'Profit Division'!$C$4:$C$30)</f>
        <v>1.1403848734836686E-4</v>
      </c>
      <c r="S525" s="521"/>
      <c r="T525" s="521"/>
      <c r="U525" s="380"/>
      <c r="V525" s="522">
        <f ca="1">R525*LOOKUP(N525,'reserve calculation'!B:B,'reserve calculation'!D:D)</f>
        <v>53124.806775585304</v>
      </c>
      <c r="W525" s="522"/>
      <c r="X525" s="522"/>
      <c r="Y525" s="382"/>
    </row>
    <row r="526" spans="9:25" ht="12.75" customHeight="1">
      <c r="I526" s="382"/>
      <c r="J526" s="519"/>
      <c r="K526" s="519"/>
      <c r="L526" s="519"/>
      <c r="M526" s="380"/>
      <c r="N526" s="519"/>
      <c r="O526" s="519"/>
      <c r="P526" s="519"/>
      <c r="Q526" s="382"/>
      <c r="R526" s="521"/>
      <c r="S526" s="521"/>
      <c r="T526" s="521"/>
      <c r="U526" s="380"/>
      <c r="V526" s="522"/>
      <c r="W526" s="522"/>
      <c r="X526" s="522"/>
      <c r="Y526" s="382"/>
    </row>
    <row r="527" spans="9:25" ht="12.75" customHeight="1">
      <c r="I527" s="382"/>
      <c r="J527" s="519">
        <f t="shared" si="356"/>
        <v>250</v>
      </c>
      <c r="K527" s="519"/>
      <c r="L527" s="519"/>
      <c r="M527" s="380"/>
      <c r="N527" s="520">
        <f t="shared" si="355"/>
        <v>47368</v>
      </c>
      <c r="O527" s="519"/>
      <c r="P527" s="519"/>
      <c r="Q527" s="382"/>
      <c r="R527" s="521">
        <f>LOOKUP(ROUNDUP(IF((N527-$R$10)&lt;=0,1,(N527-$R$10))/365,0),'Profit Division'!$A$4:$A$30,'Profit Division'!$C$4:$C$30)</f>
        <v>1.1403848734836686E-4</v>
      </c>
      <c r="S527" s="521"/>
      <c r="T527" s="521"/>
      <c r="U527" s="380"/>
      <c r="V527" s="522">
        <f ca="1">R527*LOOKUP(N527,'reserve calculation'!B:B,'reserve calculation'!D:D)</f>
        <v>53145.152660195447</v>
      </c>
      <c r="W527" s="522"/>
      <c r="X527" s="522"/>
      <c r="Y527" s="382"/>
    </row>
    <row r="528" spans="9:25" ht="12.75" customHeight="1">
      <c r="I528" s="382"/>
      <c r="J528" s="519"/>
      <c r="K528" s="519"/>
      <c r="L528" s="519"/>
      <c r="M528" s="380"/>
      <c r="N528" s="519"/>
      <c r="O528" s="519"/>
      <c r="P528" s="519"/>
      <c r="Q528" s="382"/>
      <c r="R528" s="521"/>
      <c r="S528" s="521"/>
      <c r="T528" s="521"/>
      <c r="U528" s="380"/>
      <c r="V528" s="522"/>
      <c r="W528" s="522"/>
      <c r="X528" s="522"/>
      <c r="Y528" s="382"/>
    </row>
    <row r="529" spans="9:25" ht="12.75" customHeight="1">
      <c r="I529" s="382"/>
      <c r="J529" s="519">
        <f t="shared" si="356"/>
        <v>251</v>
      </c>
      <c r="K529" s="519"/>
      <c r="L529" s="519"/>
      <c r="M529" s="380"/>
      <c r="N529" s="520">
        <f t="shared" si="355"/>
        <v>47369</v>
      </c>
      <c r="O529" s="519"/>
      <c r="P529" s="519"/>
      <c r="Q529" s="382"/>
      <c r="R529" s="521">
        <f>LOOKUP(ROUNDUP(IF((N529-$R$10)&lt;=0,1,(N529-$R$10))/365,0),'Profit Division'!$A$4:$A$30,'Profit Division'!$C$4:$C$30)</f>
        <v>1.1403848734836686E-4</v>
      </c>
      <c r="S529" s="521"/>
      <c r="T529" s="521"/>
      <c r="U529" s="380"/>
      <c r="V529" s="522">
        <f ca="1">R529*LOOKUP(N529,'reserve calculation'!B:B,'reserve calculation'!D:D)</f>
        <v>53165.506336928433</v>
      </c>
      <c r="W529" s="522"/>
      <c r="X529" s="522"/>
      <c r="Y529" s="382"/>
    </row>
    <row r="530" spans="9:25" ht="12.75" customHeight="1">
      <c r="I530" s="382"/>
      <c r="J530" s="519"/>
      <c r="K530" s="519"/>
      <c r="L530" s="519"/>
      <c r="M530" s="380"/>
      <c r="N530" s="519"/>
      <c r="O530" s="519"/>
      <c r="P530" s="519"/>
      <c r="Q530" s="382"/>
      <c r="R530" s="521"/>
      <c r="S530" s="521"/>
      <c r="T530" s="521"/>
      <c r="U530" s="380"/>
      <c r="V530" s="522"/>
      <c r="W530" s="522"/>
      <c r="X530" s="522"/>
      <c r="Y530" s="382"/>
    </row>
    <row r="531" spans="9:25" ht="12.75" customHeight="1">
      <c r="I531" s="382"/>
      <c r="J531" s="519">
        <f t="shared" si="356"/>
        <v>252</v>
      </c>
      <c r="K531" s="519"/>
      <c r="L531" s="519"/>
      <c r="M531" s="380"/>
      <c r="N531" s="520">
        <f t="shared" si="355"/>
        <v>47370</v>
      </c>
      <c r="O531" s="519"/>
      <c r="P531" s="519"/>
      <c r="Q531" s="382"/>
      <c r="R531" s="521">
        <f>LOOKUP(ROUNDUP(IF((N531-$R$10)&lt;=0,1,(N531-$R$10))/365,0),'Profit Division'!$A$4:$A$30,'Profit Division'!$C$4:$C$30)</f>
        <v>1.1403848734836686E-4</v>
      </c>
      <c r="S531" s="521"/>
      <c r="T531" s="521"/>
      <c r="U531" s="380"/>
      <c r="V531" s="522">
        <f ca="1">R531*LOOKUP(N531,'reserve calculation'!B:B,'reserve calculation'!D:D)</f>
        <v>53185.867808768511</v>
      </c>
      <c r="W531" s="522"/>
      <c r="X531" s="522"/>
      <c r="Y531" s="382"/>
    </row>
    <row r="532" spans="9:25" ht="12.75" customHeight="1">
      <c r="I532" s="382"/>
      <c r="J532" s="519"/>
      <c r="K532" s="519"/>
      <c r="L532" s="519"/>
      <c r="M532" s="380"/>
      <c r="N532" s="519"/>
      <c r="O532" s="519"/>
      <c r="P532" s="519"/>
      <c r="Q532" s="382"/>
      <c r="R532" s="521"/>
      <c r="S532" s="521"/>
      <c r="T532" s="521"/>
      <c r="U532" s="380"/>
      <c r="V532" s="522"/>
      <c r="W532" s="522"/>
      <c r="X532" s="522"/>
      <c r="Y532" s="382"/>
    </row>
    <row r="533" spans="9:25" ht="12.75" customHeight="1">
      <c r="I533" s="382"/>
      <c r="J533" s="519">
        <f t="shared" si="356"/>
        <v>253</v>
      </c>
      <c r="K533" s="519"/>
      <c r="L533" s="519"/>
      <c r="M533" s="380"/>
      <c r="N533" s="520">
        <f t="shared" si="355"/>
        <v>47371</v>
      </c>
      <c r="O533" s="519"/>
      <c r="P533" s="519"/>
      <c r="Q533" s="382"/>
      <c r="R533" s="521">
        <f>LOOKUP(ROUNDUP(IF((N533-$R$10)&lt;=0,1,(N533-$R$10))/365,0),'Profit Division'!$A$4:$A$30,'Profit Division'!$C$4:$C$30)</f>
        <v>1.1403848734836686E-4</v>
      </c>
      <c r="S533" s="521"/>
      <c r="T533" s="521"/>
      <c r="U533" s="380"/>
      <c r="V533" s="522">
        <f ca="1">R533*LOOKUP(N533,'reserve calculation'!B:B,'reserve calculation'!D:D)</f>
        <v>53206.23707870108</v>
      </c>
      <c r="W533" s="522"/>
      <c r="X533" s="522"/>
      <c r="Y533" s="382"/>
    </row>
    <row r="534" spans="9:25" ht="12.75" customHeight="1">
      <c r="I534" s="382"/>
      <c r="J534" s="519"/>
      <c r="K534" s="519"/>
      <c r="L534" s="519"/>
      <c r="M534" s="380"/>
      <c r="N534" s="519"/>
      <c r="O534" s="519"/>
      <c r="P534" s="519"/>
      <c r="Q534" s="382"/>
      <c r="R534" s="521"/>
      <c r="S534" s="521"/>
      <c r="T534" s="521"/>
      <c r="U534" s="380"/>
      <c r="V534" s="522"/>
      <c r="W534" s="522"/>
      <c r="X534" s="522"/>
      <c r="Y534" s="382"/>
    </row>
    <row r="535" spans="9:25" ht="12.75" customHeight="1">
      <c r="I535" s="382"/>
      <c r="J535" s="519">
        <f t="shared" si="356"/>
        <v>254</v>
      </c>
      <c r="K535" s="519"/>
      <c r="L535" s="519"/>
      <c r="M535" s="380"/>
      <c r="N535" s="520">
        <f t="shared" si="355"/>
        <v>47372</v>
      </c>
      <c r="O535" s="519"/>
      <c r="P535" s="519"/>
      <c r="Q535" s="382"/>
      <c r="R535" s="521">
        <f>LOOKUP(ROUNDUP(IF((N535-$R$10)&lt;=0,1,(N535-$R$10))/365,0),'Profit Division'!$A$4:$A$30,'Profit Division'!$C$4:$C$30)</f>
        <v>1.1403848734836686E-4</v>
      </c>
      <c r="S535" s="521"/>
      <c r="T535" s="521"/>
      <c r="U535" s="380"/>
      <c r="V535" s="522">
        <f ca="1">R535*LOOKUP(N535,'reserve calculation'!B:B,'reserve calculation'!D:D)</f>
        <v>53226.614149712674</v>
      </c>
      <c r="W535" s="522"/>
      <c r="X535" s="522"/>
      <c r="Y535" s="382"/>
    </row>
    <row r="536" spans="9:25" ht="12.75" customHeight="1">
      <c r="I536" s="382"/>
      <c r="J536" s="519"/>
      <c r="K536" s="519"/>
      <c r="L536" s="519"/>
      <c r="M536" s="380"/>
      <c r="N536" s="519"/>
      <c r="O536" s="519"/>
      <c r="P536" s="519"/>
      <c r="Q536" s="382"/>
      <c r="R536" s="521"/>
      <c r="S536" s="521"/>
      <c r="T536" s="521"/>
      <c r="U536" s="380"/>
      <c r="V536" s="522"/>
      <c r="W536" s="522"/>
      <c r="X536" s="522"/>
      <c r="Y536" s="382"/>
    </row>
    <row r="537" spans="9:25" ht="12.75" customHeight="1">
      <c r="I537" s="382"/>
      <c r="J537" s="519">
        <f t="shared" si="356"/>
        <v>255</v>
      </c>
      <c r="K537" s="519"/>
      <c r="L537" s="519"/>
      <c r="M537" s="380"/>
      <c r="N537" s="520">
        <f t="shared" si="355"/>
        <v>47373</v>
      </c>
      <c r="O537" s="519"/>
      <c r="P537" s="519"/>
      <c r="Q537" s="382"/>
      <c r="R537" s="521">
        <f>LOOKUP(ROUNDUP(IF((N537-$R$10)&lt;=0,1,(N537-$R$10))/365,0),'Profit Division'!$A$4:$A$30,'Profit Division'!$C$4:$C$30)</f>
        <v>1.1403848734836686E-4</v>
      </c>
      <c r="S537" s="521"/>
      <c r="T537" s="521"/>
      <c r="U537" s="380"/>
      <c r="V537" s="522">
        <f ca="1">R537*LOOKUP(N537,'reserve calculation'!B:B,'reserve calculation'!D:D)</f>
        <v>53246.999024790959</v>
      </c>
      <c r="W537" s="522"/>
      <c r="X537" s="522"/>
      <c r="Y537" s="382"/>
    </row>
    <row r="538" spans="9:25" ht="12.75" customHeight="1">
      <c r="I538" s="382"/>
      <c r="J538" s="519"/>
      <c r="K538" s="519"/>
      <c r="L538" s="519"/>
      <c r="M538" s="380"/>
      <c r="N538" s="519"/>
      <c r="O538" s="519"/>
      <c r="P538" s="519"/>
      <c r="Q538" s="382"/>
      <c r="R538" s="521"/>
      <c r="S538" s="521"/>
      <c r="T538" s="521"/>
      <c r="U538" s="380"/>
      <c r="V538" s="522"/>
      <c r="W538" s="522"/>
      <c r="X538" s="522"/>
      <c r="Y538" s="382"/>
    </row>
    <row r="539" spans="9:25" ht="12.75" customHeight="1">
      <c r="I539" s="382"/>
      <c r="J539" s="519">
        <f t="shared" si="356"/>
        <v>256</v>
      </c>
      <c r="K539" s="519"/>
      <c r="L539" s="519"/>
      <c r="M539" s="380"/>
      <c r="N539" s="520">
        <f t="shared" si="355"/>
        <v>47374</v>
      </c>
      <c r="O539" s="519"/>
      <c r="P539" s="519"/>
      <c r="Q539" s="382"/>
      <c r="R539" s="521">
        <f>LOOKUP(ROUNDUP(IF((N539-$R$10)&lt;=0,1,(N539-$R$10))/365,0),'Profit Division'!$A$4:$A$30,'Profit Division'!$C$4:$C$30)</f>
        <v>1.1403848734836686E-4</v>
      </c>
      <c r="S539" s="521"/>
      <c r="T539" s="521"/>
      <c r="U539" s="380"/>
      <c r="V539" s="522">
        <f ca="1">R539*LOOKUP(N539,'reserve calculation'!B:B,'reserve calculation'!D:D)</f>
        <v>53267.391706924769</v>
      </c>
      <c r="W539" s="522"/>
      <c r="X539" s="522"/>
      <c r="Y539" s="382"/>
    </row>
    <row r="540" spans="9:25" ht="12.75" customHeight="1">
      <c r="I540" s="382"/>
      <c r="J540" s="519"/>
      <c r="K540" s="519"/>
      <c r="L540" s="519"/>
      <c r="M540" s="380"/>
      <c r="N540" s="519"/>
      <c r="O540" s="519"/>
      <c r="P540" s="519"/>
      <c r="Q540" s="382"/>
      <c r="R540" s="521"/>
      <c r="S540" s="521"/>
      <c r="T540" s="521"/>
      <c r="U540" s="380"/>
      <c r="V540" s="522"/>
      <c r="W540" s="522"/>
      <c r="X540" s="522"/>
      <c r="Y540" s="382"/>
    </row>
    <row r="541" spans="9:25" ht="12.75" customHeight="1">
      <c r="I541" s="382"/>
      <c r="J541" s="519">
        <f t="shared" si="356"/>
        <v>257</v>
      </c>
      <c r="K541" s="519"/>
      <c r="L541" s="519"/>
      <c r="M541" s="380"/>
      <c r="N541" s="520">
        <f t="shared" si="355"/>
        <v>47375</v>
      </c>
      <c r="O541" s="519"/>
      <c r="P541" s="519"/>
      <c r="Q541" s="382"/>
      <c r="R541" s="521">
        <f>LOOKUP(ROUNDUP(IF((N541-$R$10)&lt;=0,1,(N541-$R$10))/365,0),'Profit Division'!$A$4:$A$30,'Profit Division'!$C$4:$C$30)</f>
        <v>1.1403848734836686E-4</v>
      </c>
      <c r="S541" s="521"/>
      <c r="T541" s="521"/>
      <c r="U541" s="380"/>
      <c r="V541" s="522">
        <f ca="1">R541*LOOKUP(N541,'reserve calculation'!B:B,'reserve calculation'!D:D)</f>
        <v>53287.792199104078</v>
      </c>
      <c r="W541" s="522"/>
      <c r="X541" s="522"/>
      <c r="Y541" s="382"/>
    </row>
    <row r="542" spans="9:25" ht="12.75" customHeight="1">
      <c r="I542" s="382"/>
      <c r="J542" s="519"/>
      <c r="K542" s="519"/>
      <c r="L542" s="519"/>
      <c r="M542" s="380"/>
      <c r="N542" s="519"/>
      <c r="O542" s="519"/>
      <c r="P542" s="519"/>
      <c r="Q542" s="382"/>
      <c r="R542" s="521"/>
      <c r="S542" s="521"/>
      <c r="T542" s="521"/>
      <c r="U542" s="380"/>
      <c r="V542" s="522"/>
      <c r="W542" s="522"/>
      <c r="X542" s="522"/>
      <c r="Y542" s="382"/>
    </row>
    <row r="543" spans="9:25" ht="12.75" customHeight="1">
      <c r="I543" s="382"/>
      <c r="J543" s="519">
        <f t="shared" si="356"/>
        <v>258</v>
      </c>
      <c r="K543" s="519"/>
      <c r="L543" s="519"/>
      <c r="M543" s="380"/>
      <c r="N543" s="520">
        <f t="shared" si="355"/>
        <v>47376</v>
      </c>
      <c r="O543" s="519"/>
      <c r="P543" s="519"/>
      <c r="Q543" s="382"/>
      <c r="R543" s="521">
        <f>LOOKUP(ROUNDUP(IF((N543-$R$10)&lt;=0,1,(N543-$R$10))/365,0),'Profit Division'!$A$4:$A$30,'Profit Division'!$C$4:$C$30)</f>
        <v>1.1403848734836686E-4</v>
      </c>
      <c r="S543" s="521"/>
      <c r="T543" s="521"/>
      <c r="U543" s="380"/>
      <c r="V543" s="522">
        <f ca="1">R543*LOOKUP(N543,'reserve calculation'!B:B,'reserve calculation'!D:D)</f>
        <v>53308.200504319975</v>
      </c>
      <c r="W543" s="522"/>
      <c r="X543" s="522"/>
      <c r="Y543" s="382"/>
    </row>
    <row r="544" spans="9:25" ht="12.75" customHeight="1">
      <c r="I544" s="382"/>
      <c r="J544" s="519"/>
      <c r="K544" s="519"/>
      <c r="L544" s="519"/>
      <c r="M544" s="380"/>
      <c r="N544" s="519"/>
      <c r="O544" s="519"/>
      <c r="P544" s="519"/>
      <c r="Q544" s="382"/>
      <c r="R544" s="521"/>
      <c r="S544" s="521"/>
      <c r="T544" s="521"/>
      <c r="U544" s="380"/>
      <c r="V544" s="522"/>
      <c r="W544" s="522"/>
      <c r="X544" s="522"/>
      <c r="Y544" s="382"/>
    </row>
    <row r="545" spans="9:25" ht="12.75" customHeight="1">
      <c r="I545" s="382"/>
      <c r="J545" s="519">
        <f t="shared" si="356"/>
        <v>259</v>
      </c>
      <c r="K545" s="519"/>
      <c r="L545" s="519"/>
      <c r="M545" s="380"/>
      <c r="N545" s="520">
        <f t="shared" si="355"/>
        <v>47377</v>
      </c>
      <c r="O545" s="519"/>
      <c r="P545" s="519"/>
      <c r="Q545" s="382"/>
      <c r="R545" s="521">
        <f>LOOKUP(ROUNDUP(IF((N545-$R$10)&lt;=0,1,(N545-$R$10))/365,0),'Profit Division'!$A$4:$A$30,'Profit Division'!$C$4:$C$30)</f>
        <v>1.1403848734836686E-4</v>
      </c>
      <c r="S545" s="521"/>
      <c r="T545" s="521"/>
      <c r="U545" s="380"/>
      <c r="V545" s="522">
        <f ca="1">R545*LOOKUP(N545,'reserve calculation'!B:B,'reserve calculation'!D:D)</f>
        <v>53328.616625564748</v>
      </c>
      <c r="W545" s="522"/>
      <c r="X545" s="522"/>
      <c r="Y545" s="382"/>
    </row>
    <row r="546" spans="9:25" ht="12.75" customHeight="1">
      <c r="I546" s="382"/>
      <c r="J546" s="519"/>
      <c r="K546" s="519"/>
      <c r="L546" s="519"/>
      <c r="M546" s="380"/>
      <c r="N546" s="519"/>
      <c r="O546" s="519"/>
      <c r="P546" s="519"/>
      <c r="Q546" s="382"/>
      <c r="R546" s="521"/>
      <c r="S546" s="521"/>
      <c r="T546" s="521"/>
      <c r="U546" s="380"/>
      <c r="V546" s="522"/>
      <c r="W546" s="522"/>
      <c r="X546" s="522"/>
      <c r="Y546" s="382"/>
    </row>
    <row r="547" spans="9:25" ht="12.75" customHeight="1">
      <c r="I547" s="382"/>
      <c r="J547" s="519">
        <f t="shared" si="356"/>
        <v>260</v>
      </c>
      <c r="K547" s="519"/>
      <c r="L547" s="519"/>
      <c r="M547" s="380"/>
      <c r="N547" s="520">
        <f t="shared" si="355"/>
        <v>47378</v>
      </c>
      <c r="O547" s="519"/>
      <c r="P547" s="519"/>
      <c r="Q547" s="382"/>
      <c r="R547" s="521">
        <f>LOOKUP(ROUNDUP(IF((N547-$R$10)&lt;=0,1,(N547-$R$10))/365,0),'Profit Division'!$A$4:$A$30,'Profit Division'!$C$4:$C$30)</f>
        <v>1.1403848734836686E-4</v>
      </c>
      <c r="S547" s="521"/>
      <c r="T547" s="521"/>
      <c r="U547" s="380"/>
      <c r="V547" s="522">
        <f ca="1">R547*LOOKUP(N547,'reserve calculation'!B:B,'reserve calculation'!D:D)</f>
        <v>53349.040565831783</v>
      </c>
      <c r="W547" s="522"/>
      <c r="X547" s="522"/>
      <c r="Y547" s="382"/>
    </row>
    <row r="548" spans="9:25" ht="12.75" customHeight="1">
      <c r="I548" s="382"/>
      <c r="J548" s="519"/>
      <c r="K548" s="519"/>
      <c r="L548" s="519"/>
      <c r="M548" s="380"/>
      <c r="N548" s="519"/>
      <c r="O548" s="519"/>
      <c r="P548" s="519"/>
      <c r="Q548" s="382"/>
      <c r="R548" s="521"/>
      <c r="S548" s="521"/>
      <c r="T548" s="521"/>
      <c r="U548" s="380"/>
      <c r="V548" s="522"/>
      <c r="W548" s="522"/>
      <c r="X548" s="522"/>
      <c r="Y548" s="382"/>
    </row>
    <row r="549" spans="9:25" ht="12.75" customHeight="1">
      <c r="I549" s="382"/>
      <c r="J549" s="519">
        <f t="shared" si="356"/>
        <v>261</v>
      </c>
      <c r="K549" s="519"/>
      <c r="L549" s="519"/>
      <c r="M549" s="380"/>
      <c r="N549" s="520">
        <f t="shared" si="355"/>
        <v>47379</v>
      </c>
      <c r="O549" s="519"/>
      <c r="P549" s="519"/>
      <c r="Q549" s="382"/>
      <c r="R549" s="521">
        <f>LOOKUP(ROUNDUP(IF((N549-$R$10)&lt;=0,1,(N549-$R$10))/365,0),'Profit Division'!$A$4:$A$30,'Profit Division'!$C$4:$C$30)</f>
        <v>1.1403848734836686E-4</v>
      </c>
      <c r="S549" s="521"/>
      <c r="T549" s="521"/>
      <c r="U549" s="380"/>
      <c r="V549" s="522">
        <f ca="1">R549*LOOKUP(N549,'reserve calculation'!B:B,'reserve calculation'!D:D)</f>
        <v>53369.472328115633</v>
      </c>
      <c r="W549" s="522"/>
      <c r="X549" s="522"/>
      <c r="Y549" s="382"/>
    </row>
    <row r="550" spans="9:25" ht="12.75" customHeight="1">
      <c r="I550" s="382"/>
      <c r="J550" s="519"/>
      <c r="K550" s="519"/>
      <c r="L550" s="519"/>
      <c r="M550" s="380"/>
      <c r="N550" s="519"/>
      <c r="O550" s="519"/>
      <c r="P550" s="519"/>
      <c r="Q550" s="382"/>
      <c r="R550" s="521"/>
      <c r="S550" s="521"/>
      <c r="T550" s="521"/>
      <c r="U550" s="380"/>
      <c r="V550" s="522"/>
      <c r="W550" s="522"/>
      <c r="X550" s="522"/>
      <c r="Y550" s="382"/>
    </row>
    <row r="551" spans="9:25" ht="12.75" customHeight="1">
      <c r="I551" s="382"/>
      <c r="J551" s="519">
        <f t="shared" si="356"/>
        <v>262</v>
      </c>
      <c r="K551" s="519"/>
      <c r="L551" s="519"/>
      <c r="M551" s="380"/>
      <c r="N551" s="520">
        <f t="shared" si="355"/>
        <v>47380</v>
      </c>
      <c r="O551" s="519"/>
      <c r="P551" s="519"/>
      <c r="Q551" s="382"/>
      <c r="R551" s="521">
        <f>LOOKUP(ROUNDUP(IF((N551-$R$10)&lt;=0,1,(N551-$R$10))/365,0),'Profit Division'!$A$4:$A$30,'Profit Division'!$C$4:$C$30)</f>
        <v>1.1403848734836686E-4</v>
      </c>
      <c r="S551" s="521"/>
      <c r="T551" s="521"/>
      <c r="U551" s="380"/>
      <c r="V551" s="522">
        <f ca="1">R551*LOOKUP(N551,'reserve calculation'!B:B,'reserve calculation'!D:D)</f>
        <v>53389.911915411991</v>
      </c>
      <c r="W551" s="522"/>
      <c r="X551" s="522"/>
      <c r="Y551" s="382"/>
    </row>
    <row r="552" spans="9:25" ht="12.75" customHeight="1">
      <c r="I552" s="382"/>
      <c r="J552" s="519"/>
      <c r="K552" s="519"/>
      <c r="L552" s="519"/>
      <c r="M552" s="380"/>
      <c r="N552" s="519"/>
      <c r="O552" s="519"/>
      <c r="P552" s="519"/>
      <c r="Q552" s="382"/>
      <c r="R552" s="521"/>
      <c r="S552" s="521"/>
      <c r="T552" s="521"/>
      <c r="U552" s="380"/>
      <c r="V552" s="522"/>
      <c r="W552" s="522"/>
      <c r="X552" s="522"/>
      <c r="Y552" s="382"/>
    </row>
    <row r="553" spans="9:25" ht="12.75" customHeight="1">
      <c r="I553" s="382"/>
      <c r="J553" s="519">
        <f t="shared" si="356"/>
        <v>263</v>
      </c>
      <c r="K553" s="519"/>
      <c r="L553" s="519"/>
      <c r="M553" s="380"/>
      <c r="N553" s="520">
        <f t="shared" si="355"/>
        <v>47381</v>
      </c>
      <c r="O553" s="519"/>
      <c r="P553" s="519"/>
      <c r="Q553" s="382"/>
      <c r="R553" s="521">
        <f>LOOKUP(ROUNDUP(IF((N553-$R$10)&lt;=0,1,(N553-$R$10))/365,0),'Profit Division'!$A$4:$A$30,'Profit Division'!$C$4:$C$30)</f>
        <v>1.1403848734836686E-4</v>
      </c>
      <c r="S553" s="521"/>
      <c r="T553" s="521"/>
      <c r="U553" s="380"/>
      <c r="V553" s="522">
        <f ca="1">R553*LOOKUP(N553,'reserve calculation'!B:B,'reserve calculation'!D:D)</f>
        <v>53410.359330717714</v>
      </c>
      <c r="W553" s="522"/>
      <c r="X553" s="522"/>
      <c r="Y553" s="382"/>
    </row>
    <row r="554" spans="9:25" ht="12.75" customHeight="1">
      <c r="I554" s="382"/>
      <c r="J554" s="519"/>
      <c r="K554" s="519"/>
      <c r="L554" s="519"/>
      <c r="M554" s="380"/>
      <c r="N554" s="519"/>
      <c r="O554" s="519"/>
      <c r="P554" s="519"/>
      <c r="Q554" s="382"/>
      <c r="R554" s="521"/>
      <c r="S554" s="521"/>
      <c r="T554" s="521"/>
      <c r="U554" s="380"/>
      <c r="V554" s="522"/>
      <c r="W554" s="522"/>
      <c r="X554" s="522"/>
      <c r="Y554" s="382"/>
    </row>
    <row r="555" spans="9:25" ht="12.75" customHeight="1">
      <c r="I555" s="382"/>
      <c r="J555" s="519">
        <f t="shared" si="356"/>
        <v>264</v>
      </c>
      <c r="K555" s="519"/>
      <c r="L555" s="519"/>
      <c r="M555" s="380"/>
      <c r="N555" s="520">
        <f t="shared" si="355"/>
        <v>47382</v>
      </c>
      <c r="O555" s="519"/>
      <c r="P555" s="519"/>
      <c r="Q555" s="382"/>
      <c r="R555" s="521">
        <f>LOOKUP(ROUNDUP(IF((N555-$R$10)&lt;=0,1,(N555-$R$10))/365,0),'Profit Division'!$A$4:$A$30,'Profit Division'!$C$4:$C$30)</f>
        <v>1.1403848734836686E-4</v>
      </c>
      <c r="S555" s="521"/>
      <c r="T555" s="521"/>
      <c r="U555" s="380"/>
      <c r="V555" s="522">
        <f ca="1">R555*LOOKUP(N555,'reserve calculation'!B:B,'reserve calculation'!D:D)</f>
        <v>53430.814577030782</v>
      </c>
      <c r="W555" s="522"/>
      <c r="X555" s="522"/>
      <c r="Y555" s="382"/>
    </row>
    <row r="556" spans="9:25" ht="12.75" customHeight="1">
      <c r="I556" s="382"/>
      <c r="J556" s="519"/>
      <c r="K556" s="519"/>
      <c r="L556" s="519"/>
      <c r="M556" s="380"/>
      <c r="N556" s="519"/>
      <c r="O556" s="519"/>
      <c r="P556" s="519"/>
      <c r="Q556" s="382"/>
      <c r="R556" s="521"/>
      <c r="S556" s="521"/>
      <c r="T556" s="521"/>
      <c r="U556" s="380"/>
      <c r="V556" s="522"/>
      <c r="W556" s="522"/>
      <c r="X556" s="522"/>
      <c r="Y556" s="382"/>
    </row>
    <row r="557" spans="9:25" ht="12.75" customHeight="1">
      <c r="I557" s="382"/>
      <c r="J557" s="519">
        <f t="shared" si="356"/>
        <v>265</v>
      </c>
      <c r="K557" s="519"/>
      <c r="L557" s="519"/>
      <c r="M557" s="380"/>
      <c r="N557" s="520">
        <f t="shared" si="355"/>
        <v>47383</v>
      </c>
      <c r="O557" s="519"/>
      <c r="P557" s="519"/>
      <c r="Q557" s="382"/>
      <c r="R557" s="521">
        <f>LOOKUP(ROUNDUP(IF((N557-$R$10)&lt;=0,1,(N557-$R$10))/365,0),'Profit Division'!$A$4:$A$30,'Profit Division'!$C$4:$C$30)</f>
        <v>1.1403848734836686E-4</v>
      </c>
      <c r="S557" s="521"/>
      <c r="T557" s="521"/>
      <c r="U557" s="380"/>
      <c r="V557" s="522">
        <f ca="1">R557*LOOKUP(N557,'reserve calculation'!B:B,'reserve calculation'!D:D)</f>
        <v>53451.277657350351</v>
      </c>
      <c r="W557" s="522"/>
      <c r="X557" s="522"/>
      <c r="Y557" s="382"/>
    </row>
    <row r="558" spans="9:25" ht="12.75" customHeight="1">
      <c r="I558" s="382"/>
      <c r="J558" s="519"/>
      <c r="K558" s="519"/>
      <c r="L558" s="519"/>
      <c r="M558" s="380"/>
      <c r="N558" s="519"/>
      <c r="O558" s="519"/>
      <c r="P558" s="519"/>
      <c r="Q558" s="382"/>
      <c r="R558" s="521"/>
      <c r="S558" s="521"/>
      <c r="T558" s="521"/>
      <c r="U558" s="380"/>
      <c r="V558" s="522"/>
      <c r="W558" s="522"/>
      <c r="X558" s="522"/>
      <c r="Y558" s="382"/>
    </row>
    <row r="559" spans="9:25" ht="12.75" customHeight="1">
      <c r="I559" s="382"/>
      <c r="J559" s="519">
        <f t="shared" si="356"/>
        <v>266</v>
      </c>
      <c r="K559" s="519"/>
      <c r="L559" s="519"/>
      <c r="M559" s="380"/>
      <c r="N559" s="520">
        <f t="shared" si="355"/>
        <v>47384</v>
      </c>
      <c r="O559" s="519"/>
      <c r="P559" s="519"/>
      <c r="Q559" s="382"/>
      <c r="R559" s="521">
        <f>LOOKUP(ROUNDUP(IF((N559-$R$10)&lt;=0,1,(N559-$R$10))/365,0),'Profit Division'!$A$4:$A$30,'Profit Division'!$C$4:$C$30)</f>
        <v>1.1403848734836686E-4</v>
      </c>
      <c r="S559" s="521"/>
      <c r="T559" s="521"/>
      <c r="U559" s="380"/>
      <c r="V559" s="522">
        <f ca="1">R559*LOOKUP(N559,'reserve calculation'!B:B,'reserve calculation'!D:D)</f>
        <v>53471.748574676698</v>
      </c>
      <c r="W559" s="522"/>
      <c r="X559" s="522"/>
      <c r="Y559" s="382"/>
    </row>
    <row r="560" spans="9:25" ht="12.75" customHeight="1">
      <c r="I560" s="382"/>
      <c r="J560" s="519"/>
      <c r="K560" s="519"/>
      <c r="L560" s="519"/>
      <c r="M560" s="380"/>
      <c r="N560" s="519"/>
      <c r="O560" s="519"/>
      <c r="P560" s="519"/>
      <c r="Q560" s="382"/>
      <c r="R560" s="521"/>
      <c r="S560" s="521"/>
      <c r="T560" s="521"/>
      <c r="U560" s="380"/>
      <c r="V560" s="522"/>
      <c r="W560" s="522"/>
      <c r="X560" s="522"/>
      <c r="Y560" s="382"/>
    </row>
    <row r="561" spans="9:25" ht="12.75" customHeight="1">
      <c r="I561" s="382"/>
      <c r="J561" s="519">
        <f t="shared" si="356"/>
        <v>267</v>
      </c>
      <c r="K561" s="519"/>
      <c r="L561" s="519"/>
      <c r="M561" s="380"/>
      <c r="N561" s="520">
        <f t="shared" si="355"/>
        <v>47385</v>
      </c>
      <c r="O561" s="519"/>
      <c r="P561" s="519"/>
      <c r="Q561" s="382"/>
      <c r="R561" s="521">
        <f>LOOKUP(ROUNDUP(IF((N561-$R$10)&lt;=0,1,(N561-$R$10))/365,0),'Profit Division'!$A$4:$A$30,'Profit Division'!$C$4:$C$30)</f>
        <v>1.1403848734836686E-4</v>
      </c>
      <c r="S561" s="521"/>
      <c r="T561" s="521"/>
      <c r="U561" s="380"/>
      <c r="V561" s="522">
        <f ca="1">R561*LOOKUP(N561,'reserve calculation'!B:B,'reserve calculation'!D:D)</f>
        <v>53492.227332011258</v>
      </c>
      <c r="W561" s="522"/>
      <c r="X561" s="522"/>
      <c r="Y561" s="382"/>
    </row>
    <row r="562" spans="9:25" ht="12.75" customHeight="1">
      <c r="I562" s="382"/>
      <c r="J562" s="519"/>
      <c r="K562" s="519"/>
      <c r="L562" s="519"/>
      <c r="M562" s="380"/>
      <c r="N562" s="519"/>
      <c r="O562" s="519"/>
      <c r="P562" s="519"/>
      <c r="Q562" s="382"/>
      <c r="R562" s="521"/>
      <c r="S562" s="521"/>
      <c r="T562" s="521"/>
      <c r="U562" s="380"/>
      <c r="V562" s="522"/>
      <c r="W562" s="522"/>
      <c r="X562" s="522"/>
      <c r="Y562" s="382"/>
    </row>
    <row r="563" spans="9:25" ht="12.75" customHeight="1">
      <c r="I563" s="382"/>
      <c r="J563" s="519">
        <f t="shared" si="356"/>
        <v>268</v>
      </c>
      <c r="K563" s="519"/>
      <c r="L563" s="519"/>
      <c r="M563" s="380"/>
      <c r="N563" s="520">
        <f t="shared" si="355"/>
        <v>47386</v>
      </c>
      <c r="O563" s="519"/>
      <c r="P563" s="519"/>
      <c r="Q563" s="382"/>
      <c r="R563" s="521">
        <f>LOOKUP(ROUNDUP(IF((N563-$R$10)&lt;=0,1,(N563-$R$10))/365,0),'Profit Division'!$A$4:$A$30,'Profit Division'!$C$4:$C$30)</f>
        <v>1.1403848734836686E-4</v>
      </c>
      <c r="S563" s="521"/>
      <c r="T563" s="521"/>
      <c r="U563" s="380"/>
      <c r="V563" s="522">
        <f ca="1">R563*LOOKUP(N563,'reserve calculation'!B:B,'reserve calculation'!D:D)</f>
        <v>53512.71393235663</v>
      </c>
      <c r="W563" s="522"/>
      <c r="X563" s="522"/>
      <c r="Y563" s="382"/>
    </row>
    <row r="564" spans="9:25" ht="12.75" customHeight="1">
      <c r="I564" s="382"/>
      <c r="J564" s="519"/>
      <c r="K564" s="519"/>
      <c r="L564" s="519"/>
      <c r="M564" s="380"/>
      <c r="N564" s="519"/>
      <c r="O564" s="519"/>
      <c r="P564" s="519"/>
      <c r="Q564" s="382"/>
      <c r="R564" s="521"/>
      <c r="S564" s="521"/>
      <c r="T564" s="521"/>
      <c r="U564" s="380"/>
      <c r="V564" s="522"/>
      <c r="W564" s="522"/>
      <c r="X564" s="522"/>
      <c r="Y564" s="382"/>
    </row>
    <row r="565" spans="9:25" ht="12.75" customHeight="1">
      <c r="I565" s="382"/>
      <c r="J565" s="519">
        <f t="shared" si="356"/>
        <v>269</v>
      </c>
      <c r="K565" s="519"/>
      <c r="L565" s="519"/>
      <c r="M565" s="380"/>
      <c r="N565" s="520">
        <f t="shared" si="355"/>
        <v>47387</v>
      </c>
      <c r="O565" s="519"/>
      <c r="P565" s="519"/>
      <c r="Q565" s="382"/>
      <c r="R565" s="521">
        <f>LOOKUP(ROUNDUP(IF((N565-$R$10)&lt;=0,1,(N565-$R$10))/365,0),'Profit Division'!$A$4:$A$30,'Profit Division'!$C$4:$C$30)</f>
        <v>1.1403848734836686E-4</v>
      </c>
      <c r="S565" s="521"/>
      <c r="T565" s="521"/>
      <c r="U565" s="380"/>
      <c r="V565" s="522">
        <f ca="1">R565*LOOKUP(N565,'reserve calculation'!B:B,'reserve calculation'!D:D)</f>
        <v>53533.208378716554</v>
      </c>
      <c r="W565" s="522"/>
      <c r="X565" s="522"/>
      <c r="Y565" s="382"/>
    </row>
    <row r="566" spans="9:25" ht="12.75" customHeight="1">
      <c r="I566" s="382"/>
      <c r="J566" s="519"/>
      <c r="K566" s="519"/>
      <c r="L566" s="519"/>
      <c r="M566" s="380"/>
      <c r="N566" s="519"/>
      <c r="O566" s="519"/>
      <c r="P566" s="519"/>
      <c r="Q566" s="382"/>
      <c r="R566" s="521"/>
      <c r="S566" s="521"/>
      <c r="T566" s="521"/>
      <c r="U566" s="380"/>
      <c r="V566" s="522"/>
      <c r="W566" s="522"/>
      <c r="X566" s="522"/>
      <c r="Y566" s="382"/>
    </row>
    <row r="567" spans="9:25" ht="12.75" customHeight="1">
      <c r="I567" s="382"/>
      <c r="J567" s="519">
        <f t="shared" si="356"/>
        <v>270</v>
      </c>
      <c r="K567" s="519"/>
      <c r="L567" s="519"/>
      <c r="M567" s="380"/>
      <c r="N567" s="520">
        <f t="shared" si="355"/>
        <v>47388</v>
      </c>
      <c r="O567" s="519"/>
      <c r="P567" s="519"/>
      <c r="Q567" s="382"/>
      <c r="R567" s="521">
        <f>LOOKUP(ROUNDUP(IF((N567-$R$10)&lt;=0,1,(N567-$R$10))/365,0),'Profit Division'!$A$4:$A$30,'Profit Division'!$C$4:$C$30)</f>
        <v>1.1403848734836686E-4</v>
      </c>
      <c r="S567" s="521"/>
      <c r="T567" s="521"/>
      <c r="U567" s="380"/>
      <c r="V567" s="522">
        <f ca="1">R567*LOOKUP(N567,'reserve calculation'!B:B,'reserve calculation'!D:D)</f>
        <v>53553.710674095906</v>
      </c>
      <c r="W567" s="522"/>
      <c r="X567" s="522"/>
      <c r="Y567" s="382"/>
    </row>
    <row r="568" spans="9:25" ht="12.75" customHeight="1">
      <c r="I568" s="382"/>
      <c r="J568" s="519"/>
      <c r="K568" s="519"/>
      <c r="L568" s="519"/>
      <c r="M568" s="380"/>
      <c r="N568" s="519"/>
      <c r="O568" s="519"/>
      <c r="P568" s="519"/>
      <c r="Q568" s="382"/>
      <c r="R568" s="521"/>
      <c r="S568" s="521"/>
      <c r="T568" s="521"/>
      <c r="U568" s="380"/>
      <c r="V568" s="522"/>
      <c r="W568" s="522"/>
      <c r="X568" s="522"/>
      <c r="Y568" s="382"/>
    </row>
    <row r="569" spans="9:25" ht="12.75" customHeight="1">
      <c r="I569" s="382"/>
      <c r="J569" s="519">
        <f t="shared" si="356"/>
        <v>271</v>
      </c>
      <c r="K569" s="519"/>
      <c r="L569" s="519"/>
      <c r="M569" s="380"/>
      <c r="N569" s="520">
        <f t="shared" si="355"/>
        <v>47389</v>
      </c>
      <c r="O569" s="519"/>
      <c r="P569" s="519"/>
      <c r="Q569" s="382"/>
      <c r="R569" s="521">
        <f>LOOKUP(ROUNDUP(IF((N569-$R$10)&lt;=0,1,(N569-$R$10))/365,0),'Profit Division'!$A$4:$A$30,'Profit Division'!$C$4:$C$30)</f>
        <v>1.1403848734836686E-4</v>
      </c>
      <c r="S569" s="521"/>
      <c r="T569" s="521"/>
      <c r="U569" s="380"/>
      <c r="V569" s="522">
        <f ca="1">R569*LOOKUP(N569,'reserve calculation'!B:B,'reserve calculation'!D:D)</f>
        <v>53574.220821500734</v>
      </c>
      <c r="W569" s="522"/>
      <c r="X569" s="522"/>
      <c r="Y569" s="382"/>
    </row>
    <row r="570" spans="9:25" ht="12.75" customHeight="1">
      <c r="I570" s="382"/>
      <c r="J570" s="519"/>
      <c r="K570" s="519"/>
      <c r="L570" s="519"/>
      <c r="M570" s="380"/>
      <c r="N570" s="519"/>
      <c r="O570" s="519"/>
      <c r="P570" s="519"/>
      <c r="Q570" s="382"/>
      <c r="R570" s="521"/>
      <c r="S570" s="521"/>
      <c r="T570" s="521"/>
      <c r="U570" s="380"/>
      <c r="V570" s="522"/>
      <c r="W570" s="522"/>
      <c r="X570" s="522"/>
      <c r="Y570" s="382"/>
    </row>
    <row r="571" spans="9:25" ht="12.75" customHeight="1">
      <c r="I571" s="382"/>
      <c r="J571" s="519">
        <f t="shared" si="356"/>
        <v>272</v>
      </c>
      <c r="K571" s="519"/>
      <c r="L571" s="519"/>
      <c r="M571" s="380"/>
      <c r="N571" s="520">
        <f t="shared" si="355"/>
        <v>47390</v>
      </c>
      <c r="O571" s="519"/>
      <c r="P571" s="519"/>
      <c r="Q571" s="382"/>
      <c r="R571" s="521">
        <f>LOOKUP(ROUNDUP(IF((N571-$R$10)&lt;=0,1,(N571-$R$10))/365,0),'Profit Division'!$A$4:$A$30,'Profit Division'!$C$4:$C$30)</f>
        <v>1.1403848734836686E-4</v>
      </c>
      <c r="S571" s="521"/>
      <c r="T571" s="521"/>
      <c r="U571" s="380"/>
      <c r="V571" s="522">
        <f ca="1">R571*LOOKUP(N571,'reserve calculation'!B:B,'reserve calculation'!D:D)</f>
        <v>53594.738823938213</v>
      </c>
      <c r="W571" s="522"/>
      <c r="X571" s="522"/>
      <c r="Y571" s="382"/>
    </row>
    <row r="572" spans="9:25" ht="12.75" customHeight="1">
      <c r="I572" s="382"/>
      <c r="J572" s="519"/>
      <c r="K572" s="519"/>
      <c r="L572" s="519"/>
      <c r="M572" s="380"/>
      <c r="N572" s="519"/>
      <c r="O572" s="519"/>
      <c r="P572" s="519"/>
      <c r="Q572" s="382"/>
      <c r="R572" s="521"/>
      <c r="S572" s="521"/>
      <c r="T572" s="521"/>
      <c r="U572" s="380"/>
      <c r="V572" s="522"/>
      <c r="W572" s="522"/>
      <c r="X572" s="522"/>
      <c r="Y572" s="382"/>
    </row>
    <row r="573" spans="9:25" ht="12.75" customHeight="1">
      <c r="I573" s="382"/>
      <c r="J573" s="519">
        <f t="shared" si="356"/>
        <v>273</v>
      </c>
      <c r="K573" s="519"/>
      <c r="L573" s="519"/>
      <c r="M573" s="380"/>
      <c r="N573" s="520">
        <f t="shared" si="355"/>
        <v>47391</v>
      </c>
      <c r="O573" s="519"/>
      <c r="P573" s="519"/>
      <c r="Q573" s="382"/>
      <c r="R573" s="521">
        <f>LOOKUP(ROUNDUP(IF((N573-$R$10)&lt;=0,1,(N573-$R$10))/365,0),'Profit Division'!$A$4:$A$30,'Profit Division'!$C$4:$C$30)</f>
        <v>1.1403848734836686E-4</v>
      </c>
      <c r="S573" s="521"/>
      <c r="T573" s="521"/>
      <c r="U573" s="380"/>
      <c r="V573" s="522">
        <f ca="1">R573*LOOKUP(N573,'reserve calculation'!B:B,'reserve calculation'!D:D)</f>
        <v>53615.26468441671</v>
      </c>
      <c r="W573" s="522"/>
      <c r="X573" s="522"/>
      <c r="Y573" s="382"/>
    </row>
    <row r="574" spans="9:25" ht="12.75" customHeight="1">
      <c r="I574" s="382"/>
      <c r="J574" s="519"/>
      <c r="K574" s="519"/>
      <c r="L574" s="519"/>
      <c r="M574" s="380"/>
      <c r="N574" s="519"/>
      <c r="O574" s="519"/>
      <c r="P574" s="519"/>
      <c r="Q574" s="382"/>
      <c r="R574" s="521"/>
      <c r="S574" s="521"/>
      <c r="T574" s="521"/>
      <c r="U574" s="380"/>
      <c r="V574" s="522"/>
      <c r="W574" s="522"/>
      <c r="X574" s="522"/>
      <c r="Y574" s="382"/>
    </row>
    <row r="575" spans="9:25" ht="12.75" customHeight="1">
      <c r="I575" s="382"/>
      <c r="J575" s="519">
        <f t="shared" si="356"/>
        <v>274</v>
      </c>
      <c r="K575" s="519"/>
      <c r="L575" s="519"/>
      <c r="M575" s="380"/>
      <c r="N575" s="520">
        <f t="shared" ref="N575:N637" si="357">N573+1</f>
        <v>47392</v>
      </c>
      <c r="O575" s="519"/>
      <c r="P575" s="519"/>
      <c r="Q575" s="382"/>
      <c r="R575" s="521">
        <f>LOOKUP(ROUNDUP(IF((N575-$R$10)&lt;=0,1,(N575-$R$10))/365,0),'Profit Division'!$A$4:$A$30,'Profit Division'!$C$4:$C$30)</f>
        <v>1.1403848734836686E-4</v>
      </c>
      <c r="S575" s="521"/>
      <c r="T575" s="521"/>
      <c r="U575" s="380"/>
      <c r="V575" s="522">
        <f ca="1">R575*LOOKUP(N575,'reserve calculation'!B:B,'reserve calculation'!D:D)</f>
        <v>53635.798405945701</v>
      </c>
      <c r="W575" s="522"/>
      <c r="X575" s="522"/>
      <c r="Y575" s="382"/>
    </row>
    <row r="576" spans="9:25" ht="12.75" customHeight="1">
      <c r="I576" s="382"/>
      <c r="J576" s="519"/>
      <c r="K576" s="519"/>
      <c r="L576" s="519"/>
      <c r="M576" s="380"/>
      <c r="N576" s="519"/>
      <c r="O576" s="519"/>
      <c r="P576" s="519"/>
      <c r="Q576" s="382"/>
      <c r="R576" s="521"/>
      <c r="S576" s="521"/>
      <c r="T576" s="521"/>
      <c r="U576" s="380"/>
      <c r="V576" s="522"/>
      <c r="W576" s="522"/>
      <c r="X576" s="522"/>
      <c r="Y576" s="382"/>
    </row>
    <row r="577" spans="9:25" ht="12.75" customHeight="1">
      <c r="I577" s="382"/>
      <c r="J577" s="519">
        <f t="shared" ref="J577:J639" si="358">J575+1</f>
        <v>275</v>
      </c>
      <c r="K577" s="519"/>
      <c r="L577" s="519"/>
      <c r="M577" s="380"/>
      <c r="N577" s="520">
        <f t="shared" si="357"/>
        <v>47393</v>
      </c>
      <c r="O577" s="519"/>
      <c r="P577" s="519"/>
      <c r="Q577" s="382"/>
      <c r="R577" s="521">
        <f>LOOKUP(ROUNDUP(IF((N577-$R$10)&lt;=0,1,(N577-$R$10))/365,0),'Profit Division'!$A$4:$A$30,'Profit Division'!$C$4:$C$30)</f>
        <v>1.1403848734836686E-4</v>
      </c>
      <c r="S577" s="521"/>
      <c r="T577" s="521"/>
      <c r="U577" s="380"/>
      <c r="V577" s="522">
        <f ca="1">R577*LOOKUP(N577,'reserve calculation'!B:B,'reserve calculation'!D:D)</f>
        <v>53656.339991535839</v>
      </c>
      <c r="W577" s="522"/>
      <c r="X577" s="522"/>
      <c r="Y577" s="382"/>
    </row>
    <row r="578" spans="9:25" ht="12.75" customHeight="1">
      <c r="I578" s="382"/>
      <c r="J578" s="519"/>
      <c r="K578" s="519"/>
      <c r="L578" s="519"/>
      <c r="M578" s="380"/>
      <c r="N578" s="519"/>
      <c r="O578" s="519"/>
      <c r="P578" s="519"/>
      <c r="Q578" s="382"/>
      <c r="R578" s="521"/>
      <c r="S578" s="521"/>
      <c r="T578" s="521"/>
      <c r="U578" s="380"/>
      <c r="V578" s="522"/>
      <c r="W578" s="522"/>
      <c r="X578" s="522"/>
      <c r="Y578" s="382"/>
    </row>
    <row r="579" spans="9:25" ht="12.75" customHeight="1">
      <c r="I579" s="382"/>
      <c r="J579" s="519">
        <f t="shared" si="358"/>
        <v>276</v>
      </c>
      <c r="K579" s="519"/>
      <c r="L579" s="519"/>
      <c r="M579" s="380"/>
      <c r="N579" s="520">
        <f t="shared" si="357"/>
        <v>47394</v>
      </c>
      <c r="O579" s="519"/>
      <c r="P579" s="519"/>
      <c r="Q579" s="382"/>
      <c r="R579" s="521">
        <f>LOOKUP(ROUNDUP(IF((N579-$R$10)&lt;=0,1,(N579-$R$10))/365,0),'Profit Division'!$A$4:$A$30,'Profit Division'!$C$4:$C$30)</f>
        <v>1.1403848734836686E-4</v>
      </c>
      <c r="S579" s="521"/>
      <c r="T579" s="521"/>
      <c r="U579" s="380"/>
      <c r="V579" s="522">
        <f ca="1">R579*LOOKUP(N579,'reserve calculation'!B:B,'reserve calculation'!D:D)</f>
        <v>53676.889444198918</v>
      </c>
      <c r="W579" s="522"/>
      <c r="X579" s="522"/>
      <c r="Y579" s="382"/>
    </row>
    <row r="580" spans="9:25" ht="12.75" customHeight="1">
      <c r="I580" s="382"/>
      <c r="J580" s="519"/>
      <c r="K580" s="519"/>
      <c r="L580" s="519"/>
      <c r="M580" s="380"/>
      <c r="N580" s="519"/>
      <c r="O580" s="519"/>
      <c r="P580" s="519"/>
      <c r="Q580" s="382"/>
      <c r="R580" s="521"/>
      <c r="S580" s="521"/>
      <c r="T580" s="521"/>
      <c r="U580" s="380"/>
      <c r="V580" s="522"/>
      <c r="W580" s="522"/>
      <c r="X580" s="522"/>
      <c r="Y580" s="382"/>
    </row>
    <row r="581" spans="9:25" ht="12.75" customHeight="1">
      <c r="I581" s="382"/>
      <c r="J581" s="519">
        <f t="shared" si="358"/>
        <v>277</v>
      </c>
      <c r="K581" s="519"/>
      <c r="L581" s="519"/>
      <c r="M581" s="380"/>
      <c r="N581" s="520">
        <f t="shared" si="357"/>
        <v>47395</v>
      </c>
      <c r="O581" s="519"/>
      <c r="P581" s="519"/>
      <c r="Q581" s="382"/>
      <c r="R581" s="521">
        <f>LOOKUP(ROUNDUP(IF((N581-$R$10)&lt;=0,1,(N581-$R$10))/365,0),'Profit Division'!$A$4:$A$30,'Profit Division'!$C$4:$C$30)</f>
        <v>1.1403848734836686E-4</v>
      </c>
      <c r="S581" s="521"/>
      <c r="T581" s="521"/>
      <c r="U581" s="380"/>
      <c r="V581" s="522">
        <f ca="1">R581*LOOKUP(N581,'reserve calculation'!B:B,'reserve calculation'!D:D)</f>
        <v>53697.446766947898</v>
      </c>
      <c r="W581" s="522"/>
      <c r="X581" s="522"/>
      <c r="Y581" s="382"/>
    </row>
    <row r="582" spans="9:25" ht="12.75" customHeight="1">
      <c r="I582" s="382"/>
      <c r="J582" s="519"/>
      <c r="K582" s="519"/>
      <c r="L582" s="519"/>
      <c r="M582" s="380"/>
      <c r="N582" s="519"/>
      <c r="O582" s="519"/>
      <c r="P582" s="519"/>
      <c r="Q582" s="382"/>
      <c r="R582" s="521"/>
      <c r="S582" s="521"/>
      <c r="T582" s="521"/>
      <c r="U582" s="380"/>
      <c r="V582" s="522"/>
      <c r="W582" s="522"/>
      <c r="X582" s="522"/>
      <c r="Y582" s="382"/>
    </row>
    <row r="583" spans="9:25" ht="12.75" customHeight="1">
      <c r="I583" s="382"/>
      <c r="J583" s="519">
        <f t="shared" si="358"/>
        <v>278</v>
      </c>
      <c r="K583" s="519"/>
      <c r="L583" s="519"/>
      <c r="M583" s="380"/>
      <c r="N583" s="520">
        <f t="shared" si="357"/>
        <v>47396</v>
      </c>
      <c r="O583" s="519"/>
      <c r="P583" s="519"/>
      <c r="Q583" s="382"/>
      <c r="R583" s="521">
        <f>LOOKUP(ROUNDUP(IF((N583-$R$10)&lt;=0,1,(N583-$R$10))/365,0),'Profit Division'!$A$4:$A$30,'Profit Division'!$C$4:$C$30)</f>
        <v>1.1403848734836686E-4</v>
      </c>
      <c r="S583" s="521"/>
      <c r="T583" s="521"/>
      <c r="U583" s="380"/>
      <c r="V583" s="522">
        <f ca="1">R583*LOOKUP(N583,'reserve calculation'!B:B,'reserve calculation'!D:D)</f>
        <v>53718.011962796889</v>
      </c>
      <c r="W583" s="522"/>
      <c r="X583" s="522"/>
      <c r="Y583" s="382"/>
    </row>
    <row r="584" spans="9:25" ht="12.75" customHeight="1">
      <c r="I584" s="382"/>
      <c r="J584" s="519"/>
      <c r="K584" s="519"/>
      <c r="L584" s="519"/>
      <c r="M584" s="380"/>
      <c r="N584" s="519"/>
      <c r="O584" s="519"/>
      <c r="P584" s="519"/>
      <c r="Q584" s="382"/>
      <c r="R584" s="521"/>
      <c r="S584" s="521"/>
      <c r="T584" s="521"/>
      <c r="U584" s="380"/>
      <c r="V584" s="522"/>
      <c r="W584" s="522"/>
      <c r="X584" s="522"/>
      <c r="Y584" s="382"/>
    </row>
    <row r="585" spans="9:25" ht="12.75" customHeight="1">
      <c r="I585" s="382"/>
      <c r="J585" s="519">
        <f t="shared" si="358"/>
        <v>279</v>
      </c>
      <c r="K585" s="519"/>
      <c r="L585" s="519"/>
      <c r="M585" s="380"/>
      <c r="N585" s="520">
        <f t="shared" si="357"/>
        <v>47397</v>
      </c>
      <c r="O585" s="519"/>
      <c r="P585" s="519"/>
      <c r="Q585" s="382"/>
      <c r="R585" s="521">
        <f>LOOKUP(ROUNDUP(IF((N585-$R$10)&lt;=0,1,(N585-$R$10))/365,0),'Profit Division'!$A$4:$A$30,'Profit Division'!$C$4:$C$30)</f>
        <v>1.1403848734836686E-4</v>
      </c>
      <c r="S585" s="521"/>
      <c r="T585" s="521"/>
      <c r="U585" s="380"/>
      <c r="V585" s="522">
        <f ca="1">R585*LOOKUP(N585,'reserve calculation'!B:B,'reserve calculation'!D:D)</f>
        <v>53738.585034761141</v>
      </c>
      <c r="W585" s="522"/>
      <c r="X585" s="522"/>
      <c r="Y585" s="382"/>
    </row>
    <row r="586" spans="9:25" ht="12.75" customHeight="1">
      <c r="I586" s="382"/>
      <c r="J586" s="519"/>
      <c r="K586" s="519"/>
      <c r="L586" s="519"/>
      <c r="M586" s="380"/>
      <c r="N586" s="519"/>
      <c r="O586" s="519"/>
      <c r="P586" s="519"/>
      <c r="Q586" s="382"/>
      <c r="R586" s="521"/>
      <c r="S586" s="521"/>
      <c r="T586" s="521"/>
      <c r="U586" s="380"/>
      <c r="V586" s="522"/>
      <c r="W586" s="522"/>
      <c r="X586" s="522"/>
      <c r="Y586" s="382"/>
    </row>
    <row r="587" spans="9:25" ht="12.75" customHeight="1">
      <c r="I587" s="382"/>
      <c r="J587" s="519">
        <f t="shared" si="358"/>
        <v>280</v>
      </c>
      <c r="K587" s="519"/>
      <c r="L587" s="519"/>
      <c r="M587" s="380"/>
      <c r="N587" s="520">
        <f t="shared" si="357"/>
        <v>47398</v>
      </c>
      <c r="O587" s="519"/>
      <c r="P587" s="519"/>
      <c r="Q587" s="382"/>
      <c r="R587" s="521">
        <f>LOOKUP(ROUNDUP(IF((N587-$R$10)&lt;=0,1,(N587-$R$10))/365,0),'Profit Division'!$A$4:$A$30,'Profit Division'!$C$4:$C$30)</f>
        <v>1.1403848734836686E-4</v>
      </c>
      <c r="S587" s="521"/>
      <c r="T587" s="521"/>
      <c r="U587" s="380"/>
      <c r="V587" s="522">
        <f ca="1">R587*LOOKUP(N587,'reserve calculation'!B:B,'reserve calculation'!D:D)</f>
        <v>53759.165985857086</v>
      </c>
      <c r="W587" s="522"/>
      <c r="X587" s="522"/>
      <c r="Y587" s="382"/>
    </row>
    <row r="588" spans="9:25" ht="12.75" customHeight="1">
      <c r="I588" s="382"/>
      <c r="J588" s="519"/>
      <c r="K588" s="519"/>
      <c r="L588" s="519"/>
      <c r="M588" s="380"/>
      <c r="N588" s="519"/>
      <c r="O588" s="519"/>
      <c r="P588" s="519"/>
      <c r="Q588" s="382"/>
      <c r="R588" s="521"/>
      <c r="S588" s="521"/>
      <c r="T588" s="521"/>
      <c r="U588" s="380"/>
      <c r="V588" s="522"/>
      <c r="W588" s="522"/>
      <c r="X588" s="522"/>
      <c r="Y588" s="382"/>
    </row>
    <row r="589" spans="9:25" ht="12.75" customHeight="1">
      <c r="I589" s="382"/>
      <c r="J589" s="519">
        <f t="shared" si="358"/>
        <v>281</v>
      </c>
      <c r="K589" s="519"/>
      <c r="L589" s="519"/>
      <c r="M589" s="380"/>
      <c r="N589" s="520">
        <f t="shared" si="357"/>
        <v>47399</v>
      </c>
      <c r="O589" s="519"/>
      <c r="P589" s="519"/>
      <c r="Q589" s="382"/>
      <c r="R589" s="521">
        <f>LOOKUP(ROUNDUP(IF((N589-$R$10)&lt;=0,1,(N589-$R$10))/365,0),'Profit Division'!$A$4:$A$30,'Profit Division'!$C$4:$C$30)</f>
        <v>1.1403848734836686E-4</v>
      </c>
      <c r="S589" s="521"/>
      <c r="T589" s="521"/>
      <c r="U589" s="380"/>
      <c r="V589" s="522">
        <f ca="1">R589*LOOKUP(N589,'reserve calculation'!B:B,'reserve calculation'!D:D)</f>
        <v>53779.75481910228</v>
      </c>
      <c r="W589" s="522"/>
      <c r="X589" s="522"/>
      <c r="Y589" s="382"/>
    </row>
    <row r="590" spans="9:25" ht="12.75" customHeight="1">
      <c r="I590" s="382"/>
      <c r="J590" s="519"/>
      <c r="K590" s="519"/>
      <c r="L590" s="519"/>
      <c r="M590" s="380"/>
      <c r="N590" s="519"/>
      <c r="O590" s="519"/>
      <c r="P590" s="519"/>
      <c r="Q590" s="382"/>
      <c r="R590" s="521"/>
      <c r="S590" s="521"/>
      <c r="T590" s="521"/>
      <c r="U590" s="380"/>
      <c r="V590" s="522"/>
      <c r="W590" s="522"/>
      <c r="X590" s="522"/>
      <c r="Y590" s="382"/>
    </row>
    <row r="591" spans="9:25" ht="12.75" customHeight="1">
      <c r="I591" s="382"/>
      <c r="J591" s="519">
        <f t="shared" si="358"/>
        <v>282</v>
      </c>
      <c r="K591" s="519"/>
      <c r="L591" s="519"/>
      <c r="M591" s="380"/>
      <c r="N591" s="520">
        <f t="shared" si="357"/>
        <v>47400</v>
      </c>
      <c r="O591" s="519"/>
      <c r="P591" s="519"/>
      <c r="Q591" s="382"/>
      <c r="R591" s="521">
        <f>LOOKUP(ROUNDUP(IF((N591-$R$10)&lt;=0,1,(N591-$R$10))/365,0),'Profit Division'!$A$4:$A$30,'Profit Division'!$C$4:$C$30)</f>
        <v>1.1403848734836686E-4</v>
      </c>
      <c r="S591" s="521"/>
      <c r="T591" s="521"/>
      <c r="U591" s="380"/>
      <c r="V591" s="522">
        <f ca="1">R591*LOOKUP(N591,'reserve calculation'!B:B,'reserve calculation'!D:D)</f>
        <v>53800.351537515453</v>
      </c>
      <c r="W591" s="522"/>
      <c r="X591" s="522"/>
      <c r="Y591" s="382"/>
    </row>
    <row r="592" spans="9:25" ht="12.75" customHeight="1">
      <c r="I592" s="382"/>
      <c r="J592" s="519"/>
      <c r="K592" s="519"/>
      <c r="L592" s="519"/>
      <c r="M592" s="380"/>
      <c r="N592" s="519"/>
      <c r="O592" s="519"/>
      <c r="P592" s="519"/>
      <c r="Q592" s="382"/>
      <c r="R592" s="521"/>
      <c r="S592" s="521"/>
      <c r="T592" s="521"/>
      <c r="U592" s="380"/>
      <c r="V592" s="522"/>
      <c r="W592" s="522"/>
      <c r="X592" s="522"/>
      <c r="Y592" s="382"/>
    </row>
    <row r="593" spans="9:25" ht="12.75" customHeight="1">
      <c r="I593" s="382"/>
      <c r="J593" s="519">
        <f t="shared" si="358"/>
        <v>283</v>
      </c>
      <c r="K593" s="519"/>
      <c r="L593" s="519"/>
      <c r="M593" s="380"/>
      <c r="N593" s="520">
        <f t="shared" si="357"/>
        <v>47401</v>
      </c>
      <c r="O593" s="519"/>
      <c r="P593" s="519"/>
      <c r="Q593" s="382"/>
      <c r="R593" s="521">
        <f>LOOKUP(ROUNDUP(IF((N593-$R$10)&lt;=0,1,(N593-$R$10))/365,0),'Profit Division'!$A$4:$A$30,'Profit Division'!$C$4:$C$30)</f>
        <v>1.1403848734836686E-4</v>
      </c>
      <c r="S593" s="521"/>
      <c r="T593" s="521"/>
      <c r="U593" s="380"/>
      <c r="V593" s="522">
        <f ca="1">R593*LOOKUP(N593,'reserve calculation'!B:B,'reserve calculation'!D:D)</f>
        <v>53820.956144116499</v>
      </c>
      <c r="W593" s="522"/>
      <c r="X593" s="522"/>
      <c r="Y593" s="382"/>
    </row>
    <row r="594" spans="9:25" ht="12.75" customHeight="1">
      <c r="I594" s="382"/>
      <c r="J594" s="519"/>
      <c r="K594" s="519"/>
      <c r="L594" s="519"/>
      <c r="M594" s="380"/>
      <c r="N594" s="519"/>
      <c r="O594" s="519"/>
      <c r="P594" s="519"/>
      <c r="Q594" s="382"/>
      <c r="R594" s="521"/>
      <c r="S594" s="521"/>
      <c r="T594" s="521"/>
      <c r="U594" s="380"/>
      <c r="V594" s="522"/>
      <c r="W594" s="522"/>
      <c r="X594" s="522"/>
      <c r="Y594" s="382"/>
    </row>
    <row r="595" spans="9:25" ht="12.75" customHeight="1">
      <c r="I595" s="382"/>
      <c r="J595" s="519">
        <f t="shared" si="358"/>
        <v>284</v>
      </c>
      <c r="K595" s="519"/>
      <c r="L595" s="519"/>
      <c r="M595" s="380"/>
      <c r="N595" s="520">
        <f t="shared" si="357"/>
        <v>47402</v>
      </c>
      <c r="O595" s="519"/>
      <c r="P595" s="519"/>
      <c r="Q595" s="382"/>
      <c r="R595" s="521">
        <f>LOOKUP(ROUNDUP(IF((N595-$R$10)&lt;=0,1,(N595-$R$10))/365,0),'Profit Division'!$A$4:$A$30,'Profit Division'!$C$4:$C$30)</f>
        <v>1.1403848734836686E-4</v>
      </c>
      <c r="S595" s="521"/>
      <c r="T595" s="521"/>
      <c r="U595" s="380"/>
      <c r="V595" s="522">
        <f ca="1">R595*LOOKUP(N595,'reserve calculation'!B:B,'reserve calculation'!D:D)</f>
        <v>53841.568641926446</v>
      </c>
      <c r="W595" s="522"/>
      <c r="X595" s="522"/>
      <c r="Y595" s="382"/>
    </row>
    <row r="596" spans="9:25" ht="12.75" customHeight="1">
      <c r="I596" s="382"/>
      <c r="J596" s="519"/>
      <c r="K596" s="519"/>
      <c r="L596" s="519"/>
      <c r="M596" s="380"/>
      <c r="N596" s="519"/>
      <c r="O596" s="519"/>
      <c r="P596" s="519"/>
      <c r="Q596" s="382"/>
      <c r="R596" s="521"/>
      <c r="S596" s="521"/>
      <c r="T596" s="521"/>
      <c r="U596" s="380"/>
      <c r="V596" s="522"/>
      <c r="W596" s="522"/>
      <c r="X596" s="522"/>
      <c r="Y596" s="382"/>
    </row>
    <row r="597" spans="9:25" ht="12.75" customHeight="1">
      <c r="I597" s="382"/>
      <c r="J597" s="519">
        <f t="shared" si="358"/>
        <v>285</v>
      </c>
      <c r="K597" s="519"/>
      <c r="L597" s="519"/>
      <c r="M597" s="380"/>
      <c r="N597" s="520">
        <f t="shared" si="357"/>
        <v>47403</v>
      </c>
      <c r="O597" s="519"/>
      <c r="P597" s="519"/>
      <c r="Q597" s="382"/>
      <c r="R597" s="521">
        <f>LOOKUP(ROUNDUP(IF((N597-$R$10)&lt;=0,1,(N597-$R$10))/365,0),'Profit Division'!$A$4:$A$30,'Profit Division'!$C$4:$C$30)</f>
        <v>1.1403848734836686E-4</v>
      </c>
      <c r="S597" s="521"/>
      <c r="T597" s="521"/>
      <c r="U597" s="380"/>
      <c r="V597" s="522">
        <f ca="1">R597*LOOKUP(N597,'reserve calculation'!B:B,'reserve calculation'!D:D)</f>
        <v>53862.189033967494</v>
      </c>
      <c r="W597" s="522"/>
      <c r="X597" s="522"/>
      <c r="Y597" s="382"/>
    </row>
    <row r="598" spans="9:25" ht="12.75" customHeight="1">
      <c r="I598" s="382"/>
      <c r="J598" s="519"/>
      <c r="K598" s="519"/>
      <c r="L598" s="519"/>
      <c r="M598" s="380"/>
      <c r="N598" s="519"/>
      <c r="O598" s="519"/>
      <c r="P598" s="519"/>
      <c r="Q598" s="382"/>
      <c r="R598" s="521"/>
      <c r="S598" s="521"/>
      <c r="T598" s="521"/>
      <c r="U598" s="380"/>
      <c r="V598" s="522"/>
      <c r="W598" s="522"/>
      <c r="X598" s="522"/>
      <c r="Y598" s="382"/>
    </row>
    <row r="599" spans="9:25" ht="12.75" customHeight="1">
      <c r="I599" s="382"/>
      <c r="J599" s="519">
        <f t="shared" si="358"/>
        <v>286</v>
      </c>
      <c r="K599" s="519"/>
      <c r="L599" s="519"/>
      <c r="M599" s="380"/>
      <c r="N599" s="520">
        <f t="shared" si="357"/>
        <v>47404</v>
      </c>
      <c r="O599" s="519"/>
      <c r="P599" s="519"/>
      <c r="Q599" s="382"/>
      <c r="R599" s="521">
        <f>LOOKUP(ROUNDUP(IF((N599-$R$10)&lt;=0,1,(N599-$R$10))/365,0),'Profit Division'!$A$4:$A$30,'Profit Division'!$C$4:$C$30)</f>
        <v>1.1403848734836686E-4</v>
      </c>
      <c r="S599" s="521"/>
      <c r="T599" s="521"/>
      <c r="U599" s="380"/>
      <c r="V599" s="522">
        <f ca="1">R599*LOOKUP(N599,'reserve calculation'!B:B,'reserve calculation'!D:D)</f>
        <v>53882.817323263</v>
      </c>
      <c r="W599" s="522"/>
      <c r="X599" s="522"/>
      <c r="Y599" s="382"/>
    </row>
    <row r="600" spans="9:25" ht="12.75" customHeight="1">
      <c r="I600" s="382"/>
      <c r="J600" s="519"/>
      <c r="K600" s="519"/>
      <c r="L600" s="519"/>
      <c r="M600" s="380"/>
      <c r="N600" s="519"/>
      <c r="O600" s="519"/>
      <c r="P600" s="519"/>
      <c r="Q600" s="382"/>
      <c r="R600" s="521"/>
      <c r="S600" s="521"/>
      <c r="T600" s="521"/>
      <c r="U600" s="380"/>
      <c r="V600" s="522"/>
      <c r="W600" s="522"/>
      <c r="X600" s="522"/>
      <c r="Y600" s="382"/>
    </row>
    <row r="601" spans="9:25" ht="12.75" customHeight="1">
      <c r="I601" s="382"/>
      <c r="J601" s="519">
        <f t="shared" si="358"/>
        <v>287</v>
      </c>
      <c r="K601" s="519"/>
      <c r="L601" s="519"/>
      <c r="M601" s="380"/>
      <c r="N601" s="520">
        <f t="shared" si="357"/>
        <v>47405</v>
      </c>
      <c r="O601" s="519"/>
      <c r="P601" s="519"/>
      <c r="Q601" s="382"/>
      <c r="R601" s="521">
        <f>LOOKUP(ROUNDUP(IF((N601-$R$10)&lt;=0,1,(N601-$R$10))/365,0),'Profit Division'!$A$4:$A$30,'Profit Division'!$C$4:$C$30)</f>
        <v>1.1403848734836686E-4</v>
      </c>
      <c r="S601" s="521"/>
      <c r="T601" s="521"/>
      <c r="U601" s="380"/>
      <c r="V601" s="522">
        <f ca="1">R601*LOOKUP(N601,'reserve calculation'!B:B,'reserve calculation'!D:D)</f>
        <v>53903.453512837477</v>
      </c>
      <c r="W601" s="522"/>
      <c r="X601" s="522"/>
      <c r="Y601" s="382"/>
    </row>
    <row r="602" spans="9:25" ht="12.75" customHeight="1">
      <c r="I602" s="382"/>
      <c r="J602" s="519"/>
      <c r="K602" s="519"/>
      <c r="L602" s="519"/>
      <c r="M602" s="380"/>
      <c r="N602" s="519"/>
      <c r="O602" s="519"/>
      <c r="P602" s="519"/>
      <c r="Q602" s="382"/>
      <c r="R602" s="521"/>
      <c r="S602" s="521"/>
      <c r="T602" s="521"/>
      <c r="U602" s="380"/>
      <c r="V602" s="522"/>
      <c r="W602" s="522"/>
      <c r="X602" s="522"/>
      <c r="Y602" s="382"/>
    </row>
    <row r="603" spans="9:25" ht="12.75" customHeight="1">
      <c r="I603" s="382"/>
      <c r="J603" s="519">
        <f t="shared" si="358"/>
        <v>288</v>
      </c>
      <c r="K603" s="519"/>
      <c r="L603" s="519"/>
      <c r="M603" s="380"/>
      <c r="N603" s="520">
        <f t="shared" si="357"/>
        <v>47406</v>
      </c>
      <c r="O603" s="519"/>
      <c r="P603" s="519"/>
      <c r="Q603" s="382"/>
      <c r="R603" s="521">
        <f>LOOKUP(ROUNDUP(IF((N603-$R$10)&lt;=0,1,(N603-$R$10))/365,0),'Profit Division'!$A$4:$A$30,'Profit Division'!$C$4:$C$30)</f>
        <v>1.1403848734836686E-4</v>
      </c>
      <c r="S603" s="521"/>
      <c r="T603" s="521"/>
      <c r="U603" s="380"/>
      <c r="V603" s="522">
        <f ca="1">R603*LOOKUP(N603,'reserve calculation'!B:B,'reserve calculation'!D:D)</f>
        <v>53924.097605716597</v>
      </c>
      <c r="W603" s="522"/>
      <c r="X603" s="522"/>
      <c r="Y603" s="382"/>
    </row>
    <row r="604" spans="9:25" ht="12.75" customHeight="1">
      <c r="I604" s="382"/>
      <c r="J604" s="519"/>
      <c r="K604" s="519"/>
      <c r="L604" s="519"/>
      <c r="M604" s="380"/>
      <c r="N604" s="519"/>
      <c r="O604" s="519"/>
      <c r="P604" s="519"/>
      <c r="Q604" s="382"/>
      <c r="R604" s="521"/>
      <c r="S604" s="521"/>
      <c r="T604" s="521"/>
      <c r="U604" s="380"/>
      <c r="V604" s="522"/>
      <c r="W604" s="522"/>
      <c r="X604" s="522"/>
      <c r="Y604" s="382"/>
    </row>
    <row r="605" spans="9:25" ht="12.75" customHeight="1">
      <c r="I605" s="382"/>
      <c r="J605" s="519">
        <f t="shared" si="358"/>
        <v>289</v>
      </c>
      <c r="K605" s="519"/>
      <c r="L605" s="519"/>
      <c r="M605" s="380"/>
      <c r="N605" s="520">
        <f t="shared" si="357"/>
        <v>47407</v>
      </c>
      <c r="O605" s="519"/>
      <c r="P605" s="519"/>
      <c r="Q605" s="382"/>
      <c r="R605" s="521">
        <f>LOOKUP(ROUNDUP(IF((N605-$R$10)&lt;=0,1,(N605-$R$10))/365,0),'Profit Division'!$A$4:$A$30,'Profit Division'!$C$4:$C$30)</f>
        <v>1.1403848734836686E-4</v>
      </c>
      <c r="S605" s="521"/>
      <c r="T605" s="521"/>
      <c r="U605" s="380"/>
      <c r="V605" s="522">
        <f ca="1">R605*LOOKUP(N605,'reserve calculation'!B:B,'reserve calculation'!D:D)</f>
        <v>53944.749604927179</v>
      </c>
      <c r="W605" s="522"/>
      <c r="X605" s="522"/>
      <c r="Y605" s="382"/>
    </row>
    <row r="606" spans="9:25" ht="12.75" customHeight="1">
      <c r="I606" s="382"/>
      <c r="J606" s="519"/>
      <c r="K606" s="519"/>
      <c r="L606" s="519"/>
      <c r="M606" s="380"/>
      <c r="N606" s="519"/>
      <c r="O606" s="519"/>
      <c r="P606" s="519"/>
      <c r="Q606" s="382"/>
      <c r="R606" s="521"/>
      <c r="S606" s="521"/>
      <c r="T606" s="521"/>
      <c r="U606" s="380"/>
      <c r="V606" s="522"/>
      <c r="W606" s="522"/>
      <c r="X606" s="522"/>
      <c r="Y606" s="382"/>
    </row>
    <row r="607" spans="9:25" ht="12.75" customHeight="1">
      <c r="I607" s="382"/>
      <c r="J607" s="519">
        <f t="shared" si="358"/>
        <v>290</v>
      </c>
      <c r="K607" s="519"/>
      <c r="L607" s="519"/>
      <c r="M607" s="380"/>
      <c r="N607" s="520">
        <f t="shared" si="357"/>
        <v>47408</v>
      </c>
      <c r="O607" s="519"/>
      <c r="P607" s="519"/>
      <c r="Q607" s="382"/>
      <c r="R607" s="521">
        <f>LOOKUP(ROUNDUP(IF((N607-$R$10)&lt;=0,1,(N607-$R$10))/365,0),'Profit Division'!$A$4:$A$30,'Profit Division'!$C$4:$C$30)</f>
        <v>1.1403848734836686E-4</v>
      </c>
      <c r="S607" s="521"/>
      <c r="T607" s="521"/>
      <c r="U607" s="380"/>
      <c r="V607" s="522">
        <f ca="1">R607*LOOKUP(N607,'reserve calculation'!B:B,'reserve calculation'!D:D)</f>
        <v>53965.409513497223</v>
      </c>
      <c r="W607" s="522"/>
      <c r="X607" s="522"/>
      <c r="Y607" s="382"/>
    </row>
    <row r="608" spans="9:25" ht="12.75" customHeight="1">
      <c r="I608" s="382"/>
      <c r="J608" s="519"/>
      <c r="K608" s="519"/>
      <c r="L608" s="519"/>
      <c r="M608" s="380"/>
      <c r="N608" s="519"/>
      <c r="O608" s="519"/>
      <c r="P608" s="519"/>
      <c r="Q608" s="382"/>
      <c r="R608" s="521"/>
      <c r="S608" s="521"/>
      <c r="T608" s="521"/>
      <c r="U608" s="380"/>
      <c r="V608" s="522"/>
      <c r="W608" s="522"/>
      <c r="X608" s="522"/>
      <c r="Y608" s="382"/>
    </row>
    <row r="609" spans="9:25" ht="12.75" customHeight="1">
      <c r="I609" s="382"/>
      <c r="J609" s="519">
        <f t="shared" si="358"/>
        <v>291</v>
      </c>
      <c r="K609" s="519"/>
      <c r="L609" s="519"/>
      <c r="M609" s="380"/>
      <c r="N609" s="520">
        <f t="shared" si="357"/>
        <v>47409</v>
      </c>
      <c r="O609" s="519"/>
      <c r="P609" s="519"/>
      <c r="Q609" s="382"/>
      <c r="R609" s="521">
        <f>LOOKUP(ROUNDUP(IF((N609-$R$10)&lt;=0,1,(N609-$R$10))/365,0),'Profit Division'!$A$4:$A$30,'Profit Division'!$C$4:$C$30)</f>
        <v>1.1403848734836686E-4</v>
      </c>
      <c r="S609" s="521"/>
      <c r="T609" s="521"/>
      <c r="U609" s="380"/>
      <c r="V609" s="522">
        <f ca="1">R609*LOOKUP(N609,'reserve calculation'!B:B,'reserve calculation'!D:D)</f>
        <v>53986.077334455869</v>
      </c>
      <c r="W609" s="522"/>
      <c r="X609" s="522"/>
      <c r="Y609" s="382"/>
    </row>
    <row r="610" spans="9:25" ht="12.75" customHeight="1">
      <c r="I610" s="382"/>
      <c r="J610" s="519"/>
      <c r="K610" s="519"/>
      <c r="L610" s="519"/>
      <c r="M610" s="380"/>
      <c r="N610" s="519"/>
      <c r="O610" s="519"/>
      <c r="P610" s="519"/>
      <c r="Q610" s="382"/>
      <c r="R610" s="521"/>
      <c r="S610" s="521"/>
      <c r="T610" s="521"/>
      <c r="U610" s="380"/>
      <c r="V610" s="522"/>
      <c r="W610" s="522"/>
      <c r="X610" s="522"/>
      <c r="Y610" s="382"/>
    </row>
    <row r="611" spans="9:25" ht="12.75" customHeight="1">
      <c r="I611" s="382"/>
      <c r="J611" s="519">
        <f t="shared" si="358"/>
        <v>292</v>
      </c>
      <c r="K611" s="519"/>
      <c r="L611" s="519"/>
      <c r="M611" s="380"/>
      <c r="N611" s="520">
        <f t="shared" si="357"/>
        <v>47410</v>
      </c>
      <c r="O611" s="519"/>
      <c r="P611" s="519"/>
      <c r="Q611" s="382"/>
      <c r="R611" s="521">
        <f>LOOKUP(ROUNDUP(IF((N611-$R$10)&lt;=0,1,(N611-$R$10))/365,0),'Profit Division'!$A$4:$A$30,'Profit Division'!$C$4:$C$30)</f>
        <v>1.1403848734836686E-4</v>
      </c>
      <c r="S611" s="521"/>
      <c r="T611" s="521"/>
      <c r="U611" s="380"/>
      <c r="V611" s="522">
        <f ca="1">R611*LOOKUP(N611,'reserve calculation'!B:B,'reserve calculation'!D:D)</f>
        <v>54006.753070833438</v>
      </c>
      <c r="W611" s="522"/>
      <c r="X611" s="522"/>
      <c r="Y611" s="382"/>
    </row>
    <row r="612" spans="9:25" ht="12.75" customHeight="1">
      <c r="I612" s="382"/>
      <c r="J612" s="519"/>
      <c r="K612" s="519"/>
      <c r="L612" s="519"/>
      <c r="M612" s="380"/>
      <c r="N612" s="519"/>
      <c r="O612" s="519"/>
      <c r="P612" s="519"/>
      <c r="Q612" s="382"/>
      <c r="R612" s="521"/>
      <c r="S612" s="521"/>
      <c r="T612" s="521"/>
      <c r="U612" s="380"/>
      <c r="V612" s="522"/>
      <c r="W612" s="522"/>
      <c r="X612" s="522"/>
      <c r="Y612" s="382"/>
    </row>
    <row r="613" spans="9:25" ht="12.75" customHeight="1">
      <c r="I613" s="382"/>
      <c r="J613" s="519">
        <f t="shared" si="358"/>
        <v>293</v>
      </c>
      <c r="K613" s="519"/>
      <c r="L613" s="519"/>
      <c r="M613" s="380"/>
      <c r="N613" s="520">
        <f t="shared" si="357"/>
        <v>47411</v>
      </c>
      <c r="O613" s="519"/>
      <c r="P613" s="519"/>
      <c r="Q613" s="382"/>
      <c r="R613" s="521">
        <f>LOOKUP(ROUNDUP(IF((N613-$R$10)&lt;=0,1,(N613-$R$10))/365,0),'Profit Division'!$A$4:$A$30,'Profit Division'!$C$4:$C$30)</f>
        <v>1.1403848734836686E-4</v>
      </c>
      <c r="S613" s="521"/>
      <c r="T613" s="521"/>
      <c r="U613" s="380"/>
      <c r="V613" s="522">
        <f ca="1">R613*LOOKUP(N613,'reserve calculation'!B:B,'reserve calculation'!D:D)</f>
        <v>54027.436725661384</v>
      </c>
      <c r="W613" s="522"/>
      <c r="X613" s="522"/>
      <c r="Y613" s="382"/>
    </row>
    <row r="614" spans="9:25" ht="12.75" customHeight="1">
      <c r="I614" s="382"/>
      <c r="J614" s="519"/>
      <c r="K614" s="519"/>
      <c r="L614" s="519"/>
      <c r="M614" s="380"/>
      <c r="N614" s="519"/>
      <c r="O614" s="519"/>
      <c r="P614" s="519"/>
      <c r="Q614" s="382"/>
      <c r="R614" s="521"/>
      <c r="S614" s="521"/>
      <c r="T614" s="521"/>
      <c r="U614" s="380"/>
      <c r="V614" s="522"/>
      <c r="W614" s="522"/>
      <c r="X614" s="522"/>
      <c r="Y614" s="382"/>
    </row>
    <row r="615" spans="9:25" ht="12.75" customHeight="1">
      <c r="I615" s="382"/>
      <c r="J615" s="519">
        <f t="shared" si="358"/>
        <v>294</v>
      </c>
      <c r="K615" s="519"/>
      <c r="L615" s="519"/>
      <c r="M615" s="380"/>
      <c r="N615" s="520">
        <f t="shared" si="357"/>
        <v>47412</v>
      </c>
      <c r="O615" s="519"/>
      <c r="P615" s="519"/>
      <c r="Q615" s="382"/>
      <c r="R615" s="521">
        <f>LOOKUP(ROUNDUP(IF((N615-$R$10)&lt;=0,1,(N615-$R$10))/365,0),'Profit Division'!$A$4:$A$30,'Profit Division'!$C$4:$C$30)</f>
        <v>1.1403848734836686E-4</v>
      </c>
      <c r="S615" s="521"/>
      <c r="T615" s="521"/>
      <c r="U615" s="380"/>
      <c r="V615" s="522">
        <f ca="1">R615*LOOKUP(N615,'reserve calculation'!B:B,'reserve calculation'!D:D)</f>
        <v>54048.128301972341</v>
      </c>
      <c r="W615" s="522"/>
      <c r="X615" s="522"/>
      <c r="Y615" s="382"/>
    </row>
    <row r="616" spans="9:25" ht="12.75" customHeight="1">
      <c r="I616" s="382"/>
      <c r="J616" s="519"/>
      <c r="K616" s="519"/>
      <c r="L616" s="519"/>
      <c r="M616" s="380"/>
      <c r="N616" s="519"/>
      <c r="O616" s="519"/>
      <c r="P616" s="519"/>
      <c r="Q616" s="382"/>
      <c r="R616" s="521"/>
      <c r="S616" s="521"/>
      <c r="T616" s="521"/>
      <c r="U616" s="380"/>
      <c r="V616" s="522"/>
      <c r="W616" s="522"/>
      <c r="X616" s="522"/>
      <c r="Y616" s="382"/>
    </row>
    <row r="617" spans="9:25" ht="12.75" customHeight="1">
      <c r="I617" s="382"/>
      <c r="J617" s="519">
        <f t="shared" si="358"/>
        <v>295</v>
      </c>
      <c r="K617" s="519"/>
      <c r="L617" s="519"/>
      <c r="M617" s="380"/>
      <c r="N617" s="520">
        <f t="shared" si="357"/>
        <v>47413</v>
      </c>
      <c r="O617" s="519"/>
      <c r="P617" s="519"/>
      <c r="Q617" s="382"/>
      <c r="R617" s="521">
        <f>LOOKUP(ROUNDUP(IF((N617-$R$10)&lt;=0,1,(N617-$R$10))/365,0),'Profit Division'!$A$4:$A$30,'Profit Division'!$C$4:$C$30)</f>
        <v>1.1403848734836686E-4</v>
      </c>
      <c r="S617" s="521"/>
      <c r="T617" s="521"/>
      <c r="U617" s="380"/>
      <c r="V617" s="522">
        <f ca="1">R617*LOOKUP(N617,'reserve calculation'!B:B,'reserve calculation'!D:D)</f>
        <v>54068.827802800108</v>
      </c>
      <c r="W617" s="522"/>
      <c r="X617" s="522"/>
      <c r="Y617" s="382"/>
    </row>
    <row r="618" spans="9:25" ht="12.75" customHeight="1">
      <c r="I618" s="382"/>
      <c r="J618" s="519"/>
      <c r="K618" s="519"/>
      <c r="L618" s="519"/>
      <c r="M618" s="380"/>
      <c r="N618" s="519"/>
      <c r="O618" s="519"/>
      <c r="P618" s="519"/>
      <c r="Q618" s="382"/>
      <c r="R618" s="521"/>
      <c r="S618" s="521"/>
      <c r="T618" s="521"/>
      <c r="U618" s="380"/>
      <c r="V618" s="522"/>
      <c r="W618" s="522"/>
      <c r="X618" s="522"/>
      <c r="Y618" s="382"/>
    </row>
    <row r="619" spans="9:25" ht="12.75" customHeight="1">
      <c r="I619" s="382"/>
      <c r="J619" s="519">
        <f t="shared" si="358"/>
        <v>296</v>
      </c>
      <c r="K619" s="519"/>
      <c r="L619" s="519"/>
      <c r="M619" s="380"/>
      <c r="N619" s="520">
        <f t="shared" si="357"/>
        <v>47414</v>
      </c>
      <c r="O619" s="519"/>
      <c r="P619" s="519"/>
      <c r="Q619" s="382"/>
      <c r="R619" s="521">
        <f>LOOKUP(ROUNDUP(IF((N619-$R$10)&lt;=0,1,(N619-$R$10))/365,0),'Profit Division'!$A$4:$A$30,'Profit Division'!$C$4:$C$30)</f>
        <v>1.1403848734836686E-4</v>
      </c>
      <c r="S619" s="521"/>
      <c r="T619" s="521"/>
      <c r="U619" s="380"/>
      <c r="V619" s="522">
        <f ca="1">R619*LOOKUP(N619,'reserve calculation'!B:B,'reserve calculation'!D:D)</f>
        <v>54089.535231179623</v>
      </c>
      <c r="W619" s="522"/>
      <c r="X619" s="522"/>
      <c r="Y619" s="382"/>
    </row>
    <row r="620" spans="9:25" ht="12.75" customHeight="1">
      <c r="I620" s="382"/>
      <c r="J620" s="519"/>
      <c r="K620" s="519"/>
      <c r="L620" s="519"/>
      <c r="M620" s="380"/>
      <c r="N620" s="519"/>
      <c r="O620" s="519"/>
      <c r="P620" s="519"/>
      <c r="Q620" s="382"/>
      <c r="R620" s="521"/>
      <c r="S620" s="521"/>
      <c r="T620" s="521"/>
      <c r="U620" s="380"/>
      <c r="V620" s="522"/>
      <c r="W620" s="522"/>
      <c r="X620" s="522"/>
      <c r="Y620" s="382"/>
    </row>
    <row r="621" spans="9:25" ht="12.75" customHeight="1">
      <c r="I621" s="382"/>
      <c r="J621" s="519">
        <f t="shared" si="358"/>
        <v>297</v>
      </c>
      <c r="K621" s="519"/>
      <c r="L621" s="519"/>
      <c r="M621" s="380"/>
      <c r="N621" s="520">
        <f t="shared" si="357"/>
        <v>47415</v>
      </c>
      <c r="O621" s="519"/>
      <c r="P621" s="519"/>
      <c r="Q621" s="382"/>
      <c r="R621" s="521">
        <f>LOOKUP(ROUNDUP(IF((N621-$R$10)&lt;=0,1,(N621-$R$10))/365,0),'Profit Division'!$A$4:$A$30,'Profit Division'!$C$4:$C$30)</f>
        <v>1.1403848734836686E-4</v>
      </c>
      <c r="S621" s="521"/>
      <c r="T621" s="521"/>
      <c r="U621" s="380"/>
      <c r="V621" s="522">
        <f ca="1">R621*LOOKUP(N621,'reserve calculation'!B:B,'reserve calculation'!D:D)</f>
        <v>54110.250590147021</v>
      </c>
      <c r="W621" s="522"/>
      <c r="X621" s="522"/>
      <c r="Y621" s="382"/>
    </row>
    <row r="622" spans="9:25" ht="12.75" customHeight="1">
      <c r="I622" s="382"/>
      <c r="J622" s="519"/>
      <c r="K622" s="519"/>
      <c r="L622" s="519"/>
      <c r="M622" s="380"/>
      <c r="N622" s="519"/>
      <c r="O622" s="519"/>
      <c r="P622" s="519"/>
      <c r="Q622" s="382"/>
      <c r="R622" s="521"/>
      <c r="S622" s="521"/>
      <c r="T622" s="521"/>
      <c r="U622" s="380"/>
      <c r="V622" s="522"/>
      <c r="W622" s="522"/>
      <c r="X622" s="522"/>
      <c r="Y622" s="382"/>
    </row>
    <row r="623" spans="9:25" ht="12.75" customHeight="1">
      <c r="I623" s="382"/>
      <c r="J623" s="519">
        <f t="shared" si="358"/>
        <v>298</v>
      </c>
      <c r="K623" s="519"/>
      <c r="L623" s="519"/>
      <c r="M623" s="380"/>
      <c r="N623" s="520">
        <f t="shared" si="357"/>
        <v>47416</v>
      </c>
      <c r="O623" s="519"/>
      <c r="P623" s="519"/>
      <c r="Q623" s="382"/>
      <c r="R623" s="521">
        <f>LOOKUP(ROUNDUP(IF((N623-$R$10)&lt;=0,1,(N623-$R$10))/365,0),'Profit Division'!$A$4:$A$30,'Profit Division'!$C$4:$C$30)</f>
        <v>1.1403848734836686E-4</v>
      </c>
      <c r="S623" s="521"/>
      <c r="T623" s="521"/>
      <c r="U623" s="380"/>
      <c r="V623" s="522">
        <f ca="1">R623*LOOKUP(N623,'reserve calculation'!B:B,'reserve calculation'!D:D)</f>
        <v>54130.973882739563</v>
      </c>
      <c r="W623" s="522"/>
      <c r="X623" s="522"/>
      <c r="Y623" s="382"/>
    </row>
    <row r="624" spans="9:25" ht="12.75" customHeight="1">
      <c r="I624" s="382"/>
      <c r="J624" s="519"/>
      <c r="K624" s="519"/>
      <c r="L624" s="519"/>
      <c r="M624" s="380"/>
      <c r="N624" s="519"/>
      <c r="O624" s="519"/>
      <c r="P624" s="519"/>
      <c r="Q624" s="382"/>
      <c r="R624" s="521"/>
      <c r="S624" s="521"/>
      <c r="T624" s="521"/>
      <c r="U624" s="380"/>
      <c r="V624" s="522"/>
      <c r="W624" s="522"/>
      <c r="X624" s="522"/>
      <c r="Y624" s="382"/>
    </row>
    <row r="625" spans="9:25" ht="12.75" customHeight="1">
      <c r="I625" s="382"/>
      <c r="J625" s="519">
        <f t="shared" si="358"/>
        <v>299</v>
      </c>
      <c r="K625" s="519"/>
      <c r="L625" s="519"/>
      <c r="M625" s="380"/>
      <c r="N625" s="520">
        <f t="shared" si="357"/>
        <v>47417</v>
      </c>
      <c r="O625" s="519"/>
      <c r="P625" s="519"/>
      <c r="Q625" s="382"/>
      <c r="R625" s="521">
        <f>LOOKUP(ROUNDUP(IF((N625-$R$10)&lt;=0,1,(N625-$R$10))/365,0),'Profit Division'!$A$4:$A$30,'Profit Division'!$C$4:$C$30)</f>
        <v>1.1403848734836686E-4</v>
      </c>
      <c r="S625" s="521"/>
      <c r="T625" s="521"/>
      <c r="U625" s="380"/>
      <c r="V625" s="522">
        <f ca="1">R625*LOOKUP(N625,'reserve calculation'!B:B,'reserve calculation'!D:D)</f>
        <v>54151.70511199571</v>
      </c>
      <c r="W625" s="522"/>
      <c r="X625" s="522"/>
      <c r="Y625" s="382"/>
    </row>
    <row r="626" spans="9:25" ht="12.75" customHeight="1">
      <c r="I626" s="382"/>
      <c r="J626" s="519"/>
      <c r="K626" s="519"/>
      <c r="L626" s="519"/>
      <c r="M626" s="380"/>
      <c r="N626" s="519"/>
      <c r="O626" s="519"/>
      <c r="P626" s="519"/>
      <c r="Q626" s="382"/>
      <c r="R626" s="521"/>
      <c r="S626" s="521"/>
      <c r="T626" s="521"/>
      <c r="U626" s="380"/>
      <c r="V626" s="522"/>
      <c r="W626" s="522"/>
      <c r="X626" s="522"/>
      <c r="Y626" s="382"/>
    </row>
    <row r="627" spans="9:25" ht="12.75" customHeight="1">
      <c r="I627" s="382"/>
      <c r="J627" s="519">
        <f t="shared" si="358"/>
        <v>300</v>
      </c>
      <c r="K627" s="519"/>
      <c r="L627" s="519"/>
      <c r="M627" s="380"/>
      <c r="N627" s="520">
        <f t="shared" si="357"/>
        <v>47418</v>
      </c>
      <c r="O627" s="519"/>
      <c r="P627" s="519"/>
      <c r="Q627" s="382"/>
      <c r="R627" s="521">
        <f>LOOKUP(ROUNDUP(IF((N627-$R$10)&lt;=0,1,(N627-$R$10))/365,0),'Profit Division'!$A$4:$A$30,'Profit Division'!$C$4:$C$30)</f>
        <v>1.1403848734836686E-4</v>
      </c>
      <c r="S627" s="521"/>
      <c r="T627" s="521"/>
      <c r="U627" s="380"/>
      <c r="V627" s="522">
        <f ca="1">R627*LOOKUP(N627,'reserve calculation'!B:B,'reserve calculation'!D:D)</f>
        <v>54172.444280955053</v>
      </c>
      <c r="W627" s="522"/>
      <c r="X627" s="522"/>
      <c r="Y627" s="382"/>
    </row>
    <row r="628" spans="9:25" ht="12.75" customHeight="1">
      <c r="I628" s="382"/>
      <c r="J628" s="519"/>
      <c r="K628" s="519"/>
      <c r="L628" s="519"/>
      <c r="M628" s="380"/>
      <c r="N628" s="519"/>
      <c r="O628" s="519"/>
      <c r="P628" s="519"/>
      <c r="Q628" s="382"/>
      <c r="R628" s="521"/>
      <c r="S628" s="521"/>
      <c r="T628" s="521"/>
      <c r="U628" s="380"/>
      <c r="V628" s="522"/>
      <c r="W628" s="522"/>
      <c r="X628" s="522"/>
      <c r="Y628" s="382"/>
    </row>
    <row r="629" spans="9:25" ht="12.75" customHeight="1">
      <c r="I629" s="382"/>
      <c r="J629" s="519">
        <f t="shared" si="358"/>
        <v>301</v>
      </c>
      <c r="K629" s="519"/>
      <c r="L629" s="519"/>
      <c r="M629" s="380"/>
      <c r="N629" s="520">
        <f t="shared" si="357"/>
        <v>47419</v>
      </c>
      <c r="O629" s="519"/>
      <c r="P629" s="519"/>
      <c r="Q629" s="382"/>
      <c r="R629" s="521">
        <f>LOOKUP(ROUNDUP(IF((N629-$R$10)&lt;=0,1,(N629-$R$10))/365,0),'Profit Division'!$A$4:$A$30,'Profit Division'!$C$4:$C$30)</f>
        <v>1.1403848734836686E-4</v>
      </c>
      <c r="S629" s="521"/>
      <c r="T629" s="521"/>
      <c r="U629" s="380"/>
      <c r="V629" s="522">
        <f ca="1">R629*LOOKUP(N629,'reserve calculation'!B:B,'reserve calculation'!D:D)</f>
        <v>54193.191392658351</v>
      </c>
      <c r="W629" s="522"/>
      <c r="X629" s="522"/>
      <c r="Y629" s="382"/>
    </row>
    <row r="630" spans="9:25" ht="12.75" customHeight="1">
      <c r="I630" s="382"/>
      <c r="J630" s="519"/>
      <c r="K630" s="519"/>
      <c r="L630" s="519"/>
      <c r="M630" s="380"/>
      <c r="N630" s="519"/>
      <c r="O630" s="519"/>
      <c r="P630" s="519"/>
      <c r="Q630" s="382"/>
      <c r="R630" s="521"/>
      <c r="S630" s="521"/>
      <c r="T630" s="521"/>
      <c r="U630" s="380"/>
      <c r="V630" s="522"/>
      <c r="W630" s="522"/>
      <c r="X630" s="522"/>
      <c r="Y630" s="382"/>
    </row>
    <row r="631" spans="9:25" ht="12.75" customHeight="1">
      <c r="I631" s="382"/>
      <c r="J631" s="519">
        <f t="shared" si="358"/>
        <v>302</v>
      </c>
      <c r="K631" s="519"/>
      <c r="L631" s="519"/>
      <c r="M631" s="380"/>
      <c r="N631" s="520">
        <f t="shared" si="357"/>
        <v>47420</v>
      </c>
      <c r="O631" s="519"/>
      <c r="P631" s="519"/>
      <c r="Q631" s="382"/>
      <c r="R631" s="521">
        <f>LOOKUP(ROUNDUP(IF((N631-$R$10)&lt;=0,1,(N631-$R$10))/365,0),'Profit Division'!$A$4:$A$30,'Profit Division'!$C$4:$C$30)</f>
        <v>1.1403848734836686E-4</v>
      </c>
      <c r="S631" s="521"/>
      <c r="T631" s="521"/>
      <c r="U631" s="380"/>
      <c r="V631" s="522">
        <f ca="1">R631*LOOKUP(N631,'reserve calculation'!B:B,'reserve calculation'!D:D)</f>
        <v>54213.94645014756</v>
      </c>
      <c r="W631" s="522"/>
      <c r="X631" s="522"/>
      <c r="Y631" s="382"/>
    </row>
    <row r="632" spans="9:25" ht="12.75" customHeight="1">
      <c r="I632" s="382"/>
      <c r="J632" s="519"/>
      <c r="K632" s="519"/>
      <c r="L632" s="519"/>
      <c r="M632" s="380"/>
      <c r="N632" s="519"/>
      <c r="O632" s="519"/>
      <c r="P632" s="519"/>
      <c r="Q632" s="382"/>
      <c r="R632" s="521"/>
      <c r="S632" s="521"/>
      <c r="T632" s="521"/>
      <c r="U632" s="380"/>
      <c r="V632" s="522"/>
      <c r="W632" s="522"/>
      <c r="X632" s="522"/>
      <c r="Y632" s="382"/>
    </row>
    <row r="633" spans="9:25" ht="12.75" customHeight="1">
      <c r="I633" s="382"/>
      <c r="J633" s="519">
        <f t="shared" si="358"/>
        <v>303</v>
      </c>
      <c r="K633" s="519"/>
      <c r="L633" s="519"/>
      <c r="M633" s="380"/>
      <c r="N633" s="520">
        <f t="shared" si="357"/>
        <v>47421</v>
      </c>
      <c r="O633" s="519"/>
      <c r="P633" s="519"/>
      <c r="Q633" s="382"/>
      <c r="R633" s="521">
        <f>LOOKUP(ROUNDUP(IF((N633-$R$10)&lt;=0,1,(N633-$R$10))/365,0),'Profit Division'!$A$4:$A$30,'Profit Division'!$C$4:$C$30)</f>
        <v>1.1403848734836686E-4</v>
      </c>
      <c r="S633" s="521"/>
      <c r="T633" s="521"/>
      <c r="U633" s="380"/>
      <c r="V633" s="522">
        <f ca="1">R633*LOOKUP(N633,'reserve calculation'!B:B,'reserve calculation'!D:D)</f>
        <v>54234.709456465775</v>
      </c>
      <c r="W633" s="522"/>
      <c r="X633" s="522"/>
      <c r="Y633" s="382"/>
    </row>
    <row r="634" spans="9:25" ht="12.75" customHeight="1">
      <c r="I634" s="382"/>
      <c r="J634" s="519"/>
      <c r="K634" s="519"/>
      <c r="L634" s="519"/>
      <c r="M634" s="380"/>
      <c r="N634" s="519"/>
      <c r="O634" s="519"/>
      <c r="P634" s="519"/>
      <c r="Q634" s="382"/>
      <c r="R634" s="521"/>
      <c r="S634" s="521"/>
      <c r="T634" s="521"/>
      <c r="U634" s="380"/>
      <c r="V634" s="522"/>
      <c r="W634" s="522"/>
      <c r="X634" s="522"/>
      <c r="Y634" s="382"/>
    </row>
    <row r="635" spans="9:25" ht="12.75" customHeight="1">
      <c r="I635" s="382"/>
      <c r="J635" s="519">
        <f t="shared" si="358"/>
        <v>304</v>
      </c>
      <c r="K635" s="519"/>
      <c r="L635" s="519"/>
      <c r="M635" s="380"/>
      <c r="N635" s="520">
        <f t="shared" si="357"/>
        <v>47422</v>
      </c>
      <c r="O635" s="519"/>
      <c r="P635" s="519"/>
      <c r="Q635" s="382"/>
      <c r="R635" s="521">
        <f>LOOKUP(ROUNDUP(IF((N635-$R$10)&lt;=0,1,(N635-$R$10))/365,0),'Profit Division'!$A$4:$A$30,'Profit Division'!$C$4:$C$30)</f>
        <v>1.1403848734836686E-4</v>
      </c>
      <c r="S635" s="521"/>
      <c r="T635" s="521"/>
      <c r="U635" s="380"/>
      <c r="V635" s="522">
        <f ca="1">R635*LOOKUP(N635,'reserve calculation'!B:B,'reserve calculation'!D:D)</f>
        <v>54255.48041465725</v>
      </c>
      <c r="W635" s="522"/>
      <c r="X635" s="522"/>
      <c r="Y635" s="382"/>
    </row>
    <row r="636" spans="9:25" ht="12.75" customHeight="1">
      <c r="I636" s="382"/>
      <c r="J636" s="519"/>
      <c r="K636" s="519"/>
      <c r="L636" s="519"/>
      <c r="M636" s="380"/>
      <c r="N636" s="519"/>
      <c r="O636" s="519"/>
      <c r="P636" s="519"/>
      <c r="Q636" s="382"/>
      <c r="R636" s="521"/>
      <c r="S636" s="521"/>
      <c r="T636" s="521"/>
      <c r="U636" s="380"/>
      <c r="V636" s="522"/>
      <c r="W636" s="522"/>
      <c r="X636" s="522"/>
      <c r="Y636" s="382"/>
    </row>
    <row r="637" spans="9:25" ht="12.75" customHeight="1">
      <c r="I637" s="382"/>
      <c r="J637" s="519">
        <f t="shared" si="358"/>
        <v>305</v>
      </c>
      <c r="K637" s="519"/>
      <c r="L637" s="519"/>
      <c r="M637" s="380"/>
      <c r="N637" s="520">
        <f t="shared" si="357"/>
        <v>47423</v>
      </c>
      <c r="O637" s="519"/>
      <c r="P637" s="519"/>
      <c r="Q637" s="382"/>
      <c r="R637" s="521">
        <f>LOOKUP(ROUNDUP(IF((N637-$R$10)&lt;=0,1,(N637-$R$10))/365,0),'Profit Division'!$A$4:$A$30,'Profit Division'!$C$4:$C$30)</f>
        <v>1.1403848734836686E-4</v>
      </c>
      <c r="S637" s="521"/>
      <c r="T637" s="521"/>
      <c r="U637" s="380"/>
      <c r="V637" s="522">
        <f ca="1">R637*LOOKUP(N637,'reserve calculation'!B:B,'reserve calculation'!D:D)</f>
        <v>54276.259327767417</v>
      </c>
      <c r="W637" s="522"/>
      <c r="X637" s="522"/>
      <c r="Y637" s="382"/>
    </row>
    <row r="638" spans="9:25" ht="12.75" customHeight="1">
      <c r="I638" s="382"/>
      <c r="J638" s="519"/>
      <c r="K638" s="519"/>
      <c r="L638" s="519"/>
      <c r="M638" s="380"/>
      <c r="N638" s="519"/>
      <c r="O638" s="519"/>
      <c r="P638" s="519"/>
      <c r="Q638" s="382"/>
      <c r="R638" s="521"/>
      <c r="S638" s="521"/>
      <c r="T638" s="521"/>
      <c r="U638" s="380"/>
      <c r="V638" s="522"/>
      <c r="W638" s="522"/>
      <c r="X638" s="522"/>
      <c r="Y638" s="382"/>
    </row>
    <row r="639" spans="9:25" ht="12.75" customHeight="1">
      <c r="I639" s="382"/>
      <c r="J639" s="519">
        <f t="shared" si="358"/>
        <v>306</v>
      </c>
      <c r="K639" s="519"/>
      <c r="L639" s="519"/>
      <c r="M639" s="380"/>
      <c r="N639" s="520">
        <f t="shared" ref="N639:N701" si="359">N637+1</f>
        <v>47424</v>
      </c>
      <c r="O639" s="519"/>
      <c r="P639" s="519"/>
      <c r="Q639" s="382"/>
      <c r="R639" s="521">
        <f>LOOKUP(ROUNDUP(IF((N639-$R$10)&lt;=0,1,(N639-$R$10))/365,0),'Profit Division'!$A$4:$A$30,'Profit Division'!$C$4:$C$30)</f>
        <v>1.1403848734836686E-4</v>
      </c>
      <c r="S639" s="521"/>
      <c r="T639" s="521"/>
      <c r="U639" s="380"/>
      <c r="V639" s="522">
        <f ca="1">R639*LOOKUP(N639,'reserve calculation'!B:B,'reserve calculation'!D:D)</f>
        <v>54297.04619884288</v>
      </c>
      <c r="W639" s="522"/>
      <c r="X639" s="522"/>
      <c r="Y639" s="382"/>
    </row>
    <row r="640" spans="9:25" ht="12.75" customHeight="1">
      <c r="I640" s="382"/>
      <c r="J640" s="519"/>
      <c r="K640" s="519"/>
      <c r="L640" s="519"/>
      <c r="M640" s="380"/>
      <c r="N640" s="519"/>
      <c r="O640" s="519"/>
      <c r="P640" s="519"/>
      <c r="Q640" s="382"/>
      <c r="R640" s="521"/>
      <c r="S640" s="521"/>
      <c r="T640" s="521"/>
      <c r="U640" s="380"/>
      <c r="V640" s="522"/>
      <c r="W640" s="522"/>
      <c r="X640" s="522"/>
      <c r="Y640" s="382"/>
    </row>
    <row r="641" spans="9:25" ht="12.75" customHeight="1">
      <c r="I641" s="382"/>
      <c r="J641" s="519">
        <f t="shared" ref="J641:J703" si="360">J639+1</f>
        <v>307</v>
      </c>
      <c r="K641" s="519"/>
      <c r="L641" s="519"/>
      <c r="M641" s="380"/>
      <c r="N641" s="520">
        <f t="shared" si="359"/>
        <v>47425</v>
      </c>
      <c r="O641" s="519"/>
      <c r="P641" s="519"/>
      <c r="Q641" s="382"/>
      <c r="R641" s="521">
        <f>LOOKUP(ROUNDUP(IF((N641-$R$10)&lt;=0,1,(N641-$R$10))/365,0),'Profit Division'!$A$4:$A$30,'Profit Division'!$C$4:$C$30)</f>
        <v>1.1403848734836686E-4</v>
      </c>
      <c r="S641" s="521"/>
      <c r="T641" s="521"/>
      <c r="U641" s="380"/>
      <c r="V641" s="522">
        <f ca="1">R641*LOOKUP(N641,'reserve calculation'!B:B,'reserve calculation'!D:D)</f>
        <v>54317.841030931391</v>
      </c>
      <c r="W641" s="522"/>
      <c r="X641" s="522"/>
      <c r="Y641" s="382"/>
    </row>
    <row r="642" spans="9:25" ht="12.75" customHeight="1">
      <c r="I642" s="382"/>
      <c r="J642" s="519"/>
      <c r="K642" s="519"/>
      <c r="L642" s="519"/>
      <c r="M642" s="380"/>
      <c r="N642" s="519"/>
      <c r="O642" s="519"/>
      <c r="P642" s="519"/>
      <c r="Q642" s="382"/>
      <c r="R642" s="521"/>
      <c r="S642" s="521"/>
      <c r="T642" s="521"/>
      <c r="U642" s="380"/>
      <c r="V642" s="522"/>
      <c r="W642" s="522"/>
      <c r="X642" s="522"/>
      <c r="Y642" s="382"/>
    </row>
    <row r="643" spans="9:25" ht="12.75" customHeight="1">
      <c r="I643" s="382"/>
      <c r="J643" s="519">
        <f t="shared" si="360"/>
        <v>308</v>
      </c>
      <c r="K643" s="519"/>
      <c r="L643" s="519"/>
      <c r="M643" s="380"/>
      <c r="N643" s="520">
        <f t="shared" si="359"/>
        <v>47426</v>
      </c>
      <c r="O643" s="519"/>
      <c r="P643" s="519"/>
      <c r="Q643" s="382"/>
      <c r="R643" s="521">
        <f>LOOKUP(ROUNDUP(IF((N643-$R$10)&lt;=0,1,(N643-$R$10))/365,0),'Profit Division'!$A$4:$A$30,'Profit Division'!$C$4:$C$30)</f>
        <v>1.1403848734836686E-4</v>
      </c>
      <c r="S643" s="521"/>
      <c r="T643" s="521"/>
      <c r="U643" s="380"/>
      <c r="V643" s="522">
        <f ca="1">R643*LOOKUP(N643,'reserve calculation'!B:B,'reserve calculation'!D:D)</f>
        <v>54338.643827081898</v>
      </c>
      <c r="W643" s="522"/>
      <c r="X643" s="522"/>
      <c r="Y643" s="382"/>
    </row>
    <row r="644" spans="9:25" ht="12.75" customHeight="1">
      <c r="I644" s="382"/>
      <c r="J644" s="519"/>
      <c r="K644" s="519"/>
      <c r="L644" s="519"/>
      <c r="M644" s="380"/>
      <c r="N644" s="519"/>
      <c r="O644" s="519"/>
      <c r="P644" s="519"/>
      <c r="Q644" s="382"/>
      <c r="R644" s="521"/>
      <c r="S644" s="521"/>
      <c r="T644" s="521"/>
      <c r="U644" s="380"/>
      <c r="V644" s="522"/>
      <c r="W644" s="522"/>
      <c r="X644" s="522"/>
      <c r="Y644" s="382"/>
    </row>
    <row r="645" spans="9:25" ht="12.75" customHeight="1">
      <c r="I645" s="382"/>
      <c r="J645" s="519">
        <f t="shared" si="360"/>
        <v>309</v>
      </c>
      <c r="K645" s="519"/>
      <c r="L645" s="519"/>
      <c r="M645" s="380"/>
      <c r="N645" s="520">
        <f t="shared" si="359"/>
        <v>47427</v>
      </c>
      <c r="O645" s="519"/>
      <c r="P645" s="519"/>
      <c r="Q645" s="382"/>
      <c r="R645" s="521">
        <f>LOOKUP(ROUNDUP(IF((N645-$R$10)&lt;=0,1,(N645-$R$10))/365,0),'Profit Division'!$A$4:$A$30,'Profit Division'!$C$4:$C$30)</f>
        <v>1.1403848734836686E-4</v>
      </c>
      <c r="S645" s="521"/>
      <c r="T645" s="521"/>
      <c r="U645" s="380"/>
      <c r="V645" s="522">
        <f ca="1">R645*LOOKUP(N645,'reserve calculation'!B:B,'reserve calculation'!D:D)</f>
        <v>54359.454590344481</v>
      </c>
      <c r="W645" s="522"/>
      <c r="X645" s="522"/>
      <c r="Y645" s="382"/>
    </row>
    <row r="646" spans="9:25" ht="12.75" customHeight="1">
      <c r="I646" s="382"/>
      <c r="J646" s="519"/>
      <c r="K646" s="519"/>
      <c r="L646" s="519"/>
      <c r="M646" s="380"/>
      <c r="N646" s="519"/>
      <c r="O646" s="519"/>
      <c r="P646" s="519"/>
      <c r="Q646" s="382"/>
      <c r="R646" s="521"/>
      <c r="S646" s="521"/>
      <c r="T646" s="521"/>
      <c r="U646" s="380"/>
      <c r="V646" s="522"/>
      <c r="W646" s="522"/>
      <c r="X646" s="522"/>
      <c r="Y646" s="382"/>
    </row>
    <row r="647" spans="9:25" ht="12.75" customHeight="1">
      <c r="I647" s="382"/>
      <c r="J647" s="519">
        <f t="shared" si="360"/>
        <v>310</v>
      </c>
      <c r="K647" s="519"/>
      <c r="L647" s="519"/>
      <c r="M647" s="380"/>
      <c r="N647" s="520">
        <f t="shared" si="359"/>
        <v>47428</v>
      </c>
      <c r="O647" s="519"/>
      <c r="P647" s="519"/>
      <c r="Q647" s="382"/>
      <c r="R647" s="521">
        <f>LOOKUP(ROUNDUP(IF((N647-$R$10)&lt;=0,1,(N647-$R$10))/365,0),'Profit Division'!$A$4:$A$30,'Profit Division'!$C$4:$C$30)</f>
        <v>1.1403848734836686E-4</v>
      </c>
      <c r="S647" s="521"/>
      <c r="T647" s="521"/>
      <c r="U647" s="380"/>
      <c r="V647" s="522">
        <f ca="1">R647*LOOKUP(N647,'reserve calculation'!B:B,'reserve calculation'!D:D)</f>
        <v>54380.273323770416</v>
      </c>
      <c r="W647" s="522"/>
      <c r="X647" s="522"/>
      <c r="Y647" s="382"/>
    </row>
    <row r="648" spans="9:25" ht="12.75" customHeight="1">
      <c r="I648" s="382"/>
      <c r="J648" s="519"/>
      <c r="K648" s="519"/>
      <c r="L648" s="519"/>
      <c r="M648" s="380"/>
      <c r="N648" s="519"/>
      <c r="O648" s="519"/>
      <c r="P648" s="519"/>
      <c r="Q648" s="382"/>
      <c r="R648" s="521"/>
      <c r="S648" s="521"/>
      <c r="T648" s="521"/>
      <c r="U648" s="380"/>
      <c r="V648" s="522"/>
      <c r="W648" s="522"/>
      <c r="X648" s="522"/>
      <c r="Y648" s="382"/>
    </row>
    <row r="649" spans="9:25" ht="12.75" customHeight="1">
      <c r="I649" s="382"/>
      <c r="J649" s="519">
        <f t="shared" si="360"/>
        <v>311</v>
      </c>
      <c r="K649" s="519"/>
      <c r="L649" s="519"/>
      <c r="M649" s="380"/>
      <c r="N649" s="520">
        <f t="shared" si="359"/>
        <v>47429</v>
      </c>
      <c r="O649" s="519"/>
      <c r="P649" s="519"/>
      <c r="Q649" s="382"/>
      <c r="R649" s="521">
        <f>LOOKUP(ROUNDUP(IF((N649-$R$10)&lt;=0,1,(N649-$R$10))/365,0),'Profit Division'!$A$4:$A$30,'Profit Division'!$C$4:$C$30)</f>
        <v>1.1403848734836686E-4</v>
      </c>
      <c r="S649" s="521"/>
      <c r="T649" s="521"/>
      <c r="U649" s="380"/>
      <c r="V649" s="522">
        <f ca="1">R649*LOOKUP(N649,'reserve calculation'!B:B,'reserve calculation'!D:D)</f>
        <v>54401.100030412141</v>
      </c>
      <c r="W649" s="522"/>
      <c r="X649" s="522"/>
      <c r="Y649" s="382"/>
    </row>
    <row r="650" spans="9:25" ht="12.75" customHeight="1">
      <c r="I650" s="382"/>
      <c r="J650" s="519"/>
      <c r="K650" s="519"/>
      <c r="L650" s="519"/>
      <c r="M650" s="380"/>
      <c r="N650" s="519"/>
      <c r="O650" s="519"/>
      <c r="P650" s="519"/>
      <c r="Q650" s="382"/>
      <c r="R650" s="521"/>
      <c r="S650" s="521"/>
      <c r="T650" s="521"/>
      <c r="U650" s="380"/>
      <c r="V650" s="522"/>
      <c r="W650" s="522"/>
      <c r="X650" s="522"/>
      <c r="Y650" s="382"/>
    </row>
    <row r="651" spans="9:25" ht="12.75" customHeight="1">
      <c r="I651" s="382"/>
      <c r="J651" s="519">
        <f t="shared" si="360"/>
        <v>312</v>
      </c>
      <c r="K651" s="519"/>
      <c r="L651" s="519"/>
      <c r="M651" s="380"/>
      <c r="N651" s="520">
        <f t="shared" si="359"/>
        <v>47430</v>
      </c>
      <c r="O651" s="519"/>
      <c r="P651" s="519"/>
      <c r="Q651" s="382"/>
      <c r="R651" s="521">
        <f>LOOKUP(ROUNDUP(IF((N651-$R$10)&lt;=0,1,(N651-$R$10))/365,0),'Profit Division'!$A$4:$A$30,'Profit Division'!$C$4:$C$30)</f>
        <v>1.1403848734836686E-4</v>
      </c>
      <c r="S651" s="521"/>
      <c r="T651" s="521"/>
      <c r="U651" s="380"/>
      <c r="V651" s="522">
        <f ca="1">R651*LOOKUP(N651,'reserve calculation'!B:B,'reserve calculation'!D:D)</f>
        <v>54421.934713323251</v>
      </c>
      <c r="W651" s="522"/>
      <c r="X651" s="522"/>
      <c r="Y651" s="382"/>
    </row>
    <row r="652" spans="9:25" ht="12.75" customHeight="1">
      <c r="I652" s="382"/>
      <c r="J652" s="519"/>
      <c r="K652" s="519"/>
      <c r="L652" s="519"/>
      <c r="M652" s="380"/>
      <c r="N652" s="519"/>
      <c r="O652" s="519"/>
      <c r="P652" s="519"/>
      <c r="Q652" s="382"/>
      <c r="R652" s="521"/>
      <c r="S652" s="521"/>
      <c r="T652" s="521"/>
      <c r="U652" s="380"/>
      <c r="V652" s="522"/>
      <c r="W652" s="522"/>
      <c r="X652" s="522"/>
      <c r="Y652" s="382"/>
    </row>
    <row r="653" spans="9:25" ht="12.75" customHeight="1">
      <c r="I653" s="382"/>
      <c r="J653" s="519">
        <f t="shared" si="360"/>
        <v>313</v>
      </c>
      <c r="K653" s="519"/>
      <c r="L653" s="519"/>
      <c r="M653" s="380"/>
      <c r="N653" s="520">
        <f t="shared" si="359"/>
        <v>47431</v>
      </c>
      <c r="O653" s="519"/>
      <c r="P653" s="519"/>
      <c r="Q653" s="382"/>
      <c r="R653" s="521">
        <f>LOOKUP(ROUNDUP(IF((N653-$R$10)&lt;=0,1,(N653-$R$10))/365,0),'Profit Division'!$A$4:$A$30,'Profit Division'!$C$4:$C$30)</f>
        <v>1.1403848734836686E-4</v>
      </c>
      <c r="S653" s="521"/>
      <c r="T653" s="521"/>
      <c r="U653" s="380"/>
      <c r="V653" s="522">
        <f ca="1">R653*LOOKUP(N653,'reserve calculation'!B:B,'reserve calculation'!D:D)</f>
        <v>54442.777375558529</v>
      </c>
      <c r="W653" s="522"/>
      <c r="X653" s="522"/>
      <c r="Y653" s="382"/>
    </row>
    <row r="654" spans="9:25" ht="12.75" customHeight="1">
      <c r="I654" s="382"/>
      <c r="J654" s="519"/>
      <c r="K654" s="519"/>
      <c r="L654" s="519"/>
      <c r="M654" s="380"/>
      <c r="N654" s="519"/>
      <c r="O654" s="519"/>
      <c r="P654" s="519"/>
      <c r="Q654" s="382"/>
      <c r="R654" s="521"/>
      <c r="S654" s="521"/>
      <c r="T654" s="521"/>
      <c r="U654" s="380"/>
      <c r="V654" s="522"/>
      <c r="W654" s="522"/>
      <c r="X654" s="522"/>
      <c r="Y654" s="382"/>
    </row>
    <row r="655" spans="9:25" ht="12.75" customHeight="1">
      <c r="I655" s="382"/>
      <c r="J655" s="519">
        <f t="shared" si="360"/>
        <v>314</v>
      </c>
      <c r="K655" s="519"/>
      <c r="L655" s="519"/>
      <c r="M655" s="380"/>
      <c r="N655" s="520">
        <f t="shared" si="359"/>
        <v>47432</v>
      </c>
      <c r="O655" s="519"/>
      <c r="P655" s="519"/>
      <c r="Q655" s="382"/>
      <c r="R655" s="521">
        <f>LOOKUP(ROUNDUP(IF((N655-$R$10)&lt;=0,1,(N655-$R$10))/365,0),'Profit Division'!$A$4:$A$30,'Profit Division'!$C$4:$C$30)</f>
        <v>1.1403848734836686E-4</v>
      </c>
      <c r="S655" s="521"/>
      <c r="T655" s="521"/>
      <c r="U655" s="380"/>
      <c r="V655" s="522">
        <f ca="1">R655*LOOKUP(N655,'reserve calculation'!B:B,'reserve calculation'!D:D)</f>
        <v>54463.628020173914</v>
      </c>
      <c r="W655" s="522"/>
      <c r="X655" s="522"/>
      <c r="Y655" s="382"/>
    </row>
    <row r="656" spans="9:25" ht="12.75" customHeight="1">
      <c r="I656" s="382"/>
      <c r="J656" s="519"/>
      <c r="K656" s="519"/>
      <c r="L656" s="519"/>
      <c r="M656" s="380"/>
      <c r="N656" s="519"/>
      <c r="O656" s="519"/>
      <c r="P656" s="519"/>
      <c r="Q656" s="382"/>
      <c r="R656" s="521"/>
      <c r="S656" s="521"/>
      <c r="T656" s="521"/>
      <c r="U656" s="380"/>
      <c r="V656" s="522"/>
      <c r="W656" s="522"/>
      <c r="X656" s="522"/>
      <c r="Y656" s="382"/>
    </row>
    <row r="657" spans="9:25" ht="12.75" customHeight="1">
      <c r="I657" s="382"/>
      <c r="J657" s="519">
        <f t="shared" si="360"/>
        <v>315</v>
      </c>
      <c r="K657" s="519"/>
      <c r="L657" s="519"/>
      <c r="M657" s="380"/>
      <c r="N657" s="520">
        <f t="shared" si="359"/>
        <v>47433</v>
      </c>
      <c r="O657" s="519"/>
      <c r="P657" s="519"/>
      <c r="Q657" s="382"/>
      <c r="R657" s="521">
        <f>LOOKUP(ROUNDUP(IF((N657-$R$10)&lt;=0,1,(N657-$R$10))/365,0),'Profit Division'!$A$4:$A$30,'Profit Division'!$C$4:$C$30)</f>
        <v>1.1403848734836686E-4</v>
      </c>
      <c r="S657" s="521"/>
      <c r="T657" s="521"/>
      <c r="U657" s="380"/>
      <c r="V657" s="522">
        <f ca="1">R657*LOOKUP(N657,'reserve calculation'!B:B,'reserve calculation'!D:D)</f>
        <v>54484.486650226521</v>
      </c>
      <c r="W657" s="522"/>
      <c r="X657" s="522"/>
      <c r="Y657" s="382"/>
    </row>
    <row r="658" spans="9:25" ht="12.75" customHeight="1">
      <c r="I658" s="382"/>
      <c r="J658" s="519"/>
      <c r="K658" s="519"/>
      <c r="L658" s="519"/>
      <c r="M658" s="380"/>
      <c r="N658" s="519"/>
      <c r="O658" s="519"/>
      <c r="P658" s="519"/>
      <c r="Q658" s="382"/>
      <c r="R658" s="521"/>
      <c r="S658" s="521"/>
      <c r="T658" s="521"/>
      <c r="U658" s="380"/>
      <c r="V658" s="522"/>
      <c r="W658" s="522"/>
      <c r="X658" s="522"/>
      <c r="Y658" s="382"/>
    </row>
    <row r="659" spans="9:25" ht="12.75" customHeight="1">
      <c r="I659" s="382"/>
      <c r="J659" s="519">
        <f t="shared" si="360"/>
        <v>316</v>
      </c>
      <c r="K659" s="519"/>
      <c r="L659" s="519"/>
      <c r="M659" s="380"/>
      <c r="N659" s="520">
        <f t="shared" si="359"/>
        <v>47434</v>
      </c>
      <c r="O659" s="519"/>
      <c r="P659" s="519"/>
      <c r="Q659" s="382"/>
      <c r="R659" s="521">
        <f>LOOKUP(ROUNDUP(IF((N659-$R$10)&lt;=0,1,(N659-$R$10))/365,0),'Profit Division'!$A$4:$A$30,'Profit Division'!$C$4:$C$30)</f>
        <v>1.1403848734836686E-4</v>
      </c>
      <c r="S659" s="521"/>
      <c r="T659" s="521"/>
      <c r="U659" s="380"/>
      <c r="V659" s="522">
        <f ca="1">R659*LOOKUP(N659,'reserve calculation'!B:B,'reserve calculation'!D:D)</f>
        <v>54505.353268774634</v>
      </c>
      <c r="W659" s="522"/>
      <c r="X659" s="522"/>
      <c r="Y659" s="382"/>
    </row>
    <row r="660" spans="9:25" ht="12.75" customHeight="1">
      <c r="I660" s="382"/>
      <c r="J660" s="519"/>
      <c r="K660" s="519"/>
      <c r="L660" s="519"/>
      <c r="M660" s="380"/>
      <c r="N660" s="519"/>
      <c r="O660" s="519"/>
      <c r="P660" s="519"/>
      <c r="Q660" s="382"/>
      <c r="R660" s="521"/>
      <c r="S660" s="521"/>
      <c r="T660" s="521"/>
      <c r="U660" s="380"/>
      <c r="V660" s="522"/>
      <c r="W660" s="522"/>
      <c r="X660" s="522"/>
      <c r="Y660" s="382"/>
    </row>
    <row r="661" spans="9:25" ht="12.75" customHeight="1">
      <c r="I661" s="382"/>
      <c r="J661" s="519">
        <f t="shared" si="360"/>
        <v>317</v>
      </c>
      <c r="K661" s="519"/>
      <c r="L661" s="519"/>
      <c r="M661" s="380"/>
      <c r="N661" s="520">
        <f t="shared" si="359"/>
        <v>47435</v>
      </c>
      <c r="O661" s="519"/>
      <c r="P661" s="519"/>
      <c r="Q661" s="382"/>
      <c r="R661" s="521">
        <f>LOOKUP(ROUNDUP(IF((N661-$R$10)&lt;=0,1,(N661-$R$10))/365,0),'Profit Division'!$A$4:$A$30,'Profit Division'!$C$4:$C$30)</f>
        <v>1.1403848734836686E-4</v>
      </c>
      <c r="S661" s="521"/>
      <c r="T661" s="521"/>
      <c r="U661" s="380"/>
      <c r="V661" s="522">
        <f ca="1">R661*LOOKUP(N661,'reserve calculation'!B:B,'reserve calculation'!D:D)</f>
        <v>54526.227878877704</v>
      </c>
      <c r="W661" s="522"/>
      <c r="X661" s="522"/>
      <c r="Y661" s="382"/>
    </row>
    <row r="662" spans="9:25" ht="12.75" customHeight="1">
      <c r="I662" s="382"/>
      <c r="J662" s="519"/>
      <c r="K662" s="519"/>
      <c r="L662" s="519"/>
      <c r="M662" s="380"/>
      <c r="N662" s="519"/>
      <c r="O662" s="519"/>
      <c r="P662" s="519"/>
      <c r="Q662" s="382"/>
      <c r="R662" s="521"/>
      <c r="S662" s="521"/>
      <c r="T662" s="521"/>
      <c r="U662" s="380"/>
      <c r="V662" s="522"/>
      <c r="W662" s="522"/>
      <c r="X662" s="522"/>
      <c r="Y662" s="382"/>
    </row>
    <row r="663" spans="9:25" ht="12.75" customHeight="1">
      <c r="I663" s="382"/>
      <c r="J663" s="519">
        <f t="shared" si="360"/>
        <v>318</v>
      </c>
      <c r="K663" s="519"/>
      <c r="L663" s="519"/>
      <c r="M663" s="380"/>
      <c r="N663" s="520">
        <f t="shared" si="359"/>
        <v>47436</v>
      </c>
      <c r="O663" s="519"/>
      <c r="P663" s="519"/>
      <c r="Q663" s="382"/>
      <c r="R663" s="521">
        <f>LOOKUP(ROUNDUP(IF((N663-$R$10)&lt;=0,1,(N663-$R$10))/365,0),'Profit Division'!$A$4:$A$30,'Profit Division'!$C$4:$C$30)</f>
        <v>1.1403848734836686E-4</v>
      </c>
      <c r="S663" s="521"/>
      <c r="T663" s="521"/>
      <c r="U663" s="380"/>
      <c r="V663" s="522">
        <f ca="1">R663*LOOKUP(N663,'reserve calculation'!B:B,'reserve calculation'!D:D)</f>
        <v>54547.110483596363</v>
      </c>
      <c r="W663" s="522"/>
      <c r="X663" s="522"/>
      <c r="Y663" s="382"/>
    </row>
    <row r="664" spans="9:25" ht="12.75" customHeight="1">
      <c r="I664" s="382"/>
      <c r="J664" s="519"/>
      <c r="K664" s="519"/>
      <c r="L664" s="519"/>
      <c r="M664" s="380"/>
      <c r="N664" s="519"/>
      <c r="O664" s="519"/>
      <c r="P664" s="519"/>
      <c r="Q664" s="382"/>
      <c r="R664" s="521"/>
      <c r="S664" s="521"/>
      <c r="T664" s="521"/>
      <c r="U664" s="380"/>
      <c r="V664" s="522"/>
      <c r="W664" s="522"/>
      <c r="X664" s="522"/>
      <c r="Y664" s="382"/>
    </row>
    <row r="665" spans="9:25" ht="12.75" customHeight="1">
      <c r="I665" s="382"/>
      <c r="J665" s="519">
        <f t="shared" si="360"/>
        <v>319</v>
      </c>
      <c r="K665" s="519"/>
      <c r="L665" s="519"/>
      <c r="M665" s="380"/>
      <c r="N665" s="520">
        <f t="shared" si="359"/>
        <v>47437</v>
      </c>
      <c r="O665" s="519"/>
      <c r="P665" s="519"/>
      <c r="Q665" s="382"/>
      <c r="R665" s="521">
        <f>LOOKUP(ROUNDUP(IF((N665-$R$10)&lt;=0,1,(N665-$R$10))/365,0),'Profit Division'!$A$4:$A$30,'Profit Division'!$C$4:$C$30)</f>
        <v>1.1403848734836686E-4</v>
      </c>
      <c r="S665" s="521"/>
      <c r="T665" s="521"/>
      <c r="U665" s="380"/>
      <c r="V665" s="522">
        <f ca="1">R665*LOOKUP(N665,'reserve calculation'!B:B,'reserve calculation'!D:D)</f>
        <v>54568.001085992415</v>
      </c>
      <c r="W665" s="522"/>
      <c r="X665" s="522"/>
      <c r="Y665" s="382"/>
    </row>
    <row r="666" spans="9:25" ht="12.75" customHeight="1">
      <c r="I666" s="382"/>
      <c r="J666" s="519"/>
      <c r="K666" s="519"/>
      <c r="L666" s="519"/>
      <c r="M666" s="380"/>
      <c r="N666" s="519"/>
      <c r="O666" s="519"/>
      <c r="P666" s="519"/>
      <c r="Q666" s="382"/>
      <c r="R666" s="521"/>
      <c r="S666" s="521"/>
      <c r="T666" s="521"/>
      <c r="U666" s="380"/>
      <c r="V666" s="522"/>
      <c r="W666" s="522"/>
      <c r="X666" s="522"/>
      <c r="Y666" s="382"/>
    </row>
    <row r="667" spans="9:25" ht="12.75" customHeight="1">
      <c r="I667" s="382"/>
      <c r="J667" s="519">
        <f t="shared" si="360"/>
        <v>320</v>
      </c>
      <c r="K667" s="519"/>
      <c r="L667" s="519"/>
      <c r="M667" s="380"/>
      <c r="N667" s="520">
        <f t="shared" si="359"/>
        <v>47438</v>
      </c>
      <c r="O667" s="519"/>
      <c r="P667" s="519"/>
      <c r="Q667" s="382"/>
      <c r="R667" s="521">
        <f>LOOKUP(ROUNDUP(IF((N667-$R$10)&lt;=0,1,(N667-$R$10))/365,0),'Profit Division'!$A$4:$A$30,'Profit Division'!$C$4:$C$30)</f>
        <v>1.1403848734836686E-4</v>
      </c>
      <c r="S667" s="521"/>
      <c r="T667" s="521"/>
      <c r="U667" s="380"/>
      <c r="V667" s="522">
        <f ca="1">R667*LOOKUP(N667,'reserve calculation'!B:B,'reserve calculation'!D:D)</f>
        <v>54588.899689128833</v>
      </c>
      <c r="W667" s="522"/>
      <c r="X667" s="522"/>
      <c r="Y667" s="382"/>
    </row>
    <row r="668" spans="9:25" ht="12.75" customHeight="1">
      <c r="I668" s="382"/>
      <c r="J668" s="519"/>
      <c r="K668" s="519"/>
      <c r="L668" s="519"/>
      <c r="M668" s="380"/>
      <c r="N668" s="519"/>
      <c r="O668" s="519"/>
      <c r="P668" s="519"/>
      <c r="Q668" s="382"/>
      <c r="R668" s="521"/>
      <c r="S668" s="521"/>
      <c r="T668" s="521"/>
      <c r="U668" s="380"/>
      <c r="V668" s="522"/>
      <c r="W668" s="522"/>
      <c r="X668" s="522"/>
      <c r="Y668" s="382"/>
    </row>
    <row r="669" spans="9:25" ht="12.75" customHeight="1">
      <c r="I669" s="382"/>
      <c r="J669" s="519">
        <f t="shared" si="360"/>
        <v>321</v>
      </c>
      <c r="K669" s="519"/>
      <c r="L669" s="519"/>
      <c r="M669" s="380"/>
      <c r="N669" s="520">
        <f t="shared" si="359"/>
        <v>47439</v>
      </c>
      <c r="O669" s="519"/>
      <c r="P669" s="519"/>
      <c r="Q669" s="382"/>
      <c r="R669" s="521">
        <f>LOOKUP(ROUNDUP(IF((N669-$R$10)&lt;=0,1,(N669-$R$10))/365,0),'Profit Division'!$A$4:$A$30,'Profit Division'!$C$4:$C$30)</f>
        <v>1.1403848734836686E-4</v>
      </c>
      <c r="S669" s="521"/>
      <c r="T669" s="521"/>
      <c r="U669" s="380"/>
      <c r="V669" s="522">
        <f ca="1">R669*LOOKUP(N669,'reserve calculation'!B:B,'reserve calculation'!D:D)</f>
        <v>54609.806296069757</v>
      </c>
      <c r="W669" s="522"/>
      <c r="X669" s="522"/>
      <c r="Y669" s="382"/>
    </row>
    <row r="670" spans="9:25" ht="12.75" customHeight="1">
      <c r="I670" s="382"/>
      <c r="J670" s="519"/>
      <c r="K670" s="519"/>
      <c r="L670" s="519"/>
      <c r="M670" s="380"/>
      <c r="N670" s="519"/>
      <c r="O670" s="519"/>
      <c r="P670" s="519"/>
      <c r="Q670" s="382"/>
      <c r="R670" s="521"/>
      <c r="S670" s="521"/>
      <c r="T670" s="521"/>
      <c r="U670" s="380"/>
      <c r="V670" s="522"/>
      <c r="W670" s="522"/>
      <c r="X670" s="522"/>
      <c r="Y670" s="382"/>
    </row>
    <row r="671" spans="9:25" ht="12.75" customHeight="1">
      <c r="I671" s="382"/>
      <c r="J671" s="519">
        <f t="shared" si="360"/>
        <v>322</v>
      </c>
      <c r="K671" s="519"/>
      <c r="L671" s="519"/>
      <c r="M671" s="380"/>
      <c r="N671" s="520">
        <f t="shared" si="359"/>
        <v>47440</v>
      </c>
      <c r="O671" s="519"/>
      <c r="P671" s="519"/>
      <c r="Q671" s="382"/>
      <c r="R671" s="521">
        <f>LOOKUP(ROUNDUP(IF((N671-$R$10)&lt;=0,1,(N671-$R$10))/365,0),'Profit Division'!$A$4:$A$30,'Profit Division'!$C$4:$C$30)</f>
        <v>1.1403848734836686E-4</v>
      </c>
      <c r="S671" s="521"/>
      <c r="T671" s="521"/>
      <c r="U671" s="380"/>
      <c r="V671" s="522">
        <f ca="1">R671*LOOKUP(N671,'reserve calculation'!B:B,'reserve calculation'!D:D)</f>
        <v>54630.720909880503</v>
      </c>
      <c r="W671" s="522"/>
      <c r="X671" s="522"/>
      <c r="Y671" s="382"/>
    </row>
    <row r="672" spans="9:25" ht="12.75" customHeight="1">
      <c r="I672" s="382"/>
      <c r="J672" s="519"/>
      <c r="K672" s="519"/>
      <c r="L672" s="519"/>
      <c r="M672" s="380"/>
      <c r="N672" s="519"/>
      <c r="O672" s="519"/>
      <c r="P672" s="519"/>
      <c r="Q672" s="382"/>
      <c r="R672" s="521"/>
      <c r="S672" s="521"/>
      <c r="T672" s="521"/>
      <c r="U672" s="380"/>
      <c r="V672" s="522"/>
      <c r="W672" s="522"/>
      <c r="X672" s="522"/>
      <c r="Y672" s="382"/>
    </row>
    <row r="673" spans="9:25" ht="12.75" customHeight="1">
      <c r="I673" s="382"/>
      <c r="J673" s="519">
        <f t="shared" si="360"/>
        <v>323</v>
      </c>
      <c r="K673" s="519"/>
      <c r="L673" s="519"/>
      <c r="M673" s="380"/>
      <c r="N673" s="520">
        <f t="shared" si="359"/>
        <v>47441</v>
      </c>
      <c r="O673" s="519"/>
      <c r="P673" s="519"/>
      <c r="Q673" s="382"/>
      <c r="R673" s="521">
        <f>LOOKUP(ROUNDUP(IF((N673-$R$10)&lt;=0,1,(N673-$R$10))/365,0),'Profit Division'!$A$4:$A$30,'Profit Division'!$C$4:$C$30)</f>
        <v>1.1403848734836686E-4</v>
      </c>
      <c r="S673" s="521"/>
      <c r="T673" s="521"/>
      <c r="U673" s="380"/>
      <c r="V673" s="522">
        <f ca="1">R673*LOOKUP(N673,'reserve calculation'!B:B,'reserve calculation'!D:D)</f>
        <v>54651.643533627575</v>
      </c>
      <c r="W673" s="522"/>
      <c r="X673" s="522"/>
      <c r="Y673" s="382"/>
    </row>
    <row r="674" spans="9:25" ht="12.75" customHeight="1">
      <c r="I674" s="382"/>
      <c r="J674" s="519"/>
      <c r="K674" s="519"/>
      <c r="L674" s="519"/>
      <c r="M674" s="380"/>
      <c r="N674" s="519"/>
      <c r="O674" s="519"/>
      <c r="P674" s="519"/>
      <c r="Q674" s="382"/>
      <c r="R674" s="521"/>
      <c r="S674" s="521"/>
      <c r="T674" s="521"/>
      <c r="U674" s="380"/>
      <c r="V674" s="522"/>
      <c r="W674" s="522"/>
      <c r="X674" s="522"/>
      <c r="Y674" s="382"/>
    </row>
    <row r="675" spans="9:25" ht="12.75" customHeight="1">
      <c r="I675" s="382"/>
      <c r="J675" s="519">
        <f t="shared" si="360"/>
        <v>324</v>
      </c>
      <c r="K675" s="519"/>
      <c r="L675" s="519"/>
      <c r="M675" s="380"/>
      <c r="N675" s="520">
        <f t="shared" si="359"/>
        <v>47442</v>
      </c>
      <c r="O675" s="519"/>
      <c r="P675" s="519"/>
      <c r="Q675" s="382"/>
      <c r="R675" s="521">
        <f>LOOKUP(ROUNDUP(IF((N675-$R$10)&lt;=0,1,(N675-$R$10))/365,0),'Profit Division'!$A$4:$A$30,'Profit Division'!$C$4:$C$30)</f>
        <v>1.1403848734836686E-4</v>
      </c>
      <c r="S675" s="521"/>
      <c r="T675" s="521"/>
      <c r="U675" s="380"/>
      <c r="V675" s="522">
        <f ca="1">R675*LOOKUP(N675,'reserve calculation'!B:B,'reserve calculation'!D:D)</f>
        <v>54672.574170378626</v>
      </c>
      <c r="W675" s="522"/>
      <c r="X675" s="522"/>
      <c r="Y675" s="382"/>
    </row>
    <row r="676" spans="9:25" ht="12.75" customHeight="1">
      <c r="I676" s="382"/>
      <c r="J676" s="519"/>
      <c r="K676" s="519"/>
      <c r="L676" s="519"/>
      <c r="M676" s="380"/>
      <c r="N676" s="519"/>
      <c r="O676" s="519"/>
      <c r="P676" s="519"/>
      <c r="Q676" s="382"/>
      <c r="R676" s="521"/>
      <c r="S676" s="521"/>
      <c r="T676" s="521"/>
      <c r="U676" s="380"/>
      <c r="V676" s="522"/>
      <c r="W676" s="522"/>
      <c r="X676" s="522"/>
      <c r="Y676" s="382"/>
    </row>
    <row r="677" spans="9:25" ht="12.75" customHeight="1">
      <c r="I677" s="382"/>
      <c r="J677" s="519">
        <f t="shared" si="360"/>
        <v>325</v>
      </c>
      <c r="K677" s="519"/>
      <c r="L677" s="519"/>
      <c r="M677" s="380"/>
      <c r="N677" s="520">
        <f t="shared" si="359"/>
        <v>47443</v>
      </c>
      <c r="O677" s="519"/>
      <c r="P677" s="519"/>
      <c r="Q677" s="382"/>
      <c r="R677" s="521">
        <f>LOOKUP(ROUNDUP(IF((N677-$R$10)&lt;=0,1,(N677-$R$10))/365,0),'Profit Division'!$A$4:$A$30,'Profit Division'!$C$4:$C$30)</f>
        <v>1.1403848734836686E-4</v>
      </c>
      <c r="S677" s="521"/>
      <c r="T677" s="521"/>
      <c r="U677" s="380"/>
      <c r="V677" s="522">
        <f ca="1">R677*LOOKUP(N677,'reserve calculation'!B:B,'reserve calculation'!D:D)</f>
        <v>54693.512823202509</v>
      </c>
      <c r="W677" s="522"/>
      <c r="X677" s="522"/>
      <c r="Y677" s="382"/>
    </row>
    <row r="678" spans="9:25" ht="12.75" customHeight="1">
      <c r="I678" s="382"/>
      <c r="J678" s="519"/>
      <c r="K678" s="519"/>
      <c r="L678" s="519"/>
      <c r="M678" s="380"/>
      <c r="N678" s="519"/>
      <c r="O678" s="519"/>
      <c r="P678" s="519"/>
      <c r="Q678" s="382"/>
      <c r="R678" s="521"/>
      <c r="S678" s="521"/>
      <c r="T678" s="521"/>
      <c r="U678" s="380"/>
      <c r="V678" s="522"/>
      <c r="W678" s="522"/>
      <c r="X678" s="522"/>
      <c r="Y678" s="382"/>
    </row>
    <row r="679" spans="9:25" ht="12.75" customHeight="1">
      <c r="I679" s="382"/>
      <c r="J679" s="519">
        <f t="shared" si="360"/>
        <v>326</v>
      </c>
      <c r="K679" s="519"/>
      <c r="L679" s="519"/>
      <c r="M679" s="380"/>
      <c r="N679" s="520">
        <f t="shared" si="359"/>
        <v>47444</v>
      </c>
      <c r="O679" s="519"/>
      <c r="P679" s="519"/>
      <c r="Q679" s="382"/>
      <c r="R679" s="521">
        <f>LOOKUP(ROUNDUP(IF((N679-$R$10)&lt;=0,1,(N679-$R$10))/365,0),'Profit Division'!$A$4:$A$30,'Profit Division'!$C$4:$C$30)</f>
        <v>1.1403848734836686E-4</v>
      </c>
      <c r="S679" s="521"/>
      <c r="T679" s="521"/>
      <c r="U679" s="380"/>
      <c r="V679" s="522">
        <f ca="1">R679*LOOKUP(N679,'reserve calculation'!B:B,'reserve calculation'!D:D)</f>
        <v>54714.459495169242</v>
      </c>
      <c r="W679" s="522"/>
      <c r="X679" s="522"/>
      <c r="Y679" s="382"/>
    </row>
    <row r="680" spans="9:25" ht="12.75" customHeight="1">
      <c r="I680" s="382"/>
      <c r="J680" s="519"/>
      <c r="K680" s="519"/>
      <c r="L680" s="519"/>
      <c r="M680" s="380"/>
      <c r="N680" s="519"/>
      <c r="O680" s="519"/>
      <c r="P680" s="519"/>
      <c r="Q680" s="382"/>
      <c r="R680" s="521"/>
      <c r="S680" s="521"/>
      <c r="T680" s="521"/>
      <c r="U680" s="380"/>
      <c r="V680" s="522"/>
      <c r="W680" s="522"/>
      <c r="X680" s="522"/>
      <c r="Y680" s="382"/>
    </row>
    <row r="681" spans="9:25" ht="12.75" customHeight="1">
      <c r="I681" s="382"/>
      <c r="J681" s="519">
        <f t="shared" si="360"/>
        <v>327</v>
      </c>
      <c r="K681" s="519"/>
      <c r="L681" s="519"/>
      <c r="M681" s="380"/>
      <c r="N681" s="520">
        <f t="shared" si="359"/>
        <v>47445</v>
      </c>
      <c r="O681" s="519"/>
      <c r="P681" s="519"/>
      <c r="Q681" s="382"/>
      <c r="R681" s="521">
        <f>LOOKUP(ROUNDUP(IF((N681-$R$10)&lt;=0,1,(N681-$R$10))/365,0),'Profit Division'!$A$4:$A$30,'Profit Division'!$C$4:$C$30)</f>
        <v>1.1403848734836686E-4</v>
      </c>
      <c r="S681" s="521"/>
      <c r="T681" s="521"/>
      <c r="U681" s="380"/>
      <c r="V681" s="522">
        <f ca="1">R681*LOOKUP(N681,'reserve calculation'!B:B,'reserve calculation'!D:D)</f>
        <v>54735.414189350005</v>
      </c>
      <c r="W681" s="522"/>
      <c r="X681" s="522"/>
      <c r="Y681" s="382"/>
    </row>
    <row r="682" spans="9:25" ht="12.75" customHeight="1">
      <c r="I682" s="382"/>
      <c r="J682" s="519"/>
      <c r="K682" s="519"/>
      <c r="L682" s="519"/>
      <c r="M682" s="380"/>
      <c r="N682" s="519"/>
      <c r="O682" s="519"/>
      <c r="P682" s="519"/>
      <c r="Q682" s="382"/>
      <c r="R682" s="521"/>
      <c r="S682" s="521"/>
      <c r="T682" s="521"/>
      <c r="U682" s="380"/>
      <c r="V682" s="522"/>
      <c r="W682" s="522"/>
      <c r="X682" s="522"/>
      <c r="Y682" s="382"/>
    </row>
    <row r="683" spans="9:25" ht="12.75" customHeight="1">
      <c r="I683" s="382"/>
      <c r="J683" s="519">
        <f t="shared" si="360"/>
        <v>328</v>
      </c>
      <c r="K683" s="519"/>
      <c r="L683" s="519"/>
      <c r="M683" s="380"/>
      <c r="N683" s="520">
        <f t="shared" si="359"/>
        <v>47446</v>
      </c>
      <c r="O683" s="519"/>
      <c r="P683" s="519"/>
      <c r="Q683" s="382"/>
      <c r="R683" s="521">
        <f>LOOKUP(ROUNDUP(IF((N683-$R$10)&lt;=0,1,(N683-$R$10))/365,0),'Profit Division'!$A$4:$A$30,'Profit Division'!$C$4:$C$30)</f>
        <v>1.1403848734836686E-4</v>
      </c>
      <c r="S683" s="521"/>
      <c r="T683" s="521"/>
      <c r="U683" s="380"/>
      <c r="V683" s="522">
        <f ca="1">R683*LOOKUP(N683,'reserve calculation'!B:B,'reserve calculation'!D:D)</f>
        <v>54756.37690881719</v>
      </c>
      <c r="W683" s="522"/>
      <c r="X683" s="522"/>
      <c r="Y683" s="382"/>
    </row>
    <row r="684" spans="9:25" ht="12.75" customHeight="1">
      <c r="I684" s="382"/>
      <c r="J684" s="519"/>
      <c r="K684" s="519"/>
      <c r="L684" s="519"/>
      <c r="M684" s="380"/>
      <c r="N684" s="519"/>
      <c r="O684" s="519"/>
      <c r="P684" s="519"/>
      <c r="Q684" s="382"/>
      <c r="R684" s="521"/>
      <c r="S684" s="521"/>
      <c r="T684" s="521"/>
      <c r="U684" s="380"/>
      <c r="V684" s="522"/>
      <c r="W684" s="522"/>
      <c r="X684" s="522"/>
      <c r="Y684" s="382"/>
    </row>
    <row r="685" spans="9:25" ht="12.75" customHeight="1">
      <c r="I685" s="382"/>
      <c r="J685" s="519">
        <f t="shared" si="360"/>
        <v>329</v>
      </c>
      <c r="K685" s="519"/>
      <c r="L685" s="519"/>
      <c r="M685" s="380"/>
      <c r="N685" s="520">
        <f t="shared" si="359"/>
        <v>47447</v>
      </c>
      <c r="O685" s="519"/>
      <c r="P685" s="519"/>
      <c r="Q685" s="382"/>
      <c r="R685" s="521">
        <f>LOOKUP(ROUNDUP(IF((N685-$R$10)&lt;=0,1,(N685-$R$10))/365,0),'Profit Division'!$A$4:$A$30,'Profit Division'!$C$4:$C$30)</f>
        <v>1.1403848734836686E-4</v>
      </c>
      <c r="S685" s="521"/>
      <c r="T685" s="521"/>
      <c r="U685" s="380"/>
      <c r="V685" s="522">
        <f ca="1">R685*LOOKUP(N685,'reserve calculation'!B:B,'reserve calculation'!D:D)</f>
        <v>54777.347656644335</v>
      </c>
      <c r="W685" s="522"/>
      <c r="X685" s="522"/>
      <c r="Y685" s="382"/>
    </row>
    <row r="686" spans="9:25" ht="12.75" customHeight="1">
      <c r="I686" s="382"/>
      <c r="J686" s="519"/>
      <c r="K686" s="519"/>
      <c r="L686" s="519"/>
      <c r="M686" s="380"/>
      <c r="N686" s="519"/>
      <c r="O686" s="519"/>
      <c r="P686" s="519"/>
      <c r="Q686" s="382"/>
      <c r="R686" s="521"/>
      <c r="S686" s="521"/>
      <c r="T686" s="521"/>
      <c r="U686" s="380"/>
      <c r="V686" s="522"/>
      <c r="W686" s="522"/>
      <c r="X686" s="522"/>
      <c r="Y686" s="382"/>
    </row>
    <row r="687" spans="9:25" ht="12.75" customHeight="1">
      <c r="I687" s="382"/>
      <c r="J687" s="519">
        <f t="shared" si="360"/>
        <v>330</v>
      </c>
      <c r="K687" s="519"/>
      <c r="L687" s="519"/>
      <c r="M687" s="380"/>
      <c r="N687" s="520">
        <f t="shared" si="359"/>
        <v>47448</v>
      </c>
      <c r="O687" s="519"/>
      <c r="P687" s="519"/>
      <c r="Q687" s="382"/>
      <c r="R687" s="521">
        <f>LOOKUP(ROUNDUP(IF((N687-$R$10)&lt;=0,1,(N687-$R$10))/365,0),'Profit Division'!$A$4:$A$30,'Profit Division'!$C$4:$C$30)</f>
        <v>1.1403848734836686E-4</v>
      </c>
      <c r="S687" s="521"/>
      <c r="T687" s="521"/>
      <c r="U687" s="380"/>
      <c r="V687" s="522">
        <f ca="1">R687*LOOKUP(N687,'reserve calculation'!B:B,'reserve calculation'!D:D)</f>
        <v>54798.32643590615</v>
      </c>
      <c r="W687" s="522"/>
      <c r="X687" s="522"/>
      <c r="Y687" s="382"/>
    </row>
    <row r="688" spans="9:25" ht="12.75" customHeight="1">
      <c r="I688" s="382"/>
      <c r="J688" s="519"/>
      <c r="K688" s="519"/>
      <c r="L688" s="519"/>
      <c r="M688" s="380"/>
      <c r="N688" s="519"/>
      <c r="O688" s="519"/>
      <c r="P688" s="519"/>
      <c r="Q688" s="382"/>
      <c r="R688" s="521"/>
      <c r="S688" s="521"/>
      <c r="T688" s="521"/>
      <c r="U688" s="380"/>
      <c r="V688" s="522"/>
      <c r="W688" s="522"/>
      <c r="X688" s="522"/>
      <c r="Y688" s="382"/>
    </row>
    <row r="689" spans="9:25" ht="12.75" customHeight="1">
      <c r="I689" s="382"/>
      <c r="J689" s="519">
        <f t="shared" si="360"/>
        <v>331</v>
      </c>
      <c r="K689" s="519"/>
      <c r="L689" s="519"/>
      <c r="M689" s="380"/>
      <c r="N689" s="520">
        <f t="shared" si="359"/>
        <v>47449</v>
      </c>
      <c r="O689" s="519"/>
      <c r="P689" s="519"/>
      <c r="Q689" s="382"/>
      <c r="R689" s="521">
        <f>LOOKUP(ROUNDUP(IF((N689-$R$10)&lt;=0,1,(N689-$R$10))/365,0),'Profit Division'!$A$4:$A$30,'Profit Division'!$C$4:$C$30)</f>
        <v>1.1403848734836686E-4</v>
      </c>
      <c r="S689" s="521"/>
      <c r="T689" s="521"/>
      <c r="U689" s="380"/>
      <c r="V689" s="522">
        <f ca="1">R689*LOOKUP(N689,'reserve calculation'!B:B,'reserve calculation'!D:D)</f>
        <v>54819.313249678547</v>
      </c>
      <c r="W689" s="522"/>
      <c r="X689" s="522"/>
      <c r="Y689" s="382"/>
    </row>
    <row r="690" spans="9:25" ht="12.75" customHeight="1">
      <c r="I690" s="382"/>
      <c r="J690" s="519"/>
      <c r="K690" s="519"/>
      <c r="L690" s="519"/>
      <c r="M690" s="380"/>
      <c r="N690" s="519"/>
      <c r="O690" s="519"/>
      <c r="P690" s="519"/>
      <c r="Q690" s="382"/>
      <c r="R690" s="521"/>
      <c r="S690" s="521"/>
      <c r="T690" s="521"/>
      <c r="U690" s="380"/>
      <c r="V690" s="522"/>
      <c r="W690" s="522"/>
      <c r="X690" s="522"/>
      <c r="Y690" s="382"/>
    </row>
    <row r="691" spans="9:25" ht="12.75" customHeight="1">
      <c r="I691" s="382"/>
      <c r="J691" s="519">
        <f t="shared" si="360"/>
        <v>332</v>
      </c>
      <c r="K691" s="519"/>
      <c r="L691" s="519"/>
      <c r="M691" s="380"/>
      <c r="N691" s="520">
        <f t="shared" si="359"/>
        <v>47450</v>
      </c>
      <c r="O691" s="519"/>
      <c r="P691" s="519"/>
      <c r="Q691" s="382"/>
      <c r="R691" s="521">
        <f>LOOKUP(ROUNDUP(IF((N691-$R$10)&lt;=0,1,(N691-$R$10))/365,0),'Profit Division'!$A$4:$A$30,'Profit Division'!$C$4:$C$30)</f>
        <v>1.1403848734836686E-4</v>
      </c>
      <c r="S691" s="521"/>
      <c r="T691" s="521"/>
      <c r="U691" s="380"/>
      <c r="V691" s="522">
        <f ca="1">R691*LOOKUP(N691,'reserve calculation'!B:B,'reserve calculation'!D:D)</f>
        <v>54840.308101038601</v>
      </c>
      <c r="W691" s="522"/>
      <c r="X691" s="522"/>
      <c r="Y691" s="382"/>
    </row>
    <row r="692" spans="9:25" ht="12.75" customHeight="1">
      <c r="I692" s="382"/>
      <c r="J692" s="519"/>
      <c r="K692" s="519"/>
      <c r="L692" s="519"/>
      <c r="M692" s="380"/>
      <c r="N692" s="519"/>
      <c r="O692" s="519"/>
      <c r="P692" s="519"/>
      <c r="Q692" s="382"/>
      <c r="R692" s="521"/>
      <c r="S692" s="521"/>
      <c r="T692" s="521"/>
      <c r="U692" s="380"/>
      <c r="V692" s="522"/>
      <c r="W692" s="522"/>
      <c r="X692" s="522"/>
      <c r="Y692" s="382"/>
    </row>
    <row r="693" spans="9:25" ht="12.75" customHeight="1">
      <c r="I693" s="382"/>
      <c r="J693" s="519">
        <f t="shared" si="360"/>
        <v>333</v>
      </c>
      <c r="K693" s="519"/>
      <c r="L693" s="519"/>
      <c r="M693" s="380"/>
      <c r="N693" s="520">
        <f t="shared" si="359"/>
        <v>47451</v>
      </c>
      <c r="O693" s="519"/>
      <c r="P693" s="519"/>
      <c r="Q693" s="382"/>
      <c r="R693" s="521">
        <f>LOOKUP(ROUNDUP(IF((N693-$R$10)&lt;=0,1,(N693-$R$10))/365,0),'Profit Division'!$A$4:$A$30,'Profit Division'!$C$4:$C$30)</f>
        <v>1.1403848734836686E-4</v>
      </c>
      <c r="S693" s="521"/>
      <c r="T693" s="521"/>
      <c r="U693" s="380"/>
      <c r="V693" s="522">
        <f ca="1">R693*LOOKUP(N693,'reserve calculation'!B:B,'reserve calculation'!D:D)</f>
        <v>54861.310993064581</v>
      </c>
      <c r="W693" s="522"/>
      <c r="X693" s="522"/>
      <c r="Y693" s="382"/>
    </row>
    <row r="694" spans="9:25" ht="12.75" customHeight="1">
      <c r="I694" s="382"/>
      <c r="J694" s="519"/>
      <c r="K694" s="519"/>
      <c r="L694" s="519"/>
      <c r="M694" s="380"/>
      <c r="N694" s="519"/>
      <c r="O694" s="519"/>
      <c r="P694" s="519"/>
      <c r="Q694" s="382"/>
      <c r="R694" s="521"/>
      <c r="S694" s="521"/>
      <c r="T694" s="521"/>
      <c r="U694" s="380"/>
      <c r="V694" s="522"/>
      <c r="W694" s="522"/>
      <c r="X694" s="522"/>
      <c r="Y694" s="382"/>
    </row>
    <row r="695" spans="9:25" ht="12.75" customHeight="1">
      <c r="I695" s="382"/>
      <c r="J695" s="519">
        <f t="shared" si="360"/>
        <v>334</v>
      </c>
      <c r="K695" s="519"/>
      <c r="L695" s="519"/>
      <c r="M695" s="380"/>
      <c r="N695" s="520">
        <f t="shared" si="359"/>
        <v>47452</v>
      </c>
      <c r="O695" s="519"/>
      <c r="P695" s="519"/>
      <c r="Q695" s="382"/>
      <c r="R695" s="521">
        <f>LOOKUP(ROUNDUP(IF((N695-$R$10)&lt;=0,1,(N695-$R$10))/365,0),'Profit Division'!$A$4:$A$30,'Profit Division'!$C$4:$C$30)</f>
        <v>1.1403848734836686E-4</v>
      </c>
      <c r="S695" s="521"/>
      <c r="T695" s="521"/>
      <c r="U695" s="380"/>
      <c r="V695" s="522">
        <f ca="1">R695*LOOKUP(N695,'reserve calculation'!B:B,'reserve calculation'!D:D)</f>
        <v>54882.321928835903</v>
      </c>
      <c r="W695" s="522"/>
      <c r="X695" s="522"/>
      <c r="Y695" s="382"/>
    </row>
    <row r="696" spans="9:25" ht="12.75" customHeight="1">
      <c r="I696" s="382"/>
      <c r="J696" s="519"/>
      <c r="K696" s="519"/>
      <c r="L696" s="519"/>
      <c r="M696" s="380"/>
      <c r="N696" s="519"/>
      <c r="O696" s="519"/>
      <c r="P696" s="519"/>
      <c r="Q696" s="382"/>
      <c r="R696" s="521"/>
      <c r="S696" s="521"/>
      <c r="T696" s="521"/>
      <c r="U696" s="380"/>
      <c r="V696" s="522"/>
      <c r="W696" s="522"/>
      <c r="X696" s="522"/>
      <c r="Y696" s="382"/>
    </row>
    <row r="697" spans="9:25" ht="12.75" customHeight="1">
      <c r="I697" s="382"/>
      <c r="J697" s="519">
        <f t="shared" si="360"/>
        <v>335</v>
      </c>
      <c r="K697" s="519"/>
      <c r="L697" s="519"/>
      <c r="M697" s="380"/>
      <c r="N697" s="520">
        <f t="shared" si="359"/>
        <v>47453</v>
      </c>
      <c r="O697" s="519"/>
      <c r="P697" s="519"/>
      <c r="Q697" s="382"/>
      <c r="R697" s="521">
        <f>LOOKUP(ROUNDUP(IF((N697-$R$10)&lt;=0,1,(N697-$R$10))/365,0),'Profit Division'!$A$4:$A$30,'Profit Division'!$C$4:$C$30)</f>
        <v>1.1403848734836686E-4</v>
      </c>
      <c r="S697" s="521"/>
      <c r="T697" s="521"/>
      <c r="U697" s="380"/>
      <c r="V697" s="522">
        <f ca="1">R697*LOOKUP(N697,'reserve calculation'!B:B,'reserve calculation'!D:D)</f>
        <v>54903.340911433203</v>
      </c>
      <c r="W697" s="522"/>
      <c r="X697" s="522"/>
      <c r="Y697" s="382"/>
    </row>
    <row r="698" spans="9:25" ht="12.75" customHeight="1">
      <c r="I698" s="382"/>
      <c r="J698" s="519"/>
      <c r="K698" s="519"/>
      <c r="L698" s="519"/>
      <c r="M698" s="380"/>
      <c r="N698" s="519"/>
      <c r="O698" s="519"/>
      <c r="P698" s="519"/>
      <c r="Q698" s="382"/>
      <c r="R698" s="521"/>
      <c r="S698" s="521"/>
      <c r="T698" s="521"/>
      <c r="U698" s="380"/>
      <c r="V698" s="522"/>
      <c r="W698" s="522"/>
      <c r="X698" s="522"/>
      <c r="Y698" s="382"/>
    </row>
    <row r="699" spans="9:25" ht="12.75" customHeight="1">
      <c r="I699" s="382"/>
      <c r="J699" s="519">
        <f t="shared" si="360"/>
        <v>336</v>
      </c>
      <c r="K699" s="519"/>
      <c r="L699" s="519"/>
      <c r="M699" s="380"/>
      <c r="N699" s="520">
        <f t="shared" si="359"/>
        <v>47454</v>
      </c>
      <c r="O699" s="519"/>
      <c r="P699" s="519"/>
      <c r="Q699" s="382"/>
      <c r="R699" s="521">
        <f>LOOKUP(ROUNDUP(IF((N699-$R$10)&lt;=0,1,(N699-$R$10))/365,0),'Profit Division'!$A$4:$A$30,'Profit Division'!$C$4:$C$30)</f>
        <v>1.1403848734836686E-4</v>
      </c>
      <c r="S699" s="521"/>
      <c r="T699" s="521"/>
      <c r="U699" s="380"/>
      <c r="V699" s="522">
        <f ca="1">R699*LOOKUP(N699,'reserve calculation'!B:B,'reserve calculation'!D:D)</f>
        <v>54924.367943938261</v>
      </c>
      <c r="W699" s="522"/>
      <c r="X699" s="522"/>
      <c r="Y699" s="382"/>
    </row>
    <row r="700" spans="9:25" ht="12.75" customHeight="1">
      <c r="I700" s="382"/>
      <c r="J700" s="519"/>
      <c r="K700" s="519"/>
      <c r="L700" s="519"/>
      <c r="M700" s="380"/>
      <c r="N700" s="519"/>
      <c r="O700" s="519"/>
      <c r="P700" s="519"/>
      <c r="Q700" s="382"/>
      <c r="R700" s="521"/>
      <c r="S700" s="521"/>
      <c r="T700" s="521"/>
      <c r="U700" s="380"/>
      <c r="V700" s="522"/>
      <c r="W700" s="522"/>
      <c r="X700" s="522"/>
      <c r="Y700" s="382"/>
    </row>
    <row r="701" spans="9:25" ht="12.75" customHeight="1">
      <c r="I701" s="382"/>
      <c r="J701" s="519">
        <f t="shared" si="360"/>
        <v>337</v>
      </c>
      <c r="K701" s="519"/>
      <c r="L701" s="519"/>
      <c r="M701" s="380"/>
      <c r="N701" s="520">
        <f t="shared" si="359"/>
        <v>47455</v>
      </c>
      <c r="O701" s="519"/>
      <c r="P701" s="519"/>
      <c r="Q701" s="382"/>
      <c r="R701" s="521">
        <f>LOOKUP(ROUNDUP(IF((N701-$R$10)&lt;=0,1,(N701-$R$10))/365,0),'Profit Division'!$A$4:$A$30,'Profit Division'!$C$4:$C$30)</f>
        <v>1.1403848734836686E-4</v>
      </c>
      <c r="S701" s="521"/>
      <c r="T701" s="521"/>
      <c r="U701" s="380"/>
      <c r="V701" s="522">
        <f ca="1">R701*LOOKUP(N701,'reserve calculation'!B:B,'reserve calculation'!D:D)</f>
        <v>54945.403029434063</v>
      </c>
      <c r="W701" s="522"/>
      <c r="X701" s="522"/>
      <c r="Y701" s="382"/>
    </row>
    <row r="702" spans="9:25" ht="12.75" customHeight="1">
      <c r="I702" s="382"/>
      <c r="J702" s="519"/>
      <c r="K702" s="519"/>
      <c r="L702" s="519"/>
      <c r="M702" s="380"/>
      <c r="N702" s="519"/>
      <c r="O702" s="519"/>
      <c r="P702" s="519"/>
      <c r="Q702" s="382"/>
      <c r="R702" s="521"/>
      <c r="S702" s="521"/>
      <c r="T702" s="521"/>
      <c r="U702" s="380"/>
      <c r="V702" s="522"/>
      <c r="W702" s="522"/>
      <c r="X702" s="522"/>
      <c r="Y702" s="382"/>
    </row>
    <row r="703" spans="9:25" ht="12.75" customHeight="1">
      <c r="I703" s="382"/>
      <c r="J703" s="519">
        <f t="shared" si="360"/>
        <v>338</v>
      </c>
      <c r="K703" s="519"/>
      <c r="L703" s="519"/>
      <c r="M703" s="380"/>
      <c r="N703" s="520">
        <f t="shared" ref="N703:N759" si="361">N701+1</f>
        <v>47456</v>
      </c>
      <c r="O703" s="519"/>
      <c r="P703" s="519"/>
      <c r="Q703" s="382"/>
      <c r="R703" s="521">
        <f>LOOKUP(ROUNDUP(IF((N703-$R$10)&lt;=0,1,(N703-$R$10))/365,0),'Profit Division'!$A$4:$A$30,'Profit Division'!$C$4:$C$30)</f>
        <v>1.1403848734836686E-4</v>
      </c>
      <c r="S703" s="521"/>
      <c r="T703" s="521"/>
      <c r="U703" s="380"/>
      <c r="V703" s="522">
        <f ca="1">R703*LOOKUP(N703,'reserve calculation'!B:B,'reserve calculation'!D:D)</f>
        <v>54966.446171004762</v>
      </c>
      <c r="W703" s="522"/>
      <c r="X703" s="522"/>
      <c r="Y703" s="382"/>
    </row>
    <row r="704" spans="9:25" ht="12.75" customHeight="1">
      <c r="I704" s="382"/>
      <c r="J704" s="519"/>
      <c r="K704" s="519"/>
      <c r="L704" s="519"/>
      <c r="M704" s="380"/>
      <c r="N704" s="519"/>
      <c r="O704" s="519"/>
      <c r="P704" s="519"/>
      <c r="Q704" s="382"/>
      <c r="R704" s="521"/>
      <c r="S704" s="521"/>
      <c r="T704" s="521"/>
      <c r="U704" s="380"/>
      <c r="V704" s="522"/>
      <c r="W704" s="522"/>
      <c r="X704" s="522"/>
      <c r="Y704" s="382"/>
    </row>
    <row r="705" spans="9:25" ht="12.75" customHeight="1">
      <c r="I705" s="382"/>
      <c r="J705" s="519">
        <f t="shared" ref="J705:J759" si="362">J703+1</f>
        <v>339</v>
      </c>
      <c r="K705" s="519"/>
      <c r="L705" s="519"/>
      <c r="M705" s="380"/>
      <c r="N705" s="520">
        <f t="shared" si="361"/>
        <v>47457</v>
      </c>
      <c r="O705" s="519"/>
      <c r="P705" s="519"/>
      <c r="Q705" s="382"/>
      <c r="R705" s="521">
        <f>LOOKUP(ROUNDUP(IF((N705-$R$10)&lt;=0,1,(N705-$R$10))/365,0),'Profit Division'!$A$4:$A$30,'Profit Division'!$C$4:$C$30)</f>
        <v>1.1403848734836686E-4</v>
      </c>
      <c r="S705" s="521"/>
      <c r="T705" s="521"/>
      <c r="U705" s="380"/>
      <c r="V705" s="522">
        <f ca="1">R705*LOOKUP(N705,'reserve calculation'!B:B,'reserve calculation'!D:D)</f>
        <v>54987.497371735692</v>
      </c>
      <c r="W705" s="522"/>
      <c r="X705" s="522"/>
      <c r="Y705" s="382"/>
    </row>
    <row r="706" spans="9:25" ht="12.75" customHeight="1">
      <c r="I706" s="382"/>
      <c r="J706" s="519"/>
      <c r="K706" s="519"/>
      <c r="L706" s="519"/>
      <c r="M706" s="380"/>
      <c r="N706" s="519"/>
      <c r="O706" s="519"/>
      <c r="P706" s="519"/>
      <c r="Q706" s="382"/>
      <c r="R706" s="521"/>
      <c r="S706" s="521"/>
      <c r="T706" s="521"/>
      <c r="U706" s="380"/>
      <c r="V706" s="522"/>
      <c r="W706" s="522"/>
      <c r="X706" s="522"/>
      <c r="Y706" s="382"/>
    </row>
    <row r="707" spans="9:25" ht="12.75" customHeight="1">
      <c r="I707" s="382"/>
      <c r="J707" s="519">
        <f t="shared" si="362"/>
        <v>340</v>
      </c>
      <c r="K707" s="519"/>
      <c r="L707" s="519"/>
      <c r="M707" s="380"/>
      <c r="N707" s="520">
        <f t="shared" si="361"/>
        <v>47458</v>
      </c>
      <c r="O707" s="519"/>
      <c r="P707" s="519"/>
      <c r="Q707" s="382"/>
      <c r="R707" s="521">
        <f>LOOKUP(ROUNDUP(IF((N707-$R$10)&lt;=0,1,(N707-$R$10))/365,0),'Profit Division'!$A$4:$A$30,'Profit Division'!$C$4:$C$30)</f>
        <v>1.1403848734836686E-4</v>
      </c>
      <c r="S707" s="521"/>
      <c r="T707" s="521"/>
      <c r="U707" s="380"/>
      <c r="V707" s="522">
        <f ca="1">R707*LOOKUP(N707,'reserve calculation'!B:B,'reserve calculation'!D:D)</f>
        <v>55008.556634713379</v>
      </c>
      <c r="W707" s="522"/>
      <c r="X707" s="522"/>
      <c r="Y707" s="382"/>
    </row>
    <row r="708" spans="9:25" ht="12.75" customHeight="1">
      <c r="I708" s="382"/>
      <c r="J708" s="519"/>
      <c r="K708" s="519"/>
      <c r="L708" s="519"/>
      <c r="M708" s="380"/>
      <c r="N708" s="519"/>
      <c r="O708" s="519"/>
      <c r="P708" s="519"/>
      <c r="Q708" s="382"/>
      <c r="R708" s="521"/>
      <c r="S708" s="521"/>
      <c r="T708" s="521"/>
      <c r="U708" s="380"/>
      <c r="V708" s="522"/>
      <c r="W708" s="522"/>
      <c r="X708" s="522"/>
      <c r="Y708" s="382"/>
    </row>
    <row r="709" spans="9:25" ht="12.75" customHeight="1">
      <c r="I709" s="382"/>
      <c r="J709" s="519">
        <f t="shared" si="362"/>
        <v>341</v>
      </c>
      <c r="K709" s="519"/>
      <c r="L709" s="519"/>
      <c r="M709" s="380"/>
      <c r="N709" s="520">
        <f t="shared" si="361"/>
        <v>47459</v>
      </c>
      <c r="O709" s="519"/>
      <c r="P709" s="519"/>
      <c r="Q709" s="382"/>
      <c r="R709" s="521">
        <f>LOOKUP(ROUNDUP(IF((N709-$R$10)&lt;=0,1,(N709-$R$10))/365,0),'Profit Division'!$A$4:$A$30,'Profit Division'!$C$4:$C$30)</f>
        <v>1.1403848734836686E-4</v>
      </c>
      <c r="S709" s="521"/>
      <c r="T709" s="521"/>
      <c r="U709" s="380"/>
      <c r="V709" s="522">
        <f ca="1">R709*LOOKUP(N709,'reserve calculation'!B:B,'reserve calculation'!D:D)</f>
        <v>55029.623963025515</v>
      </c>
      <c r="W709" s="522"/>
      <c r="X709" s="522"/>
      <c r="Y709" s="382"/>
    </row>
    <row r="710" spans="9:25" ht="12.75" customHeight="1">
      <c r="I710" s="382"/>
      <c r="J710" s="519"/>
      <c r="K710" s="519"/>
      <c r="L710" s="519"/>
      <c r="M710" s="380"/>
      <c r="N710" s="519"/>
      <c r="O710" s="519"/>
      <c r="P710" s="519"/>
      <c r="Q710" s="382"/>
      <c r="R710" s="521"/>
      <c r="S710" s="521"/>
      <c r="T710" s="521"/>
      <c r="U710" s="380"/>
      <c r="V710" s="522"/>
      <c r="W710" s="522"/>
      <c r="X710" s="522"/>
      <c r="Y710" s="382"/>
    </row>
    <row r="711" spans="9:25" ht="12.75" customHeight="1">
      <c r="I711" s="382"/>
      <c r="J711" s="519">
        <f t="shared" si="362"/>
        <v>342</v>
      </c>
      <c r="K711" s="519"/>
      <c r="L711" s="519"/>
      <c r="M711" s="380"/>
      <c r="N711" s="520">
        <f t="shared" si="361"/>
        <v>47460</v>
      </c>
      <c r="O711" s="519"/>
      <c r="P711" s="519"/>
      <c r="Q711" s="382"/>
      <c r="R711" s="521">
        <f>LOOKUP(ROUNDUP(IF((N711-$R$10)&lt;=0,1,(N711-$R$10))/365,0),'Profit Division'!$A$4:$A$30,'Profit Division'!$C$4:$C$30)</f>
        <v>1.1403848734836686E-4</v>
      </c>
      <c r="S711" s="521"/>
      <c r="T711" s="521"/>
      <c r="U711" s="380"/>
      <c r="V711" s="522">
        <f ca="1">R711*LOOKUP(N711,'reserve calculation'!B:B,'reserve calculation'!D:D)</f>
        <v>55050.699359760991</v>
      </c>
      <c r="W711" s="522"/>
      <c r="X711" s="522"/>
      <c r="Y711" s="382"/>
    </row>
    <row r="712" spans="9:25" ht="12.75" customHeight="1">
      <c r="I712" s="382"/>
      <c r="J712" s="519"/>
      <c r="K712" s="519"/>
      <c r="L712" s="519"/>
      <c r="M712" s="380"/>
      <c r="N712" s="519"/>
      <c r="O712" s="519"/>
      <c r="P712" s="519"/>
      <c r="Q712" s="382"/>
      <c r="R712" s="521"/>
      <c r="S712" s="521"/>
      <c r="T712" s="521"/>
      <c r="U712" s="380"/>
      <c r="V712" s="522"/>
      <c r="W712" s="522"/>
      <c r="X712" s="522"/>
      <c r="Y712" s="382"/>
    </row>
    <row r="713" spans="9:25" ht="12.75" customHeight="1">
      <c r="I713" s="382"/>
      <c r="J713" s="519">
        <f t="shared" si="362"/>
        <v>343</v>
      </c>
      <c r="K713" s="519"/>
      <c r="L713" s="519"/>
      <c r="M713" s="380"/>
      <c r="N713" s="520">
        <f t="shared" si="361"/>
        <v>47461</v>
      </c>
      <c r="O713" s="519"/>
      <c r="P713" s="519"/>
      <c r="Q713" s="382"/>
      <c r="R713" s="521">
        <f>LOOKUP(ROUNDUP(IF((N713-$R$10)&lt;=0,1,(N713-$R$10))/365,0),'Profit Division'!$A$4:$A$30,'Profit Division'!$C$4:$C$30)</f>
        <v>1.1403848734836686E-4</v>
      </c>
      <c r="S713" s="521"/>
      <c r="T713" s="521"/>
      <c r="U713" s="380"/>
      <c r="V713" s="522">
        <f ca="1">R713*LOOKUP(N713,'reserve calculation'!B:B,'reserve calculation'!D:D)</f>
        <v>55071.782828009877</v>
      </c>
      <c r="W713" s="522"/>
      <c r="X713" s="522"/>
      <c r="Y713" s="382"/>
    </row>
    <row r="714" spans="9:25" ht="12.75" customHeight="1">
      <c r="I714" s="382"/>
      <c r="J714" s="519"/>
      <c r="K714" s="519"/>
      <c r="L714" s="519"/>
      <c r="M714" s="380"/>
      <c r="N714" s="519"/>
      <c r="O714" s="519"/>
      <c r="P714" s="519"/>
      <c r="Q714" s="382"/>
      <c r="R714" s="521"/>
      <c r="S714" s="521"/>
      <c r="T714" s="521"/>
      <c r="U714" s="380"/>
      <c r="V714" s="522"/>
      <c r="W714" s="522"/>
      <c r="X714" s="522"/>
      <c r="Y714" s="382"/>
    </row>
    <row r="715" spans="9:25" ht="12.75" customHeight="1">
      <c r="I715" s="382"/>
      <c r="J715" s="519">
        <f t="shared" si="362"/>
        <v>344</v>
      </c>
      <c r="K715" s="519"/>
      <c r="L715" s="519"/>
      <c r="M715" s="380"/>
      <c r="N715" s="520">
        <f t="shared" si="361"/>
        <v>47462</v>
      </c>
      <c r="O715" s="519"/>
      <c r="P715" s="519"/>
      <c r="Q715" s="382"/>
      <c r="R715" s="521">
        <f>LOOKUP(ROUNDUP(IF((N715-$R$10)&lt;=0,1,(N715-$R$10))/365,0),'Profit Division'!$A$4:$A$30,'Profit Division'!$C$4:$C$30)</f>
        <v>1.1403848734836686E-4</v>
      </c>
      <c r="S715" s="521"/>
      <c r="T715" s="521"/>
      <c r="U715" s="380"/>
      <c r="V715" s="522">
        <f ca="1">R715*LOOKUP(N715,'reserve calculation'!B:B,'reserve calculation'!D:D)</f>
        <v>55092.874370863421</v>
      </c>
      <c r="W715" s="522"/>
      <c r="X715" s="522"/>
      <c r="Y715" s="382"/>
    </row>
    <row r="716" spans="9:25" ht="12.75" customHeight="1">
      <c r="I716" s="382"/>
      <c r="J716" s="519"/>
      <c r="K716" s="519"/>
      <c r="L716" s="519"/>
      <c r="M716" s="380"/>
      <c r="N716" s="519"/>
      <c r="O716" s="519"/>
      <c r="P716" s="519"/>
      <c r="Q716" s="382"/>
      <c r="R716" s="521"/>
      <c r="S716" s="521"/>
      <c r="T716" s="521"/>
      <c r="U716" s="380"/>
      <c r="V716" s="522"/>
      <c r="W716" s="522"/>
      <c r="X716" s="522"/>
      <c r="Y716" s="382"/>
    </row>
    <row r="717" spans="9:25" ht="12.75" customHeight="1">
      <c r="I717" s="382"/>
      <c r="J717" s="519">
        <f t="shared" si="362"/>
        <v>345</v>
      </c>
      <c r="K717" s="519"/>
      <c r="L717" s="519"/>
      <c r="M717" s="380"/>
      <c r="N717" s="520">
        <f t="shared" si="361"/>
        <v>47463</v>
      </c>
      <c r="O717" s="519"/>
      <c r="P717" s="519"/>
      <c r="Q717" s="382"/>
      <c r="R717" s="521">
        <f>LOOKUP(ROUNDUP(IF((N717-$R$10)&lt;=0,1,(N717-$R$10))/365,0),'Profit Division'!$A$4:$A$30,'Profit Division'!$C$4:$C$30)</f>
        <v>1.1403848734836686E-4</v>
      </c>
      <c r="S717" s="521"/>
      <c r="T717" s="521"/>
      <c r="U717" s="380"/>
      <c r="V717" s="522">
        <f ca="1">R717*LOOKUP(N717,'reserve calculation'!B:B,'reserve calculation'!D:D)</f>
        <v>55113.973991414059</v>
      </c>
      <c r="W717" s="522"/>
      <c r="X717" s="522"/>
      <c r="Y717" s="382"/>
    </row>
    <row r="718" spans="9:25" ht="12.75" customHeight="1">
      <c r="I718" s="382"/>
      <c r="J718" s="519"/>
      <c r="K718" s="519"/>
      <c r="L718" s="519"/>
      <c r="M718" s="380"/>
      <c r="N718" s="519"/>
      <c r="O718" s="519"/>
      <c r="P718" s="519"/>
      <c r="Q718" s="382"/>
      <c r="R718" s="521"/>
      <c r="S718" s="521"/>
      <c r="T718" s="521"/>
      <c r="U718" s="380"/>
      <c r="V718" s="522"/>
      <c r="W718" s="522"/>
      <c r="X718" s="522"/>
      <c r="Y718" s="382"/>
    </row>
    <row r="719" spans="9:25" ht="12.75" customHeight="1">
      <c r="I719" s="382"/>
      <c r="J719" s="519">
        <f t="shared" si="362"/>
        <v>346</v>
      </c>
      <c r="K719" s="519"/>
      <c r="L719" s="519"/>
      <c r="M719" s="380"/>
      <c r="N719" s="520">
        <f t="shared" si="361"/>
        <v>47464</v>
      </c>
      <c r="O719" s="519"/>
      <c r="P719" s="519"/>
      <c r="Q719" s="382"/>
      <c r="R719" s="521">
        <f>LOOKUP(ROUNDUP(IF((N719-$R$10)&lt;=0,1,(N719-$R$10))/365,0),'Profit Division'!$A$4:$A$30,'Profit Division'!$C$4:$C$30)</f>
        <v>1.1403848734836686E-4</v>
      </c>
      <c r="S719" s="521"/>
      <c r="T719" s="521"/>
      <c r="U719" s="380"/>
      <c r="V719" s="522">
        <f ca="1">R719*LOOKUP(N719,'reserve calculation'!B:B,'reserve calculation'!D:D)</f>
        <v>55135.081692755397</v>
      </c>
      <c r="W719" s="522"/>
      <c r="X719" s="522"/>
      <c r="Y719" s="382"/>
    </row>
    <row r="720" spans="9:25" ht="12.75" customHeight="1">
      <c r="I720" s="382"/>
      <c r="J720" s="519"/>
      <c r="K720" s="519"/>
      <c r="L720" s="519"/>
      <c r="M720" s="380"/>
      <c r="N720" s="519"/>
      <c r="O720" s="519"/>
      <c r="P720" s="519"/>
      <c r="Q720" s="382"/>
      <c r="R720" s="521"/>
      <c r="S720" s="521"/>
      <c r="T720" s="521"/>
      <c r="U720" s="380"/>
      <c r="V720" s="522"/>
      <c r="W720" s="522"/>
      <c r="X720" s="522"/>
      <c r="Y720" s="382"/>
    </row>
    <row r="721" spans="9:25" ht="12.75" customHeight="1">
      <c r="I721" s="382"/>
      <c r="J721" s="519">
        <f t="shared" si="362"/>
        <v>347</v>
      </c>
      <c r="K721" s="519"/>
      <c r="L721" s="519"/>
      <c r="M721" s="380"/>
      <c r="N721" s="520">
        <f t="shared" si="361"/>
        <v>47465</v>
      </c>
      <c r="O721" s="519"/>
      <c r="P721" s="519"/>
      <c r="Q721" s="382"/>
      <c r="R721" s="521">
        <f>LOOKUP(ROUNDUP(IF((N721-$R$10)&lt;=0,1,(N721-$R$10))/365,0),'Profit Division'!$A$4:$A$30,'Profit Division'!$C$4:$C$30)</f>
        <v>1.1403848734836686E-4</v>
      </c>
      <c r="S721" s="521"/>
      <c r="T721" s="521"/>
      <c r="U721" s="380"/>
      <c r="V721" s="522">
        <f ca="1">R721*LOOKUP(N721,'reserve calculation'!B:B,'reserve calculation'!D:D)</f>
        <v>55156.197477982256</v>
      </c>
      <c r="W721" s="522"/>
      <c r="X721" s="522"/>
      <c r="Y721" s="382"/>
    </row>
    <row r="722" spans="9:25" ht="12.75" customHeight="1">
      <c r="I722" s="382"/>
      <c r="J722" s="519"/>
      <c r="K722" s="519"/>
      <c r="L722" s="519"/>
      <c r="M722" s="380"/>
      <c r="N722" s="519"/>
      <c r="O722" s="519"/>
      <c r="P722" s="519"/>
      <c r="Q722" s="382"/>
      <c r="R722" s="521"/>
      <c r="S722" s="521"/>
      <c r="T722" s="521"/>
      <c r="U722" s="380"/>
      <c r="V722" s="522"/>
      <c r="W722" s="522"/>
      <c r="X722" s="522"/>
      <c r="Y722" s="382"/>
    </row>
    <row r="723" spans="9:25" ht="12.75" customHeight="1">
      <c r="I723" s="382"/>
      <c r="J723" s="519">
        <f t="shared" si="362"/>
        <v>348</v>
      </c>
      <c r="K723" s="519"/>
      <c r="L723" s="519"/>
      <c r="M723" s="380"/>
      <c r="N723" s="520">
        <f t="shared" si="361"/>
        <v>47466</v>
      </c>
      <c r="O723" s="519"/>
      <c r="P723" s="519"/>
      <c r="Q723" s="382"/>
      <c r="R723" s="521">
        <f>LOOKUP(ROUNDUP(IF((N723-$R$10)&lt;=0,1,(N723-$R$10))/365,0),'Profit Division'!$A$4:$A$30,'Profit Division'!$C$4:$C$30)</f>
        <v>1.1403848734836686E-4</v>
      </c>
      <c r="S723" s="521"/>
      <c r="T723" s="521"/>
      <c r="U723" s="380"/>
      <c r="V723" s="522">
        <f ca="1">R723*LOOKUP(N723,'reserve calculation'!B:B,'reserve calculation'!D:D)</f>
        <v>55177.321350190614</v>
      </c>
      <c r="W723" s="522"/>
      <c r="X723" s="522"/>
      <c r="Y723" s="382"/>
    </row>
    <row r="724" spans="9:25" ht="12.75" customHeight="1">
      <c r="I724" s="382"/>
      <c r="J724" s="519"/>
      <c r="K724" s="519"/>
      <c r="L724" s="519"/>
      <c r="M724" s="380"/>
      <c r="N724" s="519"/>
      <c r="O724" s="519"/>
      <c r="P724" s="519"/>
      <c r="Q724" s="382"/>
      <c r="R724" s="521"/>
      <c r="S724" s="521"/>
      <c r="T724" s="521"/>
      <c r="U724" s="380"/>
      <c r="V724" s="522"/>
      <c r="W724" s="522"/>
      <c r="X724" s="522"/>
      <c r="Y724" s="382"/>
    </row>
    <row r="725" spans="9:25" ht="12.75" customHeight="1">
      <c r="I725" s="382"/>
      <c r="J725" s="519">
        <f t="shared" si="362"/>
        <v>349</v>
      </c>
      <c r="K725" s="519"/>
      <c r="L725" s="519"/>
      <c r="M725" s="380"/>
      <c r="N725" s="520">
        <f t="shared" si="361"/>
        <v>47467</v>
      </c>
      <c r="O725" s="519"/>
      <c r="P725" s="519"/>
      <c r="Q725" s="382"/>
      <c r="R725" s="521">
        <f>LOOKUP(ROUNDUP(IF((N725-$R$10)&lt;=0,1,(N725-$R$10))/365,0),'Profit Division'!$A$4:$A$30,'Profit Division'!$C$4:$C$30)</f>
        <v>1.1403848734836686E-4</v>
      </c>
      <c r="S725" s="521"/>
      <c r="T725" s="521"/>
      <c r="U725" s="380"/>
      <c r="V725" s="522">
        <f ca="1">R725*LOOKUP(N725,'reserve calculation'!B:B,'reserve calculation'!D:D)</f>
        <v>55198.45331247765</v>
      </c>
      <c r="W725" s="522"/>
      <c r="X725" s="522"/>
      <c r="Y725" s="382"/>
    </row>
    <row r="726" spans="9:25" ht="12.75" customHeight="1">
      <c r="I726" s="382"/>
      <c r="J726" s="519"/>
      <c r="K726" s="519"/>
      <c r="L726" s="519"/>
      <c r="M726" s="380"/>
      <c r="N726" s="519"/>
      <c r="O726" s="519"/>
      <c r="P726" s="519"/>
      <c r="Q726" s="382"/>
      <c r="R726" s="521"/>
      <c r="S726" s="521"/>
      <c r="T726" s="521"/>
      <c r="U726" s="380"/>
      <c r="V726" s="522"/>
      <c r="W726" s="522"/>
      <c r="X726" s="522"/>
      <c r="Y726" s="382"/>
    </row>
    <row r="727" spans="9:25" ht="12.75" customHeight="1">
      <c r="I727" s="382"/>
      <c r="J727" s="519">
        <f t="shared" si="362"/>
        <v>350</v>
      </c>
      <c r="K727" s="519"/>
      <c r="L727" s="519"/>
      <c r="M727" s="380"/>
      <c r="N727" s="520">
        <f t="shared" si="361"/>
        <v>47468</v>
      </c>
      <c r="O727" s="519"/>
      <c r="P727" s="519"/>
      <c r="Q727" s="382"/>
      <c r="R727" s="521">
        <f>LOOKUP(ROUNDUP(IF((N727-$R$10)&lt;=0,1,(N727-$R$10))/365,0),'Profit Division'!$A$4:$A$30,'Profit Division'!$C$4:$C$30)</f>
        <v>1.1403848734836686E-4</v>
      </c>
      <c r="S727" s="521"/>
      <c r="T727" s="521"/>
      <c r="U727" s="380"/>
      <c r="V727" s="522">
        <f ca="1">R727*LOOKUP(N727,'reserve calculation'!B:B,'reserve calculation'!D:D)</f>
        <v>55219.593367941721</v>
      </c>
      <c r="W727" s="522"/>
      <c r="X727" s="522"/>
      <c r="Y727" s="382"/>
    </row>
    <row r="728" spans="9:25" ht="12.75" customHeight="1">
      <c r="I728" s="382"/>
      <c r="J728" s="519"/>
      <c r="K728" s="519"/>
      <c r="L728" s="519"/>
      <c r="M728" s="380"/>
      <c r="N728" s="519"/>
      <c r="O728" s="519"/>
      <c r="P728" s="519"/>
      <c r="Q728" s="382"/>
      <c r="R728" s="521"/>
      <c r="S728" s="521"/>
      <c r="T728" s="521"/>
      <c r="U728" s="380"/>
      <c r="V728" s="522"/>
      <c r="W728" s="522"/>
      <c r="X728" s="522"/>
      <c r="Y728" s="382"/>
    </row>
    <row r="729" spans="9:25" ht="12.75" customHeight="1">
      <c r="I729" s="382"/>
      <c r="J729" s="519">
        <f t="shared" si="362"/>
        <v>351</v>
      </c>
      <c r="K729" s="519"/>
      <c r="L729" s="519"/>
      <c r="M729" s="380"/>
      <c r="N729" s="520">
        <f t="shared" si="361"/>
        <v>47469</v>
      </c>
      <c r="O729" s="519"/>
      <c r="P729" s="519"/>
      <c r="Q729" s="382"/>
      <c r="R729" s="521">
        <f>LOOKUP(ROUNDUP(IF((N729-$R$10)&lt;=0,1,(N729-$R$10))/365,0),'Profit Division'!$A$4:$A$30,'Profit Division'!$C$4:$C$30)</f>
        <v>1.1403848734836686E-4</v>
      </c>
      <c r="S729" s="521"/>
      <c r="T729" s="521"/>
      <c r="U729" s="380"/>
      <c r="V729" s="522">
        <f ca="1">R729*LOOKUP(N729,'reserve calculation'!B:B,'reserve calculation'!D:D)</f>
        <v>55240.741519682371</v>
      </c>
      <c r="W729" s="522"/>
      <c r="X729" s="522"/>
      <c r="Y729" s="382"/>
    </row>
    <row r="730" spans="9:25" ht="12.75" customHeight="1">
      <c r="I730" s="382"/>
      <c r="J730" s="519"/>
      <c r="K730" s="519"/>
      <c r="L730" s="519"/>
      <c r="M730" s="380"/>
      <c r="N730" s="519"/>
      <c r="O730" s="519"/>
      <c r="P730" s="519"/>
      <c r="Q730" s="382"/>
      <c r="R730" s="521"/>
      <c r="S730" s="521"/>
      <c r="T730" s="521"/>
      <c r="U730" s="380"/>
      <c r="V730" s="522"/>
      <c r="W730" s="522"/>
      <c r="X730" s="522"/>
      <c r="Y730" s="382"/>
    </row>
    <row r="731" spans="9:25" ht="12.75" customHeight="1">
      <c r="I731" s="382"/>
      <c r="J731" s="519">
        <f t="shared" si="362"/>
        <v>352</v>
      </c>
      <c r="K731" s="519"/>
      <c r="L731" s="519"/>
      <c r="M731" s="380"/>
      <c r="N731" s="520">
        <f t="shared" si="361"/>
        <v>47470</v>
      </c>
      <c r="O731" s="519"/>
      <c r="P731" s="519"/>
      <c r="Q731" s="382"/>
      <c r="R731" s="521">
        <f>LOOKUP(ROUNDUP(IF((N731-$R$10)&lt;=0,1,(N731-$R$10))/365,0),'Profit Division'!$A$4:$A$30,'Profit Division'!$C$4:$C$30)</f>
        <v>1.1403848734836686E-4</v>
      </c>
      <c r="S731" s="521"/>
      <c r="T731" s="521"/>
      <c r="U731" s="380"/>
      <c r="V731" s="522">
        <f ca="1">R731*LOOKUP(N731,'reserve calculation'!B:B,'reserve calculation'!D:D)</f>
        <v>55261.897770800344</v>
      </c>
      <c r="W731" s="522"/>
      <c r="X731" s="522"/>
      <c r="Y731" s="382"/>
    </row>
    <row r="732" spans="9:25" ht="12.75" customHeight="1">
      <c r="I732" s="382"/>
      <c r="J732" s="519"/>
      <c r="K732" s="519"/>
      <c r="L732" s="519"/>
      <c r="M732" s="380"/>
      <c r="N732" s="519"/>
      <c r="O732" s="519"/>
      <c r="P732" s="519"/>
      <c r="Q732" s="382"/>
      <c r="R732" s="521"/>
      <c r="S732" s="521"/>
      <c r="T732" s="521"/>
      <c r="U732" s="380"/>
      <c r="V732" s="522"/>
      <c r="W732" s="522"/>
      <c r="X732" s="522"/>
      <c r="Y732" s="382"/>
    </row>
    <row r="733" spans="9:25" ht="12.75" customHeight="1">
      <c r="I733" s="382"/>
      <c r="J733" s="519">
        <f t="shared" si="362"/>
        <v>353</v>
      </c>
      <c r="K733" s="519"/>
      <c r="L733" s="519"/>
      <c r="M733" s="380"/>
      <c r="N733" s="520">
        <f t="shared" si="361"/>
        <v>47471</v>
      </c>
      <c r="O733" s="519"/>
      <c r="P733" s="519"/>
      <c r="Q733" s="382"/>
      <c r="R733" s="521">
        <f>LOOKUP(ROUNDUP(IF((N733-$R$10)&lt;=0,1,(N733-$R$10))/365,0),'Profit Division'!$A$4:$A$30,'Profit Division'!$C$4:$C$30)</f>
        <v>1.1403848734836686E-4</v>
      </c>
      <c r="S733" s="521"/>
      <c r="T733" s="521"/>
      <c r="U733" s="380"/>
      <c r="V733" s="522">
        <f ca="1">R733*LOOKUP(N733,'reserve calculation'!B:B,'reserve calculation'!D:D)</f>
        <v>55283.062124397562</v>
      </c>
      <c r="W733" s="522"/>
      <c r="X733" s="522"/>
      <c r="Y733" s="382"/>
    </row>
    <row r="734" spans="9:25" ht="12.75" customHeight="1">
      <c r="I734" s="382"/>
      <c r="J734" s="519"/>
      <c r="K734" s="519"/>
      <c r="L734" s="519"/>
      <c r="M734" s="380"/>
      <c r="N734" s="519"/>
      <c r="O734" s="519"/>
      <c r="P734" s="519"/>
      <c r="Q734" s="382"/>
      <c r="R734" s="521"/>
      <c r="S734" s="521"/>
      <c r="T734" s="521"/>
      <c r="U734" s="380"/>
      <c r="V734" s="522"/>
      <c r="W734" s="522"/>
      <c r="X734" s="522"/>
      <c r="Y734" s="382"/>
    </row>
    <row r="735" spans="9:25" ht="12.75" customHeight="1">
      <c r="I735" s="382"/>
      <c r="J735" s="519">
        <f t="shared" si="362"/>
        <v>354</v>
      </c>
      <c r="K735" s="519"/>
      <c r="L735" s="519"/>
      <c r="M735" s="380"/>
      <c r="N735" s="520">
        <f t="shared" si="361"/>
        <v>47472</v>
      </c>
      <c r="O735" s="519"/>
      <c r="P735" s="519"/>
      <c r="Q735" s="382"/>
      <c r="R735" s="521">
        <f>LOOKUP(ROUNDUP(IF((N735-$R$10)&lt;=0,1,(N735-$R$10))/365,0),'Profit Division'!$A$4:$A$30,'Profit Division'!$C$4:$C$30)</f>
        <v>1.1403848734836686E-4</v>
      </c>
      <c r="S735" s="521"/>
      <c r="T735" s="521"/>
      <c r="U735" s="380"/>
      <c r="V735" s="522">
        <f ca="1">R735*LOOKUP(N735,'reserve calculation'!B:B,'reserve calculation'!D:D)</f>
        <v>55304.234583577119</v>
      </c>
      <c r="W735" s="522"/>
      <c r="X735" s="522"/>
      <c r="Y735" s="382"/>
    </row>
    <row r="736" spans="9:25" ht="12.75" customHeight="1">
      <c r="I736" s="382"/>
      <c r="J736" s="519"/>
      <c r="K736" s="519"/>
      <c r="L736" s="519"/>
      <c r="M736" s="380"/>
      <c r="N736" s="519"/>
      <c r="O736" s="519"/>
      <c r="P736" s="519"/>
      <c r="Q736" s="382"/>
      <c r="R736" s="521"/>
      <c r="S736" s="521"/>
      <c r="T736" s="521"/>
      <c r="U736" s="380"/>
      <c r="V736" s="522"/>
      <c r="W736" s="522"/>
      <c r="X736" s="522"/>
      <c r="Y736" s="382"/>
    </row>
    <row r="737" spans="9:25" ht="12.75" customHeight="1">
      <c r="I737" s="382"/>
      <c r="J737" s="519">
        <f t="shared" si="362"/>
        <v>355</v>
      </c>
      <c r="K737" s="519"/>
      <c r="L737" s="519"/>
      <c r="M737" s="380"/>
      <c r="N737" s="520">
        <f t="shared" si="361"/>
        <v>47473</v>
      </c>
      <c r="O737" s="519"/>
      <c r="P737" s="519"/>
      <c r="Q737" s="382"/>
      <c r="R737" s="521">
        <f>LOOKUP(ROUNDUP(IF((N737-$R$10)&lt;=0,1,(N737-$R$10))/365,0),'Profit Division'!$A$4:$A$30,'Profit Division'!$C$4:$C$30)</f>
        <v>1.1403848734836686E-4</v>
      </c>
      <c r="S737" s="521"/>
      <c r="T737" s="521"/>
      <c r="U737" s="380"/>
      <c r="V737" s="522">
        <f ca="1">R737*LOOKUP(N737,'reserve calculation'!B:B,'reserve calculation'!D:D)</f>
        <v>55325.415151443332</v>
      </c>
      <c r="W737" s="522"/>
      <c r="X737" s="522"/>
      <c r="Y737" s="382"/>
    </row>
    <row r="738" spans="9:25" ht="12.75" customHeight="1">
      <c r="I738" s="382"/>
      <c r="J738" s="519"/>
      <c r="K738" s="519"/>
      <c r="L738" s="519"/>
      <c r="M738" s="380"/>
      <c r="N738" s="519"/>
      <c r="O738" s="519"/>
      <c r="P738" s="519"/>
      <c r="Q738" s="382"/>
      <c r="R738" s="521"/>
      <c r="S738" s="521"/>
      <c r="T738" s="521"/>
      <c r="U738" s="380"/>
      <c r="V738" s="522"/>
      <c r="W738" s="522"/>
      <c r="X738" s="522"/>
      <c r="Y738" s="382"/>
    </row>
    <row r="739" spans="9:25" ht="12.75" customHeight="1">
      <c r="I739" s="382"/>
      <c r="J739" s="519">
        <f t="shared" si="362"/>
        <v>356</v>
      </c>
      <c r="K739" s="519"/>
      <c r="L739" s="519"/>
      <c r="M739" s="380"/>
      <c r="N739" s="520">
        <f t="shared" si="361"/>
        <v>47474</v>
      </c>
      <c r="O739" s="519"/>
      <c r="P739" s="519"/>
      <c r="Q739" s="382"/>
      <c r="R739" s="521">
        <f>LOOKUP(ROUNDUP(IF((N739-$R$10)&lt;=0,1,(N739-$R$10))/365,0),'Profit Division'!$A$4:$A$30,'Profit Division'!$C$4:$C$30)</f>
        <v>1.1403848734836686E-4</v>
      </c>
      <c r="S739" s="521"/>
      <c r="T739" s="521"/>
      <c r="U739" s="380"/>
      <c r="V739" s="522">
        <f ca="1">R739*LOOKUP(N739,'reserve calculation'!B:B,'reserve calculation'!D:D)</f>
        <v>55346.603831101682</v>
      </c>
      <c r="W739" s="522"/>
      <c r="X739" s="522"/>
      <c r="Y739" s="382"/>
    </row>
    <row r="740" spans="9:25" ht="12.75" customHeight="1">
      <c r="I740" s="382"/>
      <c r="J740" s="519"/>
      <c r="K740" s="519"/>
      <c r="L740" s="519"/>
      <c r="M740" s="380"/>
      <c r="N740" s="519"/>
      <c r="O740" s="519"/>
      <c r="P740" s="519"/>
      <c r="Q740" s="382"/>
      <c r="R740" s="521"/>
      <c r="S740" s="521"/>
      <c r="T740" s="521"/>
      <c r="U740" s="380"/>
      <c r="V740" s="522"/>
      <c r="W740" s="522"/>
      <c r="X740" s="522"/>
      <c r="Y740" s="382"/>
    </row>
    <row r="741" spans="9:25" ht="12.75" customHeight="1">
      <c r="I741" s="382"/>
      <c r="J741" s="519">
        <f t="shared" si="362"/>
        <v>357</v>
      </c>
      <c r="K741" s="519"/>
      <c r="L741" s="519"/>
      <c r="M741" s="380"/>
      <c r="N741" s="520">
        <f t="shared" si="361"/>
        <v>47475</v>
      </c>
      <c r="O741" s="519"/>
      <c r="P741" s="519"/>
      <c r="Q741" s="382"/>
      <c r="R741" s="521">
        <f>LOOKUP(ROUNDUP(IF((N741-$R$10)&lt;=0,1,(N741-$R$10))/365,0),'Profit Division'!$A$4:$A$30,'Profit Division'!$C$4:$C$30)</f>
        <v>1.1403848734836686E-4</v>
      </c>
      <c r="S741" s="521"/>
      <c r="T741" s="521"/>
      <c r="U741" s="380"/>
      <c r="V741" s="522">
        <f ca="1">R741*LOOKUP(N741,'reserve calculation'!B:B,'reserve calculation'!D:D)</f>
        <v>55367.800625658841</v>
      </c>
      <c r="W741" s="522"/>
      <c r="X741" s="522"/>
      <c r="Y741" s="382"/>
    </row>
    <row r="742" spans="9:25" ht="12.75" customHeight="1">
      <c r="I742" s="382"/>
      <c r="J742" s="519"/>
      <c r="K742" s="519"/>
      <c r="L742" s="519"/>
      <c r="M742" s="380"/>
      <c r="N742" s="519"/>
      <c r="O742" s="519"/>
      <c r="P742" s="519"/>
      <c r="Q742" s="382"/>
      <c r="R742" s="521"/>
      <c r="S742" s="521"/>
      <c r="T742" s="521"/>
      <c r="U742" s="380"/>
      <c r="V742" s="522"/>
      <c r="W742" s="522"/>
      <c r="X742" s="522"/>
      <c r="Y742" s="382"/>
    </row>
    <row r="743" spans="9:25" ht="12.75" customHeight="1">
      <c r="I743" s="382"/>
      <c r="J743" s="519">
        <f t="shared" si="362"/>
        <v>358</v>
      </c>
      <c r="K743" s="519"/>
      <c r="L743" s="519"/>
      <c r="M743" s="380"/>
      <c r="N743" s="520">
        <f t="shared" si="361"/>
        <v>47476</v>
      </c>
      <c r="O743" s="519"/>
      <c r="P743" s="519"/>
      <c r="Q743" s="382"/>
      <c r="R743" s="521">
        <f>LOOKUP(ROUNDUP(IF((N743-$R$10)&lt;=0,1,(N743-$R$10))/365,0),'Profit Division'!$A$4:$A$30,'Profit Division'!$C$4:$C$30)</f>
        <v>1.1403848734836686E-4</v>
      </c>
      <c r="S743" s="521"/>
      <c r="T743" s="521"/>
      <c r="U743" s="380"/>
      <c r="V743" s="522">
        <f ca="1">R743*LOOKUP(N743,'reserve calculation'!B:B,'reserve calculation'!D:D)</f>
        <v>55389.005538222671</v>
      </c>
      <c r="W743" s="522"/>
      <c r="X743" s="522"/>
      <c r="Y743" s="382"/>
    </row>
    <row r="744" spans="9:25" ht="12.75" customHeight="1">
      <c r="I744" s="382"/>
      <c r="J744" s="519"/>
      <c r="K744" s="519"/>
      <c r="L744" s="519"/>
      <c r="M744" s="380"/>
      <c r="N744" s="519"/>
      <c r="O744" s="519"/>
      <c r="P744" s="519"/>
      <c r="Q744" s="382"/>
      <c r="R744" s="521"/>
      <c r="S744" s="521"/>
      <c r="T744" s="521"/>
      <c r="U744" s="380"/>
      <c r="V744" s="522"/>
      <c r="W744" s="522"/>
      <c r="X744" s="522"/>
      <c r="Y744" s="382"/>
    </row>
    <row r="745" spans="9:25" ht="12.75" customHeight="1">
      <c r="I745" s="382"/>
      <c r="J745" s="519">
        <f t="shared" si="362"/>
        <v>359</v>
      </c>
      <c r="K745" s="519"/>
      <c r="L745" s="519"/>
      <c r="M745" s="380"/>
      <c r="N745" s="520">
        <f t="shared" si="361"/>
        <v>47477</v>
      </c>
      <c r="O745" s="519"/>
      <c r="P745" s="519"/>
      <c r="Q745" s="382"/>
      <c r="R745" s="521">
        <f>LOOKUP(ROUNDUP(IF((N745-$R$10)&lt;=0,1,(N745-$R$10))/365,0),'Profit Division'!$A$4:$A$30,'Profit Division'!$C$4:$C$30)</f>
        <v>1.1403848734836686E-4</v>
      </c>
      <c r="S745" s="521"/>
      <c r="T745" s="521"/>
      <c r="U745" s="380"/>
      <c r="V745" s="522">
        <f ca="1">R745*LOOKUP(N745,'reserve calculation'!B:B,'reserve calculation'!D:D)</f>
        <v>55410.218571902245</v>
      </c>
      <c r="W745" s="522"/>
      <c r="X745" s="522"/>
      <c r="Y745" s="382"/>
    </row>
    <row r="746" spans="9:25" ht="12.75" customHeight="1">
      <c r="I746" s="382"/>
      <c r="J746" s="519"/>
      <c r="K746" s="519"/>
      <c r="L746" s="519"/>
      <c r="M746" s="380"/>
      <c r="N746" s="519"/>
      <c r="O746" s="519"/>
      <c r="P746" s="519"/>
      <c r="Q746" s="382"/>
      <c r="R746" s="521"/>
      <c r="S746" s="521"/>
      <c r="T746" s="521"/>
      <c r="U746" s="380"/>
      <c r="V746" s="522"/>
      <c r="W746" s="522"/>
      <c r="X746" s="522"/>
      <c r="Y746" s="382"/>
    </row>
    <row r="747" spans="9:25" ht="12.75" customHeight="1">
      <c r="I747" s="382"/>
      <c r="J747" s="519">
        <f t="shared" si="362"/>
        <v>360</v>
      </c>
      <c r="K747" s="519"/>
      <c r="L747" s="519"/>
      <c r="M747" s="380"/>
      <c r="N747" s="520">
        <f t="shared" si="361"/>
        <v>47478</v>
      </c>
      <c r="O747" s="519"/>
      <c r="P747" s="519"/>
      <c r="Q747" s="382"/>
      <c r="R747" s="521">
        <f>LOOKUP(ROUNDUP(IF((N747-$R$10)&lt;=0,1,(N747-$R$10))/365,0),'Profit Division'!$A$4:$A$30,'Profit Division'!$C$4:$C$30)</f>
        <v>1.1403848734836686E-4</v>
      </c>
      <c r="S747" s="521"/>
      <c r="T747" s="521"/>
      <c r="U747" s="380"/>
      <c r="V747" s="522">
        <f ca="1">R747*LOOKUP(N747,'reserve calculation'!B:B,'reserve calculation'!D:D)</f>
        <v>55431.439729807797</v>
      </c>
      <c r="W747" s="522"/>
      <c r="X747" s="522"/>
      <c r="Y747" s="382"/>
    </row>
    <row r="748" spans="9:25" ht="12.75" customHeight="1">
      <c r="I748" s="382"/>
      <c r="J748" s="519"/>
      <c r="K748" s="519"/>
      <c r="L748" s="519"/>
      <c r="M748" s="380"/>
      <c r="N748" s="519"/>
      <c r="O748" s="519"/>
      <c r="P748" s="519"/>
      <c r="Q748" s="382"/>
      <c r="R748" s="521"/>
      <c r="S748" s="521"/>
      <c r="T748" s="521"/>
      <c r="U748" s="380"/>
      <c r="V748" s="522"/>
      <c r="W748" s="522"/>
      <c r="X748" s="522"/>
      <c r="Y748" s="382"/>
    </row>
    <row r="749" spans="9:25" ht="12.75" customHeight="1">
      <c r="I749" s="382"/>
      <c r="J749" s="519">
        <f t="shared" si="362"/>
        <v>361</v>
      </c>
      <c r="K749" s="519"/>
      <c r="L749" s="519"/>
      <c r="M749" s="380"/>
      <c r="N749" s="520">
        <f t="shared" si="361"/>
        <v>47479</v>
      </c>
      <c r="O749" s="519"/>
      <c r="P749" s="519"/>
      <c r="Q749" s="382"/>
      <c r="R749" s="521">
        <f>LOOKUP(ROUNDUP(IF((N749-$R$10)&lt;=0,1,(N749-$R$10))/365,0),'Profit Division'!$A$4:$A$30,'Profit Division'!$C$4:$C$30)</f>
        <v>1.1403848734836686E-4</v>
      </c>
      <c r="S749" s="521"/>
      <c r="T749" s="521"/>
      <c r="U749" s="380"/>
      <c r="V749" s="522">
        <f ca="1">R749*LOOKUP(N749,'reserve calculation'!B:B,'reserve calculation'!D:D)</f>
        <v>55452.669015050764</v>
      </c>
      <c r="W749" s="522"/>
      <c r="X749" s="522"/>
      <c r="Y749" s="382"/>
    </row>
    <row r="750" spans="9:25" ht="12.75" customHeight="1">
      <c r="I750" s="382"/>
      <c r="J750" s="519"/>
      <c r="K750" s="519"/>
      <c r="L750" s="519"/>
      <c r="M750" s="380"/>
      <c r="N750" s="519"/>
      <c r="O750" s="519"/>
      <c r="P750" s="519"/>
      <c r="Q750" s="382"/>
      <c r="R750" s="521"/>
      <c r="S750" s="521"/>
      <c r="T750" s="521"/>
      <c r="U750" s="380"/>
      <c r="V750" s="522"/>
      <c r="W750" s="522"/>
      <c r="X750" s="522"/>
      <c r="Y750" s="382"/>
    </row>
    <row r="751" spans="9:25" ht="12.75" customHeight="1">
      <c r="I751" s="382"/>
      <c r="J751" s="519">
        <f t="shared" si="362"/>
        <v>362</v>
      </c>
      <c r="K751" s="519"/>
      <c r="L751" s="519"/>
      <c r="M751" s="380"/>
      <c r="N751" s="520">
        <f t="shared" si="361"/>
        <v>47480</v>
      </c>
      <c r="O751" s="519"/>
      <c r="P751" s="519"/>
      <c r="Q751" s="382"/>
      <c r="R751" s="521">
        <f>LOOKUP(ROUNDUP(IF((N751-$R$10)&lt;=0,1,(N751-$R$10))/365,0),'Profit Division'!$A$4:$A$30,'Profit Division'!$C$4:$C$30)</f>
        <v>1.1403848734836686E-4</v>
      </c>
      <c r="S751" s="521"/>
      <c r="T751" s="521"/>
      <c r="U751" s="380"/>
      <c r="V751" s="522">
        <f ca="1">R751*LOOKUP(N751,'reserve calculation'!B:B,'reserve calculation'!D:D)</f>
        <v>55473.906430743787</v>
      </c>
      <c r="W751" s="522"/>
      <c r="X751" s="522"/>
      <c r="Y751" s="382"/>
    </row>
    <row r="752" spans="9:25" ht="12.75" customHeight="1">
      <c r="I752" s="382"/>
      <c r="J752" s="519"/>
      <c r="K752" s="519"/>
      <c r="L752" s="519"/>
      <c r="M752" s="380"/>
      <c r="N752" s="519"/>
      <c r="O752" s="519"/>
      <c r="P752" s="519"/>
      <c r="Q752" s="382"/>
      <c r="R752" s="521"/>
      <c r="S752" s="521"/>
      <c r="T752" s="521"/>
      <c r="U752" s="380"/>
      <c r="V752" s="522"/>
      <c r="W752" s="522"/>
      <c r="X752" s="522"/>
      <c r="Y752" s="382"/>
    </row>
    <row r="753" spans="9:25" ht="12.75" customHeight="1">
      <c r="I753" s="382"/>
      <c r="J753" s="519">
        <f t="shared" si="362"/>
        <v>363</v>
      </c>
      <c r="K753" s="519"/>
      <c r="L753" s="519"/>
      <c r="M753" s="380"/>
      <c r="N753" s="520">
        <f t="shared" si="361"/>
        <v>47481</v>
      </c>
      <c r="O753" s="519"/>
      <c r="P753" s="519"/>
      <c r="Q753" s="382"/>
      <c r="R753" s="521">
        <f>LOOKUP(ROUNDUP(IF((N753-$R$10)&lt;=0,1,(N753-$R$10))/365,0),'Profit Division'!$A$4:$A$30,'Profit Division'!$C$4:$C$30)</f>
        <v>1.1403848734836686E-4</v>
      </c>
      <c r="S753" s="521"/>
      <c r="T753" s="521"/>
      <c r="U753" s="380"/>
      <c r="V753" s="522">
        <f ca="1">R753*LOOKUP(N753,'reserve calculation'!B:B,'reserve calculation'!D:D)</f>
        <v>55495.151980000679</v>
      </c>
      <c r="W753" s="522"/>
      <c r="X753" s="522"/>
      <c r="Y753" s="382"/>
    </row>
    <row r="754" spans="9:25" ht="12.75" customHeight="1">
      <c r="I754" s="382"/>
      <c r="J754" s="519"/>
      <c r="K754" s="519"/>
      <c r="L754" s="519"/>
      <c r="M754" s="380"/>
      <c r="N754" s="519"/>
      <c r="O754" s="519"/>
      <c r="P754" s="519"/>
      <c r="Q754" s="382"/>
      <c r="R754" s="521"/>
      <c r="S754" s="521"/>
      <c r="T754" s="521"/>
      <c r="U754" s="380"/>
      <c r="V754" s="522"/>
      <c r="W754" s="522"/>
      <c r="X754" s="522"/>
      <c r="Y754" s="382"/>
    </row>
    <row r="755" spans="9:25" ht="12.75" customHeight="1">
      <c r="I755" s="382"/>
      <c r="J755" s="519">
        <f t="shared" si="362"/>
        <v>364</v>
      </c>
      <c r="K755" s="519"/>
      <c r="L755" s="519"/>
      <c r="M755" s="380"/>
      <c r="N755" s="520">
        <f t="shared" si="361"/>
        <v>47482</v>
      </c>
      <c r="O755" s="519"/>
      <c r="P755" s="519"/>
      <c r="Q755" s="382"/>
      <c r="R755" s="521">
        <f>LOOKUP(ROUNDUP(IF((N755-$R$10)&lt;=0,1,(N755-$R$10))/365,0),'Profit Division'!$A$4:$A$30,'Profit Division'!$C$4:$C$30)</f>
        <v>1.1403848734836686E-4</v>
      </c>
      <c r="S755" s="521"/>
      <c r="T755" s="521"/>
      <c r="U755" s="380"/>
      <c r="V755" s="522">
        <f ca="1">R755*LOOKUP(N755,'reserve calculation'!B:B,'reserve calculation'!D:D)</f>
        <v>55516.405665936465</v>
      </c>
      <c r="W755" s="522"/>
      <c r="X755" s="522"/>
      <c r="Y755" s="382"/>
    </row>
    <row r="756" spans="9:25" ht="12.75" customHeight="1">
      <c r="I756" s="382"/>
      <c r="J756" s="519"/>
      <c r="K756" s="519"/>
      <c r="L756" s="519"/>
      <c r="M756" s="380"/>
      <c r="N756" s="519"/>
      <c r="O756" s="519"/>
      <c r="P756" s="519"/>
      <c r="Q756" s="382"/>
      <c r="R756" s="521"/>
      <c r="S756" s="521"/>
      <c r="T756" s="521"/>
      <c r="U756" s="380"/>
      <c r="V756" s="522"/>
      <c r="W756" s="522"/>
      <c r="X756" s="522"/>
      <c r="Y756" s="382"/>
    </row>
    <row r="757" spans="9:25" ht="12.75" customHeight="1">
      <c r="I757" s="382"/>
      <c r="J757" s="519">
        <f t="shared" si="362"/>
        <v>365</v>
      </c>
      <c r="K757" s="519"/>
      <c r="L757" s="519"/>
      <c r="M757" s="380"/>
      <c r="N757" s="520">
        <f t="shared" si="361"/>
        <v>47483</v>
      </c>
      <c r="O757" s="519"/>
      <c r="P757" s="519"/>
      <c r="Q757" s="382"/>
      <c r="R757" s="521">
        <f>LOOKUP(ROUNDUP(IF((N757-$R$10)&lt;=0,1,(N757-$R$10))/365,0),'Profit Division'!$A$4:$A$30,'Profit Division'!$C$4:$C$30)</f>
        <v>1.1403848734836686E-4</v>
      </c>
      <c r="S757" s="521"/>
      <c r="T757" s="521"/>
      <c r="U757" s="380"/>
      <c r="V757" s="522">
        <f ca="1">R757*LOOKUP(N757,'reserve calculation'!B:B,'reserve calculation'!D:D)</f>
        <v>55537.667491667336</v>
      </c>
      <c r="W757" s="522"/>
      <c r="X757" s="522"/>
      <c r="Y757" s="382"/>
    </row>
    <row r="758" spans="9:25" ht="12.75" customHeight="1">
      <c r="I758" s="382"/>
      <c r="J758" s="519"/>
      <c r="K758" s="519"/>
      <c r="L758" s="519"/>
      <c r="M758" s="380"/>
      <c r="N758" s="519"/>
      <c r="O758" s="519"/>
      <c r="P758" s="519"/>
      <c r="Q758" s="382"/>
      <c r="R758" s="521"/>
      <c r="S758" s="521"/>
      <c r="T758" s="521"/>
      <c r="U758" s="380"/>
      <c r="V758" s="522"/>
      <c r="W758" s="522"/>
      <c r="X758" s="522"/>
      <c r="Y758" s="382"/>
    </row>
    <row r="759" spans="9:25" ht="12.75" customHeight="1">
      <c r="I759" s="382"/>
      <c r="J759" s="519">
        <f t="shared" si="362"/>
        <v>366</v>
      </c>
      <c r="K759" s="519"/>
      <c r="L759" s="519"/>
      <c r="M759" s="380"/>
      <c r="N759" s="520">
        <f t="shared" si="361"/>
        <v>47484</v>
      </c>
      <c r="O759" s="519"/>
      <c r="P759" s="519"/>
      <c r="Q759" s="382"/>
      <c r="R759" s="521">
        <f>LOOKUP(ROUNDUP(IF((N759-$R$10)&lt;=0,1,(N759-$R$10))/365,0),'Profit Division'!$A$4:$A$30,'Profit Division'!$C$4:$C$30)</f>
        <v>1.1403848734836686E-4</v>
      </c>
      <c r="S759" s="521"/>
      <c r="T759" s="521"/>
      <c r="U759" s="380"/>
      <c r="V759" s="522">
        <f>IF(LOOKUP(N759,'reserve calculation'!Y$2:Y$35,'reserve calculation'!Y$2:Y$35)=N759,R759*LOOKUP(N759,'reserve calculation'!B:B,'reserve calculation'!D:D),0)</f>
        <v>0</v>
      </c>
      <c r="W759" s="522"/>
      <c r="X759" s="522"/>
      <c r="Y759" s="382"/>
    </row>
    <row r="760" spans="9:25" ht="12.75" customHeight="1">
      <c r="I760" s="382"/>
      <c r="J760" s="519"/>
      <c r="K760" s="519"/>
      <c r="L760" s="519"/>
      <c r="M760" s="380"/>
      <c r="N760" s="519"/>
      <c r="O760" s="519"/>
      <c r="P760" s="519"/>
      <c r="Q760" s="382"/>
      <c r="R760" s="521"/>
      <c r="S760" s="521"/>
      <c r="T760" s="521"/>
      <c r="U760" s="380"/>
      <c r="V760" s="522"/>
      <c r="W760" s="522"/>
      <c r="X760" s="522"/>
      <c r="Y760" s="382"/>
    </row>
    <row r="761" spans="9:25" ht="5.25" customHeight="1">
      <c r="I761" s="372"/>
      <c r="J761" s="372"/>
      <c r="K761" s="372"/>
      <c r="L761" s="372"/>
      <c r="M761" s="372"/>
      <c r="N761" s="372"/>
      <c r="O761" s="372"/>
      <c r="P761" s="372"/>
      <c r="Q761" s="372"/>
      <c r="R761" s="372"/>
      <c r="S761" s="372"/>
      <c r="T761" s="372"/>
      <c r="U761" s="372"/>
      <c r="V761" s="372"/>
      <c r="W761" s="372"/>
      <c r="X761" s="372"/>
      <c r="Y761" s="372"/>
    </row>
    <row r="762" spans="9:25" ht="12.75" customHeight="1"/>
    <row r="763" spans="9:25" ht="12.75" customHeight="1"/>
    <row r="764" spans="9:25" ht="12.75" customHeight="1"/>
    <row r="765" spans="9:25" ht="12.75" customHeight="1"/>
    <row r="766" spans="9:25" ht="12.75" customHeight="1"/>
    <row r="767" spans="9:25" ht="12.75" customHeight="1"/>
    <row r="768" spans="9:25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</sheetData>
  <mergeCells count="1504">
    <mergeCell ref="J759:L760"/>
    <mergeCell ref="N759:P760"/>
    <mergeCell ref="R759:T760"/>
    <mergeCell ref="V759:X760"/>
    <mergeCell ref="J757:L758"/>
    <mergeCell ref="N757:P758"/>
    <mergeCell ref="R757:T758"/>
    <mergeCell ref="V757:X758"/>
    <mergeCell ref="J753:L754"/>
    <mergeCell ref="N753:P754"/>
    <mergeCell ref="R753:T754"/>
    <mergeCell ref="V753:X754"/>
    <mergeCell ref="J755:L756"/>
    <mergeCell ref="N755:P756"/>
    <mergeCell ref="R755:T756"/>
    <mergeCell ref="V755:X756"/>
    <mergeCell ref="J749:L750"/>
    <mergeCell ref="N749:P750"/>
    <mergeCell ref="R749:T750"/>
    <mergeCell ref="V749:X750"/>
    <mergeCell ref="J751:L752"/>
    <mergeCell ref="N751:P752"/>
    <mergeCell ref="R751:T752"/>
    <mergeCell ref="V751:X752"/>
    <mergeCell ref="J745:L746"/>
    <mergeCell ref="N745:P746"/>
    <mergeCell ref="R745:T746"/>
    <mergeCell ref="V745:X746"/>
    <mergeCell ref="J747:L748"/>
    <mergeCell ref="N747:P748"/>
    <mergeCell ref="R747:T748"/>
    <mergeCell ref="V747:X748"/>
    <mergeCell ref="J741:L742"/>
    <mergeCell ref="N741:P742"/>
    <mergeCell ref="R741:T742"/>
    <mergeCell ref="V741:X742"/>
    <mergeCell ref="J743:L744"/>
    <mergeCell ref="N743:P744"/>
    <mergeCell ref="R743:T744"/>
    <mergeCell ref="V743:X744"/>
    <mergeCell ref="J737:L738"/>
    <mergeCell ref="N737:P738"/>
    <mergeCell ref="R737:T738"/>
    <mergeCell ref="V737:X738"/>
    <mergeCell ref="J739:L740"/>
    <mergeCell ref="N739:P740"/>
    <mergeCell ref="R739:T740"/>
    <mergeCell ref="V739:X740"/>
    <mergeCell ref="J733:L734"/>
    <mergeCell ref="N733:P734"/>
    <mergeCell ref="R733:T734"/>
    <mergeCell ref="V733:X734"/>
    <mergeCell ref="J735:L736"/>
    <mergeCell ref="N735:P736"/>
    <mergeCell ref="R735:T736"/>
    <mergeCell ref="V735:X736"/>
    <mergeCell ref="J729:L730"/>
    <mergeCell ref="N729:P730"/>
    <mergeCell ref="R729:T730"/>
    <mergeCell ref="V729:X730"/>
    <mergeCell ref="J731:L732"/>
    <mergeCell ref="N731:P732"/>
    <mergeCell ref="R731:T732"/>
    <mergeCell ref="V731:X732"/>
    <mergeCell ref="J725:L726"/>
    <mergeCell ref="N725:P726"/>
    <mergeCell ref="R725:T726"/>
    <mergeCell ref="V725:X726"/>
    <mergeCell ref="J727:L728"/>
    <mergeCell ref="N727:P728"/>
    <mergeCell ref="R727:T728"/>
    <mergeCell ref="V727:X728"/>
    <mergeCell ref="J721:L722"/>
    <mergeCell ref="N721:P722"/>
    <mergeCell ref="R721:T722"/>
    <mergeCell ref="V721:X722"/>
    <mergeCell ref="J723:L724"/>
    <mergeCell ref="N723:P724"/>
    <mergeCell ref="R723:T724"/>
    <mergeCell ref="V723:X724"/>
    <mergeCell ref="J717:L718"/>
    <mergeCell ref="N717:P718"/>
    <mergeCell ref="R717:T718"/>
    <mergeCell ref="V717:X718"/>
    <mergeCell ref="J719:L720"/>
    <mergeCell ref="N719:P720"/>
    <mergeCell ref="R719:T720"/>
    <mergeCell ref="V719:X720"/>
    <mergeCell ref="J713:L714"/>
    <mergeCell ref="N713:P714"/>
    <mergeCell ref="R713:T714"/>
    <mergeCell ref="V713:X714"/>
    <mergeCell ref="J715:L716"/>
    <mergeCell ref="N715:P716"/>
    <mergeCell ref="R715:T716"/>
    <mergeCell ref="V715:X716"/>
    <mergeCell ref="J709:L710"/>
    <mergeCell ref="N709:P710"/>
    <mergeCell ref="R709:T710"/>
    <mergeCell ref="V709:X710"/>
    <mergeCell ref="J711:L712"/>
    <mergeCell ref="N711:P712"/>
    <mergeCell ref="R711:T712"/>
    <mergeCell ref="V711:X712"/>
    <mergeCell ref="J705:L706"/>
    <mergeCell ref="N705:P706"/>
    <mergeCell ref="R705:T706"/>
    <mergeCell ref="V705:X706"/>
    <mergeCell ref="J707:L708"/>
    <mergeCell ref="N707:P708"/>
    <mergeCell ref="R707:T708"/>
    <mergeCell ref="V707:X708"/>
    <mergeCell ref="J701:L702"/>
    <mergeCell ref="N701:P702"/>
    <mergeCell ref="R701:T702"/>
    <mergeCell ref="V701:X702"/>
    <mergeCell ref="J703:L704"/>
    <mergeCell ref="N703:P704"/>
    <mergeCell ref="R703:T704"/>
    <mergeCell ref="V703:X704"/>
    <mergeCell ref="J697:L698"/>
    <mergeCell ref="N697:P698"/>
    <mergeCell ref="R697:T698"/>
    <mergeCell ref="V697:X698"/>
    <mergeCell ref="J699:L700"/>
    <mergeCell ref="N699:P700"/>
    <mergeCell ref="R699:T700"/>
    <mergeCell ref="V699:X700"/>
    <mergeCell ref="J693:L694"/>
    <mergeCell ref="N693:P694"/>
    <mergeCell ref="R693:T694"/>
    <mergeCell ref="V693:X694"/>
    <mergeCell ref="J695:L696"/>
    <mergeCell ref="N695:P696"/>
    <mergeCell ref="R695:T696"/>
    <mergeCell ref="V695:X696"/>
    <mergeCell ref="J689:L690"/>
    <mergeCell ref="N689:P690"/>
    <mergeCell ref="R689:T690"/>
    <mergeCell ref="V689:X690"/>
    <mergeCell ref="J691:L692"/>
    <mergeCell ref="N691:P692"/>
    <mergeCell ref="R691:T692"/>
    <mergeCell ref="V691:X692"/>
    <mergeCell ref="J685:L686"/>
    <mergeCell ref="N685:P686"/>
    <mergeCell ref="R685:T686"/>
    <mergeCell ref="V685:X686"/>
    <mergeCell ref="J687:L688"/>
    <mergeCell ref="N687:P688"/>
    <mergeCell ref="R687:T688"/>
    <mergeCell ref="V687:X688"/>
    <mergeCell ref="J681:L682"/>
    <mergeCell ref="N681:P682"/>
    <mergeCell ref="R681:T682"/>
    <mergeCell ref="V681:X682"/>
    <mergeCell ref="J683:L684"/>
    <mergeCell ref="N683:P684"/>
    <mergeCell ref="R683:T684"/>
    <mergeCell ref="V683:X684"/>
    <mergeCell ref="J677:L678"/>
    <mergeCell ref="N677:P678"/>
    <mergeCell ref="R677:T678"/>
    <mergeCell ref="V677:X678"/>
    <mergeCell ref="J679:L680"/>
    <mergeCell ref="N679:P680"/>
    <mergeCell ref="R679:T680"/>
    <mergeCell ref="V679:X680"/>
    <mergeCell ref="J673:L674"/>
    <mergeCell ref="N673:P674"/>
    <mergeCell ref="R673:T674"/>
    <mergeCell ref="V673:X674"/>
    <mergeCell ref="J675:L676"/>
    <mergeCell ref="N675:P676"/>
    <mergeCell ref="R675:T676"/>
    <mergeCell ref="V675:X676"/>
    <mergeCell ref="J669:L670"/>
    <mergeCell ref="N669:P670"/>
    <mergeCell ref="R669:T670"/>
    <mergeCell ref="V669:X670"/>
    <mergeCell ref="J671:L672"/>
    <mergeCell ref="N671:P672"/>
    <mergeCell ref="R671:T672"/>
    <mergeCell ref="V671:X672"/>
    <mergeCell ref="J665:L666"/>
    <mergeCell ref="N665:P666"/>
    <mergeCell ref="R665:T666"/>
    <mergeCell ref="V665:X666"/>
    <mergeCell ref="J667:L668"/>
    <mergeCell ref="N667:P668"/>
    <mergeCell ref="R667:T668"/>
    <mergeCell ref="V667:X668"/>
    <mergeCell ref="J661:L662"/>
    <mergeCell ref="N661:P662"/>
    <mergeCell ref="R661:T662"/>
    <mergeCell ref="V661:X662"/>
    <mergeCell ref="J663:L664"/>
    <mergeCell ref="N663:P664"/>
    <mergeCell ref="R663:T664"/>
    <mergeCell ref="V663:X664"/>
    <mergeCell ref="J657:L658"/>
    <mergeCell ref="N657:P658"/>
    <mergeCell ref="R657:T658"/>
    <mergeCell ref="V657:X658"/>
    <mergeCell ref="J659:L660"/>
    <mergeCell ref="N659:P660"/>
    <mergeCell ref="R659:T660"/>
    <mergeCell ref="V659:X660"/>
    <mergeCell ref="J653:L654"/>
    <mergeCell ref="N653:P654"/>
    <mergeCell ref="R653:T654"/>
    <mergeCell ref="V653:X654"/>
    <mergeCell ref="J655:L656"/>
    <mergeCell ref="N655:P656"/>
    <mergeCell ref="R655:T656"/>
    <mergeCell ref="V655:X656"/>
    <mergeCell ref="J649:L650"/>
    <mergeCell ref="N649:P650"/>
    <mergeCell ref="R649:T650"/>
    <mergeCell ref="V649:X650"/>
    <mergeCell ref="J651:L652"/>
    <mergeCell ref="N651:P652"/>
    <mergeCell ref="R651:T652"/>
    <mergeCell ref="V651:X652"/>
    <mergeCell ref="J645:L646"/>
    <mergeCell ref="N645:P646"/>
    <mergeCell ref="R645:T646"/>
    <mergeCell ref="V645:X646"/>
    <mergeCell ref="J647:L648"/>
    <mergeCell ref="N647:P648"/>
    <mergeCell ref="R647:T648"/>
    <mergeCell ref="V647:X648"/>
    <mergeCell ref="J641:L642"/>
    <mergeCell ref="N641:P642"/>
    <mergeCell ref="R641:T642"/>
    <mergeCell ref="V641:X642"/>
    <mergeCell ref="J643:L644"/>
    <mergeCell ref="N643:P644"/>
    <mergeCell ref="R643:T644"/>
    <mergeCell ref="V643:X644"/>
    <mergeCell ref="J637:L638"/>
    <mergeCell ref="N637:P638"/>
    <mergeCell ref="R637:T638"/>
    <mergeCell ref="V637:X638"/>
    <mergeCell ref="J639:L640"/>
    <mergeCell ref="N639:P640"/>
    <mergeCell ref="R639:T640"/>
    <mergeCell ref="V639:X640"/>
    <mergeCell ref="J633:L634"/>
    <mergeCell ref="N633:P634"/>
    <mergeCell ref="R633:T634"/>
    <mergeCell ref="V633:X634"/>
    <mergeCell ref="J635:L636"/>
    <mergeCell ref="N635:P636"/>
    <mergeCell ref="R635:T636"/>
    <mergeCell ref="V635:X636"/>
    <mergeCell ref="J629:L630"/>
    <mergeCell ref="N629:P630"/>
    <mergeCell ref="R629:T630"/>
    <mergeCell ref="V629:X630"/>
    <mergeCell ref="J631:L632"/>
    <mergeCell ref="N631:P632"/>
    <mergeCell ref="R631:T632"/>
    <mergeCell ref="V631:X632"/>
    <mergeCell ref="J625:L626"/>
    <mergeCell ref="N625:P626"/>
    <mergeCell ref="R625:T626"/>
    <mergeCell ref="V625:X626"/>
    <mergeCell ref="J627:L628"/>
    <mergeCell ref="N627:P628"/>
    <mergeCell ref="R627:T628"/>
    <mergeCell ref="V627:X628"/>
    <mergeCell ref="J621:L622"/>
    <mergeCell ref="N621:P622"/>
    <mergeCell ref="R621:T622"/>
    <mergeCell ref="V621:X622"/>
    <mergeCell ref="J623:L624"/>
    <mergeCell ref="N623:P624"/>
    <mergeCell ref="R623:T624"/>
    <mergeCell ref="V623:X624"/>
    <mergeCell ref="J617:L618"/>
    <mergeCell ref="N617:P618"/>
    <mergeCell ref="R617:T618"/>
    <mergeCell ref="V617:X618"/>
    <mergeCell ref="J619:L620"/>
    <mergeCell ref="N619:P620"/>
    <mergeCell ref="R619:T620"/>
    <mergeCell ref="V619:X620"/>
    <mergeCell ref="J613:L614"/>
    <mergeCell ref="N613:P614"/>
    <mergeCell ref="R613:T614"/>
    <mergeCell ref="V613:X614"/>
    <mergeCell ref="J615:L616"/>
    <mergeCell ref="N615:P616"/>
    <mergeCell ref="R615:T616"/>
    <mergeCell ref="V615:X616"/>
    <mergeCell ref="J609:L610"/>
    <mergeCell ref="N609:P610"/>
    <mergeCell ref="R609:T610"/>
    <mergeCell ref="V609:X610"/>
    <mergeCell ref="J611:L612"/>
    <mergeCell ref="N611:P612"/>
    <mergeCell ref="R611:T612"/>
    <mergeCell ref="V611:X612"/>
    <mergeCell ref="J605:L606"/>
    <mergeCell ref="N605:P606"/>
    <mergeCell ref="R605:T606"/>
    <mergeCell ref="V605:X606"/>
    <mergeCell ref="J607:L608"/>
    <mergeCell ref="N607:P608"/>
    <mergeCell ref="R607:T608"/>
    <mergeCell ref="V607:X608"/>
    <mergeCell ref="J601:L602"/>
    <mergeCell ref="N601:P602"/>
    <mergeCell ref="R601:T602"/>
    <mergeCell ref="V601:X602"/>
    <mergeCell ref="J603:L604"/>
    <mergeCell ref="N603:P604"/>
    <mergeCell ref="R603:T604"/>
    <mergeCell ref="V603:X604"/>
    <mergeCell ref="J597:L598"/>
    <mergeCell ref="N597:P598"/>
    <mergeCell ref="R597:T598"/>
    <mergeCell ref="V597:X598"/>
    <mergeCell ref="J599:L600"/>
    <mergeCell ref="N599:P600"/>
    <mergeCell ref="R599:T600"/>
    <mergeCell ref="V599:X600"/>
    <mergeCell ref="J593:L594"/>
    <mergeCell ref="N593:P594"/>
    <mergeCell ref="R593:T594"/>
    <mergeCell ref="V593:X594"/>
    <mergeCell ref="J595:L596"/>
    <mergeCell ref="N595:P596"/>
    <mergeCell ref="R595:T596"/>
    <mergeCell ref="V595:X596"/>
    <mergeCell ref="J589:L590"/>
    <mergeCell ref="N589:P590"/>
    <mergeCell ref="R589:T590"/>
    <mergeCell ref="V589:X590"/>
    <mergeCell ref="J591:L592"/>
    <mergeCell ref="N591:P592"/>
    <mergeCell ref="R591:T592"/>
    <mergeCell ref="V591:X592"/>
    <mergeCell ref="J585:L586"/>
    <mergeCell ref="N585:P586"/>
    <mergeCell ref="R585:T586"/>
    <mergeCell ref="V585:X586"/>
    <mergeCell ref="J587:L588"/>
    <mergeCell ref="N587:P588"/>
    <mergeCell ref="R587:T588"/>
    <mergeCell ref="V587:X588"/>
    <mergeCell ref="J581:L582"/>
    <mergeCell ref="N581:P582"/>
    <mergeCell ref="R581:T582"/>
    <mergeCell ref="V581:X582"/>
    <mergeCell ref="J583:L584"/>
    <mergeCell ref="N583:P584"/>
    <mergeCell ref="R583:T584"/>
    <mergeCell ref="V583:X584"/>
    <mergeCell ref="J577:L578"/>
    <mergeCell ref="N577:P578"/>
    <mergeCell ref="R577:T578"/>
    <mergeCell ref="V577:X578"/>
    <mergeCell ref="J579:L580"/>
    <mergeCell ref="N579:P580"/>
    <mergeCell ref="R579:T580"/>
    <mergeCell ref="V579:X580"/>
    <mergeCell ref="J573:L574"/>
    <mergeCell ref="N573:P574"/>
    <mergeCell ref="R573:T574"/>
    <mergeCell ref="V573:X574"/>
    <mergeCell ref="J575:L576"/>
    <mergeCell ref="N575:P576"/>
    <mergeCell ref="R575:T576"/>
    <mergeCell ref="V575:X576"/>
    <mergeCell ref="J569:L570"/>
    <mergeCell ref="N569:P570"/>
    <mergeCell ref="R569:T570"/>
    <mergeCell ref="V569:X570"/>
    <mergeCell ref="J571:L572"/>
    <mergeCell ref="N571:P572"/>
    <mergeCell ref="R571:T572"/>
    <mergeCell ref="V571:X572"/>
    <mergeCell ref="J565:L566"/>
    <mergeCell ref="N565:P566"/>
    <mergeCell ref="R565:T566"/>
    <mergeCell ref="V565:X566"/>
    <mergeCell ref="J567:L568"/>
    <mergeCell ref="N567:P568"/>
    <mergeCell ref="R567:T568"/>
    <mergeCell ref="V567:X568"/>
    <mergeCell ref="J561:L562"/>
    <mergeCell ref="N561:P562"/>
    <mergeCell ref="R561:T562"/>
    <mergeCell ref="V561:X562"/>
    <mergeCell ref="J563:L564"/>
    <mergeCell ref="N563:P564"/>
    <mergeCell ref="R563:T564"/>
    <mergeCell ref="V563:X564"/>
    <mergeCell ref="J557:L558"/>
    <mergeCell ref="N557:P558"/>
    <mergeCell ref="R557:T558"/>
    <mergeCell ref="V557:X558"/>
    <mergeCell ref="J559:L560"/>
    <mergeCell ref="N559:P560"/>
    <mergeCell ref="R559:T560"/>
    <mergeCell ref="V559:X560"/>
    <mergeCell ref="J553:L554"/>
    <mergeCell ref="N553:P554"/>
    <mergeCell ref="R553:T554"/>
    <mergeCell ref="V553:X554"/>
    <mergeCell ref="J555:L556"/>
    <mergeCell ref="N555:P556"/>
    <mergeCell ref="R555:T556"/>
    <mergeCell ref="V555:X556"/>
    <mergeCell ref="J549:L550"/>
    <mergeCell ref="N549:P550"/>
    <mergeCell ref="R549:T550"/>
    <mergeCell ref="V549:X550"/>
    <mergeCell ref="J551:L552"/>
    <mergeCell ref="N551:P552"/>
    <mergeCell ref="R551:T552"/>
    <mergeCell ref="V551:X552"/>
    <mergeCell ref="J545:L546"/>
    <mergeCell ref="N545:P546"/>
    <mergeCell ref="R545:T546"/>
    <mergeCell ref="V545:X546"/>
    <mergeCell ref="J547:L548"/>
    <mergeCell ref="N547:P548"/>
    <mergeCell ref="R547:T548"/>
    <mergeCell ref="V547:X548"/>
    <mergeCell ref="J541:L542"/>
    <mergeCell ref="N541:P542"/>
    <mergeCell ref="R541:T542"/>
    <mergeCell ref="V541:X542"/>
    <mergeCell ref="J543:L544"/>
    <mergeCell ref="N543:P544"/>
    <mergeCell ref="R543:T544"/>
    <mergeCell ref="V543:X544"/>
    <mergeCell ref="J537:L538"/>
    <mergeCell ref="N537:P538"/>
    <mergeCell ref="R537:T538"/>
    <mergeCell ref="V537:X538"/>
    <mergeCell ref="J539:L540"/>
    <mergeCell ref="N539:P540"/>
    <mergeCell ref="R539:T540"/>
    <mergeCell ref="V539:X540"/>
    <mergeCell ref="J533:L534"/>
    <mergeCell ref="N533:P534"/>
    <mergeCell ref="R533:T534"/>
    <mergeCell ref="V533:X534"/>
    <mergeCell ref="J535:L536"/>
    <mergeCell ref="N535:P536"/>
    <mergeCell ref="R535:T536"/>
    <mergeCell ref="V535:X536"/>
    <mergeCell ref="J529:L530"/>
    <mergeCell ref="N529:P530"/>
    <mergeCell ref="R529:T530"/>
    <mergeCell ref="V529:X530"/>
    <mergeCell ref="J531:L532"/>
    <mergeCell ref="N531:P532"/>
    <mergeCell ref="R531:T532"/>
    <mergeCell ref="V531:X532"/>
    <mergeCell ref="J525:L526"/>
    <mergeCell ref="N525:P526"/>
    <mergeCell ref="R525:T526"/>
    <mergeCell ref="V525:X526"/>
    <mergeCell ref="J527:L528"/>
    <mergeCell ref="N527:P528"/>
    <mergeCell ref="R527:T528"/>
    <mergeCell ref="V527:X528"/>
    <mergeCell ref="J521:L522"/>
    <mergeCell ref="N521:P522"/>
    <mergeCell ref="R521:T522"/>
    <mergeCell ref="V521:X522"/>
    <mergeCell ref="J523:L524"/>
    <mergeCell ref="N523:P524"/>
    <mergeCell ref="R523:T524"/>
    <mergeCell ref="V523:X524"/>
    <mergeCell ref="J517:L518"/>
    <mergeCell ref="N517:P518"/>
    <mergeCell ref="R517:T518"/>
    <mergeCell ref="V517:X518"/>
    <mergeCell ref="J519:L520"/>
    <mergeCell ref="N519:P520"/>
    <mergeCell ref="R519:T520"/>
    <mergeCell ref="V519:X520"/>
    <mergeCell ref="J513:L514"/>
    <mergeCell ref="N513:P514"/>
    <mergeCell ref="R513:T514"/>
    <mergeCell ref="V513:X514"/>
    <mergeCell ref="J515:L516"/>
    <mergeCell ref="N515:P516"/>
    <mergeCell ref="R515:T516"/>
    <mergeCell ref="V515:X516"/>
    <mergeCell ref="J509:L510"/>
    <mergeCell ref="N509:P510"/>
    <mergeCell ref="R509:T510"/>
    <mergeCell ref="V509:X510"/>
    <mergeCell ref="J511:L512"/>
    <mergeCell ref="N511:P512"/>
    <mergeCell ref="R511:T512"/>
    <mergeCell ref="V511:X512"/>
    <mergeCell ref="J505:L506"/>
    <mergeCell ref="N505:P506"/>
    <mergeCell ref="R505:T506"/>
    <mergeCell ref="V505:X506"/>
    <mergeCell ref="J507:L508"/>
    <mergeCell ref="N507:P508"/>
    <mergeCell ref="R507:T508"/>
    <mergeCell ref="V507:X508"/>
    <mergeCell ref="J501:L502"/>
    <mergeCell ref="N501:P502"/>
    <mergeCell ref="R501:T502"/>
    <mergeCell ref="V501:X502"/>
    <mergeCell ref="J503:L504"/>
    <mergeCell ref="N503:P504"/>
    <mergeCell ref="R503:T504"/>
    <mergeCell ref="V503:X504"/>
    <mergeCell ref="J497:L498"/>
    <mergeCell ref="N497:P498"/>
    <mergeCell ref="R497:T498"/>
    <mergeCell ref="V497:X498"/>
    <mergeCell ref="J499:L500"/>
    <mergeCell ref="N499:P500"/>
    <mergeCell ref="R499:T500"/>
    <mergeCell ref="V499:X500"/>
    <mergeCell ref="J493:L494"/>
    <mergeCell ref="N493:P494"/>
    <mergeCell ref="R493:T494"/>
    <mergeCell ref="V493:X494"/>
    <mergeCell ref="J495:L496"/>
    <mergeCell ref="N495:P496"/>
    <mergeCell ref="R495:T496"/>
    <mergeCell ref="V495:X496"/>
    <mergeCell ref="J489:L490"/>
    <mergeCell ref="N489:P490"/>
    <mergeCell ref="R489:T490"/>
    <mergeCell ref="V489:X490"/>
    <mergeCell ref="J491:L492"/>
    <mergeCell ref="N491:P492"/>
    <mergeCell ref="R491:T492"/>
    <mergeCell ref="V491:X492"/>
    <mergeCell ref="J485:L486"/>
    <mergeCell ref="N485:P486"/>
    <mergeCell ref="R485:T486"/>
    <mergeCell ref="V485:X486"/>
    <mergeCell ref="J487:L488"/>
    <mergeCell ref="N487:P488"/>
    <mergeCell ref="R487:T488"/>
    <mergeCell ref="V487:X488"/>
    <mergeCell ref="J481:L482"/>
    <mergeCell ref="N481:P482"/>
    <mergeCell ref="R481:T482"/>
    <mergeCell ref="V481:X482"/>
    <mergeCell ref="J483:L484"/>
    <mergeCell ref="N483:P484"/>
    <mergeCell ref="R483:T484"/>
    <mergeCell ref="V483:X484"/>
    <mergeCell ref="J477:L478"/>
    <mergeCell ref="N477:P478"/>
    <mergeCell ref="R477:T478"/>
    <mergeCell ref="V477:X478"/>
    <mergeCell ref="J479:L480"/>
    <mergeCell ref="N479:P480"/>
    <mergeCell ref="R479:T480"/>
    <mergeCell ref="V479:X480"/>
    <mergeCell ref="J473:L474"/>
    <mergeCell ref="N473:P474"/>
    <mergeCell ref="R473:T474"/>
    <mergeCell ref="V473:X474"/>
    <mergeCell ref="J475:L476"/>
    <mergeCell ref="N475:P476"/>
    <mergeCell ref="R475:T476"/>
    <mergeCell ref="V475:X476"/>
    <mergeCell ref="J469:L470"/>
    <mergeCell ref="N469:P470"/>
    <mergeCell ref="R469:T470"/>
    <mergeCell ref="V469:X470"/>
    <mergeCell ref="J471:L472"/>
    <mergeCell ref="N471:P472"/>
    <mergeCell ref="R471:T472"/>
    <mergeCell ref="V471:X472"/>
    <mergeCell ref="J465:L466"/>
    <mergeCell ref="N465:P466"/>
    <mergeCell ref="R465:T466"/>
    <mergeCell ref="V465:X466"/>
    <mergeCell ref="J467:L468"/>
    <mergeCell ref="N467:P468"/>
    <mergeCell ref="R467:T468"/>
    <mergeCell ref="V467:X468"/>
    <mergeCell ref="J461:L462"/>
    <mergeCell ref="N461:P462"/>
    <mergeCell ref="R461:T462"/>
    <mergeCell ref="V461:X462"/>
    <mergeCell ref="J463:L464"/>
    <mergeCell ref="N463:P464"/>
    <mergeCell ref="R463:T464"/>
    <mergeCell ref="V463:X464"/>
    <mergeCell ref="J457:L458"/>
    <mergeCell ref="N457:P458"/>
    <mergeCell ref="R457:T458"/>
    <mergeCell ref="V457:X458"/>
    <mergeCell ref="J459:L460"/>
    <mergeCell ref="N459:P460"/>
    <mergeCell ref="R459:T460"/>
    <mergeCell ref="V459:X460"/>
    <mergeCell ref="J453:L454"/>
    <mergeCell ref="N453:P454"/>
    <mergeCell ref="R453:T454"/>
    <mergeCell ref="V453:X454"/>
    <mergeCell ref="J455:L456"/>
    <mergeCell ref="N455:P456"/>
    <mergeCell ref="R455:T456"/>
    <mergeCell ref="V455:X456"/>
    <mergeCell ref="J449:L450"/>
    <mergeCell ref="N449:P450"/>
    <mergeCell ref="R449:T450"/>
    <mergeCell ref="V449:X450"/>
    <mergeCell ref="J451:L452"/>
    <mergeCell ref="N451:P452"/>
    <mergeCell ref="R451:T452"/>
    <mergeCell ref="V451:X452"/>
    <mergeCell ref="J445:L446"/>
    <mergeCell ref="N445:P446"/>
    <mergeCell ref="R445:T446"/>
    <mergeCell ref="V445:X446"/>
    <mergeCell ref="J447:L448"/>
    <mergeCell ref="N447:P448"/>
    <mergeCell ref="R447:T448"/>
    <mergeCell ref="V447:X448"/>
    <mergeCell ref="J441:L442"/>
    <mergeCell ref="N441:P442"/>
    <mergeCell ref="R441:T442"/>
    <mergeCell ref="V441:X442"/>
    <mergeCell ref="J443:L444"/>
    <mergeCell ref="N443:P444"/>
    <mergeCell ref="R443:T444"/>
    <mergeCell ref="V443:X444"/>
    <mergeCell ref="J437:L438"/>
    <mergeCell ref="N437:P438"/>
    <mergeCell ref="R437:T438"/>
    <mergeCell ref="V437:X438"/>
    <mergeCell ref="J439:L440"/>
    <mergeCell ref="N439:P440"/>
    <mergeCell ref="R439:T440"/>
    <mergeCell ref="V439:X440"/>
    <mergeCell ref="J433:L434"/>
    <mergeCell ref="N433:P434"/>
    <mergeCell ref="R433:T434"/>
    <mergeCell ref="V433:X434"/>
    <mergeCell ref="J435:L436"/>
    <mergeCell ref="N435:P436"/>
    <mergeCell ref="R435:T436"/>
    <mergeCell ref="V435:X436"/>
    <mergeCell ref="J429:L430"/>
    <mergeCell ref="N429:P430"/>
    <mergeCell ref="R429:T430"/>
    <mergeCell ref="V429:X430"/>
    <mergeCell ref="J431:L432"/>
    <mergeCell ref="N431:P432"/>
    <mergeCell ref="R431:T432"/>
    <mergeCell ref="V431:X432"/>
    <mergeCell ref="J425:L426"/>
    <mergeCell ref="N425:P426"/>
    <mergeCell ref="R425:T426"/>
    <mergeCell ref="V425:X426"/>
    <mergeCell ref="J427:L428"/>
    <mergeCell ref="N427:P428"/>
    <mergeCell ref="R427:T428"/>
    <mergeCell ref="V427:X428"/>
    <mergeCell ref="J421:L422"/>
    <mergeCell ref="N421:P422"/>
    <mergeCell ref="R421:T422"/>
    <mergeCell ref="V421:X422"/>
    <mergeCell ref="J423:L424"/>
    <mergeCell ref="N423:P424"/>
    <mergeCell ref="R423:T424"/>
    <mergeCell ref="V423:X424"/>
    <mergeCell ref="J417:L418"/>
    <mergeCell ref="N417:P418"/>
    <mergeCell ref="R417:T418"/>
    <mergeCell ref="V417:X418"/>
    <mergeCell ref="J419:L420"/>
    <mergeCell ref="N419:P420"/>
    <mergeCell ref="R419:T420"/>
    <mergeCell ref="V419:X420"/>
    <mergeCell ref="J413:L414"/>
    <mergeCell ref="N413:P414"/>
    <mergeCell ref="R413:T414"/>
    <mergeCell ref="V413:X414"/>
    <mergeCell ref="J415:L416"/>
    <mergeCell ref="N415:P416"/>
    <mergeCell ref="R415:T416"/>
    <mergeCell ref="V415:X416"/>
    <mergeCell ref="J409:L410"/>
    <mergeCell ref="N409:P410"/>
    <mergeCell ref="R409:T410"/>
    <mergeCell ref="V409:X410"/>
    <mergeCell ref="J411:L412"/>
    <mergeCell ref="N411:P412"/>
    <mergeCell ref="R411:T412"/>
    <mergeCell ref="V411:X412"/>
    <mergeCell ref="J405:L406"/>
    <mergeCell ref="N405:P406"/>
    <mergeCell ref="R405:T406"/>
    <mergeCell ref="V405:X406"/>
    <mergeCell ref="J407:L408"/>
    <mergeCell ref="N407:P408"/>
    <mergeCell ref="R407:T408"/>
    <mergeCell ref="V407:X408"/>
    <mergeCell ref="J401:L402"/>
    <mergeCell ref="N401:P402"/>
    <mergeCell ref="R401:T402"/>
    <mergeCell ref="V401:X402"/>
    <mergeCell ref="J403:L404"/>
    <mergeCell ref="N403:P404"/>
    <mergeCell ref="R403:T404"/>
    <mergeCell ref="V403:X404"/>
    <mergeCell ref="J397:L398"/>
    <mergeCell ref="N397:P398"/>
    <mergeCell ref="R397:T398"/>
    <mergeCell ref="V397:X398"/>
    <mergeCell ref="J399:L400"/>
    <mergeCell ref="N399:P400"/>
    <mergeCell ref="R399:T400"/>
    <mergeCell ref="V399:X400"/>
    <mergeCell ref="J393:L394"/>
    <mergeCell ref="N393:P394"/>
    <mergeCell ref="R393:T394"/>
    <mergeCell ref="V393:X394"/>
    <mergeCell ref="J395:L396"/>
    <mergeCell ref="N395:P396"/>
    <mergeCell ref="R395:T396"/>
    <mergeCell ref="V395:X396"/>
    <mergeCell ref="J389:L390"/>
    <mergeCell ref="N389:P390"/>
    <mergeCell ref="R389:T390"/>
    <mergeCell ref="V389:X390"/>
    <mergeCell ref="J391:L392"/>
    <mergeCell ref="N391:P392"/>
    <mergeCell ref="R391:T392"/>
    <mergeCell ref="V391:X392"/>
    <mergeCell ref="J385:L386"/>
    <mergeCell ref="N385:P386"/>
    <mergeCell ref="R385:T386"/>
    <mergeCell ref="V385:X386"/>
    <mergeCell ref="J387:L388"/>
    <mergeCell ref="N387:P388"/>
    <mergeCell ref="R387:T388"/>
    <mergeCell ref="V387:X388"/>
    <mergeCell ref="J381:L382"/>
    <mergeCell ref="N381:P382"/>
    <mergeCell ref="R381:T382"/>
    <mergeCell ref="V381:X382"/>
    <mergeCell ref="J383:L384"/>
    <mergeCell ref="N383:P384"/>
    <mergeCell ref="R383:T384"/>
    <mergeCell ref="V383:X384"/>
    <mergeCell ref="J377:L378"/>
    <mergeCell ref="N377:P378"/>
    <mergeCell ref="R377:T378"/>
    <mergeCell ref="V377:X378"/>
    <mergeCell ref="J379:L380"/>
    <mergeCell ref="N379:P380"/>
    <mergeCell ref="R379:T380"/>
    <mergeCell ref="V379:X380"/>
    <mergeCell ref="J373:L374"/>
    <mergeCell ref="N373:P374"/>
    <mergeCell ref="R373:T374"/>
    <mergeCell ref="V373:X374"/>
    <mergeCell ref="J375:L376"/>
    <mergeCell ref="N375:P376"/>
    <mergeCell ref="R375:T376"/>
    <mergeCell ref="V375:X376"/>
    <mergeCell ref="J369:L370"/>
    <mergeCell ref="N369:P370"/>
    <mergeCell ref="R369:T370"/>
    <mergeCell ref="V369:X370"/>
    <mergeCell ref="J371:L372"/>
    <mergeCell ref="N371:P372"/>
    <mergeCell ref="R371:T372"/>
    <mergeCell ref="V371:X372"/>
    <mergeCell ref="J365:L366"/>
    <mergeCell ref="N365:P366"/>
    <mergeCell ref="R365:T366"/>
    <mergeCell ref="V365:X366"/>
    <mergeCell ref="J367:L368"/>
    <mergeCell ref="N367:P368"/>
    <mergeCell ref="R367:T368"/>
    <mergeCell ref="V367:X368"/>
    <mergeCell ref="J361:L362"/>
    <mergeCell ref="N361:P362"/>
    <mergeCell ref="R361:T362"/>
    <mergeCell ref="V361:X362"/>
    <mergeCell ref="J363:L364"/>
    <mergeCell ref="N363:P364"/>
    <mergeCell ref="R363:T364"/>
    <mergeCell ref="V363:X364"/>
    <mergeCell ref="J357:L358"/>
    <mergeCell ref="N357:P358"/>
    <mergeCell ref="R357:T358"/>
    <mergeCell ref="V357:X358"/>
    <mergeCell ref="J359:L360"/>
    <mergeCell ref="N359:P360"/>
    <mergeCell ref="R359:T360"/>
    <mergeCell ref="V359:X360"/>
    <mergeCell ref="J353:L354"/>
    <mergeCell ref="N353:P354"/>
    <mergeCell ref="R353:T354"/>
    <mergeCell ref="V353:X354"/>
    <mergeCell ref="J355:L356"/>
    <mergeCell ref="N355:P356"/>
    <mergeCell ref="R355:T356"/>
    <mergeCell ref="V355:X356"/>
    <mergeCell ref="J349:L350"/>
    <mergeCell ref="N349:P350"/>
    <mergeCell ref="R349:T350"/>
    <mergeCell ref="V349:X350"/>
    <mergeCell ref="J351:L352"/>
    <mergeCell ref="N351:P352"/>
    <mergeCell ref="R351:T352"/>
    <mergeCell ref="V351:X352"/>
    <mergeCell ref="J345:L346"/>
    <mergeCell ref="N345:P346"/>
    <mergeCell ref="R345:T346"/>
    <mergeCell ref="V345:X346"/>
    <mergeCell ref="J347:L348"/>
    <mergeCell ref="N347:P348"/>
    <mergeCell ref="R347:T348"/>
    <mergeCell ref="V347:X348"/>
    <mergeCell ref="J341:L342"/>
    <mergeCell ref="N341:P342"/>
    <mergeCell ref="R341:T342"/>
    <mergeCell ref="V341:X342"/>
    <mergeCell ref="J343:L344"/>
    <mergeCell ref="N343:P344"/>
    <mergeCell ref="R343:T344"/>
    <mergeCell ref="V343:X344"/>
    <mergeCell ref="J337:L338"/>
    <mergeCell ref="N337:P338"/>
    <mergeCell ref="R337:T338"/>
    <mergeCell ref="V337:X338"/>
    <mergeCell ref="J339:L340"/>
    <mergeCell ref="N339:P340"/>
    <mergeCell ref="R339:T340"/>
    <mergeCell ref="V339:X340"/>
    <mergeCell ref="J333:L334"/>
    <mergeCell ref="N333:P334"/>
    <mergeCell ref="R333:T334"/>
    <mergeCell ref="V333:X334"/>
    <mergeCell ref="J335:L336"/>
    <mergeCell ref="N335:P336"/>
    <mergeCell ref="R335:T336"/>
    <mergeCell ref="V335:X336"/>
    <mergeCell ref="J329:L330"/>
    <mergeCell ref="N329:P330"/>
    <mergeCell ref="R329:T330"/>
    <mergeCell ref="V329:X330"/>
    <mergeCell ref="J331:L332"/>
    <mergeCell ref="N331:P332"/>
    <mergeCell ref="R331:T332"/>
    <mergeCell ref="V331:X332"/>
    <mergeCell ref="J325:L326"/>
    <mergeCell ref="N325:P326"/>
    <mergeCell ref="R325:T326"/>
    <mergeCell ref="V325:X326"/>
    <mergeCell ref="J327:L328"/>
    <mergeCell ref="N327:P328"/>
    <mergeCell ref="R327:T328"/>
    <mergeCell ref="V327:X328"/>
    <mergeCell ref="J321:L322"/>
    <mergeCell ref="N321:P322"/>
    <mergeCell ref="R321:T322"/>
    <mergeCell ref="V321:X322"/>
    <mergeCell ref="J323:L324"/>
    <mergeCell ref="N323:P324"/>
    <mergeCell ref="R323:T324"/>
    <mergeCell ref="V323:X324"/>
    <mergeCell ref="J317:L318"/>
    <mergeCell ref="N317:P318"/>
    <mergeCell ref="R317:T318"/>
    <mergeCell ref="V317:X318"/>
    <mergeCell ref="J319:L320"/>
    <mergeCell ref="N319:P320"/>
    <mergeCell ref="R319:T320"/>
    <mergeCell ref="V319:X320"/>
    <mergeCell ref="J313:L314"/>
    <mergeCell ref="N313:P314"/>
    <mergeCell ref="R313:T314"/>
    <mergeCell ref="V313:X314"/>
    <mergeCell ref="J315:L316"/>
    <mergeCell ref="N315:P316"/>
    <mergeCell ref="R315:T316"/>
    <mergeCell ref="V315:X316"/>
    <mergeCell ref="J309:L310"/>
    <mergeCell ref="N309:P310"/>
    <mergeCell ref="R309:T310"/>
    <mergeCell ref="V309:X310"/>
    <mergeCell ref="J311:L312"/>
    <mergeCell ref="N311:P312"/>
    <mergeCell ref="R311:T312"/>
    <mergeCell ref="V311:X312"/>
    <mergeCell ref="J305:L306"/>
    <mergeCell ref="N305:P306"/>
    <mergeCell ref="R305:T306"/>
    <mergeCell ref="V305:X306"/>
    <mergeCell ref="J307:L308"/>
    <mergeCell ref="N307:P308"/>
    <mergeCell ref="R307:T308"/>
    <mergeCell ref="V307:X308"/>
    <mergeCell ref="J301:L302"/>
    <mergeCell ref="N301:P302"/>
    <mergeCell ref="R301:T302"/>
    <mergeCell ref="V301:X302"/>
    <mergeCell ref="J303:L304"/>
    <mergeCell ref="N303:P304"/>
    <mergeCell ref="R303:T304"/>
    <mergeCell ref="V303:X304"/>
    <mergeCell ref="J297:L298"/>
    <mergeCell ref="N297:P298"/>
    <mergeCell ref="R297:T298"/>
    <mergeCell ref="V297:X298"/>
    <mergeCell ref="J299:L300"/>
    <mergeCell ref="N299:P300"/>
    <mergeCell ref="R299:T300"/>
    <mergeCell ref="V299:X300"/>
    <mergeCell ref="J293:L294"/>
    <mergeCell ref="N293:P294"/>
    <mergeCell ref="R293:T294"/>
    <mergeCell ref="V293:X294"/>
    <mergeCell ref="J295:L296"/>
    <mergeCell ref="N295:P296"/>
    <mergeCell ref="R295:T296"/>
    <mergeCell ref="V295:X296"/>
    <mergeCell ref="J289:L290"/>
    <mergeCell ref="N289:P290"/>
    <mergeCell ref="R289:T290"/>
    <mergeCell ref="V289:X290"/>
    <mergeCell ref="J291:L292"/>
    <mergeCell ref="N291:P292"/>
    <mergeCell ref="R291:T292"/>
    <mergeCell ref="V291:X292"/>
    <mergeCell ref="J285:L286"/>
    <mergeCell ref="N285:P286"/>
    <mergeCell ref="R285:T286"/>
    <mergeCell ref="V285:X286"/>
    <mergeCell ref="J287:L288"/>
    <mergeCell ref="N287:P288"/>
    <mergeCell ref="R287:T288"/>
    <mergeCell ref="V287:X288"/>
    <mergeCell ref="J281:L282"/>
    <mergeCell ref="N281:P282"/>
    <mergeCell ref="R281:T282"/>
    <mergeCell ref="V281:X282"/>
    <mergeCell ref="J283:L284"/>
    <mergeCell ref="N283:P284"/>
    <mergeCell ref="R283:T284"/>
    <mergeCell ref="V283:X284"/>
    <mergeCell ref="J277:L278"/>
    <mergeCell ref="N277:P278"/>
    <mergeCell ref="R277:T278"/>
    <mergeCell ref="V277:X278"/>
    <mergeCell ref="J279:L280"/>
    <mergeCell ref="N279:P280"/>
    <mergeCell ref="R279:T280"/>
    <mergeCell ref="V279:X280"/>
    <mergeCell ref="J273:L274"/>
    <mergeCell ref="N273:P274"/>
    <mergeCell ref="R273:T274"/>
    <mergeCell ref="V273:X274"/>
    <mergeCell ref="J275:L276"/>
    <mergeCell ref="N275:P276"/>
    <mergeCell ref="R275:T276"/>
    <mergeCell ref="V275:X276"/>
    <mergeCell ref="J269:L270"/>
    <mergeCell ref="N269:P270"/>
    <mergeCell ref="R269:T270"/>
    <mergeCell ref="V269:X270"/>
    <mergeCell ref="J271:L272"/>
    <mergeCell ref="N271:P272"/>
    <mergeCell ref="R271:T272"/>
    <mergeCell ref="V271:X272"/>
    <mergeCell ref="J265:L266"/>
    <mergeCell ref="N265:P266"/>
    <mergeCell ref="R265:T266"/>
    <mergeCell ref="V265:X266"/>
    <mergeCell ref="J267:L268"/>
    <mergeCell ref="N267:P268"/>
    <mergeCell ref="R267:T268"/>
    <mergeCell ref="V267:X268"/>
    <mergeCell ref="J261:L262"/>
    <mergeCell ref="N261:P262"/>
    <mergeCell ref="R261:T262"/>
    <mergeCell ref="V261:X262"/>
    <mergeCell ref="J263:L264"/>
    <mergeCell ref="N263:P264"/>
    <mergeCell ref="R263:T264"/>
    <mergeCell ref="V263:X264"/>
    <mergeCell ref="J257:L258"/>
    <mergeCell ref="N257:P258"/>
    <mergeCell ref="R257:T258"/>
    <mergeCell ref="V257:X258"/>
    <mergeCell ref="J259:L260"/>
    <mergeCell ref="N259:P260"/>
    <mergeCell ref="R259:T260"/>
    <mergeCell ref="V259:X260"/>
    <mergeCell ref="J253:L254"/>
    <mergeCell ref="N253:P254"/>
    <mergeCell ref="R253:T254"/>
    <mergeCell ref="V253:X254"/>
    <mergeCell ref="J255:L256"/>
    <mergeCell ref="N255:P256"/>
    <mergeCell ref="R255:T256"/>
    <mergeCell ref="V255:X256"/>
    <mergeCell ref="J249:L250"/>
    <mergeCell ref="N249:P250"/>
    <mergeCell ref="R249:T250"/>
    <mergeCell ref="V249:X250"/>
    <mergeCell ref="J251:L252"/>
    <mergeCell ref="N251:P252"/>
    <mergeCell ref="R251:T252"/>
    <mergeCell ref="V251:X252"/>
    <mergeCell ref="J245:L246"/>
    <mergeCell ref="N245:P246"/>
    <mergeCell ref="R245:T246"/>
    <mergeCell ref="V245:X246"/>
    <mergeCell ref="J247:L248"/>
    <mergeCell ref="N247:P248"/>
    <mergeCell ref="R247:T248"/>
    <mergeCell ref="V247:X248"/>
    <mergeCell ref="J241:L242"/>
    <mergeCell ref="N241:P242"/>
    <mergeCell ref="R241:T242"/>
    <mergeCell ref="V241:X242"/>
    <mergeCell ref="J243:L244"/>
    <mergeCell ref="N243:P244"/>
    <mergeCell ref="R243:T244"/>
    <mergeCell ref="V243:X244"/>
    <mergeCell ref="J237:L238"/>
    <mergeCell ref="N237:P238"/>
    <mergeCell ref="R237:T238"/>
    <mergeCell ref="V237:X238"/>
    <mergeCell ref="J239:L240"/>
    <mergeCell ref="N239:P240"/>
    <mergeCell ref="R239:T240"/>
    <mergeCell ref="V239:X240"/>
    <mergeCell ref="J233:L234"/>
    <mergeCell ref="N233:P234"/>
    <mergeCell ref="R233:T234"/>
    <mergeCell ref="V233:X234"/>
    <mergeCell ref="J235:L236"/>
    <mergeCell ref="N235:P236"/>
    <mergeCell ref="R235:T236"/>
    <mergeCell ref="V235:X236"/>
    <mergeCell ref="J229:L230"/>
    <mergeCell ref="N229:P230"/>
    <mergeCell ref="R229:T230"/>
    <mergeCell ref="V229:X230"/>
    <mergeCell ref="J231:L232"/>
    <mergeCell ref="N231:P232"/>
    <mergeCell ref="R231:T232"/>
    <mergeCell ref="V231:X232"/>
    <mergeCell ref="J225:L226"/>
    <mergeCell ref="N225:P226"/>
    <mergeCell ref="R225:T226"/>
    <mergeCell ref="V225:X226"/>
    <mergeCell ref="J227:L228"/>
    <mergeCell ref="N227:P228"/>
    <mergeCell ref="R227:T228"/>
    <mergeCell ref="V227:X228"/>
    <mergeCell ref="J221:L222"/>
    <mergeCell ref="N221:P222"/>
    <mergeCell ref="R221:T222"/>
    <mergeCell ref="V221:X222"/>
    <mergeCell ref="J223:L224"/>
    <mergeCell ref="N223:P224"/>
    <mergeCell ref="R223:T224"/>
    <mergeCell ref="V223:X224"/>
    <mergeCell ref="J217:L218"/>
    <mergeCell ref="N217:P218"/>
    <mergeCell ref="R217:T218"/>
    <mergeCell ref="V217:X218"/>
    <mergeCell ref="J219:L220"/>
    <mergeCell ref="N219:P220"/>
    <mergeCell ref="R219:T220"/>
    <mergeCell ref="V219:X220"/>
    <mergeCell ref="J213:L214"/>
    <mergeCell ref="N213:P214"/>
    <mergeCell ref="R213:T214"/>
    <mergeCell ref="V213:X214"/>
    <mergeCell ref="J215:L216"/>
    <mergeCell ref="N215:P216"/>
    <mergeCell ref="R215:T216"/>
    <mergeCell ref="V215:X216"/>
    <mergeCell ref="J209:L210"/>
    <mergeCell ref="N209:P210"/>
    <mergeCell ref="R209:T210"/>
    <mergeCell ref="V209:X210"/>
    <mergeCell ref="J211:L212"/>
    <mergeCell ref="N211:P212"/>
    <mergeCell ref="R211:T212"/>
    <mergeCell ref="V211:X212"/>
    <mergeCell ref="J205:L206"/>
    <mergeCell ref="N205:P206"/>
    <mergeCell ref="R205:T206"/>
    <mergeCell ref="V205:X206"/>
    <mergeCell ref="J207:L208"/>
    <mergeCell ref="N207:P208"/>
    <mergeCell ref="R207:T208"/>
    <mergeCell ref="V207:X208"/>
    <mergeCell ref="J201:L202"/>
    <mergeCell ref="N201:P202"/>
    <mergeCell ref="R201:T202"/>
    <mergeCell ref="V201:X202"/>
    <mergeCell ref="J203:L204"/>
    <mergeCell ref="N203:P204"/>
    <mergeCell ref="R203:T204"/>
    <mergeCell ref="V203:X204"/>
    <mergeCell ref="J197:L198"/>
    <mergeCell ref="N197:P198"/>
    <mergeCell ref="R197:T198"/>
    <mergeCell ref="V197:X198"/>
    <mergeCell ref="J199:L200"/>
    <mergeCell ref="N199:P200"/>
    <mergeCell ref="R199:T200"/>
    <mergeCell ref="V199:X200"/>
    <mergeCell ref="J193:L194"/>
    <mergeCell ref="N193:P194"/>
    <mergeCell ref="R193:T194"/>
    <mergeCell ref="V193:X194"/>
    <mergeCell ref="J195:L196"/>
    <mergeCell ref="N195:P196"/>
    <mergeCell ref="R195:T196"/>
    <mergeCell ref="V195:X196"/>
    <mergeCell ref="J189:L190"/>
    <mergeCell ref="N189:P190"/>
    <mergeCell ref="R189:T190"/>
    <mergeCell ref="V189:X190"/>
    <mergeCell ref="J191:L192"/>
    <mergeCell ref="N191:P192"/>
    <mergeCell ref="R191:T192"/>
    <mergeCell ref="V191:X192"/>
    <mergeCell ref="J185:L186"/>
    <mergeCell ref="N185:P186"/>
    <mergeCell ref="R185:T186"/>
    <mergeCell ref="V185:X186"/>
    <mergeCell ref="J187:L188"/>
    <mergeCell ref="N187:P188"/>
    <mergeCell ref="R187:T188"/>
    <mergeCell ref="V187:X188"/>
    <mergeCell ref="J181:L182"/>
    <mergeCell ref="N181:P182"/>
    <mergeCell ref="R181:T182"/>
    <mergeCell ref="V181:X182"/>
    <mergeCell ref="J183:L184"/>
    <mergeCell ref="N183:P184"/>
    <mergeCell ref="R183:T184"/>
    <mergeCell ref="V183:X184"/>
    <mergeCell ref="J177:L178"/>
    <mergeCell ref="N177:P178"/>
    <mergeCell ref="R177:T178"/>
    <mergeCell ref="V177:X178"/>
    <mergeCell ref="J179:L180"/>
    <mergeCell ref="N179:P180"/>
    <mergeCell ref="R179:T180"/>
    <mergeCell ref="V179:X180"/>
    <mergeCell ref="J173:L174"/>
    <mergeCell ref="N173:P174"/>
    <mergeCell ref="R173:T174"/>
    <mergeCell ref="V173:X174"/>
    <mergeCell ref="J175:L176"/>
    <mergeCell ref="N175:P176"/>
    <mergeCell ref="R175:T176"/>
    <mergeCell ref="V175:X176"/>
    <mergeCell ref="J169:L170"/>
    <mergeCell ref="N169:P170"/>
    <mergeCell ref="R169:T170"/>
    <mergeCell ref="V169:X170"/>
    <mergeCell ref="J171:L172"/>
    <mergeCell ref="N171:P172"/>
    <mergeCell ref="R171:T172"/>
    <mergeCell ref="V171:X172"/>
    <mergeCell ref="J165:L166"/>
    <mergeCell ref="N165:P166"/>
    <mergeCell ref="R165:T166"/>
    <mergeCell ref="V165:X166"/>
    <mergeCell ref="J167:L168"/>
    <mergeCell ref="N167:P168"/>
    <mergeCell ref="R167:T168"/>
    <mergeCell ref="V167:X168"/>
    <mergeCell ref="J161:L162"/>
    <mergeCell ref="N161:P162"/>
    <mergeCell ref="R161:T162"/>
    <mergeCell ref="V161:X162"/>
    <mergeCell ref="J163:L164"/>
    <mergeCell ref="N163:P164"/>
    <mergeCell ref="R163:T164"/>
    <mergeCell ref="V163:X164"/>
    <mergeCell ref="J157:L158"/>
    <mergeCell ref="N157:P158"/>
    <mergeCell ref="R157:T158"/>
    <mergeCell ref="V157:X158"/>
    <mergeCell ref="J159:L160"/>
    <mergeCell ref="N159:P160"/>
    <mergeCell ref="R159:T160"/>
    <mergeCell ref="V159:X160"/>
    <mergeCell ref="J153:L154"/>
    <mergeCell ref="N153:P154"/>
    <mergeCell ref="R153:T154"/>
    <mergeCell ref="V153:X154"/>
    <mergeCell ref="J155:L156"/>
    <mergeCell ref="N155:P156"/>
    <mergeCell ref="R155:T156"/>
    <mergeCell ref="V155:X156"/>
    <mergeCell ref="J149:L150"/>
    <mergeCell ref="N149:P150"/>
    <mergeCell ref="R149:T150"/>
    <mergeCell ref="V149:X150"/>
    <mergeCell ref="J151:L152"/>
    <mergeCell ref="N151:P152"/>
    <mergeCell ref="R151:T152"/>
    <mergeCell ref="V151:X152"/>
    <mergeCell ref="J145:L146"/>
    <mergeCell ref="N145:P146"/>
    <mergeCell ref="R145:T146"/>
    <mergeCell ref="V145:X146"/>
    <mergeCell ref="J147:L148"/>
    <mergeCell ref="N147:P148"/>
    <mergeCell ref="R147:T148"/>
    <mergeCell ref="V147:X148"/>
    <mergeCell ref="J141:L142"/>
    <mergeCell ref="N141:P142"/>
    <mergeCell ref="R141:T142"/>
    <mergeCell ref="V141:X142"/>
    <mergeCell ref="J143:L144"/>
    <mergeCell ref="N143:P144"/>
    <mergeCell ref="R143:T144"/>
    <mergeCell ref="V143:X144"/>
    <mergeCell ref="J137:L138"/>
    <mergeCell ref="N137:P138"/>
    <mergeCell ref="R137:T138"/>
    <mergeCell ref="V137:X138"/>
    <mergeCell ref="J139:L140"/>
    <mergeCell ref="N139:P140"/>
    <mergeCell ref="R139:T140"/>
    <mergeCell ref="V139:X140"/>
    <mergeCell ref="J133:L134"/>
    <mergeCell ref="N133:P134"/>
    <mergeCell ref="R133:T134"/>
    <mergeCell ref="V133:X134"/>
    <mergeCell ref="J135:L136"/>
    <mergeCell ref="N135:P136"/>
    <mergeCell ref="R135:T136"/>
    <mergeCell ref="V135:X136"/>
    <mergeCell ref="J129:L130"/>
    <mergeCell ref="N129:P130"/>
    <mergeCell ref="R129:T130"/>
    <mergeCell ref="V129:X130"/>
    <mergeCell ref="J131:L132"/>
    <mergeCell ref="N131:P132"/>
    <mergeCell ref="R131:T132"/>
    <mergeCell ref="V131:X132"/>
    <mergeCell ref="J125:L126"/>
    <mergeCell ref="N125:P126"/>
    <mergeCell ref="R125:T126"/>
    <mergeCell ref="V125:X126"/>
    <mergeCell ref="J127:L128"/>
    <mergeCell ref="N127:P128"/>
    <mergeCell ref="R127:T128"/>
    <mergeCell ref="V127:X128"/>
    <mergeCell ref="J121:L122"/>
    <mergeCell ref="N121:P122"/>
    <mergeCell ref="R121:T122"/>
    <mergeCell ref="V121:X122"/>
    <mergeCell ref="J123:L124"/>
    <mergeCell ref="N123:P124"/>
    <mergeCell ref="R123:T124"/>
    <mergeCell ref="V123:X124"/>
    <mergeCell ref="J117:L118"/>
    <mergeCell ref="N117:P118"/>
    <mergeCell ref="R117:T118"/>
    <mergeCell ref="V117:X118"/>
    <mergeCell ref="J119:L120"/>
    <mergeCell ref="N119:P120"/>
    <mergeCell ref="R119:T120"/>
    <mergeCell ref="V119:X120"/>
    <mergeCell ref="J113:L114"/>
    <mergeCell ref="N113:P114"/>
    <mergeCell ref="R113:T114"/>
    <mergeCell ref="V113:X114"/>
    <mergeCell ref="J115:L116"/>
    <mergeCell ref="N115:P116"/>
    <mergeCell ref="R115:T116"/>
    <mergeCell ref="V115:X116"/>
    <mergeCell ref="J109:L110"/>
    <mergeCell ref="N109:P110"/>
    <mergeCell ref="R109:T110"/>
    <mergeCell ref="V109:X110"/>
    <mergeCell ref="J111:L112"/>
    <mergeCell ref="N111:P112"/>
    <mergeCell ref="R111:T112"/>
    <mergeCell ref="V111:X112"/>
    <mergeCell ref="J105:L106"/>
    <mergeCell ref="N105:P106"/>
    <mergeCell ref="R105:T106"/>
    <mergeCell ref="V105:X106"/>
    <mergeCell ref="J107:L108"/>
    <mergeCell ref="N107:P108"/>
    <mergeCell ref="R107:T108"/>
    <mergeCell ref="V107:X108"/>
    <mergeCell ref="J101:L102"/>
    <mergeCell ref="N101:P102"/>
    <mergeCell ref="R101:T102"/>
    <mergeCell ref="V101:X102"/>
    <mergeCell ref="J103:L104"/>
    <mergeCell ref="N103:P104"/>
    <mergeCell ref="R103:T104"/>
    <mergeCell ref="V103:X104"/>
    <mergeCell ref="J97:L98"/>
    <mergeCell ref="N97:P98"/>
    <mergeCell ref="R97:T98"/>
    <mergeCell ref="V97:X98"/>
    <mergeCell ref="J99:L100"/>
    <mergeCell ref="N99:P100"/>
    <mergeCell ref="R99:T100"/>
    <mergeCell ref="V99:X100"/>
    <mergeCell ref="J93:L94"/>
    <mergeCell ref="N93:P94"/>
    <mergeCell ref="R93:T94"/>
    <mergeCell ref="V93:X94"/>
    <mergeCell ref="J95:L96"/>
    <mergeCell ref="N95:P96"/>
    <mergeCell ref="R95:T96"/>
    <mergeCell ref="V95:X96"/>
    <mergeCell ref="J89:L90"/>
    <mergeCell ref="N89:P90"/>
    <mergeCell ref="R89:T90"/>
    <mergeCell ref="V89:X90"/>
    <mergeCell ref="J91:L92"/>
    <mergeCell ref="N91:P92"/>
    <mergeCell ref="R91:T92"/>
    <mergeCell ref="V91:X92"/>
    <mergeCell ref="J85:L86"/>
    <mergeCell ref="N85:P86"/>
    <mergeCell ref="R85:T86"/>
    <mergeCell ref="V85:X86"/>
    <mergeCell ref="J87:L88"/>
    <mergeCell ref="N87:P88"/>
    <mergeCell ref="R87:T88"/>
    <mergeCell ref="V87:X88"/>
    <mergeCell ref="J81:L82"/>
    <mergeCell ref="N81:P82"/>
    <mergeCell ref="R81:T82"/>
    <mergeCell ref="V81:X82"/>
    <mergeCell ref="J83:L84"/>
    <mergeCell ref="N83:P84"/>
    <mergeCell ref="R83:T84"/>
    <mergeCell ref="V83:X84"/>
    <mergeCell ref="J77:L78"/>
    <mergeCell ref="N77:P78"/>
    <mergeCell ref="R77:T78"/>
    <mergeCell ref="V77:X78"/>
    <mergeCell ref="J79:L80"/>
    <mergeCell ref="N79:P80"/>
    <mergeCell ref="R79:T80"/>
    <mergeCell ref="V79:X80"/>
    <mergeCell ref="J73:L74"/>
    <mergeCell ref="N73:P74"/>
    <mergeCell ref="R73:T74"/>
    <mergeCell ref="V73:X74"/>
    <mergeCell ref="J75:L76"/>
    <mergeCell ref="N75:P76"/>
    <mergeCell ref="R75:T76"/>
    <mergeCell ref="V75:X76"/>
    <mergeCell ref="J69:L70"/>
    <mergeCell ref="N69:P70"/>
    <mergeCell ref="R69:T70"/>
    <mergeCell ref="V69:X70"/>
    <mergeCell ref="J71:L72"/>
    <mergeCell ref="N71:P72"/>
    <mergeCell ref="R71:T72"/>
    <mergeCell ref="V71:X72"/>
    <mergeCell ref="J65:L66"/>
    <mergeCell ref="N65:P66"/>
    <mergeCell ref="R65:T66"/>
    <mergeCell ref="V65:X66"/>
    <mergeCell ref="J67:L68"/>
    <mergeCell ref="N67:P68"/>
    <mergeCell ref="R67:T68"/>
    <mergeCell ref="V67:X68"/>
    <mergeCell ref="J61:L62"/>
    <mergeCell ref="N61:P62"/>
    <mergeCell ref="R61:T62"/>
    <mergeCell ref="V61:X62"/>
    <mergeCell ref="J63:L64"/>
    <mergeCell ref="N63:P64"/>
    <mergeCell ref="R63:T64"/>
    <mergeCell ref="V63:X64"/>
    <mergeCell ref="J57:L58"/>
    <mergeCell ref="N57:P58"/>
    <mergeCell ref="R57:T58"/>
    <mergeCell ref="V57:X58"/>
    <mergeCell ref="J59:L60"/>
    <mergeCell ref="N59:P60"/>
    <mergeCell ref="R59:T60"/>
    <mergeCell ref="V59:X60"/>
    <mergeCell ref="J53:L54"/>
    <mergeCell ref="N53:P54"/>
    <mergeCell ref="R53:T54"/>
    <mergeCell ref="V53:X54"/>
    <mergeCell ref="J55:L56"/>
    <mergeCell ref="N55:P56"/>
    <mergeCell ref="R55:T56"/>
    <mergeCell ref="V55:X56"/>
    <mergeCell ref="J49:L50"/>
    <mergeCell ref="N49:P50"/>
    <mergeCell ref="R49:T50"/>
    <mergeCell ref="V49:X50"/>
    <mergeCell ref="J51:L52"/>
    <mergeCell ref="N51:P52"/>
    <mergeCell ref="R51:T52"/>
    <mergeCell ref="V51:X52"/>
    <mergeCell ref="J45:L46"/>
    <mergeCell ref="N45:P46"/>
    <mergeCell ref="R45:T46"/>
    <mergeCell ref="V45:X46"/>
    <mergeCell ref="J47:L48"/>
    <mergeCell ref="N47:P48"/>
    <mergeCell ref="R47:T48"/>
    <mergeCell ref="V47:X48"/>
    <mergeCell ref="J41:L42"/>
    <mergeCell ref="N41:P42"/>
    <mergeCell ref="R41:T42"/>
    <mergeCell ref="V41:X42"/>
    <mergeCell ref="J43:L44"/>
    <mergeCell ref="N43:P44"/>
    <mergeCell ref="R43:T44"/>
    <mergeCell ref="V43:X44"/>
    <mergeCell ref="J37:L38"/>
    <mergeCell ref="N37:P38"/>
    <mergeCell ref="R37:T38"/>
    <mergeCell ref="V37:X38"/>
    <mergeCell ref="J39:L40"/>
    <mergeCell ref="N39:P40"/>
    <mergeCell ref="R39:T40"/>
    <mergeCell ref="V39:X40"/>
    <mergeCell ref="J33:L34"/>
    <mergeCell ref="N33:P34"/>
    <mergeCell ref="R33:T34"/>
    <mergeCell ref="V33:X34"/>
    <mergeCell ref="J35:L36"/>
    <mergeCell ref="N35:P36"/>
    <mergeCell ref="R35:T36"/>
    <mergeCell ref="V35:X36"/>
    <mergeCell ref="V27:X28"/>
    <mergeCell ref="J29:L30"/>
    <mergeCell ref="N29:P30"/>
    <mergeCell ref="R29:T30"/>
    <mergeCell ref="V29:X30"/>
    <mergeCell ref="J31:L32"/>
    <mergeCell ref="N31:P32"/>
    <mergeCell ref="R31:T32"/>
    <mergeCell ref="V31:X32"/>
    <mergeCell ref="E21:AC21"/>
    <mergeCell ref="I23:Y23"/>
    <mergeCell ref="J24:X26"/>
    <mergeCell ref="J27:L28"/>
    <mergeCell ref="N27:P28"/>
    <mergeCell ref="R27:T28"/>
    <mergeCell ref="F18:H20"/>
    <mergeCell ref="J18:L20"/>
    <mergeCell ref="N18:P20"/>
    <mergeCell ref="R18:T20"/>
    <mergeCell ref="V18:X20"/>
    <mergeCell ref="Z18:AB20"/>
    <mergeCell ref="Z10:AB12"/>
    <mergeCell ref="F14:H16"/>
    <mergeCell ref="J14:L16"/>
    <mergeCell ref="N14:P16"/>
    <mergeCell ref="R14:T16"/>
    <mergeCell ref="V14:X16"/>
    <mergeCell ref="Z14:AB16"/>
    <mergeCell ref="Y6:Y8"/>
    <mergeCell ref="Z6:AB8"/>
    <mergeCell ref="F10:H12"/>
    <mergeCell ref="I10:I12"/>
    <mergeCell ref="J10:L12"/>
    <mergeCell ref="N10:P12"/>
    <mergeCell ref="Q10:Q12"/>
    <mergeCell ref="R10:T12"/>
    <mergeCell ref="V10:X12"/>
    <mergeCell ref="Y10:Y12"/>
    <mergeCell ref="E1:E20"/>
    <mergeCell ref="AC1:AC20"/>
    <mergeCell ref="F2:AB4"/>
    <mergeCell ref="F6:H8"/>
    <mergeCell ref="I6:I8"/>
    <mergeCell ref="J6:L8"/>
    <mergeCell ref="N6:P8"/>
    <mergeCell ref="Q6:Q8"/>
    <mergeCell ref="R6:T8"/>
    <mergeCell ref="V6:X8"/>
  </mergeCells>
  <dataValidations count="1">
    <dataValidation type="list" allowBlank="1" showInputMessage="1" showErrorMessage="1" sqref="J18:L20">
      <formula1>"Partial Payment,Single Payment"</formula1>
    </dataValidation>
  </dataValidations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CB107"/>
  <sheetViews>
    <sheetView topLeftCell="P1" zoomScale="85" zoomScaleNormal="85" workbookViewId="0">
      <selection activeCell="W2" sqref="W2"/>
    </sheetView>
  </sheetViews>
  <sheetFormatPr defaultColWidth="9" defaultRowHeight="18.75"/>
  <cols>
    <col min="1" max="1" width="9" style="24"/>
    <col min="2" max="2" width="13.85546875" style="24" bestFit="1" customWidth="1"/>
    <col min="3" max="3" width="7.28515625" style="24" customWidth="1"/>
    <col min="4" max="4" width="11.140625" style="24" customWidth="1"/>
    <col min="5" max="5" width="14.28515625" style="25" hidden="1" customWidth="1"/>
    <col min="6" max="6" width="15.42578125" style="25" hidden="1" customWidth="1"/>
    <col min="7" max="7" width="26" style="25" hidden="1" customWidth="1"/>
    <col min="8" max="8" width="23.5703125" style="25" customWidth="1"/>
    <col min="9" max="9" width="24.140625" style="25" bestFit="1" customWidth="1"/>
    <col min="10" max="10" width="48.42578125" style="24" hidden="1" customWidth="1"/>
    <col min="11" max="11" width="18.85546875" style="24" bestFit="1" customWidth="1"/>
    <col min="12" max="13" width="20.5703125" style="24" customWidth="1"/>
    <col min="14" max="14" width="56" style="27" hidden="1" customWidth="1"/>
    <col min="15" max="15" width="23.42578125" style="27" customWidth="1"/>
    <col min="16" max="16" width="23.42578125" style="24" customWidth="1"/>
    <col min="17" max="18" width="34.28515625" style="24" customWidth="1"/>
    <col min="19" max="20" width="29.5703125" style="24" customWidth="1"/>
    <col min="21" max="21" width="11.5703125" style="24" hidden="1" customWidth="1"/>
    <col min="22" max="22" width="36.140625" style="24" hidden="1" customWidth="1"/>
    <col min="23" max="23" width="33.42578125" style="24" bestFit="1" customWidth="1"/>
    <col min="24" max="24" width="29.140625" style="24" customWidth="1"/>
    <col min="25" max="25" width="29.42578125" style="24" customWidth="1"/>
    <col min="26" max="26" width="25" style="24" bestFit="1" customWidth="1"/>
    <col min="27" max="27" width="25.28515625" style="24" bestFit="1" customWidth="1"/>
    <col min="28" max="28" width="0.85546875" style="24" customWidth="1"/>
    <col min="29" max="29" width="20" style="24" customWidth="1"/>
    <col min="30" max="30" width="24.85546875" style="34" customWidth="1"/>
    <col min="31" max="31" width="24.140625" style="34" customWidth="1"/>
    <col min="32" max="32" width="34" style="24" bestFit="1" customWidth="1"/>
    <col min="33" max="33" width="36.7109375" style="24" bestFit="1" customWidth="1"/>
    <col min="34" max="34" width="27.7109375" style="34" customWidth="1"/>
    <col min="35" max="35" width="37.28515625" style="24" customWidth="1"/>
    <col min="36" max="36" width="39.85546875" style="24" customWidth="1"/>
    <col min="37" max="37" width="30.85546875" style="34" customWidth="1"/>
    <col min="38" max="38" width="41" style="24" customWidth="1"/>
    <col min="39" max="39" width="43.5703125" style="24" customWidth="1"/>
    <col min="40" max="40" width="16.5703125" style="34" bestFit="1" customWidth="1"/>
    <col min="41" max="41" width="27.140625" style="25" bestFit="1" customWidth="1"/>
    <col min="42" max="42" width="29.7109375" style="25" bestFit="1" customWidth="1"/>
    <col min="43" max="43" width="30.7109375" style="24" bestFit="1" customWidth="1"/>
    <col min="44" max="44" width="40.85546875" style="25" bestFit="1" customWidth="1"/>
    <col min="45" max="45" width="43.28515625" style="25" bestFit="1" customWidth="1"/>
    <col min="46" max="46" width="23.28515625" style="34" customWidth="1"/>
    <col min="47" max="47" width="35.28515625" style="34" customWidth="1"/>
    <col min="48" max="48" width="13.42578125" style="24" customWidth="1"/>
    <col min="49" max="49" width="32.7109375" style="24" customWidth="1"/>
    <col min="50" max="50" width="19" style="26" bestFit="1" customWidth="1"/>
    <col min="51" max="51" width="25" style="24" customWidth="1"/>
    <col min="52" max="52" width="27.5703125" style="24" customWidth="1"/>
    <col min="53" max="53" width="24.140625" style="34" customWidth="1"/>
    <col min="54" max="54" width="23.5703125" style="24" customWidth="1"/>
    <col min="55" max="55" width="0.85546875" style="34" customWidth="1"/>
    <col min="56" max="56" width="23.42578125" style="24" customWidth="1"/>
    <col min="57" max="57" width="28.28515625" style="24" bestFit="1" customWidth="1"/>
    <col min="58" max="58" width="30.5703125" style="24" customWidth="1"/>
    <col min="59" max="59" width="27.42578125" style="24" bestFit="1" customWidth="1"/>
    <col min="60" max="60" width="28.42578125" style="24" customWidth="1"/>
    <col min="61" max="61" width="28.42578125" style="34" bestFit="1" customWidth="1"/>
    <col min="62" max="62" width="28.42578125" style="34" customWidth="1"/>
    <col min="63" max="63" width="31.5703125" style="34" customWidth="1"/>
    <col min="64" max="64" width="20" style="34" customWidth="1"/>
    <col min="65" max="65" width="17.140625" style="25" customWidth="1"/>
    <col min="66" max="67" width="24.140625" style="25" customWidth="1"/>
    <col min="68" max="68" width="20.28515625" style="24" bestFit="1" customWidth="1"/>
    <col min="69" max="69" width="0.85546875" style="24" customWidth="1"/>
    <col min="70" max="70" width="28" style="25" bestFit="1" customWidth="1"/>
    <col min="71" max="71" width="28" style="25" customWidth="1"/>
    <col min="72" max="72" width="26.28515625" style="24" customWidth="1"/>
    <col min="73" max="73" width="33.5703125" style="11" customWidth="1"/>
    <col min="74" max="74" width="23.85546875" style="11" bestFit="1" customWidth="1"/>
    <col min="75" max="75" width="8.5703125" style="26" hidden="1" customWidth="1"/>
    <col min="76" max="77" width="16.5703125" style="26" hidden="1" customWidth="1"/>
    <col min="78" max="78" width="13.85546875" style="26" hidden="1" customWidth="1"/>
    <col min="79" max="79" width="0" style="24" hidden="1" customWidth="1"/>
    <col min="80" max="80" width="28.42578125" style="24" customWidth="1"/>
    <col min="81" max="81" width="18.140625" style="24" bestFit="1" customWidth="1"/>
    <col min="82" max="16384" width="9" style="24"/>
  </cols>
  <sheetData>
    <row r="1" spans="1:80" s="165" customFormat="1" ht="69.75" customHeight="1" thickTop="1" thickBot="1">
      <c r="A1" s="158"/>
      <c r="B1" s="158" t="s">
        <v>98</v>
      </c>
      <c r="C1" s="158" t="s">
        <v>99</v>
      </c>
      <c r="D1" s="158" t="s">
        <v>239</v>
      </c>
      <c r="E1" s="159" t="s">
        <v>70</v>
      </c>
      <c r="F1" s="159" t="s">
        <v>71</v>
      </c>
      <c r="G1" s="159" t="s">
        <v>74</v>
      </c>
      <c r="H1" s="158" t="s">
        <v>100</v>
      </c>
      <c r="I1" s="158" t="s">
        <v>130</v>
      </c>
      <c r="J1" s="159" t="s">
        <v>72</v>
      </c>
      <c r="K1" s="159" t="s">
        <v>245</v>
      </c>
      <c r="L1" s="158" t="s">
        <v>142</v>
      </c>
      <c r="M1" s="158" t="s">
        <v>143</v>
      </c>
      <c r="N1" s="159" t="s">
        <v>73</v>
      </c>
      <c r="O1" s="158" t="s">
        <v>144</v>
      </c>
      <c r="P1" s="158" t="s">
        <v>145</v>
      </c>
      <c r="Q1" s="158" t="s">
        <v>146</v>
      </c>
      <c r="R1" s="158" t="s">
        <v>147</v>
      </c>
      <c r="S1" s="158" t="s">
        <v>148</v>
      </c>
      <c r="T1" s="158" t="s">
        <v>149</v>
      </c>
      <c r="U1" s="158" t="s">
        <v>150</v>
      </c>
      <c r="V1" s="158" t="s">
        <v>151</v>
      </c>
      <c r="W1" s="158" t="s">
        <v>152</v>
      </c>
      <c r="X1" s="158" t="s">
        <v>196</v>
      </c>
      <c r="Y1" s="158" t="s">
        <v>197</v>
      </c>
      <c r="Z1" s="158" t="s">
        <v>140</v>
      </c>
      <c r="AA1" s="158" t="s">
        <v>141</v>
      </c>
      <c r="AB1" s="160" t="s">
        <v>233</v>
      </c>
      <c r="AC1" s="80" t="s">
        <v>139</v>
      </c>
      <c r="AD1" s="161" t="s">
        <v>138</v>
      </c>
      <c r="AE1" s="80" t="s">
        <v>153</v>
      </c>
      <c r="AF1" s="80" t="s">
        <v>64</v>
      </c>
      <c r="AG1" s="80" t="s">
        <v>65</v>
      </c>
      <c r="AH1" s="161" t="s">
        <v>154</v>
      </c>
      <c r="AI1" s="80" t="s">
        <v>155</v>
      </c>
      <c r="AJ1" s="80" t="s">
        <v>198</v>
      </c>
      <c r="AK1" s="161" t="s">
        <v>156</v>
      </c>
      <c r="AL1" s="80" t="s">
        <v>157</v>
      </c>
      <c r="AM1" s="80" t="s">
        <v>199</v>
      </c>
      <c r="AN1" s="161" t="s">
        <v>158</v>
      </c>
      <c r="AO1" s="80" t="s">
        <v>159</v>
      </c>
      <c r="AP1" s="80" t="s">
        <v>200</v>
      </c>
      <c r="AQ1" s="80" t="s">
        <v>160</v>
      </c>
      <c r="AR1" s="80" t="s">
        <v>161</v>
      </c>
      <c r="AS1" s="80" t="s">
        <v>201</v>
      </c>
      <c r="AT1" s="80" t="s">
        <v>94</v>
      </c>
      <c r="AU1" s="80" t="s">
        <v>95</v>
      </c>
      <c r="AV1" s="80" t="s">
        <v>96</v>
      </c>
      <c r="AW1" s="80" t="s">
        <v>93</v>
      </c>
      <c r="AX1" s="80" t="s">
        <v>137</v>
      </c>
      <c r="AY1" s="80" t="s">
        <v>135</v>
      </c>
      <c r="AZ1" s="80" t="s">
        <v>136</v>
      </c>
      <c r="BA1" s="80" t="s">
        <v>231</v>
      </c>
      <c r="BB1" s="80" t="s">
        <v>232</v>
      </c>
      <c r="BC1" s="162" t="s">
        <v>234</v>
      </c>
      <c r="BD1" s="81" t="s">
        <v>162</v>
      </c>
      <c r="BE1" s="81" t="s">
        <v>60</v>
      </c>
      <c r="BF1" s="81" t="s">
        <v>62</v>
      </c>
      <c r="BG1" s="81" t="s">
        <v>61</v>
      </c>
      <c r="BH1" s="81" t="s">
        <v>63</v>
      </c>
      <c r="BI1" s="81" t="s">
        <v>163</v>
      </c>
      <c r="BJ1" s="81" t="s">
        <v>66</v>
      </c>
      <c r="BK1" s="81" t="s">
        <v>97</v>
      </c>
      <c r="BL1" s="81" t="s">
        <v>134</v>
      </c>
      <c r="BM1" s="81" t="s">
        <v>133</v>
      </c>
      <c r="BN1" s="81" t="s">
        <v>131</v>
      </c>
      <c r="BO1" s="81" t="s">
        <v>132</v>
      </c>
      <c r="BP1" s="81" t="s">
        <v>164</v>
      </c>
      <c r="BQ1" s="163" t="s">
        <v>235</v>
      </c>
      <c r="BR1" s="82" t="s">
        <v>249</v>
      </c>
      <c r="BS1" s="82" t="s">
        <v>67</v>
      </c>
      <c r="BT1" s="82" t="s">
        <v>305</v>
      </c>
      <c r="BU1" s="82" t="s">
        <v>69</v>
      </c>
      <c r="BV1" s="82" t="s">
        <v>68</v>
      </c>
      <c r="BW1" s="164" t="s">
        <v>17</v>
      </c>
      <c r="BX1" s="439" t="s">
        <v>46</v>
      </c>
      <c r="BY1" s="440"/>
      <c r="BZ1" s="439" t="s">
        <v>47</v>
      </c>
      <c r="CA1" s="440"/>
    </row>
    <row r="2" spans="1:80" ht="21" customHeight="1">
      <c r="A2" s="16">
        <v>1</v>
      </c>
      <c r="B2" s="16">
        <f>IF(db!$E$5=0,0,1)</f>
        <v>1</v>
      </c>
      <c r="C2" s="15">
        <f>IF(B2=0,0,db!E2)</f>
        <v>28</v>
      </c>
      <c r="D2" s="312">
        <f>LOOKUP(Table13[[#This Row],[Age]],RiskLoading!A$3:A$109,RiskLoading!DG$3:DG$109)</f>
        <v>34</v>
      </c>
      <c r="E2" s="29">
        <f>ROUND(H2,-3)</f>
        <v>100000000</v>
      </c>
      <c r="F2" s="29">
        <f>ROUND(PremiumLst,-3)</f>
        <v>100000000</v>
      </c>
      <c r="G2" s="29">
        <f t="shared" ref="G2:G65" si="0" xml:space="preserve"> ROUND(H2 * (1 + SumOfTAX),-3)</f>
        <v>108000000</v>
      </c>
      <c r="H2" s="29">
        <f>IF(B2=0,0,db!E3)</f>
        <v>100000000</v>
      </c>
      <c r="I2" s="29">
        <f>IF(B2=0,0,SUM($H$2:H2))</f>
        <v>100000000</v>
      </c>
      <c r="J2" s="17">
        <f>ROUND(L2,-3)</f>
        <v>1000000000</v>
      </c>
      <c r="K2" s="17">
        <f>IF(Table13[[#This Row],[Year]]=0,0,IF($C$2&lt;=50,LOOKUP(Table13[[#This Row],[Age]],db!BG3:BG109,db!BH3:BH109),LOOKUP(Table13[[#This Row],[Age]],db!BJ3:BJ109,db!BK3:BK109)))</f>
        <v>2000000000</v>
      </c>
      <c r="L2" s="17">
        <f>MIN(IF(B2=0,0,db!$E$4*((1+db!$B$4)^(B2-1))),Table13[[#This Row],[Max Sum Insured For Death]])</f>
        <v>1000000000</v>
      </c>
      <c r="M2" s="17">
        <f>ROUND(IF(L2&lt;=db!$L$7,L2,db!$L$7),0)</f>
        <v>1000000000</v>
      </c>
      <c r="N2" s="29">
        <f>ROUND(O2,-3)</f>
        <v>1000000000</v>
      </c>
      <c r="O2" s="29">
        <f>IF(B2=0,0,IF(db!$D$6="Yes",(db!$B$6)*M2,0))</f>
        <v>1000000000</v>
      </c>
      <c r="P2" s="29">
        <f>MIN(IF(O2&lt;=db!$L$2,O2,db!$L$2),MAX_ACC_CAPITAL)</f>
        <v>1000000000</v>
      </c>
      <c r="Q2" s="17">
        <f>IF(B2=0,0,IF(db!$D$7="Yes",(db!$B$7)*M2,0))</f>
        <v>500000000</v>
      </c>
      <c r="R2" s="42">
        <f>IF(C2&gt;69,0,IF(C2=0,0,IF(Q2&lt;=db!$L$3,Q2,db!$L$3)))</f>
        <v>500000000</v>
      </c>
      <c r="S2" s="29">
        <f>IF(B2=0,0,IF(db!$D$9="Yes",(db!$B$9)*M2,0))</f>
        <v>200000000</v>
      </c>
      <c r="T2" s="29">
        <f>ROUND(IF(C2&gt;69,0,IF(C2=0,0,IF(S2&lt;=db!$L$4,S2,db!$L$4))),0)</f>
        <v>50000000</v>
      </c>
      <c r="U2" s="38">
        <v>0</v>
      </c>
      <c r="V2" s="17">
        <v>0</v>
      </c>
      <c r="W2" s="29">
        <v>0</v>
      </c>
      <c r="X2" s="17">
        <f>IF(B2=0,0,IF(db!$D$11="Yes",(db!$B$11)*M2,0))</f>
        <v>150000000</v>
      </c>
      <c r="Y2" s="42">
        <f>ROUND(IF(C2&gt;59,0,IF(C2=0,0,IF(X2&lt;=db!$L$5,X2,db!$L$5))),0)</f>
        <v>150000000</v>
      </c>
      <c r="Z2" s="29">
        <f>IF(B2=0,0,IF(db!$D$12="Yes",(db!$B$12)*M2,0))</f>
        <v>250000000</v>
      </c>
      <c r="AA2" s="29">
        <f>ROUND(IF(C2&gt;59,0,IF(C2=0,0,IF(Z2&lt;=db!$L$6,Z2,db!$L$6))),0)</f>
        <v>250000000</v>
      </c>
      <c r="AB2" s="30"/>
      <c r="AC2" s="18">
        <f>IF(B2=0,0,IF(C2&lt;(db!$E$2+5),LOOKUP(C2,'Mortality Table'!$A$2:$A$108,'Mortality Table'!$P$2:$P$108),IF((C2&gt;=db!$E$2+10),LOOKUP(C2,'Mortality Table'!$A$2:$A$108,'Mortality Table'!$R$2:$R$108),LOOKUP(C2,'Mortality Table'!$A$2:$A$108,'Mortality Table'!$Q$2:$Q$108))))</f>
        <v>1.4604768842726064E-3</v>
      </c>
      <c r="AD2" s="22">
        <f t="shared" ref="AD2:AD33" si="1">ROUND(AC2*M2,0)</f>
        <v>1460477</v>
      </c>
      <c r="AE2" s="19">
        <f>IF(B2=0,0,LOOKUP(db!$A$8,db!$AX$4:$AX$8,db!$AY$4:$AY$8))</f>
        <v>0.6</v>
      </c>
      <c r="AF2" s="20">
        <f>ROUND((AE2/1000)*P2 * (1-db!$AS$9),0)</f>
        <v>453000</v>
      </c>
      <c r="AG2" s="20">
        <f>(AE2/1000)*P2 * db!$AS$9</f>
        <v>147000</v>
      </c>
      <c r="AH2" s="21">
        <f>IF(B2=0,0,LOOKUP(db!$A$8,db!$AX$4:$AX$8,db!$AZ$4:$AZ$8))</f>
        <v>0.6</v>
      </c>
      <c r="AI2" s="22">
        <f>(AH2/1000)*R2*(1-db!$AS$9)</f>
        <v>226500</v>
      </c>
      <c r="AJ2" s="22">
        <f>(AH2/1000)*R2*(db!$AS$9)</f>
        <v>73500</v>
      </c>
      <c r="AK2" s="23">
        <f>IF(B2=0,0,LOOKUP(db!$A$8,db!$AX$4:$AX$8,db!$BA$4:$BA$8))</f>
        <v>0.8</v>
      </c>
      <c r="AL2" s="20">
        <f>ROUND((AK2/(100))*T2*(1-db!$AS$9),0)</f>
        <v>302000</v>
      </c>
      <c r="AM2" s="20">
        <f>ROUND((AK2/(100))*T2*(db!$AS$9),0)</f>
        <v>98000</v>
      </c>
      <c r="AN2" s="21">
        <f>IF(db!$D$8="Yes",AH2,0)</f>
        <v>0.6</v>
      </c>
      <c r="AO2" s="22">
        <f>(AN2*V2)/1000*(1-db!$AS$9)</f>
        <v>0</v>
      </c>
      <c r="AP2" s="22">
        <f>(AN2*V2)/1000*(db!$AS$9)</f>
        <v>0</v>
      </c>
      <c r="AQ2" s="23">
        <f>IF(db!$D$10="Yes",AH2,0)</f>
        <v>0.6</v>
      </c>
      <c r="AR2" s="20">
        <f>(AQ2*W2/1000)*(1-db!$AS$9)</f>
        <v>0</v>
      </c>
      <c r="AS2" s="20">
        <f>(AQ2*W2/1000)*(db!$AS$9)</f>
        <v>0</v>
      </c>
      <c r="AT2" s="22">
        <f>IF(B2=0,0,IF(C2&gt;60,0,LOOKUP(LOOKUP(C2,RiskLoading!A$3:A$109,RiskLoading!DG$3:DG$109),db!$BC$3:$BC$63,db!$BD$3:$BD$63)))</f>
        <v>750</v>
      </c>
      <c r="AU2" s="22">
        <f>AV2*db!$AS$10</f>
        <v>11250</v>
      </c>
      <c r="AV2" s="22">
        <f t="shared" ref="AV2:AV33" si="2">(AT2/1000000)*Y2</f>
        <v>112500</v>
      </c>
      <c r="AW2" s="22">
        <f>(AT2/1000000)*Y2*(1-db!$AS$10)</f>
        <v>101250</v>
      </c>
      <c r="AX2" s="20">
        <f>IF(B2=0,0,IF(C2&gt;60,0,LOOKUP(LOOKUP(C2,RiskLoading!A$3:A$109,RiskLoading!DG$3:DG$109),db!$BC$3:$BC$63,db!$BE$3:$BE$63)))</f>
        <v>750</v>
      </c>
      <c r="AY2" s="20">
        <f>(AX2/1000000)*AA2*(1-db!$AS$11)</f>
        <v>168750</v>
      </c>
      <c r="AZ2" s="20">
        <f>(AX2/1000000)*AA2*(db!$AS$11)</f>
        <v>18750</v>
      </c>
      <c r="BA2" s="19">
        <f>IF(Table13[Year]=0,0,LOOKUP(Table13[Age],RiskLoading!A$3:A$109,RiskLoading!DL$3:DL$109))</f>
        <v>3.8889390664636385E-4</v>
      </c>
      <c r="BB2" s="20">
        <f>Table13[[#This Row],[RiskLoading
Rate]]*Table13[[#This Row],[Death Capital (2)]]</f>
        <v>388893.90664636384</v>
      </c>
      <c r="BC2" s="36"/>
      <c r="BD2" s="37">
        <f t="shared" ref="BD2:BD33" si="3">AD2</f>
        <v>1460477</v>
      </c>
      <c r="BE2" s="35">
        <f t="shared" ref="BE2:BE33" si="4">(AR2+AO2+AL2+AI2+AF2)</f>
        <v>981500</v>
      </c>
      <c r="BF2" s="35">
        <f t="shared" ref="BF2:BF33" si="5">AG2+AJ2+AM2+AP2+AS2</f>
        <v>318500</v>
      </c>
      <c r="BG2" s="37">
        <f t="shared" ref="BG2:BG33" si="6">(AY2+AW2)</f>
        <v>270000</v>
      </c>
      <c r="BH2" s="37">
        <f t="shared" ref="BH2:BH33" si="7">AU2+AZ2</f>
        <v>30000</v>
      </c>
      <c r="BI2" s="35">
        <f>ROUND(BG2+BE2,0)</f>
        <v>1251500</v>
      </c>
      <c r="BJ2" s="35">
        <f>ROUND(BF2+BH2,0)</f>
        <v>348500</v>
      </c>
      <c r="BK2" s="37">
        <f>(db!$AS$15/100)*(H2-BI2-BJ2)</f>
        <v>1968000</v>
      </c>
      <c r="BL2" s="37">
        <v>0</v>
      </c>
      <c r="BM2" s="35">
        <v>0</v>
      </c>
      <c r="BN2" s="37">
        <f>$H$2</f>
        <v>100000000</v>
      </c>
      <c r="BO2" s="37">
        <f>$BN$2*db!$AS$16/100</f>
        <v>5000000</v>
      </c>
      <c r="BP2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8449371</v>
      </c>
      <c r="BQ2" s="31"/>
      <c r="BR2" s="39">
        <f>Table13[[#This Row],[Initial Reserve]]-Table13[[#This Row],[All Deductions]]</f>
        <v>89582629</v>
      </c>
      <c r="BS2" s="39">
        <f>IF(B3=0,0,Table13[Premium]-Table13[[#This Row],[Administrative Cost Private]])</f>
        <v>98032000</v>
      </c>
      <c r="BT2" s="39">
        <f>Table13[[#This Row],[All Addition and Deductions]]</f>
        <v>89582629</v>
      </c>
      <c r="BU2" s="40">
        <f>BR2*(1+db!Y4)</f>
        <v>105707502.22</v>
      </c>
      <c r="BV2" s="40">
        <f>ROUND(BU2-SUM(BM3:$BM$7),-3)</f>
        <v>105708000</v>
      </c>
      <c r="BW2" s="15">
        <f>IF(db!$E$5=0,0,1)</f>
        <v>1</v>
      </c>
      <c r="BX2" s="39">
        <f>BR2*(1+db!AH4)</f>
        <v>107499154.8</v>
      </c>
      <c r="BY2" s="39">
        <f>BX2-(SUM(BM3:$BM$7))</f>
        <v>107499154.8</v>
      </c>
      <c r="BZ2" s="40">
        <f>BR2*(1+db!AO4)</f>
        <v>109290807.38</v>
      </c>
      <c r="CA2" s="40">
        <f>BZ2-(SUM(BM3:$BM$7))</f>
        <v>109290807.38</v>
      </c>
      <c r="CB2" s="46"/>
    </row>
    <row r="3" spans="1:80">
      <c r="A3" s="16">
        <f>A2+1</f>
        <v>2</v>
      </c>
      <c r="B3" s="16">
        <f>IF(B2=0,0,IF(db!$E$5&lt;B2+1,0,B2+1))</f>
        <v>2</v>
      </c>
      <c r="C3" s="15">
        <f>IF(B3=0,0,(C2+1))</f>
        <v>29</v>
      </c>
      <c r="D3" s="312">
        <f>LOOKUP(Table13[[#This Row],[Age]],RiskLoading!A$3:A$109,RiskLoading!DG$3:DG$109)</f>
        <v>34</v>
      </c>
      <c r="E3" s="29">
        <f t="shared" ref="E3:E66" si="8">ROUND(H3,-3)</f>
        <v>0</v>
      </c>
      <c r="F3" s="29">
        <f t="shared" ref="F3:F66" si="9">ROUND(H3,-3)</f>
        <v>0</v>
      </c>
      <c r="G3" s="29">
        <f t="shared" si="0"/>
        <v>0</v>
      </c>
      <c r="H3" s="29">
        <v>0</v>
      </c>
      <c r="I3" s="29">
        <f>IF(B3=0,0,SUM($H$2:H3))</f>
        <v>100000000</v>
      </c>
      <c r="J3" s="17">
        <f t="shared" ref="J3:J66" si="10">ROUND(L3,-3)</f>
        <v>1150000000</v>
      </c>
      <c r="K3" s="17">
        <f>IF(Table13[[#This Row],[Year]]=0,0,IF($C$2&lt;=50,LOOKUP(Table13[[#This Row],[Age]],db!BG4:BG110,db!BH4:BH110),LOOKUP(Table13[[#This Row],[Age]],db!BJ4:BJ110,db!BK4:BK110)))</f>
        <v>2000000000</v>
      </c>
      <c r="L3" s="17">
        <f>MIN(IF(B3=0,0,db!$E$4*((1+db!$B$4)^(B3-1))),Table13[[#This Row],[Max Sum Insured For Death]])</f>
        <v>1150000000</v>
      </c>
      <c r="M3" s="17">
        <f>ROUND(IF(L3&lt;=db!$L$7,L3,db!$L$7),0)</f>
        <v>1150000000</v>
      </c>
      <c r="N3" s="29">
        <f t="shared" ref="N3:N66" si="11">ROUND(O3,-3)</f>
        <v>1150000000</v>
      </c>
      <c r="O3" s="29">
        <f>IF(B3=0,0,IF(db!$D$6="Yes",(db!$B$6)*M3,0))</f>
        <v>1150000000</v>
      </c>
      <c r="P3" s="29">
        <f>MIN(IF(O3&lt;=db!$L$2,O3,db!$L$2),MAX_ACC_CAPITAL)</f>
        <v>1150000000</v>
      </c>
      <c r="Q3" s="17">
        <f>IF(B3=0,0,IF(db!$D$7="Yes",(db!$B$7)*M3,0))</f>
        <v>575000000</v>
      </c>
      <c r="R3" s="42">
        <f>IF(C3&gt;69,0,IF(C3=0,0,IF(Q3&lt;=db!$L$3,Q3,db!$L$3)))</f>
        <v>575000000</v>
      </c>
      <c r="S3" s="29">
        <f>IF(B3=0,0,IF(db!$D$9="Yes",(db!$B$9)*M3,0))</f>
        <v>230000000</v>
      </c>
      <c r="T3" s="29">
        <f>ROUND(IF(C3&gt;69,0,IF(C3=0,0,IF(S3&lt;=db!$L$4,S3,db!$L$4))),0)</f>
        <v>50000000</v>
      </c>
      <c r="U3" s="38">
        <v>0</v>
      </c>
      <c r="V3" s="17">
        <v>0</v>
      </c>
      <c r="W3" s="29">
        <v>0</v>
      </c>
      <c r="X3" s="17">
        <f>IF(B3=0,0,IF(db!$D$11="Yes",(db!$B$11)*M3,0))</f>
        <v>172500000</v>
      </c>
      <c r="Y3" s="42">
        <f>ROUND(IF(C3&gt;59,0,IF(C3=0,0,IF(X3&lt;=db!$L$5,X3,db!$L$5))),0)</f>
        <v>172500000</v>
      </c>
      <c r="Z3" s="29">
        <f>IF(B3=0,0,IF(db!$D$12="Yes",(db!$B$12)*M3,0))</f>
        <v>287500000</v>
      </c>
      <c r="AA3" s="29">
        <f>ROUND(IF(C3&gt;59,0,IF(C3=0,0,IF(Z3&lt;=db!$L$6,Z3,db!$L$6))),0)</f>
        <v>287500000</v>
      </c>
      <c r="AB3" s="32"/>
      <c r="AC3" s="18">
        <f>IF(B3=0,0,IF(C3&lt;(db!$E$2+5),LOOKUP(C3,'Mortality Table'!$A$2:$A$108,'Mortality Table'!$P$2:$P$108),IF((C3&gt;=db!$E$2+10),LOOKUP(C3,'Mortality Table'!$A$2:$A$108,'Mortality Table'!$R$2:$R$108),LOOKUP(C3,'Mortality Table'!$A$2:$A$108,'Mortality Table'!$Q$2:$Q$108))))</f>
        <v>1.4912936461475596E-3</v>
      </c>
      <c r="AD3" s="22">
        <f t="shared" si="1"/>
        <v>1714988</v>
      </c>
      <c r="AE3" s="19">
        <f>IF(B3=0,0,LOOKUP(db!$A$8,db!$AX$4:$AX$8,db!$AY$4:$AY$8))</f>
        <v>0.6</v>
      </c>
      <c r="AF3" s="20">
        <f>ROUND((AE3/1000)*P3 * (1-db!$AS$9),0)</f>
        <v>520950</v>
      </c>
      <c r="AG3" s="20">
        <f>(AE3/1000)*P3 * db!$AS$9</f>
        <v>169049.99999999997</v>
      </c>
      <c r="AH3" s="21">
        <f>IF(B3=0,0,LOOKUP(db!$A$8,db!$AX$4:$AX$8,db!$AZ$4:$AZ$8))</f>
        <v>0.6</v>
      </c>
      <c r="AI3" s="22">
        <f>(AH3/1000)*R3*(1-db!$AS$9)</f>
        <v>260474.99999999997</v>
      </c>
      <c r="AJ3" s="22">
        <f>(AH3/1000)*R3*(db!$AS$9)</f>
        <v>84524.999999999985</v>
      </c>
      <c r="AK3" s="23">
        <f>IF(B3=0,0,LOOKUP(db!$A$8,db!$AX$4:$AX$8,db!$BA$4:$BA$8))</f>
        <v>0.8</v>
      </c>
      <c r="AL3" s="20">
        <f>ROUND((AK3/(100))*T3*(1-db!$AS$9),0)</f>
        <v>302000</v>
      </c>
      <c r="AM3" s="20">
        <f>ROUND((AK3/(100))*T3*(db!$AS$9),0)</f>
        <v>98000</v>
      </c>
      <c r="AN3" s="21">
        <f>IF(db!$D$8="Yes",AH3,0)</f>
        <v>0.6</v>
      </c>
      <c r="AO3" s="22">
        <f>(AN3*V3)/1000*(1-db!$AS$9)</f>
        <v>0</v>
      </c>
      <c r="AP3" s="22">
        <f>(AN3*V3)/1000*(db!$AS$9)</f>
        <v>0</v>
      </c>
      <c r="AQ3" s="23">
        <f>IF(db!$D$10="Yes",AH3,0)</f>
        <v>0.6</v>
      </c>
      <c r="AR3" s="20">
        <f>(AQ3*W3/1000)*(1-db!$AS$9)</f>
        <v>0</v>
      </c>
      <c r="AS3" s="20">
        <f>(AQ3*W3/1000)*(db!$AS$9)</f>
        <v>0</v>
      </c>
      <c r="AT3" s="22">
        <f>IF(B3=0,0,IF(C3&gt;60,0,LOOKUP(LOOKUP(C3,RiskLoading!A$3:A$109,RiskLoading!DG$3:DG$109),db!$BC$3:$BC$63,db!$BD$3:$BD$63)))</f>
        <v>750</v>
      </c>
      <c r="AU3" s="22">
        <f>AV3*db!$AS$10</f>
        <v>12937.5</v>
      </c>
      <c r="AV3" s="22">
        <f t="shared" si="2"/>
        <v>129375</v>
      </c>
      <c r="AW3" s="22">
        <f>(AT3/1000000)*Y3*(1-db!$AS$10)</f>
        <v>116437.5</v>
      </c>
      <c r="AX3" s="20">
        <f>IF(B3=0,0,IF(C3&gt;60,0,LOOKUP(LOOKUP(C3,RiskLoading!A$3:A$109,RiskLoading!DG$3:DG$109),db!$BC$3:$BC$63,db!$BE$3:$BE$63)))</f>
        <v>750</v>
      </c>
      <c r="AY3" s="20">
        <f>(AX3/1000000)*AA3*(1-db!$AS$11)</f>
        <v>194062.5</v>
      </c>
      <c r="AZ3" s="20">
        <f>(AX3/1000000)*AA3*(db!$AS$11)</f>
        <v>21562.5</v>
      </c>
      <c r="BA3" s="19">
        <f>IF(Table13[Year]=0,0,LOOKUP(Table13[Age],RiskLoading!A$3:A$109,RiskLoading!DL$3:DL$109))</f>
        <v>3.5807714477141062E-4</v>
      </c>
      <c r="BB3" s="20">
        <f>Table13[[#This Row],[RiskLoading
Rate]]*Table13[[#This Row],[Death Capital (2)]]</f>
        <v>411788.71648712223</v>
      </c>
      <c r="BC3" s="36"/>
      <c r="BD3" s="37">
        <f t="shared" si="3"/>
        <v>1714988</v>
      </c>
      <c r="BE3" s="35">
        <f t="shared" si="4"/>
        <v>1083425</v>
      </c>
      <c r="BF3" s="35">
        <f t="shared" si="5"/>
        <v>351574.99999999994</v>
      </c>
      <c r="BG3" s="37">
        <f t="shared" si="6"/>
        <v>310500</v>
      </c>
      <c r="BH3" s="37">
        <f t="shared" si="7"/>
        <v>34500</v>
      </c>
      <c r="BI3" s="35">
        <f t="shared" ref="BI3:BI66" si="12">ROUND(BG3+BE3,0)</f>
        <v>1393925</v>
      </c>
      <c r="BJ3" s="35">
        <f t="shared" ref="BJ3:BJ66" si="13">ROUND(BF3+BH3,0)</f>
        <v>386075</v>
      </c>
      <c r="BK3" s="37">
        <v>0</v>
      </c>
      <c r="BL3" s="37">
        <v>0</v>
      </c>
      <c r="BM3" s="35">
        <v>0</v>
      </c>
      <c r="BN3" s="37">
        <f>0</f>
        <v>0</v>
      </c>
      <c r="BO3" s="37">
        <v>0</v>
      </c>
      <c r="BP3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3906777</v>
      </c>
      <c r="BQ3" s="33"/>
      <c r="BR3" s="39">
        <f>Table13[[#This Row],[Initial Reserve]]-Table13[[#This Row],[All Deductions]]</f>
        <v>-3906777</v>
      </c>
      <c r="BS3" s="39">
        <v>0</v>
      </c>
      <c r="BT3" s="39">
        <f>IF(B3=0,0,BU2-Table13[[#This Row],[All Deductions]])</f>
        <v>101800725.22</v>
      </c>
      <c r="BU3" s="40">
        <f>ROUND(IF(B3=0,0,((BR3+BU2)*(1+db!U5))),0)</f>
        <v>120124856</v>
      </c>
      <c r="BV3" s="40">
        <f>ROUND(BU3-SUM(BM4:$BM$7),-3)</f>
        <v>120125000</v>
      </c>
      <c r="BW3" s="15">
        <f t="shared" ref="BW3:BW66" si="14">1+BW2</f>
        <v>2</v>
      </c>
      <c r="BX3" s="39">
        <f>IF(B3=0,0,((BR3)*(1+db!AH5))+((BX2)*(1+db!AD5)))</f>
        <v>124310853.35999998</v>
      </c>
      <c r="BY3" s="39">
        <f>BX3-(SUM(BM4:$BM$7))</f>
        <v>124310853.35999998</v>
      </c>
      <c r="BZ3" s="40">
        <f>IF(B3=0,0,((BR3)*(1+db!AO5))+((BZ2)*(1+db!AK5)))</f>
        <v>128568517.06359999</v>
      </c>
      <c r="CA3" s="40">
        <f>BZ3-(SUM(BM4:$BM$7))</f>
        <v>128568517.06359999</v>
      </c>
      <c r="CB3" s="46"/>
    </row>
    <row r="4" spans="1:80">
      <c r="A4" s="16">
        <f t="shared" ref="A4:A67" si="15">A3+1</f>
        <v>3</v>
      </c>
      <c r="B4" s="16">
        <f>IF(B3=0,0,IF(db!$E$5&lt;B3+1,0,B3+1))</f>
        <v>3</v>
      </c>
      <c r="C4" s="15">
        <f t="shared" ref="C4:C67" si="16">IF(B4=0,0,(C3+1))</f>
        <v>30</v>
      </c>
      <c r="D4" s="312">
        <f>LOOKUP(Table13[[#This Row],[Age]],RiskLoading!A$3:A$109,RiskLoading!DG$3:DG$109)</f>
        <v>35</v>
      </c>
      <c r="E4" s="29">
        <f t="shared" si="8"/>
        <v>0</v>
      </c>
      <c r="F4" s="29">
        <f t="shared" si="9"/>
        <v>0</v>
      </c>
      <c r="G4" s="29">
        <f t="shared" si="0"/>
        <v>0</v>
      </c>
      <c r="H4" s="29">
        <v>0</v>
      </c>
      <c r="I4" s="29">
        <f>IF(B4=0,0,SUM($H$2:H4))</f>
        <v>100000000</v>
      </c>
      <c r="J4" s="17">
        <f t="shared" si="10"/>
        <v>1322500000</v>
      </c>
      <c r="K4" s="17">
        <f>IF(Table13[[#This Row],[Year]]=0,0,IF($C$2&lt;=50,LOOKUP(Table13[[#This Row],[Age]],db!BG5:BG111,db!BH5:BH111),LOOKUP(Table13[[#This Row],[Age]],db!BJ5:BJ111,db!BK5:BK111)))</f>
        <v>2000000000</v>
      </c>
      <c r="L4" s="17">
        <f>MIN(IF(B4=0,0,db!$E$4*((1+db!$B$4)^(B4-1))),Table13[[#This Row],[Max Sum Insured For Death]])</f>
        <v>1322499999.9999998</v>
      </c>
      <c r="M4" s="17">
        <f>ROUND(IF(L4&lt;=db!$L$7,L4,db!$L$7),0)</f>
        <v>1322500000</v>
      </c>
      <c r="N4" s="29">
        <f t="shared" si="11"/>
        <v>1322500000</v>
      </c>
      <c r="O4" s="29">
        <f>IF(B4=0,0,IF(db!$D$6="Yes",(db!$B$6)*M4,0))</f>
        <v>1322500000</v>
      </c>
      <c r="P4" s="29">
        <f>MIN(IF(O4&lt;=db!$L$2,O4,db!$L$2),MAX_ACC_CAPITAL)</f>
        <v>1322500000</v>
      </c>
      <c r="Q4" s="17">
        <f>IF(B4=0,0,IF(db!$D$7="Yes",(db!$B$7)*M4,0))</f>
        <v>661250000</v>
      </c>
      <c r="R4" s="42">
        <f>IF(C4&gt;69,0,IF(C4=0,0,IF(Q4&lt;=db!$L$3,Q4,db!$L$3)))</f>
        <v>661250000</v>
      </c>
      <c r="S4" s="29">
        <f>IF(B4=0,0,IF(db!$D$9="Yes",(db!$B$9)*M4,0))</f>
        <v>264500000</v>
      </c>
      <c r="T4" s="29">
        <f>ROUND(IF(C4&gt;69,0,IF(C4=0,0,IF(S4&lt;=db!$L$4,S4,db!$L$4))),0)</f>
        <v>50000000</v>
      </c>
      <c r="U4" s="38">
        <v>0</v>
      </c>
      <c r="V4" s="17">
        <v>0</v>
      </c>
      <c r="W4" s="29">
        <v>0</v>
      </c>
      <c r="X4" s="17">
        <f>IF(B4=0,0,IF(db!$D$11="Yes",(db!$B$11)*M4,0))</f>
        <v>198375000</v>
      </c>
      <c r="Y4" s="42">
        <f>ROUND(IF(C4&gt;59,0,IF(C4=0,0,IF(X4&lt;=db!$L$5,X4,db!$L$5))),0)</f>
        <v>198375000</v>
      </c>
      <c r="Z4" s="29">
        <f>IF(B4=0,0,IF(db!$D$12="Yes",(db!$B$12)*M4,0))</f>
        <v>330625000</v>
      </c>
      <c r="AA4" s="29">
        <f>ROUND(IF(C4&gt;59,0,IF(C4=0,0,IF(Z4&lt;=db!$L$6,Z4,db!$L$6))),0)</f>
        <v>300000000</v>
      </c>
      <c r="AB4" s="32"/>
      <c r="AC4" s="18">
        <f>IF(B4=0,0,IF(C4&lt;(db!$E$2+5),LOOKUP(C4,'Mortality Table'!$A$2:$A$108,'Mortality Table'!$P$2:$P$108),IF((C4&gt;=db!$E$2+10),LOOKUP(C4,'Mortality Table'!$A$2:$A$108,'Mortality Table'!$R$2:$R$108),LOOKUP(C4,'Mortality Table'!$A$2:$A$108,'Mortality Table'!$Q$2:$Q$108))))</f>
        <v>1.5412838919328282E-3</v>
      </c>
      <c r="AD4" s="22">
        <f t="shared" si="1"/>
        <v>2038348</v>
      </c>
      <c r="AE4" s="19">
        <f>IF(B4=0,0,LOOKUP(db!$A$8,db!$AX$4:$AX$8,db!$AY$4:$AY$8))</f>
        <v>0.6</v>
      </c>
      <c r="AF4" s="20">
        <f>ROUND((AE4/1000)*P4 * (1-db!$AS$9),0)</f>
        <v>599093</v>
      </c>
      <c r="AG4" s="20">
        <f>(AE4/1000)*P4 * db!$AS$9</f>
        <v>194407.49999999997</v>
      </c>
      <c r="AH4" s="21">
        <f>IF(B4=0,0,LOOKUP(db!$A$8,db!$AX$4:$AX$8,db!$AZ$4:$AZ$8))</f>
        <v>0.6</v>
      </c>
      <c r="AI4" s="22">
        <f>(AH4/1000)*R4*(1-db!$AS$9)</f>
        <v>299546.24999999994</v>
      </c>
      <c r="AJ4" s="22">
        <f>(AH4/1000)*R4*(db!$AS$9)</f>
        <v>97203.749999999985</v>
      </c>
      <c r="AK4" s="23">
        <f>IF(B4=0,0,LOOKUP(db!$A$8,db!$AX$4:$AX$8,db!$BA$4:$BA$8))</f>
        <v>0.8</v>
      </c>
      <c r="AL4" s="20">
        <f>ROUND((AK4/(100))*T4*(1-db!$AS$9),0)</f>
        <v>302000</v>
      </c>
      <c r="AM4" s="20">
        <f>ROUND((AK4/(100))*T4*(db!$AS$9),0)</f>
        <v>98000</v>
      </c>
      <c r="AN4" s="21">
        <f>IF(db!$D$8="Yes",AH4,0)</f>
        <v>0.6</v>
      </c>
      <c r="AO4" s="22">
        <f>(AN4*V4)/1000*(1-db!$AS$9)</f>
        <v>0</v>
      </c>
      <c r="AP4" s="22">
        <f>(AN4*V4)/1000*(db!$AS$9)</f>
        <v>0</v>
      </c>
      <c r="AQ4" s="23">
        <f>IF(db!$D$10="Yes",AH4,0)</f>
        <v>0.6</v>
      </c>
      <c r="AR4" s="20">
        <f>(AQ4*W4/1000)*(1-db!$AS$9)</f>
        <v>0</v>
      </c>
      <c r="AS4" s="20">
        <f>(AQ4*W4/1000)*(db!$AS$9)</f>
        <v>0</v>
      </c>
      <c r="AT4" s="22">
        <f>IF(B4=0,0,IF(C4&gt;60,0,LOOKUP(LOOKUP(C4,RiskLoading!A$3:A$109,RiskLoading!DG$3:DG$109),db!$BC$3:$BC$63,db!$BD$3:$BD$63)))</f>
        <v>750</v>
      </c>
      <c r="AU4" s="22">
        <f>AV4*db!$AS$10</f>
        <v>14878.125</v>
      </c>
      <c r="AV4" s="22">
        <f t="shared" si="2"/>
        <v>148781.25</v>
      </c>
      <c r="AW4" s="22">
        <f>(AT4/1000000)*Y4*(1-db!$AS$10)</f>
        <v>133903.125</v>
      </c>
      <c r="AX4" s="20">
        <f>IF(B4=0,0,IF(C4&gt;60,0,LOOKUP(LOOKUP(C4,RiskLoading!A$3:A$109,RiskLoading!DG$3:DG$109),db!$BC$3:$BC$63,db!$BE$3:$BE$63)))</f>
        <v>750</v>
      </c>
      <c r="AY4" s="20">
        <f>(AX4/1000000)*AA4*(1-db!$AS$11)</f>
        <v>202500</v>
      </c>
      <c r="AZ4" s="20">
        <f>(AX4/1000000)*AA4*(db!$AS$11)</f>
        <v>22500</v>
      </c>
      <c r="BA4" s="19">
        <f>IF(Table13[Year]=0,0,LOOKUP(Table13[Age],RiskLoading!A$3:A$109,RiskLoading!DL$3:DL$109))</f>
        <v>3.9822332364802793E-4</v>
      </c>
      <c r="BB4" s="20">
        <f>Table13[[#This Row],[RiskLoading
Rate]]*Table13[[#This Row],[Death Capital (2)]]</f>
        <v>526650.34552451689</v>
      </c>
      <c r="BC4" s="36"/>
      <c r="BD4" s="37">
        <f t="shared" si="3"/>
        <v>2038348</v>
      </c>
      <c r="BE4" s="35">
        <f t="shared" si="4"/>
        <v>1200639.25</v>
      </c>
      <c r="BF4" s="35">
        <f t="shared" si="5"/>
        <v>389611.24999999994</v>
      </c>
      <c r="BG4" s="37">
        <f t="shared" si="6"/>
        <v>336403.125</v>
      </c>
      <c r="BH4" s="37">
        <f t="shared" si="7"/>
        <v>37378.125</v>
      </c>
      <c r="BI4" s="35">
        <f t="shared" si="12"/>
        <v>1537042</v>
      </c>
      <c r="BJ4" s="35">
        <f t="shared" si="13"/>
        <v>426989</v>
      </c>
      <c r="BK4" s="37">
        <v>0</v>
      </c>
      <c r="BL4" s="37">
        <v>0</v>
      </c>
      <c r="BM4" s="35">
        <v>0</v>
      </c>
      <c r="BN4" s="37">
        <f>0</f>
        <v>0</v>
      </c>
      <c r="BO4" s="37">
        <v>0</v>
      </c>
      <c r="BP4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4529029</v>
      </c>
      <c r="BQ4" s="33"/>
      <c r="BR4" s="39">
        <f>Table13[[#This Row],[Initial Reserve]]-Table13[[#This Row],[All Deductions]]</f>
        <v>-4529029</v>
      </c>
      <c r="BS4" s="39">
        <v>0</v>
      </c>
      <c r="BT4" s="39">
        <f>IF(B4=0,0,BU3-Table13[[#This Row],[All Deductions]])</f>
        <v>115595827</v>
      </c>
      <c r="BU4" s="40">
        <f>ROUND(IF(B4=0,0,((BR4+BU3)*(1+db!U6))),0)</f>
        <v>136403076</v>
      </c>
      <c r="BV4" s="40">
        <f>ROUND(BU4-SUM(BM5:$BM$7),-3)</f>
        <v>136403000</v>
      </c>
      <c r="BW4" s="15">
        <f t="shared" si="14"/>
        <v>3</v>
      </c>
      <c r="BX4" s="39">
        <f>IF(B4=0,0,((BR4)*(1+db!AH6))+((BX3)*(1+db!AD6)))</f>
        <v>143738189.23199996</v>
      </c>
      <c r="BY4" s="39">
        <f>BX4-(SUM(BM5:$BM$7))</f>
        <v>143738189.23199996</v>
      </c>
      <c r="BZ4" s="40">
        <f>IF(B4=0,0,((BR4)*(1+db!AO6))+((BZ3)*(1+db!AK6)))</f>
        <v>151328175.437592</v>
      </c>
      <c r="CA4" s="40">
        <f>BZ4-(SUM(BM5:$BM$7))</f>
        <v>151328175.437592</v>
      </c>
      <c r="CB4" s="46"/>
    </row>
    <row r="5" spans="1:80">
      <c r="A5" s="16">
        <f t="shared" si="15"/>
        <v>4</v>
      </c>
      <c r="B5" s="16">
        <f>IF(B4=0,0,IF(db!$E$5&lt;B4+1,0,B4+1))</f>
        <v>4</v>
      </c>
      <c r="C5" s="15">
        <f t="shared" si="16"/>
        <v>31</v>
      </c>
      <c r="D5" s="312">
        <f>LOOKUP(Table13[[#This Row],[Age]],RiskLoading!A$3:A$109,RiskLoading!DG$3:DG$109)</f>
        <v>36</v>
      </c>
      <c r="E5" s="29">
        <f t="shared" si="8"/>
        <v>0</v>
      </c>
      <c r="F5" s="29">
        <f t="shared" si="9"/>
        <v>0</v>
      </c>
      <c r="G5" s="29">
        <f t="shared" si="0"/>
        <v>0</v>
      </c>
      <c r="H5" s="29">
        <v>0</v>
      </c>
      <c r="I5" s="29">
        <f>IF(B5=0,0,SUM($H$2:H5))</f>
        <v>100000000</v>
      </c>
      <c r="J5" s="17">
        <f t="shared" si="10"/>
        <v>1520875000</v>
      </c>
      <c r="K5" s="17">
        <f>IF(Table13[[#This Row],[Year]]=0,0,IF($C$2&lt;=50,LOOKUP(Table13[[#This Row],[Age]],db!BG6:BG112,db!BH6:BH112),LOOKUP(Table13[[#This Row],[Age]],db!BJ6:BJ112,db!BK6:BK112)))</f>
        <v>2000000000</v>
      </c>
      <c r="L5" s="17">
        <f>MIN(IF(B5=0,0,db!$E$4*((1+db!$B$4)^(B5-1))),Table13[[#This Row],[Max Sum Insured For Death]])</f>
        <v>1520874999.9999995</v>
      </c>
      <c r="M5" s="17">
        <f>ROUND(IF(L5&lt;=db!$L$7,L5,db!$L$7),0)</f>
        <v>1520875000</v>
      </c>
      <c r="N5" s="29">
        <f t="shared" si="11"/>
        <v>1520875000</v>
      </c>
      <c r="O5" s="29">
        <f>IF(B5=0,0,IF(db!$D$6="Yes",(db!$B$6)*M5,0))</f>
        <v>1520875000</v>
      </c>
      <c r="P5" s="29">
        <f>MIN(IF(O5&lt;=db!$L$2,O5,db!$L$2),MAX_ACC_CAPITAL)</f>
        <v>1520875000</v>
      </c>
      <c r="Q5" s="17">
        <f>IF(B5=0,0,IF(db!$D$7="Yes",(db!$B$7)*M5,0))</f>
        <v>760437500</v>
      </c>
      <c r="R5" s="42">
        <f>IF(C5&gt;69,0,IF(C5=0,0,IF(Q5&lt;=db!$L$3,Q5,db!$L$3)))</f>
        <v>760437500</v>
      </c>
      <c r="S5" s="29">
        <f>IF(B5=0,0,IF(db!$D$9="Yes",(db!$B$9)*M5,0))</f>
        <v>304175000</v>
      </c>
      <c r="T5" s="29">
        <f>ROUND(IF(C5&gt;69,0,IF(C5=0,0,IF(S5&lt;=db!$L$4,S5,db!$L$4))),0)</f>
        <v>50000000</v>
      </c>
      <c r="U5" s="38">
        <v>0</v>
      </c>
      <c r="V5" s="17">
        <v>0</v>
      </c>
      <c r="W5" s="29">
        <v>0</v>
      </c>
      <c r="X5" s="17">
        <f>IF(B5=0,0,IF(db!$D$11="Yes",(db!$B$11)*M5,0))</f>
        <v>228131250</v>
      </c>
      <c r="Y5" s="42">
        <f>ROUND(IF(C5&gt;59,0,IF(C5=0,0,IF(X5&lt;=db!$L$5,X5,db!$L$5))),0)</f>
        <v>200000000</v>
      </c>
      <c r="Z5" s="29">
        <f>IF(B5=0,0,IF(db!$D$12="Yes",(db!$B$12)*M5,0))</f>
        <v>380218750</v>
      </c>
      <c r="AA5" s="29">
        <f>ROUND(IF(C5&gt;59,0,IF(C5=0,0,IF(Z5&lt;=db!$L$6,Z5,db!$L$6))),0)</f>
        <v>300000000</v>
      </c>
      <c r="AB5" s="32"/>
      <c r="AC5" s="18">
        <f>IF(B5=0,0,IF(C5&lt;(db!$E$2+5),LOOKUP(C5,'Mortality Table'!$A$2:$A$108,'Mortality Table'!$P$2:$P$108),IF((C5&gt;=db!$E$2+10),LOOKUP(C5,'Mortality Table'!$A$2:$A$108,'Mortality Table'!$R$2:$R$108),LOOKUP(C5,'Mortality Table'!$A$2:$A$108,'Mortality Table'!$Q$2:$Q$108))))</f>
        <v>1.6010490574957655E-3</v>
      </c>
      <c r="AD5" s="22">
        <f t="shared" si="1"/>
        <v>2434995</v>
      </c>
      <c r="AE5" s="19">
        <f>IF(B5=0,0,LOOKUP(db!$A$8,db!$AX$4:$AX$8,db!$AY$4:$AY$8))</f>
        <v>0.6</v>
      </c>
      <c r="AF5" s="20">
        <f>ROUND((AE5/1000)*P5 * (1-db!$AS$9),0)</f>
        <v>688956</v>
      </c>
      <c r="AG5" s="20">
        <f>(AE5/1000)*P5 * db!$AS$9</f>
        <v>223568.62499999997</v>
      </c>
      <c r="AH5" s="21">
        <f>IF(B5=0,0,LOOKUP(db!$A$8,db!$AX$4:$AX$8,db!$AZ$4:$AZ$8))</f>
        <v>0.6</v>
      </c>
      <c r="AI5" s="22">
        <f>(AH5/1000)*R5*(1-db!$AS$9)</f>
        <v>344478.18749999994</v>
      </c>
      <c r="AJ5" s="22">
        <f>(AH5/1000)*R5*(db!$AS$9)</f>
        <v>111784.31249999999</v>
      </c>
      <c r="AK5" s="23">
        <f>IF(B5=0,0,LOOKUP(db!$A$8,db!$AX$4:$AX$8,db!$BA$4:$BA$8))</f>
        <v>0.8</v>
      </c>
      <c r="AL5" s="20">
        <f>ROUND((AK5/(100))*T5*(1-db!$AS$9),0)</f>
        <v>302000</v>
      </c>
      <c r="AM5" s="20">
        <f>ROUND((AK5/(100))*T5*(db!$AS$9),0)</f>
        <v>98000</v>
      </c>
      <c r="AN5" s="21">
        <f>IF(db!$D$8="Yes",AH5,0)</f>
        <v>0.6</v>
      </c>
      <c r="AO5" s="22">
        <f>(AN5*V5)/1000*(1-db!$AS$9)</f>
        <v>0</v>
      </c>
      <c r="AP5" s="22">
        <f>(AN5*V5)/1000*(db!$AS$9)</f>
        <v>0</v>
      </c>
      <c r="AQ5" s="23">
        <f>IF(db!$D$10="Yes",AH5,0)</f>
        <v>0.6</v>
      </c>
      <c r="AR5" s="20">
        <f>(AQ5*W5/1000)*(1-db!$AS$9)</f>
        <v>0</v>
      </c>
      <c r="AS5" s="20">
        <f>(AQ5*W5/1000)*(db!$AS$9)</f>
        <v>0</v>
      </c>
      <c r="AT5" s="22">
        <f>IF(B5=0,0,IF(C5&gt;60,0,LOOKUP(LOOKUP(C5,RiskLoading!A$3:A$109,RiskLoading!DG$3:DG$109),db!$BC$3:$BC$63,db!$BD$3:$BD$63)))</f>
        <v>1500</v>
      </c>
      <c r="AU5" s="22">
        <f>AV5*db!$AS$10</f>
        <v>30000</v>
      </c>
      <c r="AV5" s="22">
        <f t="shared" si="2"/>
        <v>300000</v>
      </c>
      <c r="AW5" s="22">
        <f>(AT5/1000000)*Y5*(1-db!$AS$10)</f>
        <v>270000</v>
      </c>
      <c r="AX5" s="20">
        <f>IF(B5=0,0,IF(C5&gt;60,0,LOOKUP(LOOKUP(C5,RiskLoading!A$3:A$109,RiskLoading!DG$3:DG$109),db!$BC$3:$BC$63,db!$BE$3:$BE$63)))</f>
        <v>1500</v>
      </c>
      <c r="AY5" s="20">
        <f>(AX5/1000000)*AA5*(1-db!$AS$11)</f>
        <v>405000</v>
      </c>
      <c r="AZ5" s="20">
        <f>(AX5/1000000)*AA5*(db!$AS$11)</f>
        <v>45000</v>
      </c>
      <c r="BA5" s="19">
        <f>IF(Table13[Year]=0,0,LOOKUP(Table13[Age],RiskLoading!A$3:A$109,RiskLoading!DL$3:DL$109))</f>
        <v>4.4839274203957121E-4</v>
      </c>
      <c r="BB5" s="20">
        <f>Table13[[#This Row],[RiskLoading
Rate]]*Table13[[#This Row],[Death Capital (2)]]</f>
        <v>681949.31154943292</v>
      </c>
      <c r="BC5" s="36"/>
      <c r="BD5" s="37">
        <f t="shared" si="3"/>
        <v>2434995</v>
      </c>
      <c r="BE5" s="35">
        <f t="shared" si="4"/>
        <v>1335434.1875</v>
      </c>
      <c r="BF5" s="35">
        <f t="shared" si="5"/>
        <v>433352.93749999994</v>
      </c>
      <c r="BG5" s="37">
        <f t="shared" si="6"/>
        <v>675000</v>
      </c>
      <c r="BH5" s="37">
        <f t="shared" si="7"/>
        <v>75000</v>
      </c>
      <c r="BI5" s="35">
        <f t="shared" si="12"/>
        <v>2010434</v>
      </c>
      <c r="BJ5" s="35">
        <f t="shared" si="13"/>
        <v>508353</v>
      </c>
      <c r="BK5" s="37">
        <v>0</v>
      </c>
      <c r="BL5" s="37">
        <v>0</v>
      </c>
      <c r="BM5" s="35">
        <v>0</v>
      </c>
      <c r="BN5" s="37">
        <f>0</f>
        <v>0</v>
      </c>
      <c r="BO5" s="37">
        <v>0</v>
      </c>
      <c r="BP5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5635731</v>
      </c>
      <c r="BQ5" s="33"/>
      <c r="BR5" s="39">
        <f>Table13[[#This Row],[Initial Reserve]]-Table13[[#This Row],[All Deductions]]</f>
        <v>-5635731</v>
      </c>
      <c r="BS5" s="39">
        <v>0</v>
      </c>
      <c r="BT5" s="39">
        <f>IF(B5=0,0,BU4-Table13[[#This Row],[All Deductions]])</f>
        <v>130767345</v>
      </c>
      <c r="BU5" s="40">
        <f>ROUND(IF(B5=0,0,((BR5+BU4)*(1+db!U7))),0)</f>
        <v>154305467</v>
      </c>
      <c r="BV5" s="40">
        <f>ROUND(BU5-SUM(BM6:$BM$7),-3)</f>
        <v>154305000</v>
      </c>
      <c r="BW5" s="15">
        <f t="shared" si="14"/>
        <v>4</v>
      </c>
      <c r="BX5" s="39">
        <f>IF(B5=0,0,((BR5)*(1+db!AH7))+((BX4)*(1+db!AD7)))</f>
        <v>165722949.87839997</v>
      </c>
      <c r="BY5" s="39">
        <f>BX5-(SUM(BM6:$BM$7))</f>
        <v>165722949.87839997</v>
      </c>
      <c r="BZ5" s="40">
        <f>IF(B5=0,0,((BR5)*(1+db!AO7))+((BZ4)*(1+db!AK7)))</f>
        <v>177744782.21386224</v>
      </c>
      <c r="CA5" s="40">
        <f>BZ5-(SUM(BM6:$BM$7))</f>
        <v>177744782.21386224</v>
      </c>
      <c r="CB5" s="46"/>
    </row>
    <row r="6" spans="1:80">
      <c r="A6" s="16">
        <f t="shared" si="15"/>
        <v>5</v>
      </c>
      <c r="B6" s="16">
        <f>IF(B5=0,0,IF(db!$E$5&lt;B5+1,0,B5+1))</f>
        <v>5</v>
      </c>
      <c r="C6" s="15">
        <f t="shared" si="16"/>
        <v>32</v>
      </c>
      <c r="D6" s="312">
        <f>LOOKUP(Table13[[#This Row],[Age]],RiskLoading!A$3:A$109,RiskLoading!DG$3:DG$109)</f>
        <v>36</v>
      </c>
      <c r="E6" s="29">
        <f t="shared" si="8"/>
        <v>0</v>
      </c>
      <c r="F6" s="29">
        <f t="shared" si="9"/>
        <v>0</v>
      </c>
      <c r="G6" s="29">
        <f t="shared" si="0"/>
        <v>0</v>
      </c>
      <c r="H6" s="29">
        <v>0</v>
      </c>
      <c r="I6" s="29">
        <f>IF(B6=0,0,SUM($H$2:H6))</f>
        <v>100000000</v>
      </c>
      <c r="J6" s="17">
        <f t="shared" si="10"/>
        <v>1749006000</v>
      </c>
      <c r="K6" s="17">
        <f>IF(Table13[[#This Row],[Year]]=0,0,IF($C$2&lt;=50,LOOKUP(Table13[[#This Row],[Age]],db!BG7:BG113,db!BH7:BH113),LOOKUP(Table13[[#This Row],[Age]],db!BJ7:BJ113,db!BK7:BK113)))</f>
        <v>2000000000</v>
      </c>
      <c r="L6" s="17">
        <f>MIN(IF(B6=0,0,db!$E$4*((1+db!$B$4)^(B6-1))),Table13[[#This Row],[Max Sum Insured For Death]])</f>
        <v>1749006249.9999995</v>
      </c>
      <c r="M6" s="17">
        <f>ROUND(IF(L6&lt;=db!$L$7,L6,db!$L$7),0)</f>
        <v>1749006250</v>
      </c>
      <c r="N6" s="29">
        <f t="shared" si="11"/>
        <v>1749006000</v>
      </c>
      <c r="O6" s="29">
        <f>IF(B6=0,0,IF(db!$D$6="Yes",(db!$B$6)*M6,0))</f>
        <v>1749006250</v>
      </c>
      <c r="P6" s="29">
        <f>MIN(IF(O6&lt;=db!$L$2,O6,db!$L$2),MAX_ACC_CAPITAL)</f>
        <v>1749006250</v>
      </c>
      <c r="Q6" s="17">
        <f>IF(B6=0,0,IF(db!$D$7="Yes",(db!$B$7)*M6,0))</f>
        <v>874503125</v>
      </c>
      <c r="R6" s="42">
        <f>IF(C6&gt;69,0,IF(C6=0,0,IF(Q6&lt;=db!$L$3,Q6,db!$L$3)))</f>
        <v>874503125</v>
      </c>
      <c r="S6" s="29">
        <f>IF(B6=0,0,IF(db!$D$9="Yes",(db!$B$9)*M6,0))</f>
        <v>349801250</v>
      </c>
      <c r="T6" s="29">
        <f>ROUND(IF(C6&gt;69,0,IF(C6=0,0,IF(S6&lt;=db!$L$4,S6,db!$L$4))),0)</f>
        <v>50000000</v>
      </c>
      <c r="U6" s="38">
        <v>0</v>
      </c>
      <c r="V6" s="17">
        <v>0</v>
      </c>
      <c r="W6" s="29">
        <v>0</v>
      </c>
      <c r="X6" s="17">
        <f>IF(B6=0,0,IF(db!$D$11="Yes",(db!$B$11)*M6,0))</f>
        <v>262350937.5</v>
      </c>
      <c r="Y6" s="42">
        <f>ROUND(IF(C6&gt;59,0,IF(C6=0,0,IF(X6&lt;=db!$L$5,X6,db!$L$5))),0)</f>
        <v>200000000</v>
      </c>
      <c r="Z6" s="29">
        <f>IF(B6=0,0,IF(db!$D$12="Yes",(db!$B$12)*M6,0))</f>
        <v>437251562.5</v>
      </c>
      <c r="AA6" s="29">
        <f>ROUND(IF(C6&gt;59,0,IF(C6=0,0,IF(Z6&lt;=db!$L$6,Z6,db!$L$6))),0)</f>
        <v>300000000</v>
      </c>
      <c r="AB6" s="32"/>
      <c r="AC6" s="18">
        <f>IF(B6=0,0,IF(C6&lt;(db!$E$2+5),LOOKUP(C6,'Mortality Table'!$A$2:$A$108,'Mortality Table'!$P$2:$P$108),IF((C6&gt;=db!$E$2+10),LOOKUP(C6,'Mortality Table'!$A$2:$A$108,'Mortality Table'!$R$2:$R$108),LOOKUP(C6,'Mortality Table'!$A$2:$A$108,'Mortality Table'!$Q$2:$Q$108))))</f>
        <v>1.6611183722148757E-3</v>
      </c>
      <c r="AD6" s="22">
        <f t="shared" si="1"/>
        <v>2905306</v>
      </c>
      <c r="AE6" s="19">
        <f>IF(B6=0,0,LOOKUP(db!$A$8,db!$AX$4:$AX$8,db!$AY$4:$AY$8))</f>
        <v>0.6</v>
      </c>
      <c r="AF6" s="20">
        <f>ROUND((AE6/1000)*P6 * (1-db!$AS$9),0)</f>
        <v>792300</v>
      </c>
      <c r="AG6" s="20">
        <f>(AE6/1000)*P6 * db!$AS$9</f>
        <v>257103.91874999998</v>
      </c>
      <c r="AH6" s="21">
        <f>IF(B6=0,0,LOOKUP(db!$A$8,db!$AX$4:$AX$8,db!$AZ$4:$AZ$8))</f>
        <v>0.6</v>
      </c>
      <c r="AI6" s="22">
        <f>(AH6/1000)*R6*(1-db!$AS$9)</f>
        <v>396149.91562500002</v>
      </c>
      <c r="AJ6" s="22">
        <f>(AH6/1000)*R6*(db!$AS$9)</f>
        <v>128551.95937499999</v>
      </c>
      <c r="AK6" s="23">
        <f>IF(B6=0,0,LOOKUP(db!$A$8,db!$AX$4:$AX$8,db!$BA$4:$BA$8))</f>
        <v>0.8</v>
      </c>
      <c r="AL6" s="20">
        <f>ROUND((AK6/(100))*T6*(1-db!$AS$9),0)</f>
        <v>302000</v>
      </c>
      <c r="AM6" s="20">
        <f>ROUND((AK6/(100))*T6*(db!$AS$9),0)</f>
        <v>98000</v>
      </c>
      <c r="AN6" s="21">
        <f>IF(db!$D$8="Yes",AH6,0)</f>
        <v>0.6</v>
      </c>
      <c r="AO6" s="22">
        <f>(AN6*V6)/1000*(1-db!$AS$9)</f>
        <v>0</v>
      </c>
      <c r="AP6" s="22">
        <f>(AN6*V6)/1000*(db!$AS$9)</f>
        <v>0</v>
      </c>
      <c r="AQ6" s="23">
        <f>IF(db!$D$10="Yes",AH6,0)</f>
        <v>0.6</v>
      </c>
      <c r="AR6" s="20">
        <f>(AQ6*W6/1000)*(1-db!$AS$9)</f>
        <v>0</v>
      </c>
      <c r="AS6" s="20">
        <f>(AQ6*W6/1000)*(db!$AS$9)</f>
        <v>0</v>
      </c>
      <c r="AT6" s="22">
        <f>IF(B6=0,0,IF(C6&gt;60,0,LOOKUP(LOOKUP(C6,RiskLoading!A$3:A$109,RiskLoading!DG$3:DG$109),db!$BC$3:$BC$63,db!$BD$3:$BD$63)))</f>
        <v>1500</v>
      </c>
      <c r="AU6" s="22">
        <f>AV6*db!$AS$10</f>
        <v>30000</v>
      </c>
      <c r="AV6" s="22">
        <f t="shared" si="2"/>
        <v>300000</v>
      </c>
      <c r="AW6" s="22">
        <f>(AT6/1000000)*Y6*(1-db!$AS$10)</f>
        <v>270000</v>
      </c>
      <c r="AX6" s="20">
        <f>IF(B6=0,0,IF(C6&gt;60,0,LOOKUP(LOOKUP(C6,RiskLoading!A$3:A$109,RiskLoading!DG$3:DG$109),db!$BC$3:$BC$63,db!$BE$3:$BE$63)))</f>
        <v>1500</v>
      </c>
      <c r="AY6" s="20">
        <f>(AX6/1000000)*AA6*(1-db!$AS$11)</f>
        <v>405000</v>
      </c>
      <c r="AZ6" s="20">
        <f>(AX6/1000000)*AA6*(db!$AS$11)</f>
        <v>45000</v>
      </c>
      <c r="BA6" s="19">
        <f>IF(Table13[Year]=0,0,LOOKUP(Table13[Age],RiskLoading!A$3:A$109,RiskLoading!DL$3:DL$109))</f>
        <v>3.8832342732046101E-4</v>
      </c>
      <c r="BB6" s="20">
        <f>Table13[[#This Row],[RiskLoading
Rate]]*Table13[[#This Row],[Death Capital (2)]]</f>
        <v>679180.10140490707</v>
      </c>
      <c r="BC6" s="36"/>
      <c r="BD6" s="37">
        <f t="shared" si="3"/>
        <v>2905306</v>
      </c>
      <c r="BE6" s="35">
        <f t="shared" si="4"/>
        <v>1490449.9156249999</v>
      </c>
      <c r="BF6" s="35">
        <f t="shared" si="5"/>
        <v>483655.87812499999</v>
      </c>
      <c r="BG6" s="37">
        <f t="shared" si="6"/>
        <v>675000</v>
      </c>
      <c r="BH6" s="37">
        <f t="shared" si="7"/>
        <v>75000</v>
      </c>
      <c r="BI6" s="35">
        <f t="shared" si="12"/>
        <v>2165450</v>
      </c>
      <c r="BJ6" s="35">
        <f t="shared" si="13"/>
        <v>558656</v>
      </c>
      <c r="BK6" s="37">
        <v>0</v>
      </c>
      <c r="BL6" s="37">
        <v>0</v>
      </c>
      <c r="BM6" s="35">
        <v>0</v>
      </c>
      <c r="BN6" s="37">
        <f>0</f>
        <v>0</v>
      </c>
      <c r="BO6" s="37">
        <v>0</v>
      </c>
      <c r="BP6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6308592</v>
      </c>
      <c r="BQ6" s="33"/>
      <c r="BR6" s="39">
        <f>Table13[[#This Row],[Initial Reserve]]-Table13[[#This Row],[All Deductions]]</f>
        <v>-6308592</v>
      </c>
      <c r="BS6" s="39">
        <v>0</v>
      </c>
      <c r="BT6" s="39">
        <f>IF(B6=0,0,BU5-Table13[[#This Row],[All Deductions]])</f>
        <v>147996875</v>
      </c>
      <c r="BU6" s="40">
        <f>ROUND(IF(B6=0,0,((BR6+BU5)*(1+db!U8))),0)</f>
        <v>174636313</v>
      </c>
      <c r="BV6" s="40">
        <f>ROUND(BU6-SUM(BM7:$BM$7),-3)</f>
        <v>174636000</v>
      </c>
      <c r="BW6" s="15">
        <f t="shared" si="14"/>
        <v>5</v>
      </c>
      <c r="BX6" s="39">
        <f>IF(B6=0,0,((BR6)*(1+db!AH8))+((BX5)*(1+db!AD8)))</f>
        <v>191297229.45407996</v>
      </c>
      <c r="BY6" s="39">
        <f>BX6-(SUM(BM7:$BM$7))</f>
        <v>191297229.45407996</v>
      </c>
      <c r="BZ6" s="40">
        <f>IF(B6=0,0,((BR6)*(1+db!AO8))+((BZ5)*(1+db!AK8)))</f>
        <v>209152152.06091192</v>
      </c>
      <c r="CA6" s="40">
        <f>BZ6-(SUM(BM7:$BM$7))</f>
        <v>209152152.06091192</v>
      </c>
      <c r="CB6" s="46"/>
    </row>
    <row r="7" spans="1:80">
      <c r="A7" s="16">
        <f t="shared" si="15"/>
        <v>6</v>
      </c>
      <c r="B7" s="16">
        <f>IF(B6=0,0,IF(db!$E$5&lt;B6+1,0,B6+1))</f>
        <v>6</v>
      </c>
      <c r="C7" s="15">
        <f t="shared" si="16"/>
        <v>33</v>
      </c>
      <c r="D7" s="312">
        <f>LOOKUP(Table13[[#This Row],[Age]],RiskLoading!A$3:A$109,RiskLoading!DG$3:DG$109)</f>
        <v>37</v>
      </c>
      <c r="E7" s="29">
        <f t="shared" si="8"/>
        <v>0</v>
      </c>
      <c r="F7" s="29">
        <f t="shared" si="9"/>
        <v>0</v>
      </c>
      <c r="G7" s="29">
        <f t="shared" si="0"/>
        <v>0</v>
      </c>
      <c r="H7" s="29">
        <v>0</v>
      </c>
      <c r="I7" s="29">
        <f>IF(B7=0,0,SUM($H$2:H7))</f>
        <v>100000000</v>
      </c>
      <c r="J7" s="17">
        <f t="shared" si="10"/>
        <v>2000000000</v>
      </c>
      <c r="K7" s="17">
        <f>IF(Table13[[#This Row],[Year]]=0,0,IF($C$2&lt;=50,LOOKUP(Table13[[#This Row],[Age]],db!BG8:BG114,db!BH8:BH114),LOOKUP(Table13[[#This Row],[Age]],db!BJ8:BJ114,db!BK8:BK114)))</f>
        <v>2000000000</v>
      </c>
      <c r="L7" s="17">
        <f>MIN(IF(B7=0,0,db!$E$4*((1+db!$B$4)^(B7-1))),Table13[[#This Row],[Max Sum Insured For Death]])</f>
        <v>2000000000</v>
      </c>
      <c r="M7" s="17">
        <f>ROUND(IF(L7&lt;=db!$L$7,L7,db!$L$7),0)</f>
        <v>2000000000</v>
      </c>
      <c r="N7" s="29">
        <f t="shared" si="11"/>
        <v>2000000000</v>
      </c>
      <c r="O7" s="29">
        <f>IF(B7=0,0,IF(db!$D$6="Yes",(db!$B$6)*M7,0))</f>
        <v>2000000000</v>
      </c>
      <c r="P7" s="29">
        <f>MIN(IF(O7&lt;=db!$L$2,O7,db!$L$2),MAX_ACC_CAPITAL)</f>
        <v>2000000000</v>
      </c>
      <c r="Q7" s="17">
        <f>IF(B7=0,0,IF(db!$D$7="Yes",(db!$B$7)*M7,0))</f>
        <v>1000000000</v>
      </c>
      <c r="R7" s="42">
        <f>IF(C7&gt;69,0,IF(C7=0,0,IF(Q7&lt;=db!$L$3,Q7,db!$L$3)))</f>
        <v>1000000000</v>
      </c>
      <c r="S7" s="29">
        <f>IF(B7=0,0,IF(db!$D$9="Yes",(db!$B$9)*M7,0))</f>
        <v>400000000</v>
      </c>
      <c r="T7" s="29">
        <f>ROUND(IF(C7&gt;69,0,IF(C7=0,0,IF(S7&lt;=db!$L$4,S7,db!$L$4))),0)</f>
        <v>50000000</v>
      </c>
      <c r="U7" s="38">
        <v>0</v>
      </c>
      <c r="V7" s="17">
        <v>0</v>
      </c>
      <c r="W7" s="29">
        <v>0</v>
      </c>
      <c r="X7" s="17">
        <f>IF(B7=0,0,IF(db!$D$11="Yes",(db!$B$11)*M7,0))</f>
        <v>300000000</v>
      </c>
      <c r="Y7" s="42">
        <f>ROUND(IF(C7&gt;59,0,IF(C7=0,0,IF(X7&lt;=db!$L$5,X7,db!$L$5))),0)</f>
        <v>200000000</v>
      </c>
      <c r="Z7" s="29">
        <f>IF(B7=0,0,IF(db!$D$12="Yes",(db!$B$12)*M7,0))</f>
        <v>500000000</v>
      </c>
      <c r="AA7" s="29">
        <f>ROUND(IF(C7&gt;59,0,IF(C7=0,0,IF(Z7&lt;=db!$L$6,Z7,db!$L$6))),0)</f>
        <v>300000000</v>
      </c>
      <c r="AB7" s="32"/>
      <c r="AC7" s="18">
        <f>IF(B7=0,0,IF(C7&lt;(db!$E$2+5),LOOKUP(C7,'Mortality Table'!$A$2:$A$108,'Mortality Table'!$P$2:$P$108),IF((C7&gt;=db!$E$2+10),LOOKUP(C7,'Mortality Table'!$A$2:$A$108,'Mortality Table'!$R$2:$R$108),LOOKUP(C7,'Mortality Table'!$A$2:$A$108,'Mortality Table'!$Q$2:$Q$108))))</f>
        <v>1.7825659416780175E-3</v>
      </c>
      <c r="AD7" s="22">
        <f t="shared" si="1"/>
        <v>3565132</v>
      </c>
      <c r="AE7" s="19">
        <f>IF(B7=0,0,LOOKUP(db!$A$8,db!$AX$4:$AX$8,db!$AY$4:$AY$8))</f>
        <v>0.6</v>
      </c>
      <c r="AF7" s="20">
        <f>ROUND((AE7/1000)*P7 * (1-db!$AS$9),0)</f>
        <v>906000</v>
      </c>
      <c r="AG7" s="20">
        <f>(AE7/1000)*P7 * db!$AS$9</f>
        <v>294000</v>
      </c>
      <c r="AH7" s="21">
        <f>IF(B7=0,0,LOOKUP(db!$A$8,db!$AX$4:$AX$8,db!$AZ$4:$AZ$8))</f>
        <v>0.6</v>
      </c>
      <c r="AI7" s="22">
        <f>(AH7/1000)*R7*(1-db!$AS$9)</f>
        <v>453000</v>
      </c>
      <c r="AJ7" s="22">
        <f>(AH7/1000)*R7*(db!$AS$9)</f>
        <v>147000</v>
      </c>
      <c r="AK7" s="23">
        <f>IF(B7=0,0,LOOKUP(db!$A$8,db!$AX$4:$AX$8,db!$BA$4:$BA$8))</f>
        <v>0.8</v>
      </c>
      <c r="AL7" s="20">
        <f>ROUND((AK7/(100))*T7*(1-db!$AS$9),0)</f>
        <v>302000</v>
      </c>
      <c r="AM7" s="20">
        <f>ROUND((AK7/(100))*T7*(db!$AS$9),0)</f>
        <v>98000</v>
      </c>
      <c r="AN7" s="21">
        <f>IF(db!$D$8="Yes",AH7,0)</f>
        <v>0.6</v>
      </c>
      <c r="AO7" s="22">
        <f>(AN7*V7)/1000*(1-db!$AS$9)</f>
        <v>0</v>
      </c>
      <c r="AP7" s="22">
        <f>(AN7*V7)/1000*(db!$AS$9)</f>
        <v>0</v>
      </c>
      <c r="AQ7" s="23">
        <f>IF(db!$D$10="Yes",AH7,0)</f>
        <v>0.6</v>
      </c>
      <c r="AR7" s="20">
        <f>(AQ7*W7/1000)*(1-db!$AS$9)</f>
        <v>0</v>
      </c>
      <c r="AS7" s="20">
        <f>(AQ7*W7/1000)*(db!$AS$9)</f>
        <v>0</v>
      </c>
      <c r="AT7" s="22">
        <f>IF(B7=0,0,IF(C7&gt;60,0,LOOKUP(LOOKUP(C7,RiskLoading!A$3:A$109,RiskLoading!DG$3:DG$109),db!$BC$3:$BC$63,db!$BD$3:$BD$63)))</f>
        <v>1500</v>
      </c>
      <c r="AU7" s="22">
        <f>AV7*db!$AS$10</f>
        <v>30000</v>
      </c>
      <c r="AV7" s="22">
        <f t="shared" si="2"/>
        <v>300000</v>
      </c>
      <c r="AW7" s="22">
        <f>(AT7/1000000)*Y7*(1-db!$AS$10)</f>
        <v>270000</v>
      </c>
      <c r="AX7" s="20">
        <f>IF(B7=0,0,IF(C7&gt;60,0,LOOKUP(LOOKUP(C7,RiskLoading!A$3:A$109,RiskLoading!DG$3:DG$109),db!$BC$3:$BC$63,db!$BE$3:$BE$63)))</f>
        <v>1500</v>
      </c>
      <c r="AY7" s="20">
        <f>(AX7/1000000)*AA7*(1-db!$AS$11)</f>
        <v>405000</v>
      </c>
      <c r="AZ7" s="20">
        <f>(AX7/1000000)*AA7*(db!$AS$11)</f>
        <v>45000</v>
      </c>
      <c r="BA7" s="19">
        <f>IF(Table13[Year]=0,0,LOOKUP(Table13[Age],RiskLoading!A$3:A$109,RiskLoading!DP$3:DP$109))</f>
        <v>4.2505467219658075E-4</v>
      </c>
      <c r="BB7" s="20">
        <f>Table13[[#This Row],[RiskLoading
Rate]]*Table13[[#This Row],[Death Capital (2)]]</f>
        <v>850109.34439316147</v>
      </c>
      <c r="BC7" s="36"/>
      <c r="BD7" s="37">
        <f t="shared" si="3"/>
        <v>3565132</v>
      </c>
      <c r="BE7" s="35">
        <f t="shared" si="4"/>
        <v>1661000</v>
      </c>
      <c r="BF7" s="35">
        <f t="shared" si="5"/>
        <v>539000</v>
      </c>
      <c r="BG7" s="37">
        <f t="shared" si="6"/>
        <v>675000</v>
      </c>
      <c r="BH7" s="37">
        <f t="shared" si="7"/>
        <v>75000</v>
      </c>
      <c r="BI7" s="35">
        <f t="shared" si="12"/>
        <v>2336000</v>
      </c>
      <c r="BJ7" s="35">
        <f t="shared" si="13"/>
        <v>614000</v>
      </c>
      <c r="BK7" s="37">
        <v>0</v>
      </c>
      <c r="BL7" s="37">
        <v>0</v>
      </c>
      <c r="BM7" s="35"/>
      <c r="BN7" s="37">
        <f>0</f>
        <v>0</v>
      </c>
      <c r="BO7" s="37"/>
      <c r="BP7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7365241</v>
      </c>
      <c r="BQ7" s="33"/>
      <c r="BR7" s="39">
        <f>Table13[[#This Row],[Initial Reserve]]-Table13[[#This Row],[All Deductions]]</f>
        <v>-7365241</v>
      </c>
      <c r="BS7" s="39">
        <v>0</v>
      </c>
      <c r="BT7" s="39">
        <f>IF(B7=0,0,BU6-Table13[[#This Row],[All Deductions]])</f>
        <v>167271072</v>
      </c>
      <c r="BU7" s="40">
        <f>ROUND(IF(B7=0,0,((BR7+BU6)*(1+db!U9))),0)</f>
        <v>192361733</v>
      </c>
      <c r="BV7" s="40">
        <f t="shared" ref="BV7:BV38" si="17">ROUND(BU7,-3)</f>
        <v>192362000</v>
      </c>
      <c r="BW7" s="15">
        <f t="shared" si="14"/>
        <v>6</v>
      </c>
      <c r="BX7" s="39">
        <f>IF(B7=0,0,((BR7)*(1+db!AH9))+((BX6)*(1+db!AD9)))</f>
        <v>220718386.14489594</v>
      </c>
      <c r="BY7" s="39">
        <f>IF(B7=0,0,((BR7)*(1+db!AH9))+((BY6)*(1+db!AD9)))</f>
        <v>220718386.14489594</v>
      </c>
      <c r="BZ7" s="40">
        <f>IF(B7=0,0,((BR7)*(1+db!AO9))+((BZ6)*(1+db!AK9)))</f>
        <v>246180031.49431252</v>
      </c>
      <c r="CA7" s="40">
        <f>BZ7-(SUM(BM$7:$BM8))</f>
        <v>246180031.49431252</v>
      </c>
      <c r="CB7" s="46"/>
    </row>
    <row r="8" spans="1:80">
      <c r="A8" s="16">
        <f t="shared" si="15"/>
        <v>7</v>
      </c>
      <c r="B8" s="16">
        <f>IF(B7=0,0,IF(db!$E$5&lt;B7+1,0,B7+1))</f>
        <v>7</v>
      </c>
      <c r="C8" s="15">
        <f t="shared" si="16"/>
        <v>34</v>
      </c>
      <c r="D8" s="312">
        <f>LOOKUP(Table13[[#This Row],[Age]],RiskLoading!A$3:A$109,RiskLoading!DG$3:DG$109)</f>
        <v>38</v>
      </c>
      <c r="E8" s="29">
        <f t="shared" si="8"/>
        <v>0</v>
      </c>
      <c r="F8" s="29">
        <f t="shared" si="9"/>
        <v>0</v>
      </c>
      <c r="G8" s="29">
        <f t="shared" si="0"/>
        <v>0</v>
      </c>
      <c r="H8" s="29">
        <v>0</v>
      </c>
      <c r="I8" s="29">
        <f>IF(B8=0,0,SUM($H$2:H8))</f>
        <v>100000000</v>
      </c>
      <c r="J8" s="17">
        <f t="shared" si="10"/>
        <v>2000000000</v>
      </c>
      <c r="K8" s="17">
        <f>IF(Table13[[#This Row],[Year]]=0,0,IF($C$2&lt;=50,LOOKUP(Table13[[#This Row],[Age]],db!BG9:BG115,db!BH9:BH115),LOOKUP(Table13[[#This Row],[Age]],db!BJ9:BJ115,db!BK9:BK115)))</f>
        <v>2000000000</v>
      </c>
      <c r="L8" s="17">
        <f>MIN(IF(B8=0,0,db!$E$4*((1+db!$B$4)^(B8-1))),Table13[[#This Row],[Max Sum Insured For Death]])</f>
        <v>2000000000</v>
      </c>
      <c r="M8" s="17">
        <f>ROUND(IF(L8&lt;=db!$L$7,L8,db!$L$7),0)</f>
        <v>2000000000</v>
      </c>
      <c r="N8" s="29">
        <f t="shared" si="11"/>
        <v>2000000000</v>
      </c>
      <c r="O8" s="29">
        <f>IF(B8=0,0,IF(db!$D$6="Yes",(db!$B$6)*M8,0))</f>
        <v>2000000000</v>
      </c>
      <c r="P8" s="29">
        <f>MIN(IF(O8&lt;=db!$L$2,O8,db!$L$2),MAX_ACC_CAPITAL)</f>
        <v>2000000000</v>
      </c>
      <c r="Q8" s="17">
        <f>IF(B8=0,0,IF(db!$D$7="Yes",(db!$B$7)*M8,0))</f>
        <v>1000000000</v>
      </c>
      <c r="R8" s="42">
        <f>IF(C8&gt;69,0,IF(C8=0,0,IF(Q8&lt;=db!$L$3,Q8,db!$L$3)))</f>
        <v>1000000000</v>
      </c>
      <c r="S8" s="29">
        <f>IF(B8=0,0,IF(db!$D$9="Yes",(db!$B$9)*M8,0))</f>
        <v>400000000</v>
      </c>
      <c r="T8" s="29">
        <f>ROUND(IF(C8&gt;69,0,IF(C8=0,0,IF(S8&lt;=db!$L$4,S8,db!$L$4))),0)</f>
        <v>50000000</v>
      </c>
      <c r="U8" s="38">
        <v>0</v>
      </c>
      <c r="V8" s="17">
        <v>0</v>
      </c>
      <c r="W8" s="29">
        <v>0</v>
      </c>
      <c r="X8" s="17">
        <f>IF(B8=0,0,IF(db!$D$11="Yes",(db!$B$11)*M8,0))</f>
        <v>300000000</v>
      </c>
      <c r="Y8" s="42">
        <f>ROUND(IF(C8&gt;59,0,IF(C8=0,0,IF(X8&lt;=db!$L$5,X8,db!$L$5))),0)</f>
        <v>200000000</v>
      </c>
      <c r="Z8" s="29">
        <f>IF(B8=0,0,IF(db!$D$12="Yes",(db!$B$12)*M8,0))</f>
        <v>500000000</v>
      </c>
      <c r="AA8" s="29">
        <f>ROUND(IF(C8&gt;59,0,IF(C8=0,0,IF(Z8&lt;=db!$L$6,Z8,db!$L$6))),0)</f>
        <v>300000000</v>
      </c>
      <c r="AB8" s="32"/>
      <c r="AC8" s="18">
        <f>IF(B8=0,0,IF(C8&lt;(db!$E$2+5),LOOKUP(C8,'Mortality Table'!$A$2:$A$108,'Mortality Table'!$P$2:$P$108),IF((C8&gt;=db!$E$2+10),LOOKUP(C8,'Mortality Table'!$A$2:$A$108,'Mortality Table'!$R$2:$R$108),LOOKUP(C8,'Mortality Table'!$A$2:$A$108,'Mortality Table'!$Q$2:$Q$108))))</f>
        <v>1.8733377188785425E-3</v>
      </c>
      <c r="AD8" s="22">
        <f t="shared" si="1"/>
        <v>3746675</v>
      </c>
      <c r="AE8" s="19">
        <f>IF(B8=0,0,LOOKUP(db!$A$8,db!$AX$4:$AX$8,db!$AY$4:$AY$8))</f>
        <v>0.6</v>
      </c>
      <c r="AF8" s="20">
        <f>ROUND((AE8/1000)*P8 * (1-db!$AS$9),0)</f>
        <v>906000</v>
      </c>
      <c r="AG8" s="20">
        <f>(AE8/1000)*P8 * db!$AS$9</f>
        <v>294000</v>
      </c>
      <c r="AH8" s="21">
        <f>IF(B8=0,0,LOOKUP(db!$A$8,db!$AX$4:$AX$8,db!$AZ$4:$AZ$8))</f>
        <v>0.6</v>
      </c>
      <c r="AI8" s="22">
        <f>(AH8/1000)*R8*(1-db!$AS$9)</f>
        <v>453000</v>
      </c>
      <c r="AJ8" s="22">
        <f>(AH8/1000)*R8*(db!$AS$9)</f>
        <v>147000</v>
      </c>
      <c r="AK8" s="23">
        <f>IF(B8=0,0,LOOKUP(db!$A$8,db!$AX$4:$AX$8,db!$BA$4:$BA$8))</f>
        <v>0.8</v>
      </c>
      <c r="AL8" s="20">
        <f>ROUND((AK8/(100))*T8*(1-db!$AS$9),0)</f>
        <v>302000</v>
      </c>
      <c r="AM8" s="20">
        <f>ROUND((AK8/(100))*T8*(db!$AS$9),0)</f>
        <v>98000</v>
      </c>
      <c r="AN8" s="21">
        <f>IF(db!$D$8="Yes",AH8,0)</f>
        <v>0.6</v>
      </c>
      <c r="AO8" s="22">
        <f>(AN8*V8)/1000*(1-db!$AS$9)</f>
        <v>0</v>
      </c>
      <c r="AP8" s="22">
        <f>(AN8*V8)/1000*(db!$AS$9)</f>
        <v>0</v>
      </c>
      <c r="AQ8" s="23">
        <f>IF(db!$D$10="Yes",AH8,0)</f>
        <v>0.6</v>
      </c>
      <c r="AR8" s="20">
        <f>(AQ8*W8/1000)*(1-db!$AS$9)</f>
        <v>0</v>
      </c>
      <c r="AS8" s="20">
        <f>(AQ8*W8/1000)*(db!$AS$9)</f>
        <v>0</v>
      </c>
      <c r="AT8" s="22">
        <f>IF(B8=0,0,IF(C8&gt;60,0,LOOKUP(LOOKUP(C8,RiskLoading!A$3:A$109,RiskLoading!DG$3:DG$109),db!$BC$3:$BC$63,db!$BD$3:$BD$63)))</f>
        <v>1500</v>
      </c>
      <c r="AU8" s="22">
        <f>AV8*db!$AS$10</f>
        <v>30000</v>
      </c>
      <c r="AV8" s="22">
        <f t="shared" si="2"/>
        <v>300000</v>
      </c>
      <c r="AW8" s="22">
        <f>(AT8/1000000)*Y8*(1-db!$AS$10)</f>
        <v>270000</v>
      </c>
      <c r="AX8" s="20">
        <f>IF(B8=0,0,IF(C8&gt;60,0,LOOKUP(LOOKUP(C8,RiskLoading!A$3:A$109,RiskLoading!DG$3:DG$109),db!$BC$3:$BC$63,db!$BE$3:$BE$63)))</f>
        <v>1500</v>
      </c>
      <c r="AY8" s="20">
        <f>(AX8/1000000)*AA8*(1-db!$AS$11)</f>
        <v>405000</v>
      </c>
      <c r="AZ8" s="20">
        <f>(AX8/1000000)*AA8*(db!$AS$11)</f>
        <v>45000</v>
      </c>
      <c r="BA8" s="19">
        <f>IF(Table13[Year]=0,0,LOOKUP(Table13[Age],RiskLoading!A$3:A$109,RiskLoading!DP$3:DP$109))</f>
        <v>4.7660142218716966E-4</v>
      </c>
      <c r="BB8" s="20">
        <f>Table13[[#This Row],[RiskLoading
Rate]]*Table13[[#This Row],[Death Capital (2)]]</f>
        <v>953202.84437433933</v>
      </c>
      <c r="BC8" s="36"/>
      <c r="BD8" s="37">
        <f t="shared" si="3"/>
        <v>3746675</v>
      </c>
      <c r="BE8" s="35">
        <f t="shared" si="4"/>
        <v>1661000</v>
      </c>
      <c r="BF8" s="35">
        <f t="shared" si="5"/>
        <v>539000</v>
      </c>
      <c r="BG8" s="37">
        <f t="shared" si="6"/>
        <v>675000</v>
      </c>
      <c r="BH8" s="37">
        <f t="shared" si="7"/>
        <v>75000</v>
      </c>
      <c r="BI8" s="35">
        <f t="shared" si="12"/>
        <v>2336000</v>
      </c>
      <c r="BJ8" s="35">
        <f t="shared" si="13"/>
        <v>614000</v>
      </c>
      <c r="BK8" s="37">
        <v>0</v>
      </c>
      <c r="BL8" s="37">
        <v>0</v>
      </c>
      <c r="BM8" s="35"/>
      <c r="BN8" s="37">
        <f>0</f>
        <v>0</v>
      </c>
      <c r="BO8" s="37"/>
      <c r="BP8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7649878</v>
      </c>
      <c r="BQ8" s="33"/>
      <c r="BR8" s="39">
        <f>Table13[[#This Row],[Initial Reserve]]-Table13[[#This Row],[All Deductions]]</f>
        <v>-7649878</v>
      </c>
      <c r="BS8" s="39">
        <v>0</v>
      </c>
      <c r="BT8" s="39">
        <f>IF(B8=0,0,BU7-Table13[[#This Row],[All Deductions]])</f>
        <v>184711855</v>
      </c>
      <c r="BU8" s="40">
        <f>ROUND(IF(B8=0,0,((BR8+BU7)*(1+db!U10))),0)</f>
        <v>212418633</v>
      </c>
      <c r="BV8" s="40">
        <f t="shared" si="17"/>
        <v>212419000</v>
      </c>
      <c r="BW8" s="15">
        <f t="shared" si="14"/>
        <v>7</v>
      </c>
      <c r="BX8" s="39">
        <f>IF(B8=0,0,((BR8)*(1+db!AH10))+((BX7)*(1+db!AD10)))</f>
        <v>255682209.77387512</v>
      </c>
      <c r="BY8" s="39">
        <f>IF(B8=0,0,((BR8)*(1+db!AH10))+((BY7)*(1+db!AD10)))</f>
        <v>255682209.77387512</v>
      </c>
      <c r="BZ8" s="40">
        <f>IF(B8=0,0,((BR8)*(1+db!AO10))+((BZ7)*(1+db!AK10)))</f>
        <v>291006787.26306123</v>
      </c>
      <c r="CA8" s="40">
        <f>BZ8-(SUM(BM$7:$BM9))</f>
        <v>291006787.26306123</v>
      </c>
      <c r="CB8" s="46"/>
    </row>
    <row r="9" spans="1:80">
      <c r="A9" s="16">
        <f t="shared" si="15"/>
        <v>8</v>
      </c>
      <c r="B9" s="16">
        <f>IF(B8=0,0,IF(db!$E$5&lt;B8+1,0,B8+1))</f>
        <v>8</v>
      </c>
      <c r="C9" s="15">
        <f t="shared" si="16"/>
        <v>35</v>
      </c>
      <c r="D9" s="312">
        <f>LOOKUP(Table13[[#This Row],[Age]],RiskLoading!A$3:A$109,RiskLoading!DG$3:DG$109)</f>
        <v>39</v>
      </c>
      <c r="E9" s="29">
        <f t="shared" si="8"/>
        <v>0</v>
      </c>
      <c r="F9" s="29">
        <f t="shared" si="9"/>
        <v>0</v>
      </c>
      <c r="G9" s="29">
        <f t="shared" si="0"/>
        <v>0</v>
      </c>
      <c r="H9" s="29">
        <v>0</v>
      </c>
      <c r="I9" s="29">
        <f>IF(B9=0,0,SUM($H$2:H9))</f>
        <v>100000000</v>
      </c>
      <c r="J9" s="17">
        <f t="shared" si="10"/>
        <v>2000000000</v>
      </c>
      <c r="K9" s="17">
        <f>IF(Table13[[#This Row],[Year]]=0,0,IF($C$2&lt;=50,LOOKUP(Table13[[#This Row],[Age]],db!BG10:BG116,db!BH10:BH116),LOOKUP(Table13[[#This Row],[Age]],db!BJ10:BJ116,db!BK10:BK116)))</f>
        <v>2000000000</v>
      </c>
      <c r="L9" s="17">
        <f>MIN(IF(B9=0,0,db!$E$4*((1+db!$B$4)^(B9-1))),Table13[[#This Row],[Max Sum Insured For Death]])</f>
        <v>2000000000</v>
      </c>
      <c r="M9" s="17">
        <f>ROUND(IF(L9&lt;=db!$L$7,L9,db!$L$7),0)</f>
        <v>2000000000</v>
      </c>
      <c r="N9" s="29">
        <f t="shared" si="11"/>
        <v>2000000000</v>
      </c>
      <c r="O9" s="29">
        <f>IF(B9=0,0,IF(db!$D$6="Yes",(db!$B$6)*M9,0))</f>
        <v>2000000000</v>
      </c>
      <c r="P9" s="29">
        <f>MIN(IF(O9&lt;=db!$L$2,O9,db!$L$2),MAX_ACC_CAPITAL)</f>
        <v>2000000000</v>
      </c>
      <c r="Q9" s="17">
        <f>IF(B9=0,0,IF(db!$D$7="Yes",(db!$B$7)*M9,0))</f>
        <v>1000000000</v>
      </c>
      <c r="R9" s="42">
        <f>IF(C9&gt;69,0,IF(C9=0,0,IF(Q9&lt;=db!$L$3,Q9,db!$L$3)))</f>
        <v>1000000000</v>
      </c>
      <c r="S9" s="29">
        <f>IF(B9=0,0,IF(db!$D$9="Yes",(db!$B$9)*M9,0))</f>
        <v>400000000</v>
      </c>
      <c r="T9" s="29">
        <f>ROUND(IF(C9&gt;69,0,IF(C9=0,0,IF(S9&lt;=db!$L$4,S9,db!$L$4))),0)</f>
        <v>50000000</v>
      </c>
      <c r="U9" s="38">
        <v>0</v>
      </c>
      <c r="V9" s="17">
        <v>0</v>
      </c>
      <c r="W9" s="29">
        <v>0</v>
      </c>
      <c r="X9" s="17">
        <f>IF(B9=0,0,IF(db!$D$11="Yes",(db!$B$11)*M9,0))</f>
        <v>300000000</v>
      </c>
      <c r="Y9" s="42">
        <f>ROUND(IF(C9&gt;59,0,IF(C9=0,0,IF(X9&lt;=db!$L$5,X9,db!$L$5))),0)</f>
        <v>200000000</v>
      </c>
      <c r="Z9" s="29">
        <f>IF(B9=0,0,IF(db!$D$12="Yes",(db!$B$12)*M9,0))</f>
        <v>500000000</v>
      </c>
      <c r="AA9" s="29">
        <f>ROUND(IF(C9&gt;59,0,IF(C9=0,0,IF(Z9&lt;=db!$L$6,Z9,db!$L$6))),0)</f>
        <v>300000000</v>
      </c>
      <c r="AB9" s="32"/>
      <c r="AC9" s="18">
        <f>IF(B9=0,0,IF(C9&lt;(db!$E$2+5),LOOKUP(C9,'Mortality Table'!$A$2:$A$108,'Mortality Table'!$P$2:$P$108),IF((C9&gt;=db!$E$2+10),LOOKUP(C9,'Mortality Table'!$A$2:$A$108,'Mortality Table'!$R$2:$R$108),LOOKUP(C9,'Mortality Table'!$A$2:$A$108,'Mortality Table'!$Q$2:$Q$108))))</f>
        <v>1.9646422668864942E-3</v>
      </c>
      <c r="AD9" s="22">
        <f t="shared" si="1"/>
        <v>3929285</v>
      </c>
      <c r="AE9" s="19">
        <f>IF(B9=0,0,LOOKUP(db!$A$8,db!$AX$4:$AX$8,db!$AY$4:$AY$8))</f>
        <v>0.6</v>
      </c>
      <c r="AF9" s="20">
        <f>ROUND((AE9/1000)*P9 * (1-db!$AS$9),0)</f>
        <v>906000</v>
      </c>
      <c r="AG9" s="20">
        <f>(AE9/1000)*P9 * db!$AS$9</f>
        <v>294000</v>
      </c>
      <c r="AH9" s="21">
        <f>IF(B9=0,0,LOOKUP(db!$A$8,db!$AX$4:$AX$8,db!$AZ$4:$AZ$8))</f>
        <v>0.6</v>
      </c>
      <c r="AI9" s="22">
        <f>(AH9/1000)*R9*(1-db!$AS$9)</f>
        <v>453000</v>
      </c>
      <c r="AJ9" s="22">
        <f>(AH9/1000)*R9*(db!$AS$9)</f>
        <v>147000</v>
      </c>
      <c r="AK9" s="23">
        <f>IF(B9=0,0,LOOKUP(db!$A$8,db!$AX$4:$AX$8,db!$BA$4:$BA$8))</f>
        <v>0.8</v>
      </c>
      <c r="AL9" s="20">
        <f>ROUND((AK9/(100))*T9*(1-db!$AS$9),0)</f>
        <v>302000</v>
      </c>
      <c r="AM9" s="20">
        <f>ROUND((AK9/(100))*T9*(db!$AS$9),0)</f>
        <v>98000</v>
      </c>
      <c r="AN9" s="21">
        <f>IF(db!$D$8="Yes",AH9,0)</f>
        <v>0.6</v>
      </c>
      <c r="AO9" s="22">
        <f>(AN9*V9)/1000*(1-db!$AS$9)</f>
        <v>0</v>
      </c>
      <c r="AP9" s="22">
        <f>(AN9*V9)/1000*(db!$AS$9)</f>
        <v>0</v>
      </c>
      <c r="AQ9" s="23">
        <f>IF(db!$D$10="Yes",AH9,0)</f>
        <v>0.6</v>
      </c>
      <c r="AR9" s="20">
        <f>(AQ9*W9/1000)*(1-db!$AS$9)</f>
        <v>0</v>
      </c>
      <c r="AS9" s="20">
        <f>(AQ9*W9/1000)*(db!$AS$9)</f>
        <v>0</v>
      </c>
      <c r="AT9" s="22">
        <f>IF(B9=0,0,IF(C9&gt;60,0,LOOKUP(LOOKUP(C9,RiskLoading!A$3:A$109,RiskLoading!DG$3:DG$109),db!$BC$3:$BC$63,db!$BD$3:$BD$63)))</f>
        <v>1500</v>
      </c>
      <c r="AU9" s="22">
        <f>AV9*db!$AS$10</f>
        <v>30000</v>
      </c>
      <c r="AV9" s="22">
        <f t="shared" si="2"/>
        <v>300000</v>
      </c>
      <c r="AW9" s="22">
        <f>(AT9/1000000)*Y9*(1-db!$AS$10)</f>
        <v>270000</v>
      </c>
      <c r="AX9" s="20">
        <f>IF(B9=0,0,IF(C9&gt;60,0,LOOKUP(LOOKUP(C9,RiskLoading!A$3:A$109,RiskLoading!DG$3:DG$109),db!$BC$3:$BC$63,db!$BE$3:$BE$63)))</f>
        <v>1500</v>
      </c>
      <c r="AY9" s="20">
        <f>(AX9/1000000)*AA9*(1-db!$AS$11)</f>
        <v>405000</v>
      </c>
      <c r="AZ9" s="20">
        <f>(AX9/1000000)*AA9*(db!$AS$11)</f>
        <v>45000</v>
      </c>
      <c r="BA9" s="19">
        <f>IF(Table13[Year]=0,0,LOOKUP(Table13[Age],RiskLoading!A$3:A$109,RiskLoading!DP$3:DP$109))</f>
        <v>4.9921140079057418E-4</v>
      </c>
      <c r="BB9" s="20">
        <f>Table13[[#This Row],[RiskLoading
Rate]]*Table13[[#This Row],[Death Capital (2)]]</f>
        <v>998422.80158114841</v>
      </c>
      <c r="BC9" s="36"/>
      <c r="BD9" s="37">
        <f t="shared" si="3"/>
        <v>3929285</v>
      </c>
      <c r="BE9" s="35">
        <f t="shared" si="4"/>
        <v>1661000</v>
      </c>
      <c r="BF9" s="35">
        <f t="shared" si="5"/>
        <v>539000</v>
      </c>
      <c r="BG9" s="37">
        <f t="shared" si="6"/>
        <v>675000</v>
      </c>
      <c r="BH9" s="37">
        <f t="shared" si="7"/>
        <v>75000</v>
      </c>
      <c r="BI9" s="35">
        <f t="shared" si="12"/>
        <v>2336000</v>
      </c>
      <c r="BJ9" s="35">
        <f t="shared" si="13"/>
        <v>614000</v>
      </c>
      <c r="BK9" s="37">
        <v>0</v>
      </c>
      <c r="BL9" s="37">
        <v>0</v>
      </c>
      <c r="BM9" s="35"/>
      <c r="BN9" s="37">
        <f>0</f>
        <v>0</v>
      </c>
      <c r="BO9" s="37"/>
      <c r="BP9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7877708</v>
      </c>
      <c r="BQ9" s="33"/>
      <c r="BR9" s="39">
        <f>Table13[[#This Row],[Initial Reserve]]-Table13[[#This Row],[All Deductions]]</f>
        <v>-7877708</v>
      </c>
      <c r="BS9" s="39">
        <v>0</v>
      </c>
      <c r="BT9" s="39">
        <f>IF(B9=0,0,BU8-Table13[[#This Row],[All Deductions]])</f>
        <v>204540925</v>
      </c>
      <c r="BU9" s="40">
        <f>ROUND(IF(B9=0,0,((BR9+BU8)*(1+db!U11))),0)</f>
        <v>235222064</v>
      </c>
      <c r="BV9" s="40">
        <f t="shared" si="17"/>
        <v>235222000</v>
      </c>
      <c r="BW9" s="15">
        <f t="shared" si="14"/>
        <v>8</v>
      </c>
      <c r="BX9" s="39">
        <f>IF(B9=0,0,((BR9)*(1+db!AH11))+((BX8)*(1+db!AD11)))</f>
        <v>297365402.12865013</v>
      </c>
      <c r="BY9" s="39">
        <f>IF(B9=0,0,((BR9)*(1+db!AH11))+((BY8)*(1+db!AD11)))</f>
        <v>297365402.12865013</v>
      </c>
      <c r="BZ9" s="40">
        <f>IF(B9=0,0,((BR9)*(1+db!AO11))+((BZ8)*(1+db!AK11)))</f>
        <v>345417476.70093471</v>
      </c>
      <c r="CA9" s="40">
        <f>BZ9-(SUM(BM$7:$BM10))</f>
        <v>345417476.70093471</v>
      </c>
      <c r="CB9" s="46"/>
    </row>
    <row r="10" spans="1:80">
      <c r="A10" s="16">
        <f t="shared" si="15"/>
        <v>9</v>
      </c>
      <c r="B10" s="16">
        <f>IF(B9=0,0,IF(db!$E$5&lt;B9+1,0,B9+1))</f>
        <v>9</v>
      </c>
      <c r="C10" s="15">
        <f t="shared" si="16"/>
        <v>36</v>
      </c>
      <c r="D10" s="312">
        <f>LOOKUP(Table13[[#This Row],[Age]],RiskLoading!A$3:A$109,RiskLoading!DG$3:DG$109)</f>
        <v>40</v>
      </c>
      <c r="E10" s="29">
        <f t="shared" si="8"/>
        <v>0</v>
      </c>
      <c r="F10" s="29">
        <f t="shared" si="9"/>
        <v>0</v>
      </c>
      <c r="G10" s="29">
        <f t="shared" si="0"/>
        <v>0</v>
      </c>
      <c r="H10" s="29">
        <v>0</v>
      </c>
      <c r="I10" s="29">
        <f>IF(B10=0,0,SUM($H$2:H10))</f>
        <v>100000000</v>
      </c>
      <c r="J10" s="17">
        <f t="shared" si="10"/>
        <v>2000000000</v>
      </c>
      <c r="K10" s="17">
        <f>IF(Table13[[#This Row],[Year]]=0,0,IF($C$2&lt;=50,LOOKUP(Table13[[#This Row],[Age]],db!BG11:BG117,db!BH11:BH117),LOOKUP(Table13[[#This Row],[Age]],db!BJ11:BJ117,db!BK11:BK117)))</f>
        <v>2000000000</v>
      </c>
      <c r="L10" s="17">
        <f>MIN(IF(B10=0,0,db!$E$4*((1+db!$B$4)^(B10-1))),Table13[[#This Row],[Max Sum Insured For Death]])</f>
        <v>2000000000</v>
      </c>
      <c r="M10" s="17">
        <f>ROUND(IF(L10&lt;=db!$L$7,L10,db!$L$7),0)</f>
        <v>2000000000</v>
      </c>
      <c r="N10" s="29">
        <f t="shared" si="11"/>
        <v>2000000000</v>
      </c>
      <c r="O10" s="29">
        <f>IF(B10=0,0,IF(db!$D$6="Yes",(db!$B$6)*M10,0))</f>
        <v>2000000000</v>
      </c>
      <c r="P10" s="29">
        <f>MIN(IF(O10&lt;=db!$L$2,O10,db!$L$2),MAX_ACC_CAPITAL)</f>
        <v>2000000000</v>
      </c>
      <c r="Q10" s="17">
        <f>IF(B10=0,0,IF(db!$D$7="Yes",(db!$B$7)*M10,0))</f>
        <v>1000000000</v>
      </c>
      <c r="R10" s="42">
        <f>IF(C10&gt;69,0,IF(C10=0,0,IF(Q10&lt;=db!$L$3,Q10,db!$L$3)))</f>
        <v>1000000000</v>
      </c>
      <c r="S10" s="29">
        <f>IF(B10=0,0,IF(db!$D$9="Yes",(db!$B$9)*M10,0))</f>
        <v>400000000</v>
      </c>
      <c r="T10" s="29">
        <f>ROUND(IF(C10&gt;69,0,IF(C10=0,0,IF(S10&lt;=db!$L$4,S10,db!$L$4))),0)</f>
        <v>50000000</v>
      </c>
      <c r="U10" s="38">
        <v>0</v>
      </c>
      <c r="V10" s="17">
        <v>0</v>
      </c>
      <c r="W10" s="29">
        <v>0</v>
      </c>
      <c r="X10" s="17">
        <f>IF(B10=0,0,IF(db!$D$11="Yes",(db!$B$11)*M10,0))</f>
        <v>300000000</v>
      </c>
      <c r="Y10" s="42">
        <f>ROUND(IF(C10&gt;59,0,IF(C10=0,0,IF(X10&lt;=db!$L$5,X10,db!$L$5))),0)</f>
        <v>200000000</v>
      </c>
      <c r="Z10" s="29">
        <f>IF(B10=0,0,IF(db!$D$12="Yes",(db!$B$12)*M10,0))</f>
        <v>500000000</v>
      </c>
      <c r="AA10" s="29">
        <f>ROUND(IF(C10&gt;59,0,IF(C10=0,0,IF(Z10&lt;=db!$L$6,Z10,db!$L$6))),0)</f>
        <v>300000000</v>
      </c>
      <c r="AB10" s="32"/>
      <c r="AC10" s="18">
        <f>IF(B10=0,0,IF(C10&lt;(db!$E$2+5),LOOKUP(C10,'Mortality Table'!$A$2:$A$108,'Mortality Table'!$P$2:$P$108),IF((C10&gt;=db!$E$2+10),LOOKUP(C10,'Mortality Table'!$A$2:$A$108,'Mortality Table'!$R$2:$R$108),LOOKUP(C10,'Mortality Table'!$A$2:$A$108,'Mortality Table'!$Q$2:$Q$108))))</f>
        <v>2.0760015485094137E-3</v>
      </c>
      <c r="AD10" s="22">
        <f t="shared" si="1"/>
        <v>4152003</v>
      </c>
      <c r="AE10" s="19">
        <f>IF(B10=0,0,LOOKUP(db!$A$8,db!$AX$4:$AX$8,db!$AY$4:$AY$8))</f>
        <v>0.6</v>
      </c>
      <c r="AF10" s="20">
        <f>ROUND((AE10/1000)*P10 * (1-db!$AS$9),0)</f>
        <v>906000</v>
      </c>
      <c r="AG10" s="20">
        <f>(AE10/1000)*P10 * db!$AS$9</f>
        <v>294000</v>
      </c>
      <c r="AH10" s="21">
        <f>IF(B10=0,0,LOOKUP(db!$A$8,db!$AX$4:$AX$8,db!$AZ$4:$AZ$8))</f>
        <v>0.6</v>
      </c>
      <c r="AI10" s="22">
        <f>(AH10/1000)*R10*(1-db!$AS$9)</f>
        <v>453000</v>
      </c>
      <c r="AJ10" s="22">
        <f>(AH10/1000)*R10*(db!$AS$9)</f>
        <v>147000</v>
      </c>
      <c r="AK10" s="23">
        <f>IF(B10=0,0,LOOKUP(db!$A$8,db!$AX$4:$AX$8,db!$BA$4:$BA$8))</f>
        <v>0.8</v>
      </c>
      <c r="AL10" s="20">
        <f>ROUND((AK10/(100))*T10*(1-db!$AS$9),0)</f>
        <v>302000</v>
      </c>
      <c r="AM10" s="20">
        <f>ROUND((AK10/(100))*T10*(db!$AS$9),0)</f>
        <v>98000</v>
      </c>
      <c r="AN10" s="21">
        <f>IF(db!$D$8="Yes",AH10,0)</f>
        <v>0.6</v>
      </c>
      <c r="AO10" s="22">
        <f>(AN10*V10)/1000*(1-db!$AS$9)</f>
        <v>0</v>
      </c>
      <c r="AP10" s="22">
        <f>(AN10*V10)/1000*(db!$AS$9)</f>
        <v>0</v>
      </c>
      <c r="AQ10" s="23">
        <f>IF(db!$D$10="Yes",AH10,0)</f>
        <v>0.6</v>
      </c>
      <c r="AR10" s="20">
        <f>(AQ10*W10/1000)*(1-db!$AS$9)</f>
        <v>0</v>
      </c>
      <c r="AS10" s="20">
        <f>(AQ10*W10/1000)*(db!$AS$9)</f>
        <v>0</v>
      </c>
      <c r="AT10" s="22">
        <f>IF(B10=0,0,IF(C10&gt;60,0,LOOKUP(LOOKUP(C10,RiskLoading!A$3:A$109,RiskLoading!DG$3:DG$109),db!$BC$3:$BC$63,db!$BD$3:$BD$63)))</f>
        <v>1500</v>
      </c>
      <c r="AU10" s="22">
        <f>AV10*db!$AS$10</f>
        <v>30000</v>
      </c>
      <c r="AV10" s="22">
        <f t="shared" si="2"/>
        <v>300000</v>
      </c>
      <c r="AW10" s="22">
        <f>(AT10/1000000)*Y10*(1-db!$AS$10)</f>
        <v>270000</v>
      </c>
      <c r="AX10" s="20">
        <f>IF(B10=0,0,IF(C10&gt;60,0,LOOKUP(LOOKUP(C10,RiskLoading!A$3:A$109,RiskLoading!DG$3:DG$109),db!$BC$3:$BC$63,db!$BE$3:$BE$63)))</f>
        <v>1500</v>
      </c>
      <c r="AY10" s="20">
        <f>(AX10/1000000)*AA10*(1-db!$AS$11)</f>
        <v>405000</v>
      </c>
      <c r="AZ10" s="20">
        <f>(AX10/1000000)*AA10*(db!$AS$11)</f>
        <v>45000</v>
      </c>
      <c r="BA10" s="19">
        <f>IF(Table13[Year]=0,0,LOOKUP(Table13[Age],RiskLoading!A$3:A$109,RiskLoading!DP$3:DP$109))</f>
        <v>5.8138027473256509E-4</v>
      </c>
      <c r="BB10" s="20">
        <f>Table13[[#This Row],[RiskLoading
Rate]]*Table13[[#This Row],[Death Capital (2)]]</f>
        <v>1162760.5494651301</v>
      </c>
      <c r="BC10" s="36"/>
      <c r="BD10" s="37">
        <f t="shared" si="3"/>
        <v>4152003</v>
      </c>
      <c r="BE10" s="35">
        <f t="shared" si="4"/>
        <v>1661000</v>
      </c>
      <c r="BF10" s="35">
        <f t="shared" si="5"/>
        <v>539000</v>
      </c>
      <c r="BG10" s="37">
        <f t="shared" si="6"/>
        <v>675000</v>
      </c>
      <c r="BH10" s="37">
        <f t="shared" si="7"/>
        <v>75000</v>
      </c>
      <c r="BI10" s="35">
        <f t="shared" si="12"/>
        <v>2336000</v>
      </c>
      <c r="BJ10" s="35">
        <f t="shared" si="13"/>
        <v>614000</v>
      </c>
      <c r="BK10" s="37">
        <v>0</v>
      </c>
      <c r="BL10" s="37">
        <v>0</v>
      </c>
      <c r="BM10" s="35"/>
      <c r="BN10" s="37">
        <f>0</f>
        <v>0</v>
      </c>
      <c r="BO10" s="37"/>
      <c r="BP10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8264764</v>
      </c>
      <c r="BQ10" s="33"/>
      <c r="BR10" s="39">
        <f>Table13[[#This Row],[Initial Reserve]]-Table13[[#This Row],[All Deductions]]</f>
        <v>-8264764</v>
      </c>
      <c r="BS10" s="39">
        <v>0</v>
      </c>
      <c r="BT10" s="39">
        <f>IF(B10=0,0,BU9-Table13[[#This Row],[All Deductions]])</f>
        <v>226957300</v>
      </c>
      <c r="BU10" s="40">
        <f>ROUND(IF(B10=0,0,((BR10+BU9)*(1+db!U12))),0)</f>
        <v>261000895</v>
      </c>
      <c r="BV10" s="40">
        <f t="shared" si="17"/>
        <v>261001000</v>
      </c>
      <c r="BW10" s="15">
        <f t="shared" si="14"/>
        <v>9</v>
      </c>
      <c r="BX10" s="39">
        <f>IF(B10=0,0,((BR10)*(1+db!AH12))+((BX9)*(1+db!AD12)))</f>
        <v>346920765.75438011</v>
      </c>
      <c r="BY10" s="39">
        <f>IF(B10=0,0,((BR10)*(1+db!AH12))+((BY9)*(1+db!AD12)))</f>
        <v>346920765.75438011</v>
      </c>
      <c r="BZ10" s="40">
        <f>IF(B10=0,0,((BR10)*(1+db!AO12))+((BZ9)*(1+db!AK12)))</f>
        <v>411326309.49514037</v>
      </c>
      <c r="CA10" s="40">
        <f>BZ10-(SUM(BM$7:$BM11))</f>
        <v>411326309.49514037</v>
      </c>
      <c r="CB10" s="46"/>
    </row>
    <row r="11" spans="1:80">
      <c r="A11" s="16">
        <f t="shared" si="15"/>
        <v>10</v>
      </c>
      <c r="B11" s="16">
        <f>IF(B10=0,0,IF(db!$E$5&lt;B10+1,0,B10+1))</f>
        <v>10</v>
      </c>
      <c r="C11" s="15">
        <f t="shared" si="16"/>
        <v>37</v>
      </c>
      <c r="D11" s="312">
        <f>LOOKUP(Table13[[#This Row],[Age]],RiskLoading!A$3:A$109,RiskLoading!DG$3:DG$109)</f>
        <v>40</v>
      </c>
      <c r="E11" s="29">
        <f t="shared" si="8"/>
        <v>0</v>
      </c>
      <c r="F11" s="29">
        <f t="shared" si="9"/>
        <v>0</v>
      </c>
      <c r="G11" s="29">
        <f t="shared" si="0"/>
        <v>0</v>
      </c>
      <c r="H11" s="29">
        <v>0</v>
      </c>
      <c r="I11" s="29">
        <f>IF(B11=0,0,SUM($H$2:H11))</f>
        <v>100000000</v>
      </c>
      <c r="J11" s="17">
        <f t="shared" si="10"/>
        <v>2000000000</v>
      </c>
      <c r="K11" s="17">
        <f>IF(Table13[[#This Row],[Year]]=0,0,IF($C$2&lt;=50,LOOKUP(Table13[[#This Row],[Age]],db!BG12:BG118,db!BH12:BH118),LOOKUP(Table13[[#This Row],[Age]],db!BJ12:BJ118,db!BK12:BK118)))</f>
        <v>2000000000</v>
      </c>
      <c r="L11" s="17">
        <f>MIN(IF(B11=0,0,db!$E$4*((1+db!$B$4)^(B11-1))),Table13[[#This Row],[Max Sum Insured For Death]])</f>
        <v>2000000000</v>
      </c>
      <c r="M11" s="17">
        <f>ROUND(IF(L11&lt;=db!$L$7,L11,db!$L$7),0)</f>
        <v>2000000000</v>
      </c>
      <c r="N11" s="29">
        <f t="shared" si="11"/>
        <v>2000000000</v>
      </c>
      <c r="O11" s="29">
        <f>IF(B11=0,0,IF(db!$D$6="Yes",(db!$B$6)*M11,0))</f>
        <v>2000000000</v>
      </c>
      <c r="P11" s="29">
        <f>MIN(IF(O11&lt;=db!$L$2,O11,db!$L$2),MAX_ACC_CAPITAL)</f>
        <v>2000000000</v>
      </c>
      <c r="Q11" s="17">
        <f>IF(B11=0,0,IF(db!$D$7="Yes",(db!$B$7)*M11,0))</f>
        <v>1000000000</v>
      </c>
      <c r="R11" s="42">
        <f>IF(C11&gt;69,0,IF(C11=0,0,IF(Q11&lt;=db!$L$3,Q11,db!$L$3)))</f>
        <v>1000000000</v>
      </c>
      <c r="S11" s="29">
        <f>IF(B11=0,0,IF(db!$D$9="Yes",(db!$B$9)*M11,0))</f>
        <v>400000000</v>
      </c>
      <c r="T11" s="29">
        <f>ROUND(IF(C11&gt;69,0,IF(C11=0,0,IF(S11&lt;=db!$L$4,S11,db!$L$4))),0)</f>
        <v>50000000</v>
      </c>
      <c r="U11" s="38">
        <v>0</v>
      </c>
      <c r="V11" s="17">
        <v>0</v>
      </c>
      <c r="W11" s="29">
        <v>0</v>
      </c>
      <c r="X11" s="17">
        <f>IF(B11=0,0,IF(db!$D$11="Yes",(db!$B$11)*M11,0))</f>
        <v>300000000</v>
      </c>
      <c r="Y11" s="42">
        <f>ROUND(IF(C11&gt;59,0,IF(C11=0,0,IF(X11&lt;=db!$L$5,X11,db!$L$5))),0)</f>
        <v>200000000</v>
      </c>
      <c r="Z11" s="29">
        <f>IF(B11=0,0,IF(db!$D$12="Yes",(db!$B$12)*M11,0))</f>
        <v>500000000</v>
      </c>
      <c r="AA11" s="29">
        <f>ROUND(IF(C11&gt;59,0,IF(C11=0,0,IF(Z11&lt;=db!$L$6,Z11,db!$L$6))),0)</f>
        <v>300000000</v>
      </c>
      <c r="AB11" s="32"/>
      <c r="AC11" s="18">
        <f>IF(B11=0,0,IF(C11&lt;(db!$E$2+5),LOOKUP(C11,'Mortality Table'!$A$2:$A$108,'Mortality Table'!$P$2:$P$108),IF((C11&gt;=db!$E$2+10),LOOKUP(C11,'Mortality Table'!$A$2:$A$108,'Mortality Table'!$R$2:$R$108),LOOKUP(C11,'Mortality Table'!$A$2:$A$108,'Mortality Table'!$Q$2:$Q$108))))</f>
        <v>2.2076206138745983E-3</v>
      </c>
      <c r="AD11" s="22">
        <f t="shared" si="1"/>
        <v>4415241</v>
      </c>
      <c r="AE11" s="19">
        <f>IF(B11=0,0,LOOKUP(db!$A$8,db!$AX$4:$AX$8,db!$AY$4:$AY$8))</f>
        <v>0.6</v>
      </c>
      <c r="AF11" s="20">
        <f>ROUND((AE11/1000)*P11 * (1-db!$AS$9),0)</f>
        <v>906000</v>
      </c>
      <c r="AG11" s="20">
        <f>(AE11/1000)*P11 * db!$AS$9</f>
        <v>294000</v>
      </c>
      <c r="AH11" s="21">
        <f>IF(B11=0,0,LOOKUP(db!$A$8,db!$AX$4:$AX$8,db!$AZ$4:$AZ$8))</f>
        <v>0.6</v>
      </c>
      <c r="AI11" s="22">
        <f>(AH11/1000)*R11*(1-db!$AS$9)</f>
        <v>453000</v>
      </c>
      <c r="AJ11" s="22">
        <f>(AH11/1000)*R11*(db!$AS$9)</f>
        <v>147000</v>
      </c>
      <c r="AK11" s="23">
        <f>IF(B11=0,0,LOOKUP(db!$A$8,db!$AX$4:$AX$8,db!$BA$4:$BA$8))</f>
        <v>0.8</v>
      </c>
      <c r="AL11" s="20">
        <f>ROUND((AK11/(100))*T11*(1-db!$AS$9),0)</f>
        <v>302000</v>
      </c>
      <c r="AM11" s="20">
        <f>ROUND((AK11/(100))*T11*(db!$AS$9),0)</f>
        <v>98000</v>
      </c>
      <c r="AN11" s="21">
        <f>IF(db!$D$8="Yes",AH11,0)</f>
        <v>0.6</v>
      </c>
      <c r="AO11" s="22">
        <f>(AN11*V11)/1000*(1-db!$AS$9)</f>
        <v>0</v>
      </c>
      <c r="AP11" s="22">
        <f>(AN11*V11)/1000*(db!$AS$9)</f>
        <v>0</v>
      </c>
      <c r="AQ11" s="23">
        <f>IF(db!$D$10="Yes",AH11,0)</f>
        <v>0.6</v>
      </c>
      <c r="AR11" s="20">
        <f>(AQ11*W11/1000)*(1-db!$AS$9)</f>
        <v>0</v>
      </c>
      <c r="AS11" s="20">
        <f>(AQ11*W11/1000)*(db!$AS$9)</f>
        <v>0</v>
      </c>
      <c r="AT11" s="22">
        <f>IF(B11=0,0,IF(C11&gt;60,0,LOOKUP(LOOKUP(C11,RiskLoading!A$3:A$109,RiskLoading!DG$3:DG$109),db!$BC$3:$BC$63,db!$BD$3:$BD$63)))</f>
        <v>1500</v>
      </c>
      <c r="AU11" s="22">
        <f>AV11*db!$AS$10</f>
        <v>30000</v>
      </c>
      <c r="AV11" s="22">
        <f t="shared" si="2"/>
        <v>300000</v>
      </c>
      <c r="AW11" s="22">
        <f>(AT11/1000000)*Y11*(1-db!$AS$10)</f>
        <v>270000</v>
      </c>
      <c r="AX11" s="20">
        <f>IF(B11=0,0,IF(C11&gt;60,0,LOOKUP(LOOKUP(C11,RiskLoading!A$3:A$109,RiskLoading!DG$3:DG$109),db!$BC$3:$BC$63,db!$BE$3:$BE$63)))</f>
        <v>1500</v>
      </c>
      <c r="AY11" s="20">
        <f>(AX11/1000000)*AA11*(1-db!$AS$11)</f>
        <v>405000</v>
      </c>
      <c r="AZ11" s="20">
        <f>(AX11/1000000)*AA11*(db!$AS$11)</f>
        <v>45000</v>
      </c>
      <c r="BA11" s="19">
        <f>IF(Table13[Year]=0,0,LOOKUP(Table13[Age],RiskLoading!A$3:A$109,RiskLoading!DP$3:DP$109))</f>
        <v>4.4976120936738055E-4</v>
      </c>
      <c r="BB11" s="20">
        <f>Table13[[#This Row],[RiskLoading
Rate]]*Table13[[#This Row],[Death Capital (2)]]</f>
        <v>899522.41873476107</v>
      </c>
      <c r="BC11" s="36"/>
      <c r="BD11" s="37">
        <f t="shared" si="3"/>
        <v>4415241</v>
      </c>
      <c r="BE11" s="35">
        <f t="shared" si="4"/>
        <v>1661000</v>
      </c>
      <c r="BF11" s="35">
        <f t="shared" si="5"/>
        <v>539000</v>
      </c>
      <c r="BG11" s="37">
        <f t="shared" si="6"/>
        <v>675000</v>
      </c>
      <c r="BH11" s="37">
        <f t="shared" si="7"/>
        <v>75000</v>
      </c>
      <c r="BI11" s="35">
        <f t="shared" si="12"/>
        <v>2336000</v>
      </c>
      <c r="BJ11" s="35">
        <f t="shared" si="13"/>
        <v>614000</v>
      </c>
      <c r="BK11" s="37">
        <v>0</v>
      </c>
      <c r="BL11" s="37">
        <v>0</v>
      </c>
      <c r="BM11" s="35"/>
      <c r="BN11" s="37">
        <f>0</f>
        <v>0</v>
      </c>
      <c r="BO11" s="37"/>
      <c r="BP11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8264763</v>
      </c>
      <c r="BQ11" s="33"/>
      <c r="BR11" s="39">
        <f>Table13[[#This Row],[Initial Reserve]]-Table13[[#This Row],[All Deductions]]</f>
        <v>-8264763</v>
      </c>
      <c r="BS11" s="39">
        <v>0</v>
      </c>
      <c r="BT11" s="39">
        <f>IF(B11=0,0,BU10-Table13[[#This Row],[All Deductions]])</f>
        <v>252736132</v>
      </c>
      <c r="BU11" s="40">
        <f>ROUND(IF(B11=0,0,((BR11+BU10)*(1+db!U13))),0)</f>
        <v>290646552</v>
      </c>
      <c r="BV11" s="40">
        <f t="shared" si="17"/>
        <v>290647000</v>
      </c>
      <c r="BW11" s="15">
        <f t="shared" si="14"/>
        <v>10</v>
      </c>
      <c r="BX11" s="39">
        <f>IF(B11=0,0,((BR11)*(1+db!AH13))+((BX10)*(1+db!AD13)))</f>
        <v>406387203.30525607</v>
      </c>
      <c r="BY11" s="39">
        <f>IF(B11=0,0,((BR11)*(1+db!AH13))+((BY10)*(1+db!AD13)))</f>
        <v>406387203.30525607</v>
      </c>
      <c r="BZ11" s="40">
        <f>IF(B11=0,0,((BR11)*(1+db!AO13))+((BZ10)*(1+db!AK13)))</f>
        <v>491735086.7240712</v>
      </c>
      <c r="CA11" s="40">
        <f>BZ11-(SUM(BM$7:$BM12))</f>
        <v>491735086.7240712</v>
      </c>
      <c r="CB11" s="46"/>
    </row>
    <row r="12" spans="1:80">
      <c r="A12" s="16">
        <f t="shared" si="15"/>
        <v>11</v>
      </c>
      <c r="B12" s="16">
        <f>IF(B11=0,0,IF(db!$E$5&lt;B11+1,0,B11+1))</f>
        <v>11</v>
      </c>
      <c r="C12" s="15">
        <f t="shared" si="16"/>
        <v>38</v>
      </c>
      <c r="D12" s="312">
        <f>LOOKUP(Table13[[#This Row],[Age]],RiskLoading!A$3:A$109,RiskLoading!DG$3:DG$109)</f>
        <v>41</v>
      </c>
      <c r="E12" s="29">
        <f t="shared" si="8"/>
        <v>0</v>
      </c>
      <c r="F12" s="29">
        <f t="shared" si="9"/>
        <v>0</v>
      </c>
      <c r="G12" s="29">
        <f t="shared" si="0"/>
        <v>0</v>
      </c>
      <c r="H12" s="29">
        <v>0</v>
      </c>
      <c r="I12" s="29">
        <f>IF(B12=0,0,SUM($H$2:H12))</f>
        <v>100000000</v>
      </c>
      <c r="J12" s="17">
        <f t="shared" si="10"/>
        <v>2000000000</v>
      </c>
      <c r="K12" s="17">
        <f>IF(Table13[[#This Row],[Year]]=0,0,IF($C$2&lt;=50,LOOKUP(Table13[[#This Row],[Age]],db!BG13:BG119,db!BH13:BH119),LOOKUP(Table13[[#This Row],[Age]],db!BJ13:BJ119,db!BK13:BK119)))</f>
        <v>2000000000</v>
      </c>
      <c r="L12" s="17">
        <f>MIN(IF(B12=0,0,db!$E$4*((1+db!$B$4)^(B12-1))),Table13[[#This Row],[Max Sum Insured For Death]])</f>
        <v>2000000000</v>
      </c>
      <c r="M12" s="17">
        <f>ROUND(IF(L12&lt;=db!$L$7,L12,db!$L$7),0)</f>
        <v>2000000000</v>
      </c>
      <c r="N12" s="29">
        <f t="shared" si="11"/>
        <v>2000000000</v>
      </c>
      <c r="O12" s="29">
        <f>IF(B12=0,0,IF(db!$D$6="Yes",(db!$B$6)*M12,0))</f>
        <v>2000000000</v>
      </c>
      <c r="P12" s="29">
        <f>MIN(IF(O12&lt;=db!$L$2,O12,db!$L$2),MAX_ACC_CAPITAL)</f>
        <v>2000000000</v>
      </c>
      <c r="Q12" s="17">
        <f>IF(B12=0,0,IF(db!$D$7="Yes",(db!$B$7)*M12,0))</f>
        <v>1000000000</v>
      </c>
      <c r="R12" s="42">
        <f>IF(C12&gt;69,0,IF(C12=0,0,IF(Q12&lt;=db!$L$3,Q12,db!$L$3)))</f>
        <v>1000000000</v>
      </c>
      <c r="S12" s="29">
        <f>IF(B12=0,0,IF(db!$D$9="Yes",(db!$B$9)*M12,0))</f>
        <v>400000000</v>
      </c>
      <c r="T12" s="29">
        <f>ROUND(IF(C12&gt;69,0,IF(C12=0,0,IF(S12&lt;=db!$L$4,S12,db!$L$4))),0)</f>
        <v>50000000</v>
      </c>
      <c r="U12" s="38">
        <v>0</v>
      </c>
      <c r="V12" s="17">
        <v>0</v>
      </c>
      <c r="W12" s="29">
        <v>0</v>
      </c>
      <c r="X12" s="17">
        <f>IF(B12=0,0,IF(db!$D$11="Yes",(db!$B$11)*M12,0))</f>
        <v>300000000</v>
      </c>
      <c r="Y12" s="42">
        <f>ROUND(IF(C12&gt;59,0,IF(C12=0,0,IF(X12&lt;=db!$L$5,X12,db!$L$5))),0)</f>
        <v>200000000</v>
      </c>
      <c r="Z12" s="29">
        <f>IF(B12=0,0,IF(db!$D$12="Yes",(db!$B$12)*M12,0))</f>
        <v>500000000</v>
      </c>
      <c r="AA12" s="29">
        <f>ROUND(IF(C12&gt;59,0,IF(C12=0,0,IF(Z12&lt;=db!$L$6,Z12,db!$L$6))),0)</f>
        <v>300000000</v>
      </c>
      <c r="AB12" s="32"/>
      <c r="AC12" s="18">
        <f>IF(B12=0,0,IF(C12&lt;(db!$E$2+5),LOOKUP(C12,'Mortality Table'!$A$2:$A$108,'Mortality Table'!$P$2:$P$108),IF((C12&gt;=db!$E$2+10),LOOKUP(C12,'Mortality Table'!$A$2:$A$108,'Mortality Table'!$R$2:$R$108),LOOKUP(C12,'Mortality Table'!$A$2:$A$108,'Mortality Table'!$Q$2:$Q$108))))</f>
        <v>2.4027533565624936E-3</v>
      </c>
      <c r="AD12" s="22">
        <f t="shared" si="1"/>
        <v>4805507</v>
      </c>
      <c r="AE12" s="19">
        <f>IF(B12=0,0,LOOKUP(db!$A$8,db!$AX$4:$AX$8,db!$AY$4:$AY$8))</f>
        <v>0.6</v>
      </c>
      <c r="AF12" s="20">
        <f>ROUND((AE12/1000)*P12 * (1-db!$AS$9),0)</f>
        <v>906000</v>
      </c>
      <c r="AG12" s="20">
        <f>(AE12/1000)*P12 * db!$AS$9</f>
        <v>294000</v>
      </c>
      <c r="AH12" s="21">
        <f>IF(B12=0,0,LOOKUP(db!$A$8,db!$AX$4:$AX$8,db!$AZ$4:$AZ$8))</f>
        <v>0.6</v>
      </c>
      <c r="AI12" s="22">
        <f>(AH12/1000)*R12*(1-db!$AS$9)</f>
        <v>453000</v>
      </c>
      <c r="AJ12" s="22">
        <f>(AH12/1000)*R12*(db!$AS$9)</f>
        <v>147000</v>
      </c>
      <c r="AK12" s="23">
        <f>IF(B12=0,0,LOOKUP(db!$A$8,db!$AX$4:$AX$8,db!$BA$4:$BA$8))</f>
        <v>0.8</v>
      </c>
      <c r="AL12" s="20">
        <f>ROUND((AK12/(100))*T12*(1-db!$AS$9),0)</f>
        <v>302000</v>
      </c>
      <c r="AM12" s="20">
        <f>ROUND((AK12/(100))*T12*(db!$AS$9),0)</f>
        <v>98000</v>
      </c>
      <c r="AN12" s="21">
        <f>IF(db!$D$8="Yes",AH12,0)</f>
        <v>0.6</v>
      </c>
      <c r="AO12" s="22">
        <f>(AN12*V12)/1000*(1-db!$AS$9)</f>
        <v>0</v>
      </c>
      <c r="AP12" s="22">
        <f>(AN12*V12)/1000*(db!$AS$9)</f>
        <v>0</v>
      </c>
      <c r="AQ12" s="23">
        <f>IF(db!$D$10="Yes",AH12,0)</f>
        <v>0.6</v>
      </c>
      <c r="AR12" s="20">
        <f>(AQ12*W12/1000)*(1-db!$AS$9)</f>
        <v>0</v>
      </c>
      <c r="AS12" s="20">
        <f>(AQ12*W12/1000)*(db!$AS$9)</f>
        <v>0</v>
      </c>
      <c r="AT12" s="22">
        <f>IF(B12=0,0,IF(C12&gt;60,0,LOOKUP(LOOKUP(C12,RiskLoading!A$3:A$109,RiskLoading!DG$3:DG$109),db!$BC$3:$BC$63,db!$BD$3:$BD$63)))</f>
        <v>2800</v>
      </c>
      <c r="AU12" s="22">
        <f>AV12*db!$AS$10</f>
        <v>56000</v>
      </c>
      <c r="AV12" s="22">
        <f t="shared" si="2"/>
        <v>560000</v>
      </c>
      <c r="AW12" s="22">
        <f>(AT12/1000000)*Y12*(1-db!$AS$10)</f>
        <v>504000</v>
      </c>
      <c r="AX12" s="20">
        <f>IF(B12=0,0,IF(C12&gt;60,0,LOOKUP(LOOKUP(C12,RiskLoading!A$3:A$109,RiskLoading!DG$3:DG$109),db!$BC$3:$BC$63,db!$BE$3:$BE$63)))</f>
        <v>2800</v>
      </c>
      <c r="AY12" s="20">
        <f>(AX12/1000000)*AA12*(1-db!$AS$11)</f>
        <v>756000</v>
      </c>
      <c r="AZ12" s="20">
        <f>(AX12/1000000)*AA12*(db!$AS$11)</f>
        <v>84000</v>
      </c>
      <c r="BA12" s="19">
        <f>IF(Table13[Year]=0,0,LOOKUP(Table13[Age],RiskLoading!A$3:A$109,RiskLoading!DT$3:DT$109))</f>
        <v>5.6432824340156042E-4</v>
      </c>
      <c r="BB12" s="20">
        <f>Table13[[#This Row],[RiskLoading
Rate]]*Table13[[#This Row],[Death Capital (2)]]</f>
        <v>1128656.4868031209</v>
      </c>
      <c r="BC12" s="36"/>
      <c r="BD12" s="37">
        <f t="shared" si="3"/>
        <v>4805507</v>
      </c>
      <c r="BE12" s="35">
        <f t="shared" si="4"/>
        <v>1661000</v>
      </c>
      <c r="BF12" s="35">
        <f t="shared" si="5"/>
        <v>539000</v>
      </c>
      <c r="BG12" s="37">
        <f t="shared" si="6"/>
        <v>1260000</v>
      </c>
      <c r="BH12" s="37">
        <f t="shared" si="7"/>
        <v>140000</v>
      </c>
      <c r="BI12" s="35">
        <f t="shared" si="12"/>
        <v>2921000</v>
      </c>
      <c r="BJ12" s="35">
        <f t="shared" si="13"/>
        <v>679000</v>
      </c>
      <c r="BK12" s="37">
        <v>0</v>
      </c>
      <c r="BL12" s="37">
        <v>0</v>
      </c>
      <c r="BM12" s="35"/>
      <c r="BN12" s="37">
        <f>0</f>
        <v>0</v>
      </c>
      <c r="BO12" s="37"/>
      <c r="BP12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9534163</v>
      </c>
      <c r="BQ12" s="33"/>
      <c r="BR12" s="39">
        <f>Table13[[#This Row],[Initial Reserve]]-Table13[[#This Row],[All Deductions]]</f>
        <v>-9534163</v>
      </c>
      <c r="BS12" s="39">
        <v>0</v>
      </c>
      <c r="BT12" s="39">
        <f>IF(B12=0,0,BU11-Table13[[#This Row],[All Deductions]])</f>
        <v>281112389</v>
      </c>
      <c r="BU12" s="40">
        <f>ROUND(IF(B12=0,0,((BR12+BU11)*(1+db!U14))),0)</f>
        <v>323279247</v>
      </c>
      <c r="BV12" s="40">
        <f t="shared" si="17"/>
        <v>323279000</v>
      </c>
      <c r="BW12" s="15">
        <f t="shared" si="14"/>
        <v>11</v>
      </c>
      <c r="BX12" s="39">
        <f>IF(B12=0,0,((BR12)*(1+db!AH14))+((BX11)*(1+db!AD14)))</f>
        <v>476223648.36630726</v>
      </c>
      <c r="BY12" s="39">
        <f>IF(B12=0,0,((BR12)*(1+db!AH14))+((BY11)*(1+db!AD14)))</f>
        <v>476223648.36630726</v>
      </c>
      <c r="BZ12" s="40">
        <f>IF(B12=0,0,((BR12)*(1+db!AO14))+((BZ11)*(1+db!AK14)))</f>
        <v>588285126.94336689</v>
      </c>
      <c r="CA12" s="40">
        <f>BZ12-(SUM(BM$7:$BM13))</f>
        <v>588285126.94336689</v>
      </c>
      <c r="CB12" s="46"/>
    </row>
    <row r="13" spans="1:80">
      <c r="A13" s="16">
        <f t="shared" si="15"/>
        <v>12</v>
      </c>
      <c r="B13" s="16">
        <f>IF(B12=0,0,IF(db!$E$5&lt;B12+1,0,B12+1))</f>
        <v>12</v>
      </c>
      <c r="C13" s="15">
        <f t="shared" si="16"/>
        <v>39</v>
      </c>
      <c r="D13" s="312">
        <f>LOOKUP(Table13[[#This Row],[Age]],RiskLoading!A$3:A$109,RiskLoading!DG$3:DG$109)</f>
        <v>42</v>
      </c>
      <c r="E13" s="29">
        <f t="shared" si="8"/>
        <v>0</v>
      </c>
      <c r="F13" s="29">
        <f t="shared" si="9"/>
        <v>0</v>
      </c>
      <c r="G13" s="29">
        <f t="shared" si="0"/>
        <v>0</v>
      </c>
      <c r="H13" s="29">
        <v>0</v>
      </c>
      <c r="I13" s="29">
        <f>IF(B13=0,0,SUM($H$2:H13))</f>
        <v>100000000</v>
      </c>
      <c r="J13" s="17">
        <f t="shared" si="10"/>
        <v>2000000000</v>
      </c>
      <c r="K13" s="17">
        <f>IF(Table13[[#This Row],[Year]]=0,0,IF($C$2&lt;=50,LOOKUP(Table13[[#This Row],[Age]],db!BG14:BG120,db!BH14:BH120),LOOKUP(Table13[[#This Row],[Age]],db!BJ14:BJ120,db!BK14:BK120)))</f>
        <v>2000000000</v>
      </c>
      <c r="L13" s="17">
        <f>MIN(IF(B13=0,0,db!$E$4*((1+db!$B$4)^(B13-1))),Table13[[#This Row],[Max Sum Insured For Death]])</f>
        <v>2000000000</v>
      </c>
      <c r="M13" s="17">
        <f>ROUND(IF(L13&lt;=db!$L$7,L13,db!$L$7),0)</f>
        <v>2000000000</v>
      </c>
      <c r="N13" s="29">
        <f t="shared" si="11"/>
        <v>2000000000</v>
      </c>
      <c r="O13" s="29">
        <f>IF(B13=0,0,IF(db!$D$6="Yes",(db!$B$6)*M13,0))</f>
        <v>2000000000</v>
      </c>
      <c r="P13" s="29">
        <f>MIN(IF(O13&lt;=db!$L$2,O13,db!$L$2),MAX_ACC_CAPITAL)</f>
        <v>2000000000</v>
      </c>
      <c r="Q13" s="17">
        <f>IF(B13=0,0,IF(db!$D$7="Yes",(db!$B$7)*M13,0))</f>
        <v>1000000000</v>
      </c>
      <c r="R13" s="42">
        <f>IF(C13&gt;69,0,IF(C13=0,0,IF(Q13&lt;=db!$L$3,Q13,db!$L$3)))</f>
        <v>1000000000</v>
      </c>
      <c r="S13" s="29">
        <f>IF(B13=0,0,IF(db!$D$9="Yes",(db!$B$9)*M13,0))</f>
        <v>400000000</v>
      </c>
      <c r="T13" s="29">
        <f>ROUND(IF(C13&gt;69,0,IF(C13=0,0,IF(S13&lt;=db!$L$4,S13,db!$L$4))),0)</f>
        <v>50000000</v>
      </c>
      <c r="U13" s="38">
        <v>0</v>
      </c>
      <c r="V13" s="17">
        <v>0</v>
      </c>
      <c r="W13" s="29">
        <v>0</v>
      </c>
      <c r="X13" s="17">
        <f>IF(B13=0,0,IF(db!$D$11="Yes",(db!$B$11)*M13,0))</f>
        <v>300000000</v>
      </c>
      <c r="Y13" s="42">
        <f>ROUND(IF(C13&gt;59,0,IF(C13=0,0,IF(X13&lt;=db!$L$5,X13,db!$L$5))),0)</f>
        <v>200000000</v>
      </c>
      <c r="Z13" s="29">
        <f>IF(B13=0,0,IF(db!$D$12="Yes",(db!$B$12)*M13,0))</f>
        <v>500000000</v>
      </c>
      <c r="AA13" s="29">
        <f>ROUND(IF(C13&gt;59,0,IF(C13=0,0,IF(Z13&lt;=db!$L$6,Z13,db!$L$6))),0)</f>
        <v>300000000</v>
      </c>
      <c r="AB13" s="32"/>
      <c r="AC13" s="18">
        <f>IF(B13=0,0,IF(C13&lt;(db!$E$2+5),LOOKUP(C13,'Mortality Table'!$A$2:$A$108,'Mortality Table'!$P$2:$P$108),IF((C13&gt;=db!$E$2+10),LOOKUP(C13,'Mortality Table'!$A$2:$A$108,'Mortality Table'!$R$2:$R$108),LOOKUP(C13,'Mortality Table'!$A$2:$A$108,'Mortality Table'!$Q$2:$Q$108))))</f>
        <v>2.5192280798408753E-3</v>
      </c>
      <c r="AD13" s="22">
        <f t="shared" si="1"/>
        <v>5038456</v>
      </c>
      <c r="AE13" s="19">
        <f>IF(B13=0,0,LOOKUP(db!$A$8,db!$AX$4:$AX$8,db!$AY$4:$AY$8))</f>
        <v>0.6</v>
      </c>
      <c r="AF13" s="20">
        <f>ROUND((AE13/1000)*P13 * (1-db!$AS$9),0)</f>
        <v>906000</v>
      </c>
      <c r="AG13" s="20">
        <f>(AE13/1000)*P13 * db!$AS$9</f>
        <v>294000</v>
      </c>
      <c r="AH13" s="21">
        <f>IF(B13=0,0,LOOKUP(db!$A$8,db!$AX$4:$AX$8,db!$AZ$4:$AZ$8))</f>
        <v>0.6</v>
      </c>
      <c r="AI13" s="22">
        <f>(AH13/1000)*R13*(1-db!$AS$9)</f>
        <v>453000</v>
      </c>
      <c r="AJ13" s="22">
        <f>(AH13/1000)*R13*(db!$AS$9)</f>
        <v>147000</v>
      </c>
      <c r="AK13" s="23">
        <f>IF(B13=0,0,LOOKUP(db!$A$8,db!$AX$4:$AX$8,db!$BA$4:$BA$8))</f>
        <v>0.8</v>
      </c>
      <c r="AL13" s="20">
        <f>ROUND((AK13/(100))*T13*(1-db!$AS$9),0)</f>
        <v>302000</v>
      </c>
      <c r="AM13" s="20">
        <f>ROUND((AK13/(100))*T13*(db!$AS$9),0)</f>
        <v>98000</v>
      </c>
      <c r="AN13" s="21">
        <f>IF(db!$D$8="Yes",AH13,0)</f>
        <v>0.6</v>
      </c>
      <c r="AO13" s="22">
        <f>(AN13*V13)/1000*(1-db!$AS$9)</f>
        <v>0</v>
      </c>
      <c r="AP13" s="22">
        <f>(AN13*V13)/1000*(db!$AS$9)</f>
        <v>0</v>
      </c>
      <c r="AQ13" s="23">
        <f>IF(db!$D$10="Yes",AH13,0)</f>
        <v>0.6</v>
      </c>
      <c r="AR13" s="20">
        <f>(AQ13*W13/1000)*(1-db!$AS$9)</f>
        <v>0</v>
      </c>
      <c r="AS13" s="20">
        <f>(AQ13*W13/1000)*(db!$AS$9)</f>
        <v>0</v>
      </c>
      <c r="AT13" s="22">
        <f>IF(B13=0,0,IF(C13&gt;60,0,LOOKUP(LOOKUP(C13,RiskLoading!A$3:A$109,RiskLoading!DG$3:DG$109),db!$BC$3:$BC$63,db!$BD$3:$BD$63)))</f>
        <v>2800</v>
      </c>
      <c r="AU13" s="22">
        <f>AV13*db!$AS$10</f>
        <v>56000</v>
      </c>
      <c r="AV13" s="22">
        <f t="shared" si="2"/>
        <v>560000</v>
      </c>
      <c r="AW13" s="22">
        <f>(AT13/1000000)*Y13*(1-db!$AS$10)</f>
        <v>504000</v>
      </c>
      <c r="AX13" s="20">
        <f>IF(B13=0,0,IF(C13&gt;60,0,LOOKUP(LOOKUP(C13,RiskLoading!A$3:A$109,RiskLoading!DG$3:DG$109),db!$BC$3:$BC$63,db!$BE$3:$BE$63)))</f>
        <v>2800</v>
      </c>
      <c r="AY13" s="20">
        <f>(AX13/1000000)*AA13*(1-db!$AS$11)</f>
        <v>756000</v>
      </c>
      <c r="AZ13" s="20">
        <f>(AX13/1000000)*AA13*(db!$AS$11)</f>
        <v>84000</v>
      </c>
      <c r="BA13" s="19">
        <f>IF(Table13[Year]=0,0,LOOKUP(Table13[Age],RiskLoading!A$3:A$109,RiskLoading!DT$3:DT$109))</f>
        <v>6.5958796805698234E-4</v>
      </c>
      <c r="BB13" s="20">
        <f>Table13[[#This Row],[RiskLoading
Rate]]*Table13[[#This Row],[Death Capital (2)]]</f>
        <v>1319175.9361139648</v>
      </c>
      <c r="BC13" s="36"/>
      <c r="BD13" s="37">
        <f t="shared" si="3"/>
        <v>5038456</v>
      </c>
      <c r="BE13" s="35">
        <f t="shared" si="4"/>
        <v>1661000</v>
      </c>
      <c r="BF13" s="35">
        <f t="shared" si="5"/>
        <v>539000</v>
      </c>
      <c r="BG13" s="37">
        <f t="shared" si="6"/>
        <v>1260000</v>
      </c>
      <c r="BH13" s="37">
        <f t="shared" si="7"/>
        <v>140000</v>
      </c>
      <c r="BI13" s="35">
        <f t="shared" si="12"/>
        <v>2921000</v>
      </c>
      <c r="BJ13" s="35">
        <f t="shared" si="13"/>
        <v>679000</v>
      </c>
      <c r="BK13" s="37">
        <v>0</v>
      </c>
      <c r="BL13" s="37">
        <v>0</v>
      </c>
      <c r="BM13" s="35"/>
      <c r="BN13" s="37">
        <f>0</f>
        <v>0</v>
      </c>
      <c r="BO13" s="37"/>
      <c r="BP13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9957632</v>
      </c>
      <c r="BQ13" s="33"/>
      <c r="BR13" s="39">
        <f>Table13[[#This Row],[Initial Reserve]]-Table13[[#This Row],[All Deductions]]</f>
        <v>-9957632</v>
      </c>
      <c r="BS13" s="39">
        <v>0</v>
      </c>
      <c r="BT13" s="39">
        <f>IF(B13=0,0,BU12-Table13[[#This Row],[All Deductions]])</f>
        <v>313321615</v>
      </c>
      <c r="BU13" s="40">
        <f>ROUND(IF(B13=0,0,((BR13+BU12)*(1+db!U15))),0)</f>
        <v>360319857</v>
      </c>
      <c r="BV13" s="40">
        <f t="shared" si="17"/>
        <v>360320000</v>
      </c>
      <c r="BW13" s="15">
        <f t="shared" si="14"/>
        <v>12</v>
      </c>
      <c r="BX13" s="39">
        <f>IF(B13=0,0,((BR13)*(1+db!AH15))+((BX12)*(1+db!AD15)))</f>
        <v>559519219.63956869</v>
      </c>
      <c r="BY13" s="39">
        <f>IF(B13=0,0,((BR13)*(1+db!AH15))+((BY12)*(1+db!AD15)))</f>
        <v>559519219.63956869</v>
      </c>
      <c r="BZ13" s="40">
        <f>IF(B13=0,0,((BR13)*(1+db!AO15))+((BZ12)*(1+db!AK15)))</f>
        <v>705559543.83090758</v>
      </c>
      <c r="CA13" s="40">
        <f>BZ13-(SUM(BM$7:$BM14))</f>
        <v>705559543.83090758</v>
      </c>
      <c r="CB13" s="46"/>
    </row>
    <row r="14" spans="1:80">
      <c r="A14" s="16">
        <f t="shared" si="15"/>
        <v>13</v>
      </c>
      <c r="B14" s="16">
        <f>IF(B13=0,0,IF(db!$E$5&lt;B13+1,0,B13+1))</f>
        <v>13</v>
      </c>
      <c r="C14" s="15">
        <f t="shared" si="16"/>
        <v>40</v>
      </c>
      <c r="D14" s="312">
        <f>LOOKUP(Table13[[#This Row],[Age]],RiskLoading!A$3:A$109,RiskLoading!DG$3:DG$109)</f>
        <v>43</v>
      </c>
      <c r="E14" s="29">
        <f t="shared" si="8"/>
        <v>0</v>
      </c>
      <c r="F14" s="29">
        <f t="shared" si="9"/>
        <v>0</v>
      </c>
      <c r="G14" s="29">
        <f t="shared" si="0"/>
        <v>0</v>
      </c>
      <c r="H14" s="29">
        <v>0</v>
      </c>
      <c r="I14" s="29">
        <f>IF(B14=0,0,SUM($H$2:H14))</f>
        <v>100000000</v>
      </c>
      <c r="J14" s="17">
        <f t="shared" si="10"/>
        <v>2000000000</v>
      </c>
      <c r="K14" s="17">
        <f>IF(Table13[[#This Row],[Year]]=0,0,IF($C$2&lt;=50,LOOKUP(Table13[[#This Row],[Age]],db!BG15:BG121,db!BH15:BH121),LOOKUP(Table13[[#This Row],[Age]],db!BJ15:BJ121,db!BK15:BK121)))</f>
        <v>2000000000</v>
      </c>
      <c r="L14" s="17">
        <f>MIN(IF(B14=0,0,db!$E$4*((1+db!$B$4)^(B14-1))),Table13[[#This Row],[Max Sum Insured For Death]])</f>
        <v>2000000000</v>
      </c>
      <c r="M14" s="17">
        <f>ROUND(IF(L14&lt;=db!$L$7,L14,db!$L$7),0)</f>
        <v>2000000000</v>
      </c>
      <c r="N14" s="29">
        <f t="shared" si="11"/>
        <v>2000000000</v>
      </c>
      <c r="O14" s="29">
        <f>IF(B14=0,0,IF(db!$D$6="Yes",(db!$B$6)*M14,0))</f>
        <v>2000000000</v>
      </c>
      <c r="P14" s="29">
        <f>MIN(IF(O14&lt;=db!$L$2,O14,db!$L$2),MAX_ACC_CAPITAL)</f>
        <v>2000000000</v>
      </c>
      <c r="Q14" s="17">
        <f>IF(B14=0,0,IF(db!$D$7="Yes",(db!$B$7)*M14,0))</f>
        <v>1000000000</v>
      </c>
      <c r="R14" s="42">
        <f>IF(C14&gt;69,0,IF(C14=0,0,IF(Q14&lt;=db!$L$3,Q14,db!$L$3)))</f>
        <v>1000000000</v>
      </c>
      <c r="S14" s="29">
        <f>IF(B14=0,0,IF(db!$D$9="Yes",(db!$B$9)*M14,0))</f>
        <v>400000000</v>
      </c>
      <c r="T14" s="29">
        <f>ROUND(IF(C14&gt;69,0,IF(C14=0,0,IF(S14&lt;=db!$L$4,S14,db!$L$4))),0)</f>
        <v>50000000</v>
      </c>
      <c r="U14" s="38">
        <v>0</v>
      </c>
      <c r="V14" s="17">
        <v>0</v>
      </c>
      <c r="W14" s="29">
        <v>0</v>
      </c>
      <c r="X14" s="17">
        <f>IF(B14=0,0,IF(db!$D$11="Yes",(db!$B$11)*M14,0))</f>
        <v>300000000</v>
      </c>
      <c r="Y14" s="42">
        <f>ROUND(IF(C14&gt;59,0,IF(C14=0,0,IF(X14&lt;=db!$L$5,X14,db!$L$5))),0)</f>
        <v>200000000</v>
      </c>
      <c r="Z14" s="29">
        <f>IF(B14=0,0,IF(db!$D$12="Yes",(db!$B$12)*M14,0))</f>
        <v>500000000</v>
      </c>
      <c r="AA14" s="29">
        <f>ROUND(IF(C14&gt;59,0,IF(C14=0,0,IF(Z14&lt;=db!$L$6,Z14,db!$L$6))),0)</f>
        <v>300000000</v>
      </c>
      <c r="AB14" s="32"/>
      <c r="AC14" s="18">
        <f>IF(B14=0,0,IF(C14&lt;(db!$E$2+5),LOOKUP(C14,'Mortality Table'!$A$2:$A$108,'Mortality Table'!$P$2:$P$108),IF((C14&gt;=db!$E$2+10),LOOKUP(C14,'Mortality Table'!$A$2:$A$108,'Mortality Table'!$R$2:$R$108),LOOKUP(C14,'Mortality Table'!$A$2:$A$108,'Mortality Table'!$Q$2:$Q$108))))</f>
        <v>2.7171057257964438E-3</v>
      </c>
      <c r="AD14" s="22">
        <f t="shared" si="1"/>
        <v>5434211</v>
      </c>
      <c r="AE14" s="19">
        <f>IF(B14=0,0,LOOKUP(db!$A$8,db!$AX$4:$AX$8,db!$AY$4:$AY$8))</f>
        <v>0.6</v>
      </c>
      <c r="AF14" s="20">
        <f>ROUND((AE14/1000)*P14 * (1-db!$AS$9),0)</f>
        <v>906000</v>
      </c>
      <c r="AG14" s="20">
        <f>(AE14/1000)*P14 * db!$AS$9</f>
        <v>294000</v>
      </c>
      <c r="AH14" s="21">
        <f>IF(B14=0,0,LOOKUP(db!$A$8,db!$AX$4:$AX$8,db!$AZ$4:$AZ$8))</f>
        <v>0.6</v>
      </c>
      <c r="AI14" s="22">
        <f>(AH14/1000)*R14*(1-db!$AS$9)</f>
        <v>453000</v>
      </c>
      <c r="AJ14" s="22">
        <f>(AH14/1000)*R14*(db!$AS$9)</f>
        <v>147000</v>
      </c>
      <c r="AK14" s="23">
        <f>IF(B14=0,0,LOOKUP(db!$A$8,db!$AX$4:$AX$8,db!$BA$4:$BA$8))</f>
        <v>0.8</v>
      </c>
      <c r="AL14" s="20">
        <f>ROUND((AK14/(100))*T14*(1-db!$AS$9),0)</f>
        <v>302000</v>
      </c>
      <c r="AM14" s="20">
        <f>ROUND((AK14/(100))*T14*(db!$AS$9),0)</f>
        <v>98000</v>
      </c>
      <c r="AN14" s="21">
        <f>IF(db!$D$8="Yes",AH14,0)</f>
        <v>0.6</v>
      </c>
      <c r="AO14" s="22">
        <f>(AN14*V14)/1000*(1-db!$AS$9)</f>
        <v>0</v>
      </c>
      <c r="AP14" s="22">
        <f>(AN14*V14)/1000*(db!$AS$9)</f>
        <v>0</v>
      </c>
      <c r="AQ14" s="23">
        <f>IF(db!$D$10="Yes",AH14,0)</f>
        <v>0.6</v>
      </c>
      <c r="AR14" s="20">
        <f>(AQ14*W14/1000)*(1-db!$AS$9)</f>
        <v>0</v>
      </c>
      <c r="AS14" s="20">
        <f>(AQ14*W14/1000)*(db!$AS$9)</f>
        <v>0</v>
      </c>
      <c r="AT14" s="22">
        <f>IF(B14=0,0,IF(C14&gt;60,0,LOOKUP(LOOKUP(C14,RiskLoading!A$3:A$109,RiskLoading!DG$3:DG$109),db!$BC$3:$BC$63,db!$BD$3:$BD$63)))</f>
        <v>2800</v>
      </c>
      <c r="AU14" s="22">
        <f>AV14*db!$AS$10</f>
        <v>56000</v>
      </c>
      <c r="AV14" s="22">
        <f t="shared" si="2"/>
        <v>560000</v>
      </c>
      <c r="AW14" s="22">
        <f>(AT14/1000000)*Y14*(1-db!$AS$10)</f>
        <v>504000</v>
      </c>
      <c r="AX14" s="20">
        <f>IF(B14=0,0,IF(C14&gt;60,0,LOOKUP(LOOKUP(C14,RiskLoading!A$3:A$109,RiskLoading!DG$3:DG$109),db!$BC$3:$BC$63,db!$BE$3:$BE$63)))</f>
        <v>2800</v>
      </c>
      <c r="AY14" s="20">
        <f>(AX14/1000000)*AA14*(1-db!$AS$11)</f>
        <v>756000</v>
      </c>
      <c r="AZ14" s="20">
        <f>(AX14/1000000)*AA14*(db!$AS$11)</f>
        <v>84000</v>
      </c>
      <c r="BA14" s="19">
        <f>IF(Table13[Year]=0,0,LOOKUP(Table13[Age],RiskLoading!A$3:A$109,RiskLoading!DT$3:DT$109))</f>
        <v>8.6848567919454263E-4</v>
      </c>
      <c r="BB14" s="20">
        <f>Table13[[#This Row],[RiskLoading
Rate]]*Table13[[#This Row],[Death Capital (2)]]</f>
        <v>1736971.3583890852</v>
      </c>
      <c r="BC14" s="36"/>
      <c r="BD14" s="37">
        <f t="shared" si="3"/>
        <v>5434211</v>
      </c>
      <c r="BE14" s="35">
        <f t="shared" si="4"/>
        <v>1661000</v>
      </c>
      <c r="BF14" s="35">
        <f t="shared" si="5"/>
        <v>539000</v>
      </c>
      <c r="BG14" s="37">
        <f t="shared" si="6"/>
        <v>1260000</v>
      </c>
      <c r="BH14" s="37">
        <f t="shared" si="7"/>
        <v>140000</v>
      </c>
      <c r="BI14" s="35">
        <f t="shared" si="12"/>
        <v>2921000</v>
      </c>
      <c r="BJ14" s="35">
        <f t="shared" si="13"/>
        <v>679000</v>
      </c>
      <c r="BK14" s="37">
        <v>0</v>
      </c>
      <c r="BL14" s="37">
        <v>0</v>
      </c>
      <c r="BM14" s="35"/>
      <c r="BN14" s="37">
        <f>0</f>
        <v>0</v>
      </c>
      <c r="BO14" s="37"/>
      <c r="BP14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10771182</v>
      </c>
      <c r="BQ14" s="33"/>
      <c r="BR14" s="39">
        <f>Table13[[#This Row],[Initial Reserve]]-Table13[[#This Row],[All Deductions]]</f>
        <v>-10771182</v>
      </c>
      <c r="BS14" s="39">
        <v>0</v>
      </c>
      <c r="BT14" s="39">
        <f>IF(B14=0,0,BU13-Table13[[#This Row],[All Deductions]])</f>
        <v>349548675</v>
      </c>
      <c r="BU14" s="40">
        <f>ROUND(IF(B14=0,0,((BR14+BU13)*(1+db!U16))),0)</f>
        <v>401980976</v>
      </c>
      <c r="BV14" s="40">
        <f t="shared" si="17"/>
        <v>401981000</v>
      </c>
      <c r="BW14" s="15">
        <f t="shared" si="14"/>
        <v>13</v>
      </c>
      <c r="BX14" s="39">
        <f>IF(B14=0,0,((BR14)*(1+db!AH16))+((BX13)*(1+db!AD16)))</f>
        <v>658497645.16748238</v>
      </c>
      <c r="BY14" s="39">
        <f>IF(B14=0,0,((BR14)*(1+db!AH16))+((BY13)*(1+db!AD16)))</f>
        <v>658497645.16748238</v>
      </c>
      <c r="BZ14" s="40">
        <f>IF(B14=0,0,((BR14)*(1+db!AO16))+((BZ13)*(1+db!AK16)))</f>
        <v>847641801.43370724</v>
      </c>
      <c r="CA14" s="40">
        <f>BZ14-(SUM(BM$7:$BM15))</f>
        <v>847641801.43370724</v>
      </c>
      <c r="CB14" s="46"/>
    </row>
    <row r="15" spans="1:80">
      <c r="A15" s="16">
        <f t="shared" si="15"/>
        <v>14</v>
      </c>
      <c r="B15" s="16">
        <f>IF(B14=0,0,IF(db!$E$5&lt;B14+1,0,B14+1))</f>
        <v>14</v>
      </c>
      <c r="C15" s="15">
        <f t="shared" si="16"/>
        <v>41</v>
      </c>
      <c r="D15" s="312">
        <f>LOOKUP(Table13[[#This Row],[Age]],RiskLoading!A$3:A$109,RiskLoading!DG$3:DG$109)</f>
        <v>43</v>
      </c>
      <c r="E15" s="29">
        <f t="shared" si="8"/>
        <v>0</v>
      </c>
      <c r="F15" s="29">
        <f t="shared" si="9"/>
        <v>0</v>
      </c>
      <c r="G15" s="29">
        <f t="shared" si="0"/>
        <v>0</v>
      </c>
      <c r="H15" s="29">
        <v>0</v>
      </c>
      <c r="I15" s="29">
        <f>IF(B15=0,0,SUM($H$2:H15))</f>
        <v>100000000</v>
      </c>
      <c r="J15" s="17">
        <f t="shared" si="10"/>
        <v>2000000000</v>
      </c>
      <c r="K15" s="17">
        <f>IF(Table13[[#This Row],[Year]]=0,0,IF($C$2&lt;=50,LOOKUP(Table13[[#This Row],[Age]],db!BG16:BG122,db!BH16:BH122),LOOKUP(Table13[[#This Row],[Age]],db!BJ16:BJ122,db!BK16:BK122)))</f>
        <v>2000000000</v>
      </c>
      <c r="L15" s="17">
        <f>MIN(IF(B15=0,0,db!$E$4*((1+db!$B$4)^(B15-1))),Table13[[#This Row],[Max Sum Insured For Death]])</f>
        <v>2000000000</v>
      </c>
      <c r="M15" s="17">
        <f>ROUND(IF(L15&lt;=db!$L$7,L15,db!$L$7),0)</f>
        <v>2000000000</v>
      </c>
      <c r="N15" s="29">
        <f t="shared" si="11"/>
        <v>2000000000</v>
      </c>
      <c r="O15" s="29">
        <f>IF(B15=0,0,IF(db!$D$6="Yes",(db!$B$6)*M15,0))</f>
        <v>2000000000</v>
      </c>
      <c r="P15" s="29">
        <f>MIN(IF(O15&lt;=db!$L$2,O15,db!$L$2),MAX_ACC_CAPITAL)</f>
        <v>2000000000</v>
      </c>
      <c r="Q15" s="17">
        <f>IF(B15=0,0,IF(db!$D$7="Yes",(db!$B$7)*M15,0))</f>
        <v>1000000000</v>
      </c>
      <c r="R15" s="42">
        <f>IF(C15&gt;69,0,IF(C15=0,0,IF(Q15&lt;=db!$L$3,Q15,db!$L$3)))</f>
        <v>1000000000</v>
      </c>
      <c r="S15" s="29">
        <f>IF(B15=0,0,IF(db!$D$9="Yes",(db!$B$9)*M15,0))</f>
        <v>400000000</v>
      </c>
      <c r="T15" s="29">
        <f>ROUND(IF(C15&gt;69,0,IF(C15=0,0,IF(S15&lt;=db!$L$4,S15,db!$L$4))),0)</f>
        <v>50000000</v>
      </c>
      <c r="U15" s="38">
        <v>0</v>
      </c>
      <c r="V15" s="17">
        <v>0</v>
      </c>
      <c r="W15" s="29">
        <v>0</v>
      </c>
      <c r="X15" s="17">
        <f>IF(B15=0,0,IF(db!$D$11="Yes",(db!$B$11)*M15,0))</f>
        <v>300000000</v>
      </c>
      <c r="Y15" s="42">
        <f>ROUND(IF(C15&gt;59,0,IF(C15=0,0,IF(X15&lt;=db!$L$5,X15,db!$L$5))),0)</f>
        <v>200000000</v>
      </c>
      <c r="Z15" s="29">
        <f>IF(B15=0,0,IF(db!$D$12="Yes",(db!$B$12)*M15,0))</f>
        <v>500000000</v>
      </c>
      <c r="AA15" s="29">
        <f>ROUND(IF(C15&gt;59,0,IF(C15=0,0,IF(Z15&lt;=db!$L$6,Z15,db!$L$6))),0)</f>
        <v>300000000</v>
      </c>
      <c r="AB15" s="32"/>
      <c r="AC15" s="18">
        <f>IF(B15=0,0,IF(C15&lt;(db!$E$2+5),LOOKUP(C15,'Mortality Table'!$A$2:$A$108,'Mortality Table'!$P$2:$P$108),IF((C15&gt;=db!$E$2+10),LOOKUP(C15,'Mortality Table'!$A$2:$A$108,'Mortality Table'!$R$2:$R$108),LOOKUP(C15,'Mortality Table'!$A$2:$A$108,'Mortality Table'!$Q$2:$Q$108))))</f>
        <v>2.967081599964054E-3</v>
      </c>
      <c r="AD15" s="22">
        <f t="shared" si="1"/>
        <v>5934163</v>
      </c>
      <c r="AE15" s="19">
        <f>IF(B15=0,0,LOOKUP(db!$A$8,db!$AX$4:$AX$8,db!$AY$4:$AY$8))</f>
        <v>0.6</v>
      </c>
      <c r="AF15" s="20">
        <f>ROUND((AE15/1000)*P15 * (1-db!$AS$9),0)</f>
        <v>906000</v>
      </c>
      <c r="AG15" s="20">
        <f>(AE15/1000)*P15 * db!$AS$9</f>
        <v>294000</v>
      </c>
      <c r="AH15" s="21">
        <f>IF(B15=0,0,LOOKUP(db!$A$8,db!$AX$4:$AX$8,db!$AZ$4:$AZ$8))</f>
        <v>0.6</v>
      </c>
      <c r="AI15" s="22">
        <f>(AH15/1000)*R15*(1-db!$AS$9)</f>
        <v>453000</v>
      </c>
      <c r="AJ15" s="22">
        <f>(AH15/1000)*R15*(db!$AS$9)</f>
        <v>147000</v>
      </c>
      <c r="AK15" s="23">
        <f>IF(B15=0,0,LOOKUP(db!$A$8,db!$AX$4:$AX$8,db!$BA$4:$BA$8))</f>
        <v>0.8</v>
      </c>
      <c r="AL15" s="20">
        <f>ROUND((AK15/(100))*T15*(1-db!$AS$9),0)</f>
        <v>302000</v>
      </c>
      <c r="AM15" s="20">
        <f>ROUND((AK15/(100))*T15*(db!$AS$9),0)</f>
        <v>98000</v>
      </c>
      <c r="AN15" s="21">
        <f>IF(db!$D$8="Yes",AH15,0)</f>
        <v>0.6</v>
      </c>
      <c r="AO15" s="22">
        <f>(AN15*V15)/1000*(1-db!$AS$9)</f>
        <v>0</v>
      </c>
      <c r="AP15" s="22">
        <f>(AN15*V15)/1000*(db!$AS$9)</f>
        <v>0</v>
      </c>
      <c r="AQ15" s="23">
        <f>IF(db!$D$10="Yes",AH15,0)</f>
        <v>0.6</v>
      </c>
      <c r="AR15" s="20">
        <f>(AQ15*W15/1000)*(1-db!$AS$9)</f>
        <v>0</v>
      </c>
      <c r="AS15" s="20">
        <f>(AQ15*W15/1000)*(db!$AS$9)</f>
        <v>0</v>
      </c>
      <c r="AT15" s="22">
        <f>IF(B15=0,0,IF(C15&gt;60,0,LOOKUP(LOOKUP(C15,RiskLoading!A$3:A$109,RiskLoading!DG$3:DG$109),db!$BC$3:$BC$63,db!$BD$3:$BD$63)))</f>
        <v>2800</v>
      </c>
      <c r="AU15" s="22">
        <f>AV15*db!$AS$10</f>
        <v>56000</v>
      </c>
      <c r="AV15" s="22">
        <f t="shared" si="2"/>
        <v>560000</v>
      </c>
      <c r="AW15" s="22">
        <f>(AT15/1000000)*Y15*(1-db!$AS$10)</f>
        <v>504000</v>
      </c>
      <c r="AX15" s="20">
        <f>IF(B15=0,0,IF(C15&gt;60,0,LOOKUP(LOOKUP(C15,RiskLoading!A$3:A$109,RiskLoading!DG$3:DG$109),db!$BC$3:$BC$63,db!$BE$3:$BE$63)))</f>
        <v>2800</v>
      </c>
      <c r="AY15" s="20">
        <f>(AX15/1000000)*AA15*(1-db!$AS$11)</f>
        <v>756000</v>
      </c>
      <c r="AZ15" s="20">
        <f>(AX15/1000000)*AA15*(db!$AS$11)</f>
        <v>84000</v>
      </c>
      <c r="BA15" s="19">
        <f>IF(Table13[Year]=0,0,LOOKUP(Table13[Age],RiskLoading!A$3:A$109,RiskLoading!DT$3:DT$109))</f>
        <v>6.1850980502693243E-4</v>
      </c>
      <c r="BB15" s="20">
        <f>Table13[[#This Row],[RiskLoading
Rate]]*Table13[[#This Row],[Death Capital (2)]]</f>
        <v>1237019.6100538648</v>
      </c>
      <c r="BC15" s="36"/>
      <c r="BD15" s="37">
        <f t="shared" si="3"/>
        <v>5934163</v>
      </c>
      <c r="BE15" s="35">
        <f t="shared" si="4"/>
        <v>1661000</v>
      </c>
      <c r="BF15" s="35">
        <f t="shared" si="5"/>
        <v>539000</v>
      </c>
      <c r="BG15" s="37">
        <f t="shared" si="6"/>
        <v>1260000</v>
      </c>
      <c r="BH15" s="37">
        <f t="shared" si="7"/>
        <v>140000</v>
      </c>
      <c r="BI15" s="35">
        <f t="shared" si="12"/>
        <v>2921000</v>
      </c>
      <c r="BJ15" s="35">
        <f t="shared" si="13"/>
        <v>679000</v>
      </c>
      <c r="BK15" s="37">
        <v>0</v>
      </c>
      <c r="BL15" s="37">
        <v>0</v>
      </c>
      <c r="BM15" s="35"/>
      <c r="BN15" s="37">
        <f>0</f>
        <v>0</v>
      </c>
      <c r="BO15" s="37"/>
      <c r="BP15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10771183</v>
      </c>
      <c r="BQ15" s="33"/>
      <c r="BR15" s="39">
        <f>Table13[[#This Row],[Initial Reserve]]-Table13[[#This Row],[All Deductions]]</f>
        <v>-10771183</v>
      </c>
      <c r="BS15" s="39">
        <v>0</v>
      </c>
      <c r="BT15" s="39">
        <f>IF(B15=0,0,BU14-Table13[[#This Row],[All Deductions]])</f>
        <v>391209793</v>
      </c>
      <c r="BU15" s="40">
        <f>ROUND(IF(B15=0,0,((BR15+BU14)*(1+db!U17))),0)</f>
        <v>449891262</v>
      </c>
      <c r="BV15" s="40">
        <f t="shared" si="17"/>
        <v>449891000</v>
      </c>
      <c r="BW15" s="15">
        <f t="shared" si="14"/>
        <v>14</v>
      </c>
      <c r="BX15" s="39">
        <f>IF(B15=0,0,((BR15)*(1+db!AH17))+((BX14)*(1+db!AD17)))</f>
        <v>777271754.60097885</v>
      </c>
      <c r="BY15" s="39">
        <f>IF(B15=0,0,((BR15)*(1+db!AH17))+((BY14)*(1+db!AD17)))</f>
        <v>777271754.60097885</v>
      </c>
      <c r="BZ15" s="40">
        <f>IF(B15=0,0,((BR15)*(1+db!AO17))+((BZ14)*(1+db!AK17)))</f>
        <v>1020982154.4891229</v>
      </c>
      <c r="CA15" s="40">
        <f>BZ15-(SUM(BM$7:$BM16))</f>
        <v>1020982154.4891229</v>
      </c>
      <c r="CB15" s="46"/>
    </row>
    <row r="16" spans="1:80">
      <c r="A16" s="16">
        <f t="shared" si="15"/>
        <v>15</v>
      </c>
      <c r="B16" s="16">
        <f>IF(B15=0,0,IF(db!$E$5&lt;B15+1,0,B15+1))</f>
        <v>15</v>
      </c>
      <c r="C16" s="15">
        <f t="shared" si="16"/>
        <v>42</v>
      </c>
      <c r="D16" s="312">
        <f>LOOKUP(Table13[[#This Row],[Age]],RiskLoading!A$3:A$109,RiskLoading!DG$3:DG$109)</f>
        <v>44</v>
      </c>
      <c r="E16" s="29">
        <f t="shared" si="8"/>
        <v>0</v>
      </c>
      <c r="F16" s="29">
        <f t="shared" si="9"/>
        <v>0</v>
      </c>
      <c r="G16" s="29">
        <f t="shared" si="0"/>
        <v>0</v>
      </c>
      <c r="H16" s="29">
        <v>0</v>
      </c>
      <c r="I16" s="29">
        <f>IF(B16=0,0,SUM($H$2:H16))</f>
        <v>100000000</v>
      </c>
      <c r="J16" s="17">
        <f t="shared" si="10"/>
        <v>2000000000</v>
      </c>
      <c r="K16" s="17">
        <f>IF(Table13[[#This Row],[Year]]=0,0,IF($C$2&lt;=50,LOOKUP(Table13[[#This Row],[Age]],db!BG17:BG123,db!BH17:BH123),LOOKUP(Table13[[#This Row],[Age]],db!BJ17:BJ123,db!BK17:BK123)))</f>
        <v>2000000000</v>
      </c>
      <c r="L16" s="17">
        <f>MIN(IF(B16=0,0,db!$E$4*((1+db!$B$4)^(B16-1))),Table13[[#This Row],[Max Sum Insured For Death]])</f>
        <v>2000000000</v>
      </c>
      <c r="M16" s="17">
        <f>ROUND(IF(L16&lt;=db!$L$7,L16,db!$L$7),0)</f>
        <v>2000000000</v>
      </c>
      <c r="N16" s="29">
        <f t="shared" si="11"/>
        <v>2000000000</v>
      </c>
      <c r="O16" s="29">
        <f>IF(B16=0,0,IF(db!$D$6="Yes",(db!$B$6)*M16,0))</f>
        <v>2000000000</v>
      </c>
      <c r="P16" s="29">
        <f>MIN(IF(O16&lt;=db!$L$2,O16,db!$L$2),MAX_ACC_CAPITAL)</f>
        <v>2000000000</v>
      </c>
      <c r="Q16" s="17">
        <f>IF(B16=0,0,IF(db!$D$7="Yes",(db!$B$7)*M16,0))</f>
        <v>1000000000</v>
      </c>
      <c r="R16" s="42">
        <f>IF(C16&gt;69,0,IF(C16=0,0,IF(Q16&lt;=db!$L$3,Q16,db!$L$3)))</f>
        <v>1000000000</v>
      </c>
      <c r="S16" s="29">
        <f>IF(B16=0,0,IF(db!$D$9="Yes",(db!$B$9)*M16,0))</f>
        <v>400000000</v>
      </c>
      <c r="T16" s="29">
        <f>ROUND(IF(C16&gt;69,0,IF(C16=0,0,IF(S16&lt;=db!$L$4,S16,db!$L$4))),0)</f>
        <v>50000000</v>
      </c>
      <c r="U16" s="38">
        <v>0</v>
      </c>
      <c r="V16" s="17">
        <v>0</v>
      </c>
      <c r="W16" s="29">
        <v>0</v>
      </c>
      <c r="X16" s="17">
        <f>IF(B16=0,0,IF(db!$D$11="Yes",(db!$B$11)*M16,0))</f>
        <v>300000000</v>
      </c>
      <c r="Y16" s="42">
        <f>ROUND(IF(C16&gt;59,0,IF(C16=0,0,IF(X16&lt;=db!$L$5,X16,db!$L$5))),0)</f>
        <v>200000000</v>
      </c>
      <c r="Z16" s="29">
        <f>IF(B16=0,0,IF(db!$D$12="Yes",(db!$B$12)*M16,0))</f>
        <v>500000000</v>
      </c>
      <c r="AA16" s="29">
        <f>ROUND(IF(C16&gt;59,0,IF(C16=0,0,IF(Z16&lt;=db!$L$6,Z16,db!$L$6))),0)</f>
        <v>300000000</v>
      </c>
      <c r="AB16" s="32"/>
      <c r="AC16" s="18">
        <f>IF(B16=0,0,IF(C16&lt;(db!$E$2+5),LOOKUP(C16,'Mortality Table'!$A$2:$A$108,'Mortality Table'!$P$2:$P$108),IF((C16&gt;=db!$E$2+10),LOOKUP(C16,'Mortality Table'!$A$2:$A$108,'Mortality Table'!$R$2:$R$108),LOOKUP(C16,'Mortality Table'!$A$2:$A$108,'Mortality Table'!$Q$2:$Q$108))))</f>
        <v>3.1788160478978577E-3</v>
      </c>
      <c r="AD16" s="22">
        <f t="shared" si="1"/>
        <v>6357632</v>
      </c>
      <c r="AE16" s="19">
        <f>IF(B16=0,0,LOOKUP(db!$A$8,db!$AX$4:$AX$8,db!$AY$4:$AY$8))</f>
        <v>0.6</v>
      </c>
      <c r="AF16" s="20">
        <f>ROUND((AE16/1000)*P16 * (1-db!$AS$9),0)</f>
        <v>906000</v>
      </c>
      <c r="AG16" s="20">
        <f>(AE16/1000)*P16 * db!$AS$9</f>
        <v>294000</v>
      </c>
      <c r="AH16" s="21">
        <f>IF(B16=0,0,LOOKUP(db!$A$8,db!$AX$4:$AX$8,db!$AZ$4:$AZ$8))</f>
        <v>0.6</v>
      </c>
      <c r="AI16" s="22">
        <f>(AH16/1000)*R16*(1-db!$AS$9)</f>
        <v>453000</v>
      </c>
      <c r="AJ16" s="22">
        <f>(AH16/1000)*R16*(db!$AS$9)</f>
        <v>147000</v>
      </c>
      <c r="AK16" s="23">
        <f>IF(B16=0,0,LOOKUP(db!$A$8,db!$AX$4:$AX$8,db!$BA$4:$BA$8))</f>
        <v>0.8</v>
      </c>
      <c r="AL16" s="20">
        <f>ROUND((AK16/(100))*T16*(1-db!$AS$9),0)</f>
        <v>302000</v>
      </c>
      <c r="AM16" s="20">
        <f>ROUND((AK16/(100))*T16*(db!$AS$9),0)</f>
        <v>98000</v>
      </c>
      <c r="AN16" s="21">
        <f>IF(db!$D$8="Yes",AH16,0)</f>
        <v>0.6</v>
      </c>
      <c r="AO16" s="22">
        <f>(AN16*V16)/1000*(1-db!$AS$9)</f>
        <v>0</v>
      </c>
      <c r="AP16" s="22">
        <f>(AN16*V16)/1000*(db!$AS$9)</f>
        <v>0</v>
      </c>
      <c r="AQ16" s="23">
        <f>IF(db!$D$10="Yes",AH16,0)</f>
        <v>0.6</v>
      </c>
      <c r="AR16" s="20">
        <f>(AQ16*W16/1000)*(1-db!$AS$9)</f>
        <v>0</v>
      </c>
      <c r="AS16" s="20">
        <f>(AQ16*W16/1000)*(db!$AS$9)</f>
        <v>0</v>
      </c>
      <c r="AT16" s="22">
        <f>IF(B16=0,0,IF(C16&gt;60,0,LOOKUP(LOOKUP(C16,RiskLoading!A$3:A$109,RiskLoading!DG$3:DG$109),db!$BC$3:$BC$63,db!$BD$3:$BD$63)))</f>
        <v>2800</v>
      </c>
      <c r="AU16" s="22">
        <f>AV16*db!$AS$10</f>
        <v>56000</v>
      </c>
      <c r="AV16" s="22">
        <f t="shared" si="2"/>
        <v>560000</v>
      </c>
      <c r="AW16" s="22">
        <f>(AT16/1000000)*Y16*(1-db!$AS$10)</f>
        <v>504000</v>
      </c>
      <c r="AX16" s="20">
        <f>IF(B16=0,0,IF(C16&gt;60,0,LOOKUP(LOOKUP(C16,RiskLoading!A$3:A$109,RiskLoading!DG$3:DG$109),db!$BC$3:$BC$63,db!$BE$3:$BE$63)))</f>
        <v>2800</v>
      </c>
      <c r="AY16" s="20">
        <f>(AX16/1000000)*AA16*(1-db!$AS$11)</f>
        <v>756000</v>
      </c>
      <c r="AZ16" s="20">
        <f>(AX16/1000000)*AA16*(db!$AS$11)</f>
        <v>84000</v>
      </c>
      <c r="BA16" s="19">
        <f>IF(Table13[Year]=0,0,LOOKUP(Table13[Age],RiskLoading!A$3:A$109,RiskLoading!DT$3:DT$109))</f>
        <v>7.1598916080466146E-4</v>
      </c>
      <c r="BB16" s="20">
        <f>Table13[[#This Row],[RiskLoading
Rate]]*Table13[[#This Row],[Death Capital (2)]]</f>
        <v>1431978.3216093229</v>
      </c>
      <c r="BC16" s="36"/>
      <c r="BD16" s="37">
        <f t="shared" si="3"/>
        <v>6357632</v>
      </c>
      <c r="BE16" s="35">
        <f t="shared" si="4"/>
        <v>1661000</v>
      </c>
      <c r="BF16" s="35">
        <f t="shared" si="5"/>
        <v>539000</v>
      </c>
      <c r="BG16" s="37">
        <f t="shared" si="6"/>
        <v>1260000</v>
      </c>
      <c r="BH16" s="37">
        <f t="shared" si="7"/>
        <v>140000</v>
      </c>
      <c r="BI16" s="35">
        <f t="shared" si="12"/>
        <v>2921000</v>
      </c>
      <c r="BJ16" s="35">
        <f t="shared" si="13"/>
        <v>679000</v>
      </c>
      <c r="BK16" s="37">
        <v>0</v>
      </c>
      <c r="BL16" s="37">
        <v>0</v>
      </c>
      <c r="BM16" s="35"/>
      <c r="BN16" s="37">
        <f>0</f>
        <v>0</v>
      </c>
      <c r="BO16" s="37"/>
      <c r="BP16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11389610</v>
      </c>
      <c r="BQ16" s="33"/>
      <c r="BR16" s="39">
        <f>Table13[[#This Row],[Initial Reserve]]-Table13[[#This Row],[All Deductions]]</f>
        <v>-11389610</v>
      </c>
      <c r="BS16" s="39">
        <v>0</v>
      </c>
      <c r="BT16" s="39">
        <f>IF(B16=0,0,BU15-Table13[[#This Row],[All Deductions]])</f>
        <v>438501652</v>
      </c>
      <c r="BU16" s="40">
        <f>ROUND(IF(B16=0,0,((BR16+BU15)*(1+db!U18))),0)</f>
        <v>504276900</v>
      </c>
      <c r="BV16" s="40">
        <f t="shared" si="17"/>
        <v>504277000</v>
      </c>
      <c r="BW16" s="15">
        <f t="shared" si="14"/>
        <v>15</v>
      </c>
      <c r="BX16" s="39">
        <f>IF(B16=0,0,((BR16)*(1+db!AH18))+((BX15)*(1+db!AD18)))</f>
        <v>919058573.52117455</v>
      </c>
      <c r="BY16" s="39">
        <f>IF(B16=0,0,((BR16)*(1+db!AH18))+((BY15)*(1+db!AD18)))</f>
        <v>919058573.52117455</v>
      </c>
      <c r="BZ16" s="40">
        <f>IF(B16=0,0,((BR16)*(1+db!AO18))+((BZ15)*(1+db!AK18)))</f>
        <v>1231702904.2767298</v>
      </c>
      <c r="CA16" s="40">
        <f>BZ16-(SUM(BM$7:$BM17))</f>
        <v>1231702904.2767298</v>
      </c>
      <c r="CB16" s="46"/>
    </row>
    <row r="17" spans="1:80">
      <c r="A17" s="16">
        <f t="shared" si="15"/>
        <v>16</v>
      </c>
      <c r="B17" s="16">
        <f>IF(B16=0,0,IF(db!$E$5&lt;B16+1,0,B16+1))</f>
        <v>0</v>
      </c>
      <c r="C17" s="15">
        <f t="shared" si="16"/>
        <v>0</v>
      </c>
      <c r="D17" s="312">
        <f>LOOKUP(Table13[[#This Row],[Age]],RiskLoading!A$3:A$109,RiskLoading!DG$3:DG$109)</f>
        <v>55</v>
      </c>
      <c r="E17" s="29">
        <f t="shared" si="8"/>
        <v>0</v>
      </c>
      <c r="F17" s="29">
        <f t="shared" si="9"/>
        <v>0</v>
      </c>
      <c r="G17" s="29">
        <f t="shared" si="0"/>
        <v>0</v>
      </c>
      <c r="H17" s="29">
        <v>0</v>
      </c>
      <c r="I17" s="29">
        <f>IF(B17=0,0,SUM($H$2:H17))</f>
        <v>0</v>
      </c>
      <c r="J17" s="17">
        <f t="shared" si="10"/>
        <v>0</v>
      </c>
      <c r="K17" s="17">
        <f>IF(Table13[[#This Row],[Year]]=0,0,IF($C$2&lt;=50,LOOKUP(Table13[[#This Row],[Age]],db!BG18:BG124,db!BH18:BH124),LOOKUP(Table13[[#This Row],[Age]],db!BJ18:BJ124,db!BK18:BK124)))</f>
        <v>0</v>
      </c>
      <c r="L17" s="17">
        <f>MIN(IF(B17=0,0,db!$E$4*((1+db!$B$4)^(B17-1))),Table13[[#This Row],[Max Sum Insured For Death]])</f>
        <v>0</v>
      </c>
      <c r="M17" s="17">
        <f>ROUND(IF(L17&lt;=db!$L$7,L17,db!$L$7),0)</f>
        <v>0</v>
      </c>
      <c r="N17" s="29">
        <f t="shared" si="11"/>
        <v>0</v>
      </c>
      <c r="O17" s="29">
        <f>IF(B17=0,0,IF(db!$D$6="Yes",(db!$B$6)*M17,0))</f>
        <v>0</v>
      </c>
      <c r="P17" s="29">
        <f>MIN(IF(O17&lt;=db!$L$2,O17,db!$L$2),MAX_ACC_CAPITAL)</f>
        <v>0</v>
      </c>
      <c r="Q17" s="17">
        <f>IF(B17=0,0,IF(db!$D$7="Yes",(db!$B$7)*M17,0))</f>
        <v>0</v>
      </c>
      <c r="R17" s="42">
        <f>IF(C17&gt;69,0,IF(C17=0,0,IF(Q17&lt;=db!$L$3,Q17,db!$L$3)))</f>
        <v>0</v>
      </c>
      <c r="S17" s="29">
        <f>IF(B17=0,0,IF(db!$D$9="Yes",(db!$B$9)*M17,0))</f>
        <v>0</v>
      </c>
      <c r="T17" s="29">
        <f>ROUND(IF(C17&gt;69,0,IF(C17=0,0,IF(S17&lt;=db!$L$4,S17,db!$L$4))),0)</f>
        <v>0</v>
      </c>
      <c r="U17" s="38">
        <v>0</v>
      </c>
      <c r="V17" s="17">
        <v>0</v>
      </c>
      <c r="W17" s="29">
        <v>0</v>
      </c>
      <c r="X17" s="17">
        <f>IF(B17=0,0,IF(db!$D$11="Yes",(db!$B$11)*M17,0))</f>
        <v>0</v>
      </c>
      <c r="Y17" s="42">
        <f>ROUND(IF(C17&gt;59,0,IF(C17=0,0,IF(X17&lt;=db!$L$5,X17,db!$L$5))),0)</f>
        <v>0</v>
      </c>
      <c r="Z17" s="29">
        <f>IF(B17=0,0,IF(db!$D$12="Yes",(db!$B$12)*M17,0))</f>
        <v>0</v>
      </c>
      <c r="AA17" s="29">
        <f>ROUND(IF(C17&gt;59,0,IF(C17=0,0,IF(Z17&lt;=db!$L$6,Z17,db!$L$6))),0)</f>
        <v>0</v>
      </c>
      <c r="AB17" s="32"/>
      <c r="AC17" s="18">
        <f>IF(B17=0,0,IF(C17&lt;(db!$E$2+5),LOOKUP(C17,'Mortality Table'!$A$2:$A$108,'Mortality Table'!$P$2:$P$108),IF((C17&gt;=db!$E$2+10),LOOKUP(C17,'Mortality Table'!$A$2:$A$108,'Mortality Table'!$R$2:$R$108),LOOKUP(C17,'Mortality Table'!$A$2:$A$108,'Mortality Table'!$Q$2:$Q$108))))</f>
        <v>0</v>
      </c>
      <c r="AD17" s="22">
        <f t="shared" si="1"/>
        <v>0</v>
      </c>
      <c r="AE17" s="19">
        <f>IF(B17=0,0,LOOKUP(db!$A$8,db!$AX$4:$AX$8,db!$AY$4:$AY$8))</f>
        <v>0</v>
      </c>
      <c r="AF17" s="20">
        <f>ROUND((AE17/1000)*P17 * (1-db!$AS$9),0)</f>
        <v>0</v>
      </c>
      <c r="AG17" s="20">
        <f>(AE17/1000)*P17 * db!$AS$9</f>
        <v>0</v>
      </c>
      <c r="AH17" s="21">
        <f>IF(B17=0,0,LOOKUP(db!$A$8,db!$AX$4:$AX$8,db!$AZ$4:$AZ$8))</f>
        <v>0</v>
      </c>
      <c r="AI17" s="22">
        <f>(AH17/1000)*R17*(1-db!$AS$9)</f>
        <v>0</v>
      </c>
      <c r="AJ17" s="22">
        <f>(AH17/1000)*R17*(db!$AS$9)</f>
        <v>0</v>
      </c>
      <c r="AK17" s="23">
        <f>IF(B17=0,0,LOOKUP(db!$A$8,db!$AX$4:$AX$8,db!$BA$4:$BA$8))</f>
        <v>0</v>
      </c>
      <c r="AL17" s="20">
        <f>ROUND((AK17/(100))*T17*(1-db!$AS$9),0)</f>
        <v>0</v>
      </c>
      <c r="AM17" s="20">
        <f>ROUND((AK17/(100))*T17*(db!$AS$9),0)</f>
        <v>0</v>
      </c>
      <c r="AN17" s="21">
        <f>IF(db!$D$8="Yes",AH17,0)</f>
        <v>0</v>
      </c>
      <c r="AO17" s="22">
        <f>(AN17*V17)/1000*(1-db!$AS$9)</f>
        <v>0</v>
      </c>
      <c r="AP17" s="22">
        <f>(AN17*V17)/1000*(db!$AS$9)</f>
        <v>0</v>
      </c>
      <c r="AQ17" s="23">
        <f>IF(db!$D$10="Yes",AH17,0)</f>
        <v>0</v>
      </c>
      <c r="AR17" s="20">
        <f>(AQ17*W17/1000)*(1-db!$AS$9)</f>
        <v>0</v>
      </c>
      <c r="AS17" s="20">
        <f>(AQ17*W17/1000)*(db!$AS$9)</f>
        <v>0</v>
      </c>
      <c r="AT17" s="22">
        <f>IF(B17=0,0,IF(C17&gt;60,0,LOOKUP(LOOKUP(C17,RiskLoading!A$3:A$109,RiskLoading!DG$3:DG$109),db!$BC$3:$BC$63,db!$BD$3:$BD$63)))</f>
        <v>0</v>
      </c>
      <c r="AU17" s="22">
        <f>AV17*db!$AS$10</f>
        <v>0</v>
      </c>
      <c r="AV17" s="22">
        <f t="shared" si="2"/>
        <v>0</v>
      </c>
      <c r="AW17" s="22">
        <f>(AT17/1000000)*Y17*(1-db!$AS$10)</f>
        <v>0</v>
      </c>
      <c r="AX17" s="20">
        <f>IF(B17=0,0,IF(C17&gt;60,0,LOOKUP(LOOKUP(C17,RiskLoading!A$3:A$109,RiskLoading!DG$3:DG$109),db!$BC$3:$BC$63,db!$BE$3:$BE$63)))</f>
        <v>0</v>
      </c>
      <c r="AY17" s="20">
        <f>(AX17/1000000)*AA17*(1-db!$AS$11)</f>
        <v>0</v>
      </c>
      <c r="AZ17" s="20">
        <f>(AX17/1000000)*AA17*(db!$AS$11)</f>
        <v>0</v>
      </c>
      <c r="BA17" s="19">
        <f>IF(Table13[Year]=0,0,LOOKUP(Table13[Age],RiskLoading!A$3:A$109,RiskLoading!DT$3:DT$109))</f>
        <v>0</v>
      </c>
      <c r="BB17" s="20">
        <f>Table13[[#This Row],[RiskLoading
Rate]]*Table13[[#This Row],[Death Capital (2)]]</f>
        <v>0</v>
      </c>
      <c r="BC17" s="36"/>
      <c r="BD17" s="37">
        <f t="shared" si="3"/>
        <v>0</v>
      </c>
      <c r="BE17" s="35">
        <f t="shared" si="4"/>
        <v>0</v>
      </c>
      <c r="BF17" s="35">
        <f t="shared" si="5"/>
        <v>0</v>
      </c>
      <c r="BG17" s="37">
        <f t="shared" si="6"/>
        <v>0</v>
      </c>
      <c r="BH17" s="37">
        <f t="shared" si="7"/>
        <v>0</v>
      </c>
      <c r="BI17" s="35">
        <f t="shared" si="12"/>
        <v>0</v>
      </c>
      <c r="BJ17" s="35">
        <f t="shared" si="13"/>
        <v>0</v>
      </c>
      <c r="BK17" s="37">
        <v>0</v>
      </c>
      <c r="BL17" s="37">
        <v>0</v>
      </c>
      <c r="BM17" s="35"/>
      <c r="BN17" s="37">
        <f>0</f>
        <v>0</v>
      </c>
      <c r="BO17" s="37"/>
      <c r="BP17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17" s="33"/>
      <c r="BR17" s="39">
        <f>Table13[[#This Row],[Initial Reserve]]-Table13[[#This Row],[All Deductions]]</f>
        <v>0</v>
      </c>
      <c r="BS17" s="39">
        <v>0</v>
      </c>
      <c r="BT17" s="39">
        <f>IF(B17=0,0,BU16-Table13[[#This Row],[All Deductions]])</f>
        <v>0</v>
      </c>
      <c r="BU17" s="40">
        <f>ROUND(IF(B17=0,0,((BR17+BU16)*(1+db!U19))),0)</f>
        <v>0</v>
      </c>
      <c r="BV17" s="40">
        <f t="shared" si="17"/>
        <v>0</v>
      </c>
      <c r="BW17" s="15">
        <f t="shared" si="14"/>
        <v>16</v>
      </c>
      <c r="BX17" s="39">
        <f>IF(B17=0,0,((BR17)*(1+db!AH19))+((BX16)*(1+db!AD19)))</f>
        <v>0</v>
      </c>
      <c r="BY17" s="39">
        <f>IF(B17=0,0,((BR17)*(1+db!AH19))+((BY16)*(1+db!AD19)))</f>
        <v>0</v>
      </c>
      <c r="BZ17" s="40">
        <f>IF(B17=0,0,((BR17)*(1+db!AO19))+((BZ16)*(1+db!AK19)))</f>
        <v>0</v>
      </c>
      <c r="CA17" s="40">
        <f>BZ17-(SUM(BM$7:$BM18))</f>
        <v>0</v>
      </c>
      <c r="CB17" s="46"/>
    </row>
    <row r="18" spans="1:80">
      <c r="A18" s="16">
        <f t="shared" si="15"/>
        <v>17</v>
      </c>
      <c r="B18" s="16">
        <f>IF(B17=0,0,IF(db!$E$5&lt;B17+1,0,B17+1))</f>
        <v>0</v>
      </c>
      <c r="C18" s="15">
        <f t="shared" si="16"/>
        <v>0</v>
      </c>
      <c r="D18" s="312">
        <f>LOOKUP(Table13[[#This Row],[Age]],RiskLoading!A$3:A$109,RiskLoading!DG$3:DG$109)</f>
        <v>55</v>
      </c>
      <c r="E18" s="29">
        <f t="shared" si="8"/>
        <v>0</v>
      </c>
      <c r="F18" s="29">
        <f t="shared" si="9"/>
        <v>0</v>
      </c>
      <c r="G18" s="29">
        <f t="shared" si="0"/>
        <v>0</v>
      </c>
      <c r="H18" s="29">
        <v>0</v>
      </c>
      <c r="I18" s="29">
        <f>IF(B18=0,0,SUM($H$2:H18))</f>
        <v>0</v>
      </c>
      <c r="J18" s="17">
        <f t="shared" si="10"/>
        <v>0</v>
      </c>
      <c r="K18" s="17">
        <f>IF(Table13[[#This Row],[Year]]=0,0,IF($C$2&lt;=50,LOOKUP(Table13[[#This Row],[Age]],db!BG19:BG125,db!BH19:BH125),LOOKUP(Table13[[#This Row],[Age]],db!BJ19:BJ125,db!BK19:BK125)))</f>
        <v>0</v>
      </c>
      <c r="L18" s="17">
        <f>MIN(IF(B18=0,0,db!$E$4*((1+db!$B$4)^(B18-1))),Table13[[#This Row],[Max Sum Insured For Death]])</f>
        <v>0</v>
      </c>
      <c r="M18" s="17">
        <f>ROUND(IF(L18&lt;=db!$L$7,L18,db!$L$7),0)</f>
        <v>0</v>
      </c>
      <c r="N18" s="29">
        <f t="shared" si="11"/>
        <v>0</v>
      </c>
      <c r="O18" s="29">
        <f>IF(B18=0,0,IF(db!$D$6="Yes",(db!$B$6)*M18,0))</f>
        <v>0</v>
      </c>
      <c r="P18" s="29">
        <f>MIN(IF(O18&lt;=db!$L$2,O18,db!$L$2),MAX_ACC_CAPITAL)</f>
        <v>0</v>
      </c>
      <c r="Q18" s="17">
        <f>IF(B18=0,0,IF(db!$D$7="Yes",(db!$B$7)*M18,0))</f>
        <v>0</v>
      </c>
      <c r="R18" s="42">
        <f>IF(C18&gt;69,0,IF(C18=0,0,IF(Q18&lt;=db!$L$3,Q18,db!$L$3)))</f>
        <v>0</v>
      </c>
      <c r="S18" s="29">
        <f>IF(B18=0,0,IF(db!$D$9="Yes",(db!$B$9)*M18,0))</f>
        <v>0</v>
      </c>
      <c r="T18" s="29">
        <f>ROUND(IF(C18&gt;69,0,IF(C18=0,0,IF(S18&lt;=db!$L$4,S18,db!$L$4))),0)</f>
        <v>0</v>
      </c>
      <c r="U18" s="38">
        <v>0</v>
      </c>
      <c r="V18" s="17">
        <v>0</v>
      </c>
      <c r="W18" s="29">
        <v>0</v>
      </c>
      <c r="X18" s="17">
        <f>IF(B18=0,0,IF(db!$D$11="Yes",(db!$B$11)*M18,0))</f>
        <v>0</v>
      </c>
      <c r="Y18" s="42">
        <f>ROUND(IF(C18&gt;59,0,IF(C18=0,0,IF(X18&lt;=db!$L$5,X18,db!$L$5))),0)</f>
        <v>0</v>
      </c>
      <c r="Z18" s="29">
        <f>IF(B18=0,0,IF(db!$D$12="Yes",(db!$B$12)*M18,0))</f>
        <v>0</v>
      </c>
      <c r="AA18" s="29">
        <f>ROUND(IF(C18&gt;59,0,IF(C18=0,0,IF(Z18&lt;=db!$L$6,Z18,db!$L$6))),0)</f>
        <v>0</v>
      </c>
      <c r="AB18" s="32"/>
      <c r="AC18" s="18">
        <f>IF(B18=0,0,IF(C18&lt;(db!$E$2+5),LOOKUP(C18,'Mortality Table'!$A$2:$A$108,'Mortality Table'!$P$2:$P$108),IF((C18&gt;=db!$E$2+10),LOOKUP(C18,'Mortality Table'!$A$2:$A$108,'Mortality Table'!$R$2:$R$108),LOOKUP(C18,'Mortality Table'!$A$2:$A$108,'Mortality Table'!$Q$2:$Q$108))))</f>
        <v>0</v>
      </c>
      <c r="AD18" s="22">
        <f t="shared" si="1"/>
        <v>0</v>
      </c>
      <c r="AE18" s="19">
        <f>IF(B18=0,0,LOOKUP(db!$A$8,db!$AX$4:$AX$8,db!$AY$4:$AY$8))</f>
        <v>0</v>
      </c>
      <c r="AF18" s="20">
        <f>ROUND((AE18/1000)*P18 * (1-db!$AS$9),0)</f>
        <v>0</v>
      </c>
      <c r="AG18" s="20">
        <f>(AE18/1000)*P18 * db!$AS$9</f>
        <v>0</v>
      </c>
      <c r="AH18" s="21">
        <f>IF(B18=0,0,LOOKUP(db!$A$8,db!$AX$4:$AX$8,db!$AZ$4:$AZ$8))</f>
        <v>0</v>
      </c>
      <c r="AI18" s="22">
        <f>(AH18/1000)*R18*(1-db!$AS$9)</f>
        <v>0</v>
      </c>
      <c r="AJ18" s="22">
        <f>(AH18/1000)*R18*(db!$AS$9)</f>
        <v>0</v>
      </c>
      <c r="AK18" s="23">
        <f>IF(B18=0,0,LOOKUP(db!$A$8,db!$AX$4:$AX$8,db!$BA$4:$BA$8))</f>
        <v>0</v>
      </c>
      <c r="AL18" s="20">
        <f>ROUND((AK18/(100))*T18*(1-db!$AS$9),0)</f>
        <v>0</v>
      </c>
      <c r="AM18" s="20">
        <f>ROUND((AK18/(100))*T18*(db!$AS$9),0)</f>
        <v>0</v>
      </c>
      <c r="AN18" s="21">
        <f>IF(db!$D$8="Yes",AH18,0)</f>
        <v>0</v>
      </c>
      <c r="AO18" s="22">
        <f>(AN18*V18)/1000*(1-db!$AS$9)</f>
        <v>0</v>
      </c>
      <c r="AP18" s="22">
        <f>(AN18*V18)/1000*(db!$AS$9)</f>
        <v>0</v>
      </c>
      <c r="AQ18" s="23">
        <f>IF(db!$D$10="Yes",AH18,0)</f>
        <v>0</v>
      </c>
      <c r="AR18" s="20">
        <f>(AQ18*W18/1000)*(1-db!$AS$9)</f>
        <v>0</v>
      </c>
      <c r="AS18" s="20">
        <f>(AQ18*W18/1000)*(db!$AS$9)</f>
        <v>0</v>
      </c>
      <c r="AT18" s="22">
        <f>IF(B18=0,0,IF(C18&gt;60,0,LOOKUP(LOOKUP(C18,RiskLoading!A$3:A$109,RiskLoading!DG$3:DG$109),db!$BC$3:$BC$63,db!$BD$3:$BD$63)))</f>
        <v>0</v>
      </c>
      <c r="AU18" s="22">
        <f>AV18*db!$AS$10</f>
        <v>0</v>
      </c>
      <c r="AV18" s="22">
        <f t="shared" si="2"/>
        <v>0</v>
      </c>
      <c r="AW18" s="22">
        <f>(AT18/1000000)*Y18*(1-db!$AS$10)</f>
        <v>0</v>
      </c>
      <c r="AX18" s="20">
        <f>IF(B18=0,0,IF(C18&gt;60,0,LOOKUP(LOOKUP(C18,RiskLoading!A$3:A$109,RiskLoading!DG$3:DG$109),db!$BC$3:$BC$63,db!$BE$3:$BE$63)))</f>
        <v>0</v>
      </c>
      <c r="AY18" s="20">
        <f>(AX18/1000000)*AA18*(1-db!$AS$11)</f>
        <v>0</v>
      </c>
      <c r="AZ18" s="20">
        <f>(AX18/1000000)*AA18*(db!$AS$11)</f>
        <v>0</v>
      </c>
      <c r="BA18" s="19">
        <f>IF(Table13[Year]=0,0,LOOKUP(Table13[Age],RiskLoading!A$3:A$109,RiskLoading!DT$3:DT$109))</f>
        <v>0</v>
      </c>
      <c r="BB18" s="20">
        <f>Table13[[#This Row],[RiskLoading
Rate]]*Table13[[#This Row],[Death Capital (2)]]</f>
        <v>0</v>
      </c>
      <c r="BC18" s="36"/>
      <c r="BD18" s="37">
        <f t="shared" si="3"/>
        <v>0</v>
      </c>
      <c r="BE18" s="35">
        <f t="shared" si="4"/>
        <v>0</v>
      </c>
      <c r="BF18" s="35">
        <f t="shared" si="5"/>
        <v>0</v>
      </c>
      <c r="BG18" s="37">
        <f t="shared" si="6"/>
        <v>0</v>
      </c>
      <c r="BH18" s="37">
        <f t="shared" si="7"/>
        <v>0</v>
      </c>
      <c r="BI18" s="35">
        <f t="shared" si="12"/>
        <v>0</v>
      </c>
      <c r="BJ18" s="35">
        <f t="shared" si="13"/>
        <v>0</v>
      </c>
      <c r="BK18" s="37">
        <v>0</v>
      </c>
      <c r="BL18" s="37">
        <v>0</v>
      </c>
      <c r="BM18" s="35"/>
      <c r="BN18" s="37">
        <f>0</f>
        <v>0</v>
      </c>
      <c r="BO18" s="37"/>
      <c r="BP18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18" s="33"/>
      <c r="BR18" s="39">
        <f>Table13[[#This Row],[Initial Reserve]]-Table13[[#This Row],[All Deductions]]</f>
        <v>0</v>
      </c>
      <c r="BS18" s="39">
        <v>0</v>
      </c>
      <c r="BT18" s="39">
        <f>IF(B18=0,0,BU17-Table13[[#This Row],[All Deductions]])</f>
        <v>0</v>
      </c>
      <c r="BU18" s="40">
        <f>ROUND(IF(B18=0,0,((BR18+BU17)*(1+db!U20))),0)</f>
        <v>0</v>
      </c>
      <c r="BV18" s="40">
        <f t="shared" si="17"/>
        <v>0</v>
      </c>
      <c r="BW18" s="15">
        <f t="shared" si="14"/>
        <v>17</v>
      </c>
      <c r="BX18" s="39">
        <f>IF(B18=0,0,((BR18)*(1+db!AH20))+((BX17)*(1+db!AD20)))</f>
        <v>0</v>
      </c>
      <c r="BY18" s="39">
        <f>IF(B18=0,0,((BR18)*(1+db!AH20))+((BY17)*(1+db!AD20)))</f>
        <v>0</v>
      </c>
      <c r="BZ18" s="40">
        <f>IF(B18=0,0,((BR18)*(1+db!AO20))+((BZ17)*(1+db!AK20)))</f>
        <v>0</v>
      </c>
      <c r="CA18" s="40">
        <f>BZ18-(SUM(BM$7:$BM19))</f>
        <v>0</v>
      </c>
      <c r="CB18" s="46"/>
    </row>
    <row r="19" spans="1:80">
      <c r="A19" s="16">
        <f t="shared" si="15"/>
        <v>18</v>
      </c>
      <c r="B19" s="16">
        <f>IF(B18=0,0,IF(db!$E$5&lt;B18+1,0,B18+1))</f>
        <v>0</v>
      </c>
      <c r="C19" s="15">
        <f t="shared" si="16"/>
        <v>0</v>
      </c>
      <c r="D19" s="312">
        <f>LOOKUP(Table13[[#This Row],[Age]],RiskLoading!A$3:A$109,RiskLoading!DG$3:DG$109)</f>
        <v>55</v>
      </c>
      <c r="E19" s="29">
        <f t="shared" si="8"/>
        <v>0</v>
      </c>
      <c r="F19" s="29">
        <f t="shared" si="9"/>
        <v>0</v>
      </c>
      <c r="G19" s="29">
        <f t="shared" si="0"/>
        <v>0</v>
      </c>
      <c r="H19" s="29">
        <v>0</v>
      </c>
      <c r="I19" s="29">
        <f>IF(B19=0,0,SUM($H$2:H19))</f>
        <v>0</v>
      </c>
      <c r="J19" s="17">
        <f t="shared" si="10"/>
        <v>0</v>
      </c>
      <c r="K19" s="17">
        <f>IF(Table13[[#This Row],[Year]]=0,0,IF($C$2&lt;=50,LOOKUP(Table13[[#This Row],[Age]],db!BG20:BG126,db!BH20:BH126),LOOKUP(Table13[[#This Row],[Age]],db!BJ20:BJ126,db!BK20:BK126)))</f>
        <v>0</v>
      </c>
      <c r="L19" s="17">
        <f>MIN(IF(B19=0,0,db!$E$4*((1+db!$B$4)^(B19-1))),Table13[[#This Row],[Max Sum Insured For Death]])</f>
        <v>0</v>
      </c>
      <c r="M19" s="17">
        <f>ROUND(IF(L19&lt;=db!$L$7,L19,db!$L$7),0)</f>
        <v>0</v>
      </c>
      <c r="N19" s="29">
        <f t="shared" si="11"/>
        <v>0</v>
      </c>
      <c r="O19" s="29">
        <f>IF(B19=0,0,IF(db!$D$6="Yes",(db!$B$6)*M19,0))</f>
        <v>0</v>
      </c>
      <c r="P19" s="29">
        <f>MIN(IF(O19&lt;=db!$L$2,O19,db!$L$2),MAX_ACC_CAPITAL)</f>
        <v>0</v>
      </c>
      <c r="Q19" s="17">
        <f>IF(B19=0,0,IF(db!$D$7="Yes",(db!$B$7)*M19,0))</f>
        <v>0</v>
      </c>
      <c r="R19" s="42">
        <f>IF(C19&gt;69,0,IF(C19=0,0,IF(Q19&lt;=db!$L$3,Q19,db!$L$3)))</f>
        <v>0</v>
      </c>
      <c r="S19" s="29">
        <f>IF(B19=0,0,IF(db!$D$9="Yes",(db!$B$9)*M19,0))</f>
        <v>0</v>
      </c>
      <c r="T19" s="29">
        <f>ROUND(IF(C19&gt;69,0,IF(C19=0,0,IF(S19&lt;=db!$L$4,S19,db!$L$4))),0)</f>
        <v>0</v>
      </c>
      <c r="U19" s="38">
        <v>0</v>
      </c>
      <c r="V19" s="17">
        <v>0</v>
      </c>
      <c r="W19" s="29">
        <v>0</v>
      </c>
      <c r="X19" s="17">
        <f>IF(B19=0,0,IF(db!$D$11="Yes",(db!$B$11)*M19,0))</f>
        <v>0</v>
      </c>
      <c r="Y19" s="42">
        <f>ROUND(IF(C19&gt;59,0,IF(C19=0,0,IF(X19&lt;=db!$L$5,X19,db!$L$5))),0)</f>
        <v>0</v>
      </c>
      <c r="Z19" s="29">
        <f>IF(B19=0,0,IF(db!$D$12="Yes",(db!$B$12)*M19,0))</f>
        <v>0</v>
      </c>
      <c r="AA19" s="29">
        <f>ROUND(IF(C19&gt;59,0,IF(C19=0,0,IF(Z19&lt;=db!$L$6,Z19,db!$L$6))),0)</f>
        <v>0</v>
      </c>
      <c r="AB19" s="32"/>
      <c r="AC19" s="18">
        <f>IF(B19=0,0,IF(C19&lt;(db!$E$2+5),LOOKUP(C19,'Mortality Table'!$A$2:$A$108,'Mortality Table'!$P$2:$P$108),IF((C19&gt;=db!$E$2+10),LOOKUP(C19,'Mortality Table'!$A$2:$A$108,'Mortality Table'!$R$2:$R$108),LOOKUP(C19,'Mortality Table'!$A$2:$A$108,'Mortality Table'!$Q$2:$Q$108))))</f>
        <v>0</v>
      </c>
      <c r="AD19" s="22">
        <f t="shared" si="1"/>
        <v>0</v>
      </c>
      <c r="AE19" s="19">
        <f>IF(B19=0,0,LOOKUP(db!$A$8,db!$AX$4:$AX$8,db!$AY$4:$AY$8))</f>
        <v>0</v>
      </c>
      <c r="AF19" s="20">
        <f>ROUND((AE19/1000)*P19 * (1-db!$AS$9),0)</f>
        <v>0</v>
      </c>
      <c r="AG19" s="20">
        <f>(AE19/1000)*P19 * db!$AS$9</f>
        <v>0</v>
      </c>
      <c r="AH19" s="21">
        <f>IF(B19=0,0,LOOKUP(db!$A$8,db!$AX$4:$AX$8,db!$AZ$4:$AZ$8))</f>
        <v>0</v>
      </c>
      <c r="AI19" s="22">
        <f>(AH19/1000)*R19*(1-db!$AS$9)</f>
        <v>0</v>
      </c>
      <c r="AJ19" s="22">
        <f>(AH19/1000)*R19*(db!$AS$9)</f>
        <v>0</v>
      </c>
      <c r="AK19" s="23">
        <f>IF(B19=0,0,LOOKUP(db!$A$8,db!$AX$4:$AX$8,db!$BA$4:$BA$8))</f>
        <v>0</v>
      </c>
      <c r="AL19" s="20">
        <f>ROUND((AK19/(100))*T19*(1-db!$AS$9),0)</f>
        <v>0</v>
      </c>
      <c r="AM19" s="20">
        <f>ROUND((AK19/(100))*T19*(db!$AS$9),0)</f>
        <v>0</v>
      </c>
      <c r="AN19" s="21">
        <f>IF(db!$D$8="Yes",AH19,0)</f>
        <v>0</v>
      </c>
      <c r="AO19" s="22">
        <f>(AN19*V19)/1000*(1-db!$AS$9)</f>
        <v>0</v>
      </c>
      <c r="AP19" s="22">
        <f>(AN19*V19)/1000*(db!$AS$9)</f>
        <v>0</v>
      </c>
      <c r="AQ19" s="23">
        <f>IF(db!$D$10="Yes",AH19,0)</f>
        <v>0</v>
      </c>
      <c r="AR19" s="20">
        <f>(AQ19*W19/1000)*(1-db!$AS$9)</f>
        <v>0</v>
      </c>
      <c r="AS19" s="20">
        <f>(AQ19*W19/1000)*(db!$AS$9)</f>
        <v>0</v>
      </c>
      <c r="AT19" s="22">
        <f>IF(B19=0,0,IF(C19&gt;60,0,LOOKUP(LOOKUP(C19,RiskLoading!A$3:A$109,RiskLoading!DG$3:DG$109),db!$BC$3:$BC$63,db!$BD$3:$BD$63)))</f>
        <v>0</v>
      </c>
      <c r="AU19" s="22">
        <f>AV19*db!$AS$10</f>
        <v>0</v>
      </c>
      <c r="AV19" s="22">
        <f t="shared" si="2"/>
        <v>0</v>
      </c>
      <c r="AW19" s="22">
        <f>(AT19/1000000)*Y19*(1-db!$AS$10)</f>
        <v>0</v>
      </c>
      <c r="AX19" s="20">
        <f>IF(B19=0,0,IF(C19&gt;60,0,LOOKUP(LOOKUP(C19,RiskLoading!A$3:A$109,RiskLoading!DG$3:DG$109),db!$BC$3:$BC$63,db!$BE$3:$BE$63)))</f>
        <v>0</v>
      </c>
      <c r="AY19" s="20">
        <f>(AX19/1000000)*AA19*(1-db!$AS$11)</f>
        <v>0</v>
      </c>
      <c r="AZ19" s="20">
        <f>(AX19/1000000)*AA19*(db!$AS$11)</f>
        <v>0</v>
      </c>
      <c r="BA19" s="19">
        <f>IF(Table13[Year]=0,0,LOOKUP(Table13[Age],RiskLoading!A$3:A$109,RiskLoading!DT$3:DT$109))</f>
        <v>0</v>
      </c>
      <c r="BB19" s="20">
        <f>Table13[[#This Row],[RiskLoading
Rate]]*Table13[[#This Row],[Death Capital (2)]]</f>
        <v>0</v>
      </c>
      <c r="BC19" s="36"/>
      <c r="BD19" s="37">
        <f t="shared" si="3"/>
        <v>0</v>
      </c>
      <c r="BE19" s="35">
        <f t="shared" si="4"/>
        <v>0</v>
      </c>
      <c r="BF19" s="35">
        <f t="shared" si="5"/>
        <v>0</v>
      </c>
      <c r="BG19" s="37">
        <f t="shared" si="6"/>
        <v>0</v>
      </c>
      <c r="BH19" s="37">
        <f t="shared" si="7"/>
        <v>0</v>
      </c>
      <c r="BI19" s="35">
        <f t="shared" si="12"/>
        <v>0</v>
      </c>
      <c r="BJ19" s="35">
        <f t="shared" si="13"/>
        <v>0</v>
      </c>
      <c r="BK19" s="37">
        <v>0</v>
      </c>
      <c r="BL19" s="37">
        <v>0</v>
      </c>
      <c r="BM19" s="35"/>
      <c r="BN19" s="37">
        <f>0</f>
        <v>0</v>
      </c>
      <c r="BO19" s="37"/>
      <c r="BP19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19" s="33"/>
      <c r="BR19" s="39">
        <f>Table13[[#This Row],[Initial Reserve]]-Table13[[#This Row],[All Deductions]]</f>
        <v>0</v>
      </c>
      <c r="BS19" s="39">
        <v>0</v>
      </c>
      <c r="BT19" s="39">
        <f>IF(B19=0,0,BU18-Table13[[#This Row],[All Deductions]])</f>
        <v>0</v>
      </c>
      <c r="BU19" s="40">
        <f>ROUND(IF(B19=0,0,((BR19+BU18)*(1+db!U21))),0)</f>
        <v>0</v>
      </c>
      <c r="BV19" s="40">
        <f t="shared" si="17"/>
        <v>0</v>
      </c>
      <c r="BW19" s="15">
        <f t="shared" si="14"/>
        <v>18</v>
      </c>
      <c r="BX19" s="39">
        <f>IF(B19=0,0,((BR19)*(1+db!AH21))+((BX18)*(1+db!AD21)))</f>
        <v>0</v>
      </c>
      <c r="BY19" s="39">
        <f>IF(B19=0,0,((BR19)*(1+db!AH21))+((BY18)*(1+db!AD21)))</f>
        <v>0</v>
      </c>
      <c r="BZ19" s="40">
        <f>IF(B19=0,0,((BR19)*(1+db!AO21))+((BZ18)*(1+db!AK21)))</f>
        <v>0</v>
      </c>
      <c r="CA19" s="40">
        <f>BZ19-(SUM(BM$7:$BM20))</f>
        <v>0</v>
      </c>
      <c r="CB19" s="46"/>
    </row>
    <row r="20" spans="1:80">
      <c r="A20" s="16">
        <f t="shared" si="15"/>
        <v>19</v>
      </c>
      <c r="B20" s="16">
        <f>IF(B19=0,0,IF(db!$E$5&lt;B19+1,0,B19+1))</f>
        <v>0</v>
      </c>
      <c r="C20" s="15">
        <f t="shared" si="16"/>
        <v>0</v>
      </c>
      <c r="D20" s="312">
        <f>LOOKUP(Table13[[#This Row],[Age]],RiskLoading!A$3:A$109,RiskLoading!DG$3:DG$109)</f>
        <v>55</v>
      </c>
      <c r="E20" s="29">
        <f t="shared" si="8"/>
        <v>0</v>
      </c>
      <c r="F20" s="29">
        <f t="shared" si="9"/>
        <v>0</v>
      </c>
      <c r="G20" s="29">
        <f t="shared" si="0"/>
        <v>0</v>
      </c>
      <c r="H20" s="29">
        <v>0</v>
      </c>
      <c r="I20" s="29">
        <f>IF(B20=0,0,SUM($H$2:H20))</f>
        <v>0</v>
      </c>
      <c r="J20" s="17">
        <f t="shared" si="10"/>
        <v>0</v>
      </c>
      <c r="K20" s="17">
        <f>IF(Table13[[#This Row],[Year]]=0,0,IF($C$2&lt;=50,LOOKUP(Table13[[#This Row],[Age]],db!BG21:BG127,db!BH21:BH127),LOOKUP(Table13[[#This Row],[Age]],db!BJ21:BJ127,db!BK21:BK127)))</f>
        <v>0</v>
      </c>
      <c r="L20" s="17">
        <f>MIN(IF(B20=0,0,db!$E$4*((1+db!$B$4)^(B20-1))),Table13[[#This Row],[Max Sum Insured For Death]])</f>
        <v>0</v>
      </c>
      <c r="M20" s="17">
        <f>ROUND(IF(L20&lt;=db!$L$7,L20,db!$L$7),0)</f>
        <v>0</v>
      </c>
      <c r="N20" s="29">
        <f t="shared" si="11"/>
        <v>0</v>
      </c>
      <c r="O20" s="29">
        <f>IF(B20=0,0,IF(db!$D$6="Yes",(db!$B$6)*M20,0))</f>
        <v>0</v>
      </c>
      <c r="P20" s="29">
        <f>MIN(IF(O20&lt;=db!$L$2,O20,db!$L$2),MAX_ACC_CAPITAL)</f>
        <v>0</v>
      </c>
      <c r="Q20" s="17">
        <f>IF(B20=0,0,IF(db!$D$7="Yes",(db!$B$7)*M20,0))</f>
        <v>0</v>
      </c>
      <c r="R20" s="42">
        <f>IF(C20&gt;69,0,IF(C20=0,0,IF(Q20&lt;=db!$L$3,Q20,db!$L$3)))</f>
        <v>0</v>
      </c>
      <c r="S20" s="29">
        <f>IF(B20=0,0,IF(db!$D$9="Yes",(db!$B$9)*M20,0))</f>
        <v>0</v>
      </c>
      <c r="T20" s="29">
        <f>ROUND(IF(C20&gt;69,0,IF(C20=0,0,IF(S20&lt;=db!$L$4,S20,db!$L$4))),0)</f>
        <v>0</v>
      </c>
      <c r="U20" s="38">
        <v>0</v>
      </c>
      <c r="V20" s="17">
        <v>0</v>
      </c>
      <c r="W20" s="29">
        <v>0</v>
      </c>
      <c r="X20" s="17">
        <f>IF(B20=0,0,IF(db!$D$11="Yes",(db!$B$11)*M20,0))</f>
        <v>0</v>
      </c>
      <c r="Y20" s="42">
        <f>ROUND(IF(C20&gt;59,0,IF(C20=0,0,IF(X20&lt;=db!$L$5,X20,db!$L$5))),0)</f>
        <v>0</v>
      </c>
      <c r="Z20" s="29">
        <f>IF(B20=0,0,IF(db!$D$12="Yes",(db!$B$12)*M20,0))</f>
        <v>0</v>
      </c>
      <c r="AA20" s="29">
        <f>ROUND(IF(C20&gt;59,0,IF(C20=0,0,IF(Z20&lt;=db!$L$6,Z20,db!$L$6))),0)</f>
        <v>0</v>
      </c>
      <c r="AB20" s="32"/>
      <c r="AC20" s="18">
        <f>IF(B20=0,0,IF(C20&lt;(db!$E$2+5),LOOKUP(C20,'Mortality Table'!$A$2:$A$108,'Mortality Table'!$P$2:$P$108),IF((C20&gt;=db!$E$2+10),LOOKUP(C20,'Mortality Table'!$A$2:$A$108,'Mortality Table'!$R$2:$R$108),LOOKUP(C20,'Mortality Table'!$A$2:$A$108,'Mortality Table'!$Q$2:$Q$108))))</f>
        <v>0</v>
      </c>
      <c r="AD20" s="22">
        <f t="shared" si="1"/>
        <v>0</v>
      </c>
      <c r="AE20" s="19">
        <f>IF(B20=0,0,LOOKUP(db!$A$8,db!$AX$4:$AX$8,db!$AY$4:$AY$8))</f>
        <v>0</v>
      </c>
      <c r="AF20" s="20">
        <f>ROUND((AE20/1000)*P20 * (1-db!$AS$9),0)</f>
        <v>0</v>
      </c>
      <c r="AG20" s="20">
        <f>(AE20/1000)*P20 * db!$AS$9</f>
        <v>0</v>
      </c>
      <c r="AH20" s="21">
        <f>IF(B20=0,0,LOOKUP(db!$A$8,db!$AX$4:$AX$8,db!$AZ$4:$AZ$8))</f>
        <v>0</v>
      </c>
      <c r="AI20" s="22">
        <f>(AH20/1000)*R20*(1-db!$AS$9)</f>
        <v>0</v>
      </c>
      <c r="AJ20" s="22">
        <f>(AH20/1000)*R20*(db!$AS$9)</f>
        <v>0</v>
      </c>
      <c r="AK20" s="23">
        <f>IF(B20=0,0,LOOKUP(db!$A$8,db!$AX$4:$AX$8,db!$BA$4:$BA$8))</f>
        <v>0</v>
      </c>
      <c r="AL20" s="20">
        <f>ROUND((AK20/(100))*T20*(1-db!$AS$9),0)</f>
        <v>0</v>
      </c>
      <c r="AM20" s="20">
        <f>ROUND((AK20/(100))*T20*(db!$AS$9),0)</f>
        <v>0</v>
      </c>
      <c r="AN20" s="21">
        <f>IF(db!$D$8="Yes",AH20,0)</f>
        <v>0</v>
      </c>
      <c r="AO20" s="22">
        <f>(AN20*V20)/1000*(1-db!$AS$9)</f>
        <v>0</v>
      </c>
      <c r="AP20" s="22">
        <f>(AN20*V20)/1000*(db!$AS$9)</f>
        <v>0</v>
      </c>
      <c r="AQ20" s="23">
        <f>IF(db!$D$10="Yes",AH20,0)</f>
        <v>0</v>
      </c>
      <c r="AR20" s="20">
        <f>(AQ20*W20/1000)*(1-db!$AS$9)</f>
        <v>0</v>
      </c>
      <c r="AS20" s="20">
        <f>(AQ20*W20/1000)*(db!$AS$9)</f>
        <v>0</v>
      </c>
      <c r="AT20" s="22">
        <f>IF(B20=0,0,IF(C20&gt;60,0,LOOKUP(LOOKUP(C20,RiskLoading!A$3:A$109,RiskLoading!DG$3:DG$109),db!$BC$3:$BC$63,db!$BD$3:$BD$63)))</f>
        <v>0</v>
      </c>
      <c r="AU20" s="22">
        <f>AV20*db!$AS$10</f>
        <v>0</v>
      </c>
      <c r="AV20" s="22">
        <f t="shared" si="2"/>
        <v>0</v>
      </c>
      <c r="AW20" s="22">
        <f>(AT20/1000000)*Y20*(1-db!$AS$10)</f>
        <v>0</v>
      </c>
      <c r="AX20" s="20">
        <f>IF(B20=0,0,IF(C20&gt;60,0,LOOKUP(LOOKUP(C20,RiskLoading!A$3:A$109,RiskLoading!DG$3:DG$109),db!$BC$3:$BC$63,db!$BE$3:$BE$63)))</f>
        <v>0</v>
      </c>
      <c r="AY20" s="20">
        <f>(AX20/1000000)*AA20*(1-db!$AS$11)</f>
        <v>0</v>
      </c>
      <c r="AZ20" s="20">
        <f>(AX20/1000000)*AA20*(db!$AS$11)</f>
        <v>0</v>
      </c>
      <c r="BA20" s="19">
        <f>IF(Table13[Year]=0,0,LOOKUP(Table13[Age],RiskLoading!A$3:A$109,RiskLoading!DT$3:DT$109))</f>
        <v>0</v>
      </c>
      <c r="BB20" s="20">
        <f>Table13[[#This Row],[RiskLoading
Rate]]*Table13[[#This Row],[Death Capital (2)]]</f>
        <v>0</v>
      </c>
      <c r="BC20" s="36"/>
      <c r="BD20" s="37">
        <f t="shared" si="3"/>
        <v>0</v>
      </c>
      <c r="BE20" s="35">
        <f t="shared" si="4"/>
        <v>0</v>
      </c>
      <c r="BF20" s="35">
        <f t="shared" si="5"/>
        <v>0</v>
      </c>
      <c r="BG20" s="37">
        <f t="shared" si="6"/>
        <v>0</v>
      </c>
      <c r="BH20" s="37">
        <f t="shared" si="7"/>
        <v>0</v>
      </c>
      <c r="BI20" s="35">
        <f t="shared" si="12"/>
        <v>0</v>
      </c>
      <c r="BJ20" s="35">
        <f t="shared" si="13"/>
        <v>0</v>
      </c>
      <c r="BK20" s="37">
        <v>0</v>
      </c>
      <c r="BL20" s="37">
        <v>0</v>
      </c>
      <c r="BM20" s="35"/>
      <c r="BN20" s="37">
        <f>0</f>
        <v>0</v>
      </c>
      <c r="BO20" s="37"/>
      <c r="BP20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20" s="33"/>
      <c r="BR20" s="39">
        <f>Table13[[#This Row],[Initial Reserve]]-Table13[[#This Row],[All Deductions]]</f>
        <v>0</v>
      </c>
      <c r="BS20" s="39">
        <v>0</v>
      </c>
      <c r="BT20" s="39">
        <f>IF(B20=0,0,BU19-Table13[[#This Row],[All Deductions]])</f>
        <v>0</v>
      </c>
      <c r="BU20" s="40">
        <f>ROUND(IF(B20=0,0,((BR20+BU19)*(1+db!U22))),0)</f>
        <v>0</v>
      </c>
      <c r="BV20" s="40">
        <f t="shared" si="17"/>
        <v>0</v>
      </c>
      <c r="BW20" s="15">
        <f t="shared" si="14"/>
        <v>19</v>
      </c>
      <c r="BX20" s="39">
        <f>IF(B20=0,0,((BR20)*(1+db!AH22))+((BX19)*(1+db!AD22)))</f>
        <v>0</v>
      </c>
      <c r="BY20" s="39">
        <f>IF(B20=0,0,((BR20)*(1+db!AH22))+((BY19)*(1+db!AD22)))</f>
        <v>0</v>
      </c>
      <c r="BZ20" s="40">
        <f>IF(B20=0,0,((BR20)*(1+db!AO22))+((BZ19)*(1+db!AK22)))</f>
        <v>0</v>
      </c>
      <c r="CA20" s="40">
        <f>BZ20-(SUM(BM$7:$BM21))</f>
        <v>0</v>
      </c>
      <c r="CB20" s="46"/>
    </row>
    <row r="21" spans="1:80">
      <c r="A21" s="16">
        <f t="shared" si="15"/>
        <v>20</v>
      </c>
      <c r="B21" s="16">
        <f>IF(B20=0,0,IF(db!$E$5&lt;B20+1,0,B20+1))</f>
        <v>0</v>
      </c>
      <c r="C21" s="15">
        <f t="shared" si="16"/>
        <v>0</v>
      </c>
      <c r="D21" s="312">
        <f>LOOKUP(Table13[[#This Row],[Age]],RiskLoading!A$3:A$109,RiskLoading!DG$3:DG$109)</f>
        <v>55</v>
      </c>
      <c r="E21" s="29">
        <f t="shared" si="8"/>
        <v>0</v>
      </c>
      <c r="F21" s="29">
        <f t="shared" si="9"/>
        <v>0</v>
      </c>
      <c r="G21" s="29">
        <f t="shared" si="0"/>
        <v>0</v>
      </c>
      <c r="H21" s="29">
        <v>0</v>
      </c>
      <c r="I21" s="29">
        <f>IF(B21=0,0,SUM($H$2:H21))</f>
        <v>0</v>
      </c>
      <c r="J21" s="17">
        <f t="shared" si="10"/>
        <v>0</v>
      </c>
      <c r="K21" s="17">
        <f>IF(Table13[[#This Row],[Year]]=0,0,IF($C$2&lt;=50,LOOKUP(Table13[[#This Row],[Age]],db!BG22:BG128,db!BH22:BH128),LOOKUP(Table13[[#This Row],[Age]],db!BJ22:BJ128,db!BK22:BK128)))</f>
        <v>0</v>
      </c>
      <c r="L21" s="17">
        <f>MIN(IF(B21=0,0,db!$E$4*((1+db!$B$4)^(B21-1))),Table13[[#This Row],[Max Sum Insured For Death]])</f>
        <v>0</v>
      </c>
      <c r="M21" s="17">
        <f>ROUND(IF(L21&lt;=db!$L$7,L21,db!$L$7),0)</f>
        <v>0</v>
      </c>
      <c r="N21" s="29">
        <f t="shared" si="11"/>
        <v>0</v>
      </c>
      <c r="O21" s="29">
        <f>IF(B21=0,0,IF(db!$D$6="Yes",(db!$B$6)*M21,0))</f>
        <v>0</v>
      </c>
      <c r="P21" s="29">
        <f>MIN(IF(O21&lt;=db!$L$2,O21,db!$L$2),MAX_ACC_CAPITAL)</f>
        <v>0</v>
      </c>
      <c r="Q21" s="17">
        <f>IF(B21=0,0,IF(db!$D$7="Yes",(db!$B$7)*M21,0))</f>
        <v>0</v>
      </c>
      <c r="R21" s="42">
        <f>IF(C21&gt;69,0,IF(C21=0,0,IF(Q21&lt;=db!$L$3,Q21,db!$L$3)))</f>
        <v>0</v>
      </c>
      <c r="S21" s="29">
        <f>IF(B21=0,0,IF(db!$D$9="Yes",(db!$B$9)*M21,0))</f>
        <v>0</v>
      </c>
      <c r="T21" s="29">
        <f>ROUND(IF(C21&gt;69,0,IF(C21=0,0,IF(S21&lt;=db!$L$4,S21,db!$L$4))),0)</f>
        <v>0</v>
      </c>
      <c r="U21" s="38">
        <v>0</v>
      </c>
      <c r="V21" s="17">
        <v>0</v>
      </c>
      <c r="W21" s="29">
        <v>0</v>
      </c>
      <c r="X21" s="17">
        <f>IF(B21=0,0,IF(db!$D$11="Yes",(db!$B$11)*M21,0))</f>
        <v>0</v>
      </c>
      <c r="Y21" s="42">
        <f>ROUND(IF(C21&gt;59,0,IF(C21=0,0,IF(X21&lt;=db!$L$5,X21,db!$L$5))),0)</f>
        <v>0</v>
      </c>
      <c r="Z21" s="29">
        <f>IF(B21=0,0,IF(db!$D$12="Yes",(db!$B$12)*M21,0))</f>
        <v>0</v>
      </c>
      <c r="AA21" s="29">
        <f>ROUND(IF(C21&gt;59,0,IF(C21=0,0,IF(Z21&lt;=db!$L$6,Z21,db!$L$6))),0)</f>
        <v>0</v>
      </c>
      <c r="AB21" s="32"/>
      <c r="AC21" s="18">
        <f>IF(B21=0,0,IF(C21&lt;(db!$E$2+5),LOOKUP(C21,'Mortality Table'!$A$2:$A$108,'Mortality Table'!$P$2:$P$108),IF((C21&gt;=db!$E$2+10),LOOKUP(C21,'Mortality Table'!$A$2:$A$108,'Mortality Table'!$R$2:$R$108),LOOKUP(C21,'Mortality Table'!$A$2:$A$108,'Mortality Table'!$Q$2:$Q$108))))</f>
        <v>0</v>
      </c>
      <c r="AD21" s="22">
        <f t="shared" si="1"/>
        <v>0</v>
      </c>
      <c r="AE21" s="19">
        <f>IF(B21=0,0,LOOKUP(db!$A$8,db!$AX$4:$AX$8,db!$AY$4:$AY$8))</f>
        <v>0</v>
      </c>
      <c r="AF21" s="20">
        <f>ROUND((AE21/1000)*P21 * (1-db!$AS$9),0)</f>
        <v>0</v>
      </c>
      <c r="AG21" s="20">
        <f>(AE21/1000)*P21 * db!$AS$9</f>
        <v>0</v>
      </c>
      <c r="AH21" s="21">
        <f>IF(B21=0,0,LOOKUP(db!$A$8,db!$AX$4:$AX$8,db!$AZ$4:$AZ$8))</f>
        <v>0</v>
      </c>
      <c r="AI21" s="22">
        <f>(AH21/1000)*R21*(1-db!$AS$9)</f>
        <v>0</v>
      </c>
      <c r="AJ21" s="22">
        <f>(AH21/1000)*R21*(db!$AS$9)</f>
        <v>0</v>
      </c>
      <c r="AK21" s="23">
        <f>IF(B21=0,0,LOOKUP(db!$A$8,db!$AX$4:$AX$8,db!$BA$4:$BA$8))</f>
        <v>0</v>
      </c>
      <c r="AL21" s="20">
        <f>ROUND((AK21/(100))*T21*(1-db!$AS$9),0)</f>
        <v>0</v>
      </c>
      <c r="AM21" s="20">
        <f>ROUND((AK21/(100))*T21*(db!$AS$9),0)</f>
        <v>0</v>
      </c>
      <c r="AN21" s="21">
        <f>IF(db!$D$8="Yes",AH21,0)</f>
        <v>0</v>
      </c>
      <c r="AO21" s="22">
        <f>(AN21*V21)/1000*(1-db!$AS$9)</f>
        <v>0</v>
      </c>
      <c r="AP21" s="22">
        <f>(AN21*V21)/1000*(db!$AS$9)</f>
        <v>0</v>
      </c>
      <c r="AQ21" s="23">
        <f>IF(db!$D$10="Yes",AH21,0)</f>
        <v>0</v>
      </c>
      <c r="AR21" s="20">
        <f>(AQ21*W21/1000)*(1-db!$AS$9)</f>
        <v>0</v>
      </c>
      <c r="AS21" s="20">
        <f>(AQ21*W21/1000)*(db!$AS$9)</f>
        <v>0</v>
      </c>
      <c r="AT21" s="22">
        <f>IF(B21=0,0,IF(C21&gt;60,0,LOOKUP(LOOKUP(C21,RiskLoading!A$3:A$109,RiskLoading!DG$3:DG$109),db!$BC$3:$BC$63,db!$BD$3:$BD$63)))</f>
        <v>0</v>
      </c>
      <c r="AU21" s="22">
        <f>AV21*db!$AS$10</f>
        <v>0</v>
      </c>
      <c r="AV21" s="22">
        <f t="shared" si="2"/>
        <v>0</v>
      </c>
      <c r="AW21" s="22">
        <f>(AT21/1000000)*Y21*(1-db!$AS$10)</f>
        <v>0</v>
      </c>
      <c r="AX21" s="20">
        <f>IF(B21=0,0,IF(C21&gt;60,0,LOOKUP(LOOKUP(C21,RiskLoading!A$3:A$109,RiskLoading!DG$3:DG$109),db!$BC$3:$BC$63,db!$BE$3:$BE$63)))</f>
        <v>0</v>
      </c>
      <c r="AY21" s="20">
        <f>(AX21/1000000)*AA21*(1-db!$AS$11)</f>
        <v>0</v>
      </c>
      <c r="AZ21" s="20">
        <f>(AX21/1000000)*AA21*(db!$AS$11)</f>
        <v>0</v>
      </c>
      <c r="BA21" s="19">
        <f>IF(Table13[Year]=0,0,LOOKUP(Table13[Age],RiskLoading!A$3:A$109,RiskLoading!DT$3:DT$109))</f>
        <v>0</v>
      </c>
      <c r="BB21" s="20">
        <f>Table13[[#This Row],[RiskLoading
Rate]]*Table13[[#This Row],[Death Capital (2)]]</f>
        <v>0</v>
      </c>
      <c r="BC21" s="36"/>
      <c r="BD21" s="37">
        <f t="shared" si="3"/>
        <v>0</v>
      </c>
      <c r="BE21" s="35">
        <f t="shared" si="4"/>
        <v>0</v>
      </c>
      <c r="BF21" s="35">
        <f t="shared" si="5"/>
        <v>0</v>
      </c>
      <c r="BG21" s="37">
        <f t="shared" si="6"/>
        <v>0</v>
      </c>
      <c r="BH21" s="37">
        <f t="shared" si="7"/>
        <v>0</v>
      </c>
      <c r="BI21" s="35">
        <f t="shared" si="12"/>
        <v>0</v>
      </c>
      <c r="BJ21" s="35">
        <f t="shared" si="13"/>
        <v>0</v>
      </c>
      <c r="BK21" s="37">
        <v>0</v>
      </c>
      <c r="BL21" s="37">
        <v>0</v>
      </c>
      <c r="BM21" s="35"/>
      <c r="BN21" s="37">
        <f>0</f>
        <v>0</v>
      </c>
      <c r="BO21" s="37"/>
      <c r="BP21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21" s="33"/>
      <c r="BR21" s="39">
        <f>Table13[[#This Row],[Initial Reserve]]-Table13[[#This Row],[All Deductions]]</f>
        <v>0</v>
      </c>
      <c r="BS21" s="39">
        <v>0</v>
      </c>
      <c r="BT21" s="39">
        <f>IF(B21=0,0,BU20-Table13[[#This Row],[All Deductions]])</f>
        <v>0</v>
      </c>
      <c r="BU21" s="40">
        <f>ROUND(IF(B21=0,0,((BR21+BU20)*(1+db!U23))),0)</f>
        <v>0</v>
      </c>
      <c r="BV21" s="40">
        <f t="shared" si="17"/>
        <v>0</v>
      </c>
      <c r="BW21" s="15">
        <f t="shared" si="14"/>
        <v>20</v>
      </c>
      <c r="BX21" s="39">
        <f>IF(B21=0,0,((BR21)*(1+db!AH23))+((BX20)*(1+db!AD23)))</f>
        <v>0</v>
      </c>
      <c r="BY21" s="39">
        <f>IF(B21=0,0,((BR21)*(1+db!AH23))+((BY20)*(1+db!AD23)))</f>
        <v>0</v>
      </c>
      <c r="BZ21" s="40">
        <f>IF(B21=0,0,((BR21)*(1+db!AO23))+((BZ20)*(1+db!AK23)))</f>
        <v>0</v>
      </c>
      <c r="CA21" s="40">
        <f>BZ21-(SUM(BM$7:$BM22))</f>
        <v>0</v>
      </c>
      <c r="CB21" s="46"/>
    </row>
    <row r="22" spans="1:80">
      <c r="A22" s="16">
        <f t="shared" si="15"/>
        <v>21</v>
      </c>
      <c r="B22" s="16">
        <f>IF(B21=0,0,IF(db!$E$5&lt;B21+1,0,B21+1))</f>
        <v>0</v>
      </c>
      <c r="C22" s="15">
        <f t="shared" si="16"/>
        <v>0</v>
      </c>
      <c r="D22" s="312">
        <f>LOOKUP(Table13[[#This Row],[Age]],RiskLoading!A$3:A$109,RiskLoading!DG$3:DG$109)</f>
        <v>55</v>
      </c>
      <c r="E22" s="29">
        <f t="shared" si="8"/>
        <v>0</v>
      </c>
      <c r="F22" s="29">
        <f t="shared" si="9"/>
        <v>0</v>
      </c>
      <c r="G22" s="29">
        <f t="shared" si="0"/>
        <v>0</v>
      </c>
      <c r="H22" s="29">
        <v>0</v>
      </c>
      <c r="I22" s="29">
        <f>IF(B22=0,0,SUM($H$2:H22))</f>
        <v>0</v>
      </c>
      <c r="J22" s="17">
        <f t="shared" si="10"/>
        <v>0</v>
      </c>
      <c r="K22" s="17">
        <f>IF(Table13[[#This Row],[Year]]=0,0,IF($C$2&lt;=50,LOOKUP(Table13[[#This Row],[Age]],db!BG23:BG129,db!BH23:BH129),LOOKUP(Table13[[#This Row],[Age]],db!BJ23:BJ129,db!BK23:BK129)))</f>
        <v>0</v>
      </c>
      <c r="L22" s="17">
        <f>MIN(IF(B22=0,0,db!$E$4*((1+db!$B$4)^(B22-1))),Table13[[#This Row],[Max Sum Insured For Death]])</f>
        <v>0</v>
      </c>
      <c r="M22" s="17">
        <f>ROUND(IF(L22&lt;=db!$L$7,L22,db!$L$7),0)</f>
        <v>0</v>
      </c>
      <c r="N22" s="29">
        <f t="shared" si="11"/>
        <v>0</v>
      </c>
      <c r="O22" s="29">
        <f>IF(B22=0,0,IF(db!$D$6="Yes",(db!$B$6)*M22,0))</f>
        <v>0</v>
      </c>
      <c r="P22" s="29">
        <f>MIN(IF(O22&lt;=db!$L$2,O22,db!$L$2),MAX_ACC_CAPITAL)</f>
        <v>0</v>
      </c>
      <c r="Q22" s="17">
        <f>IF(B22=0,0,IF(db!$D$7="Yes",(db!$B$7)*M22,0))</f>
        <v>0</v>
      </c>
      <c r="R22" s="42">
        <f>IF(C22&gt;69,0,IF(C22=0,0,IF(Q22&lt;=db!$L$3,Q22,db!$L$3)))</f>
        <v>0</v>
      </c>
      <c r="S22" s="29">
        <f>IF(B22=0,0,IF(db!$D$9="Yes",(db!$B$9)*M22,0))</f>
        <v>0</v>
      </c>
      <c r="T22" s="29">
        <f>ROUND(IF(C22&gt;69,0,IF(C22=0,0,IF(S22&lt;=db!$L$4,S22,db!$L$4))),0)</f>
        <v>0</v>
      </c>
      <c r="U22" s="38">
        <v>0</v>
      </c>
      <c r="V22" s="17">
        <v>0</v>
      </c>
      <c r="W22" s="29">
        <v>0</v>
      </c>
      <c r="X22" s="17">
        <f>IF(B22=0,0,IF(db!$D$11="Yes",(db!$B$11)*M22,0))</f>
        <v>0</v>
      </c>
      <c r="Y22" s="42">
        <f>ROUND(IF(C22&gt;59,0,IF(C22=0,0,IF(X22&lt;=db!$L$5,X22,db!$L$5))),0)</f>
        <v>0</v>
      </c>
      <c r="Z22" s="29">
        <f>IF(B22=0,0,IF(db!$D$12="Yes",(db!$B$12)*M22,0))</f>
        <v>0</v>
      </c>
      <c r="AA22" s="29">
        <f>ROUND(IF(C22&gt;59,0,IF(C22=0,0,IF(Z22&lt;=db!$L$6,Z22,db!$L$6))),0)</f>
        <v>0</v>
      </c>
      <c r="AB22" s="32"/>
      <c r="AC22" s="18">
        <f>IF(B22=0,0,IF(C22&lt;(db!$E$2+5),LOOKUP(C22,'Mortality Table'!$A$2:$A$108,'Mortality Table'!$P$2:$P$108),IF((C22&gt;=db!$E$2+10),LOOKUP(C22,'Mortality Table'!$A$2:$A$108,'Mortality Table'!$R$2:$R$108),LOOKUP(C22,'Mortality Table'!$A$2:$A$108,'Mortality Table'!$Q$2:$Q$108))))</f>
        <v>0</v>
      </c>
      <c r="AD22" s="22">
        <f t="shared" si="1"/>
        <v>0</v>
      </c>
      <c r="AE22" s="19">
        <f>IF(B22=0,0,LOOKUP(db!$A$8,db!$AX$4:$AX$8,db!$AY$4:$AY$8))</f>
        <v>0</v>
      </c>
      <c r="AF22" s="20">
        <f>ROUND((AE22/1000)*P22 * (1-db!$AS$9),0)</f>
        <v>0</v>
      </c>
      <c r="AG22" s="20">
        <f>(AE22/1000)*P22 * db!$AS$9</f>
        <v>0</v>
      </c>
      <c r="AH22" s="21">
        <f>IF(B22=0,0,LOOKUP(db!$A$8,db!$AX$4:$AX$8,db!$AZ$4:$AZ$8))</f>
        <v>0</v>
      </c>
      <c r="AI22" s="22">
        <f>(AH22/1000)*R22*(1-db!$AS$9)</f>
        <v>0</v>
      </c>
      <c r="AJ22" s="22">
        <f>(AH22/1000)*R22*(db!$AS$9)</f>
        <v>0</v>
      </c>
      <c r="AK22" s="23">
        <f>IF(B22=0,0,LOOKUP(db!$A$8,db!$AX$4:$AX$8,db!$BA$4:$BA$8))</f>
        <v>0</v>
      </c>
      <c r="AL22" s="20">
        <f>ROUND((AK22/(100))*T22*(1-db!$AS$9),0)</f>
        <v>0</v>
      </c>
      <c r="AM22" s="20">
        <f>ROUND((AK22/(100))*T22*(db!$AS$9),0)</f>
        <v>0</v>
      </c>
      <c r="AN22" s="21">
        <f>IF(db!$D$8="Yes",AH22,0)</f>
        <v>0</v>
      </c>
      <c r="AO22" s="22">
        <f>(AN22*V22)/1000*(1-db!$AS$9)</f>
        <v>0</v>
      </c>
      <c r="AP22" s="22">
        <f>(AN22*V22)/1000*(db!$AS$9)</f>
        <v>0</v>
      </c>
      <c r="AQ22" s="23">
        <f>IF(db!$D$10="Yes",AH22,0)</f>
        <v>0</v>
      </c>
      <c r="AR22" s="20">
        <f>(AQ22*W22/1000)*(1-db!$AS$9)</f>
        <v>0</v>
      </c>
      <c r="AS22" s="20">
        <f>(AQ22*W22/1000)*(db!$AS$9)</f>
        <v>0</v>
      </c>
      <c r="AT22" s="22">
        <f>IF(B22=0,0,IF(C22&gt;60,0,LOOKUP(LOOKUP(C22,RiskLoading!A$3:A$109,RiskLoading!DG$3:DG$109),db!$BC$3:$BC$63,db!$BD$3:$BD$63)))</f>
        <v>0</v>
      </c>
      <c r="AU22" s="22">
        <f>AV22*db!$AS$10</f>
        <v>0</v>
      </c>
      <c r="AV22" s="22">
        <f t="shared" si="2"/>
        <v>0</v>
      </c>
      <c r="AW22" s="22">
        <f>(AT22/1000000)*Y22*(1-db!$AS$10)</f>
        <v>0</v>
      </c>
      <c r="AX22" s="20">
        <f>IF(B22=0,0,IF(C22&gt;60,0,LOOKUP(LOOKUP(C22,RiskLoading!A$3:A$109,RiskLoading!DG$3:DG$109),db!$BC$3:$BC$63,db!$BE$3:$BE$63)))</f>
        <v>0</v>
      </c>
      <c r="AY22" s="20">
        <f>(AX22/1000000)*AA22*(1-db!$AS$11)</f>
        <v>0</v>
      </c>
      <c r="AZ22" s="20">
        <f>(AX22/1000000)*AA22*(db!$AS$11)</f>
        <v>0</v>
      </c>
      <c r="BA22" s="19">
        <f>IF(Table13[Year]=0,0,LOOKUP(Table13[Age],RiskLoading!A$3:A$109,RiskLoading!DT$3:DT$109))</f>
        <v>0</v>
      </c>
      <c r="BB22" s="20">
        <f>Table13[[#This Row],[RiskLoading
Rate]]*Table13[[#This Row],[Death Capital (2)]]</f>
        <v>0</v>
      </c>
      <c r="BC22" s="36"/>
      <c r="BD22" s="37">
        <f t="shared" si="3"/>
        <v>0</v>
      </c>
      <c r="BE22" s="35">
        <f t="shared" si="4"/>
        <v>0</v>
      </c>
      <c r="BF22" s="35">
        <f t="shared" si="5"/>
        <v>0</v>
      </c>
      <c r="BG22" s="37">
        <f t="shared" si="6"/>
        <v>0</v>
      </c>
      <c r="BH22" s="37">
        <f t="shared" si="7"/>
        <v>0</v>
      </c>
      <c r="BI22" s="35">
        <f t="shared" si="12"/>
        <v>0</v>
      </c>
      <c r="BJ22" s="35">
        <f t="shared" si="13"/>
        <v>0</v>
      </c>
      <c r="BK22" s="37">
        <v>0</v>
      </c>
      <c r="BL22" s="37">
        <v>0</v>
      </c>
      <c r="BM22" s="35"/>
      <c r="BN22" s="37">
        <f>0</f>
        <v>0</v>
      </c>
      <c r="BO22" s="37"/>
      <c r="BP22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22" s="33"/>
      <c r="BR22" s="39">
        <f>Table13[[#This Row],[Initial Reserve]]-Table13[[#This Row],[All Deductions]]</f>
        <v>0</v>
      </c>
      <c r="BS22" s="39">
        <v>0</v>
      </c>
      <c r="BT22" s="39">
        <f>IF(B22=0,0,BU21-Table13[[#This Row],[All Deductions]])</f>
        <v>0</v>
      </c>
      <c r="BU22" s="40">
        <f>ROUND(IF(B22=0,0,((BR22+BU21)*(1+db!U24))),0)</f>
        <v>0</v>
      </c>
      <c r="BV22" s="40">
        <f t="shared" si="17"/>
        <v>0</v>
      </c>
      <c r="BW22" s="15">
        <f t="shared" si="14"/>
        <v>21</v>
      </c>
      <c r="BX22" s="39">
        <f>IF(B22=0,0,((BR22)*(1+db!AH24))+((BX21)*(1+db!AD24)))</f>
        <v>0</v>
      </c>
      <c r="BY22" s="39">
        <f>IF(B22=0,0,((BR22)*(1+db!AH24))+((BY21)*(1+db!AD24)))</f>
        <v>0</v>
      </c>
      <c r="BZ22" s="40">
        <f>IF(B22=0,0,((BR22)*(1+db!AO24))+((BZ21)*(1+db!AK24)))</f>
        <v>0</v>
      </c>
      <c r="CA22" s="40">
        <f>BZ22-(SUM(BM$7:$BM23))</f>
        <v>0</v>
      </c>
      <c r="CB22" s="46"/>
    </row>
    <row r="23" spans="1:80">
      <c r="A23" s="16">
        <f t="shared" si="15"/>
        <v>22</v>
      </c>
      <c r="B23" s="16">
        <f>IF(B22=0,0,IF(db!$E$5&lt;B22+1,0,B22+1))</f>
        <v>0</v>
      </c>
      <c r="C23" s="15">
        <f t="shared" si="16"/>
        <v>0</v>
      </c>
      <c r="D23" s="312">
        <f>LOOKUP(Table13[[#This Row],[Age]],RiskLoading!A$3:A$109,RiskLoading!DG$3:DG$109)</f>
        <v>55</v>
      </c>
      <c r="E23" s="29">
        <f t="shared" si="8"/>
        <v>0</v>
      </c>
      <c r="F23" s="29">
        <f t="shared" si="9"/>
        <v>0</v>
      </c>
      <c r="G23" s="29">
        <f t="shared" si="0"/>
        <v>0</v>
      </c>
      <c r="H23" s="29">
        <v>0</v>
      </c>
      <c r="I23" s="29">
        <f>IF(B23=0,0,SUM($H$2:H23))</f>
        <v>0</v>
      </c>
      <c r="J23" s="17">
        <f t="shared" si="10"/>
        <v>0</v>
      </c>
      <c r="K23" s="17">
        <f>IF(Table13[[#This Row],[Year]]=0,0,IF($C$2&lt;=50,LOOKUP(Table13[[#This Row],[Age]],db!BG24:BG130,db!BH24:BH130),LOOKUP(Table13[[#This Row],[Age]],db!BJ24:BJ130,db!BK24:BK130)))</f>
        <v>0</v>
      </c>
      <c r="L23" s="17">
        <f>MIN(IF(B23=0,0,db!$E$4*((1+db!$B$4)^(B23-1))),Table13[[#This Row],[Max Sum Insured For Death]])</f>
        <v>0</v>
      </c>
      <c r="M23" s="17">
        <f>ROUND(IF(L23&lt;=db!$L$7,L23,db!$L$7),0)</f>
        <v>0</v>
      </c>
      <c r="N23" s="29">
        <f t="shared" si="11"/>
        <v>0</v>
      </c>
      <c r="O23" s="29">
        <f>IF(B23=0,0,IF(db!$D$6="Yes",(db!$B$6)*M23,0))</f>
        <v>0</v>
      </c>
      <c r="P23" s="29">
        <f>MIN(IF(O23&lt;=db!$L$2,O23,db!$L$2),MAX_ACC_CAPITAL)</f>
        <v>0</v>
      </c>
      <c r="Q23" s="17">
        <f>IF(B23=0,0,IF(db!$D$7="Yes",(db!$B$7)*M23,0))</f>
        <v>0</v>
      </c>
      <c r="R23" s="42">
        <f>IF(C23&gt;69,0,IF(C23=0,0,IF(Q23&lt;=db!$L$3,Q23,db!$L$3)))</f>
        <v>0</v>
      </c>
      <c r="S23" s="29">
        <f>IF(B23=0,0,IF(db!$D$9="Yes",(db!$B$9)*M23,0))</f>
        <v>0</v>
      </c>
      <c r="T23" s="29">
        <f>ROUND(IF(C23&gt;69,0,IF(C23=0,0,IF(S23&lt;=db!$L$4,S23,db!$L$4))),0)</f>
        <v>0</v>
      </c>
      <c r="U23" s="38">
        <v>0</v>
      </c>
      <c r="V23" s="17">
        <v>0</v>
      </c>
      <c r="W23" s="29">
        <v>0</v>
      </c>
      <c r="X23" s="17">
        <f>IF(B23=0,0,IF(db!$D$11="Yes",(db!$B$11)*M23,0))</f>
        <v>0</v>
      </c>
      <c r="Y23" s="42">
        <f>ROUND(IF(C23&gt;59,0,IF(C23=0,0,IF(X23&lt;=db!$L$5,X23,db!$L$5))),0)</f>
        <v>0</v>
      </c>
      <c r="Z23" s="29">
        <f>IF(B23=0,0,IF(db!$D$12="Yes",(db!$B$12)*M23,0))</f>
        <v>0</v>
      </c>
      <c r="AA23" s="29">
        <f>ROUND(IF(C23&gt;59,0,IF(C23=0,0,IF(Z23&lt;=db!$L$6,Z23,db!$L$6))),0)</f>
        <v>0</v>
      </c>
      <c r="AB23" s="32"/>
      <c r="AC23" s="18">
        <f>IF(B23=0,0,IF(C23&lt;(db!$E$2+5),LOOKUP(C23,'Mortality Table'!$A$2:$A$108,'Mortality Table'!$P$2:$P$108),IF((C23&gt;=db!$E$2+10),LOOKUP(C23,'Mortality Table'!$A$2:$A$108,'Mortality Table'!$R$2:$R$108),LOOKUP(C23,'Mortality Table'!$A$2:$A$108,'Mortality Table'!$Q$2:$Q$108))))</f>
        <v>0</v>
      </c>
      <c r="AD23" s="22">
        <f t="shared" si="1"/>
        <v>0</v>
      </c>
      <c r="AE23" s="19">
        <f>IF(B23=0,0,LOOKUP(db!$A$8,db!$AX$4:$AX$8,db!$AY$4:$AY$8))</f>
        <v>0</v>
      </c>
      <c r="AF23" s="20">
        <f>ROUND((AE23/1000)*P23 * (1-db!$AS$9),0)</f>
        <v>0</v>
      </c>
      <c r="AG23" s="20">
        <f>(AE23/1000)*P23 * db!$AS$9</f>
        <v>0</v>
      </c>
      <c r="AH23" s="21">
        <f>IF(B23=0,0,LOOKUP(db!$A$8,db!$AX$4:$AX$8,db!$AZ$4:$AZ$8))</f>
        <v>0</v>
      </c>
      <c r="AI23" s="22">
        <f>(AH23/1000)*R23*(1-db!$AS$9)</f>
        <v>0</v>
      </c>
      <c r="AJ23" s="22">
        <f>(AH23/1000)*R23*(db!$AS$9)</f>
        <v>0</v>
      </c>
      <c r="AK23" s="23">
        <f>IF(B23=0,0,LOOKUP(db!$A$8,db!$AX$4:$AX$8,db!$BA$4:$BA$8))</f>
        <v>0</v>
      </c>
      <c r="AL23" s="20">
        <f>ROUND((AK23/(100))*T23*(1-db!$AS$9),0)</f>
        <v>0</v>
      </c>
      <c r="AM23" s="20">
        <f>ROUND((AK23/(100))*T23*(db!$AS$9),0)</f>
        <v>0</v>
      </c>
      <c r="AN23" s="21">
        <f>IF(db!$D$8="Yes",AH23,0)</f>
        <v>0</v>
      </c>
      <c r="AO23" s="22">
        <f>(AN23*V23)/1000*(1-db!$AS$9)</f>
        <v>0</v>
      </c>
      <c r="AP23" s="22">
        <f>(AN23*V23)/1000*(db!$AS$9)</f>
        <v>0</v>
      </c>
      <c r="AQ23" s="23">
        <f>IF(db!$D$10="Yes",AH23,0)</f>
        <v>0</v>
      </c>
      <c r="AR23" s="20">
        <f>(AQ23*W23/1000)*(1-db!$AS$9)</f>
        <v>0</v>
      </c>
      <c r="AS23" s="20">
        <f>(AQ23*W23/1000)*(db!$AS$9)</f>
        <v>0</v>
      </c>
      <c r="AT23" s="22">
        <f>IF(B23=0,0,IF(C23&gt;60,0,LOOKUP(LOOKUP(C23,RiskLoading!A$3:A$109,RiskLoading!DG$3:DG$109),db!$BC$3:$BC$63,db!$BD$3:$BD$63)))</f>
        <v>0</v>
      </c>
      <c r="AU23" s="22">
        <f>AV23*db!$AS$10</f>
        <v>0</v>
      </c>
      <c r="AV23" s="22">
        <f t="shared" si="2"/>
        <v>0</v>
      </c>
      <c r="AW23" s="22">
        <f>(AT23/1000000)*Y23*(1-db!$AS$10)</f>
        <v>0</v>
      </c>
      <c r="AX23" s="20">
        <f>IF(B23=0,0,IF(C23&gt;60,0,LOOKUP(LOOKUP(C23,RiskLoading!A$3:A$109,RiskLoading!DG$3:DG$109),db!$BC$3:$BC$63,db!$BE$3:$BE$63)))</f>
        <v>0</v>
      </c>
      <c r="AY23" s="20">
        <f>(AX23/1000000)*AA23*(1-db!$AS$11)</f>
        <v>0</v>
      </c>
      <c r="AZ23" s="20">
        <f>(AX23/1000000)*AA23*(db!$AS$11)</f>
        <v>0</v>
      </c>
      <c r="BA23" s="19">
        <f>IF(Table13[Year]=0,0,LOOKUP(Table13[Age],RiskLoading!A$3:A$109,RiskLoading!DT$3:DT$109))</f>
        <v>0</v>
      </c>
      <c r="BB23" s="20">
        <f>Table13[[#This Row],[RiskLoading
Rate]]*Table13[[#This Row],[Death Capital (2)]]</f>
        <v>0</v>
      </c>
      <c r="BC23" s="36"/>
      <c r="BD23" s="37">
        <f t="shared" si="3"/>
        <v>0</v>
      </c>
      <c r="BE23" s="35">
        <f t="shared" si="4"/>
        <v>0</v>
      </c>
      <c r="BF23" s="35">
        <f t="shared" si="5"/>
        <v>0</v>
      </c>
      <c r="BG23" s="37">
        <f t="shared" si="6"/>
        <v>0</v>
      </c>
      <c r="BH23" s="37">
        <f t="shared" si="7"/>
        <v>0</v>
      </c>
      <c r="BI23" s="35">
        <f t="shared" si="12"/>
        <v>0</v>
      </c>
      <c r="BJ23" s="35">
        <f t="shared" si="13"/>
        <v>0</v>
      </c>
      <c r="BK23" s="37">
        <v>0</v>
      </c>
      <c r="BL23" s="37">
        <v>0</v>
      </c>
      <c r="BM23" s="35"/>
      <c r="BN23" s="37">
        <f>0</f>
        <v>0</v>
      </c>
      <c r="BO23" s="37"/>
      <c r="BP23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23" s="33"/>
      <c r="BR23" s="39">
        <f>Table13[[#This Row],[Initial Reserve]]-Table13[[#This Row],[All Deductions]]</f>
        <v>0</v>
      </c>
      <c r="BS23" s="39">
        <v>0</v>
      </c>
      <c r="BT23" s="39">
        <f>IF(B23=0,0,BU22-Table13[[#This Row],[All Deductions]])</f>
        <v>0</v>
      </c>
      <c r="BU23" s="40">
        <f>ROUND(IF(B23=0,0,((BR23+BU22)*(1+db!U25))),0)</f>
        <v>0</v>
      </c>
      <c r="BV23" s="40">
        <f t="shared" si="17"/>
        <v>0</v>
      </c>
      <c r="BW23" s="15">
        <f t="shared" si="14"/>
        <v>22</v>
      </c>
      <c r="BX23" s="39">
        <f>IF(B23=0,0,((BR23)*(1+db!AH25))+((BX22)*(1+db!AD25)))</f>
        <v>0</v>
      </c>
      <c r="BY23" s="39">
        <f>IF(B23=0,0,((BR23)*(1+db!AH25))+((BY22)*(1+db!AD25)))</f>
        <v>0</v>
      </c>
      <c r="BZ23" s="40">
        <f>IF(B23=0,0,((BR23)*(1+db!AO25))+((BZ22)*(1+db!AK25)))</f>
        <v>0</v>
      </c>
      <c r="CA23" s="40">
        <f>BZ23-(SUM(BM$7:$BM24))</f>
        <v>0</v>
      </c>
      <c r="CB23" s="46"/>
    </row>
    <row r="24" spans="1:80">
      <c r="A24" s="16">
        <f t="shared" si="15"/>
        <v>23</v>
      </c>
      <c r="B24" s="16">
        <f>IF(B23=0,0,IF(db!$E$5&lt;B23+1,0,B23+1))</f>
        <v>0</v>
      </c>
      <c r="C24" s="15">
        <f t="shared" si="16"/>
        <v>0</v>
      </c>
      <c r="D24" s="312">
        <f>LOOKUP(Table13[[#This Row],[Age]],RiskLoading!A$3:A$109,RiskLoading!DG$3:DG$109)</f>
        <v>55</v>
      </c>
      <c r="E24" s="29">
        <f t="shared" si="8"/>
        <v>0</v>
      </c>
      <c r="F24" s="29">
        <f t="shared" si="9"/>
        <v>0</v>
      </c>
      <c r="G24" s="29">
        <f t="shared" si="0"/>
        <v>0</v>
      </c>
      <c r="H24" s="29">
        <v>0</v>
      </c>
      <c r="I24" s="29">
        <f>IF(B24=0,0,SUM($H$2:H24))</f>
        <v>0</v>
      </c>
      <c r="J24" s="17">
        <f t="shared" si="10"/>
        <v>0</v>
      </c>
      <c r="K24" s="17">
        <f>IF(Table13[[#This Row],[Year]]=0,0,IF($C$2&lt;=50,LOOKUP(Table13[[#This Row],[Age]],db!BG25:BG131,db!BH25:BH131),LOOKUP(Table13[[#This Row],[Age]],db!BJ25:BJ131,db!BK25:BK131)))</f>
        <v>0</v>
      </c>
      <c r="L24" s="17">
        <f>MIN(IF(B24=0,0,db!$E$4*((1+db!$B$4)^(B24-1))),Table13[[#This Row],[Max Sum Insured For Death]])</f>
        <v>0</v>
      </c>
      <c r="M24" s="17">
        <f>ROUND(IF(L24&lt;=db!$L$7,L24,db!$L$7),0)</f>
        <v>0</v>
      </c>
      <c r="N24" s="29">
        <f t="shared" si="11"/>
        <v>0</v>
      </c>
      <c r="O24" s="29">
        <f>IF(B24=0,0,IF(db!$D$6="Yes",(db!$B$6)*M24,0))</f>
        <v>0</v>
      </c>
      <c r="P24" s="29">
        <f>MIN(IF(O24&lt;=db!$L$2,O24,db!$L$2),MAX_ACC_CAPITAL)</f>
        <v>0</v>
      </c>
      <c r="Q24" s="17">
        <f>IF(B24=0,0,IF(db!$D$7="Yes",(db!$B$7)*M24,0))</f>
        <v>0</v>
      </c>
      <c r="R24" s="42">
        <f>IF(C24&gt;69,0,IF(C24=0,0,IF(Q24&lt;=db!$L$3,Q24,db!$L$3)))</f>
        <v>0</v>
      </c>
      <c r="S24" s="29">
        <f>IF(B24=0,0,IF(db!$D$9="Yes",(db!$B$9)*M24,0))</f>
        <v>0</v>
      </c>
      <c r="T24" s="29">
        <f>ROUND(IF(C24&gt;69,0,IF(C24=0,0,IF(S24&lt;=db!$L$4,S24,db!$L$4))),0)</f>
        <v>0</v>
      </c>
      <c r="U24" s="38">
        <v>0</v>
      </c>
      <c r="V24" s="17">
        <v>0</v>
      </c>
      <c r="W24" s="29">
        <v>0</v>
      </c>
      <c r="X24" s="17">
        <f>IF(B24=0,0,IF(db!$D$11="Yes",(db!$B$11)*M24,0))</f>
        <v>0</v>
      </c>
      <c r="Y24" s="42">
        <f>ROUND(IF(C24&gt;59,0,IF(C24=0,0,IF(X24&lt;=db!$L$5,X24,db!$L$5))),0)</f>
        <v>0</v>
      </c>
      <c r="Z24" s="29">
        <f>IF(B24=0,0,IF(db!$D$12="Yes",(db!$B$12)*M24,0))</f>
        <v>0</v>
      </c>
      <c r="AA24" s="29">
        <f>ROUND(IF(C24&gt;59,0,IF(C24=0,0,IF(Z24&lt;=db!$L$6,Z24,db!$L$6))),0)</f>
        <v>0</v>
      </c>
      <c r="AB24" s="32"/>
      <c r="AC24" s="18">
        <f>IF(B24=0,0,IF(C24&lt;(db!$E$2+5),LOOKUP(C24,'Mortality Table'!$A$2:$A$108,'Mortality Table'!$P$2:$P$108),IF((C24&gt;=db!$E$2+10),LOOKUP(C24,'Mortality Table'!$A$2:$A$108,'Mortality Table'!$R$2:$R$108),LOOKUP(C24,'Mortality Table'!$A$2:$A$108,'Mortality Table'!$Q$2:$Q$108))))</f>
        <v>0</v>
      </c>
      <c r="AD24" s="22">
        <f t="shared" si="1"/>
        <v>0</v>
      </c>
      <c r="AE24" s="19">
        <f>IF(B24=0,0,LOOKUP(db!$A$8,db!$AX$4:$AX$8,db!$AY$4:$AY$8))</f>
        <v>0</v>
      </c>
      <c r="AF24" s="20">
        <f>ROUND((AE24/1000)*P24 * (1-db!$AS$9),0)</f>
        <v>0</v>
      </c>
      <c r="AG24" s="20">
        <f>(AE24/1000)*P24 * db!$AS$9</f>
        <v>0</v>
      </c>
      <c r="AH24" s="21">
        <f>IF(B24=0,0,LOOKUP(db!$A$8,db!$AX$4:$AX$8,db!$AZ$4:$AZ$8))</f>
        <v>0</v>
      </c>
      <c r="AI24" s="22">
        <f>(AH24/1000)*R24*(1-db!$AS$9)</f>
        <v>0</v>
      </c>
      <c r="AJ24" s="22">
        <f>(AH24/1000)*R24*(db!$AS$9)</f>
        <v>0</v>
      </c>
      <c r="AK24" s="23">
        <f>IF(B24=0,0,LOOKUP(db!$A$8,db!$AX$4:$AX$8,db!$BA$4:$BA$8))</f>
        <v>0</v>
      </c>
      <c r="AL24" s="20">
        <f>ROUND((AK24/(100))*T24*(1-db!$AS$9),0)</f>
        <v>0</v>
      </c>
      <c r="AM24" s="20">
        <f>ROUND((AK24/(100))*T24*(db!$AS$9),0)</f>
        <v>0</v>
      </c>
      <c r="AN24" s="21">
        <f>IF(db!$D$8="Yes",AH24,0)</f>
        <v>0</v>
      </c>
      <c r="AO24" s="22">
        <f>(AN24*V24)/1000*(1-db!$AS$9)</f>
        <v>0</v>
      </c>
      <c r="AP24" s="22">
        <f>(AN24*V24)/1000*(db!$AS$9)</f>
        <v>0</v>
      </c>
      <c r="AQ24" s="23">
        <f>IF(db!$D$10="Yes",AH24,0)</f>
        <v>0</v>
      </c>
      <c r="AR24" s="20">
        <f>(AQ24*W24/1000)*(1-db!$AS$9)</f>
        <v>0</v>
      </c>
      <c r="AS24" s="20">
        <f>(AQ24*W24/1000)*(db!$AS$9)</f>
        <v>0</v>
      </c>
      <c r="AT24" s="22">
        <f>IF(B24=0,0,IF(C24&gt;60,0,LOOKUP(LOOKUP(C24,RiskLoading!A$3:A$109,RiskLoading!DG$3:DG$109),db!$BC$3:$BC$63,db!$BD$3:$BD$63)))</f>
        <v>0</v>
      </c>
      <c r="AU24" s="22">
        <f>AV24*db!$AS$10</f>
        <v>0</v>
      </c>
      <c r="AV24" s="22">
        <f t="shared" si="2"/>
        <v>0</v>
      </c>
      <c r="AW24" s="22">
        <f>(AT24/1000000)*Y24*(1-db!$AS$10)</f>
        <v>0</v>
      </c>
      <c r="AX24" s="20">
        <f>IF(B24=0,0,IF(C24&gt;60,0,LOOKUP(LOOKUP(C24,RiskLoading!A$3:A$109,RiskLoading!DG$3:DG$109),db!$BC$3:$BC$63,db!$BE$3:$BE$63)))</f>
        <v>0</v>
      </c>
      <c r="AY24" s="20">
        <f>(AX24/1000000)*AA24*(1-db!$AS$11)</f>
        <v>0</v>
      </c>
      <c r="AZ24" s="20">
        <f>(AX24/1000000)*AA24*(db!$AS$11)</f>
        <v>0</v>
      </c>
      <c r="BA24" s="19">
        <f>IF(Table13[Year]=0,0,LOOKUP(Table13[Age],RiskLoading!A$3:A$109,RiskLoading!DT$3:DT$109))</f>
        <v>0</v>
      </c>
      <c r="BB24" s="20">
        <f>Table13[[#This Row],[RiskLoading
Rate]]*Table13[[#This Row],[Death Capital (2)]]</f>
        <v>0</v>
      </c>
      <c r="BC24" s="36"/>
      <c r="BD24" s="37">
        <f t="shared" si="3"/>
        <v>0</v>
      </c>
      <c r="BE24" s="35">
        <f t="shared" si="4"/>
        <v>0</v>
      </c>
      <c r="BF24" s="35">
        <f t="shared" si="5"/>
        <v>0</v>
      </c>
      <c r="BG24" s="37">
        <f t="shared" si="6"/>
        <v>0</v>
      </c>
      <c r="BH24" s="37">
        <f t="shared" si="7"/>
        <v>0</v>
      </c>
      <c r="BI24" s="35">
        <f t="shared" si="12"/>
        <v>0</v>
      </c>
      <c r="BJ24" s="35">
        <f t="shared" si="13"/>
        <v>0</v>
      </c>
      <c r="BK24" s="37">
        <v>0</v>
      </c>
      <c r="BL24" s="37">
        <v>0</v>
      </c>
      <c r="BM24" s="35"/>
      <c r="BN24" s="37">
        <f>0</f>
        <v>0</v>
      </c>
      <c r="BO24" s="37"/>
      <c r="BP24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24" s="33"/>
      <c r="BR24" s="39">
        <f>Table13[[#This Row],[Initial Reserve]]-Table13[[#This Row],[All Deductions]]</f>
        <v>0</v>
      </c>
      <c r="BS24" s="39">
        <v>0</v>
      </c>
      <c r="BT24" s="39">
        <f>IF(B24=0,0,BU23-Table13[[#This Row],[All Deductions]])</f>
        <v>0</v>
      </c>
      <c r="BU24" s="40">
        <f>ROUND(IF(B24=0,0,((BR24+BU23)*(1+db!U26))),0)</f>
        <v>0</v>
      </c>
      <c r="BV24" s="40">
        <f t="shared" si="17"/>
        <v>0</v>
      </c>
      <c r="BW24" s="15">
        <f t="shared" si="14"/>
        <v>23</v>
      </c>
      <c r="BX24" s="39">
        <f>IF(B24=0,0,((BR24)*(1+db!AH26))+((BX23)*(1+db!AD26)))</f>
        <v>0</v>
      </c>
      <c r="BY24" s="39">
        <f>IF(B24=0,0,((BR24)*(1+db!AH26))+((BY23)*(1+db!AD26)))</f>
        <v>0</v>
      </c>
      <c r="BZ24" s="40">
        <f>IF(B24=0,0,((BR24)*(1+db!AO26))+((BZ23)*(1+db!AK26)))</f>
        <v>0</v>
      </c>
      <c r="CA24" s="40">
        <f>BZ24-(SUM(BM$7:$BM25))</f>
        <v>0</v>
      </c>
      <c r="CB24" s="46"/>
    </row>
    <row r="25" spans="1:80">
      <c r="A25" s="16">
        <f t="shared" si="15"/>
        <v>24</v>
      </c>
      <c r="B25" s="16">
        <f>IF(B24=0,0,IF(db!$E$5&lt;B24+1,0,B24+1))</f>
        <v>0</v>
      </c>
      <c r="C25" s="15">
        <f t="shared" si="16"/>
        <v>0</v>
      </c>
      <c r="D25" s="312">
        <f>LOOKUP(Table13[[#This Row],[Age]],RiskLoading!A$3:A$109,RiskLoading!DG$3:DG$109)</f>
        <v>55</v>
      </c>
      <c r="E25" s="29">
        <f t="shared" si="8"/>
        <v>0</v>
      </c>
      <c r="F25" s="29">
        <f t="shared" si="9"/>
        <v>0</v>
      </c>
      <c r="G25" s="29">
        <f t="shared" si="0"/>
        <v>0</v>
      </c>
      <c r="H25" s="29">
        <v>0</v>
      </c>
      <c r="I25" s="29">
        <f>IF(B25=0,0,SUM($H$2:H25))</f>
        <v>0</v>
      </c>
      <c r="J25" s="17">
        <f t="shared" si="10"/>
        <v>0</v>
      </c>
      <c r="K25" s="17">
        <f>IF(Table13[[#This Row],[Year]]=0,0,IF($C$2&lt;=50,LOOKUP(Table13[[#This Row],[Age]],db!BG26:BG132,db!BH26:BH132),LOOKUP(Table13[[#This Row],[Age]],db!BJ26:BJ132,db!BK26:BK132)))</f>
        <v>0</v>
      </c>
      <c r="L25" s="17">
        <f>MIN(IF(B25=0,0,db!$E$4*((1+db!$B$4)^(B25-1))),Table13[[#This Row],[Max Sum Insured For Death]])</f>
        <v>0</v>
      </c>
      <c r="M25" s="17">
        <f>ROUND(IF(L25&lt;=db!$L$7,L25,db!$L$7),0)</f>
        <v>0</v>
      </c>
      <c r="N25" s="29">
        <f t="shared" si="11"/>
        <v>0</v>
      </c>
      <c r="O25" s="29">
        <f>IF(B25=0,0,IF(db!$D$6="Yes",(db!$B$6)*M25,0))</f>
        <v>0</v>
      </c>
      <c r="P25" s="29">
        <f>MIN(IF(O25&lt;=db!$L$2,O25,db!$L$2),MAX_ACC_CAPITAL)</f>
        <v>0</v>
      </c>
      <c r="Q25" s="17">
        <f>IF(B25=0,0,IF(db!$D$7="Yes",(db!$B$7)*M25,0))</f>
        <v>0</v>
      </c>
      <c r="R25" s="42">
        <f>IF(C25&gt;69,0,IF(C25=0,0,IF(Q25&lt;=db!$L$3,Q25,db!$L$3)))</f>
        <v>0</v>
      </c>
      <c r="S25" s="29">
        <f>IF(B25=0,0,IF(db!$D$9="Yes",(db!$B$9)*M25,0))</f>
        <v>0</v>
      </c>
      <c r="T25" s="29">
        <f>ROUND(IF(C25&gt;69,0,IF(C25=0,0,IF(S25&lt;=db!$L$4,S25,db!$L$4))),0)</f>
        <v>0</v>
      </c>
      <c r="U25" s="38">
        <v>0</v>
      </c>
      <c r="V25" s="17">
        <v>0</v>
      </c>
      <c r="W25" s="29">
        <v>0</v>
      </c>
      <c r="X25" s="17">
        <f>IF(B25=0,0,IF(db!$D$11="Yes",(db!$B$11)*M25,0))</f>
        <v>0</v>
      </c>
      <c r="Y25" s="42">
        <f>ROUND(IF(C25&gt;59,0,IF(C25=0,0,IF(X25&lt;=db!$L$5,X25,db!$L$5))),0)</f>
        <v>0</v>
      </c>
      <c r="Z25" s="29">
        <f>IF(B25=0,0,IF(db!$D$12="Yes",(db!$B$12)*M25,0))</f>
        <v>0</v>
      </c>
      <c r="AA25" s="29">
        <f>ROUND(IF(C25&gt;59,0,IF(C25=0,0,IF(Z25&lt;=db!$L$6,Z25,db!$L$6))),0)</f>
        <v>0</v>
      </c>
      <c r="AB25" s="32"/>
      <c r="AC25" s="18">
        <f>IF(B25=0,0,IF(C25&lt;(db!$E$2+5),LOOKUP(C25,'Mortality Table'!$A$2:$A$108,'Mortality Table'!$P$2:$P$108),IF((C25&gt;=db!$E$2+10),LOOKUP(C25,'Mortality Table'!$A$2:$A$108,'Mortality Table'!$R$2:$R$108),LOOKUP(C25,'Mortality Table'!$A$2:$A$108,'Mortality Table'!$Q$2:$Q$108))))</f>
        <v>0</v>
      </c>
      <c r="AD25" s="22">
        <f t="shared" si="1"/>
        <v>0</v>
      </c>
      <c r="AE25" s="19">
        <f>IF(B25=0,0,LOOKUP(db!$A$8,db!$AX$4:$AX$8,db!$AY$4:$AY$8))</f>
        <v>0</v>
      </c>
      <c r="AF25" s="20">
        <f>ROUND((AE25/1000)*P25 * (1-db!$AS$9),0)</f>
        <v>0</v>
      </c>
      <c r="AG25" s="20">
        <f>(AE25/1000)*P25 * db!$AS$9</f>
        <v>0</v>
      </c>
      <c r="AH25" s="21">
        <f>IF(B25=0,0,LOOKUP(db!$A$8,db!$AX$4:$AX$8,db!$AZ$4:$AZ$8))</f>
        <v>0</v>
      </c>
      <c r="AI25" s="22">
        <f>(AH25/1000)*R25*(1-db!$AS$9)</f>
        <v>0</v>
      </c>
      <c r="AJ25" s="22">
        <f>(AH25/1000)*R25*(db!$AS$9)</f>
        <v>0</v>
      </c>
      <c r="AK25" s="23">
        <f>IF(B25=0,0,LOOKUP(db!$A$8,db!$AX$4:$AX$8,db!$BA$4:$BA$8))</f>
        <v>0</v>
      </c>
      <c r="AL25" s="20">
        <f>ROUND((AK25/(100))*T25*(1-db!$AS$9),0)</f>
        <v>0</v>
      </c>
      <c r="AM25" s="20">
        <f>ROUND((AK25/(100))*T25*(db!$AS$9),0)</f>
        <v>0</v>
      </c>
      <c r="AN25" s="21">
        <f>IF(db!$D$8="Yes",AH25,0)</f>
        <v>0</v>
      </c>
      <c r="AO25" s="22">
        <f>(AN25*V25)/1000*(1-db!$AS$9)</f>
        <v>0</v>
      </c>
      <c r="AP25" s="22">
        <f>(AN25*V25)/1000*(db!$AS$9)</f>
        <v>0</v>
      </c>
      <c r="AQ25" s="23">
        <f>IF(db!$D$10="Yes",AH25,0)</f>
        <v>0</v>
      </c>
      <c r="AR25" s="20">
        <f>(AQ25*W25/1000)*(1-db!$AS$9)</f>
        <v>0</v>
      </c>
      <c r="AS25" s="20">
        <f>(AQ25*W25/1000)*(db!$AS$9)</f>
        <v>0</v>
      </c>
      <c r="AT25" s="22">
        <f>IF(B25=0,0,IF(C25&gt;60,0,LOOKUP(LOOKUP(C25,RiskLoading!A$3:A$109,RiskLoading!DG$3:DG$109),db!$BC$3:$BC$63,db!$BD$3:$BD$63)))</f>
        <v>0</v>
      </c>
      <c r="AU25" s="22">
        <f>AV25*db!$AS$10</f>
        <v>0</v>
      </c>
      <c r="AV25" s="22">
        <f t="shared" si="2"/>
        <v>0</v>
      </c>
      <c r="AW25" s="22">
        <f>(AT25/1000000)*Y25*(1-db!$AS$10)</f>
        <v>0</v>
      </c>
      <c r="AX25" s="20">
        <f>IF(B25=0,0,IF(C25&gt;60,0,LOOKUP(LOOKUP(C25,RiskLoading!A$3:A$109,RiskLoading!DG$3:DG$109),db!$BC$3:$BC$63,db!$BE$3:$BE$63)))</f>
        <v>0</v>
      </c>
      <c r="AY25" s="20">
        <f>(AX25/1000000)*AA25*(1-db!$AS$11)</f>
        <v>0</v>
      </c>
      <c r="AZ25" s="20">
        <f>(AX25/1000000)*AA25*(db!$AS$11)</f>
        <v>0</v>
      </c>
      <c r="BA25" s="19">
        <f>IF(Table13[Year]=0,0,LOOKUP(Table13[Age],RiskLoading!A$3:A$109,RiskLoading!DT$3:DT$109))</f>
        <v>0</v>
      </c>
      <c r="BB25" s="20">
        <f>Table13[[#This Row],[RiskLoading
Rate]]*Table13[[#This Row],[Death Capital (2)]]</f>
        <v>0</v>
      </c>
      <c r="BC25" s="36"/>
      <c r="BD25" s="37">
        <f t="shared" si="3"/>
        <v>0</v>
      </c>
      <c r="BE25" s="35">
        <f t="shared" si="4"/>
        <v>0</v>
      </c>
      <c r="BF25" s="35">
        <f t="shared" si="5"/>
        <v>0</v>
      </c>
      <c r="BG25" s="37">
        <f t="shared" si="6"/>
        <v>0</v>
      </c>
      <c r="BH25" s="37">
        <f t="shared" si="7"/>
        <v>0</v>
      </c>
      <c r="BI25" s="35">
        <f t="shared" si="12"/>
        <v>0</v>
      </c>
      <c r="BJ25" s="35">
        <f t="shared" si="13"/>
        <v>0</v>
      </c>
      <c r="BK25" s="37">
        <v>0</v>
      </c>
      <c r="BL25" s="37">
        <v>0</v>
      </c>
      <c r="BM25" s="35"/>
      <c r="BN25" s="37">
        <f>0</f>
        <v>0</v>
      </c>
      <c r="BO25" s="37"/>
      <c r="BP25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25" s="33"/>
      <c r="BR25" s="39">
        <f>Table13[[#This Row],[Initial Reserve]]-Table13[[#This Row],[All Deductions]]</f>
        <v>0</v>
      </c>
      <c r="BS25" s="39">
        <v>0</v>
      </c>
      <c r="BT25" s="39">
        <f>IF(B25=0,0,BU24-Table13[[#This Row],[All Deductions]])</f>
        <v>0</v>
      </c>
      <c r="BU25" s="40">
        <f>ROUND(IF(B25=0,0,((BR25+BU24)*(1+db!U27))),0)</f>
        <v>0</v>
      </c>
      <c r="BV25" s="40">
        <f t="shared" si="17"/>
        <v>0</v>
      </c>
      <c r="BW25" s="15">
        <f t="shared" si="14"/>
        <v>24</v>
      </c>
      <c r="BX25" s="39">
        <f>IF(B25=0,0,((BR25)*(1+db!AH27))+((BX24)*(1+db!AD27)))</f>
        <v>0</v>
      </c>
      <c r="BY25" s="39">
        <f>IF(B25=0,0,((BR25)*(1+db!AH27))+((BY24)*(1+db!AD27)))</f>
        <v>0</v>
      </c>
      <c r="BZ25" s="40">
        <f>IF(B25=0,0,((BR25)*(1+db!AO27))+((BZ24)*(1+db!AK27)))</f>
        <v>0</v>
      </c>
      <c r="CA25" s="40">
        <f>BZ25-(SUM(BM$7:$BM26))</f>
        <v>0</v>
      </c>
      <c r="CB25" s="46"/>
    </row>
    <row r="26" spans="1:80">
      <c r="A26" s="16">
        <f t="shared" si="15"/>
        <v>25</v>
      </c>
      <c r="B26" s="16">
        <f>IF(B25=0,0,IF(db!$E$5&lt;B25+1,0,B25+1))</f>
        <v>0</v>
      </c>
      <c r="C26" s="15">
        <f t="shared" si="16"/>
        <v>0</v>
      </c>
      <c r="D26" s="312">
        <f>LOOKUP(Table13[[#This Row],[Age]],RiskLoading!A$3:A$109,RiskLoading!DG$3:DG$109)</f>
        <v>55</v>
      </c>
      <c r="E26" s="29">
        <f t="shared" si="8"/>
        <v>0</v>
      </c>
      <c r="F26" s="29">
        <f t="shared" si="9"/>
        <v>0</v>
      </c>
      <c r="G26" s="29">
        <f t="shared" si="0"/>
        <v>0</v>
      </c>
      <c r="H26" s="29">
        <v>0</v>
      </c>
      <c r="I26" s="29">
        <f>IF(B26=0,0,SUM($H$2:H26))</f>
        <v>0</v>
      </c>
      <c r="J26" s="17">
        <f t="shared" si="10"/>
        <v>0</v>
      </c>
      <c r="K26" s="17">
        <f>IF(Table13[[#This Row],[Year]]=0,0,IF($C$2&lt;=50,LOOKUP(Table13[[#This Row],[Age]],db!BG27:BG133,db!BH27:BH133),LOOKUP(Table13[[#This Row],[Age]],db!BJ27:BJ133,db!BK27:BK133)))</f>
        <v>0</v>
      </c>
      <c r="L26" s="17">
        <f>MIN(IF(B26=0,0,db!$E$4*((1+db!$B$4)^(B26-1))),Table13[[#This Row],[Max Sum Insured For Death]])</f>
        <v>0</v>
      </c>
      <c r="M26" s="17">
        <f>ROUND(IF(L26&lt;=db!$L$7,L26,db!$L$7),0)</f>
        <v>0</v>
      </c>
      <c r="N26" s="29">
        <f t="shared" si="11"/>
        <v>0</v>
      </c>
      <c r="O26" s="29">
        <f>IF(B26=0,0,IF(db!$D$6="Yes",(db!$B$6)*M26,0))</f>
        <v>0</v>
      </c>
      <c r="P26" s="29">
        <f>MIN(IF(O26&lt;=db!$L$2,O26,db!$L$2),MAX_ACC_CAPITAL)</f>
        <v>0</v>
      </c>
      <c r="Q26" s="17">
        <f>IF(B26=0,0,IF(db!$D$7="Yes",(db!$B$7)*M26,0))</f>
        <v>0</v>
      </c>
      <c r="R26" s="42">
        <f>IF(C26&gt;69,0,IF(C26=0,0,IF(Q26&lt;=db!$L$3,Q26,db!$L$3)))</f>
        <v>0</v>
      </c>
      <c r="S26" s="29">
        <f>IF(B26=0,0,IF(db!$D$9="Yes",(db!$B$9)*M26,0))</f>
        <v>0</v>
      </c>
      <c r="T26" s="29">
        <f>ROUND(IF(C26&gt;69,0,IF(C26=0,0,IF(S26&lt;=db!$L$4,S26,db!$L$4))),0)</f>
        <v>0</v>
      </c>
      <c r="U26" s="38">
        <v>0</v>
      </c>
      <c r="V26" s="17">
        <v>0</v>
      </c>
      <c r="W26" s="29">
        <v>0</v>
      </c>
      <c r="X26" s="17">
        <f>IF(B26=0,0,IF(db!$D$11="Yes",(db!$B$11)*M26,0))</f>
        <v>0</v>
      </c>
      <c r="Y26" s="42">
        <f>ROUND(IF(C26&gt;59,0,IF(C26=0,0,IF(X26&lt;=db!$L$5,X26,db!$L$5))),0)</f>
        <v>0</v>
      </c>
      <c r="Z26" s="29">
        <f>IF(B26=0,0,IF(db!$D$12="Yes",(db!$B$12)*M26,0))</f>
        <v>0</v>
      </c>
      <c r="AA26" s="29">
        <f>ROUND(IF(C26&gt;59,0,IF(C26=0,0,IF(Z26&lt;=db!$L$6,Z26,db!$L$6))),0)</f>
        <v>0</v>
      </c>
      <c r="AB26" s="32"/>
      <c r="AC26" s="18">
        <f>IF(B26=0,0,IF(C26&lt;(db!$E$2+5),LOOKUP(C26,'Mortality Table'!$A$2:$A$108,'Mortality Table'!$P$2:$P$108),IF((C26&gt;=db!$E$2+10),LOOKUP(C26,'Mortality Table'!$A$2:$A$108,'Mortality Table'!$R$2:$R$108),LOOKUP(C26,'Mortality Table'!$A$2:$A$108,'Mortality Table'!$Q$2:$Q$108))))</f>
        <v>0</v>
      </c>
      <c r="AD26" s="22">
        <f t="shared" si="1"/>
        <v>0</v>
      </c>
      <c r="AE26" s="19">
        <f>IF(B26=0,0,LOOKUP(db!$A$8,db!$AX$4:$AX$8,db!$AY$4:$AY$8))</f>
        <v>0</v>
      </c>
      <c r="AF26" s="20">
        <f>ROUND((AE26/1000)*P26 * (1-db!$AS$9),0)</f>
        <v>0</v>
      </c>
      <c r="AG26" s="20">
        <f>(AE26/1000)*P26 * db!$AS$9</f>
        <v>0</v>
      </c>
      <c r="AH26" s="21">
        <f>IF(B26=0,0,LOOKUP(db!$A$8,db!$AX$4:$AX$8,db!$AZ$4:$AZ$8))</f>
        <v>0</v>
      </c>
      <c r="AI26" s="22">
        <f>(AH26/1000)*R26*(1-db!$AS$9)</f>
        <v>0</v>
      </c>
      <c r="AJ26" s="22">
        <f>(AH26/1000)*R26*(db!$AS$9)</f>
        <v>0</v>
      </c>
      <c r="AK26" s="23">
        <f>IF(B26=0,0,LOOKUP(db!$A$8,db!$AX$4:$AX$8,db!$BA$4:$BA$8))</f>
        <v>0</v>
      </c>
      <c r="AL26" s="20">
        <f>ROUND((AK26/(100))*T26*(1-db!$AS$9),0)</f>
        <v>0</v>
      </c>
      <c r="AM26" s="20">
        <f>ROUND((AK26/(100))*T26*(db!$AS$9),0)</f>
        <v>0</v>
      </c>
      <c r="AN26" s="21">
        <f>IF(db!$D$8="Yes",AH26,0)</f>
        <v>0</v>
      </c>
      <c r="AO26" s="22">
        <f>(AN26*V26)/1000*(1-db!$AS$9)</f>
        <v>0</v>
      </c>
      <c r="AP26" s="22">
        <f>(AN26*V26)/1000*(db!$AS$9)</f>
        <v>0</v>
      </c>
      <c r="AQ26" s="23">
        <f>IF(db!$D$10="Yes",AH26,0)</f>
        <v>0</v>
      </c>
      <c r="AR26" s="20">
        <f>(AQ26*W26/1000)*(1-db!$AS$9)</f>
        <v>0</v>
      </c>
      <c r="AS26" s="20">
        <f>(AQ26*W26/1000)*(db!$AS$9)</f>
        <v>0</v>
      </c>
      <c r="AT26" s="22">
        <f>IF(B26=0,0,IF(C26&gt;60,0,LOOKUP(LOOKUP(C26,RiskLoading!A$3:A$109,RiskLoading!DG$3:DG$109),db!$BC$3:$BC$63,db!$BD$3:$BD$63)))</f>
        <v>0</v>
      </c>
      <c r="AU26" s="22">
        <f>AV26*db!$AS$10</f>
        <v>0</v>
      </c>
      <c r="AV26" s="22">
        <f t="shared" si="2"/>
        <v>0</v>
      </c>
      <c r="AW26" s="22">
        <f>(AT26/1000000)*Y26*(1-db!$AS$10)</f>
        <v>0</v>
      </c>
      <c r="AX26" s="20">
        <f>IF(B26=0,0,IF(C26&gt;60,0,LOOKUP(LOOKUP(C26,RiskLoading!A$3:A$109,RiskLoading!DG$3:DG$109),db!$BC$3:$BC$63,db!$BE$3:$BE$63)))</f>
        <v>0</v>
      </c>
      <c r="AY26" s="20">
        <f>(AX26/1000000)*AA26*(1-db!$AS$11)</f>
        <v>0</v>
      </c>
      <c r="AZ26" s="20">
        <f>(AX26/1000000)*AA26*(db!$AS$11)</f>
        <v>0</v>
      </c>
      <c r="BA26" s="19">
        <f>IF(Table13[Year]=0,0,LOOKUP(Table13[Age],RiskLoading!A$3:A$109,RiskLoading!DT$3:DT$109))</f>
        <v>0</v>
      </c>
      <c r="BB26" s="20">
        <f>Table13[[#This Row],[RiskLoading
Rate]]*Table13[[#This Row],[Death Capital (2)]]</f>
        <v>0</v>
      </c>
      <c r="BC26" s="36"/>
      <c r="BD26" s="37">
        <f t="shared" si="3"/>
        <v>0</v>
      </c>
      <c r="BE26" s="35">
        <f t="shared" si="4"/>
        <v>0</v>
      </c>
      <c r="BF26" s="35">
        <f t="shared" si="5"/>
        <v>0</v>
      </c>
      <c r="BG26" s="37">
        <f t="shared" si="6"/>
        <v>0</v>
      </c>
      <c r="BH26" s="37">
        <f t="shared" si="7"/>
        <v>0</v>
      </c>
      <c r="BI26" s="35">
        <f t="shared" si="12"/>
        <v>0</v>
      </c>
      <c r="BJ26" s="35">
        <f t="shared" si="13"/>
        <v>0</v>
      </c>
      <c r="BK26" s="37">
        <v>0</v>
      </c>
      <c r="BL26" s="37">
        <v>0</v>
      </c>
      <c r="BM26" s="35"/>
      <c r="BN26" s="37">
        <f>0</f>
        <v>0</v>
      </c>
      <c r="BO26" s="37"/>
      <c r="BP26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26" s="33"/>
      <c r="BR26" s="39">
        <f>Table13[[#This Row],[Initial Reserve]]-Table13[[#This Row],[All Deductions]]</f>
        <v>0</v>
      </c>
      <c r="BS26" s="39">
        <v>0</v>
      </c>
      <c r="BT26" s="39">
        <f>IF(B26=0,0,BU25-Table13[[#This Row],[All Deductions]])</f>
        <v>0</v>
      </c>
      <c r="BU26" s="40">
        <f>ROUND(IF(B26=0,0,((BR26+BU25)*(1+db!U28))),0)</f>
        <v>0</v>
      </c>
      <c r="BV26" s="40">
        <f t="shared" si="17"/>
        <v>0</v>
      </c>
      <c r="BW26" s="15">
        <f t="shared" si="14"/>
        <v>25</v>
      </c>
      <c r="BX26" s="39">
        <f>IF(B26=0,0,((BR26)*(1+db!AH28))+((BX25)*(1+db!AD28)))</f>
        <v>0</v>
      </c>
      <c r="BY26" s="39">
        <f>IF(B26=0,0,((BR26)*(1+db!AH28))+((BY25)*(1+db!AD28)))</f>
        <v>0</v>
      </c>
      <c r="BZ26" s="40">
        <f>IF(B26=0,0,((BR26)*(1+db!AO28))+((BZ25)*(1+db!AK28)))</f>
        <v>0</v>
      </c>
      <c r="CA26" s="40">
        <f>BZ26-(SUM(BM$7:$BM27))</f>
        <v>0</v>
      </c>
      <c r="CB26" s="46"/>
    </row>
    <row r="27" spans="1:80">
      <c r="A27" s="16">
        <f t="shared" si="15"/>
        <v>26</v>
      </c>
      <c r="B27" s="16">
        <f>IF(B26=0,0,IF(db!$E$5&lt;B26+1,0,B26+1))</f>
        <v>0</v>
      </c>
      <c r="C27" s="15">
        <f t="shared" si="16"/>
        <v>0</v>
      </c>
      <c r="D27" s="312">
        <f>LOOKUP(Table13[[#This Row],[Age]],RiskLoading!A$3:A$109,RiskLoading!DG$3:DG$109)</f>
        <v>55</v>
      </c>
      <c r="E27" s="29">
        <f t="shared" si="8"/>
        <v>0</v>
      </c>
      <c r="F27" s="29">
        <f t="shared" si="9"/>
        <v>0</v>
      </c>
      <c r="G27" s="29">
        <f t="shared" si="0"/>
        <v>0</v>
      </c>
      <c r="H27" s="29">
        <v>0</v>
      </c>
      <c r="I27" s="29">
        <f>IF(B27=0,0,SUM($H$2:H27))</f>
        <v>0</v>
      </c>
      <c r="J27" s="17">
        <f t="shared" si="10"/>
        <v>0</v>
      </c>
      <c r="K27" s="17">
        <f>IF(Table13[[#This Row],[Year]]=0,0,IF($C$2&lt;=50,LOOKUP(Table13[[#This Row],[Age]],db!BG28:BG134,db!BH28:BH134),LOOKUP(Table13[[#This Row],[Age]],db!BJ28:BJ134,db!BK28:BK134)))</f>
        <v>0</v>
      </c>
      <c r="L27" s="17">
        <f>MIN(IF(B27=0,0,db!$E$4*((1+db!$B$4)^(B27-1))),Table13[[#This Row],[Max Sum Insured For Death]])</f>
        <v>0</v>
      </c>
      <c r="M27" s="17">
        <f>ROUND(IF(L27&lt;=db!$L$7,L27,db!$L$7),0)</f>
        <v>0</v>
      </c>
      <c r="N27" s="29">
        <f t="shared" si="11"/>
        <v>0</v>
      </c>
      <c r="O27" s="29">
        <f>IF(B27=0,0,IF(db!$D$6="Yes",(db!$B$6)*M27,0))</f>
        <v>0</v>
      </c>
      <c r="P27" s="29">
        <f>MIN(IF(O27&lt;=db!$L$2,O27,db!$L$2),MAX_ACC_CAPITAL)</f>
        <v>0</v>
      </c>
      <c r="Q27" s="17">
        <f>IF(B27=0,0,IF(db!$D$7="Yes",(db!$B$7)*M27,0))</f>
        <v>0</v>
      </c>
      <c r="R27" s="42">
        <f>IF(C27&gt;69,0,IF(C27=0,0,IF(Q27&lt;=db!$L$3,Q27,db!$L$3)))</f>
        <v>0</v>
      </c>
      <c r="S27" s="29">
        <f>IF(B27=0,0,IF(db!$D$9="Yes",(db!$B$9)*M27,0))</f>
        <v>0</v>
      </c>
      <c r="T27" s="29">
        <f>ROUND(IF(C27&gt;69,0,IF(C27=0,0,IF(S27&lt;=db!$L$4,S27,db!$L$4))),0)</f>
        <v>0</v>
      </c>
      <c r="U27" s="38">
        <v>0</v>
      </c>
      <c r="V27" s="17">
        <v>0</v>
      </c>
      <c r="W27" s="29">
        <v>0</v>
      </c>
      <c r="X27" s="17">
        <f>IF(B27=0,0,IF(db!$D$11="Yes",(db!$B$11)*M27,0))</f>
        <v>0</v>
      </c>
      <c r="Y27" s="42">
        <f>ROUND(IF(C27&gt;59,0,IF(C27=0,0,IF(X27&lt;=db!$L$5,X27,db!$L$5))),0)</f>
        <v>0</v>
      </c>
      <c r="Z27" s="29">
        <f>IF(B27=0,0,IF(db!$D$12="Yes",(db!$B$12)*M27,0))</f>
        <v>0</v>
      </c>
      <c r="AA27" s="29">
        <f>ROUND(IF(C27&gt;59,0,IF(C27=0,0,IF(Z27&lt;=db!$L$6,Z27,db!$L$6))),0)</f>
        <v>0</v>
      </c>
      <c r="AB27" s="32"/>
      <c r="AC27" s="18">
        <f>IF(B27=0,0,IF(C27&lt;(db!$E$2+5),LOOKUP(C27,'Mortality Table'!$A$2:$A$108,'Mortality Table'!$P$2:$P$108),IF((C27&gt;=db!$E$2+10),LOOKUP(C27,'Mortality Table'!$A$2:$A$108,'Mortality Table'!$R$2:$R$108),LOOKUP(C27,'Mortality Table'!$A$2:$A$108,'Mortality Table'!$Q$2:$Q$108))))</f>
        <v>0</v>
      </c>
      <c r="AD27" s="22">
        <f t="shared" si="1"/>
        <v>0</v>
      </c>
      <c r="AE27" s="19">
        <f>IF(B27=0,0,LOOKUP(db!$A$8,db!$AX$4:$AX$8,db!$AY$4:$AY$8))</f>
        <v>0</v>
      </c>
      <c r="AF27" s="20">
        <f>ROUND((AE27/1000)*P27 * (1-db!$AS$9),0)</f>
        <v>0</v>
      </c>
      <c r="AG27" s="20">
        <f>(AE27/1000)*P27 * db!$AS$9</f>
        <v>0</v>
      </c>
      <c r="AH27" s="21">
        <f>IF(B27=0,0,LOOKUP(db!$A$8,db!$AX$4:$AX$8,db!$AZ$4:$AZ$8))</f>
        <v>0</v>
      </c>
      <c r="AI27" s="22">
        <f>(AH27/1000)*R27*(1-db!$AS$9)</f>
        <v>0</v>
      </c>
      <c r="AJ27" s="22">
        <f>(AH27/1000)*R27*(db!$AS$9)</f>
        <v>0</v>
      </c>
      <c r="AK27" s="23">
        <f>IF(B27=0,0,LOOKUP(db!$A$8,db!$AX$4:$AX$8,db!$BA$4:$BA$8))</f>
        <v>0</v>
      </c>
      <c r="AL27" s="20">
        <f>ROUND((AK27/(100))*T27*(1-db!$AS$9),0)</f>
        <v>0</v>
      </c>
      <c r="AM27" s="20">
        <f>ROUND((AK27/(100))*T27*(db!$AS$9),0)</f>
        <v>0</v>
      </c>
      <c r="AN27" s="21">
        <f>IF(db!$D$8="Yes",AH27,0)</f>
        <v>0</v>
      </c>
      <c r="AO27" s="22">
        <f>(AN27*V27)/1000*(1-db!$AS$9)</f>
        <v>0</v>
      </c>
      <c r="AP27" s="22">
        <f>(AN27*V27)/1000*(db!$AS$9)</f>
        <v>0</v>
      </c>
      <c r="AQ27" s="23">
        <f>IF(db!$D$10="Yes",AH27,0)</f>
        <v>0</v>
      </c>
      <c r="AR27" s="20">
        <f>(AQ27*W27/1000)*(1-db!$AS$9)</f>
        <v>0</v>
      </c>
      <c r="AS27" s="20">
        <f>(AQ27*W27/1000)*(db!$AS$9)</f>
        <v>0</v>
      </c>
      <c r="AT27" s="22">
        <f>IF(B27=0,0,IF(C27&gt;60,0,LOOKUP(LOOKUP(C27,RiskLoading!A$3:A$109,RiskLoading!DG$3:DG$109),db!$BC$3:$BC$63,db!$BD$3:$BD$63)))</f>
        <v>0</v>
      </c>
      <c r="AU27" s="22">
        <f>AV27*db!$AS$10</f>
        <v>0</v>
      </c>
      <c r="AV27" s="22">
        <f t="shared" si="2"/>
        <v>0</v>
      </c>
      <c r="AW27" s="22">
        <f>(AT27/1000000)*Y27*(1-db!$AS$10)</f>
        <v>0</v>
      </c>
      <c r="AX27" s="20">
        <f>IF(B27=0,0,IF(C27&gt;60,0,LOOKUP(LOOKUP(C27,RiskLoading!A$3:A$109,RiskLoading!DG$3:DG$109),db!$BC$3:$BC$63,db!$BE$3:$BE$63)))</f>
        <v>0</v>
      </c>
      <c r="AY27" s="20">
        <f>(AX27/1000000)*AA27*(1-db!$AS$11)</f>
        <v>0</v>
      </c>
      <c r="AZ27" s="20">
        <f>(AX27/1000000)*AA27*(db!$AS$11)</f>
        <v>0</v>
      </c>
      <c r="BA27" s="19">
        <f>IF(Table13[Year]=0,0,LOOKUP(Table13[Age],RiskLoading!A$3:A$109,RiskLoading!DT$3:DT$109))</f>
        <v>0</v>
      </c>
      <c r="BB27" s="20">
        <f>Table13[[#This Row],[RiskLoading
Rate]]*Table13[[#This Row],[Death Capital (2)]]</f>
        <v>0</v>
      </c>
      <c r="BC27" s="36"/>
      <c r="BD27" s="37">
        <f t="shared" si="3"/>
        <v>0</v>
      </c>
      <c r="BE27" s="35">
        <f t="shared" si="4"/>
        <v>0</v>
      </c>
      <c r="BF27" s="35">
        <f t="shared" si="5"/>
        <v>0</v>
      </c>
      <c r="BG27" s="37">
        <f t="shared" si="6"/>
        <v>0</v>
      </c>
      <c r="BH27" s="37">
        <f t="shared" si="7"/>
        <v>0</v>
      </c>
      <c r="BI27" s="35">
        <f t="shared" si="12"/>
        <v>0</v>
      </c>
      <c r="BJ27" s="35">
        <f t="shared" si="13"/>
        <v>0</v>
      </c>
      <c r="BK27" s="37">
        <v>0</v>
      </c>
      <c r="BL27" s="37">
        <v>0</v>
      </c>
      <c r="BM27" s="35"/>
      <c r="BN27" s="37">
        <f>0</f>
        <v>0</v>
      </c>
      <c r="BO27" s="37"/>
      <c r="BP27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27" s="33"/>
      <c r="BR27" s="39">
        <f>Table13[[#This Row],[Initial Reserve]]-Table13[[#This Row],[All Deductions]]</f>
        <v>0</v>
      </c>
      <c r="BS27" s="39">
        <v>0</v>
      </c>
      <c r="BT27" s="39">
        <f>IF(B27=0,0,BU26-Table13[[#This Row],[All Deductions]])</f>
        <v>0</v>
      </c>
      <c r="BU27" s="40">
        <f>ROUND(IF(B27=0,0,((BR27+BU26)*(1+db!U29))),0)</f>
        <v>0</v>
      </c>
      <c r="BV27" s="40">
        <f t="shared" si="17"/>
        <v>0</v>
      </c>
      <c r="BW27" s="15">
        <f t="shared" si="14"/>
        <v>26</v>
      </c>
      <c r="BX27" s="39">
        <f>IF(B27=0,0,((BR27)*(1+db!AH29))+((BX26)*(1+db!AD29)))</f>
        <v>0</v>
      </c>
      <c r="BY27" s="39">
        <f>IF(B27=0,0,((BR27)*(1+db!AH29))+((BY26)*(1+db!AD29)))</f>
        <v>0</v>
      </c>
      <c r="BZ27" s="40">
        <f>IF(B27=0,0,((BR27)*(1+db!AO29))+((BZ26)*(1+db!AK29)))</f>
        <v>0</v>
      </c>
      <c r="CA27" s="40">
        <f>BZ27-(SUM(BM$7:$BM28))</f>
        <v>0</v>
      </c>
      <c r="CB27" s="46"/>
    </row>
    <row r="28" spans="1:80">
      <c r="A28" s="16">
        <f t="shared" si="15"/>
        <v>27</v>
      </c>
      <c r="B28" s="16">
        <f>IF(B27=0,0,IF(db!$E$5&lt;B27+1,0,B27+1))</f>
        <v>0</v>
      </c>
      <c r="C28" s="15">
        <f t="shared" si="16"/>
        <v>0</v>
      </c>
      <c r="D28" s="312">
        <f>LOOKUP(Table13[[#This Row],[Age]],RiskLoading!A$3:A$109,RiskLoading!DG$3:DG$109)</f>
        <v>55</v>
      </c>
      <c r="E28" s="29">
        <f t="shared" si="8"/>
        <v>0</v>
      </c>
      <c r="F28" s="29">
        <f t="shared" si="9"/>
        <v>0</v>
      </c>
      <c r="G28" s="29">
        <f t="shared" si="0"/>
        <v>0</v>
      </c>
      <c r="H28" s="29">
        <v>0</v>
      </c>
      <c r="I28" s="29">
        <f>IF(B28=0,0,SUM($H$2:H28))</f>
        <v>0</v>
      </c>
      <c r="J28" s="17">
        <f t="shared" si="10"/>
        <v>0</v>
      </c>
      <c r="K28" s="17">
        <f>IF(Table13[[#This Row],[Year]]=0,0,IF($C$2&lt;=50,LOOKUP(Table13[[#This Row],[Age]],db!BG29:BG135,db!BH29:BH135),LOOKUP(Table13[[#This Row],[Age]],db!BJ29:BJ135,db!BK29:BK135)))</f>
        <v>0</v>
      </c>
      <c r="L28" s="17">
        <f>MIN(IF(B28=0,0,db!$E$4*((1+db!$B$4)^(B28-1))),Table13[[#This Row],[Max Sum Insured For Death]])</f>
        <v>0</v>
      </c>
      <c r="M28" s="17">
        <f>ROUND(IF(L28&lt;=db!$L$7,L28,db!$L$7),0)</f>
        <v>0</v>
      </c>
      <c r="N28" s="29">
        <f t="shared" si="11"/>
        <v>0</v>
      </c>
      <c r="O28" s="29">
        <f>IF(B28=0,0,IF(db!$D$6="Yes",(db!$B$6)*M28,0))</f>
        <v>0</v>
      </c>
      <c r="P28" s="29">
        <f>MIN(IF(O28&lt;=db!$L$2,O28,db!$L$2),MAX_ACC_CAPITAL)</f>
        <v>0</v>
      </c>
      <c r="Q28" s="17">
        <f>IF(B28=0,0,IF(db!$D$7="Yes",(db!$B$7)*M28,0))</f>
        <v>0</v>
      </c>
      <c r="R28" s="42">
        <f>IF(C28&gt;69,0,IF(C28=0,0,IF(Q28&lt;=db!$L$3,Q28,db!$L$3)))</f>
        <v>0</v>
      </c>
      <c r="S28" s="29">
        <f>IF(B28=0,0,IF(db!$D$9="Yes",(db!$B$9)*M28,0))</f>
        <v>0</v>
      </c>
      <c r="T28" s="29">
        <f>ROUND(IF(C28&gt;69,0,IF(C28=0,0,IF(S28&lt;=db!$L$4,S28,db!$L$4))),0)</f>
        <v>0</v>
      </c>
      <c r="U28" s="38">
        <v>0</v>
      </c>
      <c r="V28" s="17">
        <v>0</v>
      </c>
      <c r="W28" s="29">
        <v>0</v>
      </c>
      <c r="X28" s="17">
        <f>IF(B28=0,0,IF(db!$D$11="Yes",(db!$B$11)*M28,0))</f>
        <v>0</v>
      </c>
      <c r="Y28" s="42">
        <f>ROUND(IF(C28&gt;59,0,IF(C28=0,0,IF(X28&lt;=db!$L$5,X28,db!$L$5))),0)</f>
        <v>0</v>
      </c>
      <c r="Z28" s="29">
        <f>IF(B28=0,0,IF(db!$D$12="Yes",(db!$B$12)*M28,0))</f>
        <v>0</v>
      </c>
      <c r="AA28" s="29">
        <f>ROUND(IF(C28&gt;59,0,IF(C28=0,0,IF(Z28&lt;=db!$L$6,Z28,db!$L$6))),0)</f>
        <v>0</v>
      </c>
      <c r="AB28" s="32"/>
      <c r="AC28" s="18">
        <f>IF(B28=0,0,IF(C28&lt;(db!$E$2+5),LOOKUP(C28,'Mortality Table'!$A$2:$A$108,'Mortality Table'!$P$2:$P$108),IF((C28&gt;=db!$E$2+10),LOOKUP(C28,'Mortality Table'!$A$2:$A$108,'Mortality Table'!$R$2:$R$108),LOOKUP(C28,'Mortality Table'!$A$2:$A$108,'Mortality Table'!$Q$2:$Q$108))))</f>
        <v>0</v>
      </c>
      <c r="AD28" s="22">
        <f t="shared" si="1"/>
        <v>0</v>
      </c>
      <c r="AE28" s="19">
        <f>IF(B28=0,0,LOOKUP(db!$A$8,db!$AX$4:$AX$8,db!$AY$4:$AY$8))</f>
        <v>0</v>
      </c>
      <c r="AF28" s="20">
        <f>ROUND((AE28/1000)*P28 * (1-db!$AS$9),0)</f>
        <v>0</v>
      </c>
      <c r="AG28" s="20">
        <f>(AE28/1000)*P28 * db!$AS$9</f>
        <v>0</v>
      </c>
      <c r="AH28" s="21">
        <f>IF(B28=0,0,LOOKUP(db!$A$8,db!$AX$4:$AX$8,db!$AZ$4:$AZ$8))</f>
        <v>0</v>
      </c>
      <c r="AI28" s="22">
        <f>(AH28/1000)*R28*(1-db!$AS$9)</f>
        <v>0</v>
      </c>
      <c r="AJ28" s="22">
        <f>(AH28/1000)*R28*(db!$AS$9)</f>
        <v>0</v>
      </c>
      <c r="AK28" s="23">
        <f>IF(B28=0,0,LOOKUP(db!$A$8,db!$AX$4:$AX$8,db!$BA$4:$BA$8))</f>
        <v>0</v>
      </c>
      <c r="AL28" s="20">
        <f>ROUND((AK28/(100))*T28*(1-db!$AS$9),0)</f>
        <v>0</v>
      </c>
      <c r="AM28" s="20">
        <f>ROUND((AK28/(100))*T28*(db!$AS$9),0)</f>
        <v>0</v>
      </c>
      <c r="AN28" s="21">
        <f>IF(db!$D$8="Yes",AH28,0)</f>
        <v>0</v>
      </c>
      <c r="AO28" s="22">
        <f>(AN28*V28)/1000*(1-db!$AS$9)</f>
        <v>0</v>
      </c>
      <c r="AP28" s="22">
        <f>(AN28*V28)/1000*(db!$AS$9)</f>
        <v>0</v>
      </c>
      <c r="AQ28" s="23">
        <f>IF(db!$D$10="Yes",AH28,0)</f>
        <v>0</v>
      </c>
      <c r="AR28" s="20">
        <f>(AQ28*W28/1000)*(1-db!$AS$9)</f>
        <v>0</v>
      </c>
      <c r="AS28" s="20">
        <f>(AQ28*W28/1000)*(db!$AS$9)</f>
        <v>0</v>
      </c>
      <c r="AT28" s="22">
        <f>IF(B28=0,0,IF(C28&gt;60,0,LOOKUP(LOOKUP(C28,RiskLoading!A$3:A$109,RiskLoading!DG$3:DG$109),db!$BC$3:$BC$63,db!$BD$3:$BD$63)))</f>
        <v>0</v>
      </c>
      <c r="AU28" s="22">
        <f>AV28*db!$AS$10</f>
        <v>0</v>
      </c>
      <c r="AV28" s="22">
        <f t="shared" si="2"/>
        <v>0</v>
      </c>
      <c r="AW28" s="22">
        <f>(AT28/1000000)*Y28*(1-db!$AS$10)</f>
        <v>0</v>
      </c>
      <c r="AX28" s="20">
        <f>IF(B28=0,0,IF(C28&gt;60,0,LOOKUP(LOOKUP(C28,RiskLoading!A$3:A$109,RiskLoading!DG$3:DG$109),db!$BC$3:$BC$63,db!$BE$3:$BE$63)))</f>
        <v>0</v>
      </c>
      <c r="AY28" s="20">
        <f>(AX28/1000000)*AA28*(1-db!$AS$11)</f>
        <v>0</v>
      </c>
      <c r="AZ28" s="20">
        <f>(AX28/1000000)*AA28*(db!$AS$11)</f>
        <v>0</v>
      </c>
      <c r="BA28" s="19">
        <f>IF(Table13[Year]=0,0,LOOKUP(Table13[Age],RiskLoading!A$3:A$109,RiskLoading!DT$3:DT$109))</f>
        <v>0</v>
      </c>
      <c r="BB28" s="20">
        <f>Table13[[#This Row],[RiskLoading
Rate]]*Table13[[#This Row],[Death Capital (2)]]</f>
        <v>0</v>
      </c>
      <c r="BC28" s="36"/>
      <c r="BD28" s="37">
        <f t="shared" si="3"/>
        <v>0</v>
      </c>
      <c r="BE28" s="35">
        <f t="shared" si="4"/>
        <v>0</v>
      </c>
      <c r="BF28" s="35">
        <f t="shared" si="5"/>
        <v>0</v>
      </c>
      <c r="BG28" s="37">
        <f t="shared" si="6"/>
        <v>0</v>
      </c>
      <c r="BH28" s="37">
        <f t="shared" si="7"/>
        <v>0</v>
      </c>
      <c r="BI28" s="35">
        <f t="shared" si="12"/>
        <v>0</v>
      </c>
      <c r="BJ28" s="35">
        <f t="shared" si="13"/>
        <v>0</v>
      </c>
      <c r="BK28" s="37">
        <v>0</v>
      </c>
      <c r="BL28" s="37">
        <v>0</v>
      </c>
      <c r="BM28" s="35"/>
      <c r="BN28" s="37">
        <f>0</f>
        <v>0</v>
      </c>
      <c r="BO28" s="37"/>
      <c r="BP28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28" s="33"/>
      <c r="BR28" s="39">
        <f>Table13[[#This Row],[Initial Reserve]]-Table13[[#This Row],[All Deductions]]</f>
        <v>0</v>
      </c>
      <c r="BS28" s="39">
        <v>0</v>
      </c>
      <c r="BT28" s="39">
        <f>IF(B28=0,0,BU27-Table13[[#This Row],[All Deductions]])</f>
        <v>0</v>
      </c>
      <c r="BU28" s="40">
        <f>ROUND(IF(B28=0,0,((BR28+BU27)*(1+db!U30))),0)</f>
        <v>0</v>
      </c>
      <c r="BV28" s="40">
        <f t="shared" si="17"/>
        <v>0</v>
      </c>
      <c r="BW28" s="15">
        <f t="shared" si="14"/>
        <v>27</v>
      </c>
      <c r="BX28" s="39">
        <f>IF(B28=0,0,((BR28)*(1+db!AH30))+((BX27)*(1+db!AD30)))</f>
        <v>0</v>
      </c>
      <c r="BY28" s="39">
        <f>IF(B28=0,0,((BR28)*(1+db!AH30))+((BY27)*(1+db!AD30)))</f>
        <v>0</v>
      </c>
      <c r="BZ28" s="40">
        <f>IF(B28=0,0,((BR28)*(1+db!AO30))+((BZ27)*(1+db!AK30)))</f>
        <v>0</v>
      </c>
      <c r="CA28" s="40">
        <f>BZ28-(SUM(BM$7:$BM29))</f>
        <v>0</v>
      </c>
      <c r="CB28" s="46"/>
    </row>
    <row r="29" spans="1:80">
      <c r="A29" s="16">
        <f t="shared" si="15"/>
        <v>28</v>
      </c>
      <c r="B29" s="16">
        <f>IF(B28=0,0,IF(db!$E$5&lt;B28+1,0,B28+1))</f>
        <v>0</v>
      </c>
      <c r="C29" s="15">
        <f t="shared" si="16"/>
        <v>0</v>
      </c>
      <c r="D29" s="312">
        <f>LOOKUP(Table13[[#This Row],[Age]],RiskLoading!A$3:A$109,RiskLoading!DG$3:DG$109)</f>
        <v>55</v>
      </c>
      <c r="E29" s="29">
        <f t="shared" si="8"/>
        <v>0</v>
      </c>
      <c r="F29" s="29">
        <f t="shared" si="9"/>
        <v>0</v>
      </c>
      <c r="G29" s="29">
        <f t="shared" si="0"/>
        <v>0</v>
      </c>
      <c r="H29" s="29">
        <v>0</v>
      </c>
      <c r="I29" s="29">
        <f>IF(B29=0,0,SUM($H$2:H29))</f>
        <v>0</v>
      </c>
      <c r="J29" s="17">
        <f t="shared" si="10"/>
        <v>0</v>
      </c>
      <c r="K29" s="17">
        <f>IF(Table13[[#This Row],[Year]]=0,0,IF($C$2&lt;=50,LOOKUP(Table13[[#This Row],[Age]],db!BG30:BG136,db!BH30:BH136),LOOKUP(Table13[[#This Row],[Age]],db!BJ30:BJ136,db!BK30:BK136)))</f>
        <v>0</v>
      </c>
      <c r="L29" s="17">
        <f>MIN(IF(B29=0,0,db!$E$4*((1+db!$B$4)^(B29-1))),Table13[[#This Row],[Max Sum Insured For Death]])</f>
        <v>0</v>
      </c>
      <c r="M29" s="17">
        <f>ROUND(IF(L29&lt;=db!$L$7,L29,db!$L$7),0)</f>
        <v>0</v>
      </c>
      <c r="N29" s="29">
        <f t="shared" si="11"/>
        <v>0</v>
      </c>
      <c r="O29" s="29">
        <f>IF(B29=0,0,IF(db!$D$6="Yes",(db!$B$6)*M29,0))</f>
        <v>0</v>
      </c>
      <c r="P29" s="29">
        <f>MIN(IF(O29&lt;=db!$L$2,O29,db!$L$2),MAX_ACC_CAPITAL)</f>
        <v>0</v>
      </c>
      <c r="Q29" s="17">
        <f>IF(B29=0,0,IF(db!$D$7="Yes",(db!$B$7)*M29,0))</f>
        <v>0</v>
      </c>
      <c r="R29" s="42">
        <f>IF(C29&gt;69,0,IF(C29=0,0,IF(Q29&lt;=db!$L$3,Q29,db!$L$3)))</f>
        <v>0</v>
      </c>
      <c r="S29" s="29">
        <f>IF(B29=0,0,IF(db!$D$9="Yes",(db!$B$9)*M29,0))</f>
        <v>0</v>
      </c>
      <c r="T29" s="29">
        <f>ROUND(IF(C29&gt;69,0,IF(C29=0,0,IF(S29&lt;=db!$L$4,S29,db!$L$4))),0)</f>
        <v>0</v>
      </c>
      <c r="U29" s="38">
        <v>0</v>
      </c>
      <c r="V29" s="17">
        <v>0</v>
      </c>
      <c r="W29" s="29">
        <v>0</v>
      </c>
      <c r="X29" s="17">
        <f>IF(B29=0,0,IF(db!$D$11="Yes",(db!$B$11)*M29,0))</f>
        <v>0</v>
      </c>
      <c r="Y29" s="42">
        <f>ROUND(IF(C29&gt;59,0,IF(C29=0,0,IF(X29&lt;=db!$L$5,X29,db!$L$5))),0)</f>
        <v>0</v>
      </c>
      <c r="Z29" s="29">
        <f>IF(B29=0,0,IF(db!$D$12="Yes",(db!$B$12)*M29,0))</f>
        <v>0</v>
      </c>
      <c r="AA29" s="29">
        <f>ROUND(IF(C29&gt;59,0,IF(C29=0,0,IF(Z29&lt;=db!$L$6,Z29,db!$L$6))),0)</f>
        <v>0</v>
      </c>
      <c r="AB29" s="32"/>
      <c r="AC29" s="18">
        <f>IF(B29=0,0,IF(C29&lt;(db!$E$2+5),LOOKUP(C29,'Mortality Table'!$A$2:$A$108,'Mortality Table'!$P$2:$P$108),IF((C29&gt;=db!$E$2+10),LOOKUP(C29,'Mortality Table'!$A$2:$A$108,'Mortality Table'!$R$2:$R$108),LOOKUP(C29,'Mortality Table'!$A$2:$A$108,'Mortality Table'!$Q$2:$Q$108))))</f>
        <v>0</v>
      </c>
      <c r="AD29" s="22">
        <f t="shared" si="1"/>
        <v>0</v>
      </c>
      <c r="AE29" s="19">
        <f>IF(B29=0,0,LOOKUP(db!$A$8,db!$AX$4:$AX$8,db!$AY$4:$AY$8))</f>
        <v>0</v>
      </c>
      <c r="AF29" s="20">
        <f>ROUND((AE29/1000)*P29 * (1-db!$AS$9),0)</f>
        <v>0</v>
      </c>
      <c r="AG29" s="20">
        <f>(AE29/1000)*P29 * db!$AS$9</f>
        <v>0</v>
      </c>
      <c r="AH29" s="21">
        <f>IF(B29=0,0,LOOKUP(db!$A$8,db!$AX$4:$AX$8,db!$AZ$4:$AZ$8))</f>
        <v>0</v>
      </c>
      <c r="AI29" s="22">
        <f>(AH29/1000)*R29*(1-db!$AS$9)</f>
        <v>0</v>
      </c>
      <c r="AJ29" s="22">
        <f>(AH29/1000)*R29*(db!$AS$9)</f>
        <v>0</v>
      </c>
      <c r="AK29" s="23">
        <f>IF(B29=0,0,LOOKUP(db!$A$8,db!$AX$4:$AX$8,db!$BA$4:$BA$8))</f>
        <v>0</v>
      </c>
      <c r="AL29" s="20">
        <f>ROUND((AK29/(100))*T29*(1-db!$AS$9),0)</f>
        <v>0</v>
      </c>
      <c r="AM29" s="20">
        <f>ROUND((AK29/(100))*T29*(db!$AS$9),0)</f>
        <v>0</v>
      </c>
      <c r="AN29" s="21">
        <f>IF(db!$D$8="Yes",AH29,0)</f>
        <v>0</v>
      </c>
      <c r="AO29" s="22">
        <f>(AN29*V29)/1000*(1-db!$AS$9)</f>
        <v>0</v>
      </c>
      <c r="AP29" s="22">
        <f>(AN29*V29)/1000*(db!$AS$9)</f>
        <v>0</v>
      </c>
      <c r="AQ29" s="23">
        <f>IF(db!$D$10="Yes",AH29,0)</f>
        <v>0</v>
      </c>
      <c r="AR29" s="20">
        <f>(AQ29*W29/1000)*(1-db!$AS$9)</f>
        <v>0</v>
      </c>
      <c r="AS29" s="20">
        <f>(AQ29*W29/1000)*(db!$AS$9)</f>
        <v>0</v>
      </c>
      <c r="AT29" s="22">
        <f>IF(B29=0,0,IF(C29&gt;60,0,LOOKUP(LOOKUP(C29,RiskLoading!A$3:A$109,RiskLoading!DG$3:DG$109),db!$BC$3:$BC$63,db!$BD$3:$BD$63)))</f>
        <v>0</v>
      </c>
      <c r="AU29" s="22">
        <f>AV29*db!$AS$10</f>
        <v>0</v>
      </c>
      <c r="AV29" s="22">
        <f t="shared" si="2"/>
        <v>0</v>
      </c>
      <c r="AW29" s="22">
        <f>(AT29/1000000)*Y29*(1-db!$AS$10)</f>
        <v>0</v>
      </c>
      <c r="AX29" s="20">
        <f>IF(B29=0,0,IF(C29&gt;60,0,LOOKUP(LOOKUP(C29,RiskLoading!A$3:A$109,RiskLoading!DG$3:DG$109),db!$BC$3:$BC$63,db!$BE$3:$BE$63)))</f>
        <v>0</v>
      </c>
      <c r="AY29" s="20">
        <f>(AX29/1000000)*AA29*(1-db!$AS$11)</f>
        <v>0</v>
      </c>
      <c r="AZ29" s="20">
        <f>(AX29/1000000)*AA29*(db!$AS$11)</f>
        <v>0</v>
      </c>
      <c r="BA29" s="19">
        <f>IF(Table13[Year]=0,0,LOOKUP(Table13[Age],RiskLoading!A$3:A$109,RiskLoading!DT$3:DT$109))</f>
        <v>0</v>
      </c>
      <c r="BB29" s="20">
        <f>Table13[[#This Row],[RiskLoading
Rate]]*Table13[[#This Row],[Death Capital (2)]]</f>
        <v>0</v>
      </c>
      <c r="BC29" s="36"/>
      <c r="BD29" s="37">
        <f t="shared" si="3"/>
        <v>0</v>
      </c>
      <c r="BE29" s="35">
        <f t="shared" si="4"/>
        <v>0</v>
      </c>
      <c r="BF29" s="35">
        <f t="shared" si="5"/>
        <v>0</v>
      </c>
      <c r="BG29" s="37">
        <f t="shared" si="6"/>
        <v>0</v>
      </c>
      <c r="BH29" s="37">
        <f t="shared" si="7"/>
        <v>0</v>
      </c>
      <c r="BI29" s="35">
        <f t="shared" si="12"/>
        <v>0</v>
      </c>
      <c r="BJ29" s="35">
        <f t="shared" si="13"/>
        <v>0</v>
      </c>
      <c r="BK29" s="37">
        <v>0</v>
      </c>
      <c r="BL29" s="37">
        <v>0</v>
      </c>
      <c r="BM29" s="35"/>
      <c r="BN29" s="37">
        <f>0</f>
        <v>0</v>
      </c>
      <c r="BO29" s="37"/>
      <c r="BP29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29" s="33"/>
      <c r="BR29" s="39">
        <f>Table13[[#This Row],[Initial Reserve]]-Table13[[#This Row],[All Deductions]]</f>
        <v>0</v>
      </c>
      <c r="BS29" s="39">
        <v>0</v>
      </c>
      <c r="BT29" s="39">
        <f>IF(B29=0,0,BU28-Table13[[#This Row],[All Deductions]])</f>
        <v>0</v>
      </c>
      <c r="BU29" s="40">
        <f>ROUND(IF(B29=0,0,((BR29+BU28)*(1+db!U31))),0)</f>
        <v>0</v>
      </c>
      <c r="BV29" s="40">
        <f t="shared" si="17"/>
        <v>0</v>
      </c>
      <c r="BW29" s="15">
        <f t="shared" si="14"/>
        <v>28</v>
      </c>
      <c r="BX29" s="39">
        <f>IF(B29=0,0,((BR29)*(1+db!AH31))+((BX28)*(1+db!AD31)))</f>
        <v>0</v>
      </c>
      <c r="BY29" s="39">
        <f>IF(B29=0,0,((BR29)*(1+db!AH31))+((BY28)*(1+db!AD31)))</f>
        <v>0</v>
      </c>
      <c r="BZ29" s="40">
        <f>IF(B29=0,0,((BR29)*(1+db!AO31))+((BZ28)*(1+db!AK31)))</f>
        <v>0</v>
      </c>
      <c r="CA29" s="40">
        <f>BZ29-(SUM(BM$7:$BM30))</f>
        <v>0</v>
      </c>
      <c r="CB29" s="46"/>
    </row>
    <row r="30" spans="1:80">
      <c r="A30" s="16">
        <f t="shared" si="15"/>
        <v>29</v>
      </c>
      <c r="B30" s="16">
        <f>IF(B29=0,0,IF(db!$E$5&lt;B29+1,0,B29+1))</f>
        <v>0</v>
      </c>
      <c r="C30" s="15">
        <f t="shared" si="16"/>
        <v>0</v>
      </c>
      <c r="D30" s="312">
        <f>LOOKUP(Table13[[#This Row],[Age]],RiskLoading!A$3:A$109,RiskLoading!DG$3:DG$109)</f>
        <v>55</v>
      </c>
      <c r="E30" s="29">
        <f t="shared" si="8"/>
        <v>0</v>
      </c>
      <c r="F30" s="29">
        <f t="shared" si="9"/>
        <v>0</v>
      </c>
      <c r="G30" s="29">
        <f t="shared" si="0"/>
        <v>0</v>
      </c>
      <c r="H30" s="29">
        <v>0</v>
      </c>
      <c r="I30" s="29">
        <f>IF(B30=0,0,SUM($H$2:H30))</f>
        <v>0</v>
      </c>
      <c r="J30" s="17">
        <f t="shared" si="10"/>
        <v>0</v>
      </c>
      <c r="K30" s="17">
        <f>IF(Table13[[#This Row],[Year]]=0,0,IF($C$2&lt;=50,LOOKUP(Table13[[#This Row],[Age]],db!BG31:BG137,db!BH31:BH137),LOOKUP(Table13[[#This Row],[Age]],db!BJ31:BJ137,db!BK31:BK137)))</f>
        <v>0</v>
      </c>
      <c r="L30" s="17">
        <f>MIN(IF(B30=0,0,db!$E$4*((1+db!$B$4)^(B30-1))),Table13[[#This Row],[Max Sum Insured For Death]])</f>
        <v>0</v>
      </c>
      <c r="M30" s="17">
        <f>ROUND(IF(L30&lt;=db!$L$7,L30,db!$L$7),0)</f>
        <v>0</v>
      </c>
      <c r="N30" s="29">
        <f t="shared" si="11"/>
        <v>0</v>
      </c>
      <c r="O30" s="29">
        <f>IF(B30=0,0,IF(db!$D$6="Yes",(db!$B$6)*M30,0))</f>
        <v>0</v>
      </c>
      <c r="P30" s="29">
        <f>MIN(IF(O30&lt;=db!$L$2,O30,db!$L$2),MAX_ACC_CAPITAL)</f>
        <v>0</v>
      </c>
      <c r="Q30" s="17">
        <f>IF(B30=0,0,IF(db!$D$7="Yes",(db!$B$7)*M30,0))</f>
        <v>0</v>
      </c>
      <c r="R30" s="42">
        <f>IF(C30&gt;69,0,IF(C30=0,0,IF(Q30&lt;=db!$L$3,Q30,db!$L$3)))</f>
        <v>0</v>
      </c>
      <c r="S30" s="29">
        <f>IF(B30=0,0,IF(db!$D$9="Yes",(db!$B$9)*M30,0))</f>
        <v>0</v>
      </c>
      <c r="T30" s="29">
        <f>ROUND(IF(C30&gt;69,0,IF(C30=0,0,IF(S30&lt;=db!$L$4,S30,db!$L$4))),0)</f>
        <v>0</v>
      </c>
      <c r="U30" s="38">
        <v>0</v>
      </c>
      <c r="V30" s="17">
        <v>0</v>
      </c>
      <c r="W30" s="29">
        <v>0</v>
      </c>
      <c r="X30" s="17">
        <f>IF(B30=0,0,IF(db!$D$11="Yes",(db!$B$11)*M30,0))</f>
        <v>0</v>
      </c>
      <c r="Y30" s="42">
        <f>ROUND(IF(C30&gt;59,0,IF(C30=0,0,IF(X30&lt;=db!$L$5,X30,db!$L$5))),0)</f>
        <v>0</v>
      </c>
      <c r="Z30" s="29">
        <f>IF(B30=0,0,IF(db!$D$12="Yes",(db!$B$12)*M30,0))</f>
        <v>0</v>
      </c>
      <c r="AA30" s="29">
        <f>ROUND(IF(C30&gt;59,0,IF(C30=0,0,IF(Z30&lt;=db!$L$6,Z30,db!$L$6))),0)</f>
        <v>0</v>
      </c>
      <c r="AB30" s="32"/>
      <c r="AC30" s="18">
        <f>IF(B30=0,0,IF(C30&lt;(db!$E$2+5),LOOKUP(C30,'Mortality Table'!$A$2:$A$108,'Mortality Table'!$P$2:$P$108),IF((C30&gt;=db!$E$2+10),LOOKUP(C30,'Mortality Table'!$A$2:$A$108,'Mortality Table'!$R$2:$R$108),LOOKUP(C30,'Mortality Table'!$A$2:$A$108,'Mortality Table'!$Q$2:$Q$108))))</f>
        <v>0</v>
      </c>
      <c r="AD30" s="22">
        <f t="shared" si="1"/>
        <v>0</v>
      </c>
      <c r="AE30" s="19">
        <f>IF(B30=0,0,LOOKUP(db!$A$8,db!$AX$4:$AX$8,db!$AY$4:$AY$8))</f>
        <v>0</v>
      </c>
      <c r="AF30" s="20">
        <f>ROUND((AE30/1000)*P30 * (1-db!$AS$9),0)</f>
        <v>0</v>
      </c>
      <c r="AG30" s="20">
        <f>(AE30/1000)*P30 * db!$AS$9</f>
        <v>0</v>
      </c>
      <c r="AH30" s="21">
        <f>IF(B30=0,0,LOOKUP(db!$A$8,db!$AX$4:$AX$8,db!$AZ$4:$AZ$8))</f>
        <v>0</v>
      </c>
      <c r="AI30" s="22">
        <f>(AH30/1000)*R30*(1-db!$AS$9)</f>
        <v>0</v>
      </c>
      <c r="AJ30" s="22">
        <f>(AH30/1000)*R30*(db!$AS$9)</f>
        <v>0</v>
      </c>
      <c r="AK30" s="23">
        <f>IF(B30=0,0,LOOKUP(db!$A$8,db!$AX$4:$AX$8,db!$BA$4:$BA$8))</f>
        <v>0</v>
      </c>
      <c r="AL30" s="20">
        <f>ROUND((AK30/(100))*T30*(1-db!$AS$9),0)</f>
        <v>0</v>
      </c>
      <c r="AM30" s="20">
        <f>ROUND((AK30/(100))*T30*(db!$AS$9),0)</f>
        <v>0</v>
      </c>
      <c r="AN30" s="21">
        <f>IF(db!$D$8="Yes",AH30,0)</f>
        <v>0</v>
      </c>
      <c r="AO30" s="22">
        <f>(AN30*V30)/1000*(1-db!$AS$9)</f>
        <v>0</v>
      </c>
      <c r="AP30" s="22">
        <f>(AN30*V30)/1000*(db!$AS$9)</f>
        <v>0</v>
      </c>
      <c r="AQ30" s="23">
        <f>IF(db!$D$10="Yes",AH30,0)</f>
        <v>0</v>
      </c>
      <c r="AR30" s="20">
        <f>(AQ30*W30/1000)*(1-db!$AS$9)</f>
        <v>0</v>
      </c>
      <c r="AS30" s="20">
        <f>(AQ30*W30/1000)*(db!$AS$9)</f>
        <v>0</v>
      </c>
      <c r="AT30" s="22">
        <f>IF(B30=0,0,IF(C30&gt;60,0,LOOKUP(LOOKUP(C30,RiskLoading!A$3:A$109,RiskLoading!DG$3:DG$109),db!$BC$3:$BC$63,db!$BD$3:$BD$63)))</f>
        <v>0</v>
      </c>
      <c r="AU30" s="22">
        <f>AV30*db!$AS$10</f>
        <v>0</v>
      </c>
      <c r="AV30" s="22">
        <f t="shared" si="2"/>
        <v>0</v>
      </c>
      <c r="AW30" s="22">
        <f>(AT30/1000000)*Y30*(1-db!$AS$10)</f>
        <v>0</v>
      </c>
      <c r="AX30" s="20">
        <f>IF(B30=0,0,IF(C30&gt;60,0,LOOKUP(LOOKUP(C30,RiskLoading!A$3:A$109,RiskLoading!DG$3:DG$109),db!$BC$3:$BC$63,db!$BE$3:$BE$63)))</f>
        <v>0</v>
      </c>
      <c r="AY30" s="20">
        <f>(AX30/1000000)*AA30*(1-db!$AS$11)</f>
        <v>0</v>
      </c>
      <c r="AZ30" s="20">
        <f>(AX30/1000000)*AA30*(db!$AS$11)</f>
        <v>0</v>
      </c>
      <c r="BA30" s="19">
        <f>IF(Table13[Year]=0,0,LOOKUP(Table13[Age],RiskLoading!A$3:A$109,RiskLoading!DT$3:DT$109))</f>
        <v>0</v>
      </c>
      <c r="BB30" s="20">
        <f>Table13[[#This Row],[RiskLoading
Rate]]*Table13[[#This Row],[Death Capital (2)]]</f>
        <v>0</v>
      </c>
      <c r="BC30" s="36"/>
      <c r="BD30" s="37">
        <f t="shared" si="3"/>
        <v>0</v>
      </c>
      <c r="BE30" s="35">
        <f t="shared" si="4"/>
        <v>0</v>
      </c>
      <c r="BF30" s="35">
        <f t="shared" si="5"/>
        <v>0</v>
      </c>
      <c r="BG30" s="37">
        <f t="shared" si="6"/>
        <v>0</v>
      </c>
      <c r="BH30" s="37">
        <f t="shared" si="7"/>
        <v>0</v>
      </c>
      <c r="BI30" s="35">
        <f t="shared" si="12"/>
        <v>0</v>
      </c>
      <c r="BJ30" s="35">
        <f t="shared" si="13"/>
        <v>0</v>
      </c>
      <c r="BK30" s="37">
        <v>0</v>
      </c>
      <c r="BL30" s="37">
        <v>0</v>
      </c>
      <c r="BM30" s="35"/>
      <c r="BN30" s="37">
        <f>0</f>
        <v>0</v>
      </c>
      <c r="BO30" s="37"/>
      <c r="BP30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30" s="33"/>
      <c r="BR30" s="39">
        <f>Table13[[#This Row],[Initial Reserve]]-Table13[[#This Row],[All Deductions]]</f>
        <v>0</v>
      </c>
      <c r="BS30" s="39">
        <v>0</v>
      </c>
      <c r="BT30" s="39">
        <f>IF(B30=0,0,BU29-Table13[[#This Row],[All Deductions]])</f>
        <v>0</v>
      </c>
      <c r="BU30" s="40">
        <f>ROUND(IF(B30=0,0,((BR30+BU29)*(1+db!U32))),0)</f>
        <v>0</v>
      </c>
      <c r="BV30" s="40">
        <f t="shared" si="17"/>
        <v>0</v>
      </c>
      <c r="BW30" s="15">
        <f t="shared" si="14"/>
        <v>29</v>
      </c>
      <c r="BX30" s="39">
        <f>IF(B30=0,0,((BR30)*(1+db!AH32))+((BX29)*(1+db!AD32)))</f>
        <v>0</v>
      </c>
      <c r="BY30" s="39">
        <f>IF(B30=0,0,((BR30)*(1+db!AH32))+((BY29)*(1+db!AD32)))</f>
        <v>0</v>
      </c>
      <c r="BZ30" s="40">
        <f>IF(B30=0,0,((BR30)*(1+db!AO32))+((BZ29)*(1+db!AK32)))</f>
        <v>0</v>
      </c>
      <c r="CA30" s="40">
        <f>BZ30-(SUM(BM$7:$BM31))</f>
        <v>0</v>
      </c>
      <c r="CB30" s="46"/>
    </row>
    <row r="31" spans="1:80">
      <c r="A31" s="16">
        <f t="shared" si="15"/>
        <v>30</v>
      </c>
      <c r="B31" s="16">
        <f>IF(B30=0,0,IF(db!$E$5&lt;B30+1,0,B30+1))</f>
        <v>0</v>
      </c>
      <c r="C31" s="15">
        <f t="shared" si="16"/>
        <v>0</v>
      </c>
      <c r="D31" s="312">
        <f>LOOKUP(Table13[[#This Row],[Age]],RiskLoading!A$3:A$109,RiskLoading!DG$3:DG$109)</f>
        <v>55</v>
      </c>
      <c r="E31" s="29">
        <f t="shared" si="8"/>
        <v>0</v>
      </c>
      <c r="F31" s="29">
        <f t="shared" si="9"/>
        <v>0</v>
      </c>
      <c r="G31" s="29">
        <f t="shared" si="0"/>
        <v>0</v>
      </c>
      <c r="H31" s="29">
        <v>0</v>
      </c>
      <c r="I31" s="29">
        <f>IF(B31=0,0,SUM($H$2:H31))</f>
        <v>0</v>
      </c>
      <c r="J31" s="17">
        <f t="shared" si="10"/>
        <v>0</v>
      </c>
      <c r="K31" s="17">
        <f>IF(Table13[[#This Row],[Year]]=0,0,IF($C$2&lt;=50,LOOKUP(Table13[[#This Row],[Age]],db!BG32:BG138,db!BH32:BH138),LOOKUP(Table13[[#This Row],[Age]],db!BJ32:BJ138,db!BK32:BK138)))</f>
        <v>0</v>
      </c>
      <c r="L31" s="17">
        <f>MIN(IF(B31=0,0,db!$E$4*((1+db!$B$4)^(B31-1))),Table13[[#This Row],[Max Sum Insured For Death]])</f>
        <v>0</v>
      </c>
      <c r="M31" s="17">
        <f>ROUND(IF(L31&lt;=db!$L$7,L31,db!$L$7),0)</f>
        <v>0</v>
      </c>
      <c r="N31" s="29">
        <f t="shared" si="11"/>
        <v>0</v>
      </c>
      <c r="O31" s="29">
        <f>IF(B31=0,0,IF(db!$D$6="Yes",(db!$B$6)*M31,0))</f>
        <v>0</v>
      </c>
      <c r="P31" s="29">
        <f>MIN(IF(O31&lt;=db!$L$2,O31,db!$L$2),MAX_ACC_CAPITAL)</f>
        <v>0</v>
      </c>
      <c r="Q31" s="17">
        <f>IF(B31=0,0,IF(db!$D$7="Yes",(db!$B$7)*M31,0))</f>
        <v>0</v>
      </c>
      <c r="R31" s="42">
        <f>IF(C31&gt;69,0,IF(C31=0,0,IF(Q31&lt;=db!$L$3,Q31,db!$L$3)))</f>
        <v>0</v>
      </c>
      <c r="S31" s="29">
        <f>IF(B31=0,0,IF(db!$D$9="Yes",(db!$B$9)*M31,0))</f>
        <v>0</v>
      </c>
      <c r="T31" s="29">
        <f>ROUND(IF(C31&gt;69,0,IF(C31=0,0,IF(S31&lt;=db!$L$4,S31,db!$L$4))),0)</f>
        <v>0</v>
      </c>
      <c r="U31" s="38">
        <v>0</v>
      </c>
      <c r="V31" s="17">
        <v>0</v>
      </c>
      <c r="W31" s="29">
        <v>0</v>
      </c>
      <c r="X31" s="17">
        <f>IF(B31=0,0,IF(db!$D$11="Yes",(db!$B$11)*M31,0))</f>
        <v>0</v>
      </c>
      <c r="Y31" s="42">
        <f>ROUND(IF(C31&gt;59,0,IF(C31=0,0,IF(X31&lt;=db!$L$5,X31,db!$L$5))),0)</f>
        <v>0</v>
      </c>
      <c r="Z31" s="29">
        <f>IF(B31=0,0,IF(db!$D$12="Yes",(db!$B$12)*M31,0))</f>
        <v>0</v>
      </c>
      <c r="AA31" s="29">
        <f>ROUND(IF(C31&gt;59,0,IF(C31=0,0,IF(Z31&lt;=db!$L$6,Z31,db!$L$6))),0)</f>
        <v>0</v>
      </c>
      <c r="AB31" s="32"/>
      <c r="AC31" s="18">
        <f>IF(B31=0,0,IF(C31&lt;(db!$E$2+5),LOOKUP(C31,'Mortality Table'!$A$2:$A$108,'Mortality Table'!$P$2:$P$108),IF((C31&gt;=db!$E$2+10),LOOKUP(C31,'Mortality Table'!$A$2:$A$108,'Mortality Table'!$R$2:$R$108),LOOKUP(C31,'Mortality Table'!$A$2:$A$108,'Mortality Table'!$Q$2:$Q$108))))</f>
        <v>0</v>
      </c>
      <c r="AD31" s="22">
        <f t="shared" si="1"/>
        <v>0</v>
      </c>
      <c r="AE31" s="19">
        <f>IF(B31=0,0,LOOKUP(db!$A$8,db!$AX$4:$AX$8,db!$AY$4:$AY$8))</f>
        <v>0</v>
      </c>
      <c r="AF31" s="20">
        <f>ROUND((AE31/1000)*P31 * (1-db!$AS$9),0)</f>
        <v>0</v>
      </c>
      <c r="AG31" s="20">
        <f>(AE31/1000)*P31 * db!$AS$9</f>
        <v>0</v>
      </c>
      <c r="AH31" s="21">
        <f>IF(B31=0,0,LOOKUP(db!$A$8,db!$AX$4:$AX$8,db!$AZ$4:$AZ$8))</f>
        <v>0</v>
      </c>
      <c r="AI31" s="22">
        <f>(AH31/1000)*R31*(1-db!$AS$9)</f>
        <v>0</v>
      </c>
      <c r="AJ31" s="22">
        <f>(AH31/1000)*R31*(db!$AS$9)</f>
        <v>0</v>
      </c>
      <c r="AK31" s="23">
        <f>IF(B31=0,0,LOOKUP(db!$A$8,db!$AX$4:$AX$8,db!$BA$4:$BA$8))</f>
        <v>0</v>
      </c>
      <c r="AL31" s="20">
        <f>ROUND((AK31/(100))*T31*(1-db!$AS$9),0)</f>
        <v>0</v>
      </c>
      <c r="AM31" s="20">
        <f>ROUND((AK31/(100))*T31*(db!$AS$9),0)</f>
        <v>0</v>
      </c>
      <c r="AN31" s="21">
        <f>IF(db!$D$8="Yes",AH31,0)</f>
        <v>0</v>
      </c>
      <c r="AO31" s="22">
        <f>(AN31*V31)/1000*(1-db!$AS$9)</f>
        <v>0</v>
      </c>
      <c r="AP31" s="22">
        <f>(AN31*V31)/1000*(db!$AS$9)</f>
        <v>0</v>
      </c>
      <c r="AQ31" s="23">
        <f>IF(db!$D$10="Yes",AH31,0)</f>
        <v>0</v>
      </c>
      <c r="AR31" s="20">
        <f>(AQ31*W31/1000)*(1-db!$AS$9)</f>
        <v>0</v>
      </c>
      <c r="AS31" s="20">
        <f>(AQ31*W31/1000)*(db!$AS$9)</f>
        <v>0</v>
      </c>
      <c r="AT31" s="22">
        <f>IF(B31=0,0,IF(C31&gt;60,0,LOOKUP(LOOKUP(C31,RiskLoading!A$3:A$109,RiskLoading!DG$3:DG$109),db!$BC$3:$BC$63,db!$BD$3:$BD$63)))</f>
        <v>0</v>
      </c>
      <c r="AU31" s="22">
        <f>AV31*db!$AS$10</f>
        <v>0</v>
      </c>
      <c r="AV31" s="22">
        <f t="shared" si="2"/>
        <v>0</v>
      </c>
      <c r="AW31" s="22">
        <f>(AT31/1000000)*Y31*(1-db!$AS$10)</f>
        <v>0</v>
      </c>
      <c r="AX31" s="20">
        <f>IF(B31=0,0,IF(C31&gt;60,0,LOOKUP(LOOKUP(C31,RiskLoading!A$3:A$109,RiskLoading!DG$3:DG$109),db!$BC$3:$BC$63,db!$BE$3:$BE$63)))</f>
        <v>0</v>
      </c>
      <c r="AY31" s="20">
        <f>(AX31/1000000)*AA31*(1-db!$AS$11)</f>
        <v>0</v>
      </c>
      <c r="AZ31" s="20">
        <f>(AX31/1000000)*AA31*(db!$AS$11)</f>
        <v>0</v>
      </c>
      <c r="BA31" s="19">
        <f>IF(Table13[Year]=0,0,LOOKUP(Table13[Age],RiskLoading!A$3:A$109,RiskLoading!DT$3:DT$109))</f>
        <v>0</v>
      </c>
      <c r="BB31" s="20">
        <f>Table13[[#This Row],[RiskLoading
Rate]]*Table13[[#This Row],[Death Capital (2)]]</f>
        <v>0</v>
      </c>
      <c r="BC31" s="36"/>
      <c r="BD31" s="37">
        <f t="shared" si="3"/>
        <v>0</v>
      </c>
      <c r="BE31" s="35">
        <f t="shared" si="4"/>
        <v>0</v>
      </c>
      <c r="BF31" s="35">
        <f t="shared" si="5"/>
        <v>0</v>
      </c>
      <c r="BG31" s="37">
        <f t="shared" si="6"/>
        <v>0</v>
      </c>
      <c r="BH31" s="37">
        <f t="shared" si="7"/>
        <v>0</v>
      </c>
      <c r="BI31" s="35">
        <f t="shared" si="12"/>
        <v>0</v>
      </c>
      <c r="BJ31" s="35">
        <f t="shared" si="13"/>
        <v>0</v>
      </c>
      <c r="BK31" s="37">
        <v>0</v>
      </c>
      <c r="BL31" s="37">
        <v>0</v>
      </c>
      <c r="BM31" s="35"/>
      <c r="BN31" s="37">
        <f>0</f>
        <v>0</v>
      </c>
      <c r="BO31" s="37"/>
      <c r="BP31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31" s="33"/>
      <c r="BR31" s="39">
        <f>Table13[[#This Row],[Initial Reserve]]-Table13[[#This Row],[All Deductions]]</f>
        <v>0</v>
      </c>
      <c r="BS31" s="39">
        <v>0</v>
      </c>
      <c r="BT31" s="39">
        <f>IF(B31=0,0,BU30-Table13[[#This Row],[All Deductions]])</f>
        <v>0</v>
      </c>
      <c r="BU31" s="40">
        <f>ROUND(IF(B31=0,0,((BR31+BU30)*(1+db!U33))),0)</f>
        <v>0</v>
      </c>
      <c r="BV31" s="40">
        <f t="shared" si="17"/>
        <v>0</v>
      </c>
      <c r="BW31" s="15">
        <f>1+BW30</f>
        <v>30</v>
      </c>
      <c r="BX31" s="39">
        <f>IF(B31=0,0,((BR31)*(1+db!AH33))+((BX30)*(1+db!AD33)))</f>
        <v>0</v>
      </c>
      <c r="BY31" s="39">
        <f>IF(B31=0,0,((BR31)*(1+db!AH33))+((BY30)*(1+db!AD33)))</f>
        <v>0</v>
      </c>
      <c r="BZ31" s="40">
        <f>IF(B31=0,0,((BR31)*(1+db!AO33))+((BZ30)*(1+db!AK33)))</f>
        <v>0</v>
      </c>
      <c r="CA31" s="40">
        <f>BZ31-(SUM(BM$7:$BM32))</f>
        <v>0</v>
      </c>
      <c r="CB31" s="46"/>
    </row>
    <row r="32" spans="1:80">
      <c r="A32" s="16">
        <f t="shared" si="15"/>
        <v>31</v>
      </c>
      <c r="B32" s="16">
        <f>IF(B31=0,0,IF(db!$E$5&lt;B31+1,0,B31+1))</f>
        <v>0</v>
      </c>
      <c r="C32" s="15">
        <f t="shared" si="16"/>
        <v>0</v>
      </c>
      <c r="D32" s="312">
        <f>LOOKUP(Table13[[#This Row],[Age]],RiskLoading!A$3:A$109,RiskLoading!DG$3:DG$109)</f>
        <v>55</v>
      </c>
      <c r="E32" s="29">
        <f t="shared" si="8"/>
        <v>0</v>
      </c>
      <c r="F32" s="29">
        <f t="shared" si="9"/>
        <v>0</v>
      </c>
      <c r="G32" s="29">
        <f t="shared" si="0"/>
        <v>0</v>
      </c>
      <c r="H32" s="29">
        <v>0</v>
      </c>
      <c r="I32" s="29">
        <f>IF(B32=0,0,SUM($H$2:H32))</f>
        <v>0</v>
      </c>
      <c r="J32" s="17">
        <f t="shared" si="10"/>
        <v>0</v>
      </c>
      <c r="K32" s="17">
        <f>IF(Table13[[#This Row],[Year]]=0,0,IF($C$2&lt;=50,LOOKUP(Table13[[#This Row],[Age]],db!BG33:BG139,db!BH33:BH139),LOOKUP(Table13[[#This Row],[Age]],db!BJ33:BJ139,db!BK33:BK139)))</f>
        <v>0</v>
      </c>
      <c r="L32" s="17">
        <f>MIN(IF(B32=0,0,db!$E$4*((1+db!$B$4)^(B32-1))),Table13[[#This Row],[Max Sum Insured For Death]])</f>
        <v>0</v>
      </c>
      <c r="M32" s="17">
        <f>ROUND(IF(L32&lt;=db!$L$7,L32,db!$L$7),0)</f>
        <v>0</v>
      </c>
      <c r="N32" s="29">
        <f t="shared" si="11"/>
        <v>0</v>
      </c>
      <c r="O32" s="29">
        <f>IF(B32=0,0,IF(db!$D$6="Yes",(db!$B$6)*M32,0))</f>
        <v>0</v>
      </c>
      <c r="P32" s="29">
        <f>MIN(IF(O32&lt;=db!$L$2,O32,db!$L$2),MAX_ACC_CAPITAL)</f>
        <v>0</v>
      </c>
      <c r="Q32" s="17">
        <f>IF(B32=0,0,IF(db!$D$7="Yes",(db!$B$7)*M32,0))</f>
        <v>0</v>
      </c>
      <c r="R32" s="42">
        <f>IF(C32&gt;69,0,IF(C32=0,0,IF(Q32&lt;=db!$L$3,Q32,db!$L$3)))</f>
        <v>0</v>
      </c>
      <c r="S32" s="29">
        <f>IF(B32=0,0,IF(db!$D$9="Yes",(db!$B$9)*M32,0))</f>
        <v>0</v>
      </c>
      <c r="T32" s="29">
        <f>ROUND(IF(C32&gt;69,0,IF(C32=0,0,IF(S32&lt;=db!$L$4,S32,db!$L$4))),0)</f>
        <v>0</v>
      </c>
      <c r="U32" s="38">
        <v>0</v>
      </c>
      <c r="V32" s="17">
        <v>0</v>
      </c>
      <c r="W32" s="29">
        <v>0</v>
      </c>
      <c r="X32" s="17">
        <f>IF(B32=0,0,IF(db!$D$11="Yes",(db!$B$11)*M32,0))</f>
        <v>0</v>
      </c>
      <c r="Y32" s="42">
        <f>ROUND(IF(C32&gt;59,0,IF(C32=0,0,IF(X32&lt;=db!$L$5,X32,db!$L$5))),0)</f>
        <v>0</v>
      </c>
      <c r="Z32" s="29">
        <f>IF(B32=0,0,IF(db!$D$12="Yes",(db!$B$12)*M32,0))</f>
        <v>0</v>
      </c>
      <c r="AA32" s="29">
        <f>ROUND(IF(C32&gt;59,0,IF(C32=0,0,IF(Z32&lt;=db!$L$6,Z32,db!$L$6))),0)</f>
        <v>0</v>
      </c>
      <c r="AB32" s="32"/>
      <c r="AC32" s="18">
        <f>IF(B32=0,0,IF(C32&lt;(db!$E$2+5),LOOKUP(C32,'Mortality Table'!$A$2:$A$108,'Mortality Table'!$P$2:$P$108),IF((C32&gt;=db!$E$2+10),LOOKUP(C32,'Mortality Table'!$A$2:$A$108,'Mortality Table'!$R$2:$R$108),LOOKUP(C32,'Mortality Table'!$A$2:$A$108,'Mortality Table'!$Q$2:$Q$108))))</f>
        <v>0</v>
      </c>
      <c r="AD32" s="22">
        <f t="shared" si="1"/>
        <v>0</v>
      </c>
      <c r="AE32" s="19">
        <f>IF(B32=0,0,LOOKUP(db!$A$8,db!$AX$4:$AX$8,db!$AY$4:$AY$8))</f>
        <v>0</v>
      </c>
      <c r="AF32" s="20">
        <f>ROUND((AE32/1000)*P32 * (1-db!$AS$9),0)</f>
        <v>0</v>
      </c>
      <c r="AG32" s="20">
        <f>(AE32/1000)*P32 * db!$AS$9</f>
        <v>0</v>
      </c>
      <c r="AH32" s="21">
        <f>IF(B32=0,0,LOOKUP(db!$A$8,db!$AX$4:$AX$8,db!$AZ$4:$AZ$8))</f>
        <v>0</v>
      </c>
      <c r="AI32" s="22">
        <f>(AH32/1000)*R32*(1-db!$AS$9)</f>
        <v>0</v>
      </c>
      <c r="AJ32" s="22">
        <f>(AH32/1000)*R32*(db!$AS$9)</f>
        <v>0</v>
      </c>
      <c r="AK32" s="23">
        <f>IF(B32=0,0,LOOKUP(db!$A$8,db!$AX$4:$AX$8,db!$BA$4:$BA$8))</f>
        <v>0</v>
      </c>
      <c r="AL32" s="20">
        <f>ROUND((AK32/(100))*T32*(1-db!$AS$9),0)</f>
        <v>0</v>
      </c>
      <c r="AM32" s="20">
        <f>ROUND((AK32/(100))*T32*(db!$AS$9),0)</f>
        <v>0</v>
      </c>
      <c r="AN32" s="21">
        <f>IF(db!$D$8="Yes",AH32,0)</f>
        <v>0</v>
      </c>
      <c r="AO32" s="22">
        <f>(AN32*V32)/1000*(1-db!$AS$9)</f>
        <v>0</v>
      </c>
      <c r="AP32" s="22">
        <f>(AN32*V32)/1000*(db!$AS$9)</f>
        <v>0</v>
      </c>
      <c r="AQ32" s="23">
        <f>IF(db!$D$10="Yes",AH32,0)</f>
        <v>0</v>
      </c>
      <c r="AR32" s="20">
        <f>(AQ32*W32/1000)*(1-db!$AS$9)</f>
        <v>0</v>
      </c>
      <c r="AS32" s="20">
        <f>(AQ32*W32/1000)*(db!$AS$9)</f>
        <v>0</v>
      </c>
      <c r="AT32" s="22">
        <f>IF(B32=0,0,IF(C32&gt;60,0,LOOKUP(LOOKUP(C32,RiskLoading!A$3:A$109,RiskLoading!DG$3:DG$109),db!$BC$3:$BC$63,db!$BD$3:$BD$63)))</f>
        <v>0</v>
      </c>
      <c r="AU32" s="22">
        <f>AV32*db!$AS$10</f>
        <v>0</v>
      </c>
      <c r="AV32" s="22">
        <f t="shared" si="2"/>
        <v>0</v>
      </c>
      <c r="AW32" s="22">
        <f>(AT32/1000000)*Y32*(1-db!$AS$10)</f>
        <v>0</v>
      </c>
      <c r="AX32" s="20">
        <f>IF(B32=0,0,IF(C32&gt;60,0,LOOKUP(LOOKUP(C32,RiskLoading!A$3:A$109,RiskLoading!DG$3:DG$109),db!$BC$3:$BC$63,db!$BE$3:$BE$63)))</f>
        <v>0</v>
      </c>
      <c r="AY32" s="20">
        <f>(AX32/1000000)*AA32*(1-db!$AS$11)</f>
        <v>0</v>
      </c>
      <c r="AZ32" s="20">
        <f>(AX32/1000000)*AA32*(db!$AS$11)</f>
        <v>0</v>
      </c>
      <c r="BA32" s="19">
        <f>IF(Table13[Year]=0,0,LOOKUP(Table13[Age],RiskLoading!A$3:A$109,RiskLoading!DT$3:DT$109))</f>
        <v>0</v>
      </c>
      <c r="BB32" s="20">
        <f>Table13[[#This Row],[RiskLoading
Rate]]*Table13[[#This Row],[Death Capital (2)]]</f>
        <v>0</v>
      </c>
      <c r="BC32" s="36"/>
      <c r="BD32" s="37">
        <f t="shared" si="3"/>
        <v>0</v>
      </c>
      <c r="BE32" s="35">
        <f t="shared" si="4"/>
        <v>0</v>
      </c>
      <c r="BF32" s="35">
        <f t="shared" si="5"/>
        <v>0</v>
      </c>
      <c r="BG32" s="37">
        <f t="shared" si="6"/>
        <v>0</v>
      </c>
      <c r="BH32" s="37">
        <f t="shared" si="7"/>
        <v>0</v>
      </c>
      <c r="BI32" s="35">
        <f t="shared" si="12"/>
        <v>0</v>
      </c>
      <c r="BJ32" s="35">
        <f t="shared" si="13"/>
        <v>0</v>
      </c>
      <c r="BK32" s="37">
        <v>0</v>
      </c>
      <c r="BL32" s="37">
        <v>0</v>
      </c>
      <c r="BM32" s="35"/>
      <c r="BN32" s="37">
        <f>0</f>
        <v>0</v>
      </c>
      <c r="BO32" s="37"/>
      <c r="BP32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32" s="33"/>
      <c r="BR32" s="39">
        <f>Table13[[#This Row],[Initial Reserve]]-Table13[[#This Row],[All Deductions]]</f>
        <v>0</v>
      </c>
      <c r="BS32" s="39">
        <v>0</v>
      </c>
      <c r="BT32" s="39">
        <f>IF(B32=0,0,BU31-Table13[[#This Row],[All Deductions]])</f>
        <v>0</v>
      </c>
      <c r="BU32" s="40">
        <f>ROUND(IF(B32=0,0,((BR32+BU31)*(1+db!U34))),0)</f>
        <v>0</v>
      </c>
      <c r="BV32" s="40">
        <f t="shared" si="17"/>
        <v>0</v>
      </c>
      <c r="BW32" s="15">
        <f t="shared" si="14"/>
        <v>31</v>
      </c>
      <c r="BX32" s="39">
        <f>IF(B32=0,0,((BR32)*(1+db!AH34))+((BX31)*(1+db!AD34)))</f>
        <v>0</v>
      </c>
      <c r="BY32" s="39">
        <f>IF(B32=0,0,((BR32)*(1+db!AH34))+((BY31)*(1+db!AD34)))</f>
        <v>0</v>
      </c>
      <c r="BZ32" s="40">
        <f>IF(B32=0,0,((BR32)*(1+db!AO34))+((BZ31)*(1+db!AK34)))</f>
        <v>0</v>
      </c>
      <c r="CA32" s="40">
        <f>BZ32-(SUM(BM$7:$BM33))</f>
        <v>0</v>
      </c>
      <c r="CB32" s="46"/>
    </row>
    <row r="33" spans="1:80">
      <c r="A33" s="16">
        <f t="shared" si="15"/>
        <v>32</v>
      </c>
      <c r="B33" s="16">
        <f>IF(B32=0,0,IF(db!$E$5&lt;B32+1,0,B32+1))</f>
        <v>0</v>
      </c>
      <c r="C33" s="15">
        <f t="shared" si="16"/>
        <v>0</v>
      </c>
      <c r="D33" s="312">
        <f>LOOKUP(Table13[[#This Row],[Age]],RiskLoading!A$3:A$109,RiskLoading!DG$3:DG$109)</f>
        <v>55</v>
      </c>
      <c r="E33" s="29">
        <f t="shared" si="8"/>
        <v>0</v>
      </c>
      <c r="F33" s="29">
        <f t="shared" si="9"/>
        <v>0</v>
      </c>
      <c r="G33" s="29">
        <f t="shared" si="0"/>
        <v>0</v>
      </c>
      <c r="H33" s="29">
        <v>0</v>
      </c>
      <c r="I33" s="29">
        <f>IF(B33=0,0,SUM($H$2:H33))</f>
        <v>0</v>
      </c>
      <c r="J33" s="17">
        <f t="shared" si="10"/>
        <v>0</v>
      </c>
      <c r="K33" s="17">
        <f>IF(Table13[[#This Row],[Year]]=0,0,IF($C$2&lt;=50,LOOKUP(Table13[[#This Row],[Age]],db!BG34:BG140,db!BH34:BH140),LOOKUP(Table13[[#This Row],[Age]],db!BJ34:BJ140,db!BK34:BK140)))</f>
        <v>0</v>
      </c>
      <c r="L33" s="17">
        <f>MIN(IF(B33=0,0,db!$E$4*((1+db!$B$4)^(B33-1))),Table13[[#This Row],[Max Sum Insured For Death]])</f>
        <v>0</v>
      </c>
      <c r="M33" s="17">
        <f>ROUND(IF(L33&lt;=db!$L$7,L33,db!$L$7),0)</f>
        <v>0</v>
      </c>
      <c r="N33" s="29">
        <f t="shared" si="11"/>
        <v>0</v>
      </c>
      <c r="O33" s="29">
        <f>IF(B33=0,0,IF(db!$D$6="Yes",(db!$B$6)*M33,0))</f>
        <v>0</v>
      </c>
      <c r="P33" s="29">
        <f>MIN(IF(O33&lt;=db!$L$2,O33,db!$L$2),MAX_ACC_CAPITAL)</f>
        <v>0</v>
      </c>
      <c r="Q33" s="17">
        <f>IF(B33=0,0,IF(db!$D$7="Yes",(db!$B$7)*M33,0))</f>
        <v>0</v>
      </c>
      <c r="R33" s="42">
        <f>IF(C33&gt;69,0,IF(C33=0,0,IF(Q33&lt;=db!$L$3,Q33,db!$L$3)))</f>
        <v>0</v>
      </c>
      <c r="S33" s="29">
        <f>IF(B33=0,0,IF(db!$D$9="Yes",(db!$B$9)*M33,0))</f>
        <v>0</v>
      </c>
      <c r="T33" s="29">
        <f>ROUND(IF(C33&gt;69,0,IF(C33=0,0,IF(S33&lt;=db!$L$4,S33,db!$L$4))),0)</f>
        <v>0</v>
      </c>
      <c r="U33" s="38">
        <v>0</v>
      </c>
      <c r="V33" s="17">
        <v>0</v>
      </c>
      <c r="W33" s="29">
        <v>0</v>
      </c>
      <c r="X33" s="17">
        <f>IF(B33=0,0,IF(db!$D$11="Yes",(db!$B$11)*M33,0))</f>
        <v>0</v>
      </c>
      <c r="Y33" s="42">
        <f>ROUND(IF(C33&gt;59,0,IF(C33=0,0,IF(X33&lt;=db!$L$5,X33,db!$L$5))),0)</f>
        <v>0</v>
      </c>
      <c r="Z33" s="29">
        <f>IF(B33=0,0,IF(db!$D$12="Yes",(db!$B$12)*M33,0))</f>
        <v>0</v>
      </c>
      <c r="AA33" s="29">
        <f>ROUND(IF(C33&gt;59,0,IF(C33=0,0,IF(Z33&lt;=db!$L$6,Z33,db!$L$6))),0)</f>
        <v>0</v>
      </c>
      <c r="AB33" s="32"/>
      <c r="AC33" s="18">
        <f>IF(B33=0,0,IF(C33&lt;(db!$E$2+5),LOOKUP(C33,'Mortality Table'!$A$2:$A$108,'Mortality Table'!$P$2:$P$108),IF((C33&gt;=db!$E$2+10),LOOKUP(C33,'Mortality Table'!$A$2:$A$108,'Mortality Table'!$R$2:$R$108),LOOKUP(C33,'Mortality Table'!$A$2:$A$108,'Mortality Table'!$Q$2:$Q$108))))</f>
        <v>0</v>
      </c>
      <c r="AD33" s="22">
        <f t="shared" si="1"/>
        <v>0</v>
      </c>
      <c r="AE33" s="19">
        <f>IF(B33=0,0,LOOKUP(db!$A$8,db!$AX$4:$AX$8,db!$AY$4:$AY$8))</f>
        <v>0</v>
      </c>
      <c r="AF33" s="20">
        <f>ROUND((AE33/1000)*P33 * (1-db!$AS$9),0)</f>
        <v>0</v>
      </c>
      <c r="AG33" s="20">
        <f>(AE33/1000)*P33 * db!$AS$9</f>
        <v>0</v>
      </c>
      <c r="AH33" s="21">
        <f>IF(B33=0,0,LOOKUP(db!$A$8,db!$AX$4:$AX$8,db!$AZ$4:$AZ$8))</f>
        <v>0</v>
      </c>
      <c r="AI33" s="22">
        <f>(AH33/1000)*R33*(1-db!$AS$9)</f>
        <v>0</v>
      </c>
      <c r="AJ33" s="22">
        <f>(AH33/1000)*R33*(db!$AS$9)</f>
        <v>0</v>
      </c>
      <c r="AK33" s="23">
        <f>IF(B33=0,0,LOOKUP(db!$A$8,db!$AX$4:$AX$8,db!$BA$4:$BA$8))</f>
        <v>0</v>
      </c>
      <c r="AL33" s="20">
        <f>ROUND((AK33/(100))*T33*(1-db!$AS$9),0)</f>
        <v>0</v>
      </c>
      <c r="AM33" s="20">
        <f>ROUND((AK33/(100))*T33*(db!$AS$9),0)</f>
        <v>0</v>
      </c>
      <c r="AN33" s="21">
        <f>IF(db!$D$8="Yes",AH33,0)</f>
        <v>0</v>
      </c>
      <c r="AO33" s="22">
        <f>(AN33*V33)/1000*(1-db!$AS$9)</f>
        <v>0</v>
      </c>
      <c r="AP33" s="22">
        <f>(AN33*V33)/1000*(db!$AS$9)</f>
        <v>0</v>
      </c>
      <c r="AQ33" s="23">
        <f>IF(db!$D$10="Yes",AH33,0)</f>
        <v>0</v>
      </c>
      <c r="AR33" s="20">
        <f>(AQ33*W33/1000)*(1-db!$AS$9)</f>
        <v>0</v>
      </c>
      <c r="AS33" s="20">
        <f>(AQ33*W33/1000)*(db!$AS$9)</f>
        <v>0</v>
      </c>
      <c r="AT33" s="22">
        <f>IF(B33=0,0,IF(C33&gt;60,0,LOOKUP(LOOKUP(C33,RiskLoading!A$3:A$109,RiskLoading!DG$3:DG$109),db!$BC$3:$BC$63,db!$BD$3:$BD$63)))</f>
        <v>0</v>
      </c>
      <c r="AU33" s="22">
        <f>AV33*db!$AS$10</f>
        <v>0</v>
      </c>
      <c r="AV33" s="22">
        <f t="shared" si="2"/>
        <v>0</v>
      </c>
      <c r="AW33" s="22">
        <f>(AT33/1000000)*Y33*(1-db!$AS$10)</f>
        <v>0</v>
      </c>
      <c r="AX33" s="20">
        <f>IF(B33=0,0,IF(C33&gt;60,0,LOOKUP(LOOKUP(C33,RiskLoading!A$3:A$109,RiskLoading!DG$3:DG$109),db!$BC$3:$BC$63,db!$BE$3:$BE$63)))</f>
        <v>0</v>
      </c>
      <c r="AY33" s="20">
        <f>(AX33/1000000)*AA33*(1-db!$AS$11)</f>
        <v>0</v>
      </c>
      <c r="AZ33" s="20">
        <f>(AX33/1000000)*AA33*(db!$AS$11)</f>
        <v>0</v>
      </c>
      <c r="BA33" s="19">
        <f>IF(Table13[Year]=0,0,LOOKUP(Table13[Age],RiskLoading!A$3:A$109,RiskLoading!DT$3:DT$109))</f>
        <v>0</v>
      </c>
      <c r="BB33" s="20">
        <f>Table13[[#This Row],[RiskLoading
Rate]]*Table13[[#This Row],[Death Capital (2)]]</f>
        <v>0</v>
      </c>
      <c r="BC33" s="36"/>
      <c r="BD33" s="37">
        <f t="shared" si="3"/>
        <v>0</v>
      </c>
      <c r="BE33" s="35">
        <f t="shared" si="4"/>
        <v>0</v>
      </c>
      <c r="BF33" s="35">
        <f t="shared" si="5"/>
        <v>0</v>
      </c>
      <c r="BG33" s="37">
        <f t="shared" si="6"/>
        <v>0</v>
      </c>
      <c r="BH33" s="37">
        <f t="shared" si="7"/>
        <v>0</v>
      </c>
      <c r="BI33" s="35">
        <f t="shared" si="12"/>
        <v>0</v>
      </c>
      <c r="BJ33" s="35">
        <f t="shared" si="13"/>
        <v>0</v>
      </c>
      <c r="BK33" s="37">
        <v>0</v>
      </c>
      <c r="BL33" s="37">
        <v>0</v>
      </c>
      <c r="BM33" s="35"/>
      <c r="BN33" s="37">
        <f>0</f>
        <v>0</v>
      </c>
      <c r="BO33" s="37"/>
      <c r="BP33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33" s="33"/>
      <c r="BR33" s="39">
        <f>Table13[[#This Row],[Initial Reserve]]-Table13[[#This Row],[All Deductions]]</f>
        <v>0</v>
      </c>
      <c r="BS33" s="39">
        <v>0</v>
      </c>
      <c r="BT33" s="39">
        <f>IF(B33=0,0,BU32-Table13[[#This Row],[All Deductions]])</f>
        <v>0</v>
      </c>
      <c r="BU33" s="40">
        <f>ROUND(IF(B33=0,0,((BR33+BU32)*(1+db!U35))),0)</f>
        <v>0</v>
      </c>
      <c r="BV33" s="40">
        <f t="shared" si="17"/>
        <v>0</v>
      </c>
      <c r="BW33" s="15">
        <f t="shared" si="14"/>
        <v>32</v>
      </c>
      <c r="BX33" s="39">
        <f>IF(B33=0,0,((BR33)*(1+db!AH35))+((BX32)*(1+db!AD35)))</f>
        <v>0</v>
      </c>
      <c r="BY33" s="39">
        <f>IF(B33=0,0,((BR33)*(1+db!AH35))+((BY32)*(1+db!AD35)))</f>
        <v>0</v>
      </c>
      <c r="BZ33" s="40">
        <f>IF(B33=0,0,((BR33)*(1+db!AO35))+((BZ32)*(1+db!AK35)))</f>
        <v>0</v>
      </c>
      <c r="CA33" s="40">
        <f>BZ33-(SUM(BM$7:$BM34))</f>
        <v>0</v>
      </c>
      <c r="CB33" s="46"/>
    </row>
    <row r="34" spans="1:80">
      <c r="A34" s="16">
        <f t="shared" si="15"/>
        <v>33</v>
      </c>
      <c r="B34" s="16">
        <f>IF(B33=0,0,IF(db!$E$5&lt;B33+1,0,B33+1))</f>
        <v>0</v>
      </c>
      <c r="C34" s="15">
        <f t="shared" si="16"/>
        <v>0</v>
      </c>
      <c r="D34" s="312">
        <f>LOOKUP(Table13[[#This Row],[Age]],RiskLoading!A$3:A$109,RiskLoading!DG$3:DG$109)</f>
        <v>55</v>
      </c>
      <c r="E34" s="29">
        <f t="shared" si="8"/>
        <v>0</v>
      </c>
      <c r="F34" s="29">
        <f t="shared" si="9"/>
        <v>0</v>
      </c>
      <c r="G34" s="29">
        <f t="shared" si="0"/>
        <v>0</v>
      </c>
      <c r="H34" s="29">
        <v>0</v>
      </c>
      <c r="I34" s="29">
        <f>IF(B34=0,0,SUM($H$2:H34))</f>
        <v>0</v>
      </c>
      <c r="J34" s="17">
        <f t="shared" si="10"/>
        <v>0</v>
      </c>
      <c r="K34" s="17">
        <f>IF(Table13[[#This Row],[Year]]=0,0,IF($C$2&lt;=50,LOOKUP(Table13[[#This Row],[Age]],db!BG35:BG141,db!BH35:BH141),LOOKUP(Table13[[#This Row],[Age]],db!BJ35:BJ141,db!BK35:BK141)))</f>
        <v>0</v>
      </c>
      <c r="L34" s="17">
        <f>MIN(IF(B34=0,0,db!$E$4*((1+db!$B$4)^(B34-1))),Table13[[#This Row],[Max Sum Insured For Death]])</f>
        <v>0</v>
      </c>
      <c r="M34" s="17">
        <f>ROUND(IF(L34&lt;=db!$L$7,L34,db!$L$7),0)</f>
        <v>0</v>
      </c>
      <c r="N34" s="29">
        <f t="shared" si="11"/>
        <v>0</v>
      </c>
      <c r="O34" s="29">
        <f>IF(B34=0,0,IF(db!$D$6="Yes",(db!$B$6)*M34,0))</f>
        <v>0</v>
      </c>
      <c r="P34" s="29">
        <f>MIN(IF(O34&lt;=db!$L$2,O34,db!$L$2),MAX_ACC_CAPITAL)</f>
        <v>0</v>
      </c>
      <c r="Q34" s="17">
        <f>IF(B34=0,0,IF(db!$D$7="Yes",(db!$B$7)*M34,0))</f>
        <v>0</v>
      </c>
      <c r="R34" s="42">
        <f>IF(C34&gt;69,0,IF(C34=0,0,IF(Q34&lt;=db!$L$3,Q34,db!$L$3)))</f>
        <v>0</v>
      </c>
      <c r="S34" s="29">
        <f>IF(B34=0,0,IF(db!$D$9="Yes",(db!$B$9)*M34,0))</f>
        <v>0</v>
      </c>
      <c r="T34" s="29">
        <f>ROUND(IF(C34&gt;69,0,IF(C34=0,0,IF(S34&lt;=db!$L$4,S34,db!$L$4))),0)</f>
        <v>0</v>
      </c>
      <c r="U34" s="38">
        <v>0</v>
      </c>
      <c r="V34" s="17">
        <v>0</v>
      </c>
      <c r="W34" s="29">
        <v>0</v>
      </c>
      <c r="X34" s="17">
        <f>IF(B34=0,0,IF(db!$D$11="Yes",(db!$B$11)*M34,0))</f>
        <v>0</v>
      </c>
      <c r="Y34" s="42">
        <f>ROUND(IF(C34&gt;59,0,IF(C34=0,0,IF(X34&lt;=db!$L$5,X34,db!$L$5))),0)</f>
        <v>0</v>
      </c>
      <c r="Z34" s="29">
        <f>IF(B34=0,0,IF(db!$D$12="Yes",(db!$B$12)*M34,0))</f>
        <v>0</v>
      </c>
      <c r="AA34" s="29">
        <f>ROUND(IF(C34&gt;59,0,IF(C34=0,0,IF(Z34&lt;=db!$L$6,Z34,db!$L$6))),0)</f>
        <v>0</v>
      </c>
      <c r="AB34" s="32"/>
      <c r="AC34" s="18">
        <f>IF(B34=0,0,IF(C34&lt;(db!$E$2+5),LOOKUP(C34,'Mortality Table'!$A$2:$A$108,'Mortality Table'!$P$2:$P$108),IF((C34&gt;=db!$E$2+10),LOOKUP(C34,'Mortality Table'!$A$2:$A$108,'Mortality Table'!$R$2:$R$108),LOOKUP(C34,'Mortality Table'!$A$2:$A$108,'Mortality Table'!$Q$2:$Q$108))))</f>
        <v>0</v>
      </c>
      <c r="AD34" s="22">
        <f t="shared" ref="AD34:AD65" si="18">ROUND(AC34*M34,0)</f>
        <v>0</v>
      </c>
      <c r="AE34" s="19">
        <f>IF(B34=0,0,LOOKUP(db!$A$8,db!$AX$4:$AX$8,db!$AY$4:$AY$8))</f>
        <v>0</v>
      </c>
      <c r="AF34" s="20">
        <f>ROUND((AE34/1000)*P34 * (1-db!$AS$9),0)</f>
        <v>0</v>
      </c>
      <c r="AG34" s="20">
        <f>(AE34/1000)*P34 * db!$AS$9</f>
        <v>0</v>
      </c>
      <c r="AH34" s="21">
        <f>IF(B34=0,0,LOOKUP(db!$A$8,db!$AX$4:$AX$8,db!$AZ$4:$AZ$8))</f>
        <v>0</v>
      </c>
      <c r="AI34" s="22">
        <f>(AH34/1000)*R34*(1-db!$AS$9)</f>
        <v>0</v>
      </c>
      <c r="AJ34" s="22">
        <f>(AH34/1000)*R34*(db!$AS$9)</f>
        <v>0</v>
      </c>
      <c r="AK34" s="23">
        <f>IF(B34=0,0,LOOKUP(db!$A$8,db!$AX$4:$AX$8,db!$BA$4:$BA$8))</f>
        <v>0</v>
      </c>
      <c r="AL34" s="20">
        <f>ROUND((AK34/(100))*T34*(1-db!$AS$9),0)</f>
        <v>0</v>
      </c>
      <c r="AM34" s="20">
        <f>ROUND((AK34/(100))*T34*(db!$AS$9),0)</f>
        <v>0</v>
      </c>
      <c r="AN34" s="21">
        <f>IF(db!$D$8="Yes",AH34,0)</f>
        <v>0</v>
      </c>
      <c r="AO34" s="22">
        <f>(AN34*V34)/1000*(1-db!$AS$9)</f>
        <v>0</v>
      </c>
      <c r="AP34" s="22">
        <f>(AN34*V34)/1000*(db!$AS$9)</f>
        <v>0</v>
      </c>
      <c r="AQ34" s="23">
        <f>IF(db!$D$10="Yes",AH34,0)</f>
        <v>0</v>
      </c>
      <c r="AR34" s="20">
        <f>(AQ34*W34/1000)*(1-db!$AS$9)</f>
        <v>0</v>
      </c>
      <c r="AS34" s="20">
        <f>(AQ34*W34/1000)*(db!$AS$9)</f>
        <v>0</v>
      </c>
      <c r="AT34" s="22">
        <f>IF(B34=0,0,IF(C34&gt;60,0,LOOKUP(LOOKUP(C34,RiskLoading!A$3:A$109,RiskLoading!DG$3:DG$109),db!$BC$3:$BC$63,db!$BD$3:$BD$63)))</f>
        <v>0</v>
      </c>
      <c r="AU34" s="22">
        <f>AV34*db!$AS$10</f>
        <v>0</v>
      </c>
      <c r="AV34" s="22">
        <f t="shared" ref="AV34:AV65" si="19">(AT34/1000000)*Y34</f>
        <v>0</v>
      </c>
      <c r="AW34" s="22">
        <f>(AT34/1000000)*Y34*(1-db!$AS$10)</f>
        <v>0</v>
      </c>
      <c r="AX34" s="20">
        <f>IF(B34=0,0,IF(C34&gt;60,0,LOOKUP(LOOKUP(C34,RiskLoading!A$3:A$109,RiskLoading!DG$3:DG$109),db!$BC$3:$BC$63,db!$BE$3:$BE$63)))</f>
        <v>0</v>
      </c>
      <c r="AY34" s="20">
        <f>(AX34/1000000)*AA34*(1-db!$AS$11)</f>
        <v>0</v>
      </c>
      <c r="AZ34" s="20">
        <f>(AX34/1000000)*AA34*(db!$AS$11)</f>
        <v>0</v>
      </c>
      <c r="BA34" s="19">
        <f>IF(Table13[Year]=0,0,LOOKUP(Table13[Age],RiskLoading!A$3:A$109,RiskLoading!DT$3:DT$109))</f>
        <v>0</v>
      </c>
      <c r="BB34" s="20">
        <f>Table13[[#This Row],[RiskLoading
Rate]]*Table13[[#This Row],[Death Capital (2)]]</f>
        <v>0</v>
      </c>
      <c r="BC34" s="36"/>
      <c r="BD34" s="37">
        <f t="shared" ref="BD34:BD65" si="20">AD34</f>
        <v>0</v>
      </c>
      <c r="BE34" s="35">
        <f t="shared" ref="BE34:BE65" si="21">(AR34+AO34+AL34+AI34+AF34)</f>
        <v>0</v>
      </c>
      <c r="BF34" s="35">
        <f t="shared" ref="BF34:BF65" si="22">AG34+AJ34+AM34+AP34+AS34</f>
        <v>0</v>
      </c>
      <c r="BG34" s="37">
        <f t="shared" ref="BG34:BG65" si="23">(AY34+AW34)</f>
        <v>0</v>
      </c>
      <c r="BH34" s="37">
        <f t="shared" ref="BH34:BH65" si="24">AU34+AZ34</f>
        <v>0</v>
      </c>
      <c r="BI34" s="35">
        <f t="shared" si="12"/>
        <v>0</v>
      </c>
      <c r="BJ34" s="35">
        <f t="shared" si="13"/>
        <v>0</v>
      </c>
      <c r="BK34" s="37">
        <v>0</v>
      </c>
      <c r="BL34" s="37">
        <v>0</v>
      </c>
      <c r="BM34" s="35"/>
      <c r="BN34" s="37">
        <f>0</f>
        <v>0</v>
      </c>
      <c r="BO34" s="37"/>
      <c r="BP34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34" s="33"/>
      <c r="BR34" s="39">
        <f>Table13[[#This Row],[Initial Reserve]]-Table13[[#This Row],[All Deductions]]</f>
        <v>0</v>
      </c>
      <c r="BS34" s="39">
        <v>0</v>
      </c>
      <c r="BT34" s="39">
        <f>IF(B34=0,0,BU33-Table13[[#This Row],[All Deductions]])</f>
        <v>0</v>
      </c>
      <c r="BU34" s="40">
        <f>ROUND(IF(B34=0,0,((BR34+BU33)*(1+db!U36))),0)</f>
        <v>0</v>
      </c>
      <c r="BV34" s="40">
        <f t="shared" si="17"/>
        <v>0</v>
      </c>
      <c r="BW34" s="15">
        <f t="shared" si="14"/>
        <v>33</v>
      </c>
      <c r="BX34" s="39">
        <f>IF(B34=0,0,((BR34)*(1+db!AH36))+((BX33)*(1+db!AD36)))</f>
        <v>0</v>
      </c>
      <c r="BY34" s="39">
        <f>IF(B34=0,0,((BR34)*(1+db!AH36))+((BY33)*(1+db!AD36)))</f>
        <v>0</v>
      </c>
      <c r="BZ34" s="40">
        <f>IF(B34=0,0,((BR34)*(1+db!AO36))+((BZ33)*(1+db!AK36)))</f>
        <v>0</v>
      </c>
      <c r="CA34" s="40">
        <f>BZ34-(SUM(BM$7:$BM35))</f>
        <v>0</v>
      </c>
      <c r="CB34" s="46"/>
    </row>
    <row r="35" spans="1:80">
      <c r="A35" s="16">
        <f t="shared" si="15"/>
        <v>34</v>
      </c>
      <c r="B35" s="16">
        <f>IF(B34=0,0,IF(db!$E$5&lt;B34+1,0,B34+1))</f>
        <v>0</v>
      </c>
      <c r="C35" s="15">
        <f t="shared" si="16"/>
        <v>0</v>
      </c>
      <c r="D35" s="312">
        <f>LOOKUP(Table13[[#This Row],[Age]],RiskLoading!A$3:A$109,RiskLoading!DG$3:DG$109)</f>
        <v>55</v>
      </c>
      <c r="E35" s="29">
        <f t="shared" si="8"/>
        <v>0</v>
      </c>
      <c r="F35" s="29">
        <f t="shared" si="9"/>
        <v>0</v>
      </c>
      <c r="G35" s="29">
        <f t="shared" si="0"/>
        <v>0</v>
      </c>
      <c r="H35" s="29">
        <v>0</v>
      </c>
      <c r="I35" s="29">
        <f>IF(B35=0,0,SUM($H$2:H35))</f>
        <v>0</v>
      </c>
      <c r="J35" s="17">
        <f t="shared" si="10"/>
        <v>0</v>
      </c>
      <c r="K35" s="17">
        <f>IF(Table13[[#This Row],[Year]]=0,0,IF($C$2&lt;=50,LOOKUP(Table13[[#This Row],[Age]],db!BG36:BG142,db!BH36:BH142),LOOKUP(Table13[[#This Row],[Age]],db!BJ36:BJ142,db!BK36:BK142)))</f>
        <v>0</v>
      </c>
      <c r="L35" s="17">
        <f>MIN(IF(B35=0,0,db!$E$4*((1+db!$B$4)^(B35-1))),Table13[[#This Row],[Max Sum Insured For Death]])</f>
        <v>0</v>
      </c>
      <c r="M35" s="17">
        <f>ROUND(IF(L35&lt;=db!$L$7,L35,db!$L$7),0)</f>
        <v>0</v>
      </c>
      <c r="N35" s="29">
        <f t="shared" si="11"/>
        <v>0</v>
      </c>
      <c r="O35" s="29">
        <f>IF(B35=0,0,IF(db!$D$6="Yes",(db!$B$6)*M35,0))</f>
        <v>0</v>
      </c>
      <c r="P35" s="29">
        <f>MIN(IF(O35&lt;=db!$L$2,O35,db!$L$2),MAX_ACC_CAPITAL)</f>
        <v>0</v>
      </c>
      <c r="Q35" s="17">
        <f>IF(B35=0,0,IF(db!$D$7="Yes",(db!$B$7)*M35,0))</f>
        <v>0</v>
      </c>
      <c r="R35" s="42">
        <f>IF(C35&gt;69,0,IF(C35=0,0,IF(Q35&lt;=db!$L$3,Q35,db!$L$3)))</f>
        <v>0</v>
      </c>
      <c r="S35" s="29">
        <f>IF(B35=0,0,IF(db!$D$9="Yes",(db!$B$9)*M35,0))</f>
        <v>0</v>
      </c>
      <c r="T35" s="29">
        <f>ROUND(IF(C35&gt;69,0,IF(C35=0,0,IF(S35&lt;=db!$L$4,S35,db!$L$4))),0)</f>
        <v>0</v>
      </c>
      <c r="U35" s="38">
        <v>0</v>
      </c>
      <c r="V35" s="17">
        <v>0</v>
      </c>
      <c r="W35" s="29">
        <v>0</v>
      </c>
      <c r="X35" s="17">
        <f>IF(B35=0,0,IF(db!$D$11="Yes",(db!$B$11)*M35,0))</f>
        <v>0</v>
      </c>
      <c r="Y35" s="42">
        <f>ROUND(IF(C35&gt;59,0,IF(C35=0,0,IF(X35&lt;=db!$L$5,X35,db!$L$5))),0)</f>
        <v>0</v>
      </c>
      <c r="Z35" s="29">
        <f>IF(B35=0,0,IF(db!$D$12="Yes",(db!$B$12)*M35,0))</f>
        <v>0</v>
      </c>
      <c r="AA35" s="29">
        <f>ROUND(IF(C35&gt;59,0,IF(C35=0,0,IF(Z35&lt;=db!$L$6,Z35,db!$L$6))),0)</f>
        <v>0</v>
      </c>
      <c r="AB35" s="32"/>
      <c r="AC35" s="18">
        <f>IF(B35=0,0,IF(C35&lt;(db!$E$2+5),LOOKUP(C35,'Mortality Table'!$A$2:$A$108,'Mortality Table'!$P$2:$P$108),IF((C35&gt;=db!$E$2+10),LOOKUP(C35,'Mortality Table'!$A$2:$A$108,'Mortality Table'!$R$2:$R$108),LOOKUP(C35,'Mortality Table'!$A$2:$A$108,'Mortality Table'!$Q$2:$Q$108))))</f>
        <v>0</v>
      </c>
      <c r="AD35" s="22">
        <f t="shared" si="18"/>
        <v>0</v>
      </c>
      <c r="AE35" s="19">
        <f>IF(B35=0,0,LOOKUP(db!$A$8,db!$AX$4:$AX$8,db!$AY$4:$AY$8))</f>
        <v>0</v>
      </c>
      <c r="AF35" s="20">
        <f>ROUND((AE35/1000)*P35 * (1-db!$AS$9),0)</f>
        <v>0</v>
      </c>
      <c r="AG35" s="20">
        <f>(AE35/1000)*P35 * db!$AS$9</f>
        <v>0</v>
      </c>
      <c r="AH35" s="21">
        <f>IF(B35=0,0,LOOKUP(db!$A$8,db!$AX$4:$AX$8,db!$AZ$4:$AZ$8))</f>
        <v>0</v>
      </c>
      <c r="AI35" s="22">
        <f>(AH35/1000)*R35*(1-db!$AS$9)</f>
        <v>0</v>
      </c>
      <c r="AJ35" s="22">
        <f>(AH35/1000)*R35*(db!$AS$9)</f>
        <v>0</v>
      </c>
      <c r="AK35" s="23">
        <f>IF(B35=0,0,LOOKUP(db!$A$8,db!$AX$4:$AX$8,db!$BA$4:$BA$8))</f>
        <v>0</v>
      </c>
      <c r="AL35" s="20">
        <f>ROUND((AK35/(100))*T35*(1-db!$AS$9),0)</f>
        <v>0</v>
      </c>
      <c r="AM35" s="20">
        <f>ROUND((AK35/(100))*T35*(db!$AS$9),0)</f>
        <v>0</v>
      </c>
      <c r="AN35" s="21">
        <f>IF(db!$D$8="Yes",AH35,0)</f>
        <v>0</v>
      </c>
      <c r="AO35" s="22">
        <f>(AN35*V35)/1000*(1-db!$AS$9)</f>
        <v>0</v>
      </c>
      <c r="AP35" s="22">
        <f>(AN35*V35)/1000*(db!$AS$9)</f>
        <v>0</v>
      </c>
      <c r="AQ35" s="23">
        <f>IF(db!$D$10="Yes",AH35,0)</f>
        <v>0</v>
      </c>
      <c r="AR35" s="20">
        <f>(AQ35*W35/1000)*(1-db!$AS$9)</f>
        <v>0</v>
      </c>
      <c r="AS35" s="20">
        <f>(AQ35*W35/1000)*(db!$AS$9)</f>
        <v>0</v>
      </c>
      <c r="AT35" s="22">
        <f>IF(B35=0,0,IF(C35&gt;60,0,LOOKUP(LOOKUP(C35,RiskLoading!A$3:A$109,RiskLoading!DG$3:DG$109),db!$BC$3:$BC$63,db!$BD$3:$BD$63)))</f>
        <v>0</v>
      </c>
      <c r="AU35" s="22">
        <f>AV35*db!$AS$10</f>
        <v>0</v>
      </c>
      <c r="AV35" s="22">
        <f t="shared" si="19"/>
        <v>0</v>
      </c>
      <c r="AW35" s="22">
        <f>(AT35/1000000)*Y35*(1-db!$AS$10)</f>
        <v>0</v>
      </c>
      <c r="AX35" s="20">
        <f>IF(B35=0,0,IF(C35&gt;60,0,LOOKUP(LOOKUP(C35,RiskLoading!A$3:A$109,RiskLoading!DG$3:DG$109),db!$BC$3:$BC$63,db!$BE$3:$BE$63)))</f>
        <v>0</v>
      </c>
      <c r="AY35" s="20">
        <f>(AX35/1000000)*AA35*(1-db!$AS$11)</f>
        <v>0</v>
      </c>
      <c r="AZ35" s="20">
        <f>(AX35/1000000)*AA35*(db!$AS$11)</f>
        <v>0</v>
      </c>
      <c r="BA35" s="19">
        <f>IF(Table13[Year]=0,0,LOOKUP(Table13[Age],RiskLoading!A$3:A$109,RiskLoading!DT$3:DT$109))</f>
        <v>0</v>
      </c>
      <c r="BB35" s="20">
        <f>Table13[[#This Row],[RiskLoading
Rate]]*Table13[[#This Row],[Death Capital (2)]]</f>
        <v>0</v>
      </c>
      <c r="BC35" s="36"/>
      <c r="BD35" s="37">
        <f t="shared" si="20"/>
        <v>0</v>
      </c>
      <c r="BE35" s="35">
        <f t="shared" si="21"/>
        <v>0</v>
      </c>
      <c r="BF35" s="35">
        <f t="shared" si="22"/>
        <v>0</v>
      </c>
      <c r="BG35" s="37">
        <f t="shared" si="23"/>
        <v>0</v>
      </c>
      <c r="BH35" s="37">
        <f t="shared" si="24"/>
        <v>0</v>
      </c>
      <c r="BI35" s="35">
        <f t="shared" si="12"/>
        <v>0</v>
      </c>
      <c r="BJ35" s="35">
        <f t="shared" si="13"/>
        <v>0</v>
      </c>
      <c r="BK35" s="37">
        <v>0</v>
      </c>
      <c r="BL35" s="37">
        <v>0</v>
      </c>
      <c r="BM35" s="35"/>
      <c r="BN35" s="37">
        <f>0</f>
        <v>0</v>
      </c>
      <c r="BO35" s="37"/>
      <c r="BP35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35" s="33"/>
      <c r="BR35" s="39">
        <f>Table13[[#This Row],[Initial Reserve]]-Table13[[#This Row],[All Deductions]]</f>
        <v>0</v>
      </c>
      <c r="BS35" s="39">
        <v>0</v>
      </c>
      <c r="BT35" s="39">
        <f>IF(B35=0,0,BU34-Table13[[#This Row],[All Deductions]])</f>
        <v>0</v>
      </c>
      <c r="BU35" s="40">
        <f>ROUND(IF(B35=0,0,((BR35+BU34)*(1+db!U37))),0)</f>
        <v>0</v>
      </c>
      <c r="BV35" s="40">
        <f t="shared" si="17"/>
        <v>0</v>
      </c>
      <c r="BW35" s="15">
        <f t="shared" si="14"/>
        <v>34</v>
      </c>
      <c r="BX35" s="39">
        <f>IF(B35=0,0,((BR35)*(1+db!AH37))+((BX34)*(1+db!AD37)))</f>
        <v>0</v>
      </c>
      <c r="BY35" s="39">
        <f>IF(B35=0,0,((BR35)*(1+db!AH37))+((BY34)*(1+db!AD37)))</f>
        <v>0</v>
      </c>
      <c r="BZ35" s="40">
        <f>IF(B35=0,0,((BR35)*(1+db!AO37))+((BZ34)*(1+db!AK37)))</f>
        <v>0</v>
      </c>
      <c r="CA35" s="40">
        <f>BZ35-(SUM(BM$7:$BM36))</f>
        <v>0</v>
      </c>
      <c r="CB35" s="46"/>
    </row>
    <row r="36" spans="1:80">
      <c r="A36" s="16">
        <f t="shared" si="15"/>
        <v>35</v>
      </c>
      <c r="B36" s="16">
        <f>IF(B35=0,0,IF(db!$E$5&lt;B35+1,0,B35+1))</f>
        <v>0</v>
      </c>
      <c r="C36" s="15">
        <f t="shared" si="16"/>
        <v>0</v>
      </c>
      <c r="D36" s="312">
        <f>LOOKUP(Table13[[#This Row],[Age]],RiskLoading!A$3:A$109,RiskLoading!DG$3:DG$109)</f>
        <v>55</v>
      </c>
      <c r="E36" s="29">
        <f t="shared" si="8"/>
        <v>0</v>
      </c>
      <c r="F36" s="29">
        <f t="shared" si="9"/>
        <v>0</v>
      </c>
      <c r="G36" s="29">
        <f t="shared" si="0"/>
        <v>0</v>
      </c>
      <c r="H36" s="29">
        <v>0</v>
      </c>
      <c r="I36" s="29">
        <f>IF(B36=0,0,SUM($H$2:H36))</f>
        <v>0</v>
      </c>
      <c r="J36" s="17">
        <f t="shared" si="10"/>
        <v>0</v>
      </c>
      <c r="K36" s="17">
        <f>IF(Table13[[#This Row],[Year]]=0,0,IF($C$2&lt;=50,LOOKUP(Table13[[#This Row],[Age]],db!BG37:BG143,db!BH37:BH143),LOOKUP(Table13[[#This Row],[Age]],db!BJ37:BJ143,db!BK37:BK143)))</f>
        <v>0</v>
      </c>
      <c r="L36" s="17">
        <f>MIN(IF(B36=0,0,db!$E$4*((1+db!$B$4)^(B36-1))),Table13[[#This Row],[Max Sum Insured For Death]])</f>
        <v>0</v>
      </c>
      <c r="M36" s="17">
        <f>ROUND(IF(L36&lt;=db!$L$7,L36,db!$L$7),0)</f>
        <v>0</v>
      </c>
      <c r="N36" s="29">
        <f t="shared" si="11"/>
        <v>0</v>
      </c>
      <c r="O36" s="29">
        <f>IF(B36=0,0,IF(db!$D$6="Yes",(db!$B$6)*M36,0))</f>
        <v>0</v>
      </c>
      <c r="P36" s="29">
        <f>MIN(IF(O36&lt;=db!$L$2,O36,db!$L$2),MAX_ACC_CAPITAL)</f>
        <v>0</v>
      </c>
      <c r="Q36" s="17">
        <f>IF(B36=0,0,IF(db!$D$7="Yes",(db!$B$7)*M36,0))</f>
        <v>0</v>
      </c>
      <c r="R36" s="42">
        <f>IF(C36&gt;69,0,IF(C36=0,0,IF(Q36&lt;=db!$L$3,Q36,db!$L$3)))</f>
        <v>0</v>
      </c>
      <c r="S36" s="29">
        <f>IF(B36=0,0,IF(db!$D$9="Yes",(db!$B$9)*M36,0))</f>
        <v>0</v>
      </c>
      <c r="T36" s="29">
        <f>ROUND(IF(C36&gt;69,0,IF(C36=0,0,IF(S36&lt;=db!$L$4,S36,db!$L$4))),0)</f>
        <v>0</v>
      </c>
      <c r="U36" s="38">
        <v>0</v>
      </c>
      <c r="V36" s="17">
        <v>0</v>
      </c>
      <c r="W36" s="29">
        <v>0</v>
      </c>
      <c r="X36" s="17">
        <f>IF(B36=0,0,IF(db!$D$11="Yes",(db!$B$11)*M36,0))</f>
        <v>0</v>
      </c>
      <c r="Y36" s="42">
        <f>ROUND(IF(C36&gt;59,0,IF(C36=0,0,IF(X36&lt;=db!$L$5,X36,db!$L$5))),0)</f>
        <v>0</v>
      </c>
      <c r="Z36" s="29">
        <f>IF(B36=0,0,IF(db!$D$12="Yes",(db!$B$12)*M36,0))</f>
        <v>0</v>
      </c>
      <c r="AA36" s="29">
        <f>ROUND(IF(C36&gt;59,0,IF(C36=0,0,IF(Z36&lt;=db!$L$6,Z36,db!$L$6))),0)</f>
        <v>0</v>
      </c>
      <c r="AB36" s="32"/>
      <c r="AC36" s="18">
        <f>IF(B36=0,0,IF(C36&lt;(db!$E$2+5),LOOKUP(C36,'Mortality Table'!$A$2:$A$108,'Mortality Table'!$P$2:$P$108),IF((C36&gt;=db!$E$2+10),LOOKUP(C36,'Mortality Table'!$A$2:$A$108,'Mortality Table'!$R$2:$R$108),LOOKUP(C36,'Mortality Table'!$A$2:$A$108,'Mortality Table'!$Q$2:$Q$108))))</f>
        <v>0</v>
      </c>
      <c r="AD36" s="22">
        <f t="shared" si="18"/>
        <v>0</v>
      </c>
      <c r="AE36" s="19">
        <f>IF(B36=0,0,LOOKUP(db!$A$8,db!$AX$4:$AX$8,db!$AY$4:$AY$8))</f>
        <v>0</v>
      </c>
      <c r="AF36" s="20">
        <f>ROUND((AE36/1000)*P36 * (1-db!$AS$9),0)</f>
        <v>0</v>
      </c>
      <c r="AG36" s="20">
        <f>(AE36/1000)*P36 * db!$AS$9</f>
        <v>0</v>
      </c>
      <c r="AH36" s="21">
        <f>IF(B36=0,0,LOOKUP(db!$A$8,db!$AX$4:$AX$8,db!$AZ$4:$AZ$8))</f>
        <v>0</v>
      </c>
      <c r="AI36" s="22">
        <f>(AH36/1000)*R36*(1-db!$AS$9)</f>
        <v>0</v>
      </c>
      <c r="AJ36" s="22">
        <f>(AH36/1000)*R36*(db!$AS$9)</f>
        <v>0</v>
      </c>
      <c r="AK36" s="23">
        <f>IF(B36=0,0,LOOKUP(db!$A$8,db!$AX$4:$AX$8,db!$BA$4:$BA$8))</f>
        <v>0</v>
      </c>
      <c r="AL36" s="20">
        <f>ROUND((AK36/(100))*T36*(1-db!$AS$9),0)</f>
        <v>0</v>
      </c>
      <c r="AM36" s="20">
        <f>ROUND((AK36/(100))*T36*(db!$AS$9),0)</f>
        <v>0</v>
      </c>
      <c r="AN36" s="21">
        <f>IF(db!$D$8="Yes",AH36,0)</f>
        <v>0</v>
      </c>
      <c r="AO36" s="22">
        <f>(AN36*V36)/1000*(1-db!$AS$9)</f>
        <v>0</v>
      </c>
      <c r="AP36" s="22">
        <f>(AN36*V36)/1000*(db!$AS$9)</f>
        <v>0</v>
      </c>
      <c r="AQ36" s="23">
        <f>IF(db!$D$10="Yes",AH36,0)</f>
        <v>0</v>
      </c>
      <c r="AR36" s="20">
        <f>(AQ36*W36/1000)*(1-db!$AS$9)</f>
        <v>0</v>
      </c>
      <c r="AS36" s="20">
        <f>(AQ36*W36/1000)*(db!$AS$9)</f>
        <v>0</v>
      </c>
      <c r="AT36" s="22">
        <f>IF(B36=0,0,IF(C36&gt;60,0,LOOKUP(LOOKUP(C36,RiskLoading!A$3:A$109,RiskLoading!DG$3:DG$109),db!$BC$3:$BC$63,db!$BD$3:$BD$63)))</f>
        <v>0</v>
      </c>
      <c r="AU36" s="22">
        <f>AV36*db!$AS$10</f>
        <v>0</v>
      </c>
      <c r="AV36" s="22">
        <f t="shared" si="19"/>
        <v>0</v>
      </c>
      <c r="AW36" s="22">
        <f>(AT36/1000000)*Y36*(1-db!$AS$10)</f>
        <v>0</v>
      </c>
      <c r="AX36" s="20">
        <f>IF(B36=0,0,IF(C36&gt;60,0,LOOKUP(LOOKUP(C36,RiskLoading!A$3:A$109,RiskLoading!DG$3:DG$109),db!$BC$3:$BC$63,db!$BE$3:$BE$63)))</f>
        <v>0</v>
      </c>
      <c r="AY36" s="20">
        <f>(AX36/1000000)*AA36*(1-db!$AS$11)</f>
        <v>0</v>
      </c>
      <c r="AZ36" s="20">
        <f>(AX36/1000000)*AA36*(db!$AS$11)</f>
        <v>0</v>
      </c>
      <c r="BA36" s="19">
        <f>IF(Table13[Year]=0,0,LOOKUP(Table13[Age],RiskLoading!A$3:A$109,RiskLoading!DT$3:DT$109))</f>
        <v>0</v>
      </c>
      <c r="BB36" s="20">
        <f>Table13[[#This Row],[RiskLoading
Rate]]*Table13[[#This Row],[Death Capital (2)]]</f>
        <v>0</v>
      </c>
      <c r="BC36" s="36"/>
      <c r="BD36" s="37">
        <f t="shared" si="20"/>
        <v>0</v>
      </c>
      <c r="BE36" s="35">
        <f t="shared" si="21"/>
        <v>0</v>
      </c>
      <c r="BF36" s="35">
        <f t="shared" si="22"/>
        <v>0</v>
      </c>
      <c r="BG36" s="37">
        <f t="shared" si="23"/>
        <v>0</v>
      </c>
      <c r="BH36" s="37">
        <f t="shared" si="24"/>
        <v>0</v>
      </c>
      <c r="BI36" s="35">
        <f t="shared" si="12"/>
        <v>0</v>
      </c>
      <c r="BJ36" s="35">
        <f t="shared" si="13"/>
        <v>0</v>
      </c>
      <c r="BK36" s="37">
        <v>0</v>
      </c>
      <c r="BL36" s="37">
        <v>0</v>
      </c>
      <c r="BM36" s="35"/>
      <c r="BN36" s="37">
        <f>0</f>
        <v>0</v>
      </c>
      <c r="BO36" s="37"/>
      <c r="BP36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36" s="33"/>
      <c r="BR36" s="39">
        <f>Table13[[#This Row],[Initial Reserve]]-Table13[[#This Row],[All Deductions]]</f>
        <v>0</v>
      </c>
      <c r="BS36" s="39">
        <v>0</v>
      </c>
      <c r="BT36" s="39">
        <f>IF(B36=0,0,BU35-Table13[[#This Row],[All Deductions]])</f>
        <v>0</v>
      </c>
      <c r="BU36" s="40">
        <f>ROUND(IF(B36=0,0,((BR36+BU35)*(1+db!U38))),0)</f>
        <v>0</v>
      </c>
      <c r="BV36" s="40">
        <f t="shared" si="17"/>
        <v>0</v>
      </c>
      <c r="BW36" s="15">
        <f t="shared" si="14"/>
        <v>35</v>
      </c>
      <c r="BX36" s="39">
        <f>IF(B36=0,0,((BR36)*(1+db!AH38))+((BX35)*(1+db!AD38)))</f>
        <v>0</v>
      </c>
      <c r="BY36" s="39">
        <f>IF(B36=0,0,((BR36)*(1+db!AH38))+((BY35)*(1+db!AD38)))</f>
        <v>0</v>
      </c>
      <c r="BZ36" s="40">
        <f>IF(B36=0,0,((BR36)*(1+db!AO38))+((BZ35)*(1+db!AK38)))</f>
        <v>0</v>
      </c>
      <c r="CA36" s="40">
        <f>BZ36-(SUM(BM$7:$BM37))</f>
        <v>0</v>
      </c>
      <c r="CB36" s="46"/>
    </row>
    <row r="37" spans="1:80">
      <c r="A37" s="16">
        <f t="shared" si="15"/>
        <v>36</v>
      </c>
      <c r="B37" s="16">
        <f>IF(B36=0,0,IF(db!$E$5&lt;B36+1,0,B36+1))</f>
        <v>0</v>
      </c>
      <c r="C37" s="15">
        <f t="shared" si="16"/>
        <v>0</v>
      </c>
      <c r="D37" s="312">
        <f>LOOKUP(Table13[[#This Row],[Age]],RiskLoading!A$3:A$109,RiskLoading!DG$3:DG$109)</f>
        <v>55</v>
      </c>
      <c r="E37" s="29">
        <f t="shared" si="8"/>
        <v>0</v>
      </c>
      <c r="F37" s="29">
        <f t="shared" si="9"/>
        <v>0</v>
      </c>
      <c r="G37" s="29">
        <f t="shared" si="0"/>
        <v>0</v>
      </c>
      <c r="H37" s="29">
        <v>0</v>
      </c>
      <c r="I37" s="29">
        <f>IF(B37=0,0,SUM($H$2:H37))</f>
        <v>0</v>
      </c>
      <c r="J37" s="17">
        <f t="shared" si="10"/>
        <v>0</v>
      </c>
      <c r="K37" s="17">
        <f>IF(Table13[[#This Row],[Year]]=0,0,IF($C$2&lt;=50,LOOKUP(Table13[[#This Row],[Age]],db!BG38:BG144,db!BH38:BH144),LOOKUP(Table13[[#This Row],[Age]],db!BJ38:BJ144,db!BK38:BK144)))</f>
        <v>0</v>
      </c>
      <c r="L37" s="17">
        <f>MIN(IF(B37=0,0,db!$E$4*((1+db!$B$4)^(B37-1))),Table13[[#This Row],[Max Sum Insured For Death]])</f>
        <v>0</v>
      </c>
      <c r="M37" s="17">
        <f>ROUND(IF(L37&lt;=db!$L$7,L37,db!$L$7),0)</f>
        <v>0</v>
      </c>
      <c r="N37" s="29">
        <f t="shared" si="11"/>
        <v>0</v>
      </c>
      <c r="O37" s="29">
        <f>IF(B37=0,0,IF(db!$D$6="Yes",(db!$B$6)*M37,0))</f>
        <v>0</v>
      </c>
      <c r="P37" s="29">
        <f>MIN(IF(O37&lt;=db!$L$2,O37,db!$L$2),MAX_ACC_CAPITAL)</f>
        <v>0</v>
      </c>
      <c r="Q37" s="17">
        <f>IF(B37=0,0,IF(db!$D$7="Yes",(db!$B$7)*M37,0))</f>
        <v>0</v>
      </c>
      <c r="R37" s="42">
        <f>IF(C37&gt;69,0,IF(C37=0,0,IF(Q37&lt;=db!$L$3,Q37,db!$L$3)))</f>
        <v>0</v>
      </c>
      <c r="S37" s="29">
        <f>IF(B37=0,0,IF(db!$D$9="Yes",(db!$B$9)*M37,0))</f>
        <v>0</v>
      </c>
      <c r="T37" s="29">
        <f>ROUND(IF(C37&gt;69,0,IF(C37=0,0,IF(S37&lt;=db!$L$4,S37,db!$L$4))),0)</f>
        <v>0</v>
      </c>
      <c r="U37" s="38">
        <v>0</v>
      </c>
      <c r="V37" s="17">
        <v>0</v>
      </c>
      <c r="W37" s="29">
        <v>0</v>
      </c>
      <c r="X37" s="17">
        <f>IF(B37=0,0,IF(db!$D$11="Yes",(db!$B$11)*M37,0))</f>
        <v>0</v>
      </c>
      <c r="Y37" s="42">
        <f>ROUND(IF(C37&gt;59,0,IF(C37=0,0,IF(X37&lt;=db!$L$5,X37,db!$L$5))),0)</f>
        <v>0</v>
      </c>
      <c r="Z37" s="29">
        <f>IF(B37=0,0,IF(db!$D$12="Yes",(db!$B$12)*M37,0))</f>
        <v>0</v>
      </c>
      <c r="AA37" s="29">
        <f>ROUND(IF(C37&gt;59,0,IF(C37=0,0,IF(Z37&lt;=db!$L$6,Z37,db!$L$6))),0)</f>
        <v>0</v>
      </c>
      <c r="AB37" s="32"/>
      <c r="AC37" s="18">
        <f>IF(B37=0,0,IF(C37&lt;(db!$E$2+5),LOOKUP(C37,'Mortality Table'!$A$2:$A$108,'Mortality Table'!$P$2:$P$108),IF((C37&gt;=db!$E$2+10),LOOKUP(C37,'Mortality Table'!$A$2:$A$108,'Mortality Table'!$R$2:$R$108),LOOKUP(C37,'Mortality Table'!$A$2:$A$108,'Mortality Table'!$Q$2:$Q$108))))</f>
        <v>0</v>
      </c>
      <c r="AD37" s="22">
        <f t="shared" si="18"/>
        <v>0</v>
      </c>
      <c r="AE37" s="19">
        <f>IF(B37=0,0,LOOKUP(db!$A$8,db!$AX$4:$AX$8,db!$AY$4:$AY$8))</f>
        <v>0</v>
      </c>
      <c r="AF37" s="20">
        <f>ROUND((AE37/1000)*P37 * (1-db!$AS$9),0)</f>
        <v>0</v>
      </c>
      <c r="AG37" s="20">
        <f>(AE37/1000)*P37 * db!$AS$9</f>
        <v>0</v>
      </c>
      <c r="AH37" s="21">
        <f>IF(B37=0,0,LOOKUP(db!$A$8,db!$AX$4:$AX$8,db!$AZ$4:$AZ$8))</f>
        <v>0</v>
      </c>
      <c r="AI37" s="22">
        <f>(AH37/1000)*R37*(1-db!$AS$9)</f>
        <v>0</v>
      </c>
      <c r="AJ37" s="22">
        <f>(AH37/1000)*R37*(db!$AS$9)</f>
        <v>0</v>
      </c>
      <c r="AK37" s="23">
        <f>IF(B37=0,0,LOOKUP(db!$A$8,db!$AX$4:$AX$8,db!$BA$4:$BA$8))</f>
        <v>0</v>
      </c>
      <c r="AL37" s="20">
        <f>ROUND((AK37/(100))*T37*(1-db!$AS$9),0)</f>
        <v>0</v>
      </c>
      <c r="AM37" s="20">
        <f>ROUND((AK37/(100))*T37*(db!$AS$9),0)</f>
        <v>0</v>
      </c>
      <c r="AN37" s="21">
        <f>IF(db!$D$8="Yes",AH37,0)</f>
        <v>0</v>
      </c>
      <c r="AO37" s="22">
        <f>(AN37*V37)/1000*(1-db!$AS$9)</f>
        <v>0</v>
      </c>
      <c r="AP37" s="22">
        <f>(AN37*V37)/1000*(db!$AS$9)</f>
        <v>0</v>
      </c>
      <c r="AQ37" s="23">
        <f>IF(db!$D$10="Yes",AH37,0)</f>
        <v>0</v>
      </c>
      <c r="AR37" s="20">
        <f>(AQ37*W37/1000)*(1-db!$AS$9)</f>
        <v>0</v>
      </c>
      <c r="AS37" s="20">
        <f>(AQ37*W37/1000)*(db!$AS$9)</f>
        <v>0</v>
      </c>
      <c r="AT37" s="22">
        <f>IF(B37=0,0,IF(C37&gt;60,0,LOOKUP(LOOKUP(C37,RiskLoading!A$3:A$109,RiskLoading!DG$3:DG$109),db!$BC$3:$BC$63,db!$BD$3:$BD$63)))</f>
        <v>0</v>
      </c>
      <c r="AU37" s="22">
        <f>AV37*db!$AS$10</f>
        <v>0</v>
      </c>
      <c r="AV37" s="22">
        <f t="shared" si="19"/>
        <v>0</v>
      </c>
      <c r="AW37" s="22">
        <f>(AT37/1000000)*Y37*(1-db!$AS$10)</f>
        <v>0</v>
      </c>
      <c r="AX37" s="20">
        <f>IF(B37=0,0,IF(C37&gt;60,0,LOOKUP(LOOKUP(C37,RiskLoading!A$3:A$109,RiskLoading!DG$3:DG$109),db!$BC$3:$BC$63,db!$BE$3:$BE$63)))</f>
        <v>0</v>
      </c>
      <c r="AY37" s="20">
        <f>(AX37/1000000)*AA37*(1-db!$AS$11)</f>
        <v>0</v>
      </c>
      <c r="AZ37" s="20">
        <f>(AX37/1000000)*AA37*(db!$AS$11)</f>
        <v>0</v>
      </c>
      <c r="BA37" s="19">
        <f>IF(Table13[Year]=0,0,LOOKUP(Table13[Age],RiskLoading!A$3:A$109,RiskLoading!DT$3:DT$109))</f>
        <v>0</v>
      </c>
      <c r="BB37" s="20">
        <f>Table13[[#This Row],[RiskLoading
Rate]]*Table13[[#This Row],[Death Capital (2)]]</f>
        <v>0</v>
      </c>
      <c r="BC37" s="36"/>
      <c r="BD37" s="37">
        <f t="shared" si="20"/>
        <v>0</v>
      </c>
      <c r="BE37" s="35">
        <f t="shared" si="21"/>
        <v>0</v>
      </c>
      <c r="BF37" s="35">
        <f t="shared" si="22"/>
        <v>0</v>
      </c>
      <c r="BG37" s="37">
        <f t="shared" si="23"/>
        <v>0</v>
      </c>
      <c r="BH37" s="37">
        <f t="shared" si="24"/>
        <v>0</v>
      </c>
      <c r="BI37" s="35">
        <f t="shared" si="12"/>
        <v>0</v>
      </c>
      <c r="BJ37" s="35">
        <f t="shared" si="13"/>
        <v>0</v>
      </c>
      <c r="BK37" s="37">
        <v>0</v>
      </c>
      <c r="BL37" s="37">
        <v>0</v>
      </c>
      <c r="BM37" s="35"/>
      <c r="BN37" s="37">
        <f>0</f>
        <v>0</v>
      </c>
      <c r="BO37" s="37"/>
      <c r="BP37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37" s="33"/>
      <c r="BR37" s="39">
        <f>Table13[[#This Row],[Initial Reserve]]-Table13[[#This Row],[All Deductions]]</f>
        <v>0</v>
      </c>
      <c r="BS37" s="39">
        <v>0</v>
      </c>
      <c r="BT37" s="39">
        <f>IF(B37=0,0,BU36-Table13[[#This Row],[All Deductions]])</f>
        <v>0</v>
      </c>
      <c r="BU37" s="40">
        <f>ROUND(IF(B37=0,0,((BR37+BU36)*(1+db!U39))),0)</f>
        <v>0</v>
      </c>
      <c r="BV37" s="40">
        <f t="shared" si="17"/>
        <v>0</v>
      </c>
      <c r="BW37" s="15">
        <f t="shared" si="14"/>
        <v>36</v>
      </c>
      <c r="BX37" s="39">
        <f>IF(B37=0,0,((BR37)*(1+db!AH39))+((BX36)*(1+db!AD39)))</f>
        <v>0</v>
      </c>
      <c r="BY37" s="39">
        <f>IF(B37=0,0,((BR37)*(1+db!AH39))+((BY36)*(1+db!AD39)))</f>
        <v>0</v>
      </c>
      <c r="BZ37" s="40">
        <f>IF(B37=0,0,((BR37)*(1+db!AO39))+((BZ36)*(1+db!AK39)))</f>
        <v>0</v>
      </c>
      <c r="CA37" s="40">
        <f>BZ37-(SUM(BM$7:$BM38))</f>
        <v>0</v>
      </c>
      <c r="CB37" s="46"/>
    </row>
    <row r="38" spans="1:80">
      <c r="A38" s="16">
        <f t="shared" si="15"/>
        <v>37</v>
      </c>
      <c r="B38" s="16">
        <f>IF(B37=0,0,IF(db!$E$5&lt;B37+1,0,B37+1))</f>
        <v>0</v>
      </c>
      <c r="C38" s="15">
        <f t="shared" si="16"/>
        <v>0</v>
      </c>
      <c r="D38" s="312">
        <f>LOOKUP(Table13[[#This Row],[Age]],RiskLoading!A$3:A$109,RiskLoading!DG$3:DG$109)</f>
        <v>55</v>
      </c>
      <c r="E38" s="29">
        <f t="shared" si="8"/>
        <v>0</v>
      </c>
      <c r="F38" s="29">
        <f t="shared" si="9"/>
        <v>0</v>
      </c>
      <c r="G38" s="29">
        <f t="shared" si="0"/>
        <v>0</v>
      </c>
      <c r="H38" s="29">
        <v>0</v>
      </c>
      <c r="I38" s="29">
        <f>IF(B38=0,0,SUM($H$2:H38))</f>
        <v>0</v>
      </c>
      <c r="J38" s="17">
        <f t="shared" si="10"/>
        <v>0</v>
      </c>
      <c r="K38" s="17">
        <f>IF(Table13[[#This Row],[Year]]=0,0,IF($C$2&lt;=50,LOOKUP(Table13[[#This Row],[Age]],db!BG39:BG145,db!BH39:BH145),LOOKUP(Table13[[#This Row],[Age]],db!BJ39:BJ145,db!BK39:BK145)))</f>
        <v>0</v>
      </c>
      <c r="L38" s="17">
        <f>MIN(IF(B38=0,0,db!$E$4*((1+db!$B$4)^(B38-1))),Table13[[#This Row],[Max Sum Insured For Death]])</f>
        <v>0</v>
      </c>
      <c r="M38" s="17">
        <f>ROUND(IF(L38&lt;=db!$L$7,L38,db!$L$7),0)</f>
        <v>0</v>
      </c>
      <c r="N38" s="29">
        <f t="shared" si="11"/>
        <v>0</v>
      </c>
      <c r="O38" s="29">
        <f>IF(B38=0,0,IF(db!$D$6="Yes",(db!$B$6)*M38,0))</f>
        <v>0</v>
      </c>
      <c r="P38" s="29">
        <f>MIN(IF(O38&lt;=db!$L$2,O38,db!$L$2),MAX_ACC_CAPITAL)</f>
        <v>0</v>
      </c>
      <c r="Q38" s="17">
        <f>IF(B38=0,0,IF(db!$D$7="Yes",(db!$B$7)*M38,0))</f>
        <v>0</v>
      </c>
      <c r="R38" s="42">
        <f>IF(C38&gt;69,0,IF(C38=0,0,IF(Q38&lt;=db!$L$3,Q38,db!$L$3)))</f>
        <v>0</v>
      </c>
      <c r="S38" s="29">
        <f>IF(B38=0,0,IF(db!$D$9="Yes",(db!$B$9)*M38,0))</f>
        <v>0</v>
      </c>
      <c r="T38" s="29">
        <f>ROUND(IF(C38&gt;69,0,IF(C38=0,0,IF(S38&lt;=db!$L$4,S38,db!$L$4))),0)</f>
        <v>0</v>
      </c>
      <c r="U38" s="38">
        <v>0</v>
      </c>
      <c r="V38" s="17">
        <v>0</v>
      </c>
      <c r="W38" s="29">
        <v>0</v>
      </c>
      <c r="X38" s="17">
        <f>IF(B38=0,0,IF(db!$D$11="Yes",(db!$B$11)*M38,0))</f>
        <v>0</v>
      </c>
      <c r="Y38" s="42">
        <f>ROUND(IF(C38&gt;59,0,IF(C38=0,0,IF(X38&lt;=db!$L$5,X38,db!$L$5))),0)</f>
        <v>0</v>
      </c>
      <c r="Z38" s="29">
        <f>IF(B38=0,0,IF(db!$D$12="Yes",(db!$B$12)*M38,0))</f>
        <v>0</v>
      </c>
      <c r="AA38" s="29">
        <f>ROUND(IF(C38&gt;59,0,IF(C38=0,0,IF(Z38&lt;=db!$L$6,Z38,db!$L$6))),0)</f>
        <v>0</v>
      </c>
      <c r="AB38" s="32"/>
      <c r="AC38" s="18">
        <f>IF(B38=0,0,IF(C38&lt;(db!$E$2+5),LOOKUP(C38,'Mortality Table'!$A$2:$A$108,'Mortality Table'!$P$2:$P$108),IF((C38&gt;=db!$E$2+10),LOOKUP(C38,'Mortality Table'!$A$2:$A$108,'Mortality Table'!$R$2:$R$108),LOOKUP(C38,'Mortality Table'!$A$2:$A$108,'Mortality Table'!$Q$2:$Q$108))))</f>
        <v>0</v>
      </c>
      <c r="AD38" s="22">
        <f t="shared" si="18"/>
        <v>0</v>
      </c>
      <c r="AE38" s="19">
        <f>IF(B38=0,0,LOOKUP(db!$A$8,db!$AX$4:$AX$8,db!$AY$4:$AY$8))</f>
        <v>0</v>
      </c>
      <c r="AF38" s="20">
        <f>ROUND((AE38/1000)*P38 * (1-db!$AS$9),0)</f>
        <v>0</v>
      </c>
      <c r="AG38" s="20">
        <f>(AE38/1000)*P38 * db!$AS$9</f>
        <v>0</v>
      </c>
      <c r="AH38" s="21">
        <f>IF(B38=0,0,LOOKUP(db!$A$8,db!$AX$4:$AX$8,db!$AZ$4:$AZ$8))</f>
        <v>0</v>
      </c>
      <c r="AI38" s="22">
        <f>(AH38/1000)*R38*(1-db!$AS$9)</f>
        <v>0</v>
      </c>
      <c r="AJ38" s="22">
        <f>(AH38/1000)*R38*(db!$AS$9)</f>
        <v>0</v>
      </c>
      <c r="AK38" s="23">
        <f>IF(B38=0,0,LOOKUP(db!$A$8,db!$AX$4:$AX$8,db!$BA$4:$BA$8))</f>
        <v>0</v>
      </c>
      <c r="AL38" s="20">
        <f>ROUND((AK38/(100))*T38*(1-db!$AS$9),0)</f>
        <v>0</v>
      </c>
      <c r="AM38" s="20">
        <f>ROUND((AK38/(100))*T38*(db!$AS$9),0)</f>
        <v>0</v>
      </c>
      <c r="AN38" s="21">
        <f>IF(db!$D$8="Yes",AH38,0)</f>
        <v>0</v>
      </c>
      <c r="AO38" s="22">
        <f>(AN38*V38)/1000*(1-db!$AS$9)</f>
        <v>0</v>
      </c>
      <c r="AP38" s="22">
        <f>(AN38*V38)/1000*(db!$AS$9)</f>
        <v>0</v>
      </c>
      <c r="AQ38" s="23">
        <f>IF(db!$D$10="Yes",AH38,0)</f>
        <v>0</v>
      </c>
      <c r="AR38" s="20">
        <f>(AQ38*W38/1000)*(1-db!$AS$9)</f>
        <v>0</v>
      </c>
      <c r="AS38" s="20">
        <f>(AQ38*W38/1000)*(db!$AS$9)</f>
        <v>0</v>
      </c>
      <c r="AT38" s="22">
        <f>IF(B38=0,0,IF(C38&gt;60,0,LOOKUP(LOOKUP(C38,RiskLoading!A$3:A$109,RiskLoading!DG$3:DG$109),db!$BC$3:$BC$63,db!$BD$3:$BD$63)))</f>
        <v>0</v>
      </c>
      <c r="AU38" s="22">
        <f>AV38*db!$AS$10</f>
        <v>0</v>
      </c>
      <c r="AV38" s="22">
        <f t="shared" si="19"/>
        <v>0</v>
      </c>
      <c r="AW38" s="22">
        <f>(AT38/1000000)*Y38*(1-db!$AS$10)</f>
        <v>0</v>
      </c>
      <c r="AX38" s="20">
        <f>IF(B38=0,0,IF(C38&gt;60,0,LOOKUP(LOOKUP(C38,RiskLoading!A$3:A$109,RiskLoading!DG$3:DG$109),db!$BC$3:$BC$63,db!$BE$3:$BE$63)))</f>
        <v>0</v>
      </c>
      <c r="AY38" s="20">
        <f>(AX38/1000000)*AA38*(1-db!$AS$11)</f>
        <v>0</v>
      </c>
      <c r="AZ38" s="20">
        <f>(AX38/1000000)*AA38*(db!$AS$11)</f>
        <v>0</v>
      </c>
      <c r="BA38" s="19">
        <f>IF(Table13[Year]=0,0,LOOKUP(Table13[Age],RiskLoading!A$3:A$109,RiskLoading!DT$3:DT$109))</f>
        <v>0</v>
      </c>
      <c r="BB38" s="20">
        <f>Table13[[#This Row],[RiskLoading
Rate]]*Table13[[#This Row],[Death Capital (2)]]</f>
        <v>0</v>
      </c>
      <c r="BC38" s="36"/>
      <c r="BD38" s="37">
        <f t="shared" si="20"/>
        <v>0</v>
      </c>
      <c r="BE38" s="35">
        <f t="shared" si="21"/>
        <v>0</v>
      </c>
      <c r="BF38" s="35">
        <f t="shared" si="22"/>
        <v>0</v>
      </c>
      <c r="BG38" s="37">
        <f t="shared" si="23"/>
        <v>0</v>
      </c>
      <c r="BH38" s="37">
        <f t="shared" si="24"/>
        <v>0</v>
      </c>
      <c r="BI38" s="35">
        <f t="shared" si="12"/>
        <v>0</v>
      </c>
      <c r="BJ38" s="35">
        <f t="shared" si="13"/>
        <v>0</v>
      </c>
      <c r="BK38" s="37">
        <v>0</v>
      </c>
      <c r="BL38" s="37">
        <v>0</v>
      </c>
      <c r="BM38" s="35"/>
      <c r="BN38" s="37">
        <f>0</f>
        <v>0</v>
      </c>
      <c r="BO38" s="37"/>
      <c r="BP38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38" s="33"/>
      <c r="BR38" s="39">
        <f>Table13[[#This Row],[Initial Reserve]]-Table13[[#This Row],[All Deductions]]</f>
        <v>0</v>
      </c>
      <c r="BS38" s="39">
        <v>0</v>
      </c>
      <c r="BT38" s="39">
        <f>IF(B38=0,0,BU37-Table13[[#This Row],[All Deductions]])</f>
        <v>0</v>
      </c>
      <c r="BU38" s="40">
        <f>ROUND(IF(B38=0,0,((BR38+BU37)*(1+db!U40))),0)</f>
        <v>0</v>
      </c>
      <c r="BV38" s="40">
        <f t="shared" si="17"/>
        <v>0</v>
      </c>
      <c r="BW38" s="15">
        <f t="shared" si="14"/>
        <v>37</v>
      </c>
      <c r="BX38" s="39">
        <f>IF(B38=0,0,((BR38)*(1+db!AH40))+((BX37)*(1+db!AD40)))</f>
        <v>0</v>
      </c>
      <c r="BY38" s="39">
        <f>IF(B38=0,0,((BR38)*(1+db!AH40))+((BY37)*(1+db!AD40)))</f>
        <v>0</v>
      </c>
      <c r="BZ38" s="40">
        <f>IF(B38=0,0,((BR38)*(1+db!AO40))+((BZ37)*(1+db!AK40)))</f>
        <v>0</v>
      </c>
      <c r="CA38" s="40">
        <f>BZ38-(SUM(BM$7:$BM39))</f>
        <v>0</v>
      </c>
      <c r="CB38" s="46"/>
    </row>
    <row r="39" spans="1:80">
      <c r="A39" s="16">
        <f t="shared" si="15"/>
        <v>38</v>
      </c>
      <c r="B39" s="16">
        <f>IF(B38=0,0,IF(db!$E$5&lt;B38+1,0,B38+1))</f>
        <v>0</v>
      </c>
      <c r="C39" s="15">
        <f t="shared" si="16"/>
        <v>0</v>
      </c>
      <c r="D39" s="312">
        <f>LOOKUP(Table13[[#This Row],[Age]],RiskLoading!A$3:A$109,RiskLoading!DG$3:DG$109)</f>
        <v>55</v>
      </c>
      <c r="E39" s="29">
        <f t="shared" si="8"/>
        <v>0</v>
      </c>
      <c r="F39" s="29">
        <f t="shared" si="9"/>
        <v>0</v>
      </c>
      <c r="G39" s="29">
        <f t="shared" si="0"/>
        <v>0</v>
      </c>
      <c r="H39" s="29">
        <v>0</v>
      </c>
      <c r="I39" s="29">
        <f>IF(B39=0,0,SUM($H$2:H39))</f>
        <v>0</v>
      </c>
      <c r="J39" s="17">
        <f t="shared" si="10"/>
        <v>0</v>
      </c>
      <c r="K39" s="17">
        <f>IF(Table13[[#This Row],[Year]]=0,0,IF($C$2&lt;=50,LOOKUP(Table13[[#This Row],[Age]],db!BG40:BG146,db!BH40:BH146),LOOKUP(Table13[[#This Row],[Age]],db!BJ40:BJ146,db!BK40:BK146)))</f>
        <v>0</v>
      </c>
      <c r="L39" s="17">
        <f>MIN(IF(B39=0,0,db!$E$4*((1+db!$B$4)^(B39-1))),Table13[[#This Row],[Max Sum Insured For Death]])</f>
        <v>0</v>
      </c>
      <c r="M39" s="17">
        <f>ROUND(IF(L39&lt;=db!$L$7,L39,db!$L$7),0)</f>
        <v>0</v>
      </c>
      <c r="N39" s="29">
        <f t="shared" si="11"/>
        <v>0</v>
      </c>
      <c r="O39" s="29">
        <f>IF(B39=0,0,IF(db!$D$6="Yes",(db!$B$6)*M39,0))</f>
        <v>0</v>
      </c>
      <c r="P39" s="29">
        <f>MIN(IF(O39&lt;=db!$L$2,O39,db!$L$2),MAX_ACC_CAPITAL)</f>
        <v>0</v>
      </c>
      <c r="Q39" s="17">
        <f>IF(B39=0,0,IF(db!$D$7="Yes",(db!$B$7)*M39,0))</f>
        <v>0</v>
      </c>
      <c r="R39" s="42">
        <f>IF(C39&gt;69,0,IF(C39=0,0,IF(Q39&lt;=db!$L$3,Q39,db!$L$3)))</f>
        <v>0</v>
      </c>
      <c r="S39" s="29">
        <f>IF(B39=0,0,IF(db!$D$9="Yes",(db!$B$9)*M39,0))</f>
        <v>0</v>
      </c>
      <c r="T39" s="29">
        <f>ROUND(IF(C39&gt;69,0,IF(C39=0,0,IF(S39&lt;=db!$L$4,S39,db!$L$4))),0)</f>
        <v>0</v>
      </c>
      <c r="U39" s="38">
        <v>0</v>
      </c>
      <c r="V39" s="17">
        <v>0</v>
      </c>
      <c r="W39" s="29">
        <v>0</v>
      </c>
      <c r="X39" s="17">
        <f>IF(B39=0,0,IF(db!$D$11="Yes",(db!$B$11)*M39,0))</f>
        <v>0</v>
      </c>
      <c r="Y39" s="42">
        <f>ROUND(IF(C39&gt;59,0,IF(C39=0,0,IF(X39&lt;=db!$L$5,X39,db!$L$5))),0)</f>
        <v>0</v>
      </c>
      <c r="Z39" s="29">
        <f>IF(B39=0,0,IF(db!$D$12="Yes",(db!$B$12)*M39,0))</f>
        <v>0</v>
      </c>
      <c r="AA39" s="29">
        <f>ROUND(IF(C39&gt;59,0,IF(C39=0,0,IF(Z39&lt;=db!$L$6,Z39,db!$L$6))),0)</f>
        <v>0</v>
      </c>
      <c r="AB39" s="32"/>
      <c r="AC39" s="18">
        <f>IF(B39=0,0,IF(C39&lt;(db!$E$2+5),LOOKUP(C39,'Mortality Table'!$A$2:$A$108,'Mortality Table'!$P$2:$P$108),IF((C39&gt;=db!$E$2+10),LOOKUP(C39,'Mortality Table'!$A$2:$A$108,'Mortality Table'!$R$2:$R$108),LOOKUP(C39,'Mortality Table'!$A$2:$A$108,'Mortality Table'!$Q$2:$Q$108))))</f>
        <v>0</v>
      </c>
      <c r="AD39" s="22">
        <f t="shared" si="18"/>
        <v>0</v>
      </c>
      <c r="AE39" s="19">
        <f>IF(B39=0,0,LOOKUP(db!$A$8,db!$AX$4:$AX$8,db!$AY$4:$AY$8))</f>
        <v>0</v>
      </c>
      <c r="AF39" s="20">
        <f>ROUND((AE39/1000)*P39 * (1-db!$AS$9),0)</f>
        <v>0</v>
      </c>
      <c r="AG39" s="20">
        <f>(AE39/1000)*P39 * db!$AS$9</f>
        <v>0</v>
      </c>
      <c r="AH39" s="21">
        <f>IF(B39=0,0,LOOKUP(db!$A$8,db!$AX$4:$AX$8,db!$AZ$4:$AZ$8))</f>
        <v>0</v>
      </c>
      <c r="AI39" s="22">
        <f>(AH39/1000)*R39*(1-db!$AS$9)</f>
        <v>0</v>
      </c>
      <c r="AJ39" s="22">
        <f>(AH39/1000)*R39*(db!$AS$9)</f>
        <v>0</v>
      </c>
      <c r="AK39" s="23">
        <f>IF(B39=0,0,LOOKUP(db!$A$8,db!$AX$4:$AX$8,db!$BA$4:$BA$8))</f>
        <v>0</v>
      </c>
      <c r="AL39" s="20">
        <f>ROUND((AK39/(100))*T39*(1-db!$AS$9),0)</f>
        <v>0</v>
      </c>
      <c r="AM39" s="20">
        <f>ROUND((AK39/(100))*T39*(db!$AS$9),0)</f>
        <v>0</v>
      </c>
      <c r="AN39" s="21">
        <f>IF(db!$D$8="Yes",AH39,0)</f>
        <v>0</v>
      </c>
      <c r="AO39" s="22">
        <f>(AN39*V39)/1000*(1-db!$AS$9)</f>
        <v>0</v>
      </c>
      <c r="AP39" s="22">
        <f>(AN39*V39)/1000*(db!$AS$9)</f>
        <v>0</v>
      </c>
      <c r="AQ39" s="23">
        <f>IF(db!$D$10="Yes",AH39,0)</f>
        <v>0</v>
      </c>
      <c r="AR39" s="20">
        <f>(AQ39*W39/1000)*(1-db!$AS$9)</f>
        <v>0</v>
      </c>
      <c r="AS39" s="20">
        <f>(AQ39*W39/1000)*(db!$AS$9)</f>
        <v>0</v>
      </c>
      <c r="AT39" s="22">
        <f>IF(B39=0,0,IF(C39&gt;60,0,LOOKUP(LOOKUP(C39,RiskLoading!A$3:A$109,RiskLoading!DG$3:DG$109),db!$BC$3:$BC$63,db!$BD$3:$BD$63)))</f>
        <v>0</v>
      </c>
      <c r="AU39" s="22">
        <f>AV39*db!$AS$10</f>
        <v>0</v>
      </c>
      <c r="AV39" s="22">
        <f t="shared" si="19"/>
        <v>0</v>
      </c>
      <c r="AW39" s="22">
        <f>(AT39/1000000)*Y39*(1-db!$AS$10)</f>
        <v>0</v>
      </c>
      <c r="AX39" s="20">
        <f>IF(B39=0,0,IF(C39&gt;60,0,LOOKUP(LOOKUP(C39,RiskLoading!A$3:A$109,RiskLoading!DG$3:DG$109),db!$BC$3:$BC$63,db!$BE$3:$BE$63)))</f>
        <v>0</v>
      </c>
      <c r="AY39" s="20">
        <f>(AX39/1000000)*AA39*(1-db!$AS$11)</f>
        <v>0</v>
      </c>
      <c r="AZ39" s="20">
        <f>(AX39/1000000)*AA39*(db!$AS$11)</f>
        <v>0</v>
      </c>
      <c r="BA39" s="19">
        <f>IF(Table13[Year]=0,0,LOOKUP(Table13[Age],RiskLoading!A$3:A$109,RiskLoading!DT$3:DT$109))</f>
        <v>0</v>
      </c>
      <c r="BB39" s="20">
        <f>Table13[[#This Row],[RiskLoading
Rate]]*Table13[[#This Row],[Death Capital (2)]]</f>
        <v>0</v>
      </c>
      <c r="BC39" s="36"/>
      <c r="BD39" s="37">
        <f t="shared" si="20"/>
        <v>0</v>
      </c>
      <c r="BE39" s="35">
        <f t="shared" si="21"/>
        <v>0</v>
      </c>
      <c r="BF39" s="35">
        <f t="shared" si="22"/>
        <v>0</v>
      </c>
      <c r="BG39" s="37">
        <f t="shared" si="23"/>
        <v>0</v>
      </c>
      <c r="BH39" s="37">
        <f t="shared" si="24"/>
        <v>0</v>
      </c>
      <c r="BI39" s="35">
        <f t="shared" si="12"/>
        <v>0</v>
      </c>
      <c r="BJ39" s="35">
        <f t="shared" si="13"/>
        <v>0</v>
      </c>
      <c r="BK39" s="37">
        <v>0</v>
      </c>
      <c r="BL39" s="37">
        <v>0</v>
      </c>
      <c r="BM39" s="35"/>
      <c r="BN39" s="37">
        <f>0</f>
        <v>0</v>
      </c>
      <c r="BO39" s="37"/>
      <c r="BP39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39" s="33"/>
      <c r="BR39" s="39">
        <f>Table13[[#This Row],[Initial Reserve]]-Table13[[#This Row],[All Deductions]]</f>
        <v>0</v>
      </c>
      <c r="BS39" s="39">
        <v>0</v>
      </c>
      <c r="BT39" s="39">
        <f>IF(B39=0,0,BU38-Table13[[#This Row],[All Deductions]])</f>
        <v>0</v>
      </c>
      <c r="BU39" s="40">
        <f>ROUND(IF(B39=0,0,((BR39+BU38)*(1+db!U41))),0)</f>
        <v>0</v>
      </c>
      <c r="BV39" s="40">
        <f t="shared" ref="BV39:BV70" si="25">ROUND(BU39,-3)</f>
        <v>0</v>
      </c>
      <c r="BW39" s="15">
        <f t="shared" si="14"/>
        <v>38</v>
      </c>
      <c r="BX39" s="39">
        <f>IF(B39=0,0,((BR39)*(1+db!AH41))+((BX38)*(1+db!AD41)))</f>
        <v>0</v>
      </c>
      <c r="BY39" s="39">
        <f>IF(B39=0,0,((BR39)*(1+db!AH41))+((BY38)*(1+db!AD41)))</f>
        <v>0</v>
      </c>
      <c r="BZ39" s="40">
        <f>IF(B39=0,0,((BR39)*(1+db!AO41))+((BZ38)*(1+db!AK41)))</f>
        <v>0</v>
      </c>
      <c r="CA39" s="40">
        <f>BZ39-(SUM(BM$7:$BM40))</f>
        <v>0</v>
      </c>
      <c r="CB39" s="46"/>
    </row>
    <row r="40" spans="1:80">
      <c r="A40" s="16">
        <f t="shared" si="15"/>
        <v>39</v>
      </c>
      <c r="B40" s="16">
        <f>IF(B39=0,0,IF(db!$E$5&lt;B39+1,0,B39+1))</f>
        <v>0</v>
      </c>
      <c r="C40" s="15">
        <f t="shared" si="16"/>
        <v>0</v>
      </c>
      <c r="D40" s="312">
        <f>LOOKUP(Table13[[#This Row],[Age]],RiskLoading!A$3:A$109,RiskLoading!DG$3:DG$109)</f>
        <v>55</v>
      </c>
      <c r="E40" s="29">
        <f t="shared" si="8"/>
        <v>0</v>
      </c>
      <c r="F40" s="29">
        <f t="shared" si="9"/>
        <v>0</v>
      </c>
      <c r="G40" s="29">
        <f t="shared" si="0"/>
        <v>0</v>
      </c>
      <c r="H40" s="29">
        <v>0</v>
      </c>
      <c r="I40" s="29">
        <f>IF(B40=0,0,SUM($H$2:H40))</f>
        <v>0</v>
      </c>
      <c r="J40" s="17">
        <f t="shared" si="10"/>
        <v>0</v>
      </c>
      <c r="K40" s="17">
        <f>IF(Table13[[#This Row],[Year]]=0,0,IF($C$2&lt;=50,LOOKUP(Table13[[#This Row],[Age]],db!BG41:BG147,db!BH41:BH147),LOOKUP(Table13[[#This Row],[Age]],db!BJ41:BJ147,db!BK41:BK147)))</f>
        <v>0</v>
      </c>
      <c r="L40" s="17">
        <f>MIN(IF(B40=0,0,db!$E$4*((1+db!$B$4)^(B40-1))),Table13[[#This Row],[Max Sum Insured For Death]])</f>
        <v>0</v>
      </c>
      <c r="M40" s="17">
        <f>ROUND(IF(L40&lt;=db!$L$7,L40,db!$L$7),0)</f>
        <v>0</v>
      </c>
      <c r="N40" s="29">
        <f t="shared" si="11"/>
        <v>0</v>
      </c>
      <c r="O40" s="29">
        <f>IF(B40=0,0,IF(db!$D$6="Yes",(db!$B$6)*M40,0))</f>
        <v>0</v>
      </c>
      <c r="P40" s="29">
        <f>MIN(IF(O40&lt;=db!$L$2,O40,db!$L$2),MAX_ACC_CAPITAL)</f>
        <v>0</v>
      </c>
      <c r="Q40" s="17">
        <f>IF(B40=0,0,IF(db!$D$7="Yes",(db!$B$7)*M40,0))</f>
        <v>0</v>
      </c>
      <c r="R40" s="42">
        <f>IF(C40&gt;69,0,IF(C40=0,0,IF(Q40&lt;=db!$L$3,Q40,db!$L$3)))</f>
        <v>0</v>
      </c>
      <c r="S40" s="29">
        <f>IF(B40=0,0,IF(db!$D$9="Yes",(db!$B$9)*M40,0))</f>
        <v>0</v>
      </c>
      <c r="T40" s="29">
        <f>ROUND(IF(C40&gt;69,0,IF(C40=0,0,IF(S40&lt;=db!$L$4,S40,db!$L$4))),0)</f>
        <v>0</v>
      </c>
      <c r="U40" s="38">
        <v>0</v>
      </c>
      <c r="V40" s="17">
        <v>0</v>
      </c>
      <c r="W40" s="29">
        <v>0</v>
      </c>
      <c r="X40" s="17">
        <f>IF(B40=0,0,IF(db!$D$11="Yes",(db!$B$11)*M40,0))</f>
        <v>0</v>
      </c>
      <c r="Y40" s="42">
        <f>ROUND(IF(C40&gt;59,0,IF(C40=0,0,IF(X40&lt;=db!$L$5,X40,db!$L$5))),0)</f>
        <v>0</v>
      </c>
      <c r="Z40" s="29">
        <f>IF(B40=0,0,IF(db!$D$12="Yes",(db!$B$12)*M40,0))</f>
        <v>0</v>
      </c>
      <c r="AA40" s="29">
        <f>ROUND(IF(C40&gt;59,0,IF(C40=0,0,IF(Z40&lt;=db!$L$6,Z40,db!$L$6))),0)</f>
        <v>0</v>
      </c>
      <c r="AB40" s="32"/>
      <c r="AC40" s="18">
        <f>IF(B40=0,0,IF(C40&lt;(db!$E$2+5),LOOKUP(C40,'Mortality Table'!$A$2:$A$108,'Mortality Table'!$P$2:$P$108),IF((C40&gt;=db!$E$2+10),LOOKUP(C40,'Mortality Table'!$A$2:$A$108,'Mortality Table'!$R$2:$R$108),LOOKUP(C40,'Mortality Table'!$A$2:$A$108,'Mortality Table'!$Q$2:$Q$108))))</f>
        <v>0</v>
      </c>
      <c r="AD40" s="22">
        <f t="shared" si="18"/>
        <v>0</v>
      </c>
      <c r="AE40" s="19">
        <f>IF(B40=0,0,LOOKUP(db!$A$8,db!$AX$4:$AX$8,db!$AY$4:$AY$8))</f>
        <v>0</v>
      </c>
      <c r="AF40" s="20">
        <f>ROUND((AE40/1000)*P40 * (1-db!$AS$9),0)</f>
        <v>0</v>
      </c>
      <c r="AG40" s="20">
        <f>(AE40/1000)*P40 * db!$AS$9</f>
        <v>0</v>
      </c>
      <c r="AH40" s="21">
        <f>IF(B40=0,0,LOOKUP(db!$A$8,db!$AX$4:$AX$8,db!$AZ$4:$AZ$8))</f>
        <v>0</v>
      </c>
      <c r="AI40" s="22">
        <f>(AH40/1000)*R40*(1-db!$AS$9)</f>
        <v>0</v>
      </c>
      <c r="AJ40" s="22">
        <f>(AH40/1000)*R40*(db!$AS$9)</f>
        <v>0</v>
      </c>
      <c r="AK40" s="23">
        <f>IF(B40=0,0,LOOKUP(db!$A$8,db!$AX$4:$AX$8,db!$BA$4:$BA$8))</f>
        <v>0</v>
      </c>
      <c r="AL40" s="20">
        <f>ROUND((AK40/(100))*T40*(1-db!$AS$9),0)</f>
        <v>0</v>
      </c>
      <c r="AM40" s="20">
        <f>ROUND((AK40/(100))*T40*(db!$AS$9),0)</f>
        <v>0</v>
      </c>
      <c r="AN40" s="21">
        <f>IF(db!$D$8="Yes",AH40,0)</f>
        <v>0</v>
      </c>
      <c r="AO40" s="22">
        <f>(AN40*V40)/1000*(1-db!$AS$9)</f>
        <v>0</v>
      </c>
      <c r="AP40" s="22">
        <f>(AN40*V40)/1000*(db!$AS$9)</f>
        <v>0</v>
      </c>
      <c r="AQ40" s="23">
        <f>IF(db!$D$10="Yes",AH40,0)</f>
        <v>0</v>
      </c>
      <c r="AR40" s="20">
        <f>(AQ40*W40/1000)*(1-db!$AS$9)</f>
        <v>0</v>
      </c>
      <c r="AS40" s="20">
        <f>(AQ40*W40/1000)*(db!$AS$9)</f>
        <v>0</v>
      </c>
      <c r="AT40" s="22">
        <f>IF(B40=0,0,IF(C40&gt;60,0,LOOKUP(LOOKUP(C40,RiskLoading!A$3:A$109,RiskLoading!DG$3:DG$109),db!$BC$3:$BC$63,db!$BD$3:$BD$63)))</f>
        <v>0</v>
      </c>
      <c r="AU40" s="22">
        <f>AV40*db!$AS$10</f>
        <v>0</v>
      </c>
      <c r="AV40" s="22">
        <f t="shared" si="19"/>
        <v>0</v>
      </c>
      <c r="AW40" s="22">
        <f>(AT40/1000000)*Y40*(1-db!$AS$10)</f>
        <v>0</v>
      </c>
      <c r="AX40" s="20">
        <f>IF(B40=0,0,IF(C40&gt;60,0,LOOKUP(LOOKUP(C40,RiskLoading!A$3:A$109,RiskLoading!DG$3:DG$109),db!$BC$3:$BC$63,db!$BE$3:$BE$63)))</f>
        <v>0</v>
      </c>
      <c r="AY40" s="20">
        <f>(AX40/1000000)*AA40*(1-db!$AS$11)</f>
        <v>0</v>
      </c>
      <c r="AZ40" s="20">
        <f>(AX40/1000000)*AA40*(db!$AS$11)</f>
        <v>0</v>
      </c>
      <c r="BA40" s="19">
        <f>IF(Table13[Year]=0,0,LOOKUP(Table13[Age],RiskLoading!A$3:A$109,RiskLoading!DT$3:DT$109))</f>
        <v>0</v>
      </c>
      <c r="BB40" s="20">
        <f>Table13[[#This Row],[RiskLoading
Rate]]*Table13[[#This Row],[Death Capital (2)]]</f>
        <v>0</v>
      </c>
      <c r="BC40" s="36"/>
      <c r="BD40" s="37">
        <f t="shared" si="20"/>
        <v>0</v>
      </c>
      <c r="BE40" s="35">
        <f t="shared" si="21"/>
        <v>0</v>
      </c>
      <c r="BF40" s="35">
        <f t="shared" si="22"/>
        <v>0</v>
      </c>
      <c r="BG40" s="37">
        <f t="shared" si="23"/>
        <v>0</v>
      </c>
      <c r="BH40" s="37">
        <f t="shared" si="24"/>
        <v>0</v>
      </c>
      <c r="BI40" s="35">
        <f t="shared" si="12"/>
        <v>0</v>
      </c>
      <c r="BJ40" s="35">
        <f t="shared" si="13"/>
        <v>0</v>
      </c>
      <c r="BK40" s="37">
        <v>0</v>
      </c>
      <c r="BL40" s="37">
        <v>0</v>
      </c>
      <c r="BM40" s="35"/>
      <c r="BN40" s="37">
        <f>0</f>
        <v>0</v>
      </c>
      <c r="BO40" s="37"/>
      <c r="BP40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40" s="33"/>
      <c r="BR40" s="39">
        <f>Table13[[#This Row],[Initial Reserve]]-Table13[[#This Row],[All Deductions]]</f>
        <v>0</v>
      </c>
      <c r="BS40" s="39">
        <v>0</v>
      </c>
      <c r="BT40" s="39">
        <f>IF(B40=0,0,BU39-Table13[[#This Row],[All Deductions]])</f>
        <v>0</v>
      </c>
      <c r="BU40" s="40">
        <f>ROUND(IF(B40=0,0,((BR40+BU39)*(1+db!U42))),0)</f>
        <v>0</v>
      </c>
      <c r="BV40" s="40">
        <f t="shared" si="25"/>
        <v>0</v>
      </c>
      <c r="BW40" s="15">
        <f t="shared" si="14"/>
        <v>39</v>
      </c>
      <c r="BX40" s="39">
        <f>IF(B40=0,0,((BR40)*(1+db!AH42))+((BX39)*(1+db!AD42)))</f>
        <v>0</v>
      </c>
      <c r="BY40" s="39">
        <f>IF(B40=0,0,((BR40)*(1+db!AH42))+((BY39)*(1+db!AD42)))</f>
        <v>0</v>
      </c>
      <c r="BZ40" s="40">
        <f>IF(B40=0,0,((BR40)*(1+db!AO42))+((BZ39)*(1+db!AK42)))</f>
        <v>0</v>
      </c>
      <c r="CA40" s="40">
        <f>BZ40-(SUM(BM$7:$BM41))</f>
        <v>0</v>
      </c>
      <c r="CB40" s="46"/>
    </row>
    <row r="41" spans="1:80">
      <c r="A41" s="16">
        <f t="shared" si="15"/>
        <v>40</v>
      </c>
      <c r="B41" s="16">
        <f>IF(B40=0,0,IF(db!$E$5&lt;B40+1,0,B40+1))</f>
        <v>0</v>
      </c>
      <c r="C41" s="15">
        <f t="shared" si="16"/>
        <v>0</v>
      </c>
      <c r="D41" s="312">
        <f>LOOKUP(Table13[[#This Row],[Age]],RiskLoading!A$3:A$109,RiskLoading!DG$3:DG$109)</f>
        <v>55</v>
      </c>
      <c r="E41" s="29">
        <f t="shared" si="8"/>
        <v>0</v>
      </c>
      <c r="F41" s="29">
        <f t="shared" si="9"/>
        <v>0</v>
      </c>
      <c r="G41" s="29">
        <f t="shared" si="0"/>
        <v>0</v>
      </c>
      <c r="H41" s="29">
        <v>0</v>
      </c>
      <c r="I41" s="29">
        <f>IF(B41=0,0,SUM($H$2:H41))</f>
        <v>0</v>
      </c>
      <c r="J41" s="17">
        <f t="shared" si="10"/>
        <v>0</v>
      </c>
      <c r="K41" s="17">
        <f>IF(Table13[[#This Row],[Year]]=0,0,IF($C$2&lt;=50,LOOKUP(Table13[[#This Row],[Age]],db!BG42:BG148,db!BH42:BH148),LOOKUP(Table13[[#This Row],[Age]],db!BJ42:BJ148,db!BK42:BK148)))</f>
        <v>0</v>
      </c>
      <c r="L41" s="17">
        <f>MIN(IF(B41=0,0,db!$E$4*((1+db!$B$4)^(B41-1))),Table13[[#This Row],[Max Sum Insured For Death]])</f>
        <v>0</v>
      </c>
      <c r="M41" s="17">
        <f>ROUND(IF(L41&lt;=db!$L$7,L41,db!$L$7),0)</f>
        <v>0</v>
      </c>
      <c r="N41" s="29">
        <f t="shared" si="11"/>
        <v>0</v>
      </c>
      <c r="O41" s="29">
        <f>IF(B41=0,0,IF(db!$D$6="Yes",(db!$B$6)*M41,0))</f>
        <v>0</v>
      </c>
      <c r="P41" s="29">
        <f>MIN(IF(O41&lt;=db!$L$2,O41,db!$L$2),MAX_ACC_CAPITAL)</f>
        <v>0</v>
      </c>
      <c r="Q41" s="17">
        <f>IF(B41=0,0,IF(db!$D$7="Yes",(db!$B$7)*M41,0))</f>
        <v>0</v>
      </c>
      <c r="R41" s="42">
        <f>IF(C41&gt;69,0,IF(C41=0,0,IF(Q41&lt;=db!$L$3,Q41,db!$L$3)))</f>
        <v>0</v>
      </c>
      <c r="S41" s="29">
        <f>IF(B41=0,0,IF(db!$D$9="Yes",(db!$B$9)*M41,0))</f>
        <v>0</v>
      </c>
      <c r="T41" s="29">
        <f>ROUND(IF(C41&gt;69,0,IF(C41=0,0,IF(S41&lt;=db!$L$4,S41,db!$L$4))),0)</f>
        <v>0</v>
      </c>
      <c r="U41" s="38">
        <v>0</v>
      </c>
      <c r="V41" s="17">
        <v>0</v>
      </c>
      <c r="W41" s="29">
        <v>0</v>
      </c>
      <c r="X41" s="17">
        <f>IF(B41=0,0,IF(db!$D$11="Yes",(db!$B$11)*M41,0))</f>
        <v>0</v>
      </c>
      <c r="Y41" s="42">
        <f>ROUND(IF(C41&gt;59,0,IF(C41=0,0,IF(X41&lt;=db!$L$5,X41,db!$L$5))),0)</f>
        <v>0</v>
      </c>
      <c r="Z41" s="29">
        <f>IF(B41=0,0,IF(db!$D$12="Yes",(db!$B$12)*M41,0))</f>
        <v>0</v>
      </c>
      <c r="AA41" s="29">
        <f>ROUND(IF(C41&gt;59,0,IF(C41=0,0,IF(Z41&lt;=db!$L$6,Z41,db!$L$6))),0)</f>
        <v>0</v>
      </c>
      <c r="AB41" s="32"/>
      <c r="AC41" s="18">
        <f>IF(B41=0,0,IF(C41&lt;(db!$E$2+5),LOOKUP(C41,'Mortality Table'!$A$2:$A$108,'Mortality Table'!$P$2:$P$108),IF((C41&gt;=db!$E$2+10),LOOKUP(C41,'Mortality Table'!$A$2:$A$108,'Mortality Table'!$R$2:$R$108),LOOKUP(C41,'Mortality Table'!$A$2:$A$108,'Mortality Table'!$Q$2:$Q$108))))</f>
        <v>0</v>
      </c>
      <c r="AD41" s="22">
        <f t="shared" si="18"/>
        <v>0</v>
      </c>
      <c r="AE41" s="19">
        <f>IF(B41=0,0,LOOKUP(db!$A$8,db!$AX$4:$AX$8,db!$AY$4:$AY$8))</f>
        <v>0</v>
      </c>
      <c r="AF41" s="20">
        <f>ROUND((AE41/1000)*P41 * (1-db!$AS$9),0)</f>
        <v>0</v>
      </c>
      <c r="AG41" s="20">
        <f>(AE41/1000)*P41 * db!$AS$9</f>
        <v>0</v>
      </c>
      <c r="AH41" s="21">
        <f>IF(B41=0,0,LOOKUP(db!$A$8,db!$AX$4:$AX$8,db!$AZ$4:$AZ$8))</f>
        <v>0</v>
      </c>
      <c r="AI41" s="22">
        <f>(AH41/1000)*R41*(1-db!$AS$9)</f>
        <v>0</v>
      </c>
      <c r="AJ41" s="22">
        <f>(AH41/1000)*R41*(db!$AS$9)</f>
        <v>0</v>
      </c>
      <c r="AK41" s="23">
        <f>IF(B41=0,0,LOOKUP(db!$A$8,db!$AX$4:$AX$8,db!$BA$4:$BA$8))</f>
        <v>0</v>
      </c>
      <c r="AL41" s="20">
        <f>ROUND((AK41/(100))*T41*(1-db!$AS$9),0)</f>
        <v>0</v>
      </c>
      <c r="AM41" s="20">
        <f>ROUND((AK41/(100))*T41*(db!$AS$9),0)</f>
        <v>0</v>
      </c>
      <c r="AN41" s="21">
        <f>IF(db!$D$8="Yes",AH41,0)</f>
        <v>0</v>
      </c>
      <c r="AO41" s="22">
        <f>(AN41*V41)/1000*(1-db!$AS$9)</f>
        <v>0</v>
      </c>
      <c r="AP41" s="22">
        <f>(AN41*V41)/1000*(db!$AS$9)</f>
        <v>0</v>
      </c>
      <c r="AQ41" s="23">
        <f>IF(db!$D$10="Yes",AH41,0)</f>
        <v>0</v>
      </c>
      <c r="AR41" s="20">
        <f>(AQ41*W41/1000)*(1-db!$AS$9)</f>
        <v>0</v>
      </c>
      <c r="AS41" s="20">
        <f>(AQ41*W41/1000)*(db!$AS$9)</f>
        <v>0</v>
      </c>
      <c r="AT41" s="22">
        <f>IF(B41=0,0,IF(C41&gt;60,0,LOOKUP(LOOKUP(C41,RiskLoading!A$3:A$109,RiskLoading!DG$3:DG$109),db!$BC$3:$BC$63,db!$BD$3:$BD$63)))</f>
        <v>0</v>
      </c>
      <c r="AU41" s="22">
        <f>AV41*db!$AS$10</f>
        <v>0</v>
      </c>
      <c r="AV41" s="22">
        <f t="shared" si="19"/>
        <v>0</v>
      </c>
      <c r="AW41" s="22">
        <f>(AT41/1000000)*Y41*(1-db!$AS$10)</f>
        <v>0</v>
      </c>
      <c r="AX41" s="20">
        <f>IF(B41=0,0,IF(C41&gt;60,0,LOOKUP(LOOKUP(C41,RiskLoading!A$3:A$109,RiskLoading!DG$3:DG$109),db!$BC$3:$BC$63,db!$BE$3:$BE$63)))</f>
        <v>0</v>
      </c>
      <c r="AY41" s="20">
        <f>(AX41/1000000)*AA41*(1-db!$AS$11)</f>
        <v>0</v>
      </c>
      <c r="AZ41" s="20">
        <f>(AX41/1000000)*AA41*(db!$AS$11)</f>
        <v>0</v>
      </c>
      <c r="BA41" s="19">
        <f>IF(Table13[Year]=0,0,LOOKUP(Table13[Age],RiskLoading!A$3:A$109,RiskLoading!DT$3:DT$109))</f>
        <v>0</v>
      </c>
      <c r="BB41" s="20">
        <f>Table13[[#This Row],[RiskLoading
Rate]]*Table13[[#This Row],[Death Capital (2)]]</f>
        <v>0</v>
      </c>
      <c r="BC41" s="36"/>
      <c r="BD41" s="37">
        <f t="shared" si="20"/>
        <v>0</v>
      </c>
      <c r="BE41" s="35">
        <f t="shared" si="21"/>
        <v>0</v>
      </c>
      <c r="BF41" s="35">
        <f t="shared" si="22"/>
        <v>0</v>
      </c>
      <c r="BG41" s="37">
        <f t="shared" si="23"/>
        <v>0</v>
      </c>
      <c r="BH41" s="37">
        <f t="shared" si="24"/>
        <v>0</v>
      </c>
      <c r="BI41" s="35">
        <f t="shared" si="12"/>
        <v>0</v>
      </c>
      <c r="BJ41" s="35">
        <f t="shared" si="13"/>
        <v>0</v>
      </c>
      <c r="BK41" s="37">
        <v>0</v>
      </c>
      <c r="BL41" s="37">
        <v>0</v>
      </c>
      <c r="BM41" s="35"/>
      <c r="BN41" s="37">
        <f>0</f>
        <v>0</v>
      </c>
      <c r="BO41" s="37"/>
      <c r="BP41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41" s="33"/>
      <c r="BR41" s="39">
        <f>Table13[[#This Row],[Initial Reserve]]-Table13[[#This Row],[All Deductions]]</f>
        <v>0</v>
      </c>
      <c r="BS41" s="39">
        <v>0</v>
      </c>
      <c r="BT41" s="39">
        <f>IF(B41=0,0,BU40-Table13[[#This Row],[All Deductions]])</f>
        <v>0</v>
      </c>
      <c r="BU41" s="40">
        <f>ROUND(IF(B41=0,0,((BR41+BU40)*(1+db!U43))),0)</f>
        <v>0</v>
      </c>
      <c r="BV41" s="40">
        <f t="shared" si="25"/>
        <v>0</v>
      </c>
      <c r="BW41" s="15">
        <f t="shared" si="14"/>
        <v>40</v>
      </c>
      <c r="BX41" s="39">
        <f>IF(B41=0,0,((BR41)*(1+db!AH43))+((BX40)*(1+db!AD43)))</f>
        <v>0</v>
      </c>
      <c r="BY41" s="39">
        <f>IF(B41=0,0,((BR41)*(1+db!AH43))+((BY40)*(1+db!AD43)))</f>
        <v>0</v>
      </c>
      <c r="BZ41" s="40">
        <f>IF(B41=0,0,((BR41)*(1+db!AO43))+((BZ40)*(1+db!AK43)))</f>
        <v>0</v>
      </c>
      <c r="CA41" s="40">
        <f>BZ41-(SUM(BM$7:$BM42))</f>
        <v>0</v>
      </c>
      <c r="CB41" s="46"/>
    </row>
    <row r="42" spans="1:80">
      <c r="A42" s="16">
        <f t="shared" si="15"/>
        <v>41</v>
      </c>
      <c r="B42" s="16">
        <f>IF(B41=0,0,IF(db!$E$5&lt;B41+1,0,B41+1))</f>
        <v>0</v>
      </c>
      <c r="C42" s="15">
        <f t="shared" si="16"/>
        <v>0</v>
      </c>
      <c r="D42" s="312">
        <f>LOOKUP(Table13[[#This Row],[Age]],RiskLoading!A$3:A$109,RiskLoading!DG$3:DG$109)</f>
        <v>55</v>
      </c>
      <c r="E42" s="29">
        <f t="shared" si="8"/>
        <v>0</v>
      </c>
      <c r="F42" s="29">
        <f t="shared" si="9"/>
        <v>0</v>
      </c>
      <c r="G42" s="29">
        <f t="shared" si="0"/>
        <v>0</v>
      </c>
      <c r="H42" s="29">
        <v>0</v>
      </c>
      <c r="I42" s="29">
        <f>IF(B42=0,0,SUM($H$2:H42))</f>
        <v>0</v>
      </c>
      <c r="J42" s="17">
        <f t="shared" si="10"/>
        <v>0</v>
      </c>
      <c r="K42" s="17">
        <f>IF(Table13[[#This Row],[Year]]=0,0,IF($C$2&lt;=50,LOOKUP(Table13[[#This Row],[Age]],db!BG43:BG149,db!BH43:BH149),LOOKUP(Table13[[#This Row],[Age]],db!BJ43:BJ149,db!BK43:BK149)))</f>
        <v>0</v>
      </c>
      <c r="L42" s="17">
        <f>MIN(IF(B42=0,0,db!$E$4*((1+db!$B$4)^(B42-1))),Table13[[#This Row],[Max Sum Insured For Death]])</f>
        <v>0</v>
      </c>
      <c r="M42" s="17">
        <f>ROUND(IF(L42&lt;=db!$L$7,L42,db!$L$7),0)</f>
        <v>0</v>
      </c>
      <c r="N42" s="29">
        <f t="shared" si="11"/>
        <v>0</v>
      </c>
      <c r="O42" s="29">
        <f>IF(B42=0,0,IF(db!$D$6="Yes",(db!$B$6)*M42,0))</f>
        <v>0</v>
      </c>
      <c r="P42" s="29">
        <f>MIN(IF(O42&lt;=db!$L$2,O42,db!$L$2),MAX_ACC_CAPITAL)</f>
        <v>0</v>
      </c>
      <c r="Q42" s="17">
        <f>IF(B42=0,0,IF(db!$D$7="Yes",(db!$B$7)*M42,0))</f>
        <v>0</v>
      </c>
      <c r="R42" s="42">
        <f>IF(C42&gt;69,0,IF(C42=0,0,IF(Q42&lt;=db!$L$3,Q42,db!$L$3)))</f>
        <v>0</v>
      </c>
      <c r="S42" s="29">
        <f>IF(B42=0,0,IF(db!$D$9="Yes",(db!$B$9)*M42,0))</f>
        <v>0</v>
      </c>
      <c r="T42" s="29">
        <f>ROUND(IF(C42&gt;69,0,IF(C42=0,0,IF(S42&lt;=db!$L$4,S42,db!$L$4))),0)</f>
        <v>0</v>
      </c>
      <c r="U42" s="38">
        <v>0</v>
      </c>
      <c r="V42" s="17">
        <v>0</v>
      </c>
      <c r="W42" s="29">
        <v>0</v>
      </c>
      <c r="X42" s="17">
        <f>IF(B42=0,0,IF(db!$D$11="Yes",(db!$B$11)*M42,0))</f>
        <v>0</v>
      </c>
      <c r="Y42" s="42">
        <f>ROUND(IF(C42&gt;59,0,IF(C42=0,0,IF(X42&lt;=db!$L$5,X42,db!$L$5))),0)</f>
        <v>0</v>
      </c>
      <c r="Z42" s="29">
        <f>IF(B42=0,0,IF(db!$D$12="Yes",(db!$B$12)*M42,0))</f>
        <v>0</v>
      </c>
      <c r="AA42" s="29">
        <f>ROUND(IF(C42&gt;59,0,IF(C42=0,0,IF(Z42&lt;=db!$L$6,Z42,db!$L$6))),0)</f>
        <v>0</v>
      </c>
      <c r="AB42" s="32"/>
      <c r="AC42" s="18">
        <f>IF(B42=0,0,IF(C42&lt;(db!$E$2+5),LOOKUP(C42,'Mortality Table'!$A$2:$A$108,'Mortality Table'!$P$2:$P$108),IF((C42&gt;=db!$E$2+10),LOOKUP(C42,'Mortality Table'!$A$2:$A$108,'Mortality Table'!$R$2:$R$108),LOOKUP(C42,'Mortality Table'!$A$2:$A$108,'Mortality Table'!$Q$2:$Q$108))))</f>
        <v>0</v>
      </c>
      <c r="AD42" s="22">
        <f t="shared" si="18"/>
        <v>0</v>
      </c>
      <c r="AE42" s="19">
        <f>IF(B42=0,0,LOOKUP(db!$A$8,db!$AX$4:$AX$8,db!$AY$4:$AY$8))</f>
        <v>0</v>
      </c>
      <c r="AF42" s="20">
        <f>ROUND((AE42/1000)*P42 * (1-db!$AS$9),0)</f>
        <v>0</v>
      </c>
      <c r="AG42" s="20">
        <f>(AE42/1000)*P42 * db!$AS$9</f>
        <v>0</v>
      </c>
      <c r="AH42" s="21">
        <f>IF(B42=0,0,LOOKUP(db!$A$8,db!$AX$4:$AX$8,db!$AZ$4:$AZ$8))</f>
        <v>0</v>
      </c>
      <c r="AI42" s="22">
        <f>(AH42/1000)*R42*(1-db!$AS$9)</f>
        <v>0</v>
      </c>
      <c r="AJ42" s="22">
        <f>(AH42/1000)*R42*(db!$AS$9)</f>
        <v>0</v>
      </c>
      <c r="AK42" s="23">
        <f>IF(B42=0,0,LOOKUP(db!$A$8,db!$AX$4:$AX$8,db!$BA$4:$BA$8))</f>
        <v>0</v>
      </c>
      <c r="AL42" s="20">
        <f>ROUND((AK42/(100))*T42*(1-db!$AS$9),0)</f>
        <v>0</v>
      </c>
      <c r="AM42" s="20">
        <f>ROUND((AK42/(100))*T42*(db!$AS$9),0)</f>
        <v>0</v>
      </c>
      <c r="AN42" s="21">
        <f>IF(db!$D$8="Yes",AH42,0)</f>
        <v>0</v>
      </c>
      <c r="AO42" s="22">
        <f>(AN42*V42)/1000*(1-db!$AS$9)</f>
        <v>0</v>
      </c>
      <c r="AP42" s="22">
        <f>(AN42*V42)/1000*(db!$AS$9)</f>
        <v>0</v>
      </c>
      <c r="AQ42" s="23">
        <f>IF(db!$D$10="Yes",AH42,0)</f>
        <v>0</v>
      </c>
      <c r="AR42" s="20">
        <f>(AQ42*W42/1000)*(1-db!$AS$9)</f>
        <v>0</v>
      </c>
      <c r="AS42" s="20">
        <f>(AQ42*W42/1000)*(db!$AS$9)</f>
        <v>0</v>
      </c>
      <c r="AT42" s="22">
        <f>IF(B42=0,0,IF(C42&gt;60,0,LOOKUP(LOOKUP(C42,RiskLoading!A$3:A$109,RiskLoading!DG$3:DG$109),db!$BC$3:$BC$63,db!$BD$3:$BD$63)))</f>
        <v>0</v>
      </c>
      <c r="AU42" s="22">
        <f>AV42*db!$AS$10</f>
        <v>0</v>
      </c>
      <c r="AV42" s="22">
        <f t="shared" si="19"/>
        <v>0</v>
      </c>
      <c r="AW42" s="22">
        <f>(AT42/1000000)*Y42*(1-db!$AS$10)</f>
        <v>0</v>
      </c>
      <c r="AX42" s="20">
        <f>IF(B42=0,0,IF(C42&gt;60,0,LOOKUP(LOOKUP(C42,RiskLoading!A$3:A$109,RiskLoading!DG$3:DG$109),db!$BC$3:$BC$63,db!$BE$3:$BE$63)))</f>
        <v>0</v>
      </c>
      <c r="AY42" s="20">
        <f>(AX42/1000000)*AA42*(1-db!$AS$11)</f>
        <v>0</v>
      </c>
      <c r="AZ42" s="20">
        <f>(AX42/1000000)*AA42*(db!$AS$11)</f>
        <v>0</v>
      </c>
      <c r="BA42" s="19">
        <f>IF(Table13[Year]=0,0,LOOKUP(Table13[Age],RiskLoading!A$3:A$109,RiskLoading!DT$3:DT$109))</f>
        <v>0</v>
      </c>
      <c r="BB42" s="20">
        <f>Table13[[#This Row],[RiskLoading
Rate]]*Table13[[#This Row],[Death Capital (2)]]</f>
        <v>0</v>
      </c>
      <c r="BC42" s="36"/>
      <c r="BD42" s="37">
        <f t="shared" si="20"/>
        <v>0</v>
      </c>
      <c r="BE42" s="35">
        <f t="shared" si="21"/>
        <v>0</v>
      </c>
      <c r="BF42" s="35">
        <f t="shared" si="22"/>
        <v>0</v>
      </c>
      <c r="BG42" s="37">
        <f t="shared" si="23"/>
        <v>0</v>
      </c>
      <c r="BH42" s="37">
        <f t="shared" si="24"/>
        <v>0</v>
      </c>
      <c r="BI42" s="35">
        <f t="shared" si="12"/>
        <v>0</v>
      </c>
      <c r="BJ42" s="35">
        <f t="shared" si="13"/>
        <v>0</v>
      </c>
      <c r="BK42" s="37">
        <v>0</v>
      </c>
      <c r="BL42" s="37">
        <v>0</v>
      </c>
      <c r="BM42" s="35"/>
      <c r="BN42" s="37">
        <f>0</f>
        <v>0</v>
      </c>
      <c r="BO42" s="37"/>
      <c r="BP42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42" s="33"/>
      <c r="BR42" s="39">
        <f>Table13[[#This Row],[Initial Reserve]]-Table13[[#This Row],[All Deductions]]</f>
        <v>0</v>
      </c>
      <c r="BS42" s="39">
        <v>0</v>
      </c>
      <c r="BT42" s="39">
        <f>IF(B42=0,0,BU41-Table13[[#This Row],[All Deductions]])</f>
        <v>0</v>
      </c>
      <c r="BU42" s="40">
        <f>ROUND(IF(B42=0,0,((BR42+BU41)*(1+db!U44))),0)</f>
        <v>0</v>
      </c>
      <c r="BV42" s="40">
        <f t="shared" si="25"/>
        <v>0</v>
      </c>
      <c r="BW42" s="15">
        <f t="shared" si="14"/>
        <v>41</v>
      </c>
      <c r="BX42" s="39">
        <f>IF(B42=0,0,((BR42)*(1+db!AH44))+((BX41)*(1+db!AD44)))</f>
        <v>0</v>
      </c>
      <c r="BY42" s="39">
        <f>IF(B42=0,0,((BR42)*(1+db!AH44))+((BY41)*(1+db!AD44)))</f>
        <v>0</v>
      </c>
      <c r="BZ42" s="40">
        <f>IF(B42=0,0,((BR42)*(1+db!AO44))+((BZ41)*(1+db!AK44)))</f>
        <v>0</v>
      </c>
      <c r="CA42" s="40">
        <f>BZ42-(SUM(BM$7:$BM43))</f>
        <v>0</v>
      </c>
      <c r="CB42" s="46"/>
    </row>
    <row r="43" spans="1:80">
      <c r="A43" s="16">
        <f t="shared" si="15"/>
        <v>42</v>
      </c>
      <c r="B43" s="16">
        <f>IF(B42=0,0,IF(db!$E$5&lt;B42+1,0,B42+1))</f>
        <v>0</v>
      </c>
      <c r="C43" s="15">
        <f t="shared" si="16"/>
        <v>0</v>
      </c>
      <c r="D43" s="312">
        <f>LOOKUP(Table13[[#This Row],[Age]],RiskLoading!A$3:A$109,RiskLoading!DG$3:DG$109)</f>
        <v>55</v>
      </c>
      <c r="E43" s="29">
        <f t="shared" si="8"/>
        <v>0</v>
      </c>
      <c r="F43" s="29">
        <f t="shared" si="9"/>
        <v>0</v>
      </c>
      <c r="G43" s="29">
        <f t="shared" si="0"/>
        <v>0</v>
      </c>
      <c r="H43" s="29">
        <v>0</v>
      </c>
      <c r="I43" s="29">
        <f>IF(B43=0,0,SUM($H$2:H43))</f>
        <v>0</v>
      </c>
      <c r="J43" s="17">
        <f t="shared" si="10"/>
        <v>0</v>
      </c>
      <c r="K43" s="17">
        <f>IF(Table13[[#This Row],[Year]]=0,0,IF($C$2&lt;=50,LOOKUP(Table13[[#This Row],[Age]],db!BG44:BG150,db!BH44:BH150),LOOKUP(Table13[[#This Row],[Age]],db!BJ44:BJ150,db!BK44:BK150)))</f>
        <v>0</v>
      </c>
      <c r="L43" s="17">
        <f>MIN(IF(B43=0,0,db!$E$4*((1+db!$B$4)^(B43-1))),Table13[[#This Row],[Max Sum Insured For Death]])</f>
        <v>0</v>
      </c>
      <c r="M43" s="17">
        <f>ROUND(IF(L43&lt;=db!$L$7,L43,db!$L$7),0)</f>
        <v>0</v>
      </c>
      <c r="N43" s="29">
        <f t="shared" si="11"/>
        <v>0</v>
      </c>
      <c r="O43" s="29">
        <f>IF(B43=0,0,IF(db!$D$6="Yes",(db!$B$6)*M43,0))</f>
        <v>0</v>
      </c>
      <c r="P43" s="29">
        <f>MIN(IF(O43&lt;=db!$L$2,O43,db!$L$2),MAX_ACC_CAPITAL)</f>
        <v>0</v>
      </c>
      <c r="Q43" s="17">
        <f>IF(B43=0,0,IF(db!$D$7="Yes",(db!$B$7)*M43,0))</f>
        <v>0</v>
      </c>
      <c r="R43" s="42">
        <f>IF(C43&gt;69,0,IF(C43=0,0,IF(Q43&lt;=db!$L$3,Q43,db!$L$3)))</f>
        <v>0</v>
      </c>
      <c r="S43" s="29">
        <f>IF(B43=0,0,IF(db!$D$9="Yes",(db!$B$9)*M43,0))</f>
        <v>0</v>
      </c>
      <c r="T43" s="29">
        <f>ROUND(IF(C43&gt;69,0,IF(C43=0,0,IF(S43&lt;=db!$L$4,S43,db!$L$4))),0)</f>
        <v>0</v>
      </c>
      <c r="U43" s="38">
        <v>0</v>
      </c>
      <c r="V43" s="17">
        <v>0</v>
      </c>
      <c r="W43" s="29">
        <v>0</v>
      </c>
      <c r="X43" s="17">
        <f>IF(B43=0,0,IF(db!$D$11="Yes",(db!$B$11)*M43,0))</f>
        <v>0</v>
      </c>
      <c r="Y43" s="42">
        <f>ROUND(IF(C43&gt;59,0,IF(C43=0,0,IF(X43&lt;=db!$L$5,X43,db!$L$5))),0)</f>
        <v>0</v>
      </c>
      <c r="Z43" s="29">
        <f>IF(B43=0,0,IF(db!$D$12="Yes",(db!$B$12)*M43,0))</f>
        <v>0</v>
      </c>
      <c r="AA43" s="29">
        <f>ROUND(IF(C43&gt;59,0,IF(C43=0,0,IF(Z43&lt;=db!$L$6,Z43,db!$L$6))),0)</f>
        <v>0</v>
      </c>
      <c r="AB43" s="32"/>
      <c r="AC43" s="18">
        <f>IF(B43=0,0,IF(C43&lt;(db!$E$2+5),LOOKUP(C43,'Mortality Table'!$A$2:$A$108,'Mortality Table'!$P$2:$P$108),IF((C43&gt;=db!$E$2+10),LOOKUP(C43,'Mortality Table'!$A$2:$A$108,'Mortality Table'!$R$2:$R$108),LOOKUP(C43,'Mortality Table'!$A$2:$A$108,'Mortality Table'!$Q$2:$Q$108))))</f>
        <v>0</v>
      </c>
      <c r="AD43" s="22">
        <f t="shared" si="18"/>
        <v>0</v>
      </c>
      <c r="AE43" s="19">
        <f>IF(B43=0,0,LOOKUP(db!$A$8,db!$AX$4:$AX$8,db!$AY$4:$AY$8))</f>
        <v>0</v>
      </c>
      <c r="AF43" s="20">
        <f>ROUND((AE43/1000)*P43 * (1-db!$AS$9),0)</f>
        <v>0</v>
      </c>
      <c r="AG43" s="20">
        <f>(AE43/1000)*P43 * db!$AS$9</f>
        <v>0</v>
      </c>
      <c r="AH43" s="21">
        <f>IF(B43=0,0,LOOKUP(db!$A$8,db!$AX$4:$AX$8,db!$AZ$4:$AZ$8))</f>
        <v>0</v>
      </c>
      <c r="AI43" s="22">
        <f>(AH43/1000)*R43*(1-db!$AS$9)</f>
        <v>0</v>
      </c>
      <c r="AJ43" s="22">
        <f>(AH43/1000)*R43*(db!$AS$9)</f>
        <v>0</v>
      </c>
      <c r="AK43" s="23">
        <f>IF(B43=0,0,LOOKUP(db!$A$8,db!$AX$4:$AX$8,db!$BA$4:$BA$8))</f>
        <v>0</v>
      </c>
      <c r="AL43" s="20">
        <f>ROUND((AK43/(100))*T43*(1-db!$AS$9),0)</f>
        <v>0</v>
      </c>
      <c r="AM43" s="20">
        <f>ROUND((AK43/(100))*T43*(db!$AS$9),0)</f>
        <v>0</v>
      </c>
      <c r="AN43" s="21">
        <f>IF(db!$D$8="Yes",AH43,0)</f>
        <v>0</v>
      </c>
      <c r="AO43" s="22">
        <f>(AN43*V43)/1000*(1-db!$AS$9)</f>
        <v>0</v>
      </c>
      <c r="AP43" s="22">
        <f>(AN43*V43)/1000*(db!$AS$9)</f>
        <v>0</v>
      </c>
      <c r="AQ43" s="23">
        <f>IF(db!$D$10="Yes",AH43,0)</f>
        <v>0</v>
      </c>
      <c r="AR43" s="20">
        <f>(AQ43*W43/1000)*(1-db!$AS$9)</f>
        <v>0</v>
      </c>
      <c r="AS43" s="20">
        <f>(AQ43*W43/1000)*(db!$AS$9)</f>
        <v>0</v>
      </c>
      <c r="AT43" s="22">
        <f>IF(B43=0,0,IF(C43&gt;60,0,LOOKUP(LOOKUP(C43,RiskLoading!A$3:A$109,RiskLoading!DG$3:DG$109),db!$BC$3:$BC$63,db!$BD$3:$BD$63)))</f>
        <v>0</v>
      </c>
      <c r="AU43" s="22">
        <f>AV43*db!$AS$10</f>
        <v>0</v>
      </c>
      <c r="AV43" s="22">
        <f t="shared" si="19"/>
        <v>0</v>
      </c>
      <c r="AW43" s="22">
        <f>(AT43/1000000)*Y43*(1-db!$AS$10)</f>
        <v>0</v>
      </c>
      <c r="AX43" s="20">
        <f>IF(B43=0,0,IF(C43&gt;60,0,LOOKUP(LOOKUP(C43,RiskLoading!A$3:A$109,RiskLoading!DG$3:DG$109),db!$BC$3:$BC$63,db!$BE$3:$BE$63)))</f>
        <v>0</v>
      </c>
      <c r="AY43" s="20">
        <f>(AX43/1000000)*AA43*(1-db!$AS$11)</f>
        <v>0</v>
      </c>
      <c r="AZ43" s="20">
        <f>(AX43/1000000)*AA43*(db!$AS$11)</f>
        <v>0</v>
      </c>
      <c r="BA43" s="19">
        <f>IF(Table13[Year]=0,0,LOOKUP(Table13[Age],RiskLoading!A$3:A$109,RiskLoading!DT$3:DT$109))</f>
        <v>0</v>
      </c>
      <c r="BB43" s="20">
        <f>Table13[[#This Row],[RiskLoading
Rate]]*Table13[[#This Row],[Death Capital (2)]]</f>
        <v>0</v>
      </c>
      <c r="BC43" s="36"/>
      <c r="BD43" s="37">
        <f t="shared" si="20"/>
        <v>0</v>
      </c>
      <c r="BE43" s="35">
        <f t="shared" si="21"/>
        <v>0</v>
      </c>
      <c r="BF43" s="35">
        <f t="shared" si="22"/>
        <v>0</v>
      </c>
      <c r="BG43" s="37">
        <f t="shared" si="23"/>
        <v>0</v>
      </c>
      <c r="BH43" s="37">
        <f t="shared" si="24"/>
        <v>0</v>
      </c>
      <c r="BI43" s="35">
        <f t="shared" si="12"/>
        <v>0</v>
      </c>
      <c r="BJ43" s="35">
        <f t="shared" si="13"/>
        <v>0</v>
      </c>
      <c r="BK43" s="37">
        <v>0</v>
      </c>
      <c r="BL43" s="37">
        <v>0</v>
      </c>
      <c r="BM43" s="35"/>
      <c r="BN43" s="37">
        <f>0</f>
        <v>0</v>
      </c>
      <c r="BO43" s="37"/>
      <c r="BP43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43" s="33"/>
      <c r="BR43" s="39">
        <f>Table13[[#This Row],[Initial Reserve]]-Table13[[#This Row],[All Deductions]]</f>
        <v>0</v>
      </c>
      <c r="BS43" s="39">
        <v>0</v>
      </c>
      <c r="BT43" s="39">
        <f>IF(B43=0,0,BU42-Table13[[#This Row],[All Deductions]])</f>
        <v>0</v>
      </c>
      <c r="BU43" s="40">
        <f>ROUND(IF(B43=0,0,((BR43+BU42)*(1+db!U45))),0)</f>
        <v>0</v>
      </c>
      <c r="BV43" s="40">
        <f t="shared" si="25"/>
        <v>0</v>
      </c>
      <c r="BW43" s="15">
        <f t="shared" si="14"/>
        <v>42</v>
      </c>
      <c r="BX43" s="39">
        <f>IF(B43=0,0,((BR43)*(1+db!AH45))+((BX42)*(1+db!AD45)))</f>
        <v>0</v>
      </c>
      <c r="BY43" s="39">
        <f>IF(B43=0,0,((BR43)*(1+db!AH45))+((BY42)*(1+db!AD45)))</f>
        <v>0</v>
      </c>
      <c r="BZ43" s="40">
        <f>IF(B43=0,0,((BR43)*(1+db!AO45))+((BZ42)*(1+db!AK45)))</f>
        <v>0</v>
      </c>
      <c r="CA43" s="40">
        <f>BZ43-(SUM(BM$7:$BM44))</f>
        <v>0</v>
      </c>
      <c r="CB43" s="46"/>
    </row>
    <row r="44" spans="1:80">
      <c r="A44" s="16">
        <f t="shared" si="15"/>
        <v>43</v>
      </c>
      <c r="B44" s="16">
        <f>IF(B43=0,0,IF(db!$E$5&lt;B43+1,0,B43+1))</f>
        <v>0</v>
      </c>
      <c r="C44" s="15">
        <f t="shared" si="16"/>
        <v>0</v>
      </c>
      <c r="D44" s="312">
        <f>LOOKUP(Table13[[#This Row],[Age]],RiskLoading!A$3:A$109,RiskLoading!DG$3:DG$109)</f>
        <v>55</v>
      </c>
      <c r="E44" s="29">
        <f t="shared" si="8"/>
        <v>0</v>
      </c>
      <c r="F44" s="29">
        <f t="shared" si="9"/>
        <v>0</v>
      </c>
      <c r="G44" s="29">
        <f t="shared" si="0"/>
        <v>0</v>
      </c>
      <c r="H44" s="29">
        <v>0</v>
      </c>
      <c r="I44" s="29">
        <f>IF(B44=0,0,SUM($H$2:H44))</f>
        <v>0</v>
      </c>
      <c r="J44" s="17">
        <f t="shared" si="10"/>
        <v>0</v>
      </c>
      <c r="K44" s="17">
        <f>IF(Table13[[#This Row],[Year]]=0,0,IF($C$2&lt;=50,LOOKUP(Table13[[#This Row],[Age]],db!BG45:BG151,db!BH45:BH151),LOOKUP(Table13[[#This Row],[Age]],db!BJ45:BJ151,db!BK45:BK151)))</f>
        <v>0</v>
      </c>
      <c r="L44" s="17">
        <f>MIN(IF(B44=0,0,db!$E$4*((1+db!$B$4)^(B44-1))),Table13[[#This Row],[Max Sum Insured For Death]])</f>
        <v>0</v>
      </c>
      <c r="M44" s="17">
        <f>ROUND(IF(L44&lt;=db!$L$7,L44,db!$L$7),0)</f>
        <v>0</v>
      </c>
      <c r="N44" s="29">
        <f t="shared" si="11"/>
        <v>0</v>
      </c>
      <c r="O44" s="29">
        <f>IF(B44=0,0,IF(db!$D$6="Yes",(db!$B$6)*M44,0))</f>
        <v>0</v>
      </c>
      <c r="P44" s="29">
        <f>MIN(IF(O44&lt;=db!$L$2,O44,db!$L$2),MAX_ACC_CAPITAL)</f>
        <v>0</v>
      </c>
      <c r="Q44" s="17">
        <f>IF(B44=0,0,IF(db!$D$7="Yes",(db!$B$7)*M44,0))</f>
        <v>0</v>
      </c>
      <c r="R44" s="42">
        <f>IF(C44&gt;69,0,IF(C44=0,0,IF(Q44&lt;=db!$L$3,Q44,db!$L$3)))</f>
        <v>0</v>
      </c>
      <c r="S44" s="29">
        <f>IF(B44=0,0,IF(db!$D$9="Yes",(db!$B$9)*M44,0))</f>
        <v>0</v>
      </c>
      <c r="T44" s="29">
        <f>ROUND(IF(C44&gt;69,0,IF(C44=0,0,IF(S44&lt;=db!$L$4,S44,db!$L$4))),0)</f>
        <v>0</v>
      </c>
      <c r="U44" s="38">
        <v>0</v>
      </c>
      <c r="V44" s="17">
        <v>0</v>
      </c>
      <c r="W44" s="29">
        <v>0</v>
      </c>
      <c r="X44" s="17">
        <f>IF(B44=0,0,IF(db!$D$11="Yes",(db!$B$11)*M44,0))</f>
        <v>0</v>
      </c>
      <c r="Y44" s="42">
        <f>ROUND(IF(C44&gt;59,0,IF(C44=0,0,IF(X44&lt;=db!$L$5,X44,db!$L$5))),0)</f>
        <v>0</v>
      </c>
      <c r="Z44" s="29">
        <f>IF(B44=0,0,IF(db!$D$12="Yes",(db!$B$12)*M44,0))</f>
        <v>0</v>
      </c>
      <c r="AA44" s="29">
        <f>ROUND(IF(C44&gt;59,0,IF(C44=0,0,IF(Z44&lt;=db!$L$6,Z44,db!$L$6))),0)</f>
        <v>0</v>
      </c>
      <c r="AB44" s="32"/>
      <c r="AC44" s="18">
        <f>IF(B44=0,0,IF(C44&lt;(db!$E$2+5),LOOKUP(C44,'Mortality Table'!$A$2:$A$108,'Mortality Table'!$P$2:$P$108),IF((C44&gt;=db!$E$2+10),LOOKUP(C44,'Mortality Table'!$A$2:$A$108,'Mortality Table'!$R$2:$R$108),LOOKUP(C44,'Mortality Table'!$A$2:$A$108,'Mortality Table'!$Q$2:$Q$108))))</f>
        <v>0</v>
      </c>
      <c r="AD44" s="22">
        <f t="shared" si="18"/>
        <v>0</v>
      </c>
      <c r="AE44" s="19">
        <f>IF(B44=0,0,LOOKUP(db!$A$8,db!$AX$4:$AX$8,db!$AY$4:$AY$8))</f>
        <v>0</v>
      </c>
      <c r="AF44" s="20">
        <f>ROUND((AE44/1000)*P44 * (1-db!$AS$9),0)</f>
        <v>0</v>
      </c>
      <c r="AG44" s="20">
        <f>(AE44/1000)*P44 * db!$AS$9</f>
        <v>0</v>
      </c>
      <c r="AH44" s="21">
        <f>IF(B44=0,0,LOOKUP(db!$A$8,db!$AX$4:$AX$8,db!$AZ$4:$AZ$8))</f>
        <v>0</v>
      </c>
      <c r="AI44" s="22">
        <f>(AH44/1000)*R44*(1-db!$AS$9)</f>
        <v>0</v>
      </c>
      <c r="AJ44" s="22">
        <f>(AH44/1000)*R44*(db!$AS$9)</f>
        <v>0</v>
      </c>
      <c r="AK44" s="23">
        <f>IF(B44=0,0,LOOKUP(db!$A$8,db!$AX$4:$AX$8,db!$BA$4:$BA$8))</f>
        <v>0</v>
      </c>
      <c r="AL44" s="20">
        <f>ROUND((AK44/(100))*T44*(1-db!$AS$9),0)</f>
        <v>0</v>
      </c>
      <c r="AM44" s="20">
        <f>ROUND((AK44/(100))*T44*(db!$AS$9),0)</f>
        <v>0</v>
      </c>
      <c r="AN44" s="21">
        <f>IF(db!$D$8="Yes",AH44,0)</f>
        <v>0</v>
      </c>
      <c r="AO44" s="22">
        <f>(AN44*V44)/1000*(1-db!$AS$9)</f>
        <v>0</v>
      </c>
      <c r="AP44" s="22">
        <f>(AN44*V44)/1000*(db!$AS$9)</f>
        <v>0</v>
      </c>
      <c r="AQ44" s="23">
        <f>IF(db!$D$10="Yes",AH44,0)</f>
        <v>0</v>
      </c>
      <c r="AR44" s="20">
        <f>(AQ44*W44/1000)*(1-db!$AS$9)</f>
        <v>0</v>
      </c>
      <c r="AS44" s="20">
        <f>(AQ44*W44/1000)*(db!$AS$9)</f>
        <v>0</v>
      </c>
      <c r="AT44" s="22">
        <f>IF(B44=0,0,IF(C44&gt;60,0,LOOKUP(LOOKUP(C44,RiskLoading!A$3:A$109,RiskLoading!DG$3:DG$109),db!$BC$3:$BC$63,db!$BD$3:$BD$63)))</f>
        <v>0</v>
      </c>
      <c r="AU44" s="22">
        <f>AV44*db!$AS$10</f>
        <v>0</v>
      </c>
      <c r="AV44" s="22">
        <f t="shared" si="19"/>
        <v>0</v>
      </c>
      <c r="AW44" s="22">
        <f>(AT44/1000000)*Y44*(1-db!$AS$10)</f>
        <v>0</v>
      </c>
      <c r="AX44" s="20">
        <f>IF(B44=0,0,IF(C44&gt;60,0,LOOKUP(LOOKUP(C44,RiskLoading!A$3:A$109,RiskLoading!DG$3:DG$109),db!$BC$3:$BC$63,db!$BE$3:$BE$63)))</f>
        <v>0</v>
      </c>
      <c r="AY44" s="20">
        <f>(AX44/1000000)*AA44*(1-db!$AS$11)</f>
        <v>0</v>
      </c>
      <c r="AZ44" s="20">
        <f>(AX44/1000000)*AA44*(db!$AS$11)</f>
        <v>0</v>
      </c>
      <c r="BA44" s="19">
        <f>IF(Table13[Year]=0,0,LOOKUP(Table13[Age],RiskLoading!A$3:A$109,RiskLoading!DT$3:DT$109))</f>
        <v>0</v>
      </c>
      <c r="BB44" s="20">
        <f>Table13[[#This Row],[RiskLoading
Rate]]*Table13[[#This Row],[Death Capital (2)]]</f>
        <v>0</v>
      </c>
      <c r="BC44" s="36"/>
      <c r="BD44" s="37">
        <f t="shared" si="20"/>
        <v>0</v>
      </c>
      <c r="BE44" s="35">
        <f t="shared" si="21"/>
        <v>0</v>
      </c>
      <c r="BF44" s="35">
        <f t="shared" si="22"/>
        <v>0</v>
      </c>
      <c r="BG44" s="37">
        <f t="shared" si="23"/>
        <v>0</v>
      </c>
      <c r="BH44" s="37">
        <f t="shared" si="24"/>
        <v>0</v>
      </c>
      <c r="BI44" s="35">
        <f t="shared" si="12"/>
        <v>0</v>
      </c>
      <c r="BJ44" s="35">
        <f t="shared" si="13"/>
        <v>0</v>
      </c>
      <c r="BK44" s="37">
        <v>0</v>
      </c>
      <c r="BL44" s="37">
        <v>0</v>
      </c>
      <c r="BM44" s="35"/>
      <c r="BN44" s="37">
        <f>0</f>
        <v>0</v>
      </c>
      <c r="BO44" s="37"/>
      <c r="BP44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44" s="33"/>
      <c r="BR44" s="39">
        <f>Table13[[#This Row],[Initial Reserve]]-Table13[[#This Row],[All Deductions]]</f>
        <v>0</v>
      </c>
      <c r="BS44" s="39">
        <v>0</v>
      </c>
      <c r="BT44" s="39">
        <f>IF(B44=0,0,BU43-Table13[[#This Row],[All Deductions]])</f>
        <v>0</v>
      </c>
      <c r="BU44" s="40">
        <f>ROUND(IF(B44=0,0,((BR44+BU43)*(1+db!U46))),0)</f>
        <v>0</v>
      </c>
      <c r="BV44" s="40">
        <f t="shared" si="25"/>
        <v>0</v>
      </c>
      <c r="BW44" s="15">
        <f t="shared" si="14"/>
        <v>43</v>
      </c>
      <c r="BX44" s="39">
        <f>IF(B44=0,0,((BR44)*(1+db!AH46))+((BX43)*(1+db!AD46)))</f>
        <v>0</v>
      </c>
      <c r="BY44" s="39">
        <f>IF(B44=0,0,((BR44)*(1+db!AH46))+((BY43)*(1+db!AD46)))</f>
        <v>0</v>
      </c>
      <c r="BZ44" s="40">
        <f>IF(B44=0,0,((BR44)*(1+db!AO46))+((BZ43)*(1+db!AK46)))</f>
        <v>0</v>
      </c>
      <c r="CA44" s="40">
        <f>BZ44-(SUM(BM$7:$BM45))</f>
        <v>0</v>
      </c>
      <c r="CB44" s="46"/>
    </row>
    <row r="45" spans="1:80">
      <c r="A45" s="16">
        <f t="shared" si="15"/>
        <v>44</v>
      </c>
      <c r="B45" s="16">
        <f>IF(B44=0,0,IF(db!$E$5&lt;B44+1,0,B44+1))</f>
        <v>0</v>
      </c>
      <c r="C45" s="15">
        <f t="shared" si="16"/>
        <v>0</v>
      </c>
      <c r="D45" s="312">
        <f>LOOKUP(Table13[[#This Row],[Age]],RiskLoading!A$3:A$109,RiskLoading!DG$3:DG$109)</f>
        <v>55</v>
      </c>
      <c r="E45" s="29">
        <f t="shared" si="8"/>
        <v>0</v>
      </c>
      <c r="F45" s="29">
        <f t="shared" si="9"/>
        <v>0</v>
      </c>
      <c r="G45" s="29">
        <f t="shared" si="0"/>
        <v>0</v>
      </c>
      <c r="H45" s="29">
        <v>0</v>
      </c>
      <c r="I45" s="29">
        <f>IF(B45=0,0,SUM($H$2:H45))</f>
        <v>0</v>
      </c>
      <c r="J45" s="17">
        <f t="shared" si="10"/>
        <v>0</v>
      </c>
      <c r="K45" s="17">
        <f>IF(Table13[[#This Row],[Year]]=0,0,IF($C$2&lt;=50,LOOKUP(Table13[[#This Row],[Age]],db!BG46:BG152,db!BH46:BH152),LOOKUP(Table13[[#This Row],[Age]],db!BJ46:BJ152,db!BK46:BK152)))</f>
        <v>0</v>
      </c>
      <c r="L45" s="17">
        <f>MIN(IF(B45=0,0,db!$E$4*((1+db!$B$4)^(B45-1))),Table13[[#This Row],[Max Sum Insured For Death]])</f>
        <v>0</v>
      </c>
      <c r="M45" s="17">
        <f>ROUND(IF(L45&lt;=db!$L$7,L45,db!$L$7),0)</f>
        <v>0</v>
      </c>
      <c r="N45" s="29">
        <f t="shared" si="11"/>
        <v>0</v>
      </c>
      <c r="O45" s="29">
        <f>IF(B45=0,0,IF(db!$D$6="Yes",(db!$B$6)*M45,0))</f>
        <v>0</v>
      </c>
      <c r="P45" s="29">
        <f>MIN(IF(O45&lt;=db!$L$2,O45,db!$L$2),MAX_ACC_CAPITAL)</f>
        <v>0</v>
      </c>
      <c r="Q45" s="17">
        <f>IF(B45=0,0,IF(db!$D$7="Yes",(db!$B$7)*M45,0))</f>
        <v>0</v>
      </c>
      <c r="R45" s="42">
        <f>IF(C45&gt;69,0,IF(C45=0,0,IF(Q45&lt;=db!$L$3,Q45,db!$L$3)))</f>
        <v>0</v>
      </c>
      <c r="S45" s="29">
        <f>IF(B45=0,0,IF(db!$D$9="Yes",(db!$B$9)*M45,0))</f>
        <v>0</v>
      </c>
      <c r="T45" s="29">
        <f>ROUND(IF(C45&gt;69,0,IF(C45=0,0,IF(S45&lt;=db!$L$4,S45,db!$L$4))),0)</f>
        <v>0</v>
      </c>
      <c r="U45" s="38">
        <v>0</v>
      </c>
      <c r="V45" s="17">
        <v>0</v>
      </c>
      <c r="W45" s="29">
        <v>0</v>
      </c>
      <c r="X45" s="17">
        <f>IF(B45=0,0,IF(db!$D$11="Yes",(db!$B$11)*M45,0))</f>
        <v>0</v>
      </c>
      <c r="Y45" s="42">
        <f>ROUND(IF(C45&gt;59,0,IF(C45=0,0,IF(X45&lt;=db!$L$5,X45,db!$L$5))),0)</f>
        <v>0</v>
      </c>
      <c r="Z45" s="29">
        <f>IF(B45=0,0,IF(db!$D$12="Yes",(db!$B$12)*M45,0))</f>
        <v>0</v>
      </c>
      <c r="AA45" s="29">
        <f>ROUND(IF(C45&gt;59,0,IF(C45=0,0,IF(Z45&lt;=db!$L$6,Z45,db!$L$6))),0)</f>
        <v>0</v>
      </c>
      <c r="AB45" s="32"/>
      <c r="AC45" s="18">
        <f>IF(B45=0,0,IF(C45&lt;(db!$E$2+5),LOOKUP(C45,'Mortality Table'!$A$2:$A$108,'Mortality Table'!$P$2:$P$108),IF((C45&gt;=db!$E$2+10),LOOKUP(C45,'Mortality Table'!$A$2:$A$108,'Mortality Table'!$R$2:$R$108),LOOKUP(C45,'Mortality Table'!$A$2:$A$108,'Mortality Table'!$Q$2:$Q$108))))</f>
        <v>0</v>
      </c>
      <c r="AD45" s="22">
        <f t="shared" si="18"/>
        <v>0</v>
      </c>
      <c r="AE45" s="19">
        <f>IF(B45=0,0,LOOKUP(db!$A$8,db!$AX$4:$AX$8,db!$AY$4:$AY$8))</f>
        <v>0</v>
      </c>
      <c r="AF45" s="20">
        <f>ROUND((AE45/1000)*P45 * (1-db!$AS$9),0)</f>
        <v>0</v>
      </c>
      <c r="AG45" s="20">
        <f>(AE45/1000)*P45 * db!$AS$9</f>
        <v>0</v>
      </c>
      <c r="AH45" s="21">
        <f>IF(B45=0,0,LOOKUP(db!$A$8,db!$AX$4:$AX$8,db!$AZ$4:$AZ$8))</f>
        <v>0</v>
      </c>
      <c r="AI45" s="22">
        <f>(AH45/1000)*R45*(1-db!$AS$9)</f>
        <v>0</v>
      </c>
      <c r="AJ45" s="22">
        <f>(AH45/1000)*R45*(db!$AS$9)</f>
        <v>0</v>
      </c>
      <c r="AK45" s="23">
        <f>IF(B45=0,0,LOOKUP(db!$A$8,db!$AX$4:$AX$8,db!$BA$4:$BA$8))</f>
        <v>0</v>
      </c>
      <c r="AL45" s="20">
        <f>ROUND((AK45/(100))*T45*(1-db!$AS$9),0)</f>
        <v>0</v>
      </c>
      <c r="AM45" s="20">
        <f>ROUND((AK45/(100))*T45*(db!$AS$9),0)</f>
        <v>0</v>
      </c>
      <c r="AN45" s="21">
        <f>IF(db!$D$8="Yes",AH45,0)</f>
        <v>0</v>
      </c>
      <c r="AO45" s="22">
        <f>(AN45*V45)/1000*(1-db!$AS$9)</f>
        <v>0</v>
      </c>
      <c r="AP45" s="22">
        <f>(AN45*V45)/1000*(db!$AS$9)</f>
        <v>0</v>
      </c>
      <c r="AQ45" s="23">
        <f>IF(db!$D$10="Yes",AH45,0)</f>
        <v>0</v>
      </c>
      <c r="AR45" s="20">
        <f>(AQ45*W45/1000)*(1-db!$AS$9)</f>
        <v>0</v>
      </c>
      <c r="AS45" s="20">
        <f>(AQ45*W45/1000)*(db!$AS$9)</f>
        <v>0</v>
      </c>
      <c r="AT45" s="22">
        <f>IF(B45=0,0,IF(C45&gt;60,0,LOOKUP(LOOKUP(C45,RiskLoading!A$3:A$109,RiskLoading!DG$3:DG$109),db!$BC$3:$BC$63,db!$BD$3:$BD$63)))</f>
        <v>0</v>
      </c>
      <c r="AU45" s="22">
        <f>AV45*db!$AS$10</f>
        <v>0</v>
      </c>
      <c r="AV45" s="22">
        <f t="shared" si="19"/>
        <v>0</v>
      </c>
      <c r="AW45" s="22">
        <f>(AT45/1000000)*Y45*(1-db!$AS$10)</f>
        <v>0</v>
      </c>
      <c r="AX45" s="20">
        <f>IF(B45=0,0,IF(C45&gt;60,0,LOOKUP(LOOKUP(C45,RiskLoading!A$3:A$109,RiskLoading!DG$3:DG$109),db!$BC$3:$BC$63,db!$BE$3:$BE$63)))</f>
        <v>0</v>
      </c>
      <c r="AY45" s="20">
        <f>(AX45/1000000)*AA45*(1-db!$AS$11)</f>
        <v>0</v>
      </c>
      <c r="AZ45" s="20">
        <f>(AX45/1000000)*AA45*(db!$AS$11)</f>
        <v>0</v>
      </c>
      <c r="BA45" s="19">
        <f>IF(Table13[Year]=0,0,LOOKUP(Table13[Age],RiskLoading!A$3:A$109,RiskLoading!DT$3:DT$109))</f>
        <v>0</v>
      </c>
      <c r="BB45" s="20">
        <f>Table13[[#This Row],[RiskLoading
Rate]]*Table13[[#This Row],[Death Capital (2)]]</f>
        <v>0</v>
      </c>
      <c r="BC45" s="36"/>
      <c r="BD45" s="37">
        <f t="shared" si="20"/>
        <v>0</v>
      </c>
      <c r="BE45" s="35">
        <f t="shared" si="21"/>
        <v>0</v>
      </c>
      <c r="BF45" s="35">
        <f t="shared" si="22"/>
        <v>0</v>
      </c>
      <c r="BG45" s="37">
        <f t="shared" si="23"/>
        <v>0</v>
      </c>
      <c r="BH45" s="37">
        <f t="shared" si="24"/>
        <v>0</v>
      </c>
      <c r="BI45" s="35">
        <f t="shared" si="12"/>
        <v>0</v>
      </c>
      <c r="BJ45" s="35">
        <f t="shared" si="13"/>
        <v>0</v>
      </c>
      <c r="BK45" s="37">
        <v>0</v>
      </c>
      <c r="BL45" s="37">
        <v>0</v>
      </c>
      <c r="BM45" s="35"/>
      <c r="BN45" s="37">
        <f>0</f>
        <v>0</v>
      </c>
      <c r="BO45" s="37"/>
      <c r="BP45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45" s="33"/>
      <c r="BR45" s="39">
        <f>Table13[[#This Row],[Initial Reserve]]-Table13[[#This Row],[All Deductions]]</f>
        <v>0</v>
      </c>
      <c r="BS45" s="39">
        <v>0</v>
      </c>
      <c r="BT45" s="39">
        <f>IF(B45=0,0,BU44-Table13[[#This Row],[All Deductions]])</f>
        <v>0</v>
      </c>
      <c r="BU45" s="40">
        <f>ROUND(IF(B45=0,0,((BR45+BU44)*(1+db!U47))),0)</f>
        <v>0</v>
      </c>
      <c r="BV45" s="40">
        <f t="shared" si="25"/>
        <v>0</v>
      </c>
      <c r="BW45" s="15">
        <f t="shared" si="14"/>
        <v>44</v>
      </c>
      <c r="BX45" s="39">
        <f>IF(B45=0,0,((BR45)*(1+db!AH47))+((BX44)*(1+db!AD47)))</f>
        <v>0</v>
      </c>
      <c r="BY45" s="39">
        <f>IF(B45=0,0,((BR45)*(1+db!AH47))+((BY44)*(1+db!AD47)))</f>
        <v>0</v>
      </c>
      <c r="BZ45" s="40">
        <f>IF(B45=0,0,((BR45)*(1+db!AO47))+((BZ44)*(1+db!AK47)))</f>
        <v>0</v>
      </c>
      <c r="CA45" s="40">
        <f>BZ45-(SUM(BM$7:$BM46))</f>
        <v>0</v>
      </c>
      <c r="CB45" s="46"/>
    </row>
    <row r="46" spans="1:80">
      <c r="A46" s="16">
        <f t="shared" si="15"/>
        <v>45</v>
      </c>
      <c r="B46" s="16">
        <f>IF(B45=0,0,IF(db!$E$5&lt;B45+1,0,B45+1))</f>
        <v>0</v>
      </c>
      <c r="C46" s="15">
        <f t="shared" si="16"/>
        <v>0</v>
      </c>
      <c r="D46" s="312">
        <f>LOOKUP(Table13[[#This Row],[Age]],RiskLoading!A$3:A$109,RiskLoading!DG$3:DG$109)</f>
        <v>55</v>
      </c>
      <c r="E46" s="29">
        <f t="shared" si="8"/>
        <v>0</v>
      </c>
      <c r="F46" s="29">
        <f t="shared" si="9"/>
        <v>0</v>
      </c>
      <c r="G46" s="29">
        <f t="shared" si="0"/>
        <v>0</v>
      </c>
      <c r="H46" s="29">
        <v>0</v>
      </c>
      <c r="I46" s="29">
        <f>IF(B46=0,0,SUM($H$2:H46))</f>
        <v>0</v>
      </c>
      <c r="J46" s="17">
        <f t="shared" si="10"/>
        <v>0</v>
      </c>
      <c r="K46" s="17">
        <f>IF(Table13[[#This Row],[Year]]=0,0,IF($C$2&lt;=50,LOOKUP(Table13[[#This Row],[Age]],db!BG47:BG153,db!BH47:BH153),LOOKUP(Table13[[#This Row],[Age]],db!BJ47:BJ153,db!BK47:BK153)))</f>
        <v>0</v>
      </c>
      <c r="L46" s="17">
        <f>MIN(IF(B46=0,0,db!$E$4*((1+db!$B$4)^(B46-1))),Table13[[#This Row],[Max Sum Insured For Death]])</f>
        <v>0</v>
      </c>
      <c r="M46" s="17">
        <f>ROUND(IF(L46&lt;=db!$L$7,L46,db!$L$7),0)</f>
        <v>0</v>
      </c>
      <c r="N46" s="29">
        <f t="shared" si="11"/>
        <v>0</v>
      </c>
      <c r="O46" s="29">
        <f>IF(B46=0,0,IF(db!$D$6="Yes",(db!$B$6)*M46,0))</f>
        <v>0</v>
      </c>
      <c r="P46" s="29">
        <f>MIN(IF(O46&lt;=db!$L$2,O46,db!$L$2),MAX_ACC_CAPITAL)</f>
        <v>0</v>
      </c>
      <c r="Q46" s="17">
        <f>IF(B46=0,0,IF(db!$D$7="Yes",(db!$B$7)*M46,0))</f>
        <v>0</v>
      </c>
      <c r="R46" s="42">
        <f>IF(C46&gt;69,0,IF(C46=0,0,IF(Q46&lt;=db!$L$3,Q46,db!$L$3)))</f>
        <v>0</v>
      </c>
      <c r="S46" s="29">
        <f>IF(B46=0,0,IF(db!$D$9="Yes",(db!$B$9)*M46,0))</f>
        <v>0</v>
      </c>
      <c r="T46" s="29">
        <f>ROUND(IF(C46&gt;69,0,IF(C46=0,0,IF(S46&lt;=db!$L$4,S46,db!$L$4))),0)</f>
        <v>0</v>
      </c>
      <c r="U46" s="38">
        <v>0</v>
      </c>
      <c r="V46" s="17">
        <v>0</v>
      </c>
      <c r="W46" s="29">
        <v>0</v>
      </c>
      <c r="X46" s="17">
        <f>IF(B46=0,0,IF(db!$D$11="Yes",(db!$B$11)*M46,0))</f>
        <v>0</v>
      </c>
      <c r="Y46" s="42">
        <f>ROUND(IF(C46&gt;59,0,IF(C46=0,0,IF(X46&lt;=db!$L$5,X46,db!$L$5))),0)</f>
        <v>0</v>
      </c>
      <c r="Z46" s="29">
        <f>IF(B46=0,0,IF(db!$D$12="Yes",(db!$B$12)*M46,0))</f>
        <v>0</v>
      </c>
      <c r="AA46" s="29">
        <f>ROUND(IF(C46&gt;59,0,IF(C46=0,0,IF(Z46&lt;=db!$L$6,Z46,db!$L$6))),0)</f>
        <v>0</v>
      </c>
      <c r="AB46" s="32"/>
      <c r="AC46" s="18">
        <f>IF(B46=0,0,IF(C46&lt;(db!$E$2+5),LOOKUP(C46,'Mortality Table'!$A$2:$A$108,'Mortality Table'!$P$2:$P$108),IF((C46&gt;=db!$E$2+10),LOOKUP(C46,'Mortality Table'!$A$2:$A$108,'Mortality Table'!$R$2:$R$108),LOOKUP(C46,'Mortality Table'!$A$2:$A$108,'Mortality Table'!$Q$2:$Q$108))))</f>
        <v>0</v>
      </c>
      <c r="AD46" s="22">
        <f t="shared" si="18"/>
        <v>0</v>
      </c>
      <c r="AE46" s="19">
        <f>IF(B46=0,0,LOOKUP(db!$A$8,db!$AX$4:$AX$8,db!$AY$4:$AY$8))</f>
        <v>0</v>
      </c>
      <c r="AF46" s="20">
        <f>ROUND((AE46/1000)*P46 * (1-db!$AS$9),0)</f>
        <v>0</v>
      </c>
      <c r="AG46" s="20">
        <f>(AE46/1000)*P46 * db!$AS$9</f>
        <v>0</v>
      </c>
      <c r="AH46" s="21">
        <f>IF(B46=0,0,LOOKUP(db!$A$8,db!$AX$4:$AX$8,db!$AZ$4:$AZ$8))</f>
        <v>0</v>
      </c>
      <c r="AI46" s="22">
        <f>(AH46/1000)*R46*(1-db!$AS$9)</f>
        <v>0</v>
      </c>
      <c r="AJ46" s="22">
        <f>(AH46/1000)*R46*(db!$AS$9)</f>
        <v>0</v>
      </c>
      <c r="AK46" s="23">
        <f>IF(B46=0,0,LOOKUP(db!$A$8,db!$AX$4:$AX$8,db!$BA$4:$BA$8))</f>
        <v>0</v>
      </c>
      <c r="AL46" s="20">
        <f>ROUND((AK46/(100))*T46*(1-db!$AS$9),0)</f>
        <v>0</v>
      </c>
      <c r="AM46" s="20">
        <f>ROUND((AK46/(100))*T46*(db!$AS$9),0)</f>
        <v>0</v>
      </c>
      <c r="AN46" s="21">
        <f>IF(db!$D$8="Yes",AH46,0)</f>
        <v>0</v>
      </c>
      <c r="AO46" s="22">
        <f>(AN46*V46)/1000*(1-db!$AS$9)</f>
        <v>0</v>
      </c>
      <c r="AP46" s="22">
        <f>(AN46*V46)/1000*(db!$AS$9)</f>
        <v>0</v>
      </c>
      <c r="AQ46" s="23">
        <f>IF(db!$D$10="Yes",AH46,0)</f>
        <v>0</v>
      </c>
      <c r="AR46" s="20">
        <f>(AQ46*W46/1000)*(1-db!$AS$9)</f>
        <v>0</v>
      </c>
      <c r="AS46" s="20">
        <f>(AQ46*W46/1000)*(db!$AS$9)</f>
        <v>0</v>
      </c>
      <c r="AT46" s="22">
        <f>IF(B46=0,0,IF(C46&gt;60,0,LOOKUP(LOOKUP(C46,RiskLoading!A$3:A$109,RiskLoading!DG$3:DG$109),db!$BC$3:$BC$63,db!$BD$3:$BD$63)))</f>
        <v>0</v>
      </c>
      <c r="AU46" s="22">
        <f>AV46*db!$AS$10</f>
        <v>0</v>
      </c>
      <c r="AV46" s="22">
        <f t="shared" si="19"/>
        <v>0</v>
      </c>
      <c r="AW46" s="22">
        <f>(AT46/1000000)*Y46*(1-db!$AS$10)</f>
        <v>0</v>
      </c>
      <c r="AX46" s="20">
        <f>IF(B46=0,0,IF(C46&gt;60,0,LOOKUP(LOOKUP(C46,RiskLoading!A$3:A$109,RiskLoading!DG$3:DG$109),db!$BC$3:$BC$63,db!$BE$3:$BE$63)))</f>
        <v>0</v>
      </c>
      <c r="AY46" s="20">
        <f>(AX46/1000000)*AA46*(1-db!$AS$11)</f>
        <v>0</v>
      </c>
      <c r="AZ46" s="20">
        <f>(AX46/1000000)*AA46*(db!$AS$11)</f>
        <v>0</v>
      </c>
      <c r="BA46" s="19">
        <f>IF(Table13[Year]=0,0,LOOKUP(Table13[Age],RiskLoading!A$3:A$109,RiskLoading!DT$3:DT$109))</f>
        <v>0</v>
      </c>
      <c r="BB46" s="20">
        <f>Table13[[#This Row],[RiskLoading
Rate]]*Table13[[#This Row],[Death Capital (2)]]</f>
        <v>0</v>
      </c>
      <c r="BC46" s="36"/>
      <c r="BD46" s="37">
        <f t="shared" si="20"/>
        <v>0</v>
      </c>
      <c r="BE46" s="35">
        <f t="shared" si="21"/>
        <v>0</v>
      </c>
      <c r="BF46" s="35">
        <f t="shared" si="22"/>
        <v>0</v>
      </c>
      <c r="BG46" s="37">
        <f t="shared" si="23"/>
        <v>0</v>
      </c>
      <c r="BH46" s="37">
        <f t="shared" si="24"/>
        <v>0</v>
      </c>
      <c r="BI46" s="35">
        <f t="shared" si="12"/>
        <v>0</v>
      </c>
      <c r="BJ46" s="35">
        <f t="shared" si="13"/>
        <v>0</v>
      </c>
      <c r="BK46" s="37">
        <v>0</v>
      </c>
      <c r="BL46" s="37">
        <v>0</v>
      </c>
      <c r="BM46" s="35"/>
      <c r="BN46" s="37">
        <f>0</f>
        <v>0</v>
      </c>
      <c r="BO46" s="37"/>
      <c r="BP46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46" s="33"/>
      <c r="BR46" s="39">
        <f>Table13[[#This Row],[Initial Reserve]]-Table13[[#This Row],[All Deductions]]</f>
        <v>0</v>
      </c>
      <c r="BS46" s="39">
        <v>0</v>
      </c>
      <c r="BT46" s="39">
        <f>IF(B46=0,0,BU45-Table13[[#This Row],[All Deductions]])</f>
        <v>0</v>
      </c>
      <c r="BU46" s="40">
        <f>ROUND(IF(B46=0,0,((BR46+BU45)*(1+db!U48))),0)</f>
        <v>0</v>
      </c>
      <c r="BV46" s="40">
        <f t="shared" si="25"/>
        <v>0</v>
      </c>
      <c r="BW46" s="15">
        <f t="shared" si="14"/>
        <v>45</v>
      </c>
      <c r="BX46" s="39">
        <f>IF(B46=0,0,((BR46)*(1+db!AH48))+((BX45)*(1+db!AD48)))</f>
        <v>0</v>
      </c>
      <c r="BY46" s="39">
        <f>IF(B46=0,0,((BR46)*(1+db!AH48))+((BY45)*(1+db!AD48)))</f>
        <v>0</v>
      </c>
      <c r="BZ46" s="40">
        <f>IF(B46=0,0,((BR46)*(1+db!AO48))+((BZ45)*(1+db!AK48)))</f>
        <v>0</v>
      </c>
      <c r="CA46" s="40">
        <f>BZ46-(SUM(BM$7:$BM47))</f>
        <v>0</v>
      </c>
      <c r="CB46" s="46"/>
    </row>
    <row r="47" spans="1:80">
      <c r="A47" s="16">
        <f t="shared" si="15"/>
        <v>46</v>
      </c>
      <c r="B47" s="16">
        <f>IF(B46=0,0,IF(db!$E$5&lt;B46+1,0,B46+1))</f>
        <v>0</v>
      </c>
      <c r="C47" s="15">
        <f t="shared" si="16"/>
        <v>0</v>
      </c>
      <c r="D47" s="312">
        <f>LOOKUP(Table13[[#This Row],[Age]],RiskLoading!A$3:A$109,RiskLoading!DG$3:DG$109)</f>
        <v>55</v>
      </c>
      <c r="E47" s="29">
        <f t="shared" si="8"/>
        <v>0</v>
      </c>
      <c r="F47" s="29">
        <f t="shared" si="9"/>
        <v>0</v>
      </c>
      <c r="G47" s="29">
        <f t="shared" si="0"/>
        <v>0</v>
      </c>
      <c r="H47" s="29">
        <v>0</v>
      </c>
      <c r="I47" s="29">
        <f>IF(B47=0,0,SUM($H$2:H47))</f>
        <v>0</v>
      </c>
      <c r="J47" s="17">
        <f t="shared" si="10"/>
        <v>0</v>
      </c>
      <c r="K47" s="17">
        <f>IF(Table13[[#This Row],[Year]]=0,0,IF($C$2&lt;=50,LOOKUP(Table13[[#This Row],[Age]],db!BG48:BG154,db!BH48:BH154),LOOKUP(Table13[[#This Row],[Age]],db!BJ48:BJ154,db!BK48:BK154)))</f>
        <v>0</v>
      </c>
      <c r="L47" s="17">
        <f>MIN(IF(B47=0,0,db!$E$4*((1+db!$B$4)^(B47-1))),Table13[[#This Row],[Max Sum Insured For Death]])</f>
        <v>0</v>
      </c>
      <c r="M47" s="17">
        <f>ROUND(IF(L47&lt;=db!$L$7,L47,db!$L$7),0)</f>
        <v>0</v>
      </c>
      <c r="N47" s="29">
        <f t="shared" si="11"/>
        <v>0</v>
      </c>
      <c r="O47" s="29">
        <f>IF(B47=0,0,IF(db!$D$6="Yes",(db!$B$6)*M47,0))</f>
        <v>0</v>
      </c>
      <c r="P47" s="29">
        <f>MIN(IF(O47&lt;=db!$L$2,O47,db!$L$2),MAX_ACC_CAPITAL)</f>
        <v>0</v>
      </c>
      <c r="Q47" s="17">
        <f>IF(B47=0,0,IF(db!$D$7="Yes",(db!$B$7)*M47,0))</f>
        <v>0</v>
      </c>
      <c r="R47" s="42">
        <f>IF(C47&gt;69,0,IF(C47=0,0,IF(Q47&lt;=db!$L$3,Q47,db!$L$3)))</f>
        <v>0</v>
      </c>
      <c r="S47" s="29">
        <f>IF(B47=0,0,IF(db!$D$9="Yes",(db!$B$9)*M47,0))</f>
        <v>0</v>
      </c>
      <c r="T47" s="29">
        <f>ROUND(IF(C47&gt;69,0,IF(C47=0,0,IF(S47&lt;=db!$L$4,S47,db!$L$4))),0)</f>
        <v>0</v>
      </c>
      <c r="U47" s="38">
        <v>0</v>
      </c>
      <c r="V47" s="17">
        <v>0</v>
      </c>
      <c r="W47" s="29">
        <v>0</v>
      </c>
      <c r="X47" s="17">
        <f>IF(B47=0,0,IF(db!$D$11="Yes",(db!$B$11)*M47,0))</f>
        <v>0</v>
      </c>
      <c r="Y47" s="42">
        <f>ROUND(IF(C47&gt;59,0,IF(C47=0,0,IF(X47&lt;=db!$L$5,X47,db!$L$5))),0)</f>
        <v>0</v>
      </c>
      <c r="Z47" s="29">
        <f>IF(B47=0,0,IF(db!$D$12="Yes",(db!$B$12)*M47,0))</f>
        <v>0</v>
      </c>
      <c r="AA47" s="29">
        <f>ROUND(IF(C47&gt;59,0,IF(C47=0,0,IF(Z47&lt;=db!$L$6,Z47,db!$L$6))),0)</f>
        <v>0</v>
      </c>
      <c r="AB47" s="32"/>
      <c r="AC47" s="18">
        <f>IF(B47=0,0,IF(C47&lt;(db!$E$2+5),LOOKUP(C47,'Mortality Table'!$A$2:$A$108,'Mortality Table'!$P$2:$P$108),IF((C47&gt;=db!$E$2+10),LOOKUP(C47,'Mortality Table'!$A$2:$A$108,'Mortality Table'!$R$2:$R$108),LOOKUP(C47,'Mortality Table'!$A$2:$A$108,'Mortality Table'!$Q$2:$Q$108))))</f>
        <v>0</v>
      </c>
      <c r="AD47" s="22">
        <f t="shared" si="18"/>
        <v>0</v>
      </c>
      <c r="AE47" s="19">
        <f>IF(B47=0,0,LOOKUP(db!$A$8,db!$AX$4:$AX$8,db!$AY$4:$AY$8))</f>
        <v>0</v>
      </c>
      <c r="AF47" s="20">
        <f>ROUND((AE47/1000)*P47 * (1-db!$AS$9),0)</f>
        <v>0</v>
      </c>
      <c r="AG47" s="20">
        <f>(AE47/1000)*P47 * db!$AS$9</f>
        <v>0</v>
      </c>
      <c r="AH47" s="21">
        <f>IF(B47=0,0,LOOKUP(db!$A$8,db!$AX$4:$AX$8,db!$AZ$4:$AZ$8))</f>
        <v>0</v>
      </c>
      <c r="AI47" s="22">
        <f>(AH47/1000)*R47*(1-db!$AS$9)</f>
        <v>0</v>
      </c>
      <c r="AJ47" s="22">
        <f>(AH47/1000)*R47*(db!$AS$9)</f>
        <v>0</v>
      </c>
      <c r="AK47" s="23">
        <f>IF(B47=0,0,LOOKUP(db!$A$8,db!$AX$4:$AX$8,db!$BA$4:$BA$8))</f>
        <v>0</v>
      </c>
      <c r="AL47" s="20">
        <f>ROUND((AK47/(100))*T47*(1-db!$AS$9),0)</f>
        <v>0</v>
      </c>
      <c r="AM47" s="20">
        <f>ROUND((AK47/(100))*T47*(db!$AS$9),0)</f>
        <v>0</v>
      </c>
      <c r="AN47" s="21">
        <f>IF(db!$D$8="Yes",AH47,0)</f>
        <v>0</v>
      </c>
      <c r="AO47" s="22">
        <f>(AN47*V47)/1000*(1-db!$AS$9)</f>
        <v>0</v>
      </c>
      <c r="AP47" s="22">
        <f>(AN47*V47)/1000*(db!$AS$9)</f>
        <v>0</v>
      </c>
      <c r="AQ47" s="23">
        <f>IF(db!$D$10="Yes",AH47,0)</f>
        <v>0</v>
      </c>
      <c r="AR47" s="20">
        <f>(AQ47*W47/1000)*(1-db!$AS$9)</f>
        <v>0</v>
      </c>
      <c r="AS47" s="20">
        <f>(AQ47*W47/1000)*(db!$AS$9)</f>
        <v>0</v>
      </c>
      <c r="AT47" s="22">
        <f>IF(B47=0,0,IF(C47&gt;60,0,LOOKUP(LOOKUP(C47,RiskLoading!A$3:A$109,RiskLoading!DG$3:DG$109),db!$BC$3:$BC$63,db!$BD$3:$BD$63)))</f>
        <v>0</v>
      </c>
      <c r="AU47" s="22">
        <f>AV47*db!$AS$10</f>
        <v>0</v>
      </c>
      <c r="AV47" s="22">
        <f t="shared" si="19"/>
        <v>0</v>
      </c>
      <c r="AW47" s="22">
        <f>(AT47/1000000)*Y47*(1-db!$AS$10)</f>
        <v>0</v>
      </c>
      <c r="AX47" s="20">
        <f>IF(B47=0,0,IF(C47&gt;60,0,LOOKUP(LOOKUP(C47,RiskLoading!A$3:A$109,RiskLoading!DG$3:DG$109),db!$BC$3:$BC$63,db!$BE$3:$BE$63)))</f>
        <v>0</v>
      </c>
      <c r="AY47" s="20">
        <f>(AX47/1000000)*AA47*(1-db!$AS$11)</f>
        <v>0</v>
      </c>
      <c r="AZ47" s="20">
        <f>(AX47/1000000)*AA47*(db!$AS$11)</f>
        <v>0</v>
      </c>
      <c r="BA47" s="19">
        <f>IF(Table13[Year]=0,0,LOOKUP(Table13[Age],RiskLoading!A$3:A$109,RiskLoading!DT$3:DT$109))</f>
        <v>0</v>
      </c>
      <c r="BB47" s="20">
        <f>Table13[[#This Row],[RiskLoading
Rate]]*Table13[[#This Row],[Death Capital (2)]]</f>
        <v>0</v>
      </c>
      <c r="BC47" s="36"/>
      <c r="BD47" s="37">
        <f t="shared" si="20"/>
        <v>0</v>
      </c>
      <c r="BE47" s="35">
        <f t="shared" si="21"/>
        <v>0</v>
      </c>
      <c r="BF47" s="35">
        <f t="shared" si="22"/>
        <v>0</v>
      </c>
      <c r="BG47" s="37">
        <f t="shared" si="23"/>
        <v>0</v>
      </c>
      <c r="BH47" s="37">
        <f t="shared" si="24"/>
        <v>0</v>
      </c>
      <c r="BI47" s="35">
        <f t="shared" si="12"/>
        <v>0</v>
      </c>
      <c r="BJ47" s="35">
        <f t="shared" si="13"/>
        <v>0</v>
      </c>
      <c r="BK47" s="37">
        <v>0</v>
      </c>
      <c r="BL47" s="37">
        <v>0</v>
      </c>
      <c r="BM47" s="35"/>
      <c r="BN47" s="37">
        <f>0</f>
        <v>0</v>
      </c>
      <c r="BO47" s="37"/>
      <c r="BP47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47" s="33"/>
      <c r="BR47" s="39">
        <f>Table13[[#This Row],[Initial Reserve]]-Table13[[#This Row],[All Deductions]]</f>
        <v>0</v>
      </c>
      <c r="BS47" s="39">
        <v>0</v>
      </c>
      <c r="BT47" s="39">
        <f>IF(B47=0,0,BU46-Table13[[#This Row],[All Deductions]])</f>
        <v>0</v>
      </c>
      <c r="BU47" s="40">
        <f>ROUND(IF(B47=0,0,((BR47+BU46)*(1+db!U49))),0)</f>
        <v>0</v>
      </c>
      <c r="BV47" s="40">
        <f t="shared" si="25"/>
        <v>0</v>
      </c>
      <c r="BW47" s="15">
        <f t="shared" si="14"/>
        <v>46</v>
      </c>
      <c r="BX47" s="39">
        <f>IF(B47=0,0,((BR47)*(1+db!AH49))+((BX46)*(1+db!AD49)))</f>
        <v>0</v>
      </c>
      <c r="BY47" s="39">
        <f>IF(B47=0,0,((BR47)*(1+db!AH49))+((BY46)*(1+db!AD49)))</f>
        <v>0</v>
      </c>
      <c r="BZ47" s="40">
        <f>IF(B47=0,0,((BR47)*(1+db!AO49))+((BZ46)*(1+db!AK49)))</f>
        <v>0</v>
      </c>
      <c r="CA47" s="40">
        <f>BZ47-(SUM(BM$7:$BM48))</f>
        <v>0</v>
      </c>
      <c r="CB47" s="46"/>
    </row>
    <row r="48" spans="1:80">
      <c r="A48" s="16">
        <f t="shared" si="15"/>
        <v>47</v>
      </c>
      <c r="B48" s="16">
        <f>IF(B47=0,0,IF(db!$E$5&lt;B47+1,0,B47+1))</f>
        <v>0</v>
      </c>
      <c r="C48" s="15">
        <f t="shared" si="16"/>
        <v>0</v>
      </c>
      <c r="D48" s="312">
        <f>LOOKUP(Table13[[#This Row],[Age]],RiskLoading!A$3:A$109,RiskLoading!DG$3:DG$109)</f>
        <v>55</v>
      </c>
      <c r="E48" s="29">
        <f t="shared" si="8"/>
        <v>0</v>
      </c>
      <c r="F48" s="29">
        <f t="shared" si="9"/>
        <v>0</v>
      </c>
      <c r="G48" s="29">
        <f t="shared" si="0"/>
        <v>0</v>
      </c>
      <c r="H48" s="29">
        <v>0</v>
      </c>
      <c r="I48" s="29">
        <f>IF(B48=0,0,SUM($H$2:H48))</f>
        <v>0</v>
      </c>
      <c r="J48" s="17">
        <f t="shared" si="10"/>
        <v>0</v>
      </c>
      <c r="K48" s="17">
        <f>IF(Table13[[#This Row],[Year]]=0,0,IF($C$2&lt;=50,LOOKUP(Table13[[#This Row],[Age]],db!BG49:BG155,db!BH49:BH155),LOOKUP(Table13[[#This Row],[Age]],db!BJ49:BJ155,db!BK49:BK155)))</f>
        <v>0</v>
      </c>
      <c r="L48" s="17">
        <f>MIN(IF(B48=0,0,db!$E$4*((1+db!$B$4)^(B48-1))),Table13[[#This Row],[Max Sum Insured For Death]])</f>
        <v>0</v>
      </c>
      <c r="M48" s="17">
        <f>ROUND(IF(L48&lt;=db!$L$7,L48,db!$L$7),0)</f>
        <v>0</v>
      </c>
      <c r="N48" s="29">
        <f t="shared" si="11"/>
        <v>0</v>
      </c>
      <c r="O48" s="29">
        <f>IF(B48=0,0,IF(db!$D$6="Yes",(db!$B$6)*M48,0))</f>
        <v>0</v>
      </c>
      <c r="P48" s="29">
        <f>MIN(IF(O48&lt;=db!$L$2,O48,db!$L$2),MAX_ACC_CAPITAL)</f>
        <v>0</v>
      </c>
      <c r="Q48" s="17">
        <f>IF(B48=0,0,IF(db!$D$7="Yes",(db!$B$7)*M48,0))</f>
        <v>0</v>
      </c>
      <c r="R48" s="42">
        <f>IF(C48&gt;69,0,IF(C48=0,0,IF(Q48&lt;=db!$L$3,Q48,db!$L$3)))</f>
        <v>0</v>
      </c>
      <c r="S48" s="29">
        <f>IF(B48=0,0,IF(db!$D$9="Yes",(db!$B$9)*M48,0))</f>
        <v>0</v>
      </c>
      <c r="T48" s="29">
        <f>ROUND(IF(C48&gt;69,0,IF(C48=0,0,IF(S48&lt;=db!$L$4,S48,db!$L$4))),0)</f>
        <v>0</v>
      </c>
      <c r="U48" s="38">
        <v>0</v>
      </c>
      <c r="V48" s="17">
        <v>0</v>
      </c>
      <c r="W48" s="29">
        <v>0</v>
      </c>
      <c r="X48" s="17">
        <f>IF(B48=0,0,IF(db!$D$11="Yes",(db!$B$11)*M48,0))</f>
        <v>0</v>
      </c>
      <c r="Y48" s="42">
        <f>ROUND(IF(C48&gt;59,0,IF(C48=0,0,IF(X48&lt;=db!$L$5,X48,db!$L$5))),0)</f>
        <v>0</v>
      </c>
      <c r="Z48" s="29">
        <f>IF(B48=0,0,IF(db!$D$12="Yes",(db!$B$12)*M48,0))</f>
        <v>0</v>
      </c>
      <c r="AA48" s="29">
        <f>ROUND(IF(C48&gt;59,0,IF(C48=0,0,IF(Z48&lt;=db!$L$6,Z48,db!$L$6))),0)</f>
        <v>0</v>
      </c>
      <c r="AB48" s="32"/>
      <c r="AC48" s="18">
        <f>IF(B48=0,0,IF(C48&lt;(db!$E$2+5),LOOKUP(C48,'Mortality Table'!$A$2:$A$108,'Mortality Table'!$P$2:$P$108),IF((C48&gt;=db!$E$2+10),LOOKUP(C48,'Mortality Table'!$A$2:$A$108,'Mortality Table'!$R$2:$R$108),LOOKUP(C48,'Mortality Table'!$A$2:$A$108,'Mortality Table'!$Q$2:$Q$108))))</f>
        <v>0</v>
      </c>
      <c r="AD48" s="22">
        <f t="shared" si="18"/>
        <v>0</v>
      </c>
      <c r="AE48" s="19">
        <f>IF(B48=0,0,LOOKUP(db!$A$8,db!$AX$4:$AX$8,db!$AY$4:$AY$8))</f>
        <v>0</v>
      </c>
      <c r="AF48" s="20">
        <f>ROUND((AE48/1000)*P48 * (1-db!$AS$9),0)</f>
        <v>0</v>
      </c>
      <c r="AG48" s="20">
        <f>(AE48/1000)*P48 * db!$AS$9</f>
        <v>0</v>
      </c>
      <c r="AH48" s="21">
        <f>IF(B48=0,0,LOOKUP(db!$A$8,db!$AX$4:$AX$8,db!$AZ$4:$AZ$8))</f>
        <v>0</v>
      </c>
      <c r="AI48" s="22">
        <f>(AH48/1000)*R48*(1-db!$AS$9)</f>
        <v>0</v>
      </c>
      <c r="AJ48" s="22">
        <f>(AH48/1000)*R48*(db!$AS$9)</f>
        <v>0</v>
      </c>
      <c r="AK48" s="23">
        <f>IF(B48=0,0,LOOKUP(db!$A$8,db!$AX$4:$AX$8,db!$BA$4:$BA$8))</f>
        <v>0</v>
      </c>
      <c r="AL48" s="20">
        <f>ROUND((AK48/(100))*T48*(1-db!$AS$9),0)</f>
        <v>0</v>
      </c>
      <c r="AM48" s="20">
        <f>ROUND((AK48/(100))*T48*(db!$AS$9),0)</f>
        <v>0</v>
      </c>
      <c r="AN48" s="21">
        <f>IF(db!$D$8="Yes",AH48,0)</f>
        <v>0</v>
      </c>
      <c r="AO48" s="22">
        <f>(AN48*V48)/1000*(1-db!$AS$9)</f>
        <v>0</v>
      </c>
      <c r="AP48" s="22">
        <f>(AN48*V48)/1000*(db!$AS$9)</f>
        <v>0</v>
      </c>
      <c r="AQ48" s="23">
        <f>IF(db!$D$10="Yes",AH48,0)</f>
        <v>0</v>
      </c>
      <c r="AR48" s="20">
        <f>(AQ48*W48/1000)*(1-db!$AS$9)</f>
        <v>0</v>
      </c>
      <c r="AS48" s="20">
        <f>(AQ48*W48/1000)*(db!$AS$9)</f>
        <v>0</v>
      </c>
      <c r="AT48" s="22">
        <f>IF(B48=0,0,IF(C48&gt;60,0,LOOKUP(LOOKUP(C48,RiskLoading!A$3:A$109,RiskLoading!DG$3:DG$109),db!$BC$3:$BC$63,db!$BD$3:$BD$63)))</f>
        <v>0</v>
      </c>
      <c r="AU48" s="22">
        <f>AV48*db!$AS$10</f>
        <v>0</v>
      </c>
      <c r="AV48" s="22">
        <f t="shared" si="19"/>
        <v>0</v>
      </c>
      <c r="AW48" s="22">
        <f>(AT48/1000000)*Y48*(1-db!$AS$10)</f>
        <v>0</v>
      </c>
      <c r="AX48" s="20">
        <f>IF(B48=0,0,IF(C48&gt;60,0,LOOKUP(LOOKUP(C48,RiskLoading!A$3:A$109,RiskLoading!DG$3:DG$109),db!$BC$3:$BC$63,db!$BE$3:$BE$63)))</f>
        <v>0</v>
      </c>
      <c r="AY48" s="20">
        <f>(AX48/1000000)*AA48*(1-db!$AS$11)</f>
        <v>0</v>
      </c>
      <c r="AZ48" s="20">
        <f>(AX48/1000000)*AA48*(db!$AS$11)</f>
        <v>0</v>
      </c>
      <c r="BA48" s="19">
        <f>IF(Table13[Year]=0,0,LOOKUP(Table13[Age],RiskLoading!A$3:A$109,RiskLoading!DT$3:DT$109))</f>
        <v>0</v>
      </c>
      <c r="BB48" s="20">
        <f>Table13[[#This Row],[RiskLoading
Rate]]*Table13[[#This Row],[Death Capital (2)]]</f>
        <v>0</v>
      </c>
      <c r="BC48" s="36"/>
      <c r="BD48" s="37">
        <f t="shared" si="20"/>
        <v>0</v>
      </c>
      <c r="BE48" s="35">
        <f t="shared" si="21"/>
        <v>0</v>
      </c>
      <c r="BF48" s="35">
        <f t="shared" si="22"/>
        <v>0</v>
      </c>
      <c r="BG48" s="37">
        <f t="shared" si="23"/>
        <v>0</v>
      </c>
      <c r="BH48" s="37">
        <f t="shared" si="24"/>
        <v>0</v>
      </c>
      <c r="BI48" s="35">
        <f t="shared" si="12"/>
        <v>0</v>
      </c>
      <c r="BJ48" s="35">
        <f t="shared" si="13"/>
        <v>0</v>
      </c>
      <c r="BK48" s="37">
        <v>0</v>
      </c>
      <c r="BL48" s="37">
        <v>0</v>
      </c>
      <c r="BM48" s="35"/>
      <c r="BN48" s="37">
        <f>0</f>
        <v>0</v>
      </c>
      <c r="BO48" s="37"/>
      <c r="BP48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48" s="33"/>
      <c r="BR48" s="39">
        <f>Table13[[#This Row],[Initial Reserve]]-Table13[[#This Row],[All Deductions]]</f>
        <v>0</v>
      </c>
      <c r="BS48" s="39">
        <v>0</v>
      </c>
      <c r="BT48" s="39">
        <f>IF(B48=0,0,BU47-Table13[[#This Row],[All Deductions]])</f>
        <v>0</v>
      </c>
      <c r="BU48" s="40">
        <f>ROUND(IF(B48=0,0,((BR48+BU47)*(1+db!U50))),0)</f>
        <v>0</v>
      </c>
      <c r="BV48" s="40">
        <f t="shared" si="25"/>
        <v>0</v>
      </c>
      <c r="BW48" s="15">
        <f t="shared" si="14"/>
        <v>47</v>
      </c>
      <c r="BX48" s="39">
        <f>IF(B48=0,0,((BR48)*(1+db!AH50))+((BX47)*(1+db!AD50)))</f>
        <v>0</v>
      </c>
      <c r="BY48" s="39">
        <f>IF(B48=0,0,((BR48)*(1+db!AH50))+((BY47)*(1+db!AD50)))</f>
        <v>0</v>
      </c>
      <c r="BZ48" s="40">
        <f>IF(B48=0,0,((BR48)*(1+db!AO50))+((BZ47)*(1+db!AK50)))</f>
        <v>0</v>
      </c>
      <c r="CA48" s="40">
        <f>BZ48-(SUM(BM$7:$BM49))</f>
        <v>0</v>
      </c>
      <c r="CB48" s="46"/>
    </row>
    <row r="49" spans="1:80">
      <c r="A49" s="16">
        <f t="shared" si="15"/>
        <v>48</v>
      </c>
      <c r="B49" s="16">
        <f>IF(B48=0,0,IF(db!$E$5&lt;B48+1,0,B48+1))</f>
        <v>0</v>
      </c>
      <c r="C49" s="15">
        <f t="shared" si="16"/>
        <v>0</v>
      </c>
      <c r="D49" s="312">
        <f>LOOKUP(Table13[[#This Row],[Age]],RiskLoading!A$3:A$109,RiskLoading!DG$3:DG$109)</f>
        <v>55</v>
      </c>
      <c r="E49" s="29">
        <f t="shared" si="8"/>
        <v>0</v>
      </c>
      <c r="F49" s="29">
        <f t="shared" si="9"/>
        <v>0</v>
      </c>
      <c r="G49" s="29">
        <f t="shared" si="0"/>
        <v>0</v>
      </c>
      <c r="H49" s="29">
        <v>0</v>
      </c>
      <c r="I49" s="29">
        <f>IF(B49=0,0,SUM($H$2:H49))</f>
        <v>0</v>
      </c>
      <c r="J49" s="17">
        <f t="shared" si="10"/>
        <v>0</v>
      </c>
      <c r="K49" s="17">
        <f>IF(Table13[[#This Row],[Year]]=0,0,IF($C$2&lt;=50,LOOKUP(Table13[[#This Row],[Age]],db!BG50:BG156,db!BH50:BH156),LOOKUP(Table13[[#This Row],[Age]],db!BJ50:BJ156,db!BK50:BK156)))</f>
        <v>0</v>
      </c>
      <c r="L49" s="17">
        <f>MIN(IF(B49=0,0,db!$E$4*((1+db!$B$4)^(B49-1))),Table13[[#This Row],[Max Sum Insured For Death]])</f>
        <v>0</v>
      </c>
      <c r="M49" s="17">
        <f>ROUND(IF(L49&lt;=db!$L$7,L49,db!$L$7),0)</f>
        <v>0</v>
      </c>
      <c r="N49" s="29">
        <f t="shared" si="11"/>
        <v>0</v>
      </c>
      <c r="O49" s="29">
        <f>IF(B49=0,0,IF(db!$D$6="Yes",(db!$B$6)*M49,0))</f>
        <v>0</v>
      </c>
      <c r="P49" s="29">
        <f>MIN(IF(O49&lt;=db!$L$2,O49,db!$L$2),MAX_ACC_CAPITAL)</f>
        <v>0</v>
      </c>
      <c r="Q49" s="17">
        <f>IF(B49=0,0,IF(db!$D$7="Yes",(db!$B$7)*M49,0))</f>
        <v>0</v>
      </c>
      <c r="R49" s="42">
        <f>IF(C49&gt;69,0,IF(C49=0,0,IF(Q49&lt;=db!$L$3,Q49,db!$L$3)))</f>
        <v>0</v>
      </c>
      <c r="S49" s="29">
        <f>IF(B49=0,0,IF(db!$D$9="Yes",(db!$B$9)*M49,0))</f>
        <v>0</v>
      </c>
      <c r="T49" s="29">
        <f>ROUND(IF(C49&gt;69,0,IF(C49=0,0,IF(S49&lt;=db!$L$4,S49,db!$L$4))),0)</f>
        <v>0</v>
      </c>
      <c r="U49" s="38">
        <v>0</v>
      </c>
      <c r="V49" s="17">
        <v>0</v>
      </c>
      <c r="W49" s="29">
        <v>0</v>
      </c>
      <c r="X49" s="17">
        <f>IF(B49=0,0,IF(db!$D$11="Yes",(db!$B$11)*M49,0))</f>
        <v>0</v>
      </c>
      <c r="Y49" s="42">
        <f>ROUND(IF(C49&gt;59,0,IF(C49=0,0,IF(X49&lt;=db!$L$5,X49,db!$L$5))),0)</f>
        <v>0</v>
      </c>
      <c r="Z49" s="29">
        <f>IF(B49=0,0,IF(db!$D$12="Yes",(db!$B$12)*M49,0))</f>
        <v>0</v>
      </c>
      <c r="AA49" s="29">
        <f>ROUND(IF(C49&gt;59,0,IF(C49=0,0,IF(Z49&lt;=db!$L$6,Z49,db!$L$6))),0)</f>
        <v>0</v>
      </c>
      <c r="AB49" s="32"/>
      <c r="AC49" s="18">
        <f>IF(B49=0,0,IF(C49&lt;(db!$E$2+5),LOOKUP(C49,'Mortality Table'!$A$2:$A$108,'Mortality Table'!$P$2:$P$108),IF((C49&gt;=db!$E$2+10),LOOKUP(C49,'Mortality Table'!$A$2:$A$108,'Mortality Table'!$R$2:$R$108),LOOKUP(C49,'Mortality Table'!$A$2:$A$108,'Mortality Table'!$Q$2:$Q$108))))</f>
        <v>0</v>
      </c>
      <c r="AD49" s="22">
        <f t="shared" si="18"/>
        <v>0</v>
      </c>
      <c r="AE49" s="19">
        <f>IF(B49=0,0,LOOKUP(db!$A$8,db!$AX$4:$AX$8,db!$AY$4:$AY$8))</f>
        <v>0</v>
      </c>
      <c r="AF49" s="20">
        <f>ROUND((AE49/1000)*P49 * (1-db!$AS$9),0)</f>
        <v>0</v>
      </c>
      <c r="AG49" s="20">
        <f>(AE49/1000)*P49 * db!$AS$9</f>
        <v>0</v>
      </c>
      <c r="AH49" s="21">
        <f>IF(B49=0,0,LOOKUP(db!$A$8,db!$AX$4:$AX$8,db!$AZ$4:$AZ$8))</f>
        <v>0</v>
      </c>
      <c r="AI49" s="22">
        <f>(AH49/1000)*R49*(1-db!$AS$9)</f>
        <v>0</v>
      </c>
      <c r="AJ49" s="22">
        <f>(AH49/1000)*R49*(db!$AS$9)</f>
        <v>0</v>
      </c>
      <c r="AK49" s="23">
        <f>IF(B49=0,0,LOOKUP(db!$A$8,db!$AX$4:$AX$8,db!$BA$4:$BA$8))</f>
        <v>0</v>
      </c>
      <c r="AL49" s="20">
        <f>ROUND((AK49/(100))*T49*(1-db!$AS$9),0)</f>
        <v>0</v>
      </c>
      <c r="AM49" s="20">
        <f>ROUND((AK49/(100))*T49*(db!$AS$9),0)</f>
        <v>0</v>
      </c>
      <c r="AN49" s="21">
        <f>IF(db!$D$8="Yes",AH49,0)</f>
        <v>0</v>
      </c>
      <c r="AO49" s="22">
        <f>(AN49*V49)/1000*(1-db!$AS$9)</f>
        <v>0</v>
      </c>
      <c r="AP49" s="22">
        <f>(AN49*V49)/1000*(db!$AS$9)</f>
        <v>0</v>
      </c>
      <c r="AQ49" s="23">
        <f>IF(db!$D$10="Yes",AH49,0)</f>
        <v>0</v>
      </c>
      <c r="AR49" s="20">
        <f>(AQ49*W49/1000)*(1-db!$AS$9)</f>
        <v>0</v>
      </c>
      <c r="AS49" s="20">
        <f>(AQ49*W49/1000)*(db!$AS$9)</f>
        <v>0</v>
      </c>
      <c r="AT49" s="22">
        <f>IF(B49=0,0,IF(C49&gt;60,0,LOOKUP(LOOKUP(C49,RiskLoading!A$3:A$109,RiskLoading!DG$3:DG$109),db!$BC$3:$BC$63,db!$BD$3:$BD$63)))</f>
        <v>0</v>
      </c>
      <c r="AU49" s="22">
        <f>AV49*db!$AS$10</f>
        <v>0</v>
      </c>
      <c r="AV49" s="22">
        <f t="shared" si="19"/>
        <v>0</v>
      </c>
      <c r="AW49" s="22">
        <f>(AT49/1000000)*Y49*(1-db!$AS$10)</f>
        <v>0</v>
      </c>
      <c r="AX49" s="20">
        <f>IF(B49=0,0,IF(C49&gt;60,0,LOOKUP(LOOKUP(C49,RiskLoading!A$3:A$109,RiskLoading!DG$3:DG$109),db!$BC$3:$BC$63,db!$BE$3:$BE$63)))</f>
        <v>0</v>
      </c>
      <c r="AY49" s="20">
        <f>(AX49/1000000)*AA49*(1-db!$AS$11)</f>
        <v>0</v>
      </c>
      <c r="AZ49" s="20">
        <f>(AX49/1000000)*AA49*(db!$AS$11)</f>
        <v>0</v>
      </c>
      <c r="BA49" s="19">
        <f>IF(Table13[Year]=0,0,LOOKUP(Table13[Age],RiskLoading!A$3:A$109,RiskLoading!DT$3:DT$109))</f>
        <v>0</v>
      </c>
      <c r="BB49" s="20">
        <f>Table13[[#This Row],[RiskLoading
Rate]]*Table13[[#This Row],[Death Capital (2)]]</f>
        <v>0</v>
      </c>
      <c r="BC49" s="36"/>
      <c r="BD49" s="37">
        <f t="shared" si="20"/>
        <v>0</v>
      </c>
      <c r="BE49" s="35">
        <f t="shared" si="21"/>
        <v>0</v>
      </c>
      <c r="BF49" s="35">
        <f t="shared" si="22"/>
        <v>0</v>
      </c>
      <c r="BG49" s="37">
        <f t="shared" si="23"/>
        <v>0</v>
      </c>
      <c r="BH49" s="37">
        <f t="shared" si="24"/>
        <v>0</v>
      </c>
      <c r="BI49" s="35">
        <f t="shared" si="12"/>
        <v>0</v>
      </c>
      <c r="BJ49" s="35">
        <f t="shared" si="13"/>
        <v>0</v>
      </c>
      <c r="BK49" s="37">
        <v>0</v>
      </c>
      <c r="BL49" s="37">
        <v>0</v>
      </c>
      <c r="BM49" s="35"/>
      <c r="BN49" s="37">
        <f>0</f>
        <v>0</v>
      </c>
      <c r="BO49" s="37"/>
      <c r="BP49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49" s="33"/>
      <c r="BR49" s="39">
        <f>Table13[[#This Row],[Initial Reserve]]-Table13[[#This Row],[All Deductions]]</f>
        <v>0</v>
      </c>
      <c r="BS49" s="39">
        <v>0</v>
      </c>
      <c r="BT49" s="39">
        <f>IF(B49=0,0,BU48-Table13[[#This Row],[All Deductions]])</f>
        <v>0</v>
      </c>
      <c r="BU49" s="40">
        <f>ROUND(IF(B49=0,0,((BR49+BU48)*(1+db!U51))),0)</f>
        <v>0</v>
      </c>
      <c r="BV49" s="40">
        <f t="shared" si="25"/>
        <v>0</v>
      </c>
      <c r="BW49" s="15">
        <f t="shared" si="14"/>
        <v>48</v>
      </c>
      <c r="BX49" s="39">
        <f>IF(B49=0,0,((BR49)*(1+db!AH51))+((BX48)*(1+db!AD51)))</f>
        <v>0</v>
      </c>
      <c r="BY49" s="39">
        <f>IF(B49=0,0,((BR49)*(1+db!AH51))+((BY48)*(1+db!AD51)))</f>
        <v>0</v>
      </c>
      <c r="BZ49" s="40">
        <f>IF(B49=0,0,((BR49)*(1+db!AO51))+((BZ48)*(1+db!AK51)))</f>
        <v>0</v>
      </c>
      <c r="CA49" s="40">
        <f>BZ49-(SUM(BM$7:$BM50))</f>
        <v>0</v>
      </c>
      <c r="CB49" s="46"/>
    </row>
    <row r="50" spans="1:80">
      <c r="A50" s="16">
        <f t="shared" si="15"/>
        <v>49</v>
      </c>
      <c r="B50" s="16">
        <f>IF(B49=0,0,IF(db!$E$5&lt;B49+1,0,B49+1))</f>
        <v>0</v>
      </c>
      <c r="C50" s="15">
        <f t="shared" si="16"/>
        <v>0</v>
      </c>
      <c r="D50" s="312">
        <f>LOOKUP(Table13[[#This Row],[Age]],RiskLoading!A$3:A$109,RiskLoading!DG$3:DG$109)</f>
        <v>55</v>
      </c>
      <c r="E50" s="29">
        <f t="shared" si="8"/>
        <v>0</v>
      </c>
      <c r="F50" s="29">
        <f t="shared" si="9"/>
        <v>0</v>
      </c>
      <c r="G50" s="29">
        <f t="shared" si="0"/>
        <v>0</v>
      </c>
      <c r="H50" s="29">
        <v>0</v>
      </c>
      <c r="I50" s="29">
        <f>IF(B50=0,0,SUM($H$2:H50))</f>
        <v>0</v>
      </c>
      <c r="J50" s="17">
        <f t="shared" si="10"/>
        <v>0</v>
      </c>
      <c r="K50" s="17">
        <f>IF(Table13[[#This Row],[Year]]=0,0,IF($C$2&lt;=50,LOOKUP(Table13[[#This Row],[Age]],db!BG51:BG157,db!BH51:BH157),LOOKUP(Table13[[#This Row],[Age]],db!BJ51:BJ157,db!BK51:BK157)))</f>
        <v>0</v>
      </c>
      <c r="L50" s="17">
        <f>MIN(IF(B50=0,0,db!$E$4*((1+db!$B$4)^(B50-1))),Table13[[#This Row],[Max Sum Insured For Death]])</f>
        <v>0</v>
      </c>
      <c r="M50" s="17">
        <f>ROUND(IF(L50&lt;=db!$L$7,L50,db!$L$7),0)</f>
        <v>0</v>
      </c>
      <c r="N50" s="29">
        <f t="shared" si="11"/>
        <v>0</v>
      </c>
      <c r="O50" s="29">
        <f>IF(B50=0,0,IF(db!$D$6="Yes",(db!$B$6)*M50,0))</f>
        <v>0</v>
      </c>
      <c r="P50" s="29">
        <f>MIN(IF(O50&lt;=db!$L$2,O50,db!$L$2),MAX_ACC_CAPITAL)</f>
        <v>0</v>
      </c>
      <c r="Q50" s="17">
        <f>IF(B50=0,0,IF(db!$D$7="Yes",(db!$B$7)*M50,0))</f>
        <v>0</v>
      </c>
      <c r="R50" s="42">
        <f>IF(C50&gt;69,0,IF(C50=0,0,IF(Q50&lt;=db!$L$3,Q50,db!$L$3)))</f>
        <v>0</v>
      </c>
      <c r="S50" s="29">
        <f>IF(B50=0,0,IF(db!$D$9="Yes",(db!$B$9)*M50,0))</f>
        <v>0</v>
      </c>
      <c r="T50" s="29">
        <f>ROUND(IF(C50&gt;69,0,IF(C50=0,0,IF(S50&lt;=db!$L$4,S50,db!$L$4))),0)</f>
        <v>0</v>
      </c>
      <c r="U50" s="38">
        <v>0</v>
      </c>
      <c r="V50" s="17">
        <v>0</v>
      </c>
      <c r="W50" s="29">
        <v>0</v>
      </c>
      <c r="X50" s="17">
        <f>IF(B50=0,0,IF(db!$D$11="Yes",(db!$B$11)*M50,0))</f>
        <v>0</v>
      </c>
      <c r="Y50" s="42">
        <f>ROUND(IF(C50&gt;59,0,IF(C50=0,0,IF(X50&lt;=db!$L$5,X50,db!$L$5))),0)</f>
        <v>0</v>
      </c>
      <c r="Z50" s="29">
        <f>IF(B50=0,0,IF(db!$D$12="Yes",(db!$B$12)*M50,0))</f>
        <v>0</v>
      </c>
      <c r="AA50" s="29">
        <f>ROUND(IF(C50&gt;59,0,IF(C50=0,0,IF(Z50&lt;=db!$L$6,Z50,db!$L$6))),0)</f>
        <v>0</v>
      </c>
      <c r="AB50" s="32"/>
      <c r="AC50" s="18">
        <f>IF(B50=0,0,IF(C50&lt;(db!$E$2+5),LOOKUP(C50,'Mortality Table'!$A$2:$A$108,'Mortality Table'!$P$2:$P$108),IF((C50&gt;=db!$E$2+10),LOOKUP(C50,'Mortality Table'!$A$2:$A$108,'Mortality Table'!$R$2:$R$108),LOOKUP(C50,'Mortality Table'!$A$2:$A$108,'Mortality Table'!$Q$2:$Q$108))))</f>
        <v>0</v>
      </c>
      <c r="AD50" s="22">
        <f t="shared" si="18"/>
        <v>0</v>
      </c>
      <c r="AE50" s="19">
        <f>IF(B50=0,0,LOOKUP(db!$A$8,db!$AX$4:$AX$8,db!$AY$4:$AY$8))</f>
        <v>0</v>
      </c>
      <c r="AF50" s="20">
        <f>ROUND((AE50/1000)*P50 * (1-db!$AS$9),0)</f>
        <v>0</v>
      </c>
      <c r="AG50" s="20">
        <f>(AE50/1000)*P50 * db!$AS$9</f>
        <v>0</v>
      </c>
      <c r="AH50" s="21">
        <f>IF(B50=0,0,LOOKUP(db!$A$8,db!$AX$4:$AX$8,db!$AZ$4:$AZ$8))</f>
        <v>0</v>
      </c>
      <c r="AI50" s="22">
        <f>(AH50/1000)*R50*(1-db!$AS$9)</f>
        <v>0</v>
      </c>
      <c r="AJ50" s="22">
        <f>(AH50/1000)*R50*(db!$AS$9)</f>
        <v>0</v>
      </c>
      <c r="AK50" s="23">
        <f>IF(B50=0,0,LOOKUP(db!$A$8,db!$AX$4:$AX$8,db!$BA$4:$BA$8))</f>
        <v>0</v>
      </c>
      <c r="AL50" s="20">
        <f>ROUND((AK50/(100))*T50*(1-db!$AS$9),0)</f>
        <v>0</v>
      </c>
      <c r="AM50" s="20">
        <f>ROUND((AK50/(100))*T50*(db!$AS$9),0)</f>
        <v>0</v>
      </c>
      <c r="AN50" s="21">
        <f>IF(db!$D$8="Yes",AH50,0)</f>
        <v>0</v>
      </c>
      <c r="AO50" s="22">
        <f>(AN50*V50)/1000*(1-db!$AS$9)</f>
        <v>0</v>
      </c>
      <c r="AP50" s="22">
        <f>(AN50*V50)/1000*(db!$AS$9)</f>
        <v>0</v>
      </c>
      <c r="AQ50" s="23">
        <f>IF(db!$D$10="Yes",AH50,0)</f>
        <v>0</v>
      </c>
      <c r="AR50" s="20">
        <f>(AQ50*W50/1000)*(1-db!$AS$9)</f>
        <v>0</v>
      </c>
      <c r="AS50" s="20">
        <f>(AQ50*W50/1000)*(db!$AS$9)</f>
        <v>0</v>
      </c>
      <c r="AT50" s="22">
        <f>IF(B50=0,0,IF(C50&gt;60,0,LOOKUP(LOOKUP(C50,RiskLoading!A$3:A$109,RiskLoading!DG$3:DG$109),db!$BC$3:$BC$63,db!$BD$3:$BD$63)))</f>
        <v>0</v>
      </c>
      <c r="AU50" s="22">
        <f>AV50*db!$AS$10</f>
        <v>0</v>
      </c>
      <c r="AV50" s="22">
        <f t="shared" si="19"/>
        <v>0</v>
      </c>
      <c r="AW50" s="22">
        <f>(AT50/1000000)*Y50*(1-db!$AS$10)</f>
        <v>0</v>
      </c>
      <c r="AX50" s="20">
        <f>IF(B50=0,0,IF(C50&gt;60,0,LOOKUP(LOOKUP(C50,RiskLoading!A$3:A$109,RiskLoading!DG$3:DG$109),db!$BC$3:$BC$63,db!$BE$3:$BE$63)))</f>
        <v>0</v>
      </c>
      <c r="AY50" s="20">
        <f>(AX50/1000000)*AA50*(1-db!$AS$11)</f>
        <v>0</v>
      </c>
      <c r="AZ50" s="20">
        <f>(AX50/1000000)*AA50*(db!$AS$11)</f>
        <v>0</v>
      </c>
      <c r="BA50" s="19">
        <f>IF(Table13[Year]=0,0,LOOKUP(Table13[Age],RiskLoading!A$3:A$109,RiskLoading!DT$3:DT$109))</f>
        <v>0</v>
      </c>
      <c r="BB50" s="20">
        <f>Table13[[#This Row],[RiskLoading
Rate]]*Table13[[#This Row],[Death Capital (2)]]</f>
        <v>0</v>
      </c>
      <c r="BC50" s="36"/>
      <c r="BD50" s="37">
        <f t="shared" si="20"/>
        <v>0</v>
      </c>
      <c r="BE50" s="35">
        <f t="shared" si="21"/>
        <v>0</v>
      </c>
      <c r="BF50" s="35">
        <f t="shared" si="22"/>
        <v>0</v>
      </c>
      <c r="BG50" s="37">
        <f t="shared" si="23"/>
        <v>0</v>
      </c>
      <c r="BH50" s="37">
        <f t="shared" si="24"/>
        <v>0</v>
      </c>
      <c r="BI50" s="35">
        <f t="shared" si="12"/>
        <v>0</v>
      </c>
      <c r="BJ50" s="35">
        <f t="shared" si="13"/>
        <v>0</v>
      </c>
      <c r="BK50" s="37">
        <v>0</v>
      </c>
      <c r="BL50" s="37">
        <v>0</v>
      </c>
      <c r="BM50" s="35"/>
      <c r="BN50" s="37">
        <f>0</f>
        <v>0</v>
      </c>
      <c r="BO50" s="37"/>
      <c r="BP50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50" s="33"/>
      <c r="BR50" s="39">
        <f>Table13[[#This Row],[Initial Reserve]]-Table13[[#This Row],[All Deductions]]</f>
        <v>0</v>
      </c>
      <c r="BS50" s="39">
        <v>0</v>
      </c>
      <c r="BT50" s="39">
        <f>IF(B50=0,0,BU49-Table13[[#This Row],[All Deductions]])</f>
        <v>0</v>
      </c>
      <c r="BU50" s="40">
        <f>ROUND(IF(B50=0,0,((BR50+BU49)*(1+db!U52))),0)</f>
        <v>0</v>
      </c>
      <c r="BV50" s="40">
        <f t="shared" si="25"/>
        <v>0</v>
      </c>
      <c r="BW50" s="15">
        <f t="shared" si="14"/>
        <v>49</v>
      </c>
      <c r="BX50" s="39">
        <f>IF(B50=0,0,((BR50)*(1+db!AH52))+((BX49)*(1+db!AD52)))</f>
        <v>0</v>
      </c>
      <c r="BY50" s="39">
        <f>IF(B50=0,0,((BR50)*(1+db!AH52))+((BY49)*(1+db!AD52)))</f>
        <v>0</v>
      </c>
      <c r="BZ50" s="40">
        <f>IF(B50=0,0,((BR50)*(1+db!AO52))+((BZ49)*(1+db!AK52)))</f>
        <v>0</v>
      </c>
      <c r="CA50" s="40">
        <f>BZ50-(SUM(BM$7:$BM51))</f>
        <v>0</v>
      </c>
      <c r="CB50" s="46"/>
    </row>
    <row r="51" spans="1:80">
      <c r="A51" s="16">
        <f t="shared" si="15"/>
        <v>50</v>
      </c>
      <c r="B51" s="16">
        <f>IF(B50=0,0,IF(db!$E$5&lt;B50+1,0,B50+1))</f>
        <v>0</v>
      </c>
      <c r="C51" s="15">
        <f t="shared" si="16"/>
        <v>0</v>
      </c>
      <c r="D51" s="312">
        <f>LOOKUP(Table13[[#This Row],[Age]],RiskLoading!A$3:A$109,RiskLoading!DG$3:DG$109)</f>
        <v>55</v>
      </c>
      <c r="E51" s="29">
        <f t="shared" si="8"/>
        <v>0</v>
      </c>
      <c r="F51" s="29">
        <f t="shared" si="9"/>
        <v>0</v>
      </c>
      <c r="G51" s="29">
        <f t="shared" si="0"/>
        <v>0</v>
      </c>
      <c r="H51" s="29">
        <v>0</v>
      </c>
      <c r="I51" s="29">
        <f>IF(B51=0,0,SUM($H$2:H51))</f>
        <v>0</v>
      </c>
      <c r="J51" s="17">
        <f t="shared" si="10"/>
        <v>0</v>
      </c>
      <c r="K51" s="17">
        <f>IF(Table13[[#This Row],[Year]]=0,0,IF($C$2&lt;=50,LOOKUP(Table13[[#This Row],[Age]],db!BG52:BG158,db!BH52:BH158),LOOKUP(Table13[[#This Row],[Age]],db!BJ52:BJ158,db!BK52:BK158)))</f>
        <v>0</v>
      </c>
      <c r="L51" s="17">
        <f>MIN(IF(B51=0,0,db!$E$4*((1+db!$B$4)^(B51-1))),Table13[[#This Row],[Max Sum Insured For Death]])</f>
        <v>0</v>
      </c>
      <c r="M51" s="17">
        <f>ROUND(IF(L51&lt;=db!$L$7,L51,db!$L$7),0)</f>
        <v>0</v>
      </c>
      <c r="N51" s="29">
        <f t="shared" si="11"/>
        <v>0</v>
      </c>
      <c r="O51" s="29">
        <f>IF(B51=0,0,IF(db!$D$6="Yes",(db!$B$6)*M51,0))</f>
        <v>0</v>
      </c>
      <c r="P51" s="29">
        <f>MIN(IF(O51&lt;=db!$L$2,O51,db!$L$2),MAX_ACC_CAPITAL)</f>
        <v>0</v>
      </c>
      <c r="Q51" s="17">
        <f>IF(B51=0,0,IF(db!$D$7="Yes",(db!$B$7)*M51,0))</f>
        <v>0</v>
      </c>
      <c r="R51" s="42">
        <f>IF(C51&gt;69,0,IF(C51=0,0,IF(Q51&lt;=db!$L$3,Q51,db!$L$3)))</f>
        <v>0</v>
      </c>
      <c r="S51" s="29">
        <f>IF(B51=0,0,IF(db!$D$9="Yes",(db!$B$9)*M51,0))</f>
        <v>0</v>
      </c>
      <c r="T51" s="29">
        <f>ROUND(IF(C51&gt;69,0,IF(C51=0,0,IF(S51&lt;=db!$L$4,S51,db!$L$4))),0)</f>
        <v>0</v>
      </c>
      <c r="U51" s="38">
        <v>0</v>
      </c>
      <c r="V51" s="17">
        <v>0</v>
      </c>
      <c r="W51" s="29">
        <v>0</v>
      </c>
      <c r="X51" s="17">
        <f>IF(B51=0,0,IF(db!$D$11="Yes",(db!$B$11)*M51,0))</f>
        <v>0</v>
      </c>
      <c r="Y51" s="42">
        <f>ROUND(IF(C51&gt;59,0,IF(C51=0,0,IF(X51&lt;=db!$L$5,X51,db!$L$5))),0)</f>
        <v>0</v>
      </c>
      <c r="Z51" s="29">
        <f>IF(B51=0,0,IF(db!$D$12="Yes",(db!$B$12)*M51,0))</f>
        <v>0</v>
      </c>
      <c r="AA51" s="29">
        <f>ROUND(IF(C51&gt;59,0,IF(C51=0,0,IF(Z51&lt;=db!$L$6,Z51,db!$L$6))),0)</f>
        <v>0</v>
      </c>
      <c r="AB51" s="32"/>
      <c r="AC51" s="18">
        <f>IF(B51=0,0,IF(C51&lt;(db!$E$2+5),LOOKUP(C51,'Mortality Table'!$A$2:$A$108,'Mortality Table'!$P$2:$P$108),IF((C51&gt;=db!$E$2+10),LOOKUP(C51,'Mortality Table'!$A$2:$A$108,'Mortality Table'!$R$2:$R$108),LOOKUP(C51,'Mortality Table'!$A$2:$A$108,'Mortality Table'!$Q$2:$Q$108))))</f>
        <v>0</v>
      </c>
      <c r="AD51" s="22">
        <f t="shared" si="18"/>
        <v>0</v>
      </c>
      <c r="AE51" s="19">
        <f>IF(B51=0,0,LOOKUP(db!$A$8,db!$AX$4:$AX$8,db!$AY$4:$AY$8))</f>
        <v>0</v>
      </c>
      <c r="AF51" s="20">
        <f>ROUND((AE51/1000)*P51 * (1-db!$AS$9),0)</f>
        <v>0</v>
      </c>
      <c r="AG51" s="20">
        <f>(AE51/1000)*P51 * db!$AS$9</f>
        <v>0</v>
      </c>
      <c r="AH51" s="21">
        <f>IF(B51=0,0,LOOKUP(db!$A$8,db!$AX$4:$AX$8,db!$AZ$4:$AZ$8))</f>
        <v>0</v>
      </c>
      <c r="AI51" s="22">
        <f>(AH51/1000)*R51*(1-db!$AS$9)</f>
        <v>0</v>
      </c>
      <c r="AJ51" s="22">
        <f>(AH51/1000)*R51*(db!$AS$9)</f>
        <v>0</v>
      </c>
      <c r="AK51" s="23">
        <f>IF(B51=0,0,LOOKUP(db!$A$8,db!$AX$4:$AX$8,db!$BA$4:$BA$8))</f>
        <v>0</v>
      </c>
      <c r="AL51" s="20">
        <f>ROUND((AK51/(100))*T51*(1-db!$AS$9),0)</f>
        <v>0</v>
      </c>
      <c r="AM51" s="20">
        <f>ROUND((AK51/(100))*T51*(db!$AS$9),0)</f>
        <v>0</v>
      </c>
      <c r="AN51" s="21">
        <f>IF(db!$D$8="Yes",AH51,0)</f>
        <v>0</v>
      </c>
      <c r="AO51" s="22">
        <f>(AN51*V51)/1000*(1-db!$AS$9)</f>
        <v>0</v>
      </c>
      <c r="AP51" s="22">
        <f>(AN51*V51)/1000*(db!$AS$9)</f>
        <v>0</v>
      </c>
      <c r="AQ51" s="23">
        <f>IF(db!$D$10="Yes",AH51,0)</f>
        <v>0</v>
      </c>
      <c r="AR51" s="20">
        <f>(AQ51*W51/1000)*(1-db!$AS$9)</f>
        <v>0</v>
      </c>
      <c r="AS51" s="20">
        <f>(AQ51*W51/1000)*(db!$AS$9)</f>
        <v>0</v>
      </c>
      <c r="AT51" s="22">
        <f>IF(B51=0,0,IF(C51&gt;60,0,LOOKUP(LOOKUP(C51,RiskLoading!A$3:A$109,RiskLoading!DG$3:DG$109),db!$BC$3:$BC$63,db!$BD$3:$BD$63)))</f>
        <v>0</v>
      </c>
      <c r="AU51" s="22">
        <f>AV51*db!$AS$10</f>
        <v>0</v>
      </c>
      <c r="AV51" s="22">
        <f t="shared" si="19"/>
        <v>0</v>
      </c>
      <c r="AW51" s="22">
        <f>(AT51/1000000)*Y51*(1-db!$AS$10)</f>
        <v>0</v>
      </c>
      <c r="AX51" s="20">
        <f>IF(B51=0,0,IF(C51&gt;60,0,LOOKUP(LOOKUP(C51,RiskLoading!A$3:A$109,RiskLoading!DG$3:DG$109),db!$BC$3:$BC$63,db!$BE$3:$BE$63)))</f>
        <v>0</v>
      </c>
      <c r="AY51" s="20">
        <f>(AX51/1000000)*AA51*(1-db!$AS$11)</f>
        <v>0</v>
      </c>
      <c r="AZ51" s="20">
        <f>(AX51/1000000)*AA51*(db!$AS$11)</f>
        <v>0</v>
      </c>
      <c r="BA51" s="19">
        <f>IF(Table13[Year]=0,0,LOOKUP(Table13[Age],RiskLoading!A$3:A$109,RiskLoading!DT$3:DT$109))</f>
        <v>0</v>
      </c>
      <c r="BB51" s="20">
        <f>Table13[[#This Row],[RiskLoading
Rate]]*Table13[[#This Row],[Death Capital (2)]]</f>
        <v>0</v>
      </c>
      <c r="BC51" s="36"/>
      <c r="BD51" s="37">
        <f t="shared" si="20"/>
        <v>0</v>
      </c>
      <c r="BE51" s="35">
        <f t="shared" si="21"/>
        <v>0</v>
      </c>
      <c r="BF51" s="35">
        <f t="shared" si="22"/>
        <v>0</v>
      </c>
      <c r="BG51" s="37">
        <f t="shared" si="23"/>
        <v>0</v>
      </c>
      <c r="BH51" s="37">
        <f t="shared" si="24"/>
        <v>0</v>
      </c>
      <c r="BI51" s="35">
        <f t="shared" si="12"/>
        <v>0</v>
      </c>
      <c r="BJ51" s="35">
        <f t="shared" si="13"/>
        <v>0</v>
      </c>
      <c r="BK51" s="37">
        <v>0</v>
      </c>
      <c r="BL51" s="37">
        <v>0</v>
      </c>
      <c r="BM51" s="35"/>
      <c r="BN51" s="37">
        <f>0</f>
        <v>0</v>
      </c>
      <c r="BO51" s="37"/>
      <c r="BP51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51" s="33"/>
      <c r="BR51" s="39">
        <f>Table13[[#This Row],[Initial Reserve]]-Table13[[#This Row],[All Deductions]]</f>
        <v>0</v>
      </c>
      <c r="BS51" s="39">
        <v>0</v>
      </c>
      <c r="BT51" s="39">
        <f>IF(B51=0,0,BU50-Table13[[#This Row],[All Deductions]])</f>
        <v>0</v>
      </c>
      <c r="BU51" s="40">
        <f>ROUND(IF(B51=0,0,((BR51+BU50)*(1+db!U53))),0)</f>
        <v>0</v>
      </c>
      <c r="BV51" s="40">
        <f t="shared" si="25"/>
        <v>0</v>
      </c>
      <c r="BW51" s="15">
        <f t="shared" si="14"/>
        <v>50</v>
      </c>
      <c r="BX51" s="39">
        <f>IF(B51=0,0,((BR51)*(1+db!AH53))+((BX50)*(1+db!AD53)))</f>
        <v>0</v>
      </c>
      <c r="BY51" s="39">
        <f>IF(B51=0,0,((BR51)*(1+db!AH53))+((BY50)*(1+db!AD53)))</f>
        <v>0</v>
      </c>
      <c r="BZ51" s="40">
        <f>IF(B51=0,0,((BR51)*(1+db!AO53))+((BZ50)*(1+db!AK53)))</f>
        <v>0</v>
      </c>
      <c r="CA51" s="40">
        <f>BZ51-(SUM(BM$7:$BM52))</f>
        <v>0</v>
      </c>
      <c r="CB51" s="46"/>
    </row>
    <row r="52" spans="1:80">
      <c r="A52" s="16">
        <f t="shared" si="15"/>
        <v>51</v>
      </c>
      <c r="B52" s="16">
        <f>IF(B51=0,0,IF(db!$E$5&lt;B51+1,0,B51+1))</f>
        <v>0</v>
      </c>
      <c r="C52" s="15">
        <f t="shared" si="16"/>
        <v>0</v>
      </c>
      <c r="D52" s="312">
        <f>LOOKUP(Table13[[#This Row],[Age]],RiskLoading!A$3:A$109,RiskLoading!DG$3:DG$109)</f>
        <v>55</v>
      </c>
      <c r="E52" s="29">
        <f t="shared" si="8"/>
        <v>0</v>
      </c>
      <c r="F52" s="29">
        <f t="shared" si="9"/>
        <v>0</v>
      </c>
      <c r="G52" s="29">
        <f t="shared" si="0"/>
        <v>0</v>
      </c>
      <c r="H52" s="29">
        <v>0</v>
      </c>
      <c r="I52" s="29">
        <f>IF(B52=0,0,SUM($H$2:H52))</f>
        <v>0</v>
      </c>
      <c r="J52" s="17">
        <f t="shared" si="10"/>
        <v>0</v>
      </c>
      <c r="K52" s="17">
        <f>IF(Table13[[#This Row],[Year]]=0,0,IF($C$2&lt;=50,LOOKUP(Table13[[#This Row],[Age]],db!BG53:BG159,db!BH53:BH159),LOOKUP(Table13[[#This Row],[Age]],db!BJ53:BJ159,db!BK53:BK159)))</f>
        <v>0</v>
      </c>
      <c r="L52" s="17">
        <f>MIN(IF(B52=0,0,db!$E$4*((1+db!$B$4)^(B52-1))),Table13[[#This Row],[Max Sum Insured For Death]])</f>
        <v>0</v>
      </c>
      <c r="M52" s="17">
        <f>ROUND(IF(L52&lt;=db!$L$7,L52,db!$L$7),0)</f>
        <v>0</v>
      </c>
      <c r="N52" s="29">
        <f t="shared" si="11"/>
        <v>0</v>
      </c>
      <c r="O52" s="29">
        <f>IF(B52=0,0,IF(db!$D$6="Yes",(db!$B$6)*M52,0))</f>
        <v>0</v>
      </c>
      <c r="P52" s="29">
        <f>MIN(IF(O52&lt;=db!$L$2,O52,db!$L$2),MAX_ACC_CAPITAL)</f>
        <v>0</v>
      </c>
      <c r="Q52" s="17">
        <f>IF(B52=0,0,IF(db!$D$7="Yes",(db!$B$7)*M52,0))</f>
        <v>0</v>
      </c>
      <c r="R52" s="42">
        <f>IF(C52&gt;69,0,IF(C52=0,0,IF(Q52&lt;=db!$L$3,Q52,db!$L$3)))</f>
        <v>0</v>
      </c>
      <c r="S52" s="29">
        <f>IF(B52=0,0,IF(db!$D$9="Yes",(db!$B$9)*M52,0))</f>
        <v>0</v>
      </c>
      <c r="T52" s="29">
        <f>ROUND(IF(C52&gt;69,0,IF(C52=0,0,IF(S52&lt;=db!$L$4,S52,db!$L$4))),0)</f>
        <v>0</v>
      </c>
      <c r="U52" s="38">
        <v>0</v>
      </c>
      <c r="V52" s="17">
        <v>0</v>
      </c>
      <c r="W52" s="29">
        <v>0</v>
      </c>
      <c r="X52" s="17">
        <f>IF(B52=0,0,IF(db!$D$11="Yes",(db!$B$11)*M52,0))</f>
        <v>0</v>
      </c>
      <c r="Y52" s="42">
        <f>ROUND(IF(C52&gt;59,0,IF(C52=0,0,IF(X52&lt;=db!$L$5,X52,db!$L$5))),0)</f>
        <v>0</v>
      </c>
      <c r="Z52" s="29">
        <f>IF(B52=0,0,IF(db!$D$12="Yes",(db!$B$12)*M52,0))</f>
        <v>0</v>
      </c>
      <c r="AA52" s="29">
        <f>ROUND(IF(C52&gt;59,0,IF(C52=0,0,IF(Z52&lt;=db!$L$6,Z52,db!$L$6))),0)</f>
        <v>0</v>
      </c>
      <c r="AB52" s="32"/>
      <c r="AC52" s="18">
        <f>IF(B52=0,0,IF(C52&lt;(db!$E$2+5),LOOKUP(C52,'Mortality Table'!$A$2:$A$108,'Mortality Table'!$P$2:$P$108),IF((C52&gt;=db!$E$2+10),LOOKUP(C52,'Mortality Table'!$A$2:$A$108,'Mortality Table'!$R$2:$R$108),LOOKUP(C52,'Mortality Table'!$A$2:$A$108,'Mortality Table'!$Q$2:$Q$108))))</f>
        <v>0</v>
      </c>
      <c r="AD52" s="22">
        <f t="shared" si="18"/>
        <v>0</v>
      </c>
      <c r="AE52" s="19">
        <f>IF(B52=0,0,LOOKUP(db!$A$8,db!$AX$4:$AX$8,db!$AY$4:$AY$8))</f>
        <v>0</v>
      </c>
      <c r="AF52" s="20">
        <f>ROUND((AE52/1000)*P52 * (1-db!$AS$9),0)</f>
        <v>0</v>
      </c>
      <c r="AG52" s="20">
        <f>(AE52/1000)*P52 * db!$AS$9</f>
        <v>0</v>
      </c>
      <c r="AH52" s="21">
        <f>IF(B52=0,0,LOOKUP(db!$A$8,db!$AX$4:$AX$8,db!$AZ$4:$AZ$8))</f>
        <v>0</v>
      </c>
      <c r="AI52" s="22">
        <f>(AH52/1000)*R52*(1-db!$AS$9)</f>
        <v>0</v>
      </c>
      <c r="AJ52" s="22">
        <f>(AH52/1000)*R52*(db!$AS$9)</f>
        <v>0</v>
      </c>
      <c r="AK52" s="23">
        <f>IF(B52=0,0,LOOKUP(db!$A$8,db!$AX$4:$AX$8,db!$BA$4:$BA$8))</f>
        <v>0</v>
      </c>
      <c r="AL52" s="20">
        <f>ROUND((AK52/(100))*T52*(1-db!$AS$9),0)</f>
        <v>0</v>
      </c>
      <c r="AM52" s="20">
        <f>ROUND((AK52/(100))*T52*(db!$AS$9),0)</f>
        <v>0</v>
      </c>
      <c r="AN52" s="21">
        <f>IF(db!$D$8="Yes",AH52,0)</f>
        <v>0</v>
      </c>
      <c r="AO52" s="22">
        <f>(AN52*V52)/1000*(1-db!$AS$9)</f>
        <v>0</v>
      </c>
      <c r="AP52" s="22">
        <f>(AN52*V52)/1000*(db!$AS$9)</f>
        <v>0</v>
      </c>
      <c r="AQ52" s="23">
        <f>IF(db!$D$10="Yes",AH52,0)</f>
        <v>0</v>
      </c>
      <c r="AR52" s="20">
        <f>(AQ52*W52/1000)*(1-db!$AS$9)</f>
        <v>0</v>
      </c>
      <c r="AS52" s="20">
        <f>(AQ52*W52/1000)*(db!$AS$9)</f>
        <v>0</v>
      </c>
      <c r="AT52" s="22">
        <f>IF(B52=0,0,IF(C52&gt;60,0,LOOKUP(LOOKUP(C52,RiskLoading!A$3:A$109,RiskLoading!DG$3:DG$109),db!$BC$3:$BC$63,db!$BD$3:$BD$63)))</f>
        <v>0</v>
      </c>
      <c r="AU52" s="22">
        <f>AV52*db!$AS$10</f>
        <v>0</v>
      </c>
      <c r="AV52" s="22">
        <f t="shared" si="19"/>
        <v>0</v>
      </c>
      <c r="AW52" s="22">
        <f>(AT52/1000000)*Y52*(1-db!$AS$10)</f>
        <v>0</v>
      </c>
      <c r="AX52" s="20">
        <f>IF(B52=0,0,IF(C52&gt;60,0,LOOKUP(LOOKUP(C52,RiskLoading!A$3:A$109,RiskLoading!DG$3:DG$109),db!$BC$3:$BC$63,db!$BE$3:$BE$63)))</f>
        <v>0</v>
      </c>
      <c r="AY52" s="20">
        <f>(AX52/1000000)*AA52*(1-db!$AS$11)</f>
        <v>0</v>
      </c>
      <c r="AZ52" s="20">
        <f>(AX52/1000000)*AA52*(db!$AS$11)</f>
        <v>0</v>
      </c>
      <c r="BA52" s="19">
        <f>IF(Table13[Year]=0,0,LOOKUP(Table13[Age],RiskLoading!A$3:A$109,RiskLoading!DT$3:DT$109))</f>
        <v>0</v>
      </c>
      <c r="BB52" s="20">
        <f>Table13[[#This Row],[RiskLoading
Rate]]*Table13[[#This Row],[Death Capital (2)]]</f>
        <v>0</v>
      </c>
      <c r="BC52" s="36"/>
      <c r="BD52" s="37">
        <f t="shared" si="20"/>
        <v>0</v>
      </c>
      <c r="BE52" s="35">
        <f t="shared" si="21"/>
        <v>0</v>
      </c>
      <c r="BF52" s="35">
        <f t="shared" si="22"/>
        <v>0</v>
      </c>
      <c r="BG52" s="37">
        <f t="shared" si="23"/>
        <v>0</v>
      </c>
      <c r="BH52" s="37">
        <f t="shared" si="24"/>
        <v>0</v>
      </c>
      <c r="BI52" s="35">
        <f t="shared" si="12"/>
        <v>0</v>
      </c>
      <c r="BJ52" s="35">
        <f t="shared" si="13"/>
        <v>0</v>
      </c>
      <c r="BK52" s="37">
        <v>0</v>
      </c>
      <c r="BL52" s="37">
        <v>0</v>
      </c>
      <c r="BM52" s="35"/>
      <c r="BN52" s="37">
        <f>0</f>
        <v>0</v>
      </c>
      <c r="BO52" s="37"/>
      <c r="BP52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52" s="33"/>
      <c r="BR52" s="39">
        <f>Table13[[#This Row],[Initial Reserve]]-Table13[[#This Row],[All Deductions]]</f>
        <v>0</v>
      </c>
      <c r="BS52" s="39">
        <v>0</v>
      </c>
      <c r="BT52" s="39">
        <f>IF(B52=0,0,BU51-Table13[[#This Row],[All Deductions]])</f>
        <v>0</v>
      </c>
      <c r="BU52" s="40">
        <f>ROUND(IF(B52=0,0,((BR52+BU51)*(1+db!U54))),0)</f>
        <v>0</v>
      </c>
      <c r="BV52" s="40">
        <f t="shared" si="25"/>
        <v>0</v>
      </c>
      <c r="BW52" s="15">
        <f t="shared" si="14"/>
        <v>51</v>
      </c>
      <c r="BX52" s="39">
        <f>IF(B52=0,0,((BR52)*(1+db!AH54))+((BX51)*(1+db!AD54)))</f>
        <v>0</v>
      </c>
      <c r="BY52" s="39">
        <f>IF(B52=0,0,((BR52)*(1+db!AH54))+((BY51)*(1+db!AD54)))</f>
        <v>0</v>
      </c>
      <c r="BZ52" s="40">
        <f>IF(B52=0,0,((BR52)*(1+db!AO54))+((BZ51)*(1+db!AK54)))</f>
        <v>0</v>
      </c>
      <c r="CA52" s="40">
        <f>BZ52-(SUM(BM$7:$BM53))</f>
        <v>0</v>
      </c>
      <c r="CB52" s="46"/>
    </row>
    <row r="53" spans="1:80">
      <c r="A53" s="16">
        <f t="shared" si="15"/>
        <v>52</v>
      </c>
      <c r="B53" s="16">
        <f>IF(B52=0,0,IF(db!$E$5&lt;B52+1,0,B52+1))</f>
        <v>0</v>
      </c>
      <c r="C53" s="15">
        <f t="shared" si="16"/>
        <v>0</v>
      </c>
      <c r="D53" s="312">
        <f>LOOKUP(Table13[[#This Row],[Age]],RiskLoading!A$3:A$109,RiskLoading!DG$3:DG$109)</f>
        <v>55</v>
      </c>
      <c r="E53" s="29">
        <f t="shared" si="8"/>
        <v>0</v>
      </c>
      <c r="F53" s="29">
        <f t="shared" si="9"/>
        <v>0</v>
      </c>
      <c r="G53" s="29">
        <f t="shared" si="0"/>
        <v>0</v>
      </c>
      <c r="H53" s="29">
        <v>0</v>
      </c>
      <c r="I53" s="29">
        <f>IF(B53=0,0,SUM($H$2:H53))</f>
        <v>0</v>
      </c>
      <c r="J53" s="17">
        <f t="shared" si="10"/>
        <v>0</v>
      </c>
      <c r="K53" s="17">
        <f>IF(Table13[[#This Row],[Year]]=0,0,IF($C$2&lt;=50,LOOKUP(Table13[[#This Row],[Age]],db!BG54:BG160,db!BH54:BH160),LOOKUP(Table13[[#This Row],[Age]],db!BJ54:BJ160,db!BK54:BK160)))</f>
        <v>0</v>
      </c>
      <c r="L53" s="17">
        <f>MIN(IF(B53=0,0,db!$E$4*((1+db!$B$4)^(B53-1))),Table13[[#This Row],[Max Sum Insured For Death]])</f>
        <v>0</v>
      </c>
      <c r="M53" s="17">
        <f>ROUND(IF(L53&lt;=db!$L$7,L53,db!$L$7),0)</f>
        <v>0</v>
      </c>
      <c r="N53" s="29">
        <f t="shared" si="11"/>
        <v>0</v>
      </c>
      <c r="O53" s="29">
        <f>IF(B53=0,0,IF(db!$D$6="Yes",(db!$B$6)*M53,0))</f>
        <v>0</v>
      </c>
      <c r="P53" s="29">
        <f>MIN(IF(O53&lt;=db!$L$2,O53,db!$L$2),MAX_ACC_CAPITAL)</f>
        <v>0</v>
      </c>
      <c r="Q53" s="17">
        <f>IF(B53=0,0,IF(db!$D$7="Yes",(db!$B$7)*M53,0))</f>
        <v>0</v>
      </c>
      <c r="R53" s="42">
        <f>IF(C53&gt;69,0,IF(C53=0,0,IF(Q53&lt;=db!$L$3,Q53,db!$L$3)))</f>
        <v>0</v>
      </c>
      <c r="S53" s="29">
        <f>IF(B53=0,0,IF(db!$D$9="Yes",(db!$B$9)*M53,0))</f>
        <v>0</v>
      </c>
      <c r="T53" s="29">
        <f>ROUND(IF(C53&gt;69,0,IF(C53=0,0,IF(S53&lt;=db!$L$4,S53,db!$L$4))),0)</f>
        <v>0</v>
      </c>
      <c r="U53" s="38">
        <v>0</v>
      </c>
      <c r="V53" s="17">
        <v>0</v>
      </c>
      <c r="W53" s="29">
        <v>0</v>
      </c>
      <c r="X53" s="17">
        <f>IF(B53=0,0,IF(db!$D$11="Yes",(db!$B$11)*M53,0))</f>
        <v>0</v>
      </c>
      <c r="Y53" s="42">
        <f>ROUND(IF(C53&gt;59,0,IF(C53=0,0,IF(X53&lt;=db!$L$5,X53,db!$L$5))),0)</f>
        <v>0</v>
      </c>
      <c r="Z53" s="29">
        <f>IF(B53=0,0,IF(db!$D$12="Yes",(db!$B$12)*M53,0))</f>
        <v>0</v>
      </c>
      <c r="AA53" s="29">
        <f>ROUND(IF(C53&gt;59,0,IF(C53=0,0,IF(Z53&lt;=db!$L$6,Z53,db!$L$6))),0)</f>
        <v>0</v>
      </c>
      <c r="AB53" s="32"/>
      <c r="AC53" s="18">
        <f>IF(B53=0,0,IF(C53&lt;(db!$E$2+5),LOOKUP(C53,'Mortality Table'!$A$2:$A$108,'Mortality Table'!$P$2:$P$108),IF((C53&gt;=db!$E$2+10),LOOKUP(C53,'Mortality Table'!$A$2:$A$108,'Mortality Table'!$R$2:$R$108),LOOKUP(C53,'Mortality Table'!$A$2:$A$108,'Mortality Table'!$Q$2:$Q$108))))</f>
        <v>0</v>
      </c>
      <c r="AD53" s="22">
        <f t="shared" si="18"/>
        <v>0</v>
      </c>
      <c r="AE53" s="19">
        <f>IF(B53=0,0,LOOKUP(db!$A$8,db!$AX$4:$AX$8,db!$AY$4:$AY$8))</f>
        <v>0</v>
      </c>
      <c r="AF53" s="20">
        <f>ROUND((AE53/1000)*P53 * (1-db!$AS$9),0)</f>
        <v>0</v>
      </c>
      <c r="AG53" s="20">
        <f>(AE53/1000)*P53 * db!$AS$9</f>
        <v>0</v>
      </c>
      <c r="AH53" s="21">
        <f>IF(B53=0,0,LOOKUP(db!$A$8,db!$AX$4:$AX$8,db!$AZ$4:$AZ$8))</f>
        <v>0</v>
      </c>
      <c r="AI53" s="22">
        <f>(AH53/1000)*R53*(1-db!$AS$9)</f>
        <v>0</v>
      </c>
      <c r="AJ53" s="22">
        <f>(AH53/1000)*R53*(db!$AS$9)</f>
        <v>0</v>
      </c>
      <c r="AK53" s="23">
        <f>IF(B53=0,0,LOOKUP(db!$A$8,db!$AX$4:$AX$8,db!$BA$4:$BA$8))</f>
        <v>0</v>
      </c>
      <c r="AL53" s="20">
        <f>ROUND((AK53/(100))*T53*(1-db!$AS$9),0)</f>
        <v>0</v>
      </c>
      <c r="AM53" s="20">
        <f>ROUND((AK53/(100))*T53*(db!$AS$9),0)</f>
        <v>0</v>
      </c>
      <c r="AN53" s="21">
        <f>IF(db!$D$8="Yes",AH53,0)</f>
        <v>0</v>
      </c>
      <c r="AO53" s="22">
        <f>(AN53*V53)/1000*(1-db!$AS$9)</f>
        <v>0</v>
      </c>
      <c r="AP53" s="22">
        <f>(AN53*V53)/1000*(db!$AS$9)</f>
        <v>0</v>
      </c>
      <c r="AQ53" s="23">
        <f>IF(db!$D$10="Yes",AH53,0)</f>
        <v>0</v>
      </c>
      <c r="AR53" s="20">
        <f>(AQ53*W53/1000)*(1-db!$AS$9)</f>
        <v>0</v>
      </c>
      <c r="AS53" s="20">
        <f>(AQ53*W53/1000)*(db!$AS$9)</f>
        <v>0</v>
      </c>
      <c r="AT53" s="22">
        <f>IF(B53=0,0,IF(C53&gt;60,0,LOOKUP(LOOKUP(C53,RiskLoading!A$3:A$109,RiskLoading!DG$3:DG$109),db!$BC$3:$BC$63,db!$BD$3:$BD$63)))</f>
        <v>0</v>
      </c>
      <c r="AU53" s="22">
        <f>AV53*db!$AS$10</f>
        <v>0</v>
      </c>
      <c r="AV53" s="22">
        <f t="shared" si="19"/>
        <v>0</v>
      </c>
      <c r="AW53" s="22">
        <f>(AT53/1000000)*Y53*(1-db!$AS$10)</f>
        <v>0</v>
      </c>
      <c r="AX53" s="20">
        <f>IF(B53=0,0,IF(C53&gt;60,0,LOOKUP(LOOKUP(C53,RiskLoading!A$3:A$109,RiskLoading!DG$3:DG$109),db!$BC$3:$BC$63,db!$BE$3:$BE$63)))</f>
        <v>0</v>
      </c>
      <c r="AY53" s="20">
        <f>(AX53/1000000)*AA53*(1-db!$AS$11)</f>
        <v>0</v>
      </c>
      <c r="AZ53" s="20">
        <f>(AX53/1000000)*AA53*(db!$AS$11)</f>
        <v>0</v>
      </c>
      <c r="BA53" s="19">
        <f>IF(Table13[Year]=0,0,LOOKUP(Table13[Age],RiskLoading!A$3:A$109,RiskLoading!DT$3:DT$109))</f>
        <v>0</v>
      </c>
      <c r="BB53" s="20">
        <f>Table13[[#This Row],[RiskLoading
Rate]]*Table13[[#This Row],[Death Capital (2)]]</f>
        <v>0</v>
      </c>
      <c r="BC53" s="36"/>
      <c r="BD53" s="37">
        <f t="shared" si="20"/>
        <v>0</v>
      </c>
      <c r="BE53" s="35">
        <f t="shared" si="21"/>
        <v>0</v>
      </c>
      <c r="BF53" s="35">
        <f t="shared" si="22"/>
        <v>0</v>
      </c>
      <c r="BG53" s="37">
        <f t="shared" si="23"/>
        <v>0</v>
      </c>
      <c r="BH53" s="37">
        <f t="shared" si="24"/>
        <v>0</v>
      </c>
      <c r="BI53" s="35">
        <f t="shared" si="12"/>
        <v>0</v>
      </c>
      <c r="BJ53" s="35">
        <f t="shared" si="13"/>
        <v>0</v>
      </c>
      <c r="BK53" s="37">
        <v>0</v>
      </c>
      <c r="BL53" s="37">
        <v>0</v>
      </c>
      <c r="BM53" s="35"/>
      <c r="BN53" s="37">
        <f>0</f>
        <v>0</v>
      </c>
      <c r="BO53" s="37"/>
      <c r="BP53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53" s="33"/>
      <c r="BR53" s="39">
        <f>Table13[[#This Row],[Initial Reserve]]-Table13[[#This Row],[All Deductions]]</f>
        <v>0</v>
      </c>
      <c r="BS53" s="39">
        <v>0</v>
      </c>
      <c r="BT53" s="39">
        <f>IF(B53=0,0,BU52-Table13[[#This Row],[All Deductions]])</f>
        <v>0</v>
      </c>
      <c r="BU53" s="40">
        <f>ROUND(IF(B53=0,0,((BR53+BU52)*(1+db!U55))),0)</f>
        <v>0</v>
      </c>
      <c r="BV53" s="40">
        <f t="shared" si="25"/>
        <v>0</v>
      </c>
      <c r="BW53" s="15">
        <f t="shared" si="14"/>
        <v>52</v>
      </c>
      <c r="BX53" s="39">
        <f>IF(B53=0,0,((BR53)*(1+db!AH55))+((BX52)*(1+db!AD55)))</f>
        <v>0</v>
      </c>
      <c r="BY53" s="39">
        <f>IF(B53=0,0,((BR53)*(1+db!AH55))+((BY52)*(1+db!AD55)))</f>
        <v>0</v>
      </c>
      <c r="BZ53" s="40">
        <f>IF(B53=0,0,((BR53)*(1+db!AO55))+((BZ52)*(1+db!AK55)))</f>
        <v>0</v>
      </c>
      <c r="CA53" s="40">
        <f>BZ53-(SUM(BM$7:$BM54))</f>
        <v>0</v>
      </c>
      <c r="CB53" s="46"/>
    </row>
    <row r="54" spans="1:80">
      <c r="A54" s="16">
        <f t="shared" si="15"/>
        <v>53</v>
      </c>
      <c r="B54" s="16">
        <f>IF(B53=0,0,IF(db!$E$5&lt;B53+1,0,B53+1))</f>
        <v>0</v>
      </c>
      <c r="C54" s="15">
        <f t="shared" si="16"/>
        <v>0</v>
      </c>
      <c r="D54" s="312">
        <f>LOOKUP(Table13[[#This Row],[Age]],RiskLoading!A$3:A$109,RiskLoading!DG$3:DG$109)</f>
        <v>55</v>
      </c>
      <c r="E54" s="29">
        <f t="shared" si="8"/>
        <v>0</v>
      </c>
      <c r="F54" s="29">
        <f t="shared" si="9"/>
        <v>0</v>
      </c>
      <c r="G54" s="29">
        <f t="shared" si="0"/>
        <v>0</v>
      </c>
      <c r="H54" s="29">
        <v>0</v>
      </c>
      <c r="I54" s="29">
        <f>IF(B54=0,0,SUM($H$2:H54))</f>
        <v>0</v>
      </c>
      <c r="J54" s="17">
        <f t="shared" si="10"/>
        <v>0</v>
      </c>
      <c r="K54" s="17">
        <f>IF(Table13[[#This Row],[Year]]=0,0,IF($C$2&lt;=50,LOOKUP(Table13[[#This Row],[Age]],db!BG55:BG161,db!BH55:BH161),LOOKUP(Table13[[#This Row],[Age]],db!BJ55:BJ161,db!BK55:BK161)))</f>
        <v>0</v>
      </c>
      <c r="L54" s="17">
        <f>MIN(IF(B54=0,0,db!$E$4*((1+db!$B$4)^(B54-1))),Table13[[#This Row],[Max Sum Insured For Death]])</f>
        <v>0</v>
      </c>
      <c r="M54" s="17">
        <f>ROUND(IF(L54&lt;=db!$L$7,L54,db!$L$7),0)</f>
        <v>0</v>
      </c>
      <c r="N54" s="29">
        <f t="shared" si="11"/>
        <v>0</v>
      </c>
      <c r="O54" s="29">
        <f>IF(B54=0,0,IF(db!$D$6="Yes",(db!$B$6)*M54,0))</f>
        <v>0</v>
      </c>
      <c r="P54" s="29">
        <f>MIN(IF(O54&lt;=db!$L$2,O54,db!$L$2),MAX_ACC_CAPITAL)</f>
        <v>0</v>
      </c>
      <c r="Q54" s="17">
        <f>IF(B54=0,0,IF(db!$D$7="Yes",(db!$B$7)*M54,0))</f>
        <v>0</v>
      </c>
      <c r="R54" s="42">
        <f>IF(C54&gt;69,0,IF(C54=0,0,IF(Q54&lt;=db!$L$3,Q54,db!$L$3)))</f>
        <v>0</v>
      </c>
      <c r="S54" s="29">
        <f>IF(B54=0,0,IF(db!$D$9="Yes",(db!$B$9)*M54,0))</f>
        <v>0</v>
      </c>
      <c r="T54" s="29">
        <f>ROUND(IF(C54&gt;69,0,IF(C54=0,0,IF(S54&lt;=db!$L$4,S54,db!$L$4))),0)</f>
        <v>0</v>
      </c>
      <c r="U54" s="38">
        <v>0</v>
      </c>
      <c r="V54" s="17">
        <v>0</v>
      </c>
      <c r="W54" s="29">
        <v>0</v>
      </c>
      <c r="X54" s="17">
        <f>IF(B54=0,0,IF(db!$D$11="Yes",(db!$B$11)*M54,0))</f>
        <v>0</v>
      </c>
      <c r="Y54" s="42">
        <f>ROUND(IF(C54&gt;59,0,IF(C54=0,0,IF(X54&lt;=db!$L$5,X54,db!$L$5))),0)</f>
        <v>0</v>
      </c>
      <c r="Z54" s="29">
        <f>IF(B54=0,0,IF(db!$D$12="Yes",(db!$B$12)*M54,0))</f>
        <v>0</v>
      </c>
      <c r="AA54" s="29">
        <f>ROUND(IF(C54&gt;59,0,IF(C54=0,0,IF(Z54&lt;=db!$L$6,Z54,db!$L$6))),0)</f>
        <v>0</v>
      </c>
      <c r="AB54" s="32"/>
      <c r="AC54" s="18">
        <f>IF(B54=0,0,IF(C54&lt;(db!$E$2+5),LOOKUP(C54,'Mortality Table'!$A$2:$A$108,'Mortality Table'!$P$2:$P$108),IF((C54&gt;=db!$E$2+10),LOOKUP(C54,'Mortality Table'!$A$2:$A$108,'Mortality Table'!$R$2:$R$108),LOOKUP(C54,'Mortality Table'!$A$2:$A$108,'Mortality Table'!$Q$2:$Q$108))))</f>
        <v>0</v>
      </c>
      <c r="AD54" s="22">
        <f t="shared" si="18"/>
        <v>0</v>
      </c>
      <c r="AE54" s="19">
        <f>IF(B54=0,0,LOOKUP(db!$A$8,db!$AX$4:$AX$8,db!$AY$4:$AY$8))</f>
        <v>0</v>
      </c>
      <c r="AF54" s="20">
        <f>ROUND((AE54/1000)*P54 * (1-db!$AS$9),0)</f>
        <v>0</v>
      </c>
      <c r="AG54" s="20">
        <f>(AE54/1000)*P54 * db!$AS$9</f>
        <v>0</v>
      </c>
      <c r="AH54" s="21">
        <f>IF(B54=0,0,LOOKUP(db!$A$8,db!$AX$4:$AX$8,db!$AZ$4:$AZ$8))</f>
        <v>0</v>
      </c>
      <c r="AI54" s="22">
        <f>(AH54/1000)*R54*(1-db!$AS$9)</f>
        <v>0</v>
      </c>
      <c r="AJ54" s="22">
        <f>(AH54/1000)*R54*(db!$AS$9)</f>
        <v>0</v>
      </c>
      <c r="AK54" s="23">
        <f>IF(B54=0,0,LOOKUP(db!$A$8,db!$AX$4:$AX$8,db!$BA$4:$BA$8))</f>
        <v>0</v>
      </c>
      <c r="AL54" s="20">
        <f>ROUND((AK54/(100))*T54*(1-db!$AS$9),0)</f>
        <v>0</v>
      </c>
      <c r="AM54" s="20">
        <f>ROUND((AK54/(100))*T54*(db!$AS$9),0)</f>
        <v>0</v>
      </c>
      <c r="AN54" s="21">
        <f>IF(db!$D$8="Yes",AH54,0)</f>
        <v>0</v>
      </c>
      <c r="AO54" s="22">
        <f>(AN54*V54)/1000*(1-db!$AS$9)</f>
        <v>0</v>
      </c>
      <c r="AP54" s="22">
        <f>(AN54*V54)/1000*(db!$AS$9)</f>
        <v>0</v>
      </c>
      <c r="AQ54" s="23">
        <f>IF(db!$D$10="Yes",AH54,0)</f>
        <v>0</v>
      </c>
      <c r="AR54" s="20">
        <f>(AQ54*W54/1000)*(1-db!$AS$9)</f>
        <v>0</v>
      </c>
      <c r="AS54" s="20">
        <f>(AQ54*W54/1000)*(db!$AS$9)</f>
        <v>0</v>
      </c>
      <c r="AT54" s="22">
        <f>IF(B54=0,0,IF(C54&gt;60,0,LOOKUP(LOOKUP(C54,RiskLoading!A$3:A$109,RiskLoading!DG$3:DG$109),db!$BC$3:$BC$63,db!$BD$3:$BD$63)))</f>
        <v>0</v>
      </c>
      <c r="AU54" s="22">
        <f>AV54*db!$AS$10</f>
        <v>0</v>
      </c>
      <c r="AV54" s="22">
        <f t="shared" si="19"/>
        <v>0</v>
      </c>
      <c r="AW54" s="22">
        <f>(AT54/1000000)*Y54*(1-db!$AS$10)</f>
        <v>0</v>
      </c>
      <c r="AX54" s="20">
        <f>IF(B54=0,0,IF(C54&gt;60,0,LOOKUP(LOOKUP(C54,RiskLoading!A$3:A$109,RiskLoading!DG$3:DG$109),db!$BC$3:$BC$63,db!$BE$3:$BE$63)))</f>
        <v>0</v>
      </c>
      <c r="AY54" s="20">
        <f>(AX54/1000000)*AA54*(1-db!$AS$11)</f>
        <v>0</v>
      </c>
      <c r="AZ54" s="20">
        <f>(AX54/1000000)*AA54*(db!$AS$11)</f>
        <v>0</v>
      </c>
      <c r="BA54" s="19">
        <f>IF(Table13[Year]=0,0,LOOKUP(Table13[Age],RiskLoading!A$3:A$109,RiskLoading!DT$3:DT$109))</f>
        <v>0</v>
      </c>
      <c r="BB54" s="20">
        <f>Table13[[#This Row],[RiskLoading
Rate]]*Table13[[#This Row],[Death Capital (2)]]</f>
        <v>0</v>
      </c>
      <c r="BC54" s="36"/>
      <c r="BD54" s="37">
        <f t="shared" si="20"/>
        <v>0</v>
      </c>
      <c r="BE54" s="35">
        <f t="shared" si="21"/>
        <v>0</v>
      </c>
      <c r="BF54" s="35">
        <f t="shared" si="22"/>
        <v>0</v>
      </c>
      <c r="BG54" s="37">
        <f t="shared" si="23"/>
        <v>0</v>
      </c>
      <c r="BH54" s="37">
        <f t="shared" si="24"/>
        <v>0</v>
      </c>
      <c r="BI54" s="35">
        <f t="shared" si="12"/>
        <v>0</v>
      </c>
      <c r="BJ54" s="35">
        <f t="shared" si="13"/>
        <v>0</v>
      </c>
      <c r="BK54" s="37">
        <v>0</v>
      </c>
      <c r="BL54" s="37">
        <v>0</v>
      </c>
      <c r="BM54" s="35"/>
      <c r="BN54" s="37">
        <f>0</f>
        <v>0</v>
      </c>
      <c r="BO54" s="37"/>
      <c r="BP54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54" s="33"/>
      <c r="BR54" s="39">
        <f>Table13[[#This Row],[Initial Reserve]]-Table13[[#This Row],[All Deductions]]</f>
        <v>0</v>
      </c>
      <c r="BS54" s="39">
        <v>0</v>
      </c>
      <c r="BT54" s="39">
        <f>IF(B54=0,0,BU53-Table13[[#This Row],[All Deductions]])</f>
        <v>0</v>
      </c>
      <c r="BU54" s="40">
        <f>ROUND(IF(B54=0,0,((BR54+BU53)*(1+db!U56))),0)</f>
        <v>0</v>
      </c>
      <c r="BV54" s="40">
        <f t="shared" si="25"/>
        <v>0</v>
      </c>
      <c r="BW54" s="15">
        <f t="shared" si="14"/>
        <v>53</v>
      </c>
      <c r="BX54" s="39">
        <f>IF(B54=0,0,((BR54)*(1+db!AH56))+((BX53)*(1+db!AD56)))</f>
        <v>0</v>
      </c>
      <c r="BY54" s="39">
        <f>IF(B54=0,0,((BR54)*(1+db!AH56))+((BY53)*(1+db!AD56)))</f>
        <v>0</v>
      </c>
      <c r="BZ54" s="40">
        <f>IF(B54=0,0,((BR54)*(1+db!AO56))+((BZ53)*(1+db!AK56)))</f>
        <v>0</v>
      </c>
      <c r="CA54" s="40">
        <f>BZ54-(SUM(BM$7:$BM55))</f>
        <v>0</v>
      </c>
      <c r="CB54" s="46"/>
    </row>
    <row r="55" spans="1:80">
      <c r="A55" s="16">
        <f t="shared" si="15"/>
        <v>54</v>
      </c>
      <c r="B55" s="16">
        <f>IF(B54=0,0,IF(db!$E$5&lt;B54+1,0,B54+1))</f>
        <v>0</v>
      </c>
      <c r="C55" s="15">
        <f t="shared" si="16"/>
        <v>0</v>
      </c>
      <c r="D55" s="312">
        <f>LOOKUP(Table13[[#This Row],[Age]],RiskLoading!A$3:A$109,RiskLoading!DG$3:DG$109)</f>
        <v>55</v>
      </c>
      <c r="E55" s="29">
        <f t="shared" si="8"/>
        <v>0</v>
      </c>
      <c r="F55" s="29">
        <f t="shared" si="9"/>
        <v>0</v>
      </c>
      <c r="G55" s="29">
        <f t="shared" si="0"/>
        <v>0</v>
      </c>
      <c r="H55" s="29">
        <v>0</v>
      </c>
      <c r="I55" s="29">
        <f>IF(B55=0,0,SUM($H$2:H55))</f>
        <v>0</v>
      </c>
      <c r="J55" s="17">
        <f t="shared" si="10"/>
        <v>0</v>
      </c>
      <c r="K55" s="17">
        <f>IF(Table13[[#This Row],[Year]]=0,0,IF($C$2&lt;=50,LOOKUP(Table13[[#This Row],[Age]],db!BG56:BG162,db!BH56:BH162),LOOKUP(Table13[[#This Row],[Age]],db!BJ56:BJ162,db!BK56:BK162)))</f>
        <v>0</v>
      </c>
      <c r="L55" s="17">
        <f>MIN(IF(B55=0,0,db!$E$4*((1+db!$B$4)^(B55-1))),Table13[[#This Row],[Max Sum Insured For Death]])</f>
        <v>0</v>
      </c>
      <c r="M55" s="17">
        <f>ROUND(IF(L55&lt;=db!$L$7,L55,db!$L$7),0)</f>
        <v>0</v>
      </c>
      <c r="N55" s="29">
        <f t="shared" si="11"/>
        <v>0</v>
      </c>
      <c r="O55" s="29">
        <f>IF(B55=0,0,IF(db!$D$6="Yes",(db!$B$6)*M55,0))</f>
        <v>0</v>
      </c>
      <c r="P55" s="29">
        <f>MIN(IF(O55&lt;=db!$L$2,O55,db!$L$2),MAX_ACC_CAPITAL)</f>
        <v>0</v>
      </c>
      <c r="Q55" s="17">
        <f>IF(B55=0,0,IF(db!$D$7="Yes",(db!$B$7)*M55,0))</f>
        <v>0</v>
      </c>
      <c r="R55" s="42">
        <f>IF(C55&gt;69,0,IF(C55=0,0,IF(Q55&lt;=db!$L$3,Q55,db!$L$3)))</f>
        <v>0</v>
      </c>
      <c r="S55" s="29">
        <f>IF(B55=0,0,IF(db!$D$9="Yes",(db!$B$9)*M55,0))</f>
        <v>0</v>
      </c>
      <c r="T55" s="29">
        <f>ROUND(IF(C55&gt;69,0,IF(C55=0,0,IF(S55&lt;=db!$L$4,S55,db!$L$4))),0)</f>
        <v>0</v>
      </c>
      <c r="U55" s="38">
        <v>0</v>
      </c>
      <c r="V55" s="17">
        <v>0</v>
      </c>
      <c r="W55" s="29">
        <v>0</v>
      </c>
      <c r="X55" s="17">
        <f>IF(B55=0,0,IF(db!$D$11="Yes",(db!$B$11)*M55,0))</f>
        <v>0</v>
      </c>
      <c r="Y55" s="42">
        <f>ROUND(IF(C55&gt;59,0,IF(C55=0,0,IF(X55&lt;=db!$L$5,X55,db!$L$5))),0)</f>
        <v>0</v>
      </c>
      <c r="Z55" s="29">
        <f>IF(B55=0,0,IF(db!$D$12="Yes",(db!$B$12)*M55,0))</f>
        <v>0</v>
      </c>
      <c r="AA55" s="29">
        <f>ROUND(IF(C55&gt;59,0,IF(C55=0,0,IF(Z55&lt;=db!$L$6,Z55,db!$L$6))),0)</f>
        <v>0</v>
      </c>
      <c r="AB55" s="32"/>
      <c r="AC55" s="18">
        <f>IF(B55=0,0,IF(C55&lt;(db!$E$2+5),LOOKUP(C55,'Mortality Table'!$A$2:$A$108,'Mortality Table'!$P$2:$P$108),IF((C55&gt;=db!$E$2+10),LOOKUP(C55,'Mortality Table'!$A$2:$A$108,'Mortality Table'!$R$2:$R$108),LOOKUP(C55,'Mortality Table'!$A$2:$A$108,'Mortality Table'!$Q$2:$Q$108))))</f>
        <v>0</v>
      </c>
      <c r="AD55" s="22">
        <f t="shared" si="18"/>
        <v>0</v>
      </c>
      <c r="AE55" s="19">
        <f>IF(B55=0,0,LOOKUP(db!$A$8,db!$AX$4:$AX$8,db!$AY$4:$AY$8))</f>
        <v>0</v>
      </c>
      <c r="AF55" s="20">
        <f>ROUND((AE55/1000)*P55 * (1-db!$AS$9),0)</f>
        <v>0</v>
      </c>
      <c r="AG55" s="20">
        <f>(AE55/1000)*P55 * db!$AS$9</f>
        <v>0</v>
      </c>
      <c r="AH55" s="21">
        <f>IF(B55=0,0,LOOKUP(db!$A$8,db!$AX$4:$AX$8,db!$AZ$4:$AZ$8))</f>
        <v>0</v>
      </c>
      <c r="AI55" s="22">
        <f>(AH55/1000)*R55*(1-db!$AS$9)</f>
        <v>0</v>
      </c>
      <c r="AJ55" s="22">
        <f>(AH55/1000)*R55*(db!$AS$9)</f>
        <v>0</v>
      </c>
      <c r="AK55" s="23">
        <f>IF(B55=0,0,LOOKUP(db!$A$8,db!$AX$4:$AX$8,db!$BA$4:$BA$8))</f>
        <v>0</v>
      </c>
      <c r="AL55" s="20">
        <f>ROUND((AK55/(100))*T55*(1-db!$AS$9),0)</f>
        <v>0</v>
      </c>
      <c r="AM55" s="20">
        <f>ROUND((AK55/(100))*T55*(db!$AS$9),0)</f>
        <v>0</v>
      </c>
      <c r="AN55" s="21">
        <f>IF(db!$D$8="Yes",AH55,0)</f>
        <v>0</v>
      </c>
      <c r="AO55" s="22">
        <f>(AN55*V55)/1000*(1-db!$AS$9)</f>
        <v>0</v>
      </c>
      <c r="AP55" s="22">
        <f>(AN55*V55)/1000*(db!$AS$9)</f>
        <v>0</v>
      </c>
      <c r="AQ55" s="23">
        <f>IF(db!$D$10="Yes",AH55,0)</f>
        <v>0</v>
      </c>
      <c r="AR55" s="20">
        <f>(AQ55*W55/1000)*(1-db!$AS$9)</f>
        <v>0</v>
      </c>
      <c r="AS55" s="20">
        <f>(AQ55*W55/1000)*(db!$AS$9)</f>
        <v>0</v>
      </c>
      <c r="AT55" s="22">
        <f>IF(B55=0,0,IF(C55&gt;60,0,LOOKUP(LOOKUP(C55,RiskLoading!A$3:A$109,RiskLoading!DG$3:DG$109),db!$BC$3:$BC$63,db!$BD$3:$BD$63)))</f>
        <v>0</v>
      </c>
      <c r="AU55" s="22">
        <f>AV55*db!$AS$10</f>
        <v>0</v>
      </c>
      <c r="AV55" s="22">
        <f t="shared" si="19"/>
        <v>0</v>
      </c>
      <c r="AW55" s="22">
        <f>(AT55/1000000)*Y55*(1-db!$AS$10)</f>
        <v>0</v>
      </c>
      <c r="AX55" s="20">
        <f>IF(B55=0,0,IF(C55&gt;60,0,LOOKUP(LOOKUP(C55,RiskLoading!A$3:A$109,RiskLoading!DG$3:DG$109),db!$BC$3:$BC$63,db!$BE$3:$BE$63)))</f>
        <v>0</v>
      </c>
      <c r="AY55" s="20">
        <f>(AX55/1000000)*AA55*(1-db!$AS$11)</f>
        <v>0</v>
      </c>
      <c r="AZ55" s="20">
        <f>(AX55/1000000)*AA55*(db!$AS$11)</f>
        <v>0</v>
      </c>
      <c r="BA55" s="19">
        <f>IF(Table13[Year]=0,0,LOOKUP(Table13[Age],RiskLoading!A$3:A$109,RiskLoading!DT$3:DT$109))</f>
        <v>0</v>
      </c>
      <c r="BB55" s="20">
        <f>Table13[[#This Row],[RiskLoading
Rate]]*Table13[[#This Row],[Death Capital (2)]]</f>
        <v>0</v>
      </c>
      <c r="BC55" s="36"/>
      <c r="BD55" s="37">
        <f t="shared" si="20"/>
        <v>0</v>
      </c>
      <c r="BE55" s="35">
        <f t="shared" si="21"/>
        <v>0</v>
      </c>
      <c r="BF55" s="35">
        <f t="shared" si="22"/>
        <v>0</v>
      </c>
      <c r="BG55" s="37">
        <f t="shared" si="23"/>
        <v>0</v>
      </c>
      <c r="BH55" s="37">
        <f t="shared" si="24"/>
        <v>0</v>
      </c>
      <c r="BI55" s="35">
        <f t="shared" si="12"/>
        <v>0</v>
      </c>
      <c r="BJ55" s="35">
        <f t="shared" si="13"/>
        <v>0</v>
      </c>
      <c r="BK55" s="37">
        <v>0</v>
      </c>
      <c r="BL55" s="37">
        <v>0</v>
      </c>
      <c r="BM55" s="35"/>
      <c r="BN55" s="37">
        <f>0</f>
        <v>0</v>
      </c>
      <c r="BO55" s="37"/>
      <c r="BP55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55" s="33"/>
      <c r="BR55" s="39">
        <f>Table13[[#This Row],[Initial Reserve]]-Table13[[#This Row],[All Deductions]]</f>
        <v>0</v>
      </c>
      <c r="BS55" s="39">
        <v>0</v>
      </c>
      <c r="BT55" s="39">
        <f>IF(B55=0,0,BU54-Table13[[#This Row],[All Deductions]])</f>
        <v>0</v>
      </c>
      <c r="BU55" s="40">
        <f>ROUND(IF(B55=0,0,((BR55+BU54)*(1+db!U57))),0)</f>
        <v>0</v>
      </c>
      <c r="BV55" s="40">
        <f t="shared" si="25"/>
        <v>0</v>
      </c>
      <c r="BW55" s="15">
        <f t="shared" si="14"/>
        <v>54</v>
      </c>
      <c r="BX55" s="39">
        <f>IF(B55=0,0,((BR55)*(1+db!AH57))+((BX54)*(1+db!AD57)))</f>
        <v>0</v>
      </c>
      <c r="BY55" s="39">
        <f>IF(B55=0,0,((BR55)*(1+db!AH57))+((BY54)*(1+db!AD57)))</f>
        <v>0</v>
      </c>
      <c r="BZ55" s="40">
        <f>IF(B55=0,0,((BR55)*(1+db!AO57))+((BZ54)*(1+db!AK57)))</f>
        <v>0</v>
      </c>
      <c r="CA55" s="40">
        <f>BZ55-(SUM(BM$7:$BM56))</f>
        <v>0</v>
      </c>
      <c r="CB55" s="46"/>
    </row>
    <row r="56" spans="1:80">
      <c r="A56" s="16">
        <f t="shared" si="15"/>
        <v>55</v>
      </c>
      <c r="B56" s="16">
        <f>IF(B55=0,0,IF(db!$E$5&lt;B55+1,0,B55+1))</f>
        <v>0</v>
      </c>
      <c r="C56" s="15">
        <f t="shared" si="16"/>
        <v>0</v>
      </c>
      <c r="D56" s="312">
        <f>LOOKUP(Table13[[#This Row],[Age]],RiskLoading!A$3:A$109,RiskLoading!DG$3:DG$109)</f>
        <v>55</v>
      </c>
      <c r="E56" s="29">
        <f t="shared" si="8"/>
        <v>0</v>
      </c>
      <c r="F56" s="29">
        <f t="shared" si="9"/>
        <v>0</v>
      </c>
      <c r="G56" s="29">
        <f t="shared" si="0"/>
        <v>0</v>
      </c>
      <c r="H56" s="29">
        <v>0</v>
      </c>
      <c r="I56" s="29">
        <f>IF(B56=0,0,SUM($H$2:H56))</f>
        <v>0</v>
      </c>
      <c r="J56" s="17">
        <f t="shared" si="10"/>
        <v>0</v>
      </c>
      <c r="K56" s="17">
        <f>IF(Table13[[#This Row],[Year]]=0,0,IF($C$2&lt;=50,LOOKUP(Table13[[#This Row],[Age]],db!BG57:BG163,db!BH57:BH163),LOOKUP(Table13[[#This Row],[Age]],db!BJ57:BJ163,db!BK57:BK163)))</f>
        <v>0</v>
      </c>
      <c r="L56" s="17">
        <f>MIN(IF(B56=0,0,db!$E$4*((1+db!$B$4)^(B56-1))),Table13[[#This Row],[Max Sum Insured For Death]])</f>
        <v>0</v>
      </c>
      <c r="M56" s="17">
        <f>ROUND(IF(L56&lt;=db!$L$7,L56,db!$L$7),0)</f>
        <v>0</v>
      </c>
      <c r="N56" s="29">
        <f t="shared" si="11"/>
        <v>0</v>
      </c>
      <c r="O56" s="29">
        <f>IF(B56=0,0,IF(db!$D$6="Yes",(db!$B$6)*M56,0))</f>
        <v>0</v>
      </c>
      <c r="P56" s="29">
        <f>MIN(IF(O56&lt;=db!$L$2,O56,db!$L$2),MAX_ACC_CAPITAL)</f>
        <v>0</v>
      </c>
      <c r="Q56" s="17">
        <f>IF(B56=0,0,IF(db!$D$7="Yes",(db!$B$7)*M56,0))</f>
        <v>0</v>
      </c>
      <c r="R56" s="42">
        <f>IF(C56&gt;69,0,IF(C56=0,0,IF(Q56&lt;=db!$L$3,Q56,db!$L$3)))</f>
        <v>0</v>
      </c>
      <c r="S56" s="29">
        <f>IF(B56=0,0,IF(db!$D$9="Yes",(db!$B$9)*M56,0))</f>
        <v>0</v>
      </c>
      <c r="T56" s="29">
        <f>ROUND(IF(C56&gt;69,0,IF(C56=0,0,IF(S56&lt;=db!$L$4,S56,db!$L$4))),0)</f>
        <v>0</v>
      </c>
      <c r="U56" s="38">
        <v>0</v>
      </c>
      <c r="V56" s="17">
        <v>0</v>
      </c>
      <c r="W56" s="29">
        <v>0</v>
      </c>
      <c r="X56" s="17">
        <f>IF(B56=0,0,IF(db!$D$11="Yes",(db!$B$11)*M56,0))</f>
        <v>0</v>
      </c>
      <c r="Y56" s="42">
        <f>ROUND(IF(C56&gt;59,0,IF(C56=0,0,IF(X56&lt;=db!$L$5,X56,db!$L$5))),0)</f>
        <v>0</v>
      </c>
      <c r="Z56" s="29">
        <f>IF(B56=0,0,IF(db!$D$12="Yes",(db!$B$12)*M56,0))</f>
        <v>0</v>
      </c>
      <c r="AA56" s="29">
        <f>ROUND(IF(C56&gt;59,0,IF(C56=0,0,IF(Z56&lt;=db!$L$6,Z56,db!$L$6))),0)</f>
        <v>0</v>
      </c>
      <c r="AB56" s="32"/>
      <c r="AC56" s="18">
        <f>IF(B56=0,0,IF(C56&lt;(db!$E$2+5),LOOKUP(C56,'Mortality Table'!$A$2:$A$108,'Mortality Table'!$P$2:$P$108),IF((C56&gt;=db!$E$2+10),LOOKUP(C56,'Mortality Table'!$A$2:$A$108,'Mortality Table'!$R$2:$R$108),LOOKUP(C56,'Mortality Table'!$A$2:$A$108,'Mortality Table'!$Q$2:$Q$108))))</f>
        <v>0</v>
      </c>
      <c r="AD56" s="22">
        <f t="shared" si="18"/>
        <v>0</v>
      </c>
      <c r="AE56" s="19">
        <f>IF(B56=0,0,LOOKUP(db!$A$8,db!$AX$4:$AX$8,db!$AY$4:$AY$8))</f>
        <v>0</v>
      </c>
      <c r="AF56" s="20">
        <f>ROUND((AE56/1000)*P56 * (1-db!$AS$9),0)</f>
        <v>0</v>
      </c>
      <c r="AG56" s="20">
        <f>(AE56/1000)*P56 * db!$AS$9</f>
        <v>0</v>
      </c>
      <c r="AH56" s="21">
        <f>IF(B56=0,0,LOOKUP(db!$A$8,db!$AX$4:$AX$8,db!$AZ$4:$AZ$8))</f>
        <v>0</v>
      </c>
      <c r="AI56" s="22">
        <f>(AH56/1000)*R56*(1-db!$AS$9)</f>
        <v>0</v>
      </c>
      <c r="AJ56" s="22">
        <f>(AH56/1000)*R56*(db!$AS$9)</f>
        <v>0</v>
      </c>
      <c r="AK56" s="23">
        <f>IF(B56=0,0,LOOKUP(db!$A$8,db!$AX$4:$AX$8,db!$BA$4:$BA$8))</f>
        <v>0</v>
      </c>
      <c r="AL56" s="20">
        <f>ROUND((AK56/(100))*T56*(1-db!$AS$9),0)</f>
        <v>0</v>
      </c>
      <c r="AM56" s="20">
        <f>ROUND((AK56/(100))*T56*(db!$AS$9),0)</f>
        <v>0</v>
      </c>
      <c r="AN56" s="21">
        <f>IF(db!$D$8="Yes",AH56,0)</f>
        <v>0</v>
      </c>
      <c r="AO56" s="22">
        <f>(AN56*V56)/1000*(1-db!$AS$9)</f>
        <v>0</v>
      </c>
      <c r="AP56" s="22">
        <f>(AN56*V56)/1000*(db!$AS$9)</f>
        <v>0</v>
      </c>
      <c r="AQ56" s="23">
        <f>IF(db!$D$10="Yes",AH56,0)</f>
        <v>0</v>
      </c>
      <c r="AR56" s="20">
        <f>(AQ56*W56/1000)*(1-db!$AS$9)</f>
        <v>0</v>
      </c>
      <c r="AS56" s="20">
        <f>(AQ56*W56/1000)*(db!$AS$9)</f>
        <v>0</v>
      </c>
      <c r="AT56" s="22">
        <f>IF(B56=0,0,IF(C56&gt;60,0,LOOKUP(LOOKUP(C56,RiskLoading!A$3:A$109,RiskLoading!DG$3:DG$109),db!$BC$3:$BC$63,db!$BD$3:$BD$63)))</f>
        <v>0</v>
      </c>
      <c r="AU56" s="22">
        <f>AV56*db!$AS$10</f>
        <v>0</v>
      </c>
      <c r="AV56" s="22">
        <f t="shared" si="19"/>
        <v>0</v>
      </c>
      <c r="AW56" s="22">
        <f>(AT56/1000000)*Y56*(1-db!$AS$10)</f>
        <v>0</v>
      </c>
      <c r="AX56" s="20">
        <f>IF(B56=0,0,IF(C56&gt;60,0,LOOKUP(LOOKUP(C56,RiskLoading!A$3:A$109,RiskLoading!DG$3:DG$109),db!$BC$3:$BC$63,db!$BE$3:$BE$63)))</f>
        <v>0</v>
      </c>
      <c r="AY56" s="20">
        <f>(AX56/1000000)*AA56*(1-db!$AS$11)</f>
        <v>0</v>
      </c>
      <c r="AZ56" s="20">
        <f>(AX56/1000000)*AA56*(db!$AS$11)</f>
        <v>0</v>
      </c>
      <c r="BA56" s="19">
        <f>IF(Table13[Year]=0,0,LOOKUP(Table13[Age],RiskLoading!A$3:A$109,RiskLoading!DT$3:DT$109))</f>
        <v>0</v>
      </c>
      <c r="BB56" s="20">
        <f>Table13[[#This Row],[RiskLoading
Rate]]*Table13[[#This Row],[Death Capital (2)]]</f>
        <v>0</v>
      </c>
      <c r="BC56" s="36"/>
      <c r="BD56" s="37">
        <f t="shared" si="20"/>
        <v>0</v>
      </c>
      <c r="BE56" s="35">
        <f t="shared" si="21"/>
        <v>0</v>
      </c>
      <c r="BF56" s="35">
        <f t="shared" si="22"/>
        <v>0</v>
      </c>
      <c r="BG56" s="37">
        <f t="shared" si="23"/>
        <v>0</v>
      </c>
      <c r="BH56" s="37">
        <f t="shared" si="24"/>
        <v>0</v>
      </c>
      <c r="BI56" s="35">
        <f t="shared" si="12"/>
        <v>0</v>
      </c>
      <c r="BJ56" s="35">
        <f t="shared" si="13"/>
        <v>0</v>
      </c>
      <c r="BK56" s="37">
        <v>0</v>
      </c>
      <c r="BL56" s="37">
        <v>0</v>
      </c>
      <c r="BM56" s="35"/>
      <c r="BN56" s="37">
        <f>0</f>
        <v>0</v>
      </c>
      <c r="BO56" s="37"/>
      <c r="BP56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56" s="33"/>
      <c r="BR56" s="39">
        <f>Table13[[#This Row],[Initial Reserve]]-Table13[[#This Row],[All Deductions]]</f>
        <v>0</v>
      </c>
      <c r="BS56" s="39">
        <v>0</v>
      </c>
      <c r="BT56" s="39">
        <f>IF(B56=0,0,BU55-Table13[[#This Row],[All Deductions]])</f>
        <v>0</v>
      </c>
      <c r="BU56" s="40">
        <f>ROUND(IF(B56=0,0,((BR56+BU55)*(1+db!U58))),0)</f>
        <v>0</v>
      </c>
      <c r="BV56" s="40">
        <f t="shared" si="25"/>
        <v>0</v>
      </c>
      <c r="BW56" s="15">
        <f t="shared" si="14"/>
        <v>55</v>
      </c>
      <c r="BX56" s="39">
        <f>IF(B56=0,0,((BR56)*(1+db!AH58))+((BX55)*(1+db!AD58)))</f>
        <v>0</v>
      </c>
      <c r="BY56" s="39">
        <f>IF(B56=0,0,((BR56)*(1+db!AH58))+((BY55)*(1+db!AD58)))</f>
        <v>0</v>
      </c>
      <c r="BZ56" s="40">
        <f>IF(B56=0,0,((BR56)*(1+db!AO58))+((BZ55)*(1+db!AK58)))</f>
        <v>0</v>
      </c>
      <c r="CA56" s="40">
        <f>BZ56-(SUM(BM$7:$BM57))</f>
        <v>0</v>
      </c>
      <c r="CB56" s="46"/>
    </row>
    <row r="57" spans="1:80">
      <c r="A57" s="16">
        <f t="shared" si="15"/>
        <v>56</v>
      </c>
      <c r="B57" s="16">
        <f>IF(B56=0,0,IF(db!$E$5&lt;B56+1,0,B56+1))</f>
        <v>0</v>
      </c>
      <c r="C57" s="15">
        <f t="shared" si="16"/>
        <v>0</v>
      </c>
      <c r="D57" s="312">
        <f>LOOKUP(Table13[[#This Row],[Age]],RiskLoading!A$3:A$109,RiskLoading!DG$3:DG$109)</f>
        <v>55</v>
      </c>
      <c r="E57" s="29">
        <f t="shared" si="8"/>
        <v>0</v>
      </c>
      <c r="F57" s="29">
        <f t="shared" si="9"/>
        <v>0</v>
      </c>
      <c r="G57" s="29">
        <f t="shared" si="0"/>
        <v>0</v>
      </c>
      <c r="H57" s="29">
        <v>0</v>
      </c>
      <c r="I57" s="29">
        <f>IF(B57=0,0,SUM($H$2:H57))</f>
        <v>0</v>
      </c>
      <c r="J57" s="17">
        <f t="shared" si="10"/>
        <v>0</v>
      </c>
      <c r="K57" s="17">
        <f>IF(Table13[[#This Row],[Year]]=0,0,IF($C$2&lt;=50,LOOKUP(Table13[[#This Row],[Age]],db!BG58:BG164,db!BH58:BH164),LOOKUP(Table13[[#This Row],[Age]],db!BJ58:BJ164,db!BK58:BK164)))</f>
        <v>0</v>
      </c>
      <c r="L57" s="17">
        <f>MIN(IF(B57=0,0,db!$E$4*((1+db!$B$4)^(B57-1))),Table13[[#This Row],[Max Sum Insured For Death]])</f>
        <v>0</v>
      </c>
      <c r="M57" s="17">
        <f>ROUND(IF(L57&lt;=db!$L$7,L57,db!$L$7),0)</f>
        <v>0</v>
      </c>
      <c r="N57" s="29">
        <f t="shared" si="11"/>
        <v>0</v>
      </c>
      <c r="O57" s="29">
        <f>IF(B57=0,0,IF(db!$D$6="Yes",(db!$B$6)*M57,0))</f>
        <v>0</v>
      </c>
      <c r="P57" s="29">
        <f>MIN(IF(O57&lt;=db!$L$2,O57,db!$L$2),MAX_ACC_CAPITAL)</f>
        <v>0</v>
      </c>
      <c r="Q57" s="17">
        <f>IF(B57=0,0,IF(db!$D$7="Yes",(db!$B$7)*M57,0))</f>
        <v>0</v>
      </c>
      <c r="R57" s="42">
        <f>IF(C57&gt;69,0,IF(C57=0,0,IF(Q57&lt;=db!$L$3,Q57,db!$L$3)))</f>
        <v>0</v>
      </c>
      <c r="S57" s="29">
        <f>IF(B57=0,0,IF(db!$D$9="Yes",(db!$B$9)*M57,0))</f>
        <v>0</v>
      </c>
      <c r="T57" s="29">
        <f>ROUND(IF(C57&gt;69,0,IF(C57=0,0,IF(S57&lt;=db!$L$4,S57,db!$L$4))),0)</f>
        <v>0</v>
      </c>
      <c r="U57" s="38">
        <v>0</v>
      </c>
      <c r="V57" s="17">
        <v>0</v>
      </c>
      <c r="W57" s="29">
        <v>0</v>
      </c>
      <c r="X57" s="17">
        <f>IF(B57=0,0,IF(db!$D$11="Yes",(db!$B$11)*M57,0))</f>
        <v>0</v>
      </c>
      <c r="Y57" s="42">
        <f>ROUND(IF(C57&gt;59,0,IF(C57=0,0,IF(X57&lt;=db!$L$5,X57,db!$L$5))),0)</f>
        <v>0</v>
      </c>
      <c r="Z57" s="29">
        <f>IF(B57=0,0,IF(db!$D$12="Yes",(db!$B$12)*M57,0))</f>
        <v>0</v>
      </c>
      <c r="AA57" s="29">
        <f>ROUND(IF(C57&gt;59,0,IF(C57=0,0,IF(Z57&lt;=db!$L$6,Z57,db!$L$6))),0)</f>
        <v>0</v>
      </c>
      <c r="AB57" s="32"/>
      <c r="AC57" s="18">
        <f>IF(B57=0,0,IF(C57&lt;(db!$E$2+5),LOOKUP(C57,'Mortality Table'!$A$2:$A$108,'Mortality Table'!$P$2:$P$108),IF((C57&gt;=db!$E$2+10),LOOKUP(C57,'Mortality Table'!$A$2:$A$108,'Mortality Table'!$R$2:$R$108),LOOKUP(C57,'Mortality Table'!$A$2:$A$108,'Mortality Table'!$Q$2:$Q$108))))</f>
        <v>0</v>
      </c>
      <c r="AD57" s="22">
        <f t="shared" si="18"/>
        <v>0</v>
      </c>
      <c r="AE57" s="19">
        <f>IF(B57=0,0,LOOKUP(db!$A$8,db!$AX$4:$AX$8,db!$AY$4:$AY$8))</f>
        <v>0</v>
      </c>
      <c r="AF57" s="20">
        <f>ROUND((AE57/1000)*P57 * (1-db!$AS$9),0)</f>
        <v>0</v>
      </c>
      <c r="AG57" s="20">
        <f>(AE57/1000)*P57 * db!$AS$9</f>
        <v>0</v>
      </c>
      <c r="AH57" s="21">
        <f>IF(B57=0,0,LOOKUP(db!$A$8,db!$AX$4:$AX$8,db!$AZ$4:$AZ$8))</f>
        <v>0</v>
      </c>
      <c r="AI57" s="22">
        <f>(AH57/1000)*R57*(1-db!$AS$9)</f>
        <v>0</v>
      </c>
      <c r="AJ57" s="22">
        <f>(AH57/1000)*R57*(db!$AS$9)</f>
        <v>0</v>
      </c>
      <c r="AK57" s="23">
        <f>IF(B57=0,0,LOOKUP(db!$A$8,db!$AX$4:$AX$8,db!$BA$4:$BA$8))</f>
        <v>0</v>
      </c>
      <c r="AL57" s="20">
        <f>ROUND((AK57/(100))*T57*(1-db!$AS$9),0)</f>
        <v>0</v>
      </c>
      <c r="AM57" s="20">
        <f>ROUND((AK57/(100))*T57*(db!$AS$9),0)</f>
        <v>0</v>
      </c>
      <c r="AN57" s="21">
        <f>IF(db!$D$8="Yes",AH57,0)</f>
        <v>0</v>
      </c>
      <c r="AO57" s="22">
        <f>(AN57*V57)/1000*(1-db!$AS$9)</f>
        <v>0</v>
      </c>
      <c r="AP57" s="22">
        <f>(AN57*V57)/1000*(db!$AS$9)</f>
        <v>0</v>
      </c>
      <c r="AQ57" s="23">
        <f>IF(db!$D$10="Yes",AH57,0)</f>
        <v>0</v>
      </c>
      <c r="AR57" s="20">
        <f>(AQ57*W57/1000)*(1-db!$AS$9)</f>
        <v>0</v>
      </c>
      <c r="AS57" s="20">
        <f>(AQ57*W57/1000)*(db!$AS$9)</f>
        <v>0</v>
      </c>
      <c r="AT57" s="22">
        <f>IF(B57=0,0,IF(C57&gt;60,0,LOOKUP(LOOKUP(C57,RiskLoading!A$3:A$109,RiskLoading!DG$3:DG$109),db!$BC$3:$BC$63,db!$BD$3:$BD$63)))</f>
        <v>0</v>
      </c>
      <c r="AU57" s="22">
        <f>AV57*db!$AS$10</f>
        <v>0</v>
      </c>
      <c r="AV57" s="22">
        <f t="shared" si="19"/>
        <v>0</v>
      </c>
      <c r="AW57" s="22">
        <f>(AT57/1000000)*Y57*(1-db!$AS$10)</f>
        <v>0</v>
      </c>
      <c r="AX57" s="20">
        <f>IF(B57=0,0,IF(C57&gt;60,0,LOOKUP(LOOKUP(C57,RiskLoading!A$3:A$109,RiskLoading!DG$3:DG$109),db!$BC$3:$BC$63,db!$BE$3:$BE$63)))</f>
        <v>0</v>
      </c>
      <c r="AY57" s="20">
        <f>(AX57/1000000)*AA57*(1-db!$AS$11)</f>
        <v>0</v>
      </c>
      <c r="AZ57" s="20">
        <f>(AX57/1000000)*AA57*(db!$AS$11)</f>
        <v>0</v>
      </c>
      <c r="BA57" s="19">
        <f>IF(Table13[Year]=0,0,LOOKUP(Table13[Age],RiskLoading!A$3:A$109,RiskLoading!DT$3:DT$109))</f>
        <v>0</v>
      </c>
      <c r="BB57" s="20">
        <f>Table13[[#This Row],[RiskLoading
Rate]]*Table13[[#This Row],[Death Capital (2)]]</f>
        <v>0</v>
      </c>
      <c r="BC57" s="36"/>
      <c r="BD57" s="37">
        <f t="shared" si="20"/>
        <v>0</v>
      </c>
      <c r="BE57" s="35">
        <f t="shared" si="21"/>
        <v>0</v>
      </c>
      <c r="BF57" s="35">
        <f t="shared" si="22"/>
        <v>0</v>
      </c>
      <c r="BG57" s="37">
        <f t="shared" si="23"/>
        <v>0</v>
      </c>
      <c r="BH57" s="37">
        <f t="shared" si="24"/>
        <v>0</v>
      </c>
      <c r="BI57" s="35">
        <f t="shared" si="12"/>
        <v>0</v>
      </c>
      <c r="BJ57" s="35">
        <f t="shared" si="13"/>
        <v>0</v>
      </c>
      <c r="BK57" s="37">
        <v>0</v>
      </c>
      <c r="BL57" s="37">
        <v>0</v>
      </c>
      <c r="BM57" s="35"/>
      <c r="BN57" s="37">
        <f>0</f>
        <v>0</v>
      </c>
      <c r="BO57" s="37"/>
      <c r="BP57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57" s="33"/>
      <c r="BR57" s="39">
        <f>Table13[[#This Row],[Initial Reserve]]-Table13[[#This Row],[All Deductions]]</f>
        <v>0</v>
      </c>
      <c r="BS57" s="39">
        <v>0</v>
      </c>
      <c r="BT57" s="39">
        <f>IF(B57=0,0,BU56-Table13[[#This Row],[All Deductions]])</f>
        <v>0</v>
      </c>
      <c r="BU57" s="40">
        <f>ROUND(IF(B57=0,0,((BR57+BU56)*(1+db!U59))),0)</f>
        <v>0</v>
      </c>
      <c r="BV57" s="40">
        <f t="shared" si="25"/>
        <v>0</v>
      </c>
      <c r="BW57" s="15">
        <f t="shared" si="14"/>
        <v>56</v>
      </c>
      <c r="BX57" s="39">
        <f>IF(B57=0,0,((BR57)*(1+db!AH59))+((BX56)*(1+db!AD59)))</f>
        <v>0</v>
      </c>
      <c r="BY57" s="39">
        <f>IF(B57=0,0,((BR57)*(1+db!AH59))+((BY56)*(1+db!AD59)))</f>
        <v>0</v>
      </c>
      <c r="BZ57" s="40">
        <f>IF(B57=0,0,((BR57)*(1+db!AO59))+((BZ56)*(1+db!AK59)))</f>
        <v>0</v>
      </c>
      <c r="CA57" s="40">
        <f>BZ57-(SUM(BM$7:$BM58))</f>
        <v>0</v>
      </c>
      <c r="CB57" s="46"/>
    </row>
    <row r="58" spans="1:80">
      <c r="A58" s="16">
        <f t="shared" si="15"/>
        <v>57</v>
      </c>
      <c r="B58" s="16">
        <f>IF(B57=0,0,IF(db!$E$5&lt;B57+1,0,B57+1))</f>
        <v>0</v>
      </c>
      <c r="C58" s="15">
        <f t="shared" si="16"/>
        <v>0</v>
      </c>
      <c r="D58" s="312">
        <f>LOOKUP(Table13[[#This Row],[Age]],RiskLoading!A$3:A$109,RiskLoading!DG$3:DG$109)</f>
        <v>55</v>
      </c>
      <c r="E58" s="29">
        <f t="shared" si="8"/>
        <v>0</v>
      </c>
      <c r="F58" s="29">
        <f t="shared" si="9"/>
        <v>0</v>
      </c>
      <c r="G58" s="29">
        <f t="shared" si="0"/>
        <v>0</v>
      </c>
      <c r="H58" s="29">
        <v>0</v>
      </c>
      <c r="I58" s="29">
        <f>IF(B58=0,0,SUM($H$2:H58))</f>
        <v>0</v>
      </c>
      <c r="J58" s="17">
        <f t="shared" si="10"/>
        <v>0</v>
      </c>
      <c r="K58" s="17">
        <f>IF(Table13[[#This Row],[Year]]=0,0,IF($C$2&lt;=50,LOOKUP(Table13[[#This Row],[Age]],db!BG59:BG165,db!BH59:BH165),LOOKUP(Table13[[#This Row],[Age]],db!BJ59:BJ165,db!BK59:BK165)))</f>
        <v>0</v>
      </c>
      <c r="L58" s="17">
        <f>MIN(IF(B58=0,0,db!$E$4*((1+db!$B$4)^(B58-1))),Table13[[#This Row],[Max Sum Insured For Death]])</f>
        <v>0</v>
      </c>
      <c r="M58" s="17">
        <f>ROUND(IF(L58&lt;=db!$L$7,L58,db!$L$7),0)</f>
        <v>0</v>
      </c>
      <c r="N58" s="29">
        <f t="shared" si="11"/>
        <v>0</v>
      </c>
      <c r="O58" s="29">
        <f>IF(B58=0,0,IF(db!$D$6="Yes",(db!$B$6)*M58,0))</f>
        <v>0</v>
      </c>
      <c r="P58" s="29">
        <f>MIN(IF(O58&lt;=db!$L$2,O58,db!$L$2),MAX_ACC_CAPITAL)</f>
        <v>0</v>
      </c>
      <c r="Q58" s="17">
        <f>IF(B58=0,0,IF(db!$D$7="Yes",(db!$B$7)*M58,0))</f>
        <v>0</v>
      </c>
      <c r="R58" s="42">
        <f>IF(C58&gt;69,0,IF(C58=0,0,IF(Q58&lt;=db!$L$3,Q58,db!$L$3)))</f>
        <v>0</v>
      </c>
      <c r="S58" s="29">
        <f>IF(B58=0,0,IF(db!$D$9="Yes",(db!$B$9)*M58,0))</f>
        <v>0</v>
      </c>
      <c r="T58" s="29">
        <f>ROUND(IF(C58&gt;69,0,IF(C58=0,0,IF(S58&lt;=db!$L$4,S58,db!$L$4))),0)</f>
        <v>0</v>
      </c>
      <c r="U58" s="38">
        <v>0</v>
      </c>
      <c r="V58" s="17">
        <v>0</v>
      </c>
      <c r="W58" s="29">
        <v>0</v>
      </c>
      <c r="X58" s="17">
        <f>IF(B58=0,0,IF(db!$D$11="Yes",(db!$B$11)*M58,0))</f>
        <v>0</v>
      </c>
      <c r="Y58" s="42">
        <f>ROUND(IF(C58&gt;59,0,IF(C58=0,0,IF(X58&lt;=db!$L$5,X58,db!$L$5))),0)</f>
        <v>0</v>
      </c>
      <c r="Z58" s="29">
        <f>IF(B58=0,0,IF(db!$D$12="Yes",(db!$B$12)*M58,0))</f>
        <v>0</v>
      </c>
      <c r="AA58" s="29">
        <f>ROUND(IF(C58&gt;59,0,IF(C58=0,0,IF(Z58&lt;=db!$L$6,Z58,db!$L$6))),0)</f>
        <v>0</v>
      </c>
      <c r="AB58" s="32"/>
      <c r="AC58" s="18">
        <f>IF(B58=0,0,IF(C58&lt;(db!$E$2+5),LOOKUP(C58,'Mortality Table'!$A$2:$A$108,'Mortality Table'!$P$2:$P$108),IF((C58&gt;=db!$E$2+10),LOOKUP(C58,'Mortality Table'!$A$2:$A$108,'Mortality Table'!$R$2:$R$108),LOOKUP(C58,'Mortality Table'!$A$2:$A$108,'Mortality Table'!$Q$2:$Q$108))))</f>
        <v>0</v>
      </c>
      <c r="AD58" s="22">
        <f t="shared" si="18"/>
        <v>0</v>
      </c>
      <c r="AE58" s="19">
        <f>IF(B58=0,0,LOOKUP(db!$A$8,db!$AX$4:$AX$8,db!$AY$4:$AY$8))</f>
        <v>0</v>
      </c>
      <c r="AF58" s="20">
        <f>ROUND((AE58/1000)*P58 * (1-db!$AS$9),0)</f>
        <v>0</v>
      </c>
      <c r="AG58" s="20">
        <f>(AE58/1000)*P58 * db!$AS$9</f>
        <v>0</v>
      </c>
      <c r="AH58" s="21">
        <f>IF(B58=0,0,LOOKUP(db!$A$8,db!$AX$4:$AX$8,db!$AZ$4:$AZ$8))</f>
        <v>0</v>
      </c>
      <c r="AI58" s="22">
        <f>(AH58/1000)*R58*(1-db!$AS$9)</f>
        <v>0</v>
      </c>
      <c r="AJ58" s="22">
        <f>(AH58/1000)*R58*(db!$AS$9)</f>
        <v>0</v>
      </c>
      <c r="AK58" s="23">
        <f>IF(B58=0,0,LOOKUP(db!$A$8,db!$AX$4:$AX$8,db!$BA$4:$BA$8))</f>
        <v>0</v>
      </c>
      <c r="AL58" s="20">
        <f>ROUND((AK58/(100))*T58*(1-db!$AS$9),0)</f>
        <v>0</v>
      </c>
      <c r="AM58" s="20">
        <f>ROUND((AK58/(100))*T58*(db!$AS$9),0)</f>
        <v>0</v>
      </c>
      <c r="AN58" s="21">
        <f>IF(db!$D$8="Yes",AH58,0)</f>
        <v>0</v>
      </c>
      <c r="AO58" s="22">
        <f>(AN58*V58)/1000*(1-db!$AS$9)</f>
        <v>0</v>
      </c>
      <c r="AP58" s="22">
        <f>(AN58*V58)/1000*(db!$AS$9)</f>
        <v>0</v>
      </c>
      <c r="AQ58" s="23">
        <f>IF(db!$D$10="Yes",AH58,0)</f>
        <v>0</v>
      </c>
      <c r="AR58" s="20">
        <f>(AQ58*W58/1000)*(1-db!$AS$9)</f>
        <v>0</v>
      </c>
      <c r="AS58" s="20">
        <f>(AQ58*W58/1000)*(db!$AS$9)</f>
        <v>0</v>
      </c>
      <c r="AT58" s="22">
        <f>IF(B58=0,0,IF(C58&gt;60,0,LOOKUP(LOOKUP(C58,RiskLoading!A$3:A$109,RiskLoading!DG$3:DG$109),db!$BC$3:$BC$63,db!$BD$3:$BD$63)))</f>
        <v>0</v>
      </c>
      <c r="AU58" s="22">
        <f>AV58*db!$AS$10</f>
        <v>0</v>
      </c>
      <c r="AV58" s="22">
        <f t="shared" si="19"/>
        <v>0</v>
      </c>
      <c r="AW58" s="22">
        <f>(AT58/1000000)*Y58*(1-db!$AS$10)</f>
        <v>0</v>
      </c>
      <c r="AX58" s="20">
        <f>IF(B58=0,0,IF(C58&gt;60,0,LOOKUP(LOOKUP(C58,RiskLoading!A$3:A$109,RiskLoading!DG$3:DG$109),db!$BC$3:$BC$63,db!$BE$3:$BE$63)))</f>
        <v>0</v>
      </c>
      <c r="AY58" s="20">
        <f>(AX58/1000000)*AA58*(1-db!$AS$11)</f>
        <v>0</v>
      </c>
      <c r="AZ58" s="20">
        <f>(AX58/1000000)*AA58*(db!$AS$11)</f>
        <v>0</v>
      </c>
      <c r="BA58" s="19">
        <f>IF(Table13[Year]=0,0,LOOKUP(Table13[Age],RiskLoading!A$3:A$109,RiskLoading!DT$3:DT$109))</f>
        <v>0</v>
      </c>
      <c r="BB58" s="20">
        <f>Table13[[#This Row],[RiskLoading
Rate]]*Table13[[#This Row],[Death Capital (2)]]</f>
        <v>0</v>
      </c>
      <c r="BC58" s="36"/>
      <c r="BD58" s="37">
        <f t="shared" si="20"/>
        <v>0</v>
      </c>
      <c r="BE58" s="35">
        <f t="shared" si="21"/>
        <v>0</v>
      </c>
      <c r="BF58" s="35">
        <f t="shared" si="22"/>
        <v>0</v>
      </c>
      <c r="BG58" s="37">
        <f t="shared" si="23"/>
        <v>0</v>
      </c>
      <c r="BH58" s="37">
        <f t="shared" si="24"/>
        <v>0</v>
      </c>
      <c r="BI58" s="35">
        <f t="shared" si="12"/>
        <v>0</v>
      </c>
      <c r="BJ58" s="35">
        <f t="shared" si="13"/>
        <v>0</v>
      </c>
      <c r="BK58" s="37">
        <v>0</v>
      </c>
      <c r="BL58" s="37">
        <v>0</v>
      </c>
      <c r="BM58" s="35"/>
      <c r="BN58" s="37">
        <f>0</f>
        <v>0</v>
      </c>
      <c r="BO58" s="37"/>
      <c r="BP58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58" s="33"/>
      <c r="BR58" s="39">
        <f>Table13[[#This Row],[Initial Reserve]]-Table13[[#This Row],[All Deductions]]</f>
        <v>0</v>
      </c>
      <c r="BS58" s="39">
        <v>0</v>
      </c>
      <c r="BT58" s="39">
        <f>IF(B58=0,0,BU57-Table13[[#This Row],[All Deductions]])</f>
        <v>0</v>
      </c>
      <c r="BU58" s="40">
        <f>ROUND(IF(B58=0,0,((BR58+BU57)*(1+db!U60))),0)</f>
        <v>0</v>
      </c>
      <c r="BV58" s="40">
        <f t="shared" si="25"/>
        <v>0</v>
      </c>
      <c r="BW58" s="15">
        <f t="shared" si="14"/>
        <v>57</v>
      </c>
      <c r="BX58" s="39">
        <f>IF(B58=0,0,((BR58)*(1+db!AH60))+((BX57)*(1+db!AD60)))</f>
        <v>0</v>
      </c>
      <c r="BY58" s="39">
        <f>IF(B58=0,0,((BR58)*(1+db!AH60))+((BY57)*(1+db!AD60)))</f>
        <v>0</v>
      </c>
      <c r="BZ58" s="40">
        <f>IF(B58=0,0,((BR58)*(1+db!AO60))+((BZ57)*(1+db!AK60)))</f>
        <v>0</v>
      </c>
      <c r="CA58" s="40">
        <f>BZ58-(SUM(BM$7:$BM59))</f>
        <v>0</v>
      </c>
      <c r="CB58" s="46"/>
    </row>
    <row r="59" spans="1:80">
      <c r="A59" s="16">
        <f t="shared" si="15"/>
        <v>58</v>
      </c>
      <c r="B59" s="16">
        <f>IF(B58=0,0,IF(db!$E$5&lt;B58+1,0,B58+1))</f>
        <v>0</v>
      </c>
      <c r="C59" s="15">
        <f t="shared" si="16"/>
        <v>0</v>
      </c>
      <c r="D59" s="312">
        <f>LOOKUP(Table13[[#This Row],[Age]],RiskLoading!A$3:A$109,RiskLoading!DG$3:DG$109)</f>
        <v>55</v>
      </c>
      <c r="E59" s="29">
        <f t="shared" si="8"/>
        <v>0</v>
      </c>
      <c r="F59" s="29">
        <f t="shared" si="9"/>
        <v>0</v>
      </c>
      <c r="G59" s="29">
        <f t="shared" si="0"/>
        <v>0</v>
      </c>
      <c r="H59" s="29">
        <v>0</v>
      </c>
      <c r="I59" s="29">
        <f>IF(B59=0,0,SUM($H$2:H59))</f>
        <v>0</v>
      </c>
      <c r="J59" s="17">
        <f t="shared" si="10"/>
        <v>0</v>
      </c>
      <c r="K59" s="17">
        <f>IF(Table13[[#This Row],[Year]]=0,0,IF($C$2&lt;=50,LOOKUP(Table13[[#This Row],[Age]],db!BG60:BG166,db!BH60:BH166),LOOKUP(Table13[[#This Row],[Age]],db!BJ60:BJ166,db!BK60:BK166)))</f>
        <v>0</v>
      </c>
      <c r="L59" s="17">
        <f>MIN(IF(B59=0,0,db!$E$4*((1+db!$B$4)^(B59-1))),Table13[[#This Row],[Max Sum Insured For Death]])</f>
        <v>0</v>
      </c>
      <c r="M59" s="17">
        <f>ROUND(IF(L59&lt;=db!$L$7,L59,db!$L$7),0)</f>
        <v>0</v>
      </c>
      <c r="N59" s="29">
        <f t="shared" si="11"/>
        <v>0</v>
      </c>
      <c r="O59" s="29">
        <f>IF(B59=0,0,IF(db!$D$6="Yes",(db!$B$6)*M59,0))</f>
        <v>0</v>
      </c>
      <c r="P59" s="29">
        <f>MIN(IF(O59&lt;=db!$L$2,O59,db!$L$2),MAX_ACC_CAPITAL)</f>
        <v>0</v>
      </c>
      <c r="Q59" s="17">
        <f>IF(B59=0,0,IF(db!$D$7="Yes",(db!$B$7)*M59,0))</f>
        <v>0</v>
      </c>
      <c r="R59" s="42">
        <f>IF(C59&gt;69,0,IF(C59=0,0,IF(Q59&lt;=db!$L$3,Q59,db!$L$3)))</f>
        <v>0</v>
      </c>
      <c r="S59" s="29">
        <f>IF(B59=0,0,IF(db!$D$9="Yes",(db!$B$9)*M59,0))</f>
        <v>0</v>
      </c>
      <c r="T59" s="29">
        <f>ROUND(IF(C59&gt;69,0,IF(C59=0,0,IF(S59&lt;=db!$L$4,S59,db!$L$4))),0)</f>
        <v>0</v>
      </c>
      <c r="U59" s="38">
        <v>0</v>
      </c>
      <c r="V59" s="17">
        <v>0</v>
      </c>
      <c r="W59" s="29">
        <v>0</v>
      </c>
      <c r="X59" s="17">
        <f>IF(B59=0,0,IF(db!$D$11="Yes",(db!$B$11)*M59,0))</f>
        <v>0</v>
      </c>
      <c r="Y59" s="42">
        <f>ROUND(IF(C59&gt;59,0,IF(C59=0,0,IF(X59&lt;=db!$L$5,X59,db!$L$5))),0)</f>
        <v>0</v>
      </c>
      <c r="Z59" s="29">
        <f>IF(B59=0,0,IF(db!$D$12="Yes",(db!$B$12)*M59,0))</f>
        <v>0</v>
      </c>
      <c r="AA59" s="29">
        <f>ROUND(IF(C59&gt;59,0,IF(C59=0,0,IF(Z59&lt;=db!$L$6,Z59,db!$L$6))),0)</f>
        <v>0</v>
      </c>
      <c r="AB59" s="32"/>
      <c r="AC59" s="18">
        <f>IF(B59=0,0,IF(C59&lt;(db!$E$2+5),LOOKUP(C59,'Mortality Table'!$A$2:$A$108,'Mortality Table'!$P$2:$P$108),IF((C59&gt;=db!$E$2+10),LOOKUP(C59,'Mortality Table'!$A$2:$A$108,'Mortality Table'!$R$2:$R$108),LOOKUP(C59,'Mortality Table'!$A$2:$A$108,'Mortality Table'!$Q$2:$Q$108))))</f>
        <v>0</v>
      </c>
      <c r="AD59" s="22">
        <f t="shared" si="18"/>
        <v>0</v>
      </c>
      <c r="AE59" s="19">
        <f>IF(B59=0,0,LOOKUP(db!$A$8,db!$AX$4:$AX$8,db!$AY$4:$AY$8))</f>
        <v>0</v>
      </c>
      <c r="AF59" s="20">
        <f>ROUND((AE59/1000)*P59 * (1-db!$AS$9),0)</f>
        <v>0</v>
      </c>
      <c r="AG59" s="20">
        <f>(AE59/1000)*P59 * db!$AS$9</f>
        <v>0</v>
      </c>
      <c r="AH59" s="21">
        <f>IF(B59=0,0,LOOKUP(db!$A$8,db!$AX$4:$AX$8,db!$AZ$4:$AZ$8))</f>
        <v>0</v>
      </c>
      <c r="AI59" s="22">
        <f>(AH59/1000)*R59*(1-db!$AS$9)</f>
        <v>0</v>
      </c>
      <c r="AJ59" s="22">
        <f>(AH59/1000)*R59*(db!$AS$9)</f>
        <v>0</v>
      </c>
      <c r="AK59" s="23">
        <f>IF(B59=0,0,LOOKUP(db!$A$8,db!$AX$4:$AX$8,db!$BA$4:$BA$8))</f>
        <v>0</v>
      </c>
      <c r="AL59" s="20">
        <f>ROUND((AK59/(100))*T59*(1-db!$AS$9),0)</f>
        <v>0</v>
      </c>
      <c r="AM59" s="20">
        <f>ROUND((AK59/(100))*T59*(db!$AS$9),0)</f>
        <v>0</v>
      </c>
      <c r="AN59" s="21">
        <f>IF(db!$D$8="Yes",AH59,0)</f>
        <v>0</v>
      </c>
      <c r="AO59" s="22">
        <f>(AN59*V59)/1000*(1-db!$AS$9)</f>
        <v>0</v>
      </c>
      <c r="AP59" s="22">
        <f>(AN59*V59)/1000*(db!$AS$9)</f>
        <v>0</v>
      </c>
      <c r="AQ59" s="23">
        <f>IF(db!$D$10="Yes",AH59,0)</f>
        <v>0</v>
      </c>
      <c r="AR59" s="20">
        <f>(AQ59*W59/1000)*(1-db!$AS$9)</f>
        <v>0</v>
      </c>
      <c r="AS59" s="20">
        <f>(AQ59*W59/1000)*(db!$AS$9)</f>
        <v>0</v>
      </c>
      <c r="AT59" s="22">
        <f>IF(B59=0,0,IF(C59&gt;60,0,LOOKUP(LOOKUP(C59,RiskLoading!A$3:A$109,RiskLoading!DG$3:DG$109),db!$BC$3:$BC$63,db!$BD$3:$BD$63)))</f>
        <v>0</v>
      </c>
      <c r="AU59" s="22">
        <f>AV59*db!$AS$10</f>
        <v>0</v>
      </c>
      <c r="AV59" s="22">
        <f t="shared" si="19"/>
        <v>0</v>
      </c>
      <c r="AW59" s="22">
        <f>(AT59/1000000)*Y59*(1-db!$AS$10)</f>
        <v>0</v>
      </c>
      <c r="AX59" s="20">
        <f>IF(B59=0,0,IF(C59&gt;60,0,LOOKUP(LOOKUP(C59,RiskLoading!A$3:A$109,RiskLoading!DG$3:DG$109),db!$BC$3:$BC$63,db!$BE$3:$BE$63)))</f>
        <v>0</v>
      </c>
      <c r="AY59" s="20">
        <f>(AX59/1000000)*AA59*(1-db!$AS$11)</f>
        <v>0</v>
      </c>
      <c r="AZ59" s="20">
        <f>(AX59/1000000)*AA59*(db!$AS$11)</f>
        <v>0</v>
      </c>
      <c r="BA59" s="19">
        <f>IF(Table13[Year]=0,0,LOOKUP(Table13[Age],RiskLoading!A$3:A$109,RiskLoading!DT$3:DT$109))</f>
        <v>0</v>
      </c>
      <c r="BB59" s="20">
        <f>Table13[[#This Row],[RiskLoading
Rate]]*Table13[[#This Row],[Death Capital (2)]]</f>
        <v>0</v>
      </c>
      <c r="BC59" s="36"/>
      <c r="BD59" s="37">
        <f t="shared" si="20"/>
        <v>0</v>
      </c>
      <c r="BE59" s="35">
        <f t="shared" si="21"/>
        <v>0</v>
      </c>
      <c r="BF59" s="35">
        <f t="shared" si="22"/>
        <v>0</v>
      </c>
      <c r="BG59" s="37">
        <f t="shared" si="23"/>
        <v>0</v>
      </c>
      <c r="BH59" s="37">
        <f t="shared" si="24"/>
        <v>0</v>
      </c>
      <c r="BI59" s="35">
        <f t="shared" si="12"/>
        <v>0</v>
      </c>
      <c r="BJ59" s="35">
        <f t="shared" si="13"/>
        <v>0</v>
      </c>
      <c r="BK59" s="37">
        <v>0</v>
      </c>
      <c r="BL59" s="37">
        <v>0</v>
      </c>
      <c r="BM59" s="35"/>
      <c r="BN59" s="37">
        <f>0</f>
        <v>0</v>
      </c>
      <c r="BO59" s="37"/>
      <c r="BP59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59" s="33"/>
      <c r="BR59" s="39">
        <f>Table13[[#This Row],[Initial Reserve]]-Table13[[#This Row],[All Deductions]]</f>
        <v>0</v>
      </c>
      <c r="BS59" s="39">
        <v>0</v>
      </c>
      <c r="BT59" s="39">
        <f>IF(B59=0,0,BU58-Table13[[#This Row],[All Deductions]])</f>
        <v>0</v>
      </c>
      <c r="BU59" s="40">
        <f>ROUND(IF(B59=0,0,((BR59+BU58)*(1+db!U61))),0)</f>
        <v>0</v>
      </c>
      <c r="BV59" s="40">
        <f t="shared" si="25"/>
        <v>0</v>
      </c>
      <c r="BW59" s="15">
        <f t="shared" si="14"/>
        <v>58</v>
      </c>
      <c r="BX59" s="39">
        <f>IF(B59=0,0,((BR59)*(1+db!AH61))+((BX58)*(1+db!AD61)))</f>
        <v>0</v>
      </c>
      <c r="BY59" s="39">
        <f>IF(B59=0,0,((BR59)*(1+db!AH61))+((BY58)*(1+db!AD61)))</f>
        <v>0</v>
      </c>
      <c r="BZ59" s="40">
        <f>IF(B59=0,0,((BR59)*(1+db!AO61))+((BZ58)*(1+db!AK61)))</f>
        <v>0</v>
      </c>
      <c r="CA59" s="40">
        <f>BZ59-(SUM(BM$7:$BM60))</f>
        <v>0</v>
      </c>
      <c r="CB59" s="46"/>
    </row>
    <row r="60" spans="1:80">
      <c r="A60" s="16">
        <f t="shared" si="15"/>
        <v>59</v>
      </c>
      <c r="B60" s="16">
        <f>IF(B59=0,0,IF(db!$E$5&lt;B59+1,0,B59+1))</f>
        <v>0</v>
      </c>
      <c r="C60" s="15">
        <f t="shared" si="16"/>
        <v>0</v>
      </c>
      <c r="D60" s="312">
        <f>LOOKUP(Table13[[#This Row],[Age]],RiskLoading!A$3:A$109,RiskLoading!DG$3:DG$109)</f>
        <v>55</v>
      </c>
      <c r="E60" s="29">
        <f t="shared" si="8"/>
        <v>0</v>
      </c>
      <c r="F60" s="29">
        <f t="shared" si="9"/>
        <v>0</v>
      </c>
      <c r="G60" s="29">
        <f t="shared" si="0"/>
        <v>0</v>
      </c>
      <c r="H60" s="29">
        <v>0</v>
      </c>
      <c r="I60" s="29">
        <f>IF(B60=0,0,SUM($H$2:H60))</f>
        <v>0</v>
      </c>
      <c r="J60" s="17">
        <f t="shared" si="10"/>
        <v>0</v>
      </c>
      <c r="K60" s="17">
        <f>IF(Table13[[#This Row],[Year]]=0,0,IF($C$2&lt;=50,LOOKUP(Table13[[#This Row],[Age]],db!BG61:BG167,db!BH61:BH167),LOOKUP(Table13[[#This Row],[Age]],db!BJ61:BJ167,db!BK61:BK167)))</f>
        <v>0</v>
      </c>
      <c r="L60" s="17">
        <f>MIN(IF(B60=0,0,db!$E$4*((1+db!$B$4)^(B60-1))),Table13[[#This Row],[Max Sum Insured For Death]])</f>
        <v>0</v>
      </c>
      <c r="M60" s="17">
        <f>ROUND(IF(L60&lt;=db!$L$7,L60,db!$L$7),0)</f>
        <v>0</v>
      </c>
      <c r="N60" s="29">
        <f t="shared" si="11"/>
        <v>0</v>
      </c>
      <c r="O60" s="29">
        <f>IF(B60=0,0,IF(db!$D$6="Yes",(db!$B$6)*M60,0))</f>
        <v>0</v>
      </c>
      <c r="P60" s="29">
        <f>MIN(IF(O60&lt;=db!$L$2,O60,db!$L$2),MAX_ACC_CAPITAL)</f>
        <v>0</v>
      </c>
      <c r="Q60" s="17">
        <f>IF(B60=0,0,IF(db!$D$7="Yes",(db!$B$7)*M60,0))</f>
        <v>0</v>
      </c>
      <c r="R60" s="42">
        <f>IF(C60&gt;69,0,IF(C60=0,0,IF(Q60&lt;=db!$L$3,Q60,db!$L$3)))</f>
        <v>0</v>
      </c>
      <c r="S60" s="29">
        <f>IF(B60=0,0,IF(db!$D$9="Yes",(db!$B$9)*M60,0))</f>
        <v>0</v>
      </c>
      <c r="T60" s="29">
        <f>ROUND(IF(C60&gt;69,0,IF(C60=0,0,IF(S60&lt;=db!$L$4,S60,db!$L$4))),0)</f>
        <v>0</v>
      </c>
      <c r="U60" s="38">
        <v>0</v>
      </c>
      <c r="V60" s="17">
        <v>0</v>
      </c>
      <c r="W60" s="29">
        <v>0</v>
      </c>
      <c r="X60" s="17">
        <f>IF(B60=0,0,IF(db!$D$11="Yes",(db!$B$11)*M60,0))</f>
        <v>0</v>
      </c>
      <c r="Y60" s="42">
        <f>ROUND(IF(C60&gt;59,0,IF(C60=0,0,IF(X60&lt;=db!$L$5,X60,db!$L$5))),0)</f>
        <v>0</v>
      </c>
      <c r="Z60" s="29">
        <f>IF(B60=0,0,IF(db!$D$12="Yes",(db!$B$12)*M60,0))</f>
        <v>0</v>
      </c>
      <c r="AA60" s="29">
        <f>ROUND(IF(C60&gt;59,0,IF(C60=0,0,IF(Z60&lt;=db!$L$6,Z60,db!$L$6))),0)</f>
        <v>0</v>
      </c>
      <c r="AB60" s="32"/>
      <c r="AC60" s="18">
        <f>IF(B60=0,0,IF(C60&lt;(db!$E$2+5),LOOKUP(C60,'Mortality Table'!$A$2:$A$108,'Mortality Table'!$P$2:$P$108),IF((C60&gt;=db!$E$2+10),LOOKUP(C60,'Mortality Table'!$A$2:$A$108,'Mortality Table'!$R$2:$R$108),LOOKUP(C60,'Mortality Table'!$A$2:$A$108,'Mortality Table'!$Q$2:$Q$108))))</f>
        <v>0</v>
      </c>
      <c r="AD60" s="22">
        <f t="shared" si="18"/>
        <v>0</v>
      </c>
      <c r="AE60" s="19">
        <f>IF(B60=0,0,LOOKUP(db!$A$8,db!$AX$4:$AX$8,db!$AY$4:$AY$8))</f>
        <v>0</v>
      </c>
      <c r="AF60" s="20">
        <f>ROUND((AE60/1000)*P60 * (1-db!$AS$9),0)</f>
        <v>0</v>
      </c>
      <c r="AG60" s="20">
        <f>(AE60/1000)*P60 * db!$AS$9</f>
        <v>0</v>
      </c>
      <c r="AH60" s="21">
        <f>IF(B60=0,0,LOOKUP(db!$A$8,db!$AX$4:$AX$8,db!$AZ$4:$AZ$8))</f>
        <v>0</v>
      </c>
      <c r="AI60" s="22">
        <f>(AH60/1000)*R60*(1-db!$AS$9)</f>
        <v>0</v>
      </c>
      <c r="AJ60" s="22">
        <f>(AH60/1000)*R60*(db!$AS$9)</f>
        <v>0</v>
      </c>
      <c r="AK60" s="23">
        <f>IF(B60=0,0,LOOKUP(db!$A$8,db!$AX$4:$AX$8,db!$BA$4:$BA$8))</f>
        <v>0</v>
      </c>
      <c r="AL60" s="20">
        <f>ROUND((AK60/(100))*T60*(1-db!$AS$9),0)</f>
        <v>0</v>
      </c>
      <c r="AM60" s="20">
        <f>ROUND((AK60/(100))*T60*(db!$AS$9),0)</f>
        <v>0</v>
      </c>
      <c r="AN60" s="21">
        <f>IF(db!$D$8="Yes",AH60,0)</f>
        <v>0</v>
      </c>
      <c r="AO60" s="22">
        <f>(AN60*V60)/1000*(1-db!$AS$9)</f>
        <v>0</v>
      </c>
      <c r="AP60" s="22">
        <f>(AN60*V60)/1000*(db!$AS$9)</f>
        <v>0</v>
      </c>
      <c r="AQ60" s="23">
        <f>IF(db!$D$10="Yes",AH60,0)</f>
        <v>0</v>
      </c>
      <c r="AR60" s="20">
        <f>(AQ60*W60/1000)*(1-db!$AS$9)</f>
        <v>0</v>
      </c>
      <c r="AS60" s="20">
        <f>(AQ60*W60/1000)*(db!$AS$9)</f>
        <v>0</v>
      </c>
      <c r="AT60" s="22">
        <f>IF(B60=0,0,IF(C60&gt;60,0,LOOKUP(LOOKUP(C60,RiskLoading!A$3:A$109,RiskLoading!DG$3:DG$109),db!$BC$3:$BC$63,db!$BD$3:$BD$63)))</f>
        <v>0</v>
      </c>
      <c r="AU60" s="22">
        <f>AV60*db!$AS$10</f>
        <v>0</v>
      </c>
      <c r="AV60" s="22">
        <f t="shared" si="19"/>
        <v>0</v>
      </c>
      <c r="AW60" s="22">
        <f>(AT60/1000000)*Y60*(1-db!$AS$10)</f>
        <v>0</v>
      </c>
      <c r="AX60" s="20">
        <f>IF(B60=0,0,IF(C60&gt;60,0,LOOKUP(LOOKUP(C60,RiskLoading!A$3:A$109,RiskLoading!DG$3:DG$109),db!$BC$3:$BC$63,db!$BE$3:$BE$63)))</f>
        <v>0</v>
      </c>
      <c r="AY60" s="20">
        <f>(AX60/1000000)*AA60*(1-db!$AS$11)</f>
        <v>0</v>
      </c>
      <c r="AZ60" s="20">
        <f>(AX60/1000000)*AA60*(db!$AS$11)</f>
        <v>0</v>
      </c>
      <c r="BA60" s="19">
        <f>IF(Table13[Year]=0,0,LOOKUP(Table13[Age],RiskLoading!A$3:A$109,RiskLoading!DT$3:DT$109))</f>
        <v>0</v>
      </c>
      <c r="BB60" s="20">
        <f>Table13[[#This Row],[RiskLoading
Rate]]*Table13[[#This Row],[Death Capital (2)]]</f>
        <v>0</v>
      </c>
      <c r="BC60" s="36"/>
      <c r="BD60" s="37">
        <f t="shared" si="20"/>
        <v>0</v>
      </c>
      <c r="BE60" s="35">
        <f t="shared" si="21"/>
        <v>0</v>
      </c>
      <c r="BF60" s="35">
        <f t="shared" si="22"/>
        <v>0</v>
      </c>
      <c r="BG60" s="37">
        <f t="shared" si="23"/>
        <v>0</v>
      </c>
      <c r="BH60" s="37">
        <f t="shared" si="24"/>
        <v>0</v>
      </c>
      <c r="BI60" s="35">
        <f t="shared" si="12"/>
        <v>0</v>
      </c>
      <c r="BJ60" s="35">
        <f t="shared" si="13"/>
        <v>0</v>
      </c>
      <c r="BK60" s="37">
        <v>0</v>
      </c>
      <c r="BL60" s="37">
        <v>0</v>
      </c>
      <c r="BM60" s="35"/>
      <c r="BN60" s="37">
        <f>0</f>
        <v>0</v>
      </c>
      <c r="BO60" s="37"/>
      <c r="BP60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60" s="33"/>
      <c r="BR60" s="39">
        <f>Table13[[#This Row],[Initial Reserve]]-Table13[[#This Row],[All Deductions]]</f>
        <v>0</v>
      </c>
      <c r="BS60" s="39">
        <v>0</v>
      </c>
      <c r="BT60" s="39">
        <f>IF(B60=0,0,BU59-Table13[[#This Row],[All Deductions]])</f>
        <v>0</v>
      </c>
      <c r="BU60" s="40">
        <f>ROUND(IF(B60=0,0,((BR60+BU59)*(1+db!U62))),0)</f>
        <v>0</v>
      </c>
      <c r="BV60" s="40">
        <f t="shared" si="25"/>
        <v>0</v>
      </c>
      <c r="BW60" s="15">
        <f t="shared" si="14"/>
        <v>59</v>
      </c>
      <c r="BX60" s="39">
        <f>IF(B60=0,0,((BR60)*(1+db!AH62))+((BX59)*(1+db!AD62)))</f>
        <v>0</v>
      </c>
      <c r="BY60" s="39">
        <f>IF(B60=0,0,((BR60)*(1+db!AH62))+((BY59)*(1+db!AD62)))</f>
        <v>0</v>
      </c>
      <c r="BZ60" s="40">
        <f>IF(B60=0,0,((BR60)*(1+db!AO62))+((BZ59)*(1+db!AK62)))</f>
        <v>0</v>
      </c>
      <c r="CA60" s="40">
        <f>BZ60-(SUM(BM$7:$BM61))</f>
        <v>0</v>
      </c>
      <c r="CB60" s="46"/>
    </row>
    <row r="61" spans="1:80">
      <c r="A61" s="16">
        <f t="shared" si="15"/>
        <v>60</v>
      </c>
      <c r="B61" s="16">
        <f>IF(B60=0,0,IF(db!$E$5&lt;B60+1,0,B60+1))</f>
        <v>0</v>
      </c>
      <c r="C61" s="15">
        <f t="shared" si="16"/>
        <v>0</v>
      </c>
      <c r="D61" s="312">
        <f>LOOKUP(Table13[[#This Row],[Age]],RiskLoading!A$3:A$109,RiskLoading!DG$3:DG$109)</f>
        <v>55</v>
      </c>
      <c r="E61" s="29">
        <f t="shared" si="8"/>
        <v>0</v>
      </c>
      <c r="F61" s="29">
        <f t="shared" si="9"/>
        <v>0</v>
      </c>
      <c r="G61" s="29">
        <f t="shared" si="0"/>
        <v>0</v>
      </c>
      <c r="H61" s="29">
        <v>0</v>
      </c>
      <c r="I61" s="29">
        <f>IF(B61=0,0,SUM($H$2:H61))</f>
        <v>0</v>
      </c>
      <c r="J61" s="17">
        <f t="shared" si="10"/>
        <v>0</v>
      </c>
      <c r="K61" s="17">
        <f>IF(Table13[[#This Row],[Year]]=0,0,IF($C$2&lt;=50,LOOKUP(Table13[[#This Row],[Age]],db!BG62:BG168,db!BH62:BH168),LOOKUP(Table13[[#This Row],[Age]],db!BJ62:BJ168,db!BK62:BK168)))</f>
        <v>0</v>
      </c>
      <c r="L61" s="17">
        <f>MIN(IF(B61=0,0,db!$E$4*((1+db!$B$4)^(B61-1))),Table13[[#This Row],[Max Sum Insured For Death]])</f>
        <v>0</v>
      </c>
      <c r="M61" s="17">
        <f>ROUND(IF(L61&lt;=db!$L$7,L61,db!$L$7),0)</f>
        <v>0</v>
      </c>
      <c r="N61" s="29">
        <f t="shared" si="11"/>
        <v>0</v>
      </c>
      <c r="O61" s="29">
        <f>IF(B61=0,0,IF(db!$D$6="Yes",(db!$B$6)*M61,0))</f>
        <v>0</v>
      </c>
      <c r="P61" s="29">
        <f>MIN(IF(O61&lt;=db!$L$2,O61,db!$L$2),MAX_ACC_CAPITAL)</f>
        <v>0</v>
      </c>
      <c r="Q61" s="17">
        <f>IF(B61=0,0,IF(db!$D$7="Yes",(db!$B$7)*M61,0))</f>
        <v>0</v>
      </c>
      <c r="R61" s="42">
        <f>IF(C61&gt;69,0,IF(C61=0,0,IF(Q61&lt;=db!$L$3,Q61,db!$L$3)))</f>
        <v>0</v>
      </c>
      <c r="S61" s="29">
        <f>IF(B61=0,0,IF(db!$D$9="Yes",(db!$B$9)*M61,0))</f>
        <v>0</v>
      </c>
      <c r="T61" s="29">
        <f>ROUND(IF(C61&gt;69,0,IF(C61=0,0,IF(S61&lt;=db!$L$4,S61,db!$L$4))),0)</f>
        <v>0</v>
      </c>
      <c r="U61" s="38">
        <v>0</v>
      </c>
      <c r="V61" s="17">
        <v>0</v>
      </c>
      <c r="W61" s="29">
        <v>0</v>
      </c>
      <c r="X61" s="17">
        <f>IF(B61=0,0,IF(db!$D$11="Yes",(db!$B$11)*M61,0))</f>
        <v>0</v>
      </c>
      <c r="Y61" s="42">
        <f>ROUND(IF(C61&gt;59,0,IF(C61=0,0,IF(X61&lt;=db!$L$5,X61,db!$L$5))),0)</f>
        <v>0</v>
      </c>
      <c r="Z61" s="29">
        <f>IF(B61=0,0,IF(db!$D$12="Yes",(db!$B$12)*M61,0))</f>
        <v>0</v>
      </c>
      <c r="AA61" s="29">
        <f>ROUND(IF(C61&gt;59,0,IF(C61=0,0,IF(Z61&lt;=db!$L$6,Z61,db!$L$6))),0)</f>
        <v>0</v>
      </c>
      <c r="AB61" s="32"/>
      <c r="AC61" s="18">
        <f>IF(B61=0,0,IF(C61&lt;(db!$E$2+5),LOOKUP(C61,'Mortality Table'!$A$2:$A$108,'Mortality Table'!$P$2:$P$108),IF((C61&gt;=db!$E$2+10),LOOKUP(C61,'Mortality Table'!$A$2:$A$108,'Mortality Table'!$R$2:$R$108),LOOKUP(C61,'Mortality Table'!$A$2:$A$108,'Mortality Table'!$Q$2:$Q$108))))</f>
        <v>0</v>
      </c>
      <c r="AD61" s="22">
        <f t="shared" si="18"/>
        <v>0</v>
      </c>
      <c r="AE61" s="19">
        <f>IF(B61=0,0,LOOKUP(db!$A$8,db!$AX$4:$AX$8,db!$AY$4:$AY$8))</f>
        <v>0</v>
      </c>
      <c r="AF61" s="20">
        <f>ROUND((AE61/1000)*P61 * (1-db!$AS$9),0)</f>
        <v>0</v>
      </c>
      <c r="AG61" s="20">
        <f>(AE61/1000)*P61 * db!$AS$9</f>
        <v>0</v>
      </c>
      <c r="AH61" s="21">
        <f>IF(B61=0,0,LOOKUP(db!$A$8,db!$AX$4:$AX$8,db!$AZ$4:$AZ$8))</f>
        <v>0</v>
      </c>
      <c r="AI61" s="22">
        <f>(AH61/1000)*R61*(1-db!$AS$9)</f>
        <v>0</v>
      </c>
      <c r="AJ61" s="22">
        <f>(AH61/1000)*R61*(db!$AS$9)</f>
        <v>0</v>
      </c>
      <c r="AK61" s="23">
        <f>IF(B61=0,0,LOOKUP(db!$A$8,db!$AX$4:$AX$8,db!$BA$4:$BA$8))</f>
        <v>0</v>
      </c>
      <c r="AL61" s="20">
        <f>ROUND((AK61/(100))*T61*(1-db!$AS$9),0)</f>
        <v>0</v>
      </c>
      <c r="AM61" s="20">
        <f>ROUND((AK61/(100))*T61*(db!$AS$9),0)</f>
        <v>0</v>
      </c>
      <c r="AN61" s="21">
        <f>IF(db!$D$8="Yes",AH61,0)</f>
        <v>0</v>
      </c>
      <c r="AO61" s="22">
        <f>(AN61*V61)/1000*(1-db!$AS$9)</f>
        <v>0</v>
      </c>
      <c r="AP61" s="22">
        <f>(AN61*V61)/1000*(db!$AS$9)</f>
        <v>0</v>
      </c>
      <c r="AQ61" s="23">
        <f>IF(db!$D$10="Yes",AH61,0)</f>
        <v>0</v>
      </c>
      <c r="AR61" s="20">
        <f>(AQ61*W61/1000)*(1-db!$AS$9)</f>
        <v>0</v>
      </c>
      <c r="AS61" s="20">
        <f>(AQ61*W61/1000)*(db!$AS$9)</f>
        <v>0</v>
      </c>
      <c r="AT61" s="22">
        <f>IF(B61=0,0,IF(C61&gt;60,0,LOOKUP(LOOKUP(C61,RiskLoading!A$3:A$109,RiskLoading!DG$3:DG$109),db!$BC$3:$BC$63,db!$BD$3:$BD$63)))</f>
        <v>0</v>
      </c>
      <c r="AU61" s="22">
        <f>AV61*db!$AS$10</f>
        <v>0</v>
      </c>
      <c r="AV61" s="22">
        <f t="shared" si="19"/>
        <v>0</v>
      </c>
      <c r="AW61" s="22">
        <f>(AT61/1000000)*Y61*(1-db!$AS$10)</f>
        <v>0</v>
      </c>
      <c r="AX61" s="20">
        <f>IF(B61=0,0,IF(C61&gt;60,0,LOOKUP(LOOKUP(C61,RiskLoading!A$3:A$109,RiskLoading!DG$3:DG$109),db!$BC$3:$BC$63,db!$BE$3:$BE$63)))</f>
        <v>0</v>
      </c>
      <c r="AY61" s="20">
        <f>(AX61/1000000)*AA61*(1-db!$AS$11)</f>
        <v>0</v>
      </c>
      <c r="AZ61" s="20">
        <f>(AX61/1000000)*AA61*(db!$AS$11)</f>
        <v>0</v>
      </c>
      <c r="BA61" s="19">
        <f>IF(Table13[Year]=0,0,LOOKUP(Table13[Age],RiskLoading!A$3:A$109,RiskLoading!DT$3:DT$109))</f>
        <v>0</v>
      </c>
      <c r="BB61" s="20">
        <f>Table13[[#This Row],[RiskLoading
Rate]]*Table13[[#This Row],[Death Capital (2)]]</f>
        <v>0</v>
      </c>
      <c r="BC61" s="36"/>
      <c r="BD61" s="37">
        <f t="shared" si="20"/>
        <v>0</v>
      </c>
      <c r="BE61" s="35">
        <f t="shared" si="21"/>
        <v>0</v>
      </c>
      <c r="BF61" s="35">
        <f t="shared" si="22"/>
        <v>0</v>
      </c>
      <c r="BG61" s="37">
        <f t="shared" si="23"/>
        <v>0</v>
      </c>
      <c r="BH61" s="37">
        <f t="shared" si="24"/>
        <v>0</v>
      </c>
      <c r="BI61" s="35">
        <f t="shared" si="12"/>
        <v>0</v>
      </c>
      <c r="BJ61" s="35">
        <f t="shared" si="13"/>
        <v>0</v>
      </c>
      <c r="BK61" s="37">
        <v>0</v>
      </c>
      <c r="BL61" s="37">
        <v>0</v>
      </c>
      <c r="BM61" s="35"/>
      <c r="BN61" s="37">
        <f>0</f>
        <v>0</v>
      </c>
      <c r="BO61" s="37"/>
      <c r="BP61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61" s="33"/>
      <c r="BR61" s="39">
        <f>Table13[[#This Row],[Initial Reserve]]-Table13[[#This Row],[All Deductions]]</f>
        <v>0</v>
      </c>
      <c r="BS61" s="39">
        <v>0</v>
      </c>
      <c r="BT61" s="39">
        <f>IF(B61=0,0,BU60-Table13[[#This Row],[All Deductions]])</f>
        <v>0</v>
      </c>
      <c r="BU61" s="40">
        <f>ROUND(IF(B61=0,0,((BR61+BU60)*(1+db!U63))),0)</f>
        <v>0</v>
      </c>
      <c r="BV61" s="40">
        <f t="shared" si="25"/>
        <v>0</v>
      </c>
      <c r="BW61" s="15">
        <f t="shared" si="14"/>
        <v>60</v>
      </c>
      <c r="BX61" s="39">
        <f>IF(B61=0,0,((BR61)*(1+db!AH63))+((BX60)*(1+db!AD63)))</f>
        <v>0</v>
      </c>
      <c r="BY61" s="39">
        <f>IF(B61=0,0,((BR61)*(1+db!AH63))+((BY60)*(1+db!AD63)))</f>
        <v>0</v>
      </c>
      <c r="BZ61" s="40">
        <f>IF(B61=0,0,((BR61)*(1+db!AO63))+((BZ60)*(1+db!AK63)))</f>
        <v>0</v>
      </c>
      <c r="CA61" s="40">
        <f>BZ61-(SUM(BM$7:$BM62))</f>
        <v>0</v>
      </c>
      <c r="CB61" s="46"/>
    </row>
    <row r="62" spans="1:80">
      <c r="A62" s="16">
        <f t="shared" si="15"/>
        <v>61</v>
      </c>
      <c r="B62" s="16">
        <f>IF(B61=0,0,IF(db!$E$5&lt;B61+1,0,B61+1))</f>
        <v>0</v>
      </c>
      <c r="C62" s="15">
        <f t="shared" si="16"/>
        <v>0</v>
      </c>
      <c r="D62" s="312">
        <f>LOOKUP(Table13[[#This Row],[Age]],RiskLoading!A$3:A$109,RiskLoading!DG$3:DG$109)</f>
        <v>55</v>
      </c>
      <c r="E62" s="29">
        <f t="shared" si="8"/>
        <v>0</v>
      </c>
      <c r="F62" s="29">
        <f t="shared" si="9"/>
        <v>0</v>
      </c>
      <c r="G62" s="29">
        <f t="shared" si="0"/>
        <v>0</v>
      </c>
      <c r="H62" s="29">
        <v>0</v>
      </c>
      <c r="I62" s="29">
        <f>IF(B62=0,0,SUM($H$2:H62))</f>
        <v>0</v>
      </c>
      <c r="J62" s="17">
        <f t="shared" si="10"/>
        <v>0</v>
      </c>
      <c r="K62" s="17">
        <f>IF(Table13[[#This Row],[Year]]=0,0,IF($C$2&lt;=50,LOOKUP(Table13[[#This Row],[Age]],db!BG63:BG169,db!BH63:BH169),LOOKUP(Table13[[#This Row],[Age]],db!BJ63:BJ169,db!BK63:BK169)))</f>
        <v>0</v>
      </c>
      <c r="L62" s="17">
        <f>MIN(IF(B62=0,0,db!$E$4*((1+db!$B$4)^(B62-1))),Table13[[#This Row],[Max Sum Insured For Death]])</f>
        <v>0</v>
      </c>
      <c r="M62" s="17">
        <f>ROUND(IF(L62&lt;=db!$L$7,L62,db!$L$7),0)</f>
        <v>0</v>
      </c>
      <c r="N62" s="29">
        <f t="shared" si="11"/>
        <v>0</v>
      </c>
      <c r="O62" s="29">
        <f>IF(B62=0,0,IF(db!$D$6="Yes",(db!$B$6)*M62,0))</f>
        <v>0</v>
      </c>
      <c r="P62" s="29">
        <f>MIN(IF(O62&lt;=db!$L$2,O62,db!$L$2),MAX_ACC_CAPITAL)</f>
        <v>0</v>
      </c>
      <c r="Q62" s="17">
        <f>IF(B62=0,0,IF(db!$D$7="Yes",(db!$B$7)*M62,0))</f>
        <v>0</v>
      </c>
      <c r="R62" s="42">
        <f>IF(C62&gt;69,0,IF(C62=0,0,IF(Q62&lt;=db!$L$3,Q62,db!$L$3)))</f>
        <v>0</v>
      </c>
      <c r="S62" s="29">
        <f>IF(B62=0,0,IF(db!$D$9="Yes",(db!$B$9)*M62,0))</f>
        <v>0</v>
      </c>
      <c r="T62" s="29">
        <f>ROUND(IF(C62&gt;69,0,IF(C62=0,0,IF(S62&lt;=db!$L$4,S62,db!$L$4))),0)</f>
        <v>0</v>
      </c>
      <c r="U62" s="38">
        <v>0</v>
      </c>
      <c r="V62" s="17">
        <v>0</v>
      </c>
      <c r="W62" s="29">
        <v>0</v>
      </c>
      <c r="X62" s="17">
        <f>IF(B62=0,0,IF(db!$D$11="Yes",(db!$B$11)*M62,0))</f>
        <v>0</v>
      </c>
      <c r="Y62" s="42">
        <f>ROUND(IF(C62&gt;59,0,IF(C62=0,0,IF(X62&lt;=db!$L$5,X62,db!$L$5))),0)</f>
        <v>0</v>
      </c>
      <c r="Z62" s="29">
        <f>IF(B62=0,0,IF(db!$D$12="Yes",(db!$B$12)*M62,0))</f>
        <v>0</v>
      </c>
      <c r="AA62" s="29">
        <f>ROUND(IF(C62&gt;59,0,IF(C62=0,0,IF(Z62&lt;=db!$L$6,Z62,db!$L$6))),0)</f>
        <v>0</v>
      </c>
      <c r="AB62" s="32"/>
      <c r="AC62" s="18">
        <f>IF(B62=0,0,IF(C62&lt;(db!$E$2+5),LOOKUP(C62,'Mortality Table'!$A$2:$A$108,'Mortality Table'!$P$2:$P$108),IF((C62&gt;=db!$E$2+10),LOOKUP(C62,'Mortality Table'!$A$2:$A$108,'Mortality Table'!$R$2:$R$108),LOOKUP(C62,'Mortality Table'!$A$2:$A$108,'Mortality Table'!$Q$2:$Q$108))))</f>
        <v>0</v>
      </c>
      <c r="AD62" s="22">
        <f t="shared" si="18"/>
        <v>0</v>
      </c>
      <c r="AE62" s="19">
        <f>IF(B62=0,0,LOOKUP(db!$A$8,db!$AX$4:$AX$8,db!$AY$4:$AY$8))</f>
        <v>0</v>
      </c>
      <c r="AF62" s="20">
        <f>ROUND((AE62/1000)*P62 * (1-db!$AS$9),0)</f>
        <v>0</v>
      </c>
      <c r="AG62" s="20">
        <f>(AE62/1000)*P62 * db!$AS$9</f>
        <v>0</v>
      </c>
      <c r="AH62" s="21">
        <f>IF(B62=0,0,LOOKUP(db!$A$8,db!$AX$4:$AX$8,db!$AZ$4:$AZ$8))</f>
        <v>0</v>
      </c>
      <c r="AI62" s="22">
        <f>(AH62/1000)*R62*(1-db!$AS$9)</f>
        <v>0</v>
      </c>
      <c r="AJ62" s="22">
        <f>(AH62/1000)*R62*(db!$AS$9)</f>
        <v>0</v>
      </c>
      <c r="AK62" s="23">
        <f>IF(B62=0,0,LOOKUP(db!$A$8,db!$AX$4:$AX$8,db!$BA$4:$BA$8))</f>
        <v>0</v>
      </c>
      <c r="AL62" s="20">
        <f>ROUND((AK62/(100))*T62*(1-db!$AS$9),0)</f>
        <v>0</v>
      </c>
      <c r="AM62" s="20">
        <f>ROUND((AK62/(100))*T62*(db!$AS$9),0)</f>
        <v>0</v>
      </c>
      <c r="AN62" s="21">
        <f>IF(db!$D$8="Yes",AH62,0)</f>
        <v>0</v>
      </c>
      <c r="AO62" s="22">
        <f>(AN62*V62)/1000*(1-db!$AS$9)</f>
        <v>0</v>
      </c>
      <c r="AP62" s="22">
        <f>(AN62*V62)/1000*(db!$AS$9)</f>
        <v>0</v>
      </c>
      <c r="AQ62" s="23">
        <f>IF(db!$D$10="Yes",AH62,0)</f>
        <v>0</v>
      </c>
      <c r="AR62" s="20">
        <f>(AQ62*W62/1000)*(1-db!$AS$9)</f>
        <v>0</v>
      </c>
      <c r="AS62" s="20">
        <f>(AQ62*W62/1000)*(db!$AS$9)</f>
        <v>0</v>
      </c>
      <c r="AT62" s="22">
        <f>IF(B62=0,0,IF(C62&gt;60,0,LOOKUP(LOOKUP(C62,RiskLoading!A$3:A$109,RiskLoading!DG$3:DG$109),db!$BC$3:$BC$63,db!$BD$3:$BD$63)))</f>
        <v>0</v>
      </c>
      <c r="AU62" s="22">
        <f>AV62*db!$AS$10</f>
        <v>0</v>
      </c>
      <c r="AV62" s="22">
        <f t="shared" si="19"/>
        <v>0</v>
      </c>
      <c r="AW62" s="22">
        <f>(AT62/1000000)*Y62*(1-db!$AS$10)</f>
        <v>0</v>
      </c>
      <c r="AX62" s="20">
        <f>IF(B62=0,0,IF(C62&gt;60,0,LOOKUP(LOOKUP(C62,RiskLoading!A$3:A$109,RiskLoading!DG$3:DG$109),db!$BC$3:$BC$63,db!$BE$3:$BE$63)))</f>
        <v>0</v>
      </c>
      <c r="AY62" s="20">
        <f>(AX62/1000000)*AA62*(1-db!$AS$11)</f>
        <v>0</v>
      </c>
      <c r="AZ62" s="20">
        <f>(AX62/1000000)*AA62*(db!$AS$11)</f>
        <v>0</v>
      </c>
      <c r="BA62" s="19">
        <f>IF(Table13[Year]=0,0,LOOKUP(Table13[Age],RiskLoading!A$3:A$109,RiskLoading!DT$3:DT$109))</f>
        <v>0</v>
      </c>
      <c r="BB62" s="20">
        <f>Table13[[#This Row],[RiskLoading
Rate]]*Table13[[#This Row],[Death Capital (2)]]</f>
        <v>0</v>
      </c>
      <c r="BC62" s="36"/>
      <c r="BD62" s="37">
        <f t="shared" si="20"/>
        <v>0</v>
      </c>
      <c r="BE62" s="35">
        <f t="shared" si="21"/>
        <v>0</v>
      </c>
      <c r="BF62" s="35">
        <f t="shared" si="22"/>
        <v>0</v>
      </c>
      <c r="BG62" s="37">
        <f t="shared" si="23"/>
        <v>0</v>
      </c>
      <c r="BH62" s="37">
        <f t="shared" si="24"/>
        <v>0</v>
      </c>
      <c r="BI62" s="35">
        <f t="shared" si="12"/>
        <v>0</v>
      </c>
      <c r="BJ62" s="35">
        <f t="shared" si="13"/>
        <v>0</v>
      </c>
      <c r="BK62" s="37">
        <v>0</v>
      </c>
      <c r="BL62" s="37">
        <v>0</v>
      </c>
      <c r="BM62" s="35"/>
      <c r="BN62" s="37">
        <f>0</f>
        <v>0</v>
      </c>
      <c r="BO62" s="37"/>
      <c r="BP62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62" s="33"/>
      <c r="BR62" s="39">
        <f>Table13[[#This Row],[Initial Reserve]]-Table13[[#This Row],[All Deductions]]</f>
        <v>0</v>
      </c>
      <c r="BS62" s="39">
        <v>0</v>
      </c>
      <c r="BT62" s="39">
        <f>IF(B62=0,0,BU61-Table13[[#This Row],[All Deductions]])</f>
        <v>0</v>
      </c>
      <c r="BU62" s="40">
        <f>ROUND(IF(B62=0,0,((BR62+BU61)*(1+db!U64))),0)</f>
        <v>0</v>
      </c>
      <c r="BV62" s="40">
        <f t="shared" si="25"/>
        <v>0</v>
      </c>
      <c r="BW62" s="15">
        <f t="shared" si="14"/>
        <v>61</v>
      </c>
      <c r="BX62" s="39">
        <f>IF(B62=0,0,((BR62)*(1+db!AH64))+((BX61)*(1+db!AD64)))</f>
        <v>0</v>
      </c>
      <c r="BY62" s="39">
        <f>IF(B62=0,0,((BR62)*(1+db!AH64))+((BY61)*(1+db!AD64)))</f>
        <v>0</v>
      </c>
      <c r="BZ62" s="40">
        <f>IF(B62=0,0,((BR62)*(1+db!AO64))+((BZ61)*(1+db!AK64)))</f>
        <v>0</v>
      </c>
      <c r="CA62" s="40">
        <f>BZ62-(SUM(BM$7:$BM63))</f>
        <v>0</v>
      </c>
      <c r="CB62" s="46"/>
    </row>
    <row r="63" spans="1:80">
      <c r="A63" s="16">
        <f t="shared" si="15"/>
        <v>62</v>
      </c>
      <c r="B63" s="16">
        <f>IF(B62=0,0,IF(db!$E$5&lt;B62+1,0,B62+1))</f>
        <v>0</v>
      </c>
      <c r="C63" s="15">
        <f t="shared" si="16"/>
        <v>0</v>
      </c>
      <c r="D63" s="312">
        <f>LOOKUP(Table13[[#This Row],[Age]],RiskLoading!A$3:A$109,RiskLoading!DG$3:DG$109)</f>
        <v>55</v>
      </c>
      <c r="E63" s="29">
        <f t="shared" si="8"/>
        <v>0</v>
      </c>
      <c r="F63" s="29">
        <f t="shared" si="9"/>
        <v>0</v>
      </c>
      <c r="G63" s="29">
        <f t="shared" si="0"/>
        <v>0</v>
      </c>
      <c r="H63" s="29">
        <v>0</v>
      </c>
      <c r="I63" s="29">
        <f>IF(B63=0,0,SUM($H$2:H63))</f>
        <v>0</v>
      </c>
      <c r="J63" s="17">
        <f t="shared" si="10"/>
        <v>0</v>
      </c>
      <c r="K63" s="17">
        <f>IF(Table13[[#This Row],[Year]]=0,0,IF($C$2&lt;=50,LOOKUP(Table13[[#This Row],[Age]],db!BG64:BG170,db!BH64:BH170),LOOKUP(Table13[[#This Row],[Age]],db!BJ64:BJ170,db!BK64:BK170)))</f>
        <v>0</v>
      </c>
      <c r="L63" s="17">
        <f>MIN(IF(B63=0,0,db!$E$4*((1+db!$B$4)^(B63-1))),Table13[[#This Row],[Max Sum Insured For Death]])</f>
        <v>0</v>
      </c>
      <c r="M63" s="17">
        <f>ROUND(IF(L63&lt;=db!$L$7,L63,db!$L$7),0)</f>
        <v>0</v>
      </c>
      <c r="N63" s="29">
        <f t="shared" si="11"/>
        <v>0</v>
      </c>
      <c r="O63" s="29">
        <f>IF(B63=0,0,IF(db!$D$6="Yes",(db!$B$6)*M63,0))</f>
        <v>0</v>
      </c>
      <c r="P63" s="29">
        <f>MIN(IF(O63&lt;=db!$L$2,O63,db!$L$2),MAX_ACC_CAPITAL)</f>
        <v>0</v>
      </c>
      <c r="Q63" s="17">
        <f>IF(B63=0,0,IF(db!$D$7="Yes",(db!$B$7)*M63,0))</f>
        <v>0</v>
      </c>
      <c r="R63" s="42">
        <f>IF(C63&gt;69,0,IF(C63=0,0,IF(Q63&lt;=db!$L$3,Q63,db!$L$3)))</f>
        <v>0</v>
      </c>
      <c r="S63" s="29">
        <f>IF(B63=0,0,IF(db!$D$9="Yes",(db!$B$9)*M63,0))</f>
        <v>0</v>
      </c>
      <c r="T63" s="29">
        <f>ROUND(IF(C63&gt;69,0,IF(C63=0,0,IF(S63&lt;=db!$L$4,S63,db!$L$4))),0)</f>
        <v>0</v>
      </c>
      <c r="U63" s="38">
        <v>0</v>
      </c>
      <c r="V63" s="17">
        <v>0</v>
      </c>
      <c r="W63" s="29">
        <v>0</v>
      </c>
      <c r="X63" s="17">
        <f>IF(B63=0,0,IF(db!$D$11="Yes",(db!$B$11)*M63,0))</f>
        <v>0</v>
      </c>
      <c r="Y63" s="42">
        <f>ROUND(IF(C63&gt;59,0,IF(C63=0,0,IF(X63&lt;=db!$L$5,X63,db!$L$5))),0)</f>
        <v>0</v>
      </c>
      <c r="Z63" s="29">
        <f>IF(B63=0,0,IF(db!$D$12="Yes",(db!$B$12)*M63,0))</f>
        <v>0</v>
      </c>
      <c r="AA63" s="29">
        <f>ROUND(IF(C63&gt;59,0,IF(C63=0,0,IF(Z63&lt;=db!$L$6,Z63,db!$L$6))),0)</f>
        <v>0</v>
      </c>
      <c r="AB63" s="32"/>
      <c r="AC63" s="18">
        <f>IF(B63=0,0,IF(C63&lt;(db!$E$2+5),LOOKUP(C63,'Mortality Table'!$A$2:$A$108,'Mortality Table'!$P$2:$P$108),IF((C63&gt;=db!$E$2+10),LOOKUP(C63,'Mortality Table'!$A$2:$A$108,'Mortality Table'!$R$2:$R$108),LOOKUP(C63,'Mortality Table'!$A$2:$A$108,'Mortality Table'!$Q$2:$Q$108))))</f>
        <v>0</v>
      </c>
      <c r="AD63" s="22">
        <f t="shared" si="18"/>
        <v>0</v>
      </c>
      <c r="AE63" s="19">
        <f>IF(B63=0,0,LOOKUP(db!$A$8,db!$AX$4:$AX$8,db!$AY$4:$AY$8))</f>
        <v>0</v>
      </c>
      <c r="AF63" s="20">
        <f>ROUND((AE63/1000)*P63 * (1-db!$AS$9),0)</f>
        <v>0</v>
      </c>
      <c r="AG63" s="20">
        <f>(AE63/1000)*P63 * db!$AS$9</f>
        <v>0</v>
      </c>
      <c r="AH63" s="21">
        <f>IF(B63=0,0,LOOKUP(db!$A$8,db!$AX$4:$AX$8,db!$AZ$4:$AZ$8))</f>
        <v>0</v>
      </c>
      <c r="AI63" s="22">
        <f>(AH63/1000)*R63*(1-db!$AS$9)</f>
        <v>0</v>
      </c>
      <c r="AJ63" s="22">
        <f>(AH63/1000)*R63*(db!$AS$9)</f>
        <v>0</v>
      </c>
      <c r="AK63" s="23">
        <f>IF(B63=0,0,LOOKUP(db!$A$8,db!$AX$4:$AX$8,db!$BA$4:$BA$8))</f>
        <v>0</v>
      </c>
      <c r="AL63" s="20">
        <f>ROUND((AK63/(100))*T63*(1-db!$AS$9),0)</f>
        <v>0</v>
      </c>
      <c r="AM63" s="20">
        <f>ROUND((AK63/(100))*T63*(db!$AS$9),0)</f>
        <v>0</v>
      </c>
      <c r="AN63" s="21">
        <f>IF(db!$D$8="Yes",AH63,0)</f>
        <v>0</v>
      </c>
      <c r="AO63" s="22">
        <f>(AN63*V63)/1000*(1-db!$AS$9)</f>
        <v>0</v>
      </c>
      <c r="AP63" s="22">
        <f>(AN63*V63)/1000*(db!$AS$9)</f>
        <v>0</v>
      </c>
      <c r="AQ63" s="23">
        <f>IF(db!$D$10="Yes",AH63,0)</f>
        <v>0</v>
      </c>
      <c r="AR63" s="20">
        <f>(AQ63*W63/1000)*(1-db!$AS$9)</f>
        <v>0</v>
      </c>
      <c r="AS63" s="20">
        <f>(AQ63*W63/1000)*(db!$AS$9)</f>
        <v>0</v>
      </c>
      <c r="AT63" s="22">
        <f>IF(B63=0,0,IF(C63&gt;60,0,LOOKUP(LOOKUP(C63,RiskLoading!A$3:A$109,RiskLoading!DG$3:DG$109),db!$BC$3:$BC$63,db!$BD$3:$BD$63)))</f>
        <v>0</v>
      </c>
      <c r="AU63" s="22">
        <f>AV63*db!$AS$10</f>
        <v>0</v>
      </c>
      <c r="AV63" s="22">
        <f t="shared" si="19"/>
        <v>0</v>
      </c>
      <c r="AW63" s="22">
        <f>(AT63/1000000)*Y63*(1-db!$AS$10)</f>
        <v>0</v>
      </c>
      <c r="AX63" s="20">
        <f>IF(B63=0,0,IF(C63&gt;60,0,LOOKUP(LOOKUP(C63,RiskLoading!A$3:A$109,RiskLoading!DG$3:DG$109),db!$BC$3:$BC$63,db!$BE$3:$BE$63)))</f>
        <v>0</v>
      </c>
      <c r="AY63" s="20">
        <f>(AX63/1000000)*AA63*(1-db!$AS$11)</f>
        <v>0</v>
      </c>
      <c r="AZ63" s="20">
        <f>(AX63/1000000)*AA63*(db!$AS$11)</f>
        <v>0</v>
      </c>
      <c r="BA63" s="19">
        <f>IF(Table13[Year]=0,0,LOOKUP(Table13[Age],RiskLoading!A$3:A$109,RiskLoading!DT$3:DT$109))</f>
        <v>0</v>
      </c>
      <c r="BB63" s="20">
        <f>Table13[[#This Row],[RiskLoading
Rate]]*Table13[[#This Row],[Death Capital (2)]]</f>
        <v>0</v>
      </c>
      <c r="BC63" s="36"/>
      <c r="BD63" s="37">
        <f t="shared" si="20"/>
        <v>0</v>
      </c>
      <c r="BE63" s="35">
        <f t="shared" si="21"/>
        <v>0</v>
      </c>
      <c r="BF63" s="35">
        <f t="shared" si="22"/>
        <v>0</v>
      </c>
      <c r="BG63" s="37">
        <f t="shared" si="23"/>
        <v>0</v>
      </c>
      <c r="BH63" s="37">
        <f t="shared" si="24"/>
        <v>0</v>
      </c>
      <c r="BI63" s="35">
        <f t="shared" si="12"/>
        <v>0</v>
      </c>
      <c r="BJ63" s="35">
        <f t="shared" si="13"/>
        <v>0</v>
      </c>
      <c r="BK63" s="37">
        <v>0</v>
      </c>
      <c r="BL63" s="37">
        <v>0</v>
      </c>
      <c r="BM63" s="35"/>
      <c r="BN63" s="37">
        <f>0</f>
        <v>0</v>
      </c>
      <c r="BO63" s="37"/>
      <c r="BP63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63" s="33"/>
      <c r="BR63" s="39">
        <f>Table13[[#This Row],[Initial Reserve]]-Table13[[#This Row],[All Deductions]]</f>
        <v>0</v>
      </c>
      <c r="BS63" s="39">
        <v>0</v>
      </c>
      <c r="BT63" s="39">
        <f>IF(B63=0,0,BU62-Table13[[#This Row],[All Deductions]])</f>
        <v>0</v>
      </c>
      <c r="BU63" s="40">
        <f>ROUND(IF(B63=0,0,((BR63+BU62)*(1+db!U65))),0)</f>
        <v>0</v>
      </c>
      <c r="BV63" s="40">
        <f t="shared" si="25"/>
        <v>0</v>
      </c>
      <c r="BW63" s="15">
        <f t="shared" si="14"/>
        <v>62</v>
      </c>
      <c r="BX63" s="39">
        <f>IF(B63=0,0,((BR63)*(1+db!AH65))+((BX62)*(1+db!AD65)))</f>
        <v>0</v>
      </c>
      <c r="BY63" s="39">
        <f>IF(B63=0,0,((BR63)*(1+db!AH65))+((BY62)*(1+db!AD65)))</f>
        <v>0</v>
      </c>
      <c r="BZ63" s="40">
        <f>IF(B63=0,0,((BR63)*(1+db!AO65))+((BZ62)*(1+db!AK65)))</f>
        <v>0</v>
      </c>
      <c r="CA63" s="40">
        <f>BZ63-(SUM(BM$7:$BM64))</f>
        <v>0</v>
      </c>
      <c r="CB63" s="46"/>
    </row>
    <row r="64" spans="1:80">
      <c r="A64" s="16">
        <f t="shared" si="15"/>
        <v>63</v>
      </c>
      <c r="B64" s="16">
        <f>IF(B63=0,0,IF(db!$E$5&lt;B63+1,0,B63+1))</f>
        <v>0</v>
      </c>
      <c r="C64" s="15">
        <f t="shared" si="16"/>
        <v>0</v>
      </c>
      <c r="D64" s="312">
        <f>LOOKUP(Table13[[#This Row],[Age]],RiskLoading!A$3:A$109,RiskLoading!DG$3:DG$109)</f>
        <v>55</v>
      </c>
      <c r="E64" s="29">
        <f t="shared" si="8"/>
        <v>0</v>
      </c>
      <c r="F64" s="29">
        <f t="shared" si="9"/>
        <v>0</v>
      </c>
      <c r="G64" s="29">
        <f t="shared" si="0"/>
        <v>0</v>
      </c>
      <c r="H64" s="29">
        <v>0</v>
      </c>
      <c r="I64" s="29">
        <f>IF(B64=0,0,SUM($H$2:H64))</f>
        <v>0</v>
      </c>
      <c r="J64" s="17">
        <f t="shared" si="10"/>
        <v>0</v>
      </c>
      <c r="K64" s="17">
        <f>IF(Table13[[#This Row],[Year]]=0,0,IF($C$2&lt;=50,LOOKUP(Table13[[#This Row],[Age]],db!BG65:BG171,db!BH65:BH171),LOOKUP(Table13[[#This Row],[Age]],db!BJ65:BJ171,db!BK65:BK171)))</f>
        <v>0</v>
      </c>
      <c r="L64" s="17">
        <f>MIN(IF(B64=0,0,db!$E$4*((1+db!$B$4)^(B64-1))),Table13[[#This Row],[Max Sum Insured For Death]])</f>
        <v>0</v>
      </c>
      <c r="M64" s="17">
        <f>ROUND(IF(L64&lt;=db!$L$7,L64,db!$L$7),0)</f>
        <v>0</v>
      </c>
      <c r="N64" s="29">
        <f t="shared" si="11"/>
        <v>0</v>
      </c>
      <c r="O64" s="29">
        <f>IF(B64=0,0,IF(db!$D$6="Yes",(db!$B$6)*M64,0))</f>
        <v>0</v>
      </c>
      <c r="P64" s="29">
        <f>MIN(IF(O64&lt;=db!$L$2,O64,db!$L$2),MAX_ACC_CAPITAL)</f>
        <v>0</v>
      </c>
      <c r="Q64" s="17">
        <f>IF(B64=0,0,IF(db!$D$7="Yes",(db!$B$7)*M64,0))</f>
        <v>0</v>
      </c>
      <c r="R64" s="42">
        <f>IF(C64&gt;69,0,IF(C64=0,0,IF(Q64&lt;=db!$L$3,Q64,db!$L$3)))</f>
        <v>0</v>
      </c>
      <c r="S64" s="29">
        <f>IF(B64=0,0,IF(db!$D$9="Yes",(db!$B$9)*M64,0))</f>
        <v>0</v>
      </c>
      <c r="T64" s="29">
        <f>ROUND(IF(C64&gt;69,0,IF(C64=0,0,IF(S64&lt;=db!$L$4,S64,db!$L$4))),0)</f>
        <v>0</v>
      </c>
      <c r="U64" s="38">
        <v>0</v>
      </c>
      <c r="V64" s="17">
        <v>0</v>
      </c>
      <c r="W64" s="29">
        <v>0</v>
      </c>
      <c r="X64" s="17">
        <f>IF(B64=0,0,IF(db!$D$11="Yes",(db!$B$11)*M64,0))</f>
        <v>0</v>
      </c>
      <c r="Y64" s="42">
        <f>ROUND(IF(C64&gt;59,0,IF(C64=0,0,IF(X64&lt;=db!$L$5,X64,db!$L$5))),0)</f>
        <v>0</v>
      </c>
      <c r="Z64" s="29">
        <f>IF(B64=0,0,IF(db!$D$12="Yes",(db!$B$12)*M64,0))</f>
        <v>0</v>
      </c>
      <c r="AA64" s="29">
        <f>ROUND(IF(C64&gt;59,0,IF(C64=0,0,IF(Z64&lt;=db!$L$6,Z64,db!$L$6))),0)</f>
        <v>0</v>
      </c>
      <c r="AB64" s="32"/>
      <c r="AC64" s="18">
        <f>IF(B64=0,0,IF(C64&lt;(db!$E$2+5),LOOKUP(C64,'Mortality Table'!$A$2:$A$108,'Mortality Table'!$P$2:$P$108),IF((C64&gt;=db!$E$2+10),LOOKUP(C64,'Mortality Table'!$A$2:$A$108,'Mortality Table'!$R$2:$R$108),LOOKUP(C64,'Mortality Table'!$A$2:$A$108,'Mortality Table'!$Q$2:$Q$108))))</f>
        <v>0</v>
      </c>
      <c r="AD64" s="22">
        <f t="shared" si="18"/>
        <v>0</v>
      </c>
      <c r="AE64" s="19">
        <f>IF(B64=0,0,LOOKUP(db!$A$8,db!$AX$4:$AX$8,db!$AY$4:$AY$8))</f>
        <v>0</v>
      </c>
      <c r="AF64" s="20">
        <f>ROUND((AE64/1000)*P64 * (1-db!$AS$9),0)</f>
        <v>0</v>
      </c>
      <c r="AG64" s="20">
        <f>(AE64/1000)*P64 * db!$AS$9</f>
        <v>0</v>
      </c>
      <c r="AH64" s="21">
        <f>IF(B64=0,0,LOOKUP(db!$A$8,db!$AX$4:$AX$8,db!$AZ$4:$AZ$8))</f>
        <v>0</v>
      </c>
      <c r="AI64" s="22">
        <f>(AH64/1000)*R64*(1-db!$AS$9)</f>
        <v>0</v>
      </c>
      <c r="AJ64" s="22">
        <f>(AH64/1000)*R64*(db!$AS$9)</f>
        <v>0</v>
      </c>
      <c r="AK64" s="23">
        <f>IF(B64=0,0,LOOKUP(db!$A$8,db!$AX$4:$AX$8,db!$BA$4:$BA$8))</f>
        <v>0</v>
      </c>
      <c r="AL64" s="20">
        <f>ROUND((AK64/(100))*T64*(1-db!$AS$9),0)</f>
        <v>0</v>
      </c>
      <c r="AM64" s="20">
        <f>ROUND((AK64/(100))*T64*(db!$AS$9),0)</f>
        <v>0</v>
      </c>
      <c r="AN64" s="21">
        <f>IF(db!$D$8="Yes",AH64,0)</f>
        <v>0</v>
      </c>
      <c r="AO64" s="22">
        <f>(AN64*V64)/1000*(1-db!$AS$9)</f>
        <v>0</v>
      </c>
      <c r="AP64" s="22">
        <f>(AN64*V64)/1000*(db!$AS$9)</f>
        <v>0</v>
      </c>
      <c r="AQ64" s="23">
        <f>IF(db!$D$10="Yes",AH64,0)</f>
        <v>0</v>
      </c>
      <c r="AR64" s="20">
        <f>(AQ64*W64/1000)*(1-db!$AS$9)</f>
        <v>0</v>
      </c>
      <c r="AS64" s="20">
        <f>(AQ64*W64/1000)*(db!$AS$9)</f>
        <v>0</v>
      </c>
      <c r="AT64" s="22">
        <f>IF(B64=0,0,IF(C64&gt;60,0,LOOKUP(LOOKUP(C64,RiskLoading!A$3:A$109,RiskLoading!DG$3:DG$109),db!$BC$3:$BC$63,db!$BD$3:$BD$63)))</f>
        <v>0</v>
      </c>
      <c r="AU64" s="22">
        <f>AV64*db!$AS$10</f>
        <v>0</v>
      </c>
      <c r="AV64" s="22">
        <f t="shared" si="19"/>
        <v>0</v>
      </c>
      <c r="AW64" s="22">
        <f>(AT64/1000000)*Y64*(1-db!$AS$10)</f>
        <v>0</v>
      </c>
      <c r="AX64" s="20">
        <f>IF(B64=0,0,IF(C64&gt;60,0,LOOKUP(LOOKUP(C64,RiskLoading!A$3:A$109,RiskLoading!DG$3:DG$109),db!$BC$3:$BC$63,db!$BE$3:$BE$63)))</f>
        <v>0</v>
      </c>
      <c r="AY64" s="20">
        <f>(AX64/1000000)*AA64*(1-db!$AS$11)</f>
        <v>0</v>
      </c>
      <c r="AZ64" s="20">
        <f>(AX64/1000000)*AA64*(db!$AS$11)</f>
        <v>0</v>
      </c>
      <c r="BA64" s="19">
        <f>IF(Table13[Year]=0,0,LOOKUP(Table13[Age],RiskLoading!A$3:A$109,RiskLoading!DT$3:DT$109))</f>
        <v>0</v>
      </c>
      <c r="BB64" s="20">
        <f>Table13[[#This Row],[RiskLoading
Rate]]*Table13[[#This Row],[Death Capital (2)]]</f>
        <v>0</v>
      </c>
      <c r="BC64" s="36"/>
      <c r="BD64" s="37">
        <f t="shared" si="20"/>
        <v>0</v>
      </c>
      <c r="BE64" s="35">
        <f t="shared" si="21"/>
        <v>0</v>
      </c>
      <c r="BF64" s="35">
        <f t="shared" si="22"/>
        <v>0</v>
      </c>
      <c r="BG64" s="37">
        <f t="shared" si="23"/>
        <v>0</v>
      </c>
      <c r="BH64" s="37">
        <f t="shared" si="24"/>
        <v>0</v>
      </c>
      <c r="BI64" s="35">
        <f t="shared" si="12"/>
        <v>0</v>
      </c>
      <c r="BJ64" s="35">
        <f t="shared" si="13"/>
        <v>0</v>
      </c>
      <c r="BK64" s="37">
        <v>0</v>
      </c>
      <c r="BL64" s="37">
        <v>0</v>
      </c>
      <c r="BM64" s="35"/>
      <c r="BN64" s="37">
        <f>0</f>
        <v>0</v>
      </c>
      <c r="BO64" s="37"/>
      <c r="BP64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64" s="33"/>
      <c r="BR64" s="39">
        <f>Table13[[#This Row],[Initial Reserve]]-Table13[[#This Row],[All Deductions]]</f>
        <v>0</v>
      </c>
      <c r="BS64" s="39">
        <v>0</v>
      </c>
      <c r="BT64" s="39">
        <f>IF(B64=0,0,BU63-Table13[[#This Row],[All Deductions]])</f>
        <v>0</v>
      </c>
      <c r="BU64" s="40">
        <f>ROUND(IF(B64=0,0,((BR64+BU63)*(1+db!U66))),0)</f>
        <v>0</v>
      </c>
      <c r="BV64" s="40">
        <f t="shared" si="25"/>
        <v>0</v>
      </c>
      <c r="BW64" s="15">
        <f t="shared" si="14"/>
        <v>63</v>
      </c>
      <c r="BX64" s="39">
        <f>IF(B64=0,0,((BR64)*(1+db!AH66))+((BX63)*(1+db!AD66)))</f>
        <v>0</v>
      </c>
      <c r="BY64" s="39">
        <f>IF(B64=0,0,((BR64)*(1+db!AH66))+((BY63)*(1+db!AD66)))</f>
        <v>0</v>
      </c>
      <c r="BZ64" s="40">
        <f>IF(B64=0,0,((BR64)*(1+db!AO66))+((BZ63)*(1+db!AK66)))</f>
        <v>0</v>
      </c>
      <c r="CA64" s="40">
        <f>BZ64-(SUM(BM$7:$BM65))</f>
        <v>0</v>
      </c>
      <c r="CB64" s="46"/>
    </row>
    <row r="65" spans="1:80">
      <c r="A65" s="16">
        <f t="shared" si="15"/>
        <v>64</v>
      </c>
      <c r="B65" s="16">
        <f>IF(B64=0,0,IF(db!$E$5&lt;B64+1,0,B64+1))</f>
        <v>0</v>
      </c>
      <c r="C65" s="15">
        <f t="shared" si="16"/>
        <v>0</v>
      </c>
      <c r="D65" s="312">
        <f>LOOKUP(Table13[[#This Row],[Age]],RiskLoading!A$3:A$109,RiskLoading!DG$3:DG$109)</f>
        <v>55</v>
      </c>
      <c r="E65" s="29">
        <f t="shared" si="8"/>
        <v>0</v>
      </c>
      <c r="F65" s="29">
        <f t="shared" si="9"/>
        <v>0</v>
      </c>
      <c r="G65" s="29">
        <f t="shared" si="0"/>
        <v>0</v>
      </c>
      <c r="H65" s="29">
        <v>0</v>
      </c>
      <c r="I65" s="29">
        <f>IF(B65=0,0,SUM($H$2:H65))</f>
        <v>0</v>
      </c>
      <c r="J65" s="17">
        <f t="shared" si="10"/>
        <v>0</v>
      </c>
      <c r="K65" s="17">
        <f>IF(Table13[[#This Row],[Year]]=0,0,IF($C$2&lt;=50,LOOKUP(Table13[[#This Row],[Age]],db!BG66:BG172,db!BH66:BH172),LOOKUP(Table13[[#This Row],[Age]],db!BJ66:BJ172,db!BK66:BK172)))</f>
        <v>0</v>
      </c>
      <c r="L65" s="17">
        <f>MIN(IF(B65=0,0,db!$E$4*((1+db!$B$4)^(B65-1))),Table13[[#This Row],[Max Sum Insured For Death]])</f>
        <v>0</v>
      </c>
      <c r="M65" s="17">
        <f>ROUND(IF(L65&lt;=db!$L$7,L65,db!$L$7),0)</f>
        <v>0</v>
      </c>
      <c r="N65" s="29">
        <f t="shared" si="11"/>
        <v>0</v>
      </c>
      <c r="O65" s="29">
        <f>IF(B65=0,0,IF(db!$D$6="Yes",(db!$B$6)*M65,0))</f>
        <v>0</v>
      </c>
      <c r="P65" s="29">
        <f>MIN(IF(O65&lt;=db!$L$2,O65,db!$L$2),MAX_ACC_CAPITAL)</f>
        <v>0</v>
      </c>
      <c r="Q65" s="17">
        <f>IF(B65=0,0,IF(db!$D$7="Yes",(db!$B$7)*M65,0))</f>
        <v>0</v>
      </c>
      <c r="R65" s="42">
        <f>IF(C65&gt;69,0,IF(C65=0,0,IF(Q65&lt;=db!$L$3,Q65,db!$L$3)))</f>
        <v>0</v>
      </c>
      <c r="S65" s="29">
        <f>IF(B65=0,0,IF(db!$D$9="Yes",(db!$B$9)*M65,0))</f>
        <v>0</v>
      </c>
      <c r="T65" s="29">
        <f>ROUND(IF(C65&gt;69,0,IF(C65=0,0,IF(S65&lt;=db!$L$4,S65,db!$L$4))),0)</f>
        <v>0</v>
      </c>
      <c r="U65" s="38">
        <v>0</v>
      </c>
      <c r="V65" s="17">
        <v>0</v>
      </c>
      <c r="W65" s="29">
        <v>0</v>
      </c>
      <c r="X65" s="17">
        <f>IF(B65=0,0,IF(db!$D$11="Yes",(db!$B$11)*M65,0))</f>
        <v>0</v>
      </c>
      <c r="Y65" s="42">
        <f>ROUND(IF(C65&gt;59,0,IF(C65=0,0,IF(X65&lt;=db!$L$5,X65,db!$L$5))),0)</f>
        <v>0</v>
      </c>
      <c r="Z65" s="29">
        <f>IF(B65=0,0,IF(db!$D$12="Yes",(db!$B$12)*M65,0))</f>
        <v>0</v>
      </c>
      <c r="AA65" s="29">
        <f>ROUND(IF(C65&gt;59,0,IF(C65=0,0,IF(Z65&lt;=db!$L$6,Z65,db!$L$6))),0)</f>
        <v>0</v>
      </c>
      <c r="AB65" s="32"/>
      <c r="AC65" s="18">
        <f>IF(B65=0,0,IF(C65&lt;(db!$E$2+5),LOOKUP(C65,'Mortality Table'!$A$2:$A$108,'Mortality Table'!$P$2:$P$108),IF((C65&gt;=db!$E$2+10),LOOKUP(C65,'Mortality Table'!$A$2:$A$108,'Mortality Table'!$R$2:$R$108),LOOKUP(C65,'Mortality Table'!$A$2:$A$108,'Mortality Table'!$Q$2:$Q$108))))</f>
        <v>0</v>
      </c>
      <c r="AD65" s="22">
        <f t="shared" si="18"/>
        <v>0</v>
      </c>
      <c r="AE65" s="19">
        <f>IF(B65=0,0,LOOKUP(db!$A$8,db!$AX$4:$AX$8,db!$AY$4:$AY$8))</f>
        <v>0</v>
      </c>
      <c r="AF65" s="20">
        <f>ROUND((AE65/1000)*P65 * (1-db!$AS$9),0)</f>
        <v>0</v>
      </c>
      <c r="AG65" s="20">
        <f>(AE65/1000)*P65 * db!$AS$9</f>
        <v>0</v>
      </c>
      <c r="AH65" s="21">
        <f>IF(B65=0,0,LOOKUP(db!$A$8,db!$AX$4:$AX$8,db!$AZ$4:$AZ$8))</f>
        <v>0</v>
      </c>
      <c r="AI65" s="22">
        <f>(AH65/1000)*R65*(1-db!$AS$9)</f>
        <v>0</v>
      </c>
      <c r="AJ65" s="22">
        <f>(AH65/1000)*R65*(db!$AS$9)</f>
        <v>0</v>
      </c>
      <c r="AK65" s="23">
        <f>IF(B65=0,0,LOOKUP(db!$A$8,db!$AX$4:$AX$8,db!$BA$4:$BA$8))</f>
        <v>0</v>
      </c>
      <c r="AL65" s="20">
        <f>ROUND((AK65/(100))*T65*(1-db!$AS$9),0)</f>
        <v>0</v>
      </c>
      <c r="AM65" s="20">
        <f>ROUND((AK65/(100))*T65*(db!$AS$9),0)</f>
        <v>0</v>
      </c>
      <c r="AN65" s="21">
        <f>IF(db!$D$8="Yes",AH65,0)</f>
        <v>0</v>
      </c>
      <c r="AO65" s="22">
        <f>(AN65*V65)/1000*(1-db!$AS$9)</f>
        <v>0</v>
      </c>
      <c r="AP65" s="22">
        <f>(AN65*V65)/1000*(db!$AS$9)</f>
        <v>0</v>
      </c>
      <c r="AQ65" s="23">
        <f>IF(db!$D$10="Yes",AH65,0)</f>
        <v>0</v>
      </c>
      <c r="AR65" s="20">
        <f>(AQ65*W65/1000)*(1-db!$AS$9)</f>
        <v>0</v>
      </c>
      <c r="AS65" s="20">
        <f>(AQ65*W65/1000)*(db!$AS$9)</f>
        <v>0</v>
      </c>
      <c r="AT65" s="22">
        <f>IF(B65=0,0,IF(C65&gt;60,0,LOOKUP(LOOKUP(C65,RiskLoading!A$3:A$109,RiskLoading!DG$3:DG$109),db!$BC$3:$BC$63,db!$BD$3:$BD$63)))</f>
        <v>0</v>
      </c>
      <c r="AU65" s="22">
        <f>AV65*db!$AS$10</f>
        <v>0</v>
      </c>
      <c r="AV65" s="22">
        <f t="shared" si="19"/>
        <v>0</v>
      </c>
      <c r="AW65" s="22">
        <f>(AT65/1000000)*Y65*(1-db!$AS$10)</f>
        <v>0</v>
      </c>
      <c r="AX65" s="20">
        <f>IF(B65=0,0,IF(C65&gt;60,0,LOOKUP(LOOKUP(C65,RiskLoading!A$3:A$109,RiskLoading!DG$3:DG$109),db!$BC$3:$BC$63,db!$BE$3:$BE$63)))</f>
        <v>0</v>
      </c>
      <c r="AY65" s="20">
        <f>(AX65/1000000)*AA65*(1-db!$AS$11)</f>
        <v>0</v>
      </c>
      <c r="AZ65" s="20">
        <f>(AX65/1000000)*AA65*(db!$AS$11)</f>
        <v>0</v>
      </c>
      <c r="BA65" s="19">
        <f>IF(Table13[Year]=0,0,LOOKUP(Table13[Age],RiskLoading!A$3:A$109,RiskLoading!DT$3:DT$109))</f>
        <v>0</v>
      </c>
      <c r="BB65" s="20">
        <f>Table13[[#This Row],[RiskLoading
Rate]]*Table13[[#This Row],[Death Capital (2)]]</f>
        <v>0</v>
      </c>
      <c r="BC65" s="36"/>
      <c r="BD65" s="37">
        <f t="shared" si="20"/>
        <v>0</v>
      </c>
      <c r="BE65" s="35">
        <f t="shared" si="21"/>
        <v>0</v>
      </c>
      <c r="BF65" s="35">
        <f t="shared" si="22"/>
        <v>0</v>
      </c>
      <c r="BG65" s="37">
        <f t="shared" si="23"/>
        <v>0</v>
      </c>
      <c r="BH65" s="37">
        <f t="shared" si="24"/>
        <v>0</v>
      </c>
      <c r="BI65" s="35">
        <f t="shared" si="12"/>
        <v>0</v>
      </c>
      <c r="BJ65" s="35">
        <f t="shared" si="13"/>
        <v>0</v>
      </c>
      <c r="BK65" s="37">
        <v>0</v>
      </c>
      <c r="BL65" s="37">
        <v>0</v>
      </c>
      <c r="BM65" s="35"/>
      <c r="BN65" s="37">
        <f>0</f>
        <v>0</v>
      </c>
      <c r="BO65" s="37"/>
      <c r="BP65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65" s="33"/>
      <c r="BR65" s="39">
        <f>Table13[[#This Row],[Initial Reserve]]-Table13[[#This Row],[All Deductions]]</f>
        <v>0</v>
      </c>
      <c r="BS65" s="39">
        <v>0</v>
      </c>
      <c r="BT65" s="39">
        <f>IF(B65=0,0,BU64-Table13[[#This Row],[All Deductions]])</f>
        <v>0</v>
      </c>
      <c r="BU65" s="40">
        <f>ROUND(IF(B65=0,0,((BR65+BU64)*(1+db!U67))),0)</f>
        <v>0</v>
      </c>
      <c r="BV65" s="40">
        <f t="shared" si="25"/>
        <v>0</v>
      </c>
      <c r="BW65" s="15">
        <f t="shared" si="14"/>
        <v>64</v>
      </c>
      <c r="BX65" s="39">
        <f>IF(B65=0,0,((BR65)*(1+db!AH67))+((BX64)*(1+db!AD67)))</f>
        <v>0</v>
      </c>
      <c r="BY65" s="39">
        <f>IF(B65=0,0,((BR65)*(1+db!AH67))+((BY64)*(1+db!AD67)))</f>
        <v>0</v>
      </c>
      <c r="BZ65" s="40">
        <f>IF(B65=0,0,((BR65)*(1+db!AO67))+((BZ64)*(1+db!AK67)))</f>
        <v>0</v>
      </c>
      <c r="CA65" s="40">
        <f>BZ65-(SUM(BM$7:$BM66))</f>
        <v>0</v>
      </c>
      <c r="CB65" s="46"/>
    </row>
    <row r="66" spans="1:80">
      <c r="A66" s="16">
        <f t="shared" si="15"/>
        <v>65</v>
      </c>
      <c r="B66" s="16">
        <f>IF(B65=0,0,IF(db!$E$5&lt;B65+1,0,B65+1))</f>
        <v>0</v>
      </c>
      <c r="C66" s="15">
        <f t="shared" si="16"/>
        <v>0</v>
      </c>
      <c r="D66" s="312">
        <f>LOOKUP(Table13[[#This Row],[Age]],RiskLoading!A$3:A$109,RiskLoading!DG$3:DG$109)</f>
        <v>55</v>
      </c>
      <c r="E66" s="29">
        <f t="shared" si="8"/>
        <v>0</v>
      </c>
      <c r="F66" s="29">
        <f t="shared" si="9"/>
        <v>0</v>
      </c>
      <c r="G66" s="29">
        <f t="shared" ref="G66:G107" si="26" xml:space="preserve"> ROUND(H66 * (1 + SumOfTAX),-3)</f>
        <v>0</v>
      </c>
      <c r="H66" s="29">
        <v>0</v>
      </c>
      <c r="I66" s="29">
        <f>IF(B66=0,0,SUM($H$2:H66))</f>
        <v>0</v>
      </c>
      <c r="J66" s="17">
        <f t="shared" si="10"/>
        <v>0</v>
      </c>
      <c r="K66" s="17">
        <f>IF(Table13[[#This Row],[Year]]=0,0,IF($C$2&lt;=50,LOOKUP(Table13[[#This Row],[Age]],db!BG67:BG173,db!BH67:BH173),LOOKUP(Table13[[#This Row],[Age]],db!BJ67:BJ173,db!BK67:BK173)))</f>
        <v>0</v>
      </c>
      <c r="L66" s="17">
        <f>MIN(IF(B66=0,0,db!$E$4*((1+db!$B$4)^(B66-1))),Table13[[#This Row],[Max Sum Insured For Death]])</f>
        <v>0</v>
      </c>
      <c r="M66" s="17">
        <f>ROUND(IF(L66&lt;=db!$L$7,L66,db!$L$7),0)</f>
        <v>0</v>
      </c>
      <c r="N66" s="29">
        <f t="shared" si="11"/>
        <v>0</v>
      </c>
      <c r="O66" s="29">
        <f>IF(B66=0,0,IF(db!$D$6="Yes",(db!$B$6)*M66,0))</f>
        <v>0</v>
      </c>
      <c r="P66" s="29">
        <f>MIN(IF(O66&lt;=db!$L$2,O66,db!$L$2),MAX_ACC_CAPITAL)</f>
        <v>0</v>
      </c>
      <c r="Q66" s="17">
        <f>IF(B66=0,0,IF(db!$D$7="Yes",(db!$B$7)*M66,0))</f>
        <v>0</v>
      </c>
      <c r="R66" s="42">
        <f>IF(C66&gt;69,0,IF(C66=0,0,IF(Q66&lt;=db!$L$3,Q66,db!$L$3)))</f>
        <v>0</v>
      </c>
      <c r="S66" s="29">
        <f>IF(B66=0,0,IF(db!$D$9="Yes",(db!$B$9)*M66,0))</f>
        <v>0</v>
      </c>
      <c r="T66" s="29">
        <f>ROUND(IF(C66&gt;69,0,IF(C66=0,0,IF(S66&lt;=db!$L$4,S66,db!$L$4))),0)</f>
        <v>0</v>
      </c>
      <c r="U66" s="38">
        <v>0</v>
      </c>
      <c r="V66" s="17">
        <v>0</v>
      </c>
      <c r="W66" s="29">
        <v>0</v>
      </c>
      <c r="X66" s="17">
        <f>IF(B66=0,0,IF(db!$D$11="Yes",(db!$B$11)*M66,0))</f>
        <v>0</v>
      </c>
      <c r="Y66" s="42">
        <f>ROUND(IF(C66&gt;59,0,IF(C66=0,0,IF(X66&lt;=db!$L$5,X66,db!$L$5))),0)</f>
        <v>0</v>
      </c>
      <c r="Z66" s="29">
        <f>IF(B66=0,0,IF(db!$D$12="Yes",(db!$B$12)*M66,0))</f>
        <v>0</v>
      </c>
      <c r="AA66" s="29">
        <f>ROUND(IF(C66&gt;59,0,IF(C66=0,0,IF(Z66&lt;=db!$L$6,Z66,db!$L$6))),0)</f>
        <v>0</v>
      </c>
      <c r="AB66" s="32"/>
      <c r="AC66" s="18">
        <f>IF(B66=0,0,IF(C66&lt;(db!$E$2+5),LOOKUP(C66,'Mortality Table'!$A$2:$A$108,'Mortality Table'!$P$2:$P$108),IF((C66&gt;=db!$E$2+10),LOOKUP(C66,'Mortality Table'!$A$2:$A$108,'Mortality Table'!$R$2:$R$108),LOOKUP(C66,'Mortality Table'!$A$2:$A$108,'Mortality Table'!$Q$2:$Q$108))))</f>
        <v>0</v>
      </c>
      <c r="AD66" s="22">
        <f t="shared" ref="AD66:AD97" si="27">ROUND(AC66*M66,0)</f>
        <v>0</v>
      </c>
      <c r="AE66" s="19">
        <f>IF(B66=0,0,LOOKUP(db!$A$8,db!$AX$4:$AX$8,db!$AY$4:$AY$8))</f>
        <v>0</v>
      </c>
      <c r="AF66" s="20">
        <f>ROUND((AE66/1000)*P66 * (1-db!$AS$9),0)</f>
        <v>0</v>
      </c>
      <c r="AG66" s="20">
        <f>(AE66/1000)*P66 * db!$AS$9</f>
        <v>0</v>
      </c>
      <c r="AH66" s="21">
        <f>IF(B66=0,0,LOOKUP(db!$A$8,db!$AX$4:$AX$8,db!$AZ$4:$AZ$8))</f>
        <v>0</v>
      </c>
      <c r="AI66" s="22">
        <f>(AH66/1000)*R66*(1-db!$AS$9)</f>
        <v>0</v>
      </c>
      <c r="AJ66" s="22">
        <f>(AH66/1000)*R66*(db!$AS$9)</f>
        <v>0</v>
      </c>
      <c r="AK66" s="23">
        <f>IF(B66=0,0,LOOKUP(db!$A$8,db!$AX$4:$AX$8,db!$BA$4:$BA$8))</f>
        <v>0</v>
      </c>
      <c r="AL66" s="20">
        <f>ROUND((AK66/(100))*T66*(1-db!$AS$9),0)</f>
        <v>0</v>
      </c>
      <c r="AM66" s="20">
        <f>ROUND((AK66/(100))*T66*(db!$AS$9),0)</f>
        <v>0</v>
      </c>
      <c r="AN66" s="21">
        <f>IF(db!$D$8="Yes",AH66,0)</f>
        <v>0</v>
      </c>
      <c r="AO66" s="22">
        <f>(AN66*V66)/1000*(1-db!$AS$9)</f>
        <v>0</v>
      </c>
      <c r="AP66" s="22">
        <f>(AN66*V66)/1000*(db!$AS$9)</f>
        <v>0</v>
      </c>
      <c r="AQ66" s="23">
        <f>IF(db!$D$10="Yes",AH66,0)</f>
        <v>0</v>
      </c>
      <c r="AR66" s="20">
        <f>(AQ66*W66/1000)*(1-db!$AS$9)</f>
        <v>0</v>
      </c>
      <c r="AS66" s="20">
        <f>(AQ66*W66/1000)*(db!$AS$9)</f>
        <v>0</v>
      </c>
      <c r="AT66" s="22">
        <f>IF(B66=0,0,IF(C66&gt;60,0,LOOKUP(LOOKUP(C66,RiskLoading!A$3:A$109,RiskLoading!DG$3:DG$109),db!$BC$3:$BC$63,db!$BD$3:$BD$63)))</f>
        <v>0</v>
      </c>
      <c r="AU66" s="22">
        <f>AV66*db!$AS$10</f>
        <v>0</v>
      </c>
      <c r="AV66" s="22">
        <f t="shared" ref="AV66:AV97" si="28">(AT66/1000000)*Y66</f>
        <v>0</v>
      </c>
      <c r="AW66" s="22">
        <f>(AT66/1000000)*Y66*(1-db!$AS$10)</f>
        <v>0</v>
      </c>
      <c r="AX66" s="20">
        <f>IF(B66=0,0,IF(C66&gt;60,0,LOOKUP(LOOKUP(C66,RiskLoading!A$3:A$109,RiskLoading!DG$3:DG$109),db!$BC$3:$BC$63,db!$BE$3:$BE$63)))</f>
        <v>0</v>
      </c>
      <c r="AY66" s="20">
        <f>(AX66/1000000)*AA66*(1-db!$AS$11)</f>
        <v>0</v>
      </c>
      <c r="AZ66" s="20">
        <f>(AX66/1000000)*AA66*(db!$AS$11)</f>
        <v>0</v>
      </c>
      <c r="BA66" s="19">
        <f>IF(Table13[Year]=0,0,LOOKUP(Table13[Age],RiskLoading!A$3:A$109,RiskLoading!DT$3:DT$109))</f>
        <v>0</v>
      </c>
      <c r="BB66" s="20">
        <f>Table13[[#This Row],[RiskLoading
Rate]]*Table13[[#This Row],[Death Capital (2)]]</f>
        <v>0</v>
      </c>
      <c r="BC66" s="36"/>
      <c r="BD66" s="37">
        <f t="shared" ref="BD66:BD97" si="29">AD66</f>
        <v>0</v>
      </c>
      <c r="BE66" s="35">
        <f t="shared" ref="BE66:BE97" si="30">(AR66+AO66+AL66+AI66+AF66)</f>
        <v>0</v>
      </c>
      <c r="BF66" s="35">
        <f t="shared" ref="BF66:BF97" si="31">AG66+AJ66+AM66+AP66+AS66</f>
        <v>0</v>
      </c>
      <c r="BG66" s="37">
        <f t="shared" ref="BG66:BG97" si="32">(AY66+AW66)</f>
        <v>0</v>
      </c>
      <c r="BH66" s="37">
        <f t="shared" ref="BH66:BH97" si="33">AU66+AZ66</f>
        <v>0</v>
      </c>
      <c r="BI66" s="35">
        <f t="shared" si="12"/>
        <v>0</v>
      </c>
      <c r="BJ66" s="35">
        <f t="shared" si="13"/>
        <v>0</v>
      </c>
      <c r="BK66" s="37">
        <v>0</v>
      </c>
      <c r="BL66" s="37">
        <v>0</v>
      </c>
      <c r="BM66" s="35"/>
      <c r="BN66" s="37">
        <f>0</f>
        <v>0</v>
      </c>
      <c r="BO66" s="37"/>
      <c r="BP66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66" s="33"/>
      <c r="BR66" s="39">
        <f>Table13[[#This Row],[Initial Reserve]]-Table13[[#This Row],[All Deductions]]</f>
        <v>0</v>
      </c>
      <c r="BS66" s="39">
        <v>0</v>
      </c>
      <c r="BT66" s="39">
        <f>IF(B66=0,0,BU65-Table13[[#This Row],[All Deductions]])</f>
        <v>0</v>
      </c>
      <c r="BU66" s="40">
        <f>ROUND(IF(B66=0,0,((BR66+BU65)*(1+db!U68))),0)</f>
        <v>0</v>
      </c>
      <c r="BV66" s="40">
        <f t="shared" si="25"/>
        <v>0</v>
      </c>
      <c r="BW66" s="15">
        <f t="shared" si="14"/>
        <v>65</v>
      </c>
      <c r="BX66" s="39">
        <f>IF(B66=0,0,((BR66)*(1+db!AH68))+((BX65)*(1+db!AD68)))</f>
        <v>0</v>
      </c>
      <c r="BY66" s="39">
        <f>IF(B66=0,0,((BR66)*(1+db!AH68))+((BY65)*(1+db!AD68)))</f>
        <v>0</v>
      </c>
      <c r="BZ66" s="40">
        <f>IF(B66=0,0,((BR66)*(1+db!AO68))+((BZ65)*(1+db!AK68)))</f>
        <v>0</v>
      </c>
      <c r="CA66" s="40">
        <f>BZ66-(SUM(BM$7:$BM67))</f>
        <v>0</v>
      </c>
      <c r="CB66" s="46"/>
    </row>
    <row r="67" spans="1:80">
      <c r="A67" s="16">
        <f t="shared" si="15"/>
        <v>66</v>
      </c>
      <c r="B67" s="16">
        <f>IF(B66=0,0,IF(db!$E$5&lt;B66+1,0,B66+1))</f>
        <v>0</v>
      </c>
      <c r="C67" s="15">
        <f t="shared" si="16"/>
        <v>0</v>
      </c>
      <c r="D67" s="312">
        <f>LOOKUP(Table13[[#This Row],[Age]],RiskLoading!A$3:A$109,RiskLoading!DG$3:DG$109)</f>
        <v>55</v>
      </c>
      <c r="E67" s="29">
        <f t="shared" ref="E67:E107" si="34">ROUND(H67,-3)</f>
        <v>0</v>
      </c>
      <c r="F67" s="29">
        <f t="shared" ref="F67:F107" si="35">ROUND(H67,-3)</f>
        <v>0</v>
      </c>
      <c r="G67" s="29">
        <f t="shared" si="26"/>
        <v>0</v>
      </c>
      <c r="H67" s="29">
        <v>0</v>
      </c>
      <c r="I67" s="29">
        <f>IF(B67=0,0,SUM($H$2:H67))</f>
        <v>0</v>
      </c>
      <c r="J67" s="17">
        <f t="shared" ref="J67:J107" si="36">ROUND(L67,-3)</f>
        <v>0</v>
      </c>
      <c r="K67" s="17">
        <f>IF(Table13[[#This Row],[Year]]=0,0,IF($C$2&lt;=50,LOOKUP(Table13[[#This Row],[Age]],db!BG68:BG174,db!BH68:BH174),LOOKUP(Table13[[#This Row],[Age]],db!BJ68:BJ174,db!BK68:BK174)))</f>
        <v>0</v>
      </c>
      <c r="L67" s="17">
        <f>MIN(IF(B67=0,0,db!$E$4*((1+db!$B$4)^(B67-1))),Table13[[#This Row],[Max Sum Insured For Death]])</f>
        <v>0</v>
      </c>
      <c r="M67" s="17">
        <f>ROUND(IF(L67&lt;=db!$L$7,L67,db!$L$7),0)</f>
        <v>0</v>
      </c>
      <c r="N67" s="29">
        <f t="shared" ref="N67:N107" si="37">ROUND(O67,-3)</f>
        <v>0</v>
      </c>
      <c r="O67" s="29">
        <f>IF(B67=0,0,IF(db!$D$6="Yes",(db!$B$6)*M67,0))</f>
        <v>0</v>
      </c>
      <c r="P67" s="29">
        <f>MIN(IF(O67&lt;=db!$L$2,O67,db!$L$2),MAX_ACC_CAPITAL)</f>
        <v>0</v>
      </c>
      <c r="Q67" s="17">
        <f>IF(B67=0,0,IF(db!$D$7="Yes",(db!$B$7)*M67,0))</f>
        <v>0</v>
      </c>
      <c r="R67" s="42">
        <f>IF(C67&gt;69,0,IF(C67=0,0,IF(Q67&lt;=db!$L$3,Q67,db!$L$3)))</f>
        <v>0</v>
      </c>
      <c r="S67" s="29">
        <f>IF(B67=0,0,IF(db!$D$9="Yes",(db!$B$9)*M67,0))</f>
        <v>0</v>
      </c>
      <c r="T67" s="29">
        <f>ROUND(IF(C67&gt;69,0,IF(C67=0,0,IF(S67&lt;=db!$L$4,S67,db!$L$4))),0)</f>
        <v>0</v>
      </c>
      <c r="U67" s="38">
        <v>0</v>
      </c>
      <c r="V67" s="17">
        <v>0</v>
      </c>
      <c r="W67" s="29">
        <v>0</v>
      </c>
      <c r="X67" s="17">
        <f>IF(B67=0,0,IF(db!$D$11="Yes",(db!$B$11)*M67,0))</f>
        <v>0</v>
      </c>
      <c r="Y67" s="42">
        <f>ROUND(IF(C67&gt;59,0,IF(C67=0,0,IF(X67&lt;=db!$L$5,X67,db!$L$5))),0)</f>
        <v>0</v>
      </c>
      <c r="Z67" s="29">
        <f>IF(B67=0,0,IF(db!$D$12="Yes",(db!$B$12)*M67,0))</f>
        <v>0</v>
      </c>
      <c r="AA67" s="29">
        <f>ROUND(IF(C67&gt;59,0,IF(C67=0,0,IF(Z67&lt;=db!$L$6,Z67,db!$L$6))),0)</f>
        <v>0</v>
      </c>
      <c r="AB67" s="32"/>
      <c r="AC67" s="18">
        <f>IF(B67=0,0,IF(C67&lt;(db!$E$2+5),LOOKUP(C67,'Mortality Table'!$A$2:$A$108,'Mortality Table'!$P$2:$P$108),IF((C67&gt;=db!$E$2+10),LOOKUP(C67,'Mortality Table'!$A$2:$A$108,'Mortality Table'!$R$2:$R$108),LOOKUP(C67,'Mortality Table'!$A$2:$A$108,'Mortality Table'!$Q$2:$Q$108))))</f>
        <v>0</v>
      </c>
      <c r="AD67" s="22">
        <f t="shared" si="27"/>
        <v>0</v>
      </c>
      <c r="AE67" s="19">
        <f>IF(B67=0,0,LOOKUP(db!$A$8,db!$AX$4:$AX$8,db!$AY$4:$AY$8))</f>
        <v>0</v>
      </c>
      <c r="AF67" s="20">
        <f>ROUND((AE67/1000)*P67 * (1-db!$AS$9),0)</f>
        <v>0</v>
      </c>
      <c r="AG67" s="20">
        <f>(AE67/1000)*P67 * db!$AS$9</f>
        <v>0</v>
      </c>
      <c r="AH67" s="21">
        <f>IF(B67=0,0,LOOKUP(db!$A$8,db!$AX$4:$AX$8,db!$AZ$4:$AZ$8))</f>
        <v>0</v>
      </c>
      <c r="AI67" s="22">
        <f>(AH67/1000)*R67*(1-db!$AS$9)</f>
        <v>0</v>
      </c>
      <c r="AJ67" s="22">
        <f>(AH67/1000)*R67*(db!$AS$9)</f>
        <v>0</v>
      </c>
      <c r="AK67" s="23">
        <f>IF(B67=0,0,LOOKUP(db!$A$8,db!$AX$4:$AX$8,db!$BA$4:$BA$8))</f>
        <v>0</v>
      </c>
      <c r="AL67" s="20">
        <f>ROUND((AK67/(100))*T67*(1-db!$AS$9),0)</f>
        <v>0</v>
      </c>
      <c r="AM67" s="20">
        <f>ROUND((AK67/(100))*T67*(db!$AS$9),0)</f>
        <v>0</v>
      </c>
      <c r="AN67" s="21">
        <f>IF(db!$D$8="Yes",AH67,0)</f>
        <v>0</v>
      </c>
      <c r="AO67" s="22">
        <f>(AN67*V67)/1000*(1-db!$AS$9)</f>
        <v>0</v>
      </c>
      <c r="AP67" s="22">
        <f>(AN67*V67)/1000*(db!$AS$9)</f>
        <v>0</v>
      </c>
      <c r="AQ67" s="23">
        <f>IF(db!$D$10="Yes",AH67,0)</f>
        <v>0</v>
      </c>
      <c r="AR67" s="20">
        <f>(AQ67*W67/1000)*(1-db!$AS$9)</f>
        <v>0</v>
      </c>
      <c r="AS67" s="20">
        <f>(AQ67*W67/1000)*(db!$AS$9)</f>
        <v>0</v>
      </c>
      <c r="AT67" s="22">
        <f>IF(B67=0,0,IF(C67&gt;60,0,LOOKUP(LOOKUP(C67,RiskLoading!A$3:A$109,RiskLoading!DG$3:DG$109),db!$BC$3:$BC$63,db!$BD$3:$BD$63)))</f>
        <v>0</v>
      </c>
      <c r="AU67" s="22">
        <f>AV67*db!$AS$10</f>
        <v>0</v>
      </c>
      <c r="AV67" s="22">
        <f t="shared" si="28"/>
        <v>0</v>
      </c>
      <c r="AW67" s="22">
        <f>(AT67/1000000)*Y67*(1-db!$AS$10)</f>
        <v>0</v>
      </c>
      <c r="AX67" s="20">
        <f>IF(B67=0,0,IF(C67&gt;60,0,LOOKUP(LOOKUP(C67,RiskLoading!A$3:A$109,RiskLoading!DG$3:DG$109),db!$BC$3:$BC$63,db!$BE$3:$BE$63)))</f>
        <v>0</v>
      </c>
      <c r="AY67" s="20">
        <f>(AX67/1000000)*AA67*(1-db!$AS$11)</f>
        <v>0</v>
      </c>
      <c r="AZ67" s="20">
        <f>(AX67/1000000)*AA67*(db!$AS$11)</f>
        <v>0</v>
      </c>
      <c r="BA67" s="19">
        <f>IF(Table13[Year]=0,0,LOOKUP(Table13[Age],RiskLoading!A$3:A$109,RiskLoading!DT$3:DT$109))</f>
        <v>0</v>
      </c>
      <c r="BB67" s="20">
        <f>Table13[[#This Row],[RiskLoading
Rate]]*Table13[[#This Row],[Death Capital (2)]]</f>
        <v>0</v>
      </c>
      <c r="BC67" s="36"/>
      <c r="BD67" s="37">
        <f t="shared" si="29"/>
        <v>0</v>
      </c>
      <c r="BE67" s="35">
        <f t="shared" si="30"/>
        <v>0</v>
      </c>
      <c r="BF67" s="35">
        <f t="shared" si="31"/>
        <v>0</v>
      </c>
      <c r="BG67" s="37">
        <f t="shared" si="32"/>
        <v>0</v>
      </c>
      <c r="BH67" s="37">
        <f t="shared" si="33"/>
        <v>0</v>
      </c>
      <c r="BI67" s="35">
        <f t="shared" ref="BI67:BI107" si="38">ROUND(BG67+BE67,0)</f>
        <v>0</v>
      </c>
      <c r="BJ67" s="35">
        <f t="shared" ref="BJ67:BJ107" si="39">ROUND(BF67+BH67,0)</f>
        <v>0</v>
      </c>
      <c r="BK67" s="37">
        <v>0</v>
      </c>
      <c r="BL67" s="37">
        <v>0</v>
      </c>
      <c r="BM67" s="35"/>
      <c r="BN67" s="37">
        <f>0</f>
        <v>0</v>
      </c>
      <c r="BO67" s="37"/>
      <c r="BP67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67" s="33"/>
      <c r="BR67" s="39">
        <f>Table13[[#This Row],[Initial Reserve]]-Table13[[#This Row],[All Deductions]]</f>
        <v>0</v>
      </c>
      <c r="BS67" s="39">
        <v>0</v>
      </c>
      <c r="BT67" s="39">
        <f>IF(B67=0,0,BU66-Table13[[#This Row],[All Deductions]])</f>
        <v>0</v>
      </c>
      <c r="BU67" s="40">
        <f>ROUND(IF(B67=0,0,((BR67+BU66)*(1+db!U69))),0)</f>
        <v>0</v>
      </c>
      <c r="BV67" s="40">
        <f t="shared" si="25"/>
        <v>0</v>
      </c>
      <c r="BW67" s="15">
        <f t="shared" ref="BW67:BW107" si="40">1+BW66</f>
        <v>66</v>
      </c>
      <c r="BX67" s="39">
        <f>IF(B67=0,0,((BR67)*(1+db!AH69))+((BX66)*(1+db!AD69)))</f>
        <v>0</v>
      </c>
      <c r="BY67" s="39">
        <f>IF(B67=0,0,((BR67)*(1+db!AH69))+((BY66)*(1+db!AD69)))</f>
        <v>0</v>
      </c>
      <c r="BZ67" s="40">
        <f>IF(B67=0,0,((BR67)*(1+db!AO69))+((BZ66)*(1+db!AK69)))</f>
        <v>0</v>
      </c>
      <c r="CA67" s="40">
        <f>BZ67-(SUM(BM$7:$BM68))</f>
        <v>0</v>
      </c>
      <c r="CB67" s="46"/>
    </row>
    <row r="68" spans="1:80">
      <c r="A68" s="16">
        <f t="shared" ref="A68:A107" si="41">A67+1</f>
        <v>67</v>
      </c>
      <c r="B68" s="16">
        <f>IF(B67=0,0,IF(db!$E$5&lt;B67+1,0,B67+1))</f>
        <v>0</v>
      </c>
      <c r="C68" s="15">
        <f t="shared" ref="C68:C107" si="42">IF(B68=0,0,(C67+1))</f>
        <v>0</v>
      </c>
      <c r="D68" s="312">
        <f>LOOKUP(Table13[[#This Row],[Age]],RiskLoading!A$3:A$109,RiskLoading!DG$3:DG$109)</f>
        <v>55</v>
      </c>
      <c r="E68" s="29">
        <f t="shared" si="34"/>
        <v>0</v>
      </c>
      <c r="F68" s="29">
        <f t="shared" si="35"/>
        <v>0</v>
      </c>
      <c r="G68" s="29">
        <f t="shared" si="26"/>
        <v>0</v>
      </c>
      <c r="H68" s="29">
        <v>0</v>
      </c>
      <c r="I68" s="29">
        <f>IF(B68=0,0,SUM($H$2:H68))</f>
        <v>0</v>
      </c>
      <c r="J68" s="17">
        <f t="shared" si="36"/>
        <v>0</v>
      </c>
      <c r="K68" s="17">
        <f>IF(Table13[[#This Row],[Year]]=0,0,IF($C$2&lt;=50,LOOKUP(Table13[[#This Row],[Age]],db!BG69:BG175,db!BH69:BH175),LOOKUP(Table13[[#This Row],[Age]],db!BJ69:BJ175,db!BK69:BK175)))</f>
        <v>0</v>
      </c>
      <c r="L68" s="17">
        <f>MIN(IF(B68=0,0,db!$E$4*((1+db!$B$4)^(B68-1))),Table13[[#This Row],[Max Sum Insured For Death]])</f>
        <v>0</v>
      </c>
      <c r="M68" s="17">
        <f>ROUND(IF(L68&lt;=db!$L$7,L68,db!$L$7),0)</f>
        <v>0</v>
      </c>
      <c r="N68" s="29">
        <f t="shared" si="37"/>
        <v>0</v>
      </c>
      <c r="O68" s="29">
        <f>IF(B68=0,0,IF(db!$D$6="Yes",(db!$B$6)*M68,0))</f>
        <v>0</v>
      </c>
      <c r="P68" s="29">
        <f>MIN(IF(O68&lt;=db!$L$2,O68,db!$L$2),MAX_ACC_CAPITAL)</f>
        <v>0</v>
      </c>
      <c r="Q68" s="17">
        <f>IF(B68=0,0,IF(db!$D$7="Yes",(db!$B$7)*M68,0))</f>
        <v>0</v>
      </c>
      <c r="R68" s="42">
        <f>IF(C68&gt;69,0,IF(C68=0,0,IF(Q68&lt;=db!$L$3,Q68,db!$L$3)))</f>
        <v>0</v>
      </c>
      <c r="S68" s="29">
        <f>IF(B68=0,0,IF(db!$D$9="Yes",(db!$B$9)*M68,0))</f>
        <v>0</v>
      </c>
      <c r="T68" s="29">
        <f>ROUND(IF(C68&gt;69,0,IF(C68=0,0,IF(S68&lt;=db!$L$4,S68,db!$L$4))),0)</f>
        <v>0</v>
      </c>
      <c r="U68" s="38">
        <v>0</v>
      </c>
      <c r="V68" s="17">
        <v>0</v>
      </c>
      <c r="W68" s="29">
        <v>0</v>
      </c>
      <c r="X68" s="17">
        <f>IF(B68=0,0,IF(db!$D$11="Yes",(db!$B$11)*M68,0))</f>
        <v>0</v>
      </c>
      <c r="Y68" s="42">
        <f>ROUND(IF(C68&gt;59,0,IF(C68=0,0,IF(X68&lt;=db!$L$5,X68,db!$L$5))),0)</f>
        <v>0</v>
      </c>
      <c r="Z68" s="29">
        <f>IF(B68=0,0,IF(db!$D$12="Yes",(db!$B$12)*M68,0))</f>
        <v>0</v>
      </c>
      <c r="AA68" s="29">
        <f>ROUND(IF(C68&gt;59,0,IF(C68=0,0,IF(Z68&lt;=db!$L$6,Z68,db!$L$6))),0)</f>
        <v>0</v>
      </c>
      <c r="AB68" s="32"/>
      <c r="AC68" s="18">
        <f>IF(B68=0,0,IF(C68&lt;(db!$E$2+5),LOOKUP(C68,'Mortality Table'!$A$2:$A$108,'Mortality Table'!$P$2:$P$108),IF((C68&gt;=db!$E$2+10),LOOKUP(C68,'Mortality Table'!$A$2:$A$108,'Mortality Table'!$R$2:$R$108),LOOKUP(C68,'Mortality Table'!$A$2:$A$108,'Mortality Table'!$Q$2:$Q$108))))</f>
        <v>0</v>
      </c>
      <c r="AD68" s="22">
        <f t="shared" si="27"/>
        <v>0</v>
      </c>
      <c r="AE68" s="19">
        <f>IF(B68=0,0,LOOKUP(db!$A$8,db!$AX$4:$AX$8,db!$AY$4:$AY$8))</f>
        <v>0</v>
      </c>
      <c r="AF68" s="20">
        <f>ROUND((AE68/1000)*P68 * (1-db!$AS$9),0)</f>
        <v>0</v>
      </c>
      <c r="AG68" s="20">
        <f>(AE68/1000)*P68 * db!$AS$9</f>
        <v>0</v>
      </c>
      <c r="AH68" s="21">
        <f>IF(B68=0,0,LOOKUP(db!$A$8,db!$AX$4:$AX$8,db!$AZ$4:$AZ$8))</f>
        <v>0</v>
      </c>
      <c r="AI68" s="22">
        <f>(AH68/1000)*R68*(1-db!$AS$9)</f>
        <v>0</v>
      </c>
      <c r="AJ68" s="22">
        <f>(AH68/1000)*R68*(db!$AS$9)</f>
        <v>0</v>
      </c>
      <c r="AK68" s="23">
        <f>IF(B68=0,0,LOOKUP(db!$A$8,db!$AX$4:$AX$8,db!$BA$4:$BA$8))</f>
        <v>0</v>
      </c>
      <c r="AL68" s="20">
        <f>ROUND((AK68/(100))*T68*(1-db!$AS$9),0)</f>
        <v>0</v>
      </c>
      <c r="AM68" s="20">
        <f>ROUND((AK68/(100))*T68*(db!$AS$9),0)</f>
        <v>0</v>
      </c>
      <c r="AN68" s="21">
        <f>IF(db!$D$8="Yes",AH68,0)</f>
        <v>0</v>
      </c>
      <c r="AO68" s="22">
        <f>(AN68*V68)/1000*(1-db!$AS$9)</f>
        <v>0</v>
      </c>
      <c r="AP68" s="22">
        <f>(AN68*V68)/1000*(db!$AS$9)</f>
        <v>0</v>
      </c>
      <c r="AQ68" s="23">
        <f>IF(db!$D$10="Yes",AH68,0)</f>
        <v>0</v>
      </c>
      <c r="AR68" s="20">
        <f>(AQ68*W68/1000)*(1-db!$AS$9)</f>
        <v>0</v>
      </c>
      <c r="AS68" s="20">
        <f>(AQ68*W68/1000)*(db!$AS$9)</f>
        <v>0</v>
      </c>
      <c r="AT68" s="22">
        <f>IF(B68=0,0,IF(C68&gt;60,0,LOOKUP(LOOKUP(C68,RiskLoading!A$3:A$109,RiskLoading!DG$3:DG$109),db!$BC$3:$BC$63,db!$BD$3:$BD$63)))</f>
        <v>0</v>
      </c>
      <c r="AU68" s="22">
        <f>AV68*db!$AS$10</f>
        <v>0</v>
      </c>
      <c r="AV68" s="22">
        <f t="shared" si="28"/>
        <v>0</v>
      </c>
      <c r="AW68" s="22">
        <f>(AT68/1000000)*Y68*(1-db!$AS$10)</f>
        <v>0</v>
      </c>
      <c r="AX68" s="20">
        <f>IF(B68=0,0,IF(C68&gt;60,0,LOOKUP(LOOKUP(C68,RiskLoading!A$3:A$109,RiskLoading!DG$3:DG$109),db!$BC$3:$BC$63,db!$BE$3:$BE$63)))</f>
        <v>0</v>
      </c>
      <c r="AY68" s="20">
        <f>(AX68/1000000)*AA68*(1-db!$AS$11)</f>
        <v>0</v>
      </c>
      <c r="AZ68" s="20">
        <f>(AX68/1000000)*AA68*(db!$AS$11)</f>
        <v>0</v>
      </c>
      <c r="BA68" s="19">
        <f>IF(Table13[Year]=0,0,LOOKUP(Table13[Age],RiskLoading!A$3:A$109,RiskLoading!DT$3:DT$109))</f>
        <v>0</v>
      </c>
      <c r="BB68" s="20">
        <f>Table13[[#This Row],[RiskLoading
Rate]]*Table13[[#This Row],[Death Capital (2)]]</f>
        <v>0</v>
      </c>
      <c r="BC68" s="36"/>
      <c r="BD68" s="37">
        <f t="shared" si="29"/>
        <v>0</v>
      </c>
      <c r="BE68" s="35">
        <f t="shared" si="30"/>
        <v>0</v>
      </c>
      <c r="BF68" s="35">
        <f t="shared" si="31"/>
        <v>0</v>
      </c>
      <c r="BG68" s="37">
        <f t="shared" si="32"/>
        <v>0</v>
      </c>
      <c r="BH68" s="37">
        <f t="shared" si="33"/>
        <v>0</v>
      </c>
      <c r="BI68" s="35">
        <f t="shared" si="38"/>
        <v>0</v>
      </c>
      <c r="BJ68" s="35">
        <f t="shared" si="39"/>
        <v>0</v>
      </c>
      <c r="BK68" s="37">
        <v>0</v>
      </c>
      <c r="BL68" s="37">
        <v>0</v>
      </c>
      <c r="BM68" s="35"/>
      <c r="BN68" s="37">
        <f>0</f>
        <v>0</v>
      </c>
      <c r="BO68" s="37"/>
      <c r="BP68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68" s="33"/>
      <c r="BR68" s="39">
        <f>Table13[[#This Row],[Initial Reserve]]-Table13[[#This Row],[All Deductions]]</f>
        <v>0</v>
      </c>
      <c r="BS68" s="39">
        <v>0</v>
      </c>
      <c r="BT68" s="39">
        <f>IF(B68=0,0,BU67-Table13[[#This Row],[All Deductions]])</f>
        <v>0</v>
      </c>
      <c r="BU68" s="40">
        <f>ROUND(IF(B68=0,0,((BR68+BU67)*(1+db!U70))),0)</f>
        <v>0</v>
      </c>
      <c r="BV68" s="40">
        <f t="shared" si="25"/>
        <v>0</v>
      </c>
      <c r="BW68" s="15">
        <f t="shared" si="40"/>
        <v>67</v>
      </c>
      <c r="BX68" s="39">
        <f>IF(B68=0,0,((BR68)*(1+db!AH70))+((BX67)*(1+db!AD70)))</f>
        <v>0</v>
      </c>
      <c r="BY68" s="39">
        <f>IF(B68=0,0,((BR68)*(1+db!AH70))+((BY67)*(1+db!AD70)))</f>
        <v>0</v>
      </c>
      <c r="BZ68" s="40">
        <f>IF(B68=0,0,((BR68)*(1+db!AO70))+((BZ67)*(1+db!AK70)))</f>
        <v>0</v>
      </c>
      <c r="CA68" s="40">
        <f>BZ68-(SUM(BM$7:$BM69))</f>
        <v>0</v>
      </c>
      <c r="CB68" s="46"/>
    </row>
    <row r="69" spans="1:80">
      <c r="A69" s="16">
        <f t="shared" si="41"/>
        <v>68</v>
      </c>
      <c r="B69" s="16">
        <f>IF(B68=0,0,IF(db!$E$5&lt;B68+1,0,B68+1))</f>
        <v>0</v>
      </c>
      <c r="C69" s="15">
        <f t="shared" si="42"/>
        <v>0</v>
      </c>
      <c r="D69" s="312">
        <f>LOOKUP(Table13[[#This Row],[Age]],RiskLoading!A$3:A$109,RiskLoading!DG$3:DG$109)</f>
        <v>55</v>
      </c>
      <c r="E69" s="29">
        <f t="shared" si="34"/>
        <v>0</v>
      </c>
      <c r="F69" s="29">
        <f t="shared" si="35"/>
        <v>0</v>
      </c>
      <c r="G69" s="29">
        <f t="shared" si="26"/>
        <v>0</v>
      </c>
      <c r="H69" s="29">
        <v>0</v>
      </c>
      <c r="I69" s="29">
        <f>IF(B69=0,0,SUM($H$2:H69))</f>
        <v>0</v>
      </c>
      <c r="J69" s="17">
        <f t="shared" si="36"/>
        <v>0</v>
      </c>
      <c r="K69" s="17">
        <f>IF(Table13[[#This Row],[Year]]=0,0,IF($C$2&lt;=50,LOOKUP(Table13[[#This Row],[Age]],db!BG70:BG176,db!BH70:BH176),LOOKUP(Table13[[#This Row],[Age]],db!BJ70:BJ176,db!BK70:BK176)))</f>
        <v>0</v>
      </c>
      <c r="L69" s="17">
        <f>MIN(IF(B69=0,0,db!$E$4*((1+db!$B$4)^(B69-1))),Table13[[#This Row],[Max Sum Insured For Death]])</f>
        <v>0</v>
      </c>
      <c r="M69" s="17">
        <f>ROUND(IF(L69&lt;=db!$L$7,L69,db!$L$7),0)</f>
        <v>0</v>
      </c>
      <c r="N69" s="29">
        <f t="shared" si="37"/>
        <v>0</v>
      </c>
      <c r="O69" s="29">
        <f>IF(B69=0,0,IF(db!$D$6="Yes",(db!$B$6)*M69,0))</f>
        <v>0</v>
      </c>
      <c r="P69" s="29">
        <f>MIN(IF(O69&lt;=db!$L$2,O69,db!$L$2),MAX_ACC_CAPITAL)</f>
        <v>0</v>
      </c>
      <c r="Q69" s="17">
        <f>IF(B69=0,0,IF(db!$D$7="Yes",(db!$B$7)*M69,0))</f>
        <v>0</v>
      </c>
      <c r="R69" s="42">
        <f>IF(C69&gt;69,0,IF(C69=0,0,IF(Q69&lt;=db!$L$3,Q69,db!$L$3)))</f>
        <v>0</v>
      </c>
      <c r="S69" s="29">
        <f>IF(B69=0,0,IF(db!$D$9="Yes",(db!$B$9)*M69,0))</f>
        <v>0</v>
      </c>
      <c r="T69" s="29">
        <f>ROUND(IF(C69&gt;69,0,IF(C69=0,0,IF(S69&lt;=db!$L$4,S69,db!$L$4))),0)</f>
        <v>0</v>
      </c>
      <c r="U69" s="38">
        <v>0</v>
      </c>
      <c r="V69" s="17">
        <v>0</v>
      </c>
      <c r="W69" s="29">
        <v>0</v>
      </c>
      <c r="X69" s="17">
        <f>IF(B69=0,0,IF(db!$D$11="Yes",(db!$B$11)*M69,0))</f>
        <v>0</v>
      </c>
      <c r="Y69" s="42">
        <f>ROUND(IF(C69&gt;59,0,IF(C69=0,0,IF(X69&lt;=db!$L$5,X69,db!$L$5))),0)</f>
        <v>0</v>
      </c>
      <c r="Z69" s="29">
        <f>IF(B69=0,0,IF(db!$D$12="Yes",(db!$B$12)*M69,0))</f>
        <v>0</v>
      </c>
      <c r="AA69" s="29">
        <f>ROUND(IF(C69&gt;59,0,IF(C69=0,0,IF(Z69&lt;=db!$L$6,Z69,db!$L$6))),0)</f>
        <v>0</v>
      </c>
      <c r="AB69" s="32"/>
      <c r="AC69" s="18">
        <f>IF(B69=0,0,IF(C69&lt;(db!$E$2+5),LOOKUP(C69,'Mortality Table'!$A$2:$A$108,'Mortality Table'!$P$2:$P$108),IF((C69&gt;=db!$E$2+10),LOOKUP(C69,'Mortality Table'!$A$2:$A$108,'Mortality Table'!$R$2:$R$108),LOOKUP(C69,'Mortality Table'!$A$2:$A$108,'Mortality Table'!$Q$2:$Q$108))))</f>
        <v>0</v>
      </c>
      <c r="AD69" s="22">
        <f t="shared" si="27"/>
        <v>0</v>
      </c>
      <c r="AE69" s="19">
        <f>IF(B69=0,0,LOOKUP(db!$A$8,db!$AX$4:$AX$8,db!$AY$4:$AY$8))</f>
        <v>0</v>
      </c>
      <c r="AF69" s="20">
        <f>ROUND((AE69/1000)*P69 * (1-db!$AS$9),0)</f>
        <v>0</v>
      </c>
      <c r="AG69" s="20">
        <f>(AE69/1000)*P69 * db!$AS$9</f>
        <v>0</v>
      </c>
      <c r="AH69" s="21">
        <f>IF(B69=0,0,LOOKUP(db!$A$8,db!$AX$4:$AX$8,db!$AZ$4:$AZ$8))</f>
        <v>0</v>
      </c>
      <c r="AI69" s="22">
        <f>(AH69/1000)*R69*(1-db!$AS$9)</f>
        <v>0</v>
      </c>
      <c r="AJ69" s="22">
        <f>(AH69/1000)*R69*(db!$AS$9)</f>
        <v>0</v>
      </c>
      <c r="AK69" s="23">
        <f>IF(B69=0,0,LOOKUP(db!$A$8,db!$AX$4:$AX$8,db!$BA$4:$BA$8))</f>
        <v>0</v>
      </c>
      <c r="AL69" s="20">
        <f>ROUND((AK69/(100))*T69*(1-db!$AS$9),0)</f>
        <v>0</v>
      </c>
      <c r="AM69" s="20">
        <f>ROUND((AK69/(100))*T69*(db!$AS$9),0)</f>
        <v>0</v>
      </c>
      <c r="AN69" s="21">
        <f>IF(db!$D$8="Yes",AH69,0)</f>
        <v>0</v>
      </c>
      <c r="AO69" s="22">
        <f>(AN69*V69)/1000*(1-db!$AS$9)</f>
        <v>0</v>
      </c>
      <c r="AP69" s="22">
        <f>(AN69*V69)/1000*(db!$AS$9)</f>
        <v>0</v>
      </c>
      <c r="AQ69" s="23">
        <f>IF(db!$D$10="Yes",AH69,0)</f>
        <v>0</v>
      </c>
      <c r="AR69" s="20">
        <f>(AQ69*W69/1000)*(1-db!$AS$9)</f>
        <v>0</v>
      </c>
      <c r="AS69" s="20">
        <f>(AQ69*W69/1000)*(db!$AS$9)</f>
        <v>0</v>
      </c>
      <c r="AT69" s="22">
        <f>IF(B69=0,0,IF(C69&gt;60,0,LOOKUP(LOOKUP(C69,RiskLoading!A$3:A$109,RiskLoading!DG$3:DG$109),db!$BC$3:$BC$63,db!$BD$3:$BD$63)))</f>
        <v>0</v>
      </c>
      <c r="AU69" s="22">
        <f>AV69*db!$AS$10</f>
        <v>0</v>
      </c>
      <c r="AV69" s="22">
        <f t="shared" si="28"/>
        <v>0</v>
      </c>
      <c r="AW69" s="22">
        <f>(AT69/1000000)*Y69*(1-db!$AS$10)</f>
        <v>0</v>
      </c>
      <c r="AX69" s="20">
        <f>IF(B69=0,0,IF(C69&gt;60,0,LOOKUP(LOOKUP(C69,RiskLoading!A$3:A$109,RiskLoading!DG$3:DG$109),db!$BC$3:$BC$63,db!$BE$3:$BE$63)))</f>
        <v>0</v>
      </c>
      <c r="AY69" s="20">
        <f>(AX69/1000000)*AA69*(1-db!$AS$11)</f>
        <v>0</v>
      </c>
      <c r="AZ69" s="20">
        <f>(AX69/1000000)*AA69*(db!$AS$11)</f>
        <v>0</v>
      </c>
      <c r="BA69" s="19">
        <f>IF(Table13[Year]=0,0,LOOKUP(Table13[Age],RiskLoading!A$3:A$109,RiskLoading!DT$3:DT$109))</f>
        <v>0</v>
      </c>
      <c r="BB69" s="20">
        <f>Table13[[#This Row],[RiskLoading
Rate]]*Table13[[#This Row],[Death Capital (2)]]</f>
        <v>0</v>
      </c>
      <c r="BC69" s="36"/>
      <c r="BD69" s="37">
        <f t="shared" si="29"/>
        <v>0</v>
      </c>
      <c r="BE69" s="35">
        <f t="shared" si="30"/>
        <v>0</v>
      </c>
      <c r="BF69" s="35">
        <f t="shared" si="31"/>
        <v>0</v>
      </c>
      <c r="BG69" s="37">
        <f t="shared" si="32"/>
        <v>0</v>
      </c>
      <c r="BH69" s="37">
        <f t="shared" si="33"/>
        <v>0</v>
      </c>
      <c r="BI69" s="35">
        <f t="shared" si="38"/>
        <v>0</v>
      </c>
      <c r="BJ69" s="35">
        <f t="shared" si="39"/>
        <v>0</v>
      </c>
      <c r="BK69" s="37">
        <v>0</v>
      </c>
      <c r="BL69" s="37">
        <v>0</v>
      </c>
      <c r="BM69" s="35"/>
      <c r="BN69" s="37">
        <f>0</f>
        <v>0</v>
      </c>
      <c r="BO69" s="37"/>
      <c r="BP69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69" s="33"/>
      <c r="BR69" s="39">
        <f>Table13[[#This Row],[Initial Reserve]]-Table13[[#This Row],[All Deductions]]</f>
        <v>0</v>
      </c>
      <c r="BS69" s="39">
        <v>0</v>
      </c>
      <c r="BT69" s="39">
        <f>IF(B69=0,0,BU68-Table13[[#This Row],[All Deductions]])</f>
        <v>0</v>
      </c>
      <c r="BU69" s="40">
        <f>ROUND(IF(B69=0,0,((BR69+BU68)*(1+db!U71))),0)</f>
        <v>0</v>
      </c>
      <c r="BV69" s="40">
        <f t="shared" si="25"/>
        <v>0</v>
      </c>
      <c r="BW69" s="15">
        <f t="shared" si="40"/>
        <v>68</v>
      </c>
      <c r="BX69" s="39">
        <f>IF(B69=0,0,((BR69)*(1+db!AH71))+((BX68)*(1+db!AD71)))</f>
        <v>0</v>
      </c>
      <c r="BY69" s="39">
        <f>IF(B69=0,0,((BR69)*(1+db!AH71))+((BY68)*(1+db!AD71)))</f>
        <v>0</v>
      </c>
      <c r="BZ69" s="40">
        <f>IF(B69=0,0,((BR69)*(1+db!AO71))+((BZ68)*(1+db!AK71)))</f>
        <v>0</v>
      </c>
      <c r="CA69" s="40">
        <f>BZ69-(SUM(BM$7:$BM70))</f>
        <v>0</v>
      </c>
      <c r="CB69" s="46"/>
    </row>
    <row r="70" spans="1:80">
      <c r="A70" s="16">
        <f t="shared" si="41"/>
        <v>69</v>
      </c>
      <c r="B70" s="16">
        <f>IF(B69=0,0,IF(db!$E$5&lt;B69+1,0,B69+1))</f>
        <v>0</v>
      </c>
      <c r="C70" s="15">
        <f t="shared" si="42"/>
        <v>0</v>
      </c>
      <c r="D70" s="312">
        <f>LOOKUP(Table13[[#This Row],[Age]],RiskLoading!A$3:A$109,RiskLoading!DG$3:DG$109)</f>
        <v>55</v>
      </c>
      <c r="E70" s="29">
        <f t="shared" si="34"/>
        <v>0</v>
      </c>
      <c r="F70" s="29">
        <f t="shared" si="35"/>
        <v>0</v>
      </c>
      <c r="G70" s="29">
        <f t="shared" si="26"/>
        <v>0</v>
      </c>
      <c r="H70" s="29">
        <v>0</v>
      </c>
      <c r="I70" s="29">
        <f>IF(B70=0,0,SUM($H$2:H70))</f>
        <v>0</v>
      </c>
      <c r="J70" s="17">
        <f t="shared" si="36"/>
        <v>0</v>
      </c>
      <c r="K70" s="17">
        <f>IF(Table13[[#This Row],[Year]]=0,0,IF($C$2&lt;=50,LOOKUP(Table13[[#This Row],[Age]],db!BG71:BG177,db!BH71:BH177),LOOKUP(Table13[[#This Row],[Age]],db!BJ71:BJ177,db!BK71:BK177)))</f>
        <v>0</v>
      </c>
      <c r="L70" s="17">
        <f>MIN(IF(B70=0,0,db!$E$4*((1+db!$B$4)^(B70-1))),Table13[[#This Row],[Max Sum Insured For Death]])</f>
        <v>0</v>
      </c>
      <c r="M70" s="17">
        <f>ROUND(IF(L70&lt;=db!$L$7,L70,db!$L$7),0)</f>
        <v>0</v>
      </c>
      <c r="N70" s="29">
        <f t="shared" si="37"/>
        <v>0</v>
      </c>
      <c r="O70" s="29">
        <f>IF(B70=0,0,IF(db!$D$6="Yes",(db!$B$6)*M70,0))</f>
        <v>0</v>
      </c>
      <c r="P70" s="29">
        <f>MIN(IF(O70&lt;=db!$L$2,O70,db!$L$2),MAX_ACC_CAPITAL)</f>
        <v>0</v>
      </c>
      <c r="Q70" s="17">
        <f>IF(B70=0,0,IF(db!$D$7="Yes",(db!$B$7)*M70,0))</f>
        <v>0</v>
      </c>
      <c r="R70" s="42">
        <f>IF(C70&gt;69,0,IF(C70=0,0,IF(Q70&lt;=db!$L$3,Q70,db!$L$3)))</f>
        <v>0</v>
      </c>
      <c r="S70" s="29">
        <f>IF(B70=0,0,IF(db!$D$9="Yes",(db!$B$9)*M70,0))</f>
        <v>0</v>
      </c>
      <c r="T70" s="29">
        <f>ROUND(IF(C70&gt;69,0,IF(C70=0,0,IF(S70&lt;=db!$L$4,S70,db!$L$4))),0)</f>
        <v>0</v>
      </c>
      <c r="U70" s="38">
        <v>0</v>
      </c>
      <c r="V70" s="17">
        <v>0</v>
      </c>
      <c r="W70" s="29">
        <v>0</v>
      </c>
      <c r="X70" s="17">
        <f>IF(B70=0,0,IF(db!$D$11="Yes",(db!$B$11)*M70,0))</f>
        <v>0</v>
      </c>
      <c r="Y70" s="42">
        <f>ROUND(IF(C70&gt;59,0,IF(C70=0,0,IF(X70&lt;=db!$L$5,X70,db!$L$5))),0)</f>
        <v>0</v>
      </c>
      <c r="Z70" s="29">
        <f>IF(B70=0,0,IF(db!$D$12="Yes",(db!$B$12)*M70,0))</f>
        <v>0</v>
      </c>
      <c r="AA70" s="29">
        <f>ROUND(IF(C70&gt;59,0,IF(C70=0,0,IF(Z70&lt;=db!$L$6,Z70,db!$L$6))),0)</f>
        <v>0</v>
      </c>
      <c r="AB70" s="32"/>
      <c r="AC70" s="18">
        <f>IF(B70=0,0,IF(C70&lt;(db!$E$2+5),LOOKUP(C70,'Mortality Table'!$A$2:$A$108,'Mortality Table'!$P$2:$P$108),IF((C70&gt;=db!$E$2+10),LOOKUP(C70,'Mortality Table'!$A$2:$A$108,'Mortality Table'!$R$2:$R$108),LOOKUP(C70,'Mortality Table'!$A$2:$A$108,'Mortality Table'!$Q$2:$Q$108))))</f>
        <v>0</v>
      </c>
      <c r="AD70" s="22">
        <f t="shared" si="27"/>
        <v>0</v>
      </c>
      <c r="AE70" s="19">
        <f>IF(B70=0,0,LOOKUP(db!$A$8,db!$AX$4:$AX$8,db!$AY$4:$AY$8))</f>
        <v>0</v>
      </c>
      <c r="AF70" s="20">
        <f>ROUND((AE70/1000)*P70 * (1-db!$AS$9),0)</f>
        <v>0</v>
      </c>
      <c r="AG70" s="20">
        <f>(AE70/1000)*P70 * db!$AS$9</f>
        <v>0</v>
      </c>
      <c r="AH70" s="21">
        <f>IF(B70=0,0,LOOKUP(db!$A$8,db!$AX$4:$AX$8,db!$AZ$4:$AZ$8))</f>
        <v>0</v>
      </c>
      <c r="AI70" s="22">
        <f>(AH70/1000)*R70*(1-db!$AS$9)</f>
        <v>0</v>
      </c>
      <c r="AJ70" s="22">
        <f>(AH70/1000)*R70*(db!$AS$9)</f>
        <v>0</v>
      </c>
      <c r="AK70" s="23">
        <f>IF(B70=0,0,LOOKUP(db!$A$8,db!$AX$4:$AX$8,db!$BA$4:$BA$8))</f>
        <v>0</v>
      </c>
      <c r="AL70" s="20">
        <f>ROUND((AK70/(100))*T70*(1-db!$AS$9),0)</f>
        <v>0</v>
      </c>
      <c r="AM70" s="20">
        <f>ROUND((AK70/(100))*T70*(db!$AS$9),0)</f>
        <v>0</v>
      </c>
      <c r="AN70" s="21">
        <f>IF(db!$D$8="Yes",AH70,0)</f>
        <v>0</v>
      </c>
      <c r="AO70" s="22">
        <f>(AN70*V70)/1000*(1-db!$AS$9)</f>
        <v>0</v>
      </c>
      <c r="AP70" s="22">
        <f>(AN70*V70)/1000*(db!$AS$9)</f>
        <v>0</v>
      </c>
      <c r="AQ70" s="23">
        <f>IF(db!$D$10="Yes",AH70,0)</f>
        <v>0</v>
      </c>
      <c r="AR70" s="20">
        <f>(AQ70*W70/1000)*(1-db!$AS$9)</f>
        <v>0</v>
      </c>
      <c r="AS70" s="20">
        <f>(AQ70*W70/1000)*(db!$AS$9)</f>
        <v>0</v>
      </c>
      <c r="AT70" s="22">
        <f>IF(B70=0,0,IF(C70&gt;60,0,LOOKUP(LOOKUP(C70,RiskLoading!A$3:A$109,RiskLoading!DG$3:DG$109),db!$BC$3:$BC$63,db!$BD$3:$BD$63)))</f>
        <v>0</v>
      </c>
      <c r="AU70" s="22">
        <f>AV70*db!$AS$10</f>
        <v>0</v>
      </c>
      <c r="AV70" s="22">
        <f t="shared" si="28"/>
        <v>0</v>
      </c>
      <c r="AW70" s="22">
        <f>(AT70/1000000)*Y70*(1-db!$AS$10)</f>
        <v>0</v>
      </c>
      <c r="AX70" s="20">
        <f>IF(B70=0,0,IF(C70&gt;60,0,LOOKUP(LOOKUP(C70,RiskLoading!A$3:A$109,RiskLoading!DG$3:DG$109),db!$BC$3:$BC$63,db!$BE$3:$BE$63)))</f>
        <v>0</v>
      </c>
      <c r="AY70" s="20">
        <f>(AX70/1000000)*AA70*(1-db!$AS$11)</f>
        <v>0</v>
      </c>
      <c r="AZ70" s="20">
        <f>(AX70/1000000)*AA70*(db!$AS$11)</f>
        <v>0</v>
      </c>
      <c r="BA70" s="19">
        <f>IF(Table13[Year]=0,0,LOOKUP(Table13[Age],RiskLoading!A$3:A$109,RiskLoading!DT$3:DT$109))</f>
        <v>0</v>
      </c>
      <c r="BB70" s="20">
        <f>Table13[[#This Row],[RiskLoading
Rate]]*Table13[[#This Row],[Death Capital (2)]]</f>
        <v>0</v>
      </c>
      <c r="BC70" s="36"/>
      <c r="BD70" s="37">
        <f t="shared" si="29"/>
        <v>0</v>
      </c>
      <c r="BE70" s="35">
        <f t="shared" si="30"/>
        <v>0</v>
      </c>
      <c r="BF70" s="35">
        <f t="shared" si="31"/>
        <v>0</v>
      </c>
      <c r="BG70" s="37">
        <f t="shared" si="32"/>
        <v>0</v>
      </c>
      <c r="BH70" s="37">
        <f t="shared" si="33"/>
        <v>0</v>
      </c>
      <c r="BI70" s="35">
        <f t="shared" si="38"/>
        <v>0</v>
      </c>
      <c r="BJ70" s="35">
        <f t="shared" si="39"/>
        <v>0</v>
      </c>
      <c r="BK70" s="37">
        <v>0</v>
      </c>
      <c r="BL70" s="37">
        <v>0</v>
      </c>
      <c r="BM70" s="35"/>
      <c r="BN70" s="37">
        <f>0</f>
        <v>0</v>
      </c>
      <c r="BO70" s="37"/>
      <c r="BP70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70" s="33"/>
      <c r="BR70" s="39">
        <f>Table13[[#This Row],[Initial Reserve]]-Table13[[#This Row],[All Deductions]]</f>
        <v>0</v>
      </c>
      <c r="BS70" s="39">
        <v>0</v>
      </c>
      <c r="BT70" s="39">
        <f>IF(B70=0,0,BU69-Table13[[#This Row],[All Deductions]])</f>
        <v>0</v>
      </c>
      <c r="BU70" s="40">
        <f>ROUND(IF(B70=0,0,((BR70+BU69)*(1+db!U72))),0)</f>
        <v>0</v>
      </c>
      <c r="BV70" s="40">
        <f t="shared" si="25"/>
        <v>0</v>
      </c>
      <c r="BW70" s="15">
        <f t="shared" si="40"/>
        <v>69</v>
      </c>
      <c r="BX70" s="39">
        <f>IF(B70=0,0,((BR70)*(1+db!AH72))+((BX69)*(1+db!AD72)))</f>
        <v>0</v>
      </c>
      <c r="BY70" s="39">
        <f>IF(B70=0,0,((BR70)*(1+db!AH72))+((BY69)*(1+db!AD72)))</f>
        <v>0</v>
      </c>
      <c r="BZ70" s="40">
        <f>IF(B70=0,0,((BR70)*(1+db!AO72))+((BZ69)*(1+db!AK72)))</f>
        <v>0</v>
      </c>
      <c r="CA70" s="40">
        <f>BZ70-(SUM(BM$7:$BM71))</f>
        <v>0</v>
      </c>
      <c r="CB70" s="46"/>
    </row>
    <row r="71" spans="1:80">
      <c r="A71" s="16">
        <f t="shared" si="41"/>
        <v>70</v>
      </c>
      <c r="B71" s="16">
        <f>IF(B70=0,0,IF(db!$E$5&lt;B70+1,0,B70+1))</f>
        <v>0</v>
      </c>
      <c r="C71" s="15">
        <f t="shared" si="42"/>
        <v>0</v>
      </c>
      <c r="D71" s="312">
        <f>LOOKUP(Table13[[#This Row],[Age]],RiskLoading!A$3:A$109,RiskLoading!DG$3:DG$109)</f>
        <v>55</v>
      </c>
      <c r="E71" s="29">
        <f t="shared" si="34"/>
        <v>0</v>
      </c>
      <c r="F71" s="29">
        <f t="shared" si="35"/>
        <v>0</v>
      </c>
      <c r="G71" s="29">
        <f t="shared" si="26"/>
        <v>0</v>
      </c>
      <c r="H71" s="29">
        <v>0</v>
      </c>
      <c r="I71" s="29">
        <f>IF(B71=0,0,SUM($H$2:H71))</f>
        <v>0</v>
      </c>
      <c r="J71" s="17">
        <f t="shared" si="36"/>
        <v>0</v>
      </c>
      <c r="K71" s="17">
        <f>IF(Table13[[#This Row],[Year]]=0,0,IF($C$2&lt;=50,LOOKUP(Table13[[#This Row],[Age]],db!BG72:BG178,db!BH72:BH178),LOOKUP(Table13[[#This Row],[Age]],db!BJ72:BJ178,db!BK72:BK178)))</f>
        <v>0</v>
      </c>
      <c r="L71" s="17">
        <f>MIN(IF(B71=0,0,db!$E$4*((1+db!$B$4)^(B71-1))),Table13[[#This Row],[Max Sum Insured For Death]])</f>
        <v>0</v>
      </c>
      <c r="M71" s="17">
        <f>ROUND(IF(L71&lt;=db!$L$7,L71,db!$L$7),0)</f>
        <v>0</v>
      </c>
      <c r="N71" s="29">
        <f t="shared" si="37"/>
        <v>0</v>
      </c>
      <c r="O71" s="29">
        <f>IF(B71=0,0,IF(db!$D$6="Yes",(db!$B$6)*M71,0))</f>
        <v>0</v>
      </c>
      <c r="P71" s="29">
        <f>MIN(IF(O71&lt;=db!$L$2,O71,db!$L$2),MAX_ACC_CAPITAL)</f>
        <v>0</v>
      </c>
      <c r="Q71" s="17">
        <f>IF(B71=0,0,IF(db!$D$7="Yes",(db!$B$7)*M71,0))</f>
        <v>0</v>
      </c>
      <c r="R71" s="42">
        <f>IF(C71&gt;69,0,IF(C71=0,0,IF(Q71&lt;=db!$L$3,Q71,db!$L$3)))</f>
        <v>0</v>
      </c>
      <c r="S71" s="29">
        <f>IF(B71=0,0,IF(db!$D$9="Yes",(db!$B$9)*M71,0))</f>
        <v>0</v>
      </c>
      <c r="T71" s="29">
        <f>ROUND(IF(C71&gt;69,0,IF(C71=0,0,IF(S71&lt;=db!$L$4,S71,db!$L$4))),0)</f>
        <v>0</v>
      </c>
      <c r="U71" s="38">
        <v>0</v>
      </c>
      <c r="V71" s="17">
        <v>0</v>
      </c>
      <c r="W71" s="29">
        <v>0</v>
      </c>
      <c r="X71" s="17">
        <f>IF(B71=0,0,IF(db!$D$11="Yes",(db!$B$11)*M71,0))</f>
        <v>0</v>
      </c>
      <c r="Y71" s="42">
        <f>ROUND(IF(C71&gt;59,0,IF(C71=0,0,IF(X71&lt;=db!$L$5,X71,db!$L$5))),0)</f>
        <v>0</v>
      </c>
      <c r="Z71" s="29">
        <f>IF(B71=0,0,IF(db!$D$12="Yes",(db!$B$12)*M71,0))</f>
        <v>0</v>
      </c>
      <c r="AA71" s="29">
        <f>ROUND(IF(C71&gt;59,0,IF(C71=0,0,IF(Z71&lt;=db!$L$6,Z71,db!$L$6))),0)</f>
        <v>0</v>
      </c>
      <c r="AB71" s="32"/>
      <c r="AC71" s="18">
        <f>IF(B71=0,0,IF(C71&lt;(db!$E$2+5),LOOKUP(C71,'Mortality Table'!$A$2:$A$108,'Mortality Table'!$P$2:$P$108),IF((C71&gt;=db!$E$2+10),LOOKUP(C71,'Mortality Table'!$A$2:$A$108,'Mortality Table'!$R$2:$R$108),LOOKUP(C71,'Mortality Table'!$A$2:$A$108,'Mortality Table'!$Q$2:$Q$108))))</f>
        <v>0</v>
      </c>
      <c r="AD71" s="22">
        <f t="shared" si="27"/>
        <v>0</v>
      </c>
      <c r="AE71" s="19">
        <f>IF(B71=0,0,LOOKUP(db!$A$8,db!$AX$4:$AX$8,db!$AY$4:$AY$8))</f>
        <v>0</v>
      </c>
      <c r="AF71" s="20">
        <f>ROUND((AE71/1000)*P71 * (1-db!$AS$9),0)</f>
        <v>0</v>
      </c>
      <c r="AG71" s="20">
        <f>(AE71/1000)*P71 * db!$AS$9</f>
        <v>0</v>
      </c>
      <c r="AH71" s="21">
        <f>IF(B71=0,0,LOOKUP(db!$A$8,db!$AX$4:$AX$8,db!$AZ$4:$AZ$8))</f>
        <v>0</v>
      </c>
      <c r="AI71" s="22">
        <f>(AH71/1000)*R71*(1-db!$AS$9)</f>
        <v>0</v>
      </c>
      <c r="AJ71" s="22">
        <f>(AH71/1000)*R71*(db!$AS$9)</f>
        <v>0</v>
      </c>
      <c r="AK71" s="23">
        <f>IF(B71=0,0,LOOKUP(db!$A$8,db!$AX$4:$AX$8,db!$BA$4:$BA$8))</f>
        <v>0</v>
      </c>
      <c r="AL71" s="20">
        <f>ROUND((AK71/(100))*T71*(1-db!$AS$9),0)</f>
        <v>0</v>
      </c>
      <c r="AM71" s="20">
        <f>ROUND((AK71/(100))*T71*(db!$AS$9),0)</f>
        <v>0</v>
      </c>
      <c r="AN71" s="21">
        <f>IF(db!$D$8="Yes",AH71,0)</f>
        <v>0</v>
      </c>
      <c r="AO71" s="22">
        <f>(AN71*V71)/1000*(1-db!$AS$9)</f>
        <v>0</v>
      </c>
      <c r="AP71" s="22">
        <f>(AN71*V71)/1000*(db!$AS$9)</f>
        <v>0</v>
      </c>
      <c r="AQ71" s="23">
        <f>IF(db!$D$10="Yes",AH71,0)</f>
        <v>0</v>
      </c>
      <c r="AR71" s="20">
        <f>(AQ71*W71/1000)*(1-db!$AS$9)</f>
        <v>0</v>
      </c>
      <c r="AS71" s="20">
        <f>(AQ71*W71/1000)*(db!$AS$9)</f>
        <v>0</v>
      </c>
      <c r="AT71" s="22">
        <f>IF(B71=0,0,IF(C71&gt;60,0,LOOKUP(LOOKUP(C71,RiskLoading!A$3:A$109,RiskLoading!DG$3:DG$109),db!$BC$3:$BC$63,db!$BD$3:$BD$63)))</f>
        <v>0</v>
      </c>
      <c r="AU71" s="22">
        <f>AV71*db!$AS$10</f>
        <v>0</v>
      </c>
      <c r="AV71" s="22">
        <f t="shared" si="28"/>
        <v>0</v>
      </c>
      <c r="AW71" s="22">
        <f>(AT71/1000000)*Y71*(1-db!$AS$10)</f>
        <v>0</v>
      </c>
      <c r="AX71" s="20">
        <f>IF(B71=0,0,IF(C71&gt;60,0,LOOKUP(LOOKUP(C71,RiskLoading!A$3:A$109,RiskLoading!DG$3:DG$109),db!$BC$3:$BC$63,db!$BE$3:$BE$63)))</f>
        <v>0</v>
      </c>
      <c r="AY71" s="20">
        <f>(AX71/1000000)*AA71*(1-db!$AS$11)</f>
        <v>0</v>
      </c>
      <c r="AZ71" s="20">
        <f>(AX71/1000000)*AA71*(db!$AS$11)</f>
        <v>0</v>
      </c>
      <c r="BA71" s="19">
        <f>IF(Table13[Year]=0,0,LOOKUP(Table13[Age],RiskLoading!A$3:A$109,RiskLoading!DT$3:DT$109))</f>
        <v>0</v>
      </c>
      <c r="BB71" s="20">
        <f>Table13[[#This Row],[RiskLoading
Rate]]*Table13[[#This Row],[Death Capital (2)]]</f>
        <v>0</v>
      </c>
      <c r="BC71" s="36"/>
      <c r="BD71" s="37">
        <f t="shared" si="29"/>
        <v>0</v>
      </c>
      <c r="BE71" s="35">
        <f t="shared" si="30"/>
        <v>0</v>
      </c>
      <c r="BF71" s="35">
        <f t="shared" si="31"/>
        <v>0</v>
      </c>
      <c r="BG71" s="37">
        <f t="shared" si="32"/>
        <v>0</v>
      </c>
      <c r="BH71" s="37">
        <f t="shared" si="33"/>
        <v>0</v>
      </c>
      <c r="BI71" s="35">
        <f t="shared" si="38"/>
        <v>0</v>
      </c>
      <c r="BJ71" s="35">
        <f t="shared" si="39"/>
        <v>0</v>
      </c>
      <c r="BK71" s="37">
        <v>0</v>
      </c>
      <c r="BL71" s="37">
        <v>0</v>
      </c>
      <c r="BM71" s="35"/>
      <c r="BN71" s="37">
        <f>0</f>
        <v>0</v>
      </c>
      <c r="BO71" s="37"/>
      <c r="BP71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71" s="33"/>
      <c r="BR71" s="39">
        <f>Table13[[#This Row],[Initial Reserve]]-Table13[[#This Row],[All Deductions]]</f>
        <v>0</v>
      </c>
      <c r="BS71" s="39">
        <v>0</v>
      </c>
      <c r="BT71" s="39">
        <f>IF(B71=0,0,BU70-Table13[[#This Row],[All Deductions]])</f>
        <v>0</v>
      </c>
      <c r="BU71" s="40">
        <f>ROUND(IF(B71=0,0,((BR71+BU70)*(1+db!U73))),0)</f>
        <v>0</v>
      </c>
      <c r="BV71" s="40">
        <f t="shared" ref="BV71:BV107" si="43">ROUND(BU71,-3)</f>
        <v>0</v>
      </c>
      <c r="BW71" s="15">
        <f t="shared" si="40"/>
        <v>70</v>
      </c>
      <c r="BX71" s="39">
        <f>IF(B71=0,0,((BR71)*(1+db!AH73))+((BX70)*(1+db!AD73)))</f>
        <v>0</v>
      </c>
      <c r="BY71" s="39">
        <f>IF(B71=0,0,((BR71)*(1+db!AH73))+((BY70)*(1+db!AD73)))</f>
        <v>0</v>
      </c>
      <c r="BZ71" s="40">
        <f>IF(B71=0,0,((BR71)*(1+db!AO73))+((BZ70)*(1+db!AK73)))</f>
        <v>0</v>
      </c>
      <c r="CA71" s="40">
        <f>BZ71-(SUM(BM$7:$BM72))</f>
        <v>0</v>
      </c>
      <c r="CB71" s="46"/>
    </row>
    <row r="72" spans="1:80" s="28" customFormat="1">
      <c r="A72" s="16">
        <f t="shared" si="41"/>
        <v>71</v>
      </c>
      <c r="B72" s="16">
        <f>IF(B71=0,0,IF(db!$E$5&lt;B71+1,0,B71+1))</f>
        <v>0</v>
      </c>
      <c r="C72" s="15">
        <f t="shared" si="42"/>
        <v>0</v>
      </c>
      <c r="D72" s="312">
        <f>LOOKUP(Table13[[#This Row],[Age]],RiskLoading!A$3:A$109,RiskLoading!DG$3:DG$109)</f>
        <v>55</v>
      </c>
      <c r="E72" s="29">
        <f t="shared" si="34"/>
        <v>0</v>
      </c>
      <c r="F72" s="29">
        <f t="shared" si="35"/>
        <v>0</v>
      </c>
      <c r="G72" s="29">
        <f t="shared" si="26"/>
        <v>0</v>
      </c>
      <c r="H72" s="29">
        <v>0</v>
      </c>
      <c r="I72" s="29">
        <f>IF(B72=0,0,SUM($H$2:H72))</f>
        <v>0</v>
      </c>
      <c r="J72" s="17">
        <f t="shared" si="36"/>
        <v>0</v>
      </c>
      <c r="K72" s="17">
        <f>IF(Table13[[#This Row],[Year]]=0,0,IF($C$2&lt;=50,LOOKUP(Table13[[#This Row],[Age]],db!BG73:BG179,db!BH73:BH179),LOOKUP(Table13[[#This Row],[Age]],db!BJ73:BJ179,db!BK73:BK179)))</f>
        <v>0</v>
      </c>
      <c r="L72" s="17">
        <f>MIN(IF(B72=0,0,db!$E$4*((1+db!$B$4)^(B72-1))),Table13[[#This Row],[Max Sum Insured For Death]])</f>
        <v>0</v>
      </c>
      <c r="M72" s="17">
        <f>ROUND(IF(L72&lt;=db!$L$7,L72,db!$L$7),0)</f>
        <v>0</v>
      </c>
      <c r="N72" s="29">
        <f t="shared" si="37"/>
        <v>0</v>
      </c>
      <c r="O72" s="29">
        <f>IF(B72=0,0,IF(db!$D$6="Yes",(db!$B$6)*M72,0))</f>
        <v>0</v>
      </c>
      <c r="P72" s="29">
        <f>MIN(IF(O72&lt;=db!$L$2,O72,db!$L$2),MAX_ACC_CAPITAL)</f>
        <v>0</v>
      </c>
      <c r="Q72" s="17">
        <f>IF(B72=0,0,IF(db!$D$7="Yes",(db!$B$7)*M72,0))</f>
        <v>0</v>
      </c>
      <c r="R72" s="42">
        <f>IF(C72&gt;69,0,IF(C72=0,0,IF(Q72&lt;=db!$L$3,Q72,db!$L$3)))</f>
        <v>0</v>
      </c>
      <c r="S72" s="29">
        <f>IF(B72=0,0,IF(db!$D$9="Yes",(db!$B$9)*M72,0))</f>
        <v>0</v>
      </c>
      <c r="T72" s="29">
        <f>ROUND(IF(C72&gt;69,0,IF(C72=0,0,IF(S72&lt;=db!$L$4,S72,db!$L$4))),0)</f>
        <v>0</v>
      </c>
      <c r="U72" s="38">
        <v>0</v>
      </c>
      <c r="V72" s="17">
        <v>0</v>
      </c>
      <c r="W72" s="29">
        <v>0</v>
      </c>
      <c r="X72" s="17">
        <f>IF(B72=0,0,IF(db!$D$11="Yes",(db!$B$11)*M72,0))</f>
        <v>0</v>
      </c>
      <c r="Y72" s="42">
        <f>ROUND(IF(C72&gt;59,0,IF(C72=0,0,IF(X72&lt;=db!$L$5,X72,db!$L$5))),0)</f>
        <v>0</v>
      </c>
      <c r="Z72" s="29">
        <f>IF(B72=0,0,IF(db!$D$12="Yes",(db!$B$12)*M72,0))</f>
        <v>0</v>
      </c>
      <c r="AA72" s="29">
        <f>ROUND(IF(C72&gt;59,0,IF(C72=0,0,IF(Z72&lt;=db!$L$6,Z72,db!$L$6))),0)</f>
        <v>0</v>
      </c>
      <c r="AB72" s="32"/>
      <c r="AC72" s="18">
        <f>IF(B72=0,0,IF(C72&lt;(db!$E$2+5),LOOKUP(C72,'Mortality Table'!$A$2:$A$108,'Mortality Table'!$P$2:$P$108),IF((C72&gt;=db!$E$2+10),LOOKUP(C72,'Mortality Table'!$A$2:$A$108,'Mortality Table'!$R$2:$R$108),LOOKUP(C72,'Mortality Table'!$A$2:$A$108,'Mortality Table'!$Q$2:$Q$108))))</f>
        <v>0</v>
      </c>
      <c r="AD72" s="22">
        <f t="shared" si="27"/>
        <v>0</v>
      </c>
      <c r="AE72" s="19">
        <f>IF(B72=0,0,LOOKUP(db!$A$8,db!$AX$4:$AX$8,db!$AY$4:$AY$8))</f>
        <v>0</v>
      </c>
      <c r="AF72" s="20">
        <f>ROUND((AE72/1000)*P72 * (1-db!$AS$9),0)</f>
        <v>0</v>
      </c>
      <c r="AG72" s="20">
        <f>(AE72/1000)*P72 * db!$AS$9</f>
        <v>0</v>
      </c>
      <c r="AH72" s="21">
        <f>IF(B72=0,0,LOOKUP(db!$A$8,db!$AX$4:$AX$8,db!$AZ$4:$AZ$8))</f>
        <v>0</v>
      </c>
      <c r="AI72" s="22">
        <f>(AH72/1000)*R72*(1-db!$AS$9)</f>
        <v>0</v>
      </c>
      <c r="AJ72" s="22">
        <f>(AH72/1000)*R72*(db!$AS$9)</f>
        <v>0</v>
      </c>
      <c r="AK72" s="23">
        <f>IF(B72=0,0,LOOKUP(db!$A$8,db!$AX$4:$AX$8,db!$BA$4:$BA$8))</f>
        <v>0</v>
      </c>
      <c r="AL72" s="20">
        <f>ROUND((AK72/(100))*T72*(1-db!$AS$9),0)</f>
        <v>0</v>
      </c>
      <c r="AM72" s="20">
        <f>ROUND((AK72/(100))*T72*(db!$AS$9),0)</f>
        <v>0</v>
      </c>
      <c r="AN72" s="21">
        <f>IF(db!$D$8="Yes",AH72,0)</f>
        <v>0</v>
      </c>
      <c r="AO72" s="22">
        <f>(AN72*V72)/1000*(1-db!$AS$9)</f>
        <v>0</v>
      </c>
      <c r="AP72" s="22">
        <f>(AN72*V72)/1000*(db!$AS$9)</f>
        <v>0</v>
      </c>
      <c r="AQ72" s="23">
        <f>IF(db!$D$10="Yes",AH72,0)</f>
        <v>0</v>
      </c>
      <c r="AR72" s="20">
        <f>(AQ72*W72/1000)*(1-db!$AS$9)</f>
        <v>0</v>
      </c>
      <c r="AS72" s="20">
        <f>(AQ72*W72/1000)*(db!$AS$9)</f>
        <v>0</v>
      </c>
      <c r="AT72" s="22">
        <f>IF(B72=0,0,IF(C72&gt;60,0,LOOKUP(LOOKUP(C72,RiskLoading!A$3:A$109,RiskLoading!DG$3:DG$109),db!$BC$3:$BC$63,db!$BD$3:$BD$63)))</f>
        <v>0</v>
      </c>
      <c r="AU72" s="22">
        <f>AV72*db!$AS$10</f>
        <v>0</v>
      </c>
      <c r="AV72" s="22">
        <f t="shared" si="28"/>
        <v>0</v>
      </c>
      <c r="AW72" s="22">
        <f>(AT72/1000000)*Y72*(1-db!$AS$10)</f>
        <v>0</v>
      </c>
      <c r="AX72" s="20">
        <f>IF(B72=0,0,IF(C72&gt;60,0,LOOKUP(LOOKUP(C72,RiskLoading!A$3:A$109,RiskLoading!DG$3:DG$109),db!$BC$3:$BC$63,db!$BE$3:$BE$63)))</f>
        <v>0</v>
      </c>
      <c r="AY72" s="20">
        <f>(AX72/1000000)*AA72*(1-db!$AS$11)</f>
        <v>0</v>
      </c>
      <c r="AZ72" s="20">
        <f>(AX72/1000000)*AA72*(db!$AS$11)</f>
        <v>0</v>
      </c>
      <c r="BA72" s="19">
        <f>IF(Table13[Year]=0,0,LOOKUP(Table13[Age],RiskLoading!A$3:A$109,RiskLoading!DT$3:DT$109))</f>
        <v>0</v>
      </c>
      <c r="BB72" s="20">
        <f>Table13[[#This Row],[RiskLoading
Rate]]*Table13[[#This Row],[Death Capital (2)]]</f>
        <v>0</v>
      </c>
      <c r="BC72" s="36"/>
      <c r="BD72" s="37">
        <f t="shared" si="29"/>
        <v>0</v>
      </c>
      <c r="BE72" s="35">
        <f t="shared" si="30"/>
        <v>0</v>
      </c>
      <c r="BF72" s="35">
        <f t="shared" si="31"/>
        <v>0</v>
      </c>
      <c r="BG72" s="37">
        <f t="shared" si="32"/>
        <v>0</v>
      </c>
      <c r="BH72" s="37">
        <f t="shared" si="33"/>
        <v>0</v>
      </c>
      <c r="BI72" s="35">
        <f t="shared" si="38"/>
        <v>0</v>
      </c>
      <c r="BJ72" s="35">
        <f t="shared" si="39"/>
        <v>0</v>
      </c>
      <c r="BK72" s="37">
        <v>0</v>
      </c>
      <c r="BL72" s="37">
        <v>0</v>
      </c>
      <c r="BM72" s="35"/>
      <c r="BN72" s="37">
        <f>0</f>
        <v>0</v>
      </c>
      <c r="BO72" s="37"/>
      <c r="BP72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72" s="33"/>
      <c r="BR72" s="39">
        <f>Table13[[#This Row],[Initial Reserve]]-Table13[[#This Row],[All Deductions]]</f>
        <v>0</v>
      </c>
      <c r="BS72" s="39">
        <v>0</v>
      </c>
      <c r="BT72" s="39">
        <f>IF(B72=0,0,BU71-Table13[[#This Row],[All Deductions]])</f>
        <v>0</v>
      </c>
      <c r="BU72" s="40">
        <f>ROUND(IF(B72=0,0,((BR72+BU71)*(1+db!U74))),0)</f>
        <v>0</v>
      </c>
      <c r="BV72" s="40">
        <f t="shared" si="43"/>
        <v>0</v>
      </c>
      <c r="BW72" s="15">
        <f t="shared" si="40"/>
        <v>71</v>
      </c>
      <c r="BX72" s="39">
        <f>IF(B72=0,0,((BR72)*(1+db!AH74))+((BX71)*(1+db!AD74)))</f>
        <v>0</v>
      </c>
      <c r="BY72" s="39">
        <f>IF(B72=0,0,((BR72)*(1+db!AH74))+((BY71)*(1+db!AD74)))</f>
        <v>0</v>
      </c>
      <c r="BZ72" s="40">
        <f>IF(B72=0,0,((BR72)*(1+db!AO74))+((BZ71)*(1+db!AK74)))</f>
        <v>0</v>
      </c>
      <c r="CA72" s="40">
        <f>BZ72-(SUM(BM$7:$BM73))</f>
        <v>0</v>
      </c>
      <c r="CB72" s="46"/>
    </row>
    <row r="73" spans="1:80">
      <c r="A73" s="16">
        <f t="shared" si="41"/>
        <v>72</v>
      </c>
      <c r="B73" s="16">
        <f>IF(B72=0,0,IF(db!$E$5&lt;B72+1,0,B72+1))</f>
        <v>0</v>
      </c>
      <c r="C73" s="15">
        <f t="shared" si="42"/>
        <v>0</v>
      </c>
      <c r="D73" s="312">
        <f>LOOKUP(Table13[[#This Row],[Age]],RiskLoading!A$3:A$109,RiskLoading!DG$3:DG$109)</f>
        <v>55</v>
      </c>
      <c r="E73" s="29">
        <f t="shared" si="34"/>
        <v>0</v>
      </c>
      <c r="F73" s="29">
        <f t="shared" si="35"/>
        <v>0</v>
      </c>
      <c r="G73" s="29">
        <f t="shared" si="26"/>
        <v>0</v>
      </c>
      <c r="H73" s="29">
        <v>0</v>
      </c>
      <c r="I73" s="29">
        <f>IF(B73=0,0,SUM($H$2:H73))</f>
        <v>0</v>
      </c>
      <c r="J73" s="17">
        <f t="shared" si="36"/>
        <v>0</v>
      </c>
      <c r="K73" s="17">
        <f>IF(Table13[[#This Row],[Year]]=0,0,IF($C$2&lt;=50,LOOKUP(Table13[[#This Row],[Age]],db!BG74:BG180,db!BH74:BH180),LOOKUP(Table13[[#This Row],[Age]],db!BJ74:BJ180,db!BK74:BK180)))</f>
        <v>0</v>
      </c>
      <c r="L73" s="17">
        <f>MIN(IF(B73=0,0,db!$E$4*((1+db!$B$4)^(B73-1))),Table13[[#This Row],[Max Sum Insured For Death]])</f>
        <v>0</v>
      </c>
      <c r="M73" s="17">
        <f>ROUND(IF(L73&lt;=db!$L$7,L73,db!$L$7),0)</f>
        <v>0</v>
      </c>
      <c r="N73" s="29">
        <f t="shared" si="37"/>
        <v>0</v>
      </c>
      <c r="O73" s="29">
        <f>IF(B73=0,0,IF(db!$D$6="Yes",(db!$B$6)*M73,0))</f>
        <v>0</v>
      </c>
      <c r="P73" s="29">
        <f>MIN(IF(O73&lt;=db!$L$2,O73,db!$L$2),MAX_ACC_CAPITAL)</f>
        <v>0</v>
      </c>
      <c r="Q73" s="17">
        <f>IF(B73=0,0,IF(db!$D$7="Yes",(db!$B$7)*M73,0))</f>
        <v>0</v>
      </c>
      <c r="R73" s="42">
        <f>IF(C73&gt;69,0,IF(C73=0,0,IF(Q73&lt;=db!$L$3,Q73,db!$L$3)))</f>
        <v>0</v>
      </c>
      <c r="S73" s="29">
        <f>IF(B73=0,0,IF(db!$D$9="Yes",(db!$B$9)*M73,0))</f>
        <v>0</v>
      </c>
      <c r="T73" s="29">
        <f>ROUND(IF(C73&gt;69,0,IF(C73=0,0,IF(S73&lt;=db!$L$4,S73,db!$L$4))),0)</f>
        <v>0</v>
      </c>
      <c r="U73" s="38">
        <v>0</v>
      </c>
      <c r="V73" s="17">
        <v>0</v>
      </c>
      <c r="W73" s="29">
        <v>0</v>
      </c>
      <c r="X73" s="17">
        <f>IF(B73=0,0,IF(db!$D$11="Yes",(db!$B$11)*M73,0))</f>
        <v>0</v>
      </c>
      <c r="Y73" s="42">
        <f>ROUND(IF(C73&gt;59,0,IF(C73=0,0,IF(X73&lt;=db!$L$5,X73,db!$L$5))),0)</f>
        <v>0</v>
      </c>
      <c r="Z73" s="29">
        <f>IF(B73=0,0,IF(db!$D$12="Yes",(db!$B$12)*M73,0))</f>
        <v>0</v>
      </c>
      <c r="AA73" s="29">
        <f>ROUND(IF(C73&gt;59,0,IF(C73=0,0,IF(Z73&lt;=db!$L$6,Z73,db!$L$6))),0)</f>
        <v>0</v>
      </c>
      <c r="AB73" s="32"/>
      <c r="AC73" s="18">
        <f>IF(B73=0,0,IF(C73&lt;(db!$E$2+5),LOOKUP(C73,'Mortality Table'!$A$2:$A$108,'Mortality Table'!$P$2:$P$108),IF((C73&gt;=db!$E$2+10),LOOKUP(C73,'Mortality Table'!$A$2:$A$108,'Mortality Table'!$R$2:$R$108),LOOKUP(C73,'Mortality Table'!$A$2:$A$108,'Mortality Table'!$Q$2:$Q$108))))</f>
        <v>0</v>
      </c>
      <c r="AD73" s="22">
        <f t="shared" si="27"/>
        <v>0</v>
      </c>
      <c r="AE73" s="19">
        <f>IF(B73=0,0,LOOKUP(db!$A$8,db!$AX$4:$AX$8,db!$AY$4:$AY$8))</f>
        <v>0</v>
      </c>
      <c r="AF73" s="20">
        <f>ROUND((AE73/1000)*P73 * (1-db!$AS$9),0)</f>
        <v>0</v>
      </c>
      <c r="AG73" s="20">
        <f>(AE73/1000)*P73 * db!$AS$9</f>
        <v>0</v>
      </c>
      <c r="AH73" s="21">
        <f>IF(B73=0,0,LOOKUP(db!$A$8,db!$AX$4:$AX$8,db!$AZ$4:$AZ$8))</f>
        <v>0</v>
      </c>
      <c r="AI73" s="22">
        <f>(AH73/1000)*R73*(1-db!$AS$9)</f>
        <v>0</v>
      </c>
      <c r="AJ73" s="22">
        <f>(AH73/1000)*R73*(db!$AS$9)</f>
        <v>0</v>
      </c>
      <c r="AK73" s="23">
        <f>IF(B73=0,0,LOOKUP(db!$A$8,db!$AX$4:$AX$8,db!$BA$4:$BA$8))</f>
        <v>0</v>
      </c>
      <c r="AL73" s="20">
        <f>ROUND((AK73/(100))*T73*(1-db!$AS$9),0)</f>
        <v>0</v>
      </c>
      <c r="AM73" s="20">
        <f>ROUND((AK73/(100))*T73*(db!$AS$9),0)</f>
        <v>0</v>
      </c>
      <c r="AN73" s="21">
        <f>IF(db!$D$8="Yes",AH73,0)</f>
        <v>0</v>
      </c>
      <c r="AO73" s="22">
        <f>(AN73*V73)/1000*(1-db!$AS$9)</f>
        <v>0</v>
      </c>
      <c r="AP73" s="22">
        <f>(AN73*V73)/1000*(db!$AS$9)</f>
        <v>0</v>
      </c>
      <c r="AQ73" s="23">
        <f>IF(db!$D$10="Yes",AH73,0)</f>
        <v>0</v>
      </c>
      <c r="AR73" s="20">
        <f>(AQ73*W73/1000)*(1-db!$AS$9)</f>
        <v>0</v>
      </c>
      <c r="AS73" s="20">
        <f>(AQ73*W73/1000)*(db!$AS$9)</f>
        <v>0</v>
      </c>
      <c r="AT73" s="22">
        <f>IF(B73=0,0,IF(C73&gt;60,0,LOOKUP(LOOKUP(C73,RiskLoading!A$3:A$109,RiskLoading!DG$3:DG$109),db!$BC$3:$BC$63,db!$BD$3:$BD$63)))</f>
        <v>0</v>
      </c>
      <c r="AU73" s="22">
        <f>AV73*db!$AS$10</f>
        <v>0</v>
      </c>
      <c r="AV73" s="22">
        <f t="shared" si="28"/>
        <v>0</v>
      </c>
      <c r="AW73" s="22">
        <f>(AT73/1000000)*Y73*(1-db!$AS$10)</f>
        <v>0</v>
      </c>
      <c r="AX73" s="20">
        <f>IF(B73=0,0,IF(C73&gt;60,0,LOOKUP(LOOKUP(C73,RiskLoading!A$3:A$109,RiskLoading!DG$3:DG$109),db!$BC$3:$BC$63,db!$BE$3:$BE$63)))</f>
        <v>0</v>
      </c>
      <c r="AY73" s="20">
        <f>(AX73/1000000)*AA73*(1-db!$AS$11)</f>
        <v>0</v>
      </c>
      <c r="AZ73" s="20">
        <f>(AX73/1000000)*AA73*(db!$AS$11)</f>
        <v>0</v>
      </c>
      <c r="BA73" s="19">
        <f>IF(Table13[Year]=0,0,LOOKUP(Table13[Age],RiskLoading!A$3:A$109,RiskLoading!DT$3:DT$109))</f>
        <v>0</v>
      </c>
      <c r="BB73" s="20">
        <f>Table13[[#This Row],[RiskLoading
Rate]]*Table13[[#This Row],[Death Capital (2)]]</f>
        <v>0</v>
      </c>
      <c r="BC73" s="36"/>
      <c r="BD73" s="37">
        <f t="shared" si="29"/>
        <v>0</v>
      </c>
      <c r="BE73" s="35">
        <f t="shared" si="30"/>
        <v>0</v>
      </c>
      <c r="BF73" s="35">
        <f t="shared" si="31"/>
        <v>0</v>
      </c>
      <c r="BG73" s="37">
        <f t="shared" si="32"/>
        <v>0</v>
      </c>
      <c r="BH73" s="37">
        <f t="shared" si="33"/>
        <v>0</v>
      </c>
      <c r="BI73" s="35">
        <f t="shared" si="38"/>
        <v>0</v>
      </c>
      <c r="BJ73" s="35">
        <f t="shared" si="39"/>
        <v>0</v>
      </c>
      <c r="BK73" s="37">
        <v>0</v>
      </c>
      <c r="BL73" s="37">
        <v>0</v>
      </c>
      <c r="BM73" s="35"/>
      <c r="BN73" s="37">
        <f>0</f>
        <v>0</v>
      </c>
      <c r="BO73" s="37"/>
      <c r="BP73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73" s="33"/>
      <c r="BR73" s="39">
        <f>Table13[[#This Row],[Initial Reserve]]-Table13[[#This Row],[All Deductions]]</f>
        <v>0</v>
      </c>
      <c r="BS73" s="39">
        <v>0</v>
      </c>
      <c r="BT73" s="39">
        <f>IF(B73=0,0,BU72-Table13[[#This Row],[All Deductions]])</f>
        <v>0</v>
      </c>
      <c r="BU73" s="40">
        <f>ROUND(IF(B73=0,0,((BR73+BU72)*(1+db!U75))),0)</f>
        <v>0</v>
      </c>
      <c r="BV73" s="40">
        <f t="shared" si="43"/>
        <v>0</v>
      </c>
      <c r="BW73" s="15">
        <f t="shared" si="40"/>
        <v>72</v>
      </c>
      <c r="BX73" s="39">
        <f>IF(B73=0,0,((BR73)*(1+db!AH75))+((BX72)*(1+db!AD75)))</f>
        <v>0</v>
      </c>
      <c r="BY73" s="39">
        <f>IF(B73=0,0,((BR73)*(1+db!AH75))+((BY72)*(1+db!AD75)))</f>
        <v>0</v>
      </c>
      <c r="BZ73" s="40">
        <f>IF(B73=0,0,((BR73)*(1+db!AO75))+((BZ72)*(1+db!AK75)))</f>
        <v>0</v>
      </c>
      <c r="CA73" s="40">
        <f>BZ73-(SUM(BM$7:$BM74))</f>
        <v>0</v>
      </c>
      <c r="CB73" s="46"/>
    </row>
    <row r="74" spans="1:80">
      <c r="A74" s="16">
        <f t="shared" si="41"/>
        <v>73</v>
      </c>
      <c r="B74" s="16">
        <f>IF(B73=0,0,IF(db!$E$5&lt;B73+1,0,B73+1))</f>
        <v>0</v>
      </c>
      <c r="C74" s="15">
        <f t="shared" si="42"/>
        <v>0</v>
      </c>
      <c r="D74" s="312">
        <f>LOOKUP(Table13[[#This Row],[Age]],RiskLoading!A$3:A$109,RiskLoading!DG$3:DG$109)</f>
        <v>55</v>
      </c>
      <c r="E74" s="29">
        <f t="shared" si="34"/>
        <v>0</v>
      </c>
      <c r="F74" s="29">
        <f t="shared" si="35"/>
        <v>0</v>
      </c>
      <c r="G74" s="29">
        <f t="shared" si="26"/>
        <v>0</v>
      </c>
      <c r="H74" s="29">
        <v>0</v>
      </c>
      <c r="I74" s="29">
        <f>IF(B74=0,0,SUM($H$2:H74))</f>
        <v>0</v>
      </c>
      <c r="J74" s="17">
        <f t="shared" si="36"/>
        <v>0</v>
      </c>
      <c r="K74" s="17">
        <f>IF(Table13[[#This Row],[Year]]=0,0,IF($C$2&lt;=50,LOOKUP(Table13[[#This Row],[Age]],db!BG75:BG181,db!BH75:BH181),LOOKUP(Table13[[#This Row],[Age]],db!BJ75:BJ181,db!BK75:BK181)))</f>
        <v>0</v>
      </c>
      <c r="L74" s="17">
        <f>MIN(IF(B74=0,0,db!$E$4*((1+db!$B$4)^(B74-1))),Table13[[#This Row],[Max Sum Insured For Death]])</f>
        <v>0</v>
      </c>
      <c r="M74" s="17">
        <f>ROUND(IF(L74&lt;=db!$L$7,L74,db!$L$7),0)</f>
        <v>0</v>
      </c>
      <c r="N74" s="29">
        <f t="shared" si="37"/>
        <v>0</v>
      </c>
      <c r="O74" s="29">
        <f>IF(B74=0,0,IF(db!$D$6="Yes",(db!$B$6)*M74,0))</f>
        <v>0</v>
      </c>
      <c r="P74" s="29">
        <f>MIN(IF(O74&lt;=db!$L$2,O74,db!$L$2),MAX_ACC_CAPITAL)</f>
        <v>0</v>
      </c>
      <c r="Q74" s="17">
        <f>IF(B74=0,0,IF(db!$D$7="Yes",(db!$B$7)*M74,0))</f>
        <v>0</v>
      </c>
      <c r="R74" s="42">
        <f>IF(C74&gt;69,0,IF(C74=0,0,IF(Q74&lt;=db!$L$3,Q74,db!$L$3)))</f>
        <v>0</v>
      </c>
      <c r="S74" s="29">
        <f>IF(B74=0,0,IF(db!$D$9="Yes",(db!$B$9)*M74,0))</f>
        <v>0</v>
      </c>
      <c r="T74" s="29">
        <f>ROUND(IF(C74&gt;69,0,IF(C74=0,0,IF(S74&lt;=db!$L$4,S74,db!$L$4))),0)</f>
        <v>0</v>
      </c>
      <c r="U74" s="38">
        <v>0</v>
      </c>
      <c r="V74" s="17">
        <v>0</v>
      </c>
      <c r="W74" s="29">
        <v>0</v>
      </c>
      <c r="X74" s="17">
        <f>IF(B74=0,0,IF(db!$D$11="Yes",(db!$B$11)*M74,0))</f>
        <v>0</v>
      </c>
      <c r="Y74" s="42">
        <f>ROUND(IF(C74&gt;59,0,IF(C74=0,0,IF(X74&lt;=db!$L$5,X74,db!$L$5))),0)</f>
        <v>0</v>
      </c>
      <c r="Z74" s="29">
        <f>IF(B74=0,0,IF(db!$D$12="Yes",(db!$B$12)*M74,0))</f>
        <v>0</v>
      </c>
      <c r="AA74" s="29">
        <f>ROUND(IF(C74&gt;59,0,IF(C74=0,0,IF(Z74&lt;=db!$L$6,Z74,db!$L$6))),0)</f>
        <v>0</v>
      </c>
      <c r="AB74" s="32"/>
      <c r="AC74" s="18">
        <f>IF(B74=0,0,IF(C74&lt;(db!$E$2+5),LOOKUP(C74,'Mortality Table'!$A$2:$A$108,'Mortality Table'!$P$2:$P$108),IF((C74&gt;=db!$E$2+10),LOOKUP(C74,'Mortality Table'!$A$2:$A$108,'Mortality Table'!$R$2:$R$108),LOOKUP(C74,'Mortality Table'!$A$2:$A$108,'Mortality Table'!$Q$2:$Q$108))))</f>
        <v>0</v>
      </c>
      <c r="AD74" s="22">
        <f t="shared" si="27"/>
        <v>0</v>
      </c>
      <c r="AE74" s="19">
        <f>IF(B74=0,0,LOOKUP(db!$A$8,db!$AX$4:$AX$8,db!$AY$4:$AY$8))</f>
        <v>0</v>
      </c>
      <c r="AF74" s="20">
        <f>ROUND((AE74/1000)*P74 * (1-db!$AS$9),0)</f>
        <v>0</v>
      </c>
      <c r="AG74" s="20">
        <f>(AE74/1000)*P74 * db!$AS$9</f>
        <v>0</v>
      </c>
      <c r="AH74" s="21">
        <f>IF(B74=0,0,LOOKUP(db!$A$8,db!$AX$4:$AX$8,db!$AZ$4:$AZ$8))</f>
        <v>0</v>
      </c>
      <c r="AI74" s="22">
        <f>(AH74/1000)*R74*(1-db!$AS$9)</f>
        <v>0</v>
      </c>
      <c r="AJ74" s="22">
        <f>(AH74/1000)*R74*(db!$AS$9)</f>
        <v>0</v>
      </c>
      <c r="AK74" s="23">
        <f>IF(B74=0,0,LOOKUP(db!$A$8,db!$AX$4:$AX$8,db!$BA$4:$BA$8))</f>
        <v>0</v>
      </c>
      <c r="AL74" s="20">
        <f>ROUND((AK74/(100))*T74*(1-db!$AS$9),0)</f>
        <v>0</v>
      </c>
      <c r="AM74" s="20">
        <f>ROUND((AK74/(100))*T74*(db!$AS$9),0)</f>
        <v>0</v>
      </c>
      <c r="AN74" s="21">
        <f>IF(db!$D$8="Yes",AH74,0)</f>
        <v>0</v>
      </c>
      <c r="AO74" s="22">
        <f>(AN74*V74)/1000*(1-db!$AS$9)</f>
        <v>0</v>
      </c>
      <c r="AP74" s="22">
        <f>(AN74*V74)/1000*(db!$AS$9)</f>
        <v>0</v>
      </c>
      <c r="AQ74" s="23">
        <f>IF(db!$D$10="Yes",AH74,0)</f>
        <v>0</v>
      </c>
      <c r="AR74" s="20">
        <f>(AQ74*W74/1000)*(1-db!$AS$9)</f>
        <v>0</v>
      </c>
      <c r="AS74" s="20">
        <f>(AQ74*W74/1000)*(db!$AS$9)</f>
        <v>0</v>
      </c>
      <c r="AT74" s="22">
        <f>IF(B74=0,0,IF(C74&gt;60,0,LOOKUP(LOOKUP(C74,RiskLoading!A$3:A$109,RiskLoading!DG$3:DG$109),db!$BC$3:$BC$63,db!$BD$3:$BD$63)))</f>
        <v>0</v>
      </c>
      <c r="AU74" s="22">
        <f>AV74*db!$AS$10</f>
        <v>0</v>
      </c>
      <c r="AV74" s="22">
        <f t="shared" si="28"/>
        <v>0</v>
      </c>
      <c r="AW74" s="22">
        <f>(AT74/1000000)*Y74*(1-db!$AS$10)</f>
        <v>0</v>
      </c>
      <c r="AX74" s="20">
        <f>IF(B74=0,0,IF(C74&gt;60,0,LOOKUP(LOOKUP(C74,RiskLoading!A$3:A$109,RiskLoading!DG$3:DG$109),db!$BC$3:$BC$63,db!$BE$3:$BE$63)))</f>
        <v>0</v>
      </c>
      <c r="AY74" s="20">
        <f>(AX74/1000000)*AA74*(1-db!$AS$11)</f>
        <v>0</v>
      </c>
      <c r="AZ74" s="20">
        <f>(AX74/1000000)*AA74*(db!$AS$11)</f>
        <v>0</v>
      </c>
      <c r="BA74" s="19">
        <f>IF(Table13[Year]=0,0,LOOKUP(Table13[Age],RiskLoading!A$3:A$109,RiskLoading!DT$3:DT$109))</f>
        <v>0</v>
      </c>
      <c r="BB74" s="20">
        <f>Table13[[#This Row],[RiskLoading
Rate]]*Table13[[#This Row],[Death Capital (2)]]</f>
        <v>0</v>
      </c>
      <c r="BC74" s="36"/>
      <c r="BD74" s="37">
        <f t="shared" si="29"/>
        <v>0</v>
      </c>
      <c r="BE74" s="35">
        <f t="shared" si="30"/>
        <v>0</v>
      </c>
      <c r="BF74" s="35">
        <f t="shared" si="31"/>
        <v>0</v>
      </c>
      <c r="BG74" s="37">
        <f t="shared" si="32"/>
        <v>0</v>
      </c>
      <c r="BH74" s="37">
        <f t="shared" si="33"/>
        <v>0</v>
      </c>
      <c r="BI74" s="35">
        <f t="shared" si="38"/>
        <v>0</v>
      </c>
      <c r="BJ74" s="35">
        <f t="shared" si="39"/>
        <v>0</v>
      </c>
      <c r="BK74" s="37">
        <v>0</v>
      </c>
      <c r="BL74" s="37">
        <v>0</v>
      </c>
      <c r="BM74" s="35"/>
      <c r="BN74" s="37">
        <f>0</f>
        <v>0</v>
      </c>
      <c r="BO74" s="37"/>
      <c r="BP74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74" s="33"/>
      <c r="BR74" s="39">
        <f>Table13[[#This Row],[Initial Reserve]]-Table13[[#This Row],[All Deductions]]</f>
        <v>0</v>
      </c>
      <c r="BS74" s="39">
        <v>0</v>
      </c>
      <c r="BT74" s="39">
        <f>IF(B74=0,0,BU73-Table13[[#This Row],[All Deductions]])</f>
        <v>0</v>
      </c>
      <c r="BU74" s="40">
        <f>ROUND(IF(B74=0,0,((BR74+BU73)*(1+db!U76))),0)</f>
        <v>0</v>
      </c>
      <c r="BV74" s="40">
        <f t="shared" si="43"/>
        <v>0</v>
      </c>
      <c r="BW74" s="15">
        <f t="shared" si="40"/>
        <v>73</v>
      </c>
      <c r="BX74" s="39">
        <f>IF(B74=0,0,((BR74)*(1+db!AH76))+((BX73)*(1+db!AD76)))</f>
        <v>0</v>
      </c>
      <c r="BY74" s="39">
        <f>IF(B74=0,0,((BR74)*(1+db!AH76))+((BY73)*(1+db!AD76)))</f>
        <v>0</v>
      </c>
      <c r="BZ74" s="40">
        <f>IF(B74=0,0,((BR74)*(1+db!AO76))+((BZ73)*(1+db!AK76)))</f>
        <v>0</v>
      </c>
      <c r="CA74" s="40">
        <f>BZ74-(SUM(BM$7:$BM75))</f>
        <v>0</v>
      </c>
      <c r="CB74" s="46"/>
    </row>
    <row r="75" spans="1:80">
      <c r="A75" s="16">
        <f t="shared" si="41"/>
        <v>74</v>
      </c>
      <c r="B75" s="16">
        <f>IF(B74=0,0,IF(db!$E$5&lt;B74+1,0,B74+1))</f>
        <v>0</v>
      </c>
      <c r="C75" s="15">
        <f t="shared" si="42"/>
        <v>0</v>
      </c>
      <c r="D75" s="312">
        <f>LOOKUP(Table13[[#This Row],[Age]],RiskLoading!A$3:A$109,RiskLoading!DG$3:DG$109)</f>
        <v>55</v>
      </c>
      <c r="E75" s="29">
        <f t="shared" si="34"/>
        <v>0</v>
      </c>
      <c r="F75" s="29">
        <f t="shared" si="35"/>
        <v>0</v>
      </c>
      <c r="G75" s="29">
        <f t="shared" si="26"/>
        <v>0</v>
      </c>
      <c r="H75" s="29">
        <v>0</v>
      </c>
      <c r="I75" s="29">
        <f>IF(B75=0,0,SUM($H$2:H75))</f>
        <v>0</v>
      </c>
      <c r="J75" s="17">
        <f t="shared" si="36"/>
        <v>0</v>
      </c>
      <c r="K75" s="17">
        <f>IF(Table13[[#This Row],[Year]]=0,0,IF($C$2&lt;=50,LOOKUP(Table13[[#This Row],[Age]],db!BG76:BG182,db!BH76:BH182),LOOKUP(Table13[[#This Row],[Age]],db!BJ76:BJ182,db!BK76:BK182)))</f>
        <v>0</v>
      </c>
      <c r="L75" s="17">
        <f>MIN(IF(B75=0,0,db!$E$4*((1+db!$B$4)^(B75-1))),Table13[[#This Row],[Max Sum Insured For Death]])</f>
        <v>0</v>
      </c>
      <c r="M75" s="17">
        <f>ROUND(IF(L75&lt;=db!$L$7,L75,db!$L$7),0)</f>
        <v>0</v>
      </c>
      <c r="N75" s="29">
        <f t="shared" si="37"/>
        <v>0</v>
      </c>
      <c r="O75" s="29">
        <f>IF(B75=0,0,IF(db!$D$6="Yes",(db!$B$6)*M75,0))</f>
        <v>0</v>
      </c>
      <c r="P75" s="29">
        <f>MIN(IF(O75&lt;=db!$L$2,O75,db!$L$2),MAX_ACC_CAPITAL)</f>
        <v>0</v>
      </c>
      <c r="Q75" s="17">
        <f>IF(B75=0,0,IF(db!$D$7="Yes",(db!$B$7)*M75,0))</f>
        <v>0</v>
      </c>
      <c r="R75" s="42">
        <f>IF(C75&gt;69,0,IF(C75=0,0,IF(Q75&lt;=db!$L$3,Q75,db!$L$3)))</f>
        <v>0</v>
      </c>
      <c r="S75" s="29">
        <f>IF(B75=0,0,IF(db!$D$9="Yes",(db!$B$9)*M75,0))</f>
        <v>0</v>
      </c>
      <c r="T75" s="29">
        <f>ROUND(IF(C75&gt;69,0,IF(C75=0,0,IF(S75&lt;=db!$L$4,S75,db!$L$4))),0)</f>
        <v>0</v>
      </c>
      <c r="U75" s="38">
        <v>0</v>
      </c>
      <c r="V75" s="17">
        <v>0</v>
      </c>
      <c r="W75" s="29">
        <v>0</v>
      </c>
      <c r="X75" s="17">
        <f>IF(B75=0,0,IF(db!$D$11="Yes",(db!$B$11)*M75,0))</f>
        <v>0</v>
      </c>
      <c r="Y75" s="42">
        <f>ROUND(IF(C75&gt;59,0,IF(C75=0,0,IF(X75&lt;=db!$L$5,X75,db!$L$5))),0)</f>
        <v>0</v>
      </c>
      <c r="Z75" s="29">
        <f>IF(B75=0,0,IF(db!$D$12="Yes",(db!$B$12)*M75,0))</f>
        <v>0</v>
      </c>
      <c r="AA75" s="29">
        <f>ROUND(IF(C75&gt;59,0,IF(C75=0,0,IF(Z75&lt;=db!$L$6,Z75,db!$L$6))),0)</f>
        <v>0</v>
      </c>
      <c r="AB75" s="32"/>
      <c r="AC75" s="18">
        <f>IF(B75=0,0,IF(C75&lt;(db!$E$2+5),LOOKUP(C75,'Mortality Table'!$A$2:$A$108,'Mortality Table'!$P$2:$P$108),IF((C75&gt;=db!$E$2+10),LOOKUP(C75,'Mortality Table'!$A$2:$A$108,'Mortality Table'!$R$2:$R$108),LOOKUP(C75,'Mortality Table'!$A$2:$A$108,'Mortality Table'!$Q$2:$Q$108))))</f>
        <v>0</v>
      </c>
      <c r="AD75" s="22">
        <f t="shared" si="27"/>
        <v>0</v>
      </c>
      <c r="AE75" s="19">
        <f>IF(B75=0,0,LOOKUP(db!$A$8,db!$AX$4:$AX$8,db!$AY$4:$AY$8))</f>
        <v>0</v>
      </c>
      <c r="AF75" s="20">
        <f>ROUND((AE75/1000)*P75 * (1-db!$AS$9),0)</f>
        <v>0</v>
      </c>
      <c r="AG75" s="20">
        <f>(AE75/1000)*P75 * db!$AS$9</f>
        <v>0</v>
      </c>
      <c r="AH75" s="21">
        <f>IF(B75=0,0,LOOKUP(db!$A$8,db!$AX$4:$AX$8,db!$AZ$4:$AZ$8))</f>
        <v>0</v>
      </c>
      <c r="AI75" s="22">
        <f>(AH75/1000)*R75*(1-db!$AS$9)</f>
        <v>0</v>
      </c>
      <c r="AJ75" s="22">
        <f>(AH75/1000)*R75*(db!$AS$9)</f>
        <v>0</v>
      </c>
      <c r="AK75" s="23">
        <f>IF(B75=0,0,LOOKUP(db!$A$8,db!$AX$4:$AX$8,db!$BA$4:$BA$8))</f>
        <v>0</v>
      </c>
      <c r="AL75" s="20">
        <f>ROUND((AK75/(100))*T75*(1-db!$AS$9),0)</f>
        <v>0</v>
      </c>
      <c r="AM75" s="20">
        <f>ROUND((AK75/(100))*T75*(db!$AS$9),0)</f>
        <v>0</v>
      </c>
      <c r="AN75" s="21">
        <f>IF(db!$D$8="Yes",AH75,0)</f>
        <v>0</v>
      </c>
      <c r="AO75" s="22">
        <f>(AN75*V75)/1000*(1-db!$AS$9)</f>
        <v>0</v>
      </c>
      <c r="AP75" s="22">
        <f>(AN75*V75)/1000*(db!$AS$9)</f>
        <v>0</v>
      </c>
      <c r="AQ75" s="23">
        <f>IF(db!$D$10="Yes",AH75,0)</f>
        <v>0</v>
      </c>
      <c r="AR75" s="20">
        <f>(AQ75*W75/1000)*(1-db!$AS$9)</f>
        <v>0</v>
      </c>
      <c r="AS75" s="20">
        <f>(AQ75*W75/1000)*(db!$AS$9)</f>
        <v>0</v>
      </c>
      <c r="AT75" s="22">
        <f>IF(B75=0,0,IF(C75&gt;60,0,LOOKUP(LOOKUP(C75,RiskLoading!A$3:A$109,RiskLoading!DG$3:DG$109),db!$BC$3:$BC$63,db!$BD$3:$BD$63)))</f>
        <v>0</v>
      </c>
      <c r="AU75" s="22">
        <f>AV75*db!$AS$10</f>
        <v>0</v>
      </c>
      <c r="AV75" s="22">
        <f t="shared" si="28"/>
        <v>0</v>
      </c>
      <c r="AW75" s="22">
        <f>(AT75/1000000)*Y75*(1-db!$AS$10)</f>
        <v>0</v>
      </c>
      <c r="AX75" s="20">
        <f>IF(B75=0,0,IF(C75&gt;60,0,LOOKUP(LOOKUP(C75,RiskLoading!A$3:A$109,RiskLoading!DG$3:DG$109),db!$BC$3:$BC$63,db!$BE$3:$BE$63)))</f>
        <v>0</v>
      </c>
      <c r="AY75" s="20">
        <f>(AX75/1000000)*AA75*(1-db!$AS$11)</f>
        <v>0</v>
      </c>
      <c r="AZ75" s="20">
        <f>(AX75/1000000)*AA75*(db!$AS$11)</f>
        <v>0</v>
      </c>
      <c r="BA75" s="19">
        <f>IF(Table13[Year]=0,0,LOOKUP(Table13[Age],RiskLoading!A$3:A$109,RiskLoading!DT$3:DT$109))</f>
        <v>0</v>
      </c>
      <c r="BB75" s="20">
        <f>Table13[[#This Row],[RiskLoading
Rate]]*Table13[[#This Row],[Death Capital (2)]]</f>
        <v>0</v>
      </c>
      <c r="BC75" s="36"/>
      <c r="BD75" s="37">
        <f t="shared" si="29"/>
        <v>0</v>
      </c>
      <c r="BE75" s="35">
        <f t="shared" si="30"/>
        <v>0</v>
      </c>
      <c r="BF75" s="35">
        <f t="shared" si="31"/>
        <v>0</v>
      </c>
      <c r="BG75" s="37">
        <f t="shared" si="32"/>
        <v>0</v>
      </c>
      <c r="BH75" s="37">
        <f t="shared" si="33"/>
        <v>0</v>
      </c>
      <c r="BI75" s="35">
        <f t="shared" si="38"/>
        <v>0</v>
      </c>
      <c r="BJ75" s="35">
        <f t="shared" si="39"/>
        <v>0</v>
      </c>
      <c r="BK75" s="37">
        <v>0</v>
      </c>
      <c r="BL75" s="37">
        <v>0</v>
      </c>
      <c r="BM75" s="35"/>
      <c r="BN75" s="37">
        <f>0</f>
        <v>0</v>
      </c>
      <c r="BO75" s="37"/>
      <c r="BP75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75" s="33"/>
      <c r="BR75" s="39">
        <f>Table13[[#This Row],[Initial Reserve]]-Table13[[#This Row],[All Deductions]]</f>
        <v>0</v>
      </c>
      <c r="BS75" s="39">
        <v>0</v>
      </c>
      <c r="BT75" s="39">
        <f>IF(B75=0,0,BU74-Table13[[#This Row],[All Deductions]])</f>
        <v>0</v>
      </c>
      <c r="BU75" s="40">
        <f>ROUND(IF(B75=0,0,((BR75+BU74)*(1+db!U77))),0)</f>
        <v>0</v>
      </c>
      <c r="BV75" s="40">
        <f t="shared" si="43"/>
        <v>0</v>
      </c>
      <c r="BW75" s="15">
        <f t="shared" si="40"/>
        <v>74</v>
      </c>
      <c r="BX75" s="39">
        <f>IF(B75=0,0,((BR75)*(1+db!AH77))+((BX74)*(1+db!AD77)))</f>
        <v>0</v>
      </c>
      <c r="BY75" s="39">
        <f>IF(B75=0,0,((BR75)*(1+db!AH77))+((BY74)*(1+db!AD77)))</f>
        <v>0</v>
      </c>
      <c r="BZ75" s="40">
        <f>IF(B75=0,0,((BR75)*(1+db!AO77))+((BZ74)*(1+db!AK77)))</f>
        <v>0</v>
      </c>
      <c r="CA75" s="40">
        <f>BZ75-(SUM(BM$7:$BM76))</f>
        <v>0</v>
      </c>
      <c r="CB75" s="46"/>
    </row>
    <row r="76" spans="1:80">
      <c r="A76" s="16">
        <f t="shared" si="41"/>
        <v>75</v>
      </c>
      <c r="B76" s="16">
        <f>IF(B75=0,0,IF(db!$E$5&lt;B75+1,0,B75+1))</f>
        <v>0</v>
      </c>
      <c r="C76" s="15">
        <f t="shared" si="42"/>
        <v>0</v>
      </c>
      <c r="D76" s="312">
        <f>LOOKUP(Table13[[#This Row],[Age]],RiskLoading!A$3:A$109,RiskLoading!DG$3:DG$109)</f>
        <v>55</v>
      </c>
      <c r="E76" s="29">
        <f t="shared" si="34"/>
        <v>0</v>
      </c>
      <c r="F76" s="29">
        <f t="shared" si="35"/>
        <v>0</v>
      </c>
      <c r="G76" s="29">
        <f t="shared" si="26"/>
        <v>0</v>
      </c>
      <c r="H76" s="29">
        <v>0</v>
      </c>
      <c r="I76" s="29">
        <f>IF(B76=0,0,SUM($H$2:H76))</f>
        <v>0</v>
      </c>
      <c r="J76" s="17">
        <f t="shared" si="36"/>
        <v>0</v>
      </c>
      <c r="K76" s="17">
        <f>IF(Table13[[#This Row],[Year]]=0,0,IF($C$2&lt;=50,LOOKUP(Table13[[#This Row],[Age]],db!BG77:BG183,db!BH77:BH183),LOOKUP(Table13[[#This Row],[Age]],db!BJ77:BJ183,db!BK77:BK183)))</f>
        <v>0</v>
      </c>
      <c r="L76" s="17">
        <f>MIN(IF(B76=0,0,db!$E$4*((1+db!$B$4)^(B76-1))),Table13[[#This Row],[Max Sum Insured For Death]])</f>
        <v>0</v>
      </c>
      <c r="M76" s="17">
        <f>ROUND(IF(L76&lt;=db!$L$7,L76,db!$L$7),0)</f>
        <v>0</v>
      </c>
      <c r="N76" s="29">
        <f t="shared" si="37"/>
        <v>0</v>
      </c>
      <c r="O76" s="29">
        <f>IF(B76=0,0,IF(db!$D$6="Yes",(db!$B$6)*M76,0))</f>
        <v>0</v>
      </c>
      <c r="P76" s="29">
        <f>MIN(IF(O76&lt;=db!$L$2,O76,db!$L$2),MAX_ACC_CAPITAL)</f>
        <v>0</v>
      </c>
      <c r="Q76" s="17">
        <f>IF(B76=0,0,IF(db!$D$7="Yes",(db!$B$7)*M76,0))</f>
        <v>0</v>
      </c>
      <c r="R76" s="42">
        <f>IF(C76&gt;69,0,IF(C76=0,0,IF(Q76&lt;=db!$L$3,Q76,db!$L$3)))</f>
        <v>0</v>
      </c>
      <c r="S76" s="29">
        <f>IF(B76=0,0,IF(db!$D$9="Yes",(db!$B$9)*M76,0))</f>
        <v>0</v>
      </c>
      <c r="T76" s="29">
        <f>ROUND(IF(C76&gt;69,0,IF(C76=0,0,IF(S76&lt;=db!$L$4,S76,db!$L$4))),0)</f>
        <v>0</v>
      </c>
      <c r="U76" s="38">
        <v>0</v>
      </c>
      <c r="V76" s="17">
        <v>0</v>
      </c>
      <c r="W76" s="29">
        <v>0</v>
      </c>
      <c r="X76" s="17">
        <f>IF(B76=0,0,IF(db!$D$11="Yes",(db!$B$11)*M76,0))</f>
        <v>0</v>
      </c>
      <c r="Y76" s="42">
        <f>ROUND(IF(C76&gt;59,0,IF(C76=0,0,IF(X76&lt;=db!$L$5,X76,db!$L$5))),0)</f>
        <v>0</v>
      </c>
      <c r="Z76" s="29">
        <f>IF(B76=0,0,IF(db!$D$12="Yes",(db!$B$12)*M76,0))</f>
        <v>0</v>
      </c>
      <c r="AA76" s="29">
        <f>ROUND(IF(C76&gt;59,0,IF(C76=0,0,IF(Z76&lt;=db!$L$6,Z76,db!$L$6))),0)</f>
        <v>0</v>
      </c>
      <c r="AB76" s="32"/>
      <c r="AC76" s="18">
        <f>IF(B76=0,0,IF(C76&lt;(db!$E$2+5),LOOKUP(C76,'Mortality Table'!$A$2:$A$108,'Mortality Table'!$P$2:$P$108),IF((C76&gt;=db!$E$2+10),LOOKUP(C76,'Mortality Table'!$A$2:$A$108,'Mortality Table'!$R$2:$R$108),LOOKUP(C76,'Mortality Table'!$A$2:$A$108,'Mortality Table'!$Q$2:$Q$108))))</f>
        <v>0</v>
      </c>
      <c r="AD76" s="22">
        <f t="shared" si="27"/>
        <v>0</v>
      </c>
      <c r="AE76" s="19">
        <f>IF(B76=0,0,LOOKUP(db!$A$8,db!$AX$4:$AX$8,db!$AY$4:$AY$8))</f>
        <v>0</v>
      </c>
      <c r="AF76" s="20">
        <f>ROUND((AE76/1000)*P76 * (1-db!$AS$9),0)</f>
        <v>0</v>
      </c>
      <c r="AG76" s="20">
        <f>(AE76/1000)*P76 * db!$AS$9</f>
        <v>0</v>
      </c>
      <c r="AH76" s="21">
        <f>IF(B76=0,0,LOOKUP(db!$A$8,db!$AX$4:$AX$8,db!$AZ$4:$AZ$8))</f>
        <v>0</v>
      </c>
      <c r="AI76" s="22">
        <f>(AH76/1000)*R76*(1-db!$AS$9)</f>
        <v>0</v>
      </c>
      <c r="AJ76" s="22">
        <f>(AH76/1000)*R76*(db!$AS$9)</f>
        <v>0</v>
      </c>
      <c r="AK76" s="23">
        <f>IF(B76=0,0,LOOKUP(db!$A$8,db!$AX$4:$AX$8,db!$BA$4:$BA$8))</f>
        <v>0</v>
      </c>
      <c r="AL76" s="20">
        <f>ROUND((AK76/(100))*T76*(1-db!$AS$9),0)</f>
        <v>0</v>
      </c>
      <c r="AM76" s="20">
        <f>ROUND((AK76/(100))*T76*(db!$AS$9),0)</f>
        <v>0</v>
      </c>
      <c r="AN76" s="21">
        <f>IF(db!$D$8="Yes",AH76,0)</f>
        <v>0</v>
      </c>
      <c r="AO76" s="22">
        <f>(AN76*V76)/1000*(1-db!$AS$9)</f>
        <v>0</v>
      </c>
      <c r="AP76" s="22">
        <f>(AN76*V76)/1000*(db!$AS$9)</f>
        <v>0</v>
      </c>
      <c r="AQ76" s="23">
        <f>IF(db!$D$10="Yes",AH76,0)</f>
        <v>0</v>
      </c>
      <c r="AR76" s="20">
        <f>(AQ76*W76/1000)*(1-db!$AS$9)</f>
        <v>0</v>
      </c>
      <c r="AS76" s="20">
        <f>(AQ76*W76/1000)*(db!$AS$9)</f>
        <v>0</v>
      </c>
      <c r="AT76" s="22">
        <f>IF(B76=0,0,IF(C76&gt;60,0,LOOKUP(LOOKUP(C76,RiskLoading!A$3:A$109,RiskLoading!DG$3:DG$109),db!$BC$3:$BC$63,db!$BD$3:$BD$63)))</f>
        <v>0</v>
      </c>
      <c r="AU76" s="22">
        <f>AV76*db!$AS$10</f>
        <v>0</v>
      </c>
      <c r="AV76" s="22">
        <f t="shared" si="28"/>
        <v>0</v>
      </c>
      <c r="AW76" s="22">
        <f>(AT76/1000000)*Y76*(1-db!$AS$10)</f>
        <v>0</v>
      </c>
      <c r="AX76" s="20">
        <f>IF(B76=0,0,IF(C76&gt;60,0,LOOKUP(LOOKUP(C76,RiskLoading!A$3:A$109,RiskLoading!DG$3:DG$109),db!$BC$3:$BC$63,db!$BE$3:$BE$63)))</f>
        <v>0</v>
      </c>
      <c r="AY76" s="20">
        <f>(AX76/1000000)*AA76*(1-db!$AS$11)</f>
        <v>0</v>
      </c>
      <c r="AZ76" s="20">
        <f>(AX76/1000000)*AA76*(db!$AS$11)</f>
        <v>0</v>
      </c>
      <c r="BA76" s="19">
        <f>IF(Table13[Year]=0,0,LOOKUP(Table13[Age],RiskLoading!A$3:A$109,RiskLoading!DT$3:DT$109))</f>
        <v>0</v>
      </c>
      <c r="BB76" s="20">
        <f>Table13[[#This Row],[RiskLoading
Rate]]*Table13[[#This Row],[Death Capital (2)]]</f>
        <v>0</v>
      </c>
      <c r="BC76" s="36"/>
      <c r="BD76" s="37">
        <f t="shared" si="29"/>
        <v>0</v>
      </c>
      <c r="BE76" s="35">
        <f t="shared" si="30"/>
        <v>0</v>
      </c>
      <c r="BF76" s="35">
        <f t="shared" si="31"/>
        <v>0</v>
      </c>
      <c r="BG76" s="37">
        <f t="shared" si="32"/>
        <v>0</v>
      </c>
      <c r="BH76" s="37">
        <f t="shared" si="33"/>
        <v>0</v>
      </c>
      <c r="BI76" s="35">
        <f t="shared" si="38"/>
        <v>0</v>
      </c>
      <c r="BJ76" s="35">
        <f t="shared" si="39"/>
        <v>0</v>
      </c>
      <c r="BK76" s="37">
        <v>0</v>
      </c>
      <c r="BL76" s="37">
        <v>0</v>
      </c>
      <c r="BM76" s="35"/>
      <c r="BN76" s="37">
        <f>0</f>
        <v>0</v>
      </c>
      <c r="BO76" s="37"/>
      <c r="BP76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76" s="33"/>
      <c r="BR76" s="39">
        <f>Table13[[#This Row],[Initial Reserve]]-Table13[[#This Row],[All Deductions]]</f>
        <v>0</v>
      </c>
      <c r="BS76" s="39">
        <v>0</v>
      </c>
      <c r="BT76" s="39">
        <f>IF(B76=0,0,BU75-Table13[[#This Row],[All Deductions]])</f>
        <v>0</v>
      </c>
      <c r="BU76" s="40">
        <f>ROUND(IF(B76=0,0,((BR76+BU75)*(1+db!U78))),0)</f>
        <v>0</v>
      </c>
      <c r="BV76" s="40">
        <f t="shared" si="43"/>
        <v>0</v>
      </c>
      <c r="BW76" s="15">
        <f t="shared" si="40"/>
        <v>75</v>
      </c>
      <c r="BX76" s="39">
        <f>IF(B76=0,0,((BR76)*(1+db!AH78))+((BX75)*(1+db!AD78)))</f>
        <v>0</v>
      </c>
      <c r="BY76" s="39">
        <f>IF(B76=0,0,((BR76)*(1+db!AH78))+((BY75)*(1+db!AD78)))</f>
        <v>0</v>
      </c>
      <c r="BZ76" s="40">
        <f>IF(B76=0,0,((BR76)*(1+db!AO78))+((BZ75)*(1+db!AK78)))</f>
        <v>0</v>
      </c>
      <c r="CA76" s="40">
        <f>BZ76-(SUM(BM$7:$BM77))</f>
        <v>0</v>
      </c>
      <c r="CB76" s="46"/>
    </row>
    <row r="77" spans="1:80">
      <c r="A77" s="16">
        <f t="shared" si="41"/>
        <v>76</v>
      </c>
      <c r="B77" s="16">
        <f>IF(B76=0,0,IF(db!$E$5&lt;B76+1,0,B76+1))</f>
        <v>0</v>
      </c>
      <c r="C77" s="15">
        <f t="shared" si="42"/>
        <v>0</v>
      </c>
      <c r="D77" s="312">
        <f>LOOKUP(Table13[[#This Row],[Age]],RiskLoading!A$3:A$109,RiskLoading!DG$3:DG$109)</f>
        <v>55</v>
      </c>
      <c r="E77" s="29">
        <f t="shared" si="34"/>
        <v>0</v>
      </c>
      <c r="F77" s="29">
        <f t="shared" si="35"/>
        <v>0</v>
      </c>
      <c r="G77" s="29">
        <f t="shared" si="26"/>
        <v>0</v>
      </c>
      <c r="H77" s="29">
        <v>0</v>
      </c>
      <c r="I77" s="29">
        <f>IF(B77=0,0,SUM($H$2:H77))</f>
        <v>0</v>
      </c>
      <c r="J77" s="17">
        <f t="shared" si="36"/>
        <v>0</v>
      </c>
      <c r="K77" s="17">
        <f>IF(Table13[[#This Row],[Year]]=0,0,IF($C$2&lt;=50,LOOKUP(Table13[[#This Row],[Age]],db!BG78:BG184,db!BH78:BH184),LOOKUP(Table13[[#This Row],[Age]],db!BJ78:BJ184,db!BK78:BK184)))</f>
        <v>0</v>
      </c>
      <c r="L77" s="17">
        <f>MIN(IF(B77=0,0,db!$E$4*((1+db!$B$4)^(B77-1))),Table13[[#This Row],[Max Sum Insured For Death]])</f>
        <v>0</v>
      </c>
      <c r="M77" s="17">
        <f>ROUND(IF(L77&lt;=db!$L$7,L77,db!$L$7),0)</f>
        <v>0</v>
      </c>
      <c r="N77" s="29">
        <f t="shared" si="37"/>
        <v>0</v>
      </c>
      <c r="O77" s="29">
        <f>IF(B77=0,0,IF(db!$D$6="Yes",(db!$B$6)*M77,0))</f>
        <v>0</v>
      </c>
      <c r="P77" s="29">
        <f>MIN(IF(O77&lt;=db!$L$2,O77,db!$L$2),MAX_ACC_CAPITAL)</f>
        <v>0</v>
      </c>
      <c r="Q77" s="17">
        <f>IF(B77=0,0,IF(db!$D$7="Yes",(db!$B$7)*M77,0))</f>
        <v>0</v>
      </c>
      <c r="R77" s="42">
        <f>IF(C77&gt;69,0,IF(C77=0,0,IF(Q77&lt;=db!$L$3,Q77,db!$L$3)))</f>
        <v>0</v>
      </c>
      <c r="S77" s="29">
        <f>IF(B77=0,0,IF(db!$D$9="Yes",(db!$B$9)*M77,0))</f>
        <v>0</v>
      </c>
      <c r="T77" s="29">
        <f>ROUND(IF(C77&gt;69,0,IF(C77=0,0,IF(S77&lt;=db!$L$4,S77,db!$L$4))),0)</f>
        <v>0</v>
      </c>
      <c r="U77" s="38">
        <v>0</v>
      </c>
      <c r="V77" s="17">
        <v>0</v>
      </c>
      <c r="W77" s="29">
        <v>0</v>
      </c>
      <c r="X77" s="17">
        <f>IF(B77=0,0,IF(db!$D$11="Yes",(db!$B$11)*M77,0))</f>
        <v>0</v>
      </c>
      <c r="Y77" s="42">
        <f>ROUND(IF(C77&gt;59,0,IF(C77=0,0,IF(X77&lt;=db!$L$5,X77,db!$L$5))),0)</f>
        <v>0</v>
      </c>
      <c r="Z77" s="29">
        <f>IF(B77=0,0,IF(db!$D$12="Yes",(db!$B$12)*M77,0))</f>
        <v>0</v>
      </c>
      <c r="AA77" s="29">
        <f>ROUND(IF(C77&gt;59,0,IF(C77=0,0,IF(Z77&lt;=db!$L$6,Z77,db!$L$6))),0)</f>
        <v>0</v>
      </c>
      <c r="AB77" s="32"/>
      <c r="AC77" s="18">
        <f>IF(B77=0,0,IF(C77&lt;(db!$E$2+5),LOOKUP(C77,'Mortality Table'!$A$2:$A$108,'Mortality Table'!$P$2:$P$108),IF((C77&gt;=db!$E$2+10),LOOKUP(C77,'Mortality Table'!$A$2:$A$108,'Mortality Table'!$R$2:$R$108),LOOKUP(C77,'Mortality Table'!$A$2:$A$108,'Mortality Table'!$Q$2:$Q$108))))</f>
        <v>0</v>
      </c>
      <c r="AD77" s="22">
        <f t="shared" si="27"/>
        <v>0</v>
      </c>
      <c r="AE77" s="19">
        <f>IF(B77=0,0,LOOKUP(db!$A$8,db!$AX$4:$AX$8,db!$AY$4:$AY$8))</f>
        <v>0</v>
      </c>
      <c r="AF77" s="20">
        <f>ROUND((AE77/1000)*P77 * (1-db!$AS$9),0)</f>
        <v>0</v>
      </c>
      <c r="AG77" s="20">
        <f>(AE77/1000)*P77 * db!$AS$9</f>
        <v>0</v>
      </c>
      <c r="AH77" s="21">
        <f>IF(B77=0,0,LOOKUP(db!$A$8,db!$AX$4:$AX$8,db!$AZ$4:$AZ$8))</f>
        <v>0</v>
      </c>
      <c r="AI77" s="22">
        <f>(AH77/1000)*R77*(1-db!$AS$9)</f>
        <v>0</v>
      </c>
      <c r="AJ77" s="22">
        <f>(AH77/1000)*R77*(db!$AS$9)</f>
        <v>0</v>
      </c>
      <c r="AK77" s="23">
        <f>IF(B77=0,0,LOOKUP(db!$A$8,db!$AX$4:$AX$8,db!$BA$4:$BA$8))</f>
        <v>0</v>
      </c>
      <c r="AL77" s="20">
        <f>ROUND((AK77/(100))*T77*(1-db!$AS$9),0)</f>
        <v>0</v>
      </c>
      <c r="AM77" s="20">
        <f>ROUND((AK77/(100))*T77*(db!$AS$9),0)</f>
        <v>0</v>
      </c>
      <c r="AN77" s="21">
        <f>IF(db!$D$8="Yes",AH77,0)</f>
        <v>0</v>
      </c>
      <c r="AO77" s="22">
        <f>(AN77*V77)/1000*(1-db!$AS$9)</f>
        <v>0</v>
      </c>
      <c r="AP77" s="22">
        <f>(AN77*V77)/1000*(db!$AS$9)</f>
        <v>0</v>
      </c>
      <c r="AQ77" s="23">
        <f>IF(db!$D$10="Yes",AH77,0)</f>
        <v>0</v>
      </c>
      <c r="AR77" s="20">
        <f>(AQ77*W77/1000)*(1-db!$AS$9)</f>
        <v>0</v>
      </c>
      <c r="AS77" s="20">
        <f>(AQ77*W77/1000)*(db!$AS$9)</f>
        <v>0</v>
      </c>
      <c r="AT77" s="22">
        <f>IF(B77=0,0,IF(C77&gt;60,0,LOOKUP(LOOKUP(C77,RiskLoading!A$3:A$109,RiskLoading!DG$3:DG$109),db!$BC$3:$BC$63,db!$BD$3:$BD$63)))</f>
        <v>0</v>
      </c>
      <c r="AU77" s="22">
        <f>AV77*db!$AS$10</f>
        <v>0</v>
      </c>
      <c r="AV77" s="22">
        <f t="shared" si="28"/>
        <v>0</v>
      </c>
      <c r="AW77" s="22">
        <f>(AT77/1000000)*Y77*(1-db!$AS$10)</f>
        <v>0</v>
      </c>
      <c r="AX77" s="20">
        <f>IF(B77=0,0,IF(C77&gt;60,0,LOOKUP(LOOKUP(C77,RiskLoading!A$3:A$109,RiskLoading!DG$3:DG$109),db!$BC$3:$BC$63,db!$BE$3:$BE$63)))</f>
        <v>0</v>
      </c>
      <c r="AY77" s="20">
        <f>(AX77/1000000)*AA77*(1-db!$AS$11)</f>
        <v>0</v>
      </c>
      <c r="AZ77" s="20">
        <f>(AX77/1000000)*AA77*(db!$AS$11)</f>
        <v>0</v>
      </c>
      <c r="BA77" s="19">
        <f>IF(Table13[Year]=0,0,LOOKUP(Table13[Age],RiskLoading!A$3:A$109,RiskLoading!DL$3:DL$109))</f>
        <v>0</v>
      </c>
      <c r="BB77" s="20">
        <f>Table13[[#This Row],[RiskLoading
Rate]]*Table13[[#This Row],[Death Capital (2)]]</f>
        <v>0</v>
      </c>
      <c r="BC77" s="36"/>
      <c r="BD77" s="37">
        <f t="shared" si="29"/>
        <v>0</v>
      </c>
      <c r="BE77" s="35">
        <f t="shared" si="30"/>
        <v>0</v>
      </c>
      <c r="BF77" s="35">
        <f t="shared" si="31"/>
        <v>0</v>
      </c>
      <c r="BG77" s="37">
        <f t="shared" si="32"/>
        <v>0</v>
      </c>
      <c r="BH77" s="37">
        <f t="shared" si="33"/>
        <v>0</v>
      </c>
      <c r="BI77" s="35">
        <f t="shared" si="38"/>
        <v>0</v>
      </c>
      <c r="BJ77" s="35">
        <f t="shared" si="39"/>
        <v>0</v>
      </c>
      <c r="BK77" s="37">
        <v>0</v>
      </c>
      <c r="BL77" s="37">
        <v>0</v>
      </c>
      <c r="BM77" s="35"/>
      <c r="BN77" s="37">
        <f>0</f>
        <v>0</v>
      </c>
      <c r="BO77" s="37"/>
      <c r="BP77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77" s="33"/>
      <c r="BR77" s="39">
        <f>Table13[[#This Row],[Initial Reserve]]-Table13[[#This Row],[All Deductions]]</f>
        <v>0</v>
      </c>
      <c r="BS77" s="39">
        <v>0</v>
      </c>
      <c r="BT77" s="39">
        <f>IF(B77=0,0,BU76-Table13[[#This Row],[All Deductions]])</f>
        <v>0</v>
      </c>
      <c r="BU77" s="40">
        <f>ROUND(IF(B77=0,0,((BR77+BU76)*(1+db!U79))),0)</f>
        <v>0</v>
      </c>
      <c r="BV77" s="40">
        <f t="shared" si="43"/>
        <v>0</v>
      </c>
      <c r="BW77" s="15">
        <f t="shared" si="40"/>
        <v>76</v>
      </c>
      <c r="BX77" s="39">
        <f>IF(B77=0,0,((BR77)*(1+db!AH79))+((BX76)*(1+db!AD79)))</f>
        <v>0</v>
      </c>
      <c r="BY77" s="39">
        <f>IF(B77=0,0,((BR77)*(1+db!AH79))+((BY76)*(1+db!AD79)))</f>
        <v>0</v>
      </c>
      <c r="BZ77" s="40">
        <f>IF(B77=0,0,((BR77)*(1+db!AO79))+((BZ76)*(1+db!AK79)))</f>
        <v>0</v>
      </c>
      <c r="CA77" s="40">
        <f>BZ77-(SUM(BM$7:$BM78))</f>
        <v>0</v>
      </c>
      <c r="CB77" s="46"/>
    </row>
    <row r="78" spans="1:80">
      <c r="A78" s="16">
        <f t="shared" si="41"/>
        <v>77</v>
      </c>
      <c r="B78" s="16">
        <f>IF(B77=0,0,IF(db!$E$5&lt;B77+1,0,B77+1))</f>
        <v>0</v>
      </c>
      <c r="C78" s="15">
        <f t="shared" si="42"/>
        <v>0</v>
      </c>
      <c r="D78" s="312">
        <f>LOOKUP(Table13[[#This Row],[Age]],RiskLoading!A$3:A$109,RiskLoading!DG$3:DG$109)</f>
        <v>55</v>
      </c>
      <c r="E78" s="29">
        <f t="shared" si="34"/>
        <v>0</v>
      </c>
      <c r="F78" s="29">
        <f t="shared" si="35"/>
        <v>0</v>
      </c>
      <c r="G78" s="29">
        <f t="shared" si="26"/>
        <v>0</v>
      </c>
      <c r="H78" s="29">
        <v>0</v>
      </c>
      <c r="I78" s="29">
        <f>IF(B78=0,0,SUM($H$2:H78))</f>
        <v>0</v>
      </c>
      <c r="J78" s="17">
        <f t="shared" si="36"/>
        <v>0</v>
      </c>
      <c r="K78" s="17">
        <f>IF(Table13[[#This Row],[Year]]=0,0,IF($C$2&lt;=50,LOOKUP(Table13[[#This Row],[Age]],db!BG79:BG185,db!BH79:BH185),LOOKUP(Table13[[#This Row],[Age]],db!BJ79:BJ185,db!BK79:BK185)))</f>
        <v>0</v>
      </c>
      <c r="L78" s="17">
        <f>MIN(IF(B78=0,0,db!$E$4*((1+db!$B$4)^(B78-1))),Table13[[#This Row],[Max Sum Insured For Death]])</f>
        <v>0</v>
      </c>
      <c r="M78" s="17">
        <f>ROUND(IF(L78&lt;=db!$L$7,L78,db!$L$7),0)</f>
        <v>0</v>
      </c>
      <c r="N78" s="29">
        <f t="shared" si="37"/>
        <v>0</v>
      </c>
      <c r="O78" s="29">
        <f>IF(B78=0,0,IF(db!$D$6="Yes",(db!$B$6)*M78,0))</f>
        <v>0</v>
      </c>
      <c r="P78" s="29">
        <f>MIN(IF(O78&lt;=db!$L$2,O78,db!$L$2),MAX_ACC_CAPITAL)</f>
        <v>0</v>
      </c>
      <c r="Q78" s="17">
        <f>IF(B78=0,0,IF(db!$D$7="Yes",(db!$B$7)*M78,0))</f>
        <v>0</v>
      </c>
      <c r="R78" s="42">
        <f>IF(C78&gt;69,0,IF(C78=0,0,IF(Q78&lt;=db!$L$3,Q78,db!$L$3)))</f>
        <v>0</v>
      </c>
      <c r="S78" s="29">
        <f>IF(B78=0,0,IF(db!$D$9="Yes",(db!$B$9)*M78,0))</f>
        <v>0</v>
      </c>
      <c r="T78" s="29">
        <f>ROUND(IF(C78&gt;69,0,IF(C78=0,0,IF(S78&lt;=db!$L$4,S78,db!$L$4))),0)</f>
        <v>0</v>
      </c>
      <c r="U78" s="38">
        <v>0</v>
      </c>
      <c r="V78" s="17">
        <v>0</v>
      </c>
      <c r="W78" s="29">
        <v>0</v>
      </c>
      <c r="X78" s="17">
        <f>IF(B78=0,0,IF(db!$D$11="Yes",(db!$B$11)*M78,0))</f>
        <v>0</v>
      </c>
      <c r="Y78" s="42">
        <f>ROUND(IF(C78&gt;59,0,IF(C78=0,0,IF(X78&lt;=db!$L$5,X78,db!$L$5))),0)</f>
        <v>0</v>
      </c>
      <c r="Z78" s="29">
        <f>IF(B78=0,0,IF(db!$D$12="Yes",(db!$B$12)*M78,0))</f>
        <v>0</v>
      </c>
      <c r="AA78" s="29">
        <f>ROUND(IF(C78&gt;59,0,IF(C78=0,0,IF(Z78&lt;=db!$L$6,Z78,db!$L$6))),0)</f>
        <v>0</v>
      </c>
      <c r="AB78" s="32"/>
      <c r="AC78" s="18">
        <f>IF(B78=0,0,IF(C78&lt;(db!$E$2+5),LOOKUP(C78,'Mortality Table'!$A$2:$A$108,'Mortality Table'!$P$2:$P$108),IF((C78&gt;=db!$E$2+10),LOOKUP(C78,'Mortality Table'!$A$2:$A$108,'Mortality Table'!$R$2:$R$108),LOOKUP(C78,'Mortality Table'!$A$2:$A$108,'Mortality Table'!$Q$2:$Q$108))))</f>
        <v>0</v>
      </c>
      <c r="AD78" s="22">
        <f t="shared" si="27"/>
        <v>0</v>
      </c>
      <c r="AE78" s="19">
        <f>IF(B78=0,0,LOOKUP(db!$A$8,db!$AX$4:$AX$8,db!$AY$4:$AY$8))</f>
        <v>0</v>
      </c>
      <c r="AF78" s="20">
        <f>ROUND((AE78/1000)*P78 * (1-db!$AS$9),0)</f>
        <v>0</v>
      </c>
      <c r="AG78" s="20">
        <f>(AE78/1000)*P78 * db!$AS$9</f>
        <v>0</v>
      </c>
      <c r="AH78" s="21">
        <f>IF(B78=0,0,LOOKUP(db!$A$8,db!$AX$4:$AX$8,db!$AZ$4:$AZ$8))</f>
        <v>0</v>
      </c>
      <c r="AI78" s="22">
        <f>(AH78/1000)*R78*(1-db!$AS$9)</f>
        <v>0</v>
      </c>
      <c r="AJ78" s="22">
        <f>(AH78/1000)*R78*(db!$AS$9)</f>
        <v>0</v>
      </c>
      <c r="AK78" s="23">
        <f>IF(B78=0,0,LOOKUP(db!$A$8,db!$AX$4:$AX$8,db!$BA$4:$BA$8))</f>
        <v>0</v>
      </c>
      <c r="AL78" s="20">
        <f>ROUND((AK78/(100))*T78*(1-db!$AS$9),0)</f>
        <v>0</v>
      </c>
      <c r="AM78" s="20">
        <f>ROUND((AK78/(100))*T78*(db!$AS$9),0)</f>
        <v>0</v>
      </c>
      <c r="AN78" s="21">
        <f>IF(db!$D$8="Yes",AH78,0)</f>
        <v>0</v>
      </c>
      <c r="AO78" s="22">
        <f>(AN78*V78)/1000*(1-db!$AS$9)</f>
        <v>0</v>
      </c>
      <c r="AP78" s="22">
        <f>(AN78*V78)/1000*(db!$AS$9)</f>
        <v>0</v>
      </c>
      <c r="AQ78" s="23">
        <f>IF(db!$D$10="Yes",AH78,0)</f>
        <v>0</v>
      </c>
      <c r="AR78" s="20">
        <f>(AQ78*W78/1000)*(1-db!$AS$9)</f>
        <v>0</v>
      </c>
      <c r="AS78" s="20">
        <f>(AQ78*W78/1000)*(db!$AS$9)</f>
        <v>0</v>
      </c>
      <c r="AT78" s="22">
        <f>IF(B78=0,0,IF(C78&gt;60,0,LOOKUP(LOOKUP(C78,RiskLoading!A$3:A$109,RiskLoading!DG$3:DG$109),db!$BC$3:$BC$63,db!$BD$3:$BD$63)))</f>
        <v>0</v>
      </c>
      <c r="AU78" s="22">
        <f>AV78*db!$AS$10</f>
        <v>0</v>
      </c>
      <c r="AV78" s="22">
        <f t="shared" si="28"/>
        <v>0</v>
      </c>
      <c r="AW78" s="22">
        <f>(AT78/1000000)*Y78*(1-db!$AS$10)</f>
        <v>0</v>
      </c>
      <c r="AX78" s="20">
        <f>IF(B78=0,0,IF(C78&gt;60,0,LOOKUP(LOOKUP(C78,RiskLoading!A$3:A$109,RiskLoading!DG$3:DG$109),db!$BC$3:$BC$63,db!$BE$3:$BE$63)))</f>
        <v>0</v>
      </c>
      <c r="AY78" s="20">
        <f>(AX78/1000000)*AA78*(1-db!$AS$11)</f>
        <v>0</v>
      </c>
      <c r="AZ78" s="20">
        <f>(AX78/1000000)*AA78*(db!$AS$11)</f>
        <v>0</v>
      </c>
      <c r="BA78" s="19">
        <f>IF(Table13[Year]=0,0,LOOKUP(Table13[Age],RiskLoading!A$3:A$109,RiskLoading!DL$3:DL$109))</f>
        <v>0</v>
      </c>
      <c r="BB78" s="20">
        <f>Table13[[#This Row],[RiskLoading
Rate]]*Table13[[#This Row],[Death Capital (2)]]</f>
        <v>0</v>
      </c>
      <c r="BC78" s="36"/>
      <c r="BD78" s="37">
        <f t="shared" si="29"/>
        <v>0</v>
      </c>
      <c r="BE78" s="35">
        <f t="shared" si="30"/>
        <v>0</v>
      </c>
      <c r="BF78" s="35">
        <f t="shared" si="31"/>
        <v>0</v>
      </c>
      <c r="BG78" s="37">
        <f t="shared" si="32"/>
        <v>0</v>
      </c>
      <c r="BH78" s="37">
        <f t="shared" si="33"/>
        <v>0</v>
      </c>
      <c r="BI78" s="35">
        <f t="shared" si="38"/>
        <v>0</v>
      </c>
      <c r="BJ78" s="35">
        <f t="shared" si="39"/>
        <v>0</v>
      </c>
      <c r="BK78" s="37">
        <v>0</v>
      </c>
      <c r="BL78" s="37">
        <v>0</v>
      </c>
      <c r="BM78" s="35"/>
      <c r="BN78" s="37">
        <f>0</f>
        <v>0</v>
      </c>
      <c r="BO78" s="37"/>
      <c r="BP78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78" s="33"/>
      <c r="BR78" s="39">
        <f>Table13[[#This Row],[Initial Reserve]]-Table13[[#This Row],[All Deductions]]</f>
        <v>0</v>
      </c>
      <c r="BS78" s="39">
        <v>0</v>
      </c>
      <c r="BT78" s="39">
        <f>IF(B78=0,0,BU77-Table13[[#This Row],[All Deductions]])</f>
        <v>0</v>
      </c>
      <c r="BU78" s="40">
        <f>ROUND(IF(B78=0,0,((BR78+BU77)*(1+db!U80))),0)</f>
        <v>0</v>
      </c>
      <c r="BV78" s="40">
        <f t="shared" si="43"/>
        <v>0</v>
      </c>
      <c r="BW78" s="15">
        <f t="shared" si="40"/>
        <v>77</v>
      </c>
      <c r="BX78" s="39">
        <f>IF(B78=0,0,((BR78)*(1+db!AH80))+((BX77)*(1+db!AD80)))</f>
        <v>0</v>
      </c>
      <c r="BY78" s="39">
        <f>IF(B78=0,0,((BR78)*(1+db!AH80))+((BY77)*(1+db!AD80)))</f>
        <v>0</v>
      </c>
      <c r="BZ78" s="40">
        <f>IF(B78=0,0,((BR78)*(1+db!AO80))+((BZ77)*(1+db!AK80)))</f>
        <v>0</v>
      </c>
      <c r="CA78" s="40">
        <f>BZ78-(SUM(BM$7:$BM79))</f>
        <v>0</v>
      </c>
      <c r="CB78" s="46"/>
    </row>
    <row r="79" spans="1:80">
      <c r="A79" s="16">
        <f t="shared" si="41"/>
        <v>78</v>
      </c>
      <c r="B79" s="16">
        <f>IF(B78=0,0,IF(db!$E$5&lt;B78+1,0,B78+1))</f>
        <v>0</v>
      </c>
      <c r="C79" s="15">
        <f t="shared" si="42"/>
        <v>0</v>
      </c>
      <c r="D79" s="312">
        <f>LOOKUP(Table13[[#This Row],[Age]],RiskLoading!A$3:A$109,RiskLoading!DG$3:DG$109)</f>
        <v>55</v>
      </c>
      <c r="E79" s="29">
        <f t="shared" si="34"/>
        <v>0</v>
      </c>
      <c r="F79" s="29">
        <f t="shared" si="35"/>
        <v>0</v>
      </c>
      <c r="G79" s="29">
        <f t="shared" si="26"/>
        <v>0</v>
      </c>
      <c r="H79" s="29">
        <v>0</v>
      </c>
      <c r="I79" s="29">
        <f>IF(B79=0,0,SUM($H$2:H79))</f>
        <v>0</v>
      </c>
      <c r="J79" s="17">
        <f t="shared" si="36"/>
        <v>0</v>
      </c>
      <c r="K79" s="17">
        <f>IF(Table13[[#This Row],[Year]]=0,0,IF($C$2&lt;=50,LOOKUP(Table13[[#This Row],[Age]],db!BG80:BG186,db!BH80:BH186),LOOKUP(Table13[[#This Row],[Age]],db!BJ80:BJ186,db!BK80:BK186)))</f>
        <v>0</v>
      </c>
      <c r="L79" s="17">
        <f>MIN(IF(B79=0,0,db!$E$4*((1+db!$B$4)^(B79-1))),Table13[[#This Row],[Max Sum Insured For Death]])</f>
        <v>0</v>
      </c>
      <c r="M79" s="17">
        <f>ROUND(IF(L79&lt;=db!$L$7,L79,db!$L$7),0)</f>
        <v>0</v>
      </c>
      <c r="N79" s="29">
        <f t="shared" si="37"/>
        <v>0</v>
      </c>
      <c r="O79" s="29">
        <f>IF(B79=0,0,IF(db!$D$6="Yes",(db!$B$6)*M79,0))</f>
        <v>0</v>
      </c>
      <c r="P79" s="29">
        <f>MIN(IF(O79&lt;=db!$L$2,O79,db!$L$2),MAX_ACC_CAPITAL)</f>
        <v>0</v>
      </c>
      <c r="Q79" s="17">
        <f>IF(B79=0,0,IF(db!$D$7="Yes",(db!$B$7)*M79,0))</f>
        <v>0</v>
      </c>
      <c r="R79" s="42">
        <f>IF(C79&gt;69,0,IF(C79=0,0,IF(Q79&lt;=db!$L$3,Q79,db!$L$3)))</f>
        <v>0</v>
      </c>
      <c r="S79" s="29">
        <f>IF(B79=0,0,IF(db!$D$9="Yes",(db!$B$9)*M79,0))</f>
        <v>0</v>
      </c>
      <c r="T79" s="29">
        <f>ROUND(IF(C79&gt;69,0,IF(C79=0,0,IF(S79&lt;=db!$L$4,S79,db!$L$4))),0)</f>
        <v>0</v>
      </c>
      <c r="U79" s="38">
        <v>0</v>
      </c>
      <c r="V79" s="17">
        <v>0</v>
      </c>
      <c r="W79" s="29">
        <v>0</v>
      </c>
      <c r="X79" s="17">
        <f>IF(B79=0,0,IF(db!$D$11="Yes",(db!$B$11)*M79,0))</f>
        <v>0</v>
      </c>
      <c r="Y79" s="42">
        <f>ROUND(IF(C79&gt;59,0,IF(C79=0,0,IF(X79&lt;=db!$L$5,X79,db!$L$5))),0)</f>
        <v>0</v>
      </c>
      <c r="Z79" s="29">
        <f>IF(B79=0,0,IF(db!$D$12="Yes",(db!$B$12)*M79,0))</f>
        <v>0</v>
      </c>
      <c r="AA79" s="29">
        <f>ROUND(IF(C79&gt;59,0,IF(C79=0,0,IF(Z79&lt;=db!$L$6,Z79,db!$L$6))),0)</f>
        <v>0</v>
      </c>
      <c r="AB79" s="32"/>
      <c r="AC79" s="18">
        <f>IF(B79=0,0,IF(C79&lt;(db!$E$2+5),LOOKUP(C79,'Mortality Table'!$A$2:$A$108,'Mortality Table'!$P$2:$P$108),IF((C79&gt;=db!$E$2+10),LOOKUP(C79,'Mortality Table'!$A$2:$A$108,'Mortality Table'!$R$2:$R$108),LOOKUP(C79,'Mortality Table'!$A$2:$A$108,'Mortality Table'!$Q$2:$Q$108))))</f>
        <v>0</v>
      </c>
      <c r="AD79" s="22">
        <f t="shared" si="27"/>
        <v>0</v>
      </c>
      <c r="AE79" s="19">
        <f>IF(B79=0,0,LOOKUP(db!$A$8,db!$AX$4:$AX$8,db!$AY$4:$AY$8))</f>
        <v>0</v>
      </c>
      <c r="AF79" s="20">
        <f>ROUND((AE79/1000)*P79 * (1-db!$AS$9),0)</f>
        <v>0</v>
      </c>
      <c r="AG79" s="20">
        <f>(AE79/1000)*P79 * db!$AS$9</f>
        <v>0</v>
      </c>
      <c r="AH79" s="21">
        <f>IF(B79=0,0,LOOKUP(db!$A$8,db!$AX$4:$AX$8,db!$AZ$4:$AZ$8))</f>
        <v>0</v>
      </c>
      <c r="AI79" s="22">
        <f>(AH79/1000)*R79*(1-db!$AS$9)</f>
        <v>0</v>
      </c>
      <c r="AJ79" s="22">
        <f>(AH79/1000)*R79*(db!$AS$9)</f>
        <v>0</v>
      </c>
      <c r="AK79" s="23">
        <f>IF(B79=0,0,LOOKUP(db!$A$8,db!$AX$4:$AX$8,db!$BA$4:$BA$8))</f>
        <v>0</v>
      </c>
      <c r="AL79" s="20">
        <f>ROUND((AK79/(100))*T79*(1-db!$AS$9),0)</f>
        <v>0</v>
      </c>
      <c r="AM79" s="20">
        <f>ROUND((AK79/(100))*T79*(db!$AS$9),0)</f>
        <v>0</v>
      </c>
      <c r="AN79" s="21">
        <f>IF(db!$D$8="Yes",AH79,0)</f>
        <v>0</v>
      </c>
      <c r="AO79" s="22">
        <f>(AN79*V79)/1000*(1-db!$AS$9)</f>
        <v>0</v>
      </c>
      <c r="AP79" s="22">
        <f>(AN79*V79)/1000*(db!$AS$9)</f>
        <v>0</v>
      </c>
      <c r="AQ79" s="23">
        <f>IF(db!$D$10="Yes",AH79,0)</f>
        <v>0</v>
      </c>
      <c r="AR79" s="20">
        <f>(AQ79*W79/1000)*(1-db!$AS$9)</f>
        <v>0</v>
      </c>
      <c r="AS79" s="20">
        <f>(AQ79*W79/1000)*(db!$AS$9)</f>
        <v>0</v>
      </c>
      <c r="AT79" s="22">
        <f>IF(B79=0,0,IF(C79&gt;60,0,LOOKUP(LOOKUP(C79,RiskLoading!A$3:A$109,RiskLoading!DG$3:DG$109),db!$BC$3:$BC$63,db!$BD$3:$BD$63)))</f>
        <v>0</v>
      </c>
      <c r="AU79" s="22">
        <f>AV79*db!$AS$10</f>
        <v>0</v>
      </c>
      <c r="AV79" s="22">
        <f t="shared" si="28"/>
        <v>0</v>
      </c>
      <c r="AW79" s="22">
        <f>(AT79/1000000)*Y79*(1-db!$AS$10)</f>
        <v>0</v>
      </c>
      <c r="AX79" s="20">
        <f>IF(B79=0,0,IF(C79&gt;60,0,LOOKUP(LOOKUP(C79,RiskLoading!A$3:A$109,RiskLoading!DG$3:DG$109),db!$BC$3:$BC$63,db!$BE$3:$BE$63)))</f>
        <v>0</v>
      </c>
      <c r="AY79" s="20">
        <f>(AX79/1000000)*AA79*(1-db!$AS$11)</f>
        <v>0</v>
      </c>
      <c r="AZ79" s="20">
        <f>(AX79/1000000)*AA79*(db!$AS$11)</f>
        <v>0</v>
      </c>
      <c r="BA79" s="19">
        <f>IF(Table13[Year]=0,0,LOOKUP(Table13[Age],RiskLoading!A$3:A$109,RiskLoading!DL$3:DL$109))</f>
        <v>0</v>
      </c>
      <c r="BB79" s="20">
        <f>Table13[[#This Row],[RiskLoading
Rate]]*Table13[[#This Row],[Death Capital (2)]]</f>
        <v>0</v>
      </c>
      <c r="BC79" s="36"/>
      <c r="BD79" s="37">
        <f t="shared" si="29"/>
        <v>0</v>
      </c>
      <c r="BE79" s="35">
        <f t="shared" si="30"/>
        <v>0</v>
      </c>
      <c r="BF79" s="35">
        <f t="shared" si="31"/>
        <v>0</v>
      </c>
      <c r="BG79" s="37">
        <f t="shared" si="32"/>
        <v>0</v>
      </c>
      <c r="BH79" s="37">
        <f t="shared" si="33"/>
        <v>0</v>
      </c>
      <c r="BI79" s="35">
        <f t="shared" si="38"/>
        <v>0</v>
      </c>
      <c r="BJ79" s="35">
        <f t="shared" si="39"/>
        <v>0</v>
      </c>
      <c r="BK79" s="37">
        <v>0</v>
      </c>
      <c r="BL79" s="37">
        <v>0</v>
      </c>
      <c r="BM79" s="35"/>
      <c r="BN79" s="37">
        <f>0</f>
        <v>0</v>
      </c>
      <c r="BO79" s="37"/>
      <c r="BP79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79" s="33"/>
      <c r="BR79" s="39">
        <f>Table13[[#This Row],[Initial Reserve]]-Table13[[#This Row],[All Deductions]]</f>
        <v>0</v>
      </c>
      <c r="BS79" s="39">
        <v>0</v>
      </c>
      <c r="BT79" s="39">
        <f>IF(B79=0,0,BU78-Table13[[#This Row],[All Deductions]])</f>
        <v>0</v>
      </c>
      <c r="BU79" s="40">
        <f>ROUND(IF(B79=0,0,((BR79+BU78)*(1+db!U81))),0)</f>
        <v>0</v>
      </c>
      <c r="BV79" s="40">
        <f t="shared" si="43"/>
        <v>0</v>
      </c>
      <c r="BW79" s="15">
        <f t="shared" si="40"/>
        <v>78</v>
      </c>
      <c r="BX79" s="39">
        <f>IF(B79=0,0,((BR79)*(1+db!AH81))+((BX78)*(1+db!AD81)))</f>
        <v>0</v>
      </c>
      <c r="BY79" s="39">
        <f>IF(B79=0,0,((BR79)*(1+db!AH81))+((BY78)*(1+db!AD81)))</f>
        <v>0</v>
      </c>
      <c r="BZ79" s="40">
        <f>IF(B79=0,0,((BR79)*(1+db!AO81))+((BZ78)*(1+db!AK81)))</f>
        <v>0</v>
      </c>
      <c r="CA79" s="40">
        <f>BZ79-(SUM(BM$7:$BM80))</f>
        <v>0</v>
      </c>
      <c r="CB79" s="46"/>
    </row>
    <row r="80" spans="1:80">
      <c r="A80" s="16">
        <f t="shared" si="41"/>
        <v>79</v>
      </c>
      <c r="B80" s="16">
        <f>IF(B79=0,0,IF(db!$E$5&lt;B79+1,0,B79+1))</f>
        <v>0</v>
      </c>
      <c r="C80" s="15">
        <f t="shared" si="42"/>
        <v>0</v>
      </c>
      <c r="D80" s="312">
        <f>LOOKUP(Table13[[#This Row],[Age]],RiskLoading!A$3:A$109,RiskLoading!DG$3:DG$109)</f>
        <v>55</v>
      </c>
      <c r="E80" s="29">
        <f t="shared" si="34"/>
        <v>0</v>
      </c>
      <c r="F80" s="29">
        <f t="shared" si="35"/>
        <v>0</v>
      </c>
      <c r="G80" s="29">
        <f t="shared" si="26"/>
        <v>0</v>
      </c>
      <c r="H80" s="29">
        <v>0</v>
      </c>
      <c r="I80" s="29">
        <f>IF(B80=0,0,SUM($H$2:H80))</f>
        <v>0</v>
      </c>
      <c r="J80" s="17">
        <f t="shared" si="36"/>
        <v>0</v>
      </c>
      <c r="K80" s="17">
        <f>IF(Table13[[#This Row],[Year]]=0,0,IF($C$2&lt;=50,LOOKUP(Table13[[#This Row],[Age]],db!BG81:BG187,db!BH81:BH187),LOOKUP(Table13[[#This Row],[Age]],db!BJ81:BJ187,db!BK81:BK187)))</f>
        <v>0</v>
      </c>
      <c r="L80" s="17">
        <f>MIN(IF(B80=0,0,db!$E$4*((1+db!$B$4)^(B80-1))),Table13[[#This Row],[Max Sum Insured For Death]])</f>
        <v>0</v>
      </c>
      <c r="M80" s="17">
        <f>ROUND(IF(L80&lt;=db!$L$7,L80,db!$L$7),0)</f>
        <v>0</v>
      </c>
      <c r="N80" s="29">
        <f t="shared" si="37"/>
        <v>0</v>
      </c>
      <c r="O80" s="29">
        <f>IF(B80=0,0,IF(db!$D$6="Yes",(db!$B$6)*M80,0))</f>
        <v>0</v>
      </c>
      <c r="P80" s="29">
        <f>MIN(IF(O80&lt;=db!$L$2,O80,db!$L$2),MAX_ACC_CAPITAL)</f>
        <v>0</v>
      </c>
      <c r="Q80" s="17">
        <f>IF(B80=0,0,IF(db!$D$7="Yes",(db!$B$7)*M80,0))</f>
        <v>0</v>
      </c>
      <c r="R80" s="42">
        <f>IF(C80&gt;69,0,IF(C80=0,0,IF(Q80&lt;=db!$L$3,Q80,db!$L$3)))</f>
        <v>0</v>
      </c>
      <c r="S80" s="29">
        <f>IF(B80=0,0,IF(db!$D$9="Yes",(db!$B$9)*M80,0))</f>
        <v>0</v>
      </c>
      <c r="T80" s="29">
        <f>ROUND(IF(C80&gt;69,0,IF(C80=0,0,IF(S80&lt;=db!$L$4,S80,db!$L$4))),0)</f>
        <v>0</v>
      </c>
      <c r="U80" s="38">
        <v>0</v>
      </c>
      <c r="V80" s="17">
        <v>0</v>
      </c>
      <c r="W80" s="29">
        <v>0</v>
      </c>
      <c r="X80" s="17">
        <f>IF(B80=0,0,IF(db!$D$11="Yes",(db!$B$11)*M80,0))</f>
        <v>0</v>
      </c>
      <c r="Y80" s="42">
        <f>ROUND(IF(C80&gt;59,0,IF(C80=0,0,IF(X80&lt;=db!$L$5,X80,db!$L$5))),0)</f>
        <v>0</v>
      </c>
      <c r="Z80" s="29">
        <f>IF(B80=0,0,IF(db!$D$12="Yes",(db!$B$12)*M80,0))</f>
        <v>0</v>
      </c>
      <c r="AA80" s="29">
        <f>ROUND(IF(C80&gt;59,0,IF(C80=0,0,IF(Z80&lt;=db!$L$6,Z80,db!$L$6))),0)</f>
        <v>0</v>
      </c>
      <c r="AB80" s="32"/>
      <c r="AC80" s="18">
        <f>IF(B80=0,0,IF(C80&lt;(db!$E$2+5),LOOKUP(C80,'Mortality Table'!$A$2:$A$108,'Mortality Table'!$P$2:$P$108),IF((C80&gt;=db!$E$2+10),LOOKUP(C80,'Mortality Table'!$A$2:$A$108,'Mortality Table'!$R$2:$R$108),LOOKUP(C80,'Mortality Table'!$A$2:$A$108,'Mortality Table'!$Q$2:$Q$108))))</f>
        <v>0</v>
      </c>
      <c r="AD80" s="22">
        <f t="shared" si="27"/>
        <v>0</v>
      </c>
      <c r="AE80" s="19">
        <f>IF(B80=0,0,LOOKUP(db!$A$8,db!$AX$4:$AX$8,db!$AY$4:$AY$8))</f>
        <v>0</v>
      </c>
      <c r="AF80" s="20">
        <f>ROUND((AE80/1000)*P80 * (1-db!$AS$9),0)</f>
        <v>0</v>
      </c>
      <c r="AG80" s="20">
        <f>(AE80/1000)*P80 * db!$AS$9</f>
        <v>0</v>
      </c>
      <c r="AH80" s="21">
        <f>IF(B80=0,0,LOOKUP(db!$A$8,db!$AX$4:$AX$8,db!$AZ$4:$AZ$8))</f>
        <v>0</v>
      </c>
      <c r="AI80" s="22">
        <f>(AH80/1000)*R80*(1-db!$AS$9)</f>
        <v>0</v>
      </c>
      <c r="AJ80" s="22">
        <f>(AH80/1000)*R80*(db!$AS$9)</f>
        <v>0</v>
      </c>
      <c r="AK80" s="23">
        <f>IF(B80=0,0,LOOKUP(db!$A$8,db!$AX$4:$AX$8,db!$BA$4:$BA$8))</f>
        <v>0</v>
      </c>
      <c r="AL80" s="20">
        <f>ROUND((AK80/(100))*T80*(1-db!$AS$9),0)</f>
        <v>0</v>
      </c>
      <c r="AM80" s="20">
        <f>ROUND((AK80/(100))*T80*(db!$AS$9),0)</f>
        <v>0</v>
      </c>
      <c r="AN80" s="21">
        <f>IF(db!$D$8="Yes",AH80,0)</f>
        <v>0</v>
      </c>
      <c r="AO80" s="22">
        <f>(AN80*V80)/1000*(1-db!$AS$9)</f>
        <v>0</v>
      </c>
      <c r="AP80" s="22">
        <f>(AN80*V80)/1000*(db!$AS$9)</f>
        <v>0</v>
      </c>
      <c r="AQ80" s="23">
        <f>IF(db!$D$10="Yes",AH80,0)</f>
        <v>0</v>
      </c>
      <c r="AR80" s="20">
        <f>(AQ80*W80/1000)*(1-db!$AS$9)</f>
        <v>0</v>
      </c>
      <c r="AS80" s="20">
        <f>(AQ80*W80/1000)*(db!$AS$9)</f>
        <v>0</v>
      </c>
      <c r="AT80" s="22">
        <f>IF(B80=0,0,IF(C80&gt;60,0,LOOKUP(LOOKUP(C80,RiskLoading!A$3:A$109,RiskLoading!DG$3:DG$109),db!$BC$3:$BC$63,db!$BD$3:$BD$63)))</f>
        <v>0</v>
      </c>
      <c r="AU80" s="22">
        <f>AV80*db!$AS$10</f>
        <v>0</v>
      </c>
      <c r="AV80" s="22">
        <f t="shared" si="28"/>
        <v>0</v>
      </c>
      <c r="AW80" s="22">
        <f>(AT80/1000000)*Y80*(1-db!$AS$10)</f>
        <v>0</v>
      </c>
      <c r="AX80" s="20">
        <f>IF(B80=0,0,IF(C80&gt;60,0,LOOKUP(LOOKUP(C80,RiskLoading!A$3:A$109,RiskLoading!DG$3:DG$109),db!$BC$3:$BC$63,db!$BE$3:$BE$63)))</f>
        <v>0</v>
      </c>
      <c r="AY80" s="20">
        <f>(AX80/1000000)*AA80*(1-db!$AS$11)</f>
        <v>0</v>
      </c>
      <c r="AZ80" s="20">
        <f>(AX80/1000000)*AA80*(db!$AS$11)</f>
        <v>0</v>
      </c>
      <c r="BA80" s="19">
        <f>IF(Table13[Year]=0,0,LOOKUP(Table13[Age],RiskLoading!A$3:A$109,RiskLoading!DL$3:DL$109))</f>
        <v>0</v>
      </c>
      <c r="BB80" s="20">
        <f>Table13[[#This Row],[RiskLoading
Rate]]*Table13[[#This Row],[Death Capital (2)]]</f>
        <v>0</v>
      </c>
      <c r="BC80" s="36"/>
      <c r="BD80" s="37">
        <f t="shared" si="29"/>
        <v>0</v>
      </c>
      <c r="BE80" s="35">
        <f t="shared" si="30"/>
        <v>0</v>
      </c>
      <c r="BF80" s="35">
        <f t="shared" si="31"/>
        <v>0</v>
      </c>
      <c r="BG80" s="37">
        <f t="shared" si="32"/>
        <v>0</v>
      </c>
      <c r="BH80" s="37">
        <f t="shared" si="33"/>
        <v>0</v>
      </c>
      <c r="BI80" s="35">
        <f t="shared" si="38"/>
        <v>0</v>
      </c>
      <c r="BJ80" s="35">
        <f t="shared" si="39"/>
        <v>0</v>
      </c>
      <c r="BK80" s="37">
        <v>0</v>
      </c>
      <c r="BL80" s="37">
        <v>0</v>
      </c>
      <c r="BM80" s="35"/>
      <c r="BN80" s="37">
        <f>0</f>
        <v>0</v>
      </c>
      <c r="BO80" s="37"/>
      <c r="BP80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80" s="33"/>
      <c r="BR80" s="39">
        <f>Table13[[#This Row],[Initial Reserve]]-Table13[[#This Row],[All Deductions]]</f>
        <v>0</v>
      </c>
      <c r="BS80" s="39">
        <v>0</v>
      </c>
      <c r="BT80" s="39">
        <f>IF(B80=0,0,BU79-Table13[[#This Row],[All Deductions]])</f>
        <v>0</v>
      </c>
      <c r="BU80" s="40">
        <f>ROUND(IF(B80=0,0,((BR80+BU79)*(1+db!U82))),0)</f>
        <v>0</v>
      </c>
      <c r="BV80" s="40">
        <f t="shared" si="43"/>
        <v>0</v>
      </c>
      <c r="BW80" s="15">
        <f t="shared" si="40"/>
        <v>79</v>
      </c>
      <c r="BX80" s="39">
        <f>IF(B80=0,0,((BR80)*(1+db!AH82))+((BX79)*(1+db!AD82)))</f>
        <v>0</v>
      </c>
      <c r="BY80" s="39">
        <f>IF(B80=0,0,((BR80)*(1+db!AH82))+((BY79)*(1+db!AD82)))</f>
        <v>0</v>
      </c>
      <c r="BZ80" s="40">
        <f>IF(B80=0,0,((BR80)*(1+db!AO82))+((BZ79)*(1+db!AK82)))</f>
        <v>0</v>
      </c>
      <c r="CA80" s="40">
        <f>BZ80-(SUM(BM$7:$BM81))</f>
        <v>0</v>
      </c>
      <c r="CB80" s="46"/>
    </row>
    <row r="81" spans="1:80">
      <c r="A81" s="16">
        <f t="shared" si="41"/>
        <v>80</v>
      </c>
      <c r="B81" s="16">
        <f>IF(B80=0,0,IF(db!$E$5&lt;B80+1,0,B80+1))</f>
        <v>0</v>
      </c>
      <c r="C81" s="15">
        <f t="shared" si="42"/>
        <v>0</v>
      </c>
      <c r="D81" s="312">
        <f>LOOKUP(Table13[[#This Row],[Age]],RiskLoading!A$3:A$109,RiskLoading!DG$3:DG$109)</f>
        <v>55</v>
      </c>
      <c r="E81" s="29">
        <f t="shared" si="34"/>
        <v>0</v>
      </c>
      <c r="F81" s="29">
        <f t="shared" si="35"/>
        <v>0</v>
      </c>
      <c r="G81" s="29">
        <f t="shared" si="26"/>
        <v>0</v>
      </c>
      <c r="H81" s="29">
        <v>0</v>
      </c>
      <c r="I81" s="29">
        <f>IF(B81=0,0,SUM($H$2:H81))</f>
        <v>0</v>
      </c>
      <c r="J81" s="17">
        <f t="shared" si="36"/>
        <v>0</v>
      </c>
      <c r="K81" s="17">
        <f>IF(Table13[[#This Row],[Year]]=0,0,IF($C$2&lt;=50,LOOKUP(Table13[[#This Row],[Age]],db!BG82:BG188,db!BH82:BH188),LOOKUP(Table13[[#This Row],[Age]],db!BJ82:BJ188,db!BK82:BK188)))</f>
        <v>0</v>
      </c>
      <c r="L81" s="17">
        <f>MIN(IF(B81=0,0,db!$E$4*((1+db!$B$4)^(B81-1))),Table13[[#This Row],[Max Sum Insured For Death]])</f>
        <v>0</v>
      </c>
      <c r="M81" s="17">
        <f>ROUND(IF(L81&lt;=db!$L$7,L81,db!$L$7),0)</f>
        <v>0</v>
      </c>
      <c r="N81" s="29">
        <f t="shared" si="37"/>
        <v>0</v>
      </c>
      <c r="O81" s="29">
        <f>IF(B81=0,0,IF(db!$D$6="Yes",(db!$B$6)*M81,0))</f>
        <v>0</v>
      </c>
      <c r="P81" s="29">
        <f>MIN(IF(O81&lt;=db!$L$2,O81,db!$L$2),MAX_ACC_CAPITAL)</f>
        <v>0</v>
      </c>
      <c r="Q81" s="17">
        <f>IF(B81=0,0,IF(db!$D$7="Yes",(db!$B$7)*M81,0))</f>
        <v>0</v>
      </c>
      <c r="R81" s="42">
        <f>IF(C81&gt;69,0,IF(C81=0,0,IF(Q81&lt;=db!$L$3,Q81,db!$L$3)))</f>
        <v>0</v>
      </c>
      <c r="S81" s="29">
        <f>IF(B81=0,0,IF(db!$D$9="Yes",(db!$B$9)*M81,0))</f>
        <v>0</v>
      </c>
      <c r="T81" s="29">
        <f>ROUND(IF(C81&gt;69,0,IF(C81=0,0,IF(S81&lt;=db!$L$4,S81,db!$L$4))),0)</f>
        <v>0</v>
      </c>
      <c r="U81" s="38">
        <v>0</v>
      </c>
      <c r="V81" s="17">
        <v>0</v>
      </c>
      <c r="W81" s="29">
        <v>0</v>
      </c>
      <c r="X81" s="17">
        <f>IF(B81=0,0,IF(db!$D$11="Yes",(db!$B$11)*M81,0))</f>
        <v>0</v>
      </c>
      <c r="Y81" s="42">
        <f>ROUND(IF(C81&gt;59,0,IF(C81=0,0,IF(X81&lt;=db!$L$5,X81,db!$L$5))),0)</f>
        <v>0</v>
      </c>
      <c r="Z81" s="29">
        <f>IF(B81=0,0,IF(db!$D$12="Yes",(db!$B$12)*M81,0))</f>
        <v>0</v>
      </c>
      <c r="AA81" s="29">
        <f>ROUND(IF(C81&gt;59,0,IF(C81=0,0,IF(Z81&lt;=db!$L$6,Z81,db!$L$6))),0)</f>
        <v>0</v>
      </c>
      <c r="AB81" s="32"/>
      <c r="AC81" s="18">
        <f>IF(B81=0,0,IF(C81&lt;(db!$E$2+5),LOOKUP(C81,'Mortality Table'!$A$2:$A$108,'Mortality Table'!$P$2:$P$108),IF((C81&gt;=db!$E$2+10),LOOKUP(C81,'Mortality Table'!$A$2:$A$108,'Mortality Table'!$R$2:$R$108),LOOKUP(C81,'Mortality Table'!$A$2:$A$108,'Mortality Table'!$Q$2:$Q$108))))</f>
        <v>0</v>
      </c>
      <c r="AD81" s="22">
        <f t="shared" si="27"/>
        <v>0</v>
      </c>
      <c r="AE81" s="19">
        <f>IF(B81=0,0,LOOKUP(db!$A$8,db!$AX$4:$AX$8,db!$AY$4:$AY$8))</f>
        <v>0</v>
      </c>
      <c r="AF81" s="20">
        <f>ROUND((AE81/1000)*P81 * (1-db!$AS$9),0)</f>
        <v>0</v>
      </c>
      <c r="AG81" s="20">
        <f>(AE81/1000)*P81 * db!$AS$9</f>
        <v>0</v>
      </c>
      <c r="AH81" s="21">
        <f>IF(B81=0,0,LOOKUP(db!$A$8,db!$AX$4:$AX$8,db!$AZ$4:$AZ$8))</f>
        <v>0</v>
      </c>
      <c r="AI81" s="22">
        <f>(AH81/1000)*R81*(1-db!$AS$9)</f>
        <v>0</v>
      </c>
      <c r="AJ81" s="22">
        <f>(AH81/1000)*R81*(db!$AS$9)</f>
        <v>0</v>
      </c>
      <c r="AK81" s="23">
        <f>IF(B81=0,0,LOOKUP(db!$A$8,db!$AX$4:$AX$8,db!$BA$4:$BA$8))</f>
        <v>0</v>
      </c>
      <c r="AL81" s="20">
        <f>ROUND((AK81/(100))*T81*(1-db!$AS$9),0)</f>
        <v>0</v>
      </c>
      <c r="AM81" s="20">
        <f>ROUND((AK81/(100))*T81*(db!$AS$9),0)</f>
        <v>0</v>
      </c>
      <c r="AN81" s="21">
        <f>IF(db!$D$8="Yes",AH81,0)</f>
        <v>0</v>
      </c>
      <c r="AO81" s="22">
        <f>(AN81*V81)/1000*(1-db!$AS$9)</f>
        <v>0</v>
      </c>
      <c r="AP81" s="22">
        <f>(AN81*V81)/1000*(db!$AS$9)</f>
        <v>0</v>
      </c>
      <c r="AQ81" s="23">
        <f>IF(db!$D$10="Yes",AH81,0)</f>
        <v>0</v>
      </c>
      <c r="AR81" s="20">
        <f>(AQ81*W81/1000)*(1-db!$AS$9)</f>
        <v>0</v>
      </c>
      <c r="AS81" s="20">
        <f>(AQ81*W81/1000)*(db!$AS$9)</f>
        <v>0</v>
      </c>
      <c r="AT81" s="22">
        <f>IF(B81=0,0,IF(C81&gt;60,0,LOOKUP(LOOKUP(C81,RiskLoading!A$3:A$109,RiskLoading!DG$3:DG$109),db!$BC$3:$BC$63,db!$BD$3:$BD$63)))</f>
        <v>0</v>
      </c>
      <c r="AU81" s="22">
        <f>AV81*db!$AS$10</f>
        <v>0</v>
      </c>
      <c r="AV81" s="22">
        <f t="shared" si="28"/>
        <v>0</v>
      </c>
      <c r="AW81" s="22">
        <f>(AT81/1000000)*Y81*(1-db!$AS$10)</f>
        <v>0</v>
      </c>
      <c r="AX81" s="20">
        <f>IF(B81=0,0,IF(C81&gt;60,0,LOOKUP(LOOKUP(C81,RiskLoading!A$3:A$109,RiskLoading!DG$3:DG$109),db!$BC$3:$BC$63,db!$BE$3:$BE$63)))</f>
        <v>0</v>
      </c>
      <c r="AY81" s="20">
        <f>(AX81/1000000)*AA81*(1-db!$AS$11)</f>
        <v>0</v>
      </c>
      <c r="AZ81" s="20">
        <f>(AX81/1000000)*AA81*(db!$AS$11)</f>
        <v>0</v>
      </c>
      <c r="BA81" s="19">
        <f>IF(Table13[Year]=0,0,LOOKUP(Table13[Age],RiskLoading!A$3:A$109,RiskLoading!DL$3:DL$109))</f>
        <v>0</v>
      </c>
      <c r="BB81" s="20">
        <f>Table13[[#This Row],[RiskLoading
Rate]]*Table13[[#This Row],[Death Capital (2)]]</f>
        <v>0</v>
      </c>
      <c r="BC81" s="36"/>
      <c r="BD81" s="37">
        <f t="shared" si="29"/>
        <v>0</v>
      </c>
      <c r="BE81" s="35">
        <f t="shared" si="30"/>
        <v>0</v>
      </c>
      <c r="BF81" s="35">
        <f t="shared" si="31"/>
        <v>0</v>
      </c>
      <c r="BG81" s="37">
        <f t="shared" si="32"/>
        <v>0</v>
      </c>
      <c r="BH81" s="37">
        <f t="shared" si="33"/>
        <v>0</v>
      </c>
      <c r="BI81" s="35">
        <f t="shared" si="38"/>
        <v>0</v>
      </c>
      <c r="BJ81" s="35">
        <f t="shared" si="39"/>
        <v>0</v>
      </c>
      <c r="BK81" s="37">
        <v>0</v>
      </c>
      <c r="BL81" s="37">
        <v>0</v>
      </c>
      <c r="BM81" s="35"/>
      <c r="BN81" s="37">
        <f>0</f>
        <v>0</v>
      </c>
      <c r="BO81" s="37"/>
      <c r="BP81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81" s="33"/>
      <c r="BR81" s="39">
        <f>Table13[[#This Row],[Initial Reserve]]-Table13[[#This Row],[All Deductions]]</f>
        <v>0</v>
      </c>
      <c r="BS81" s="39">
        <v>0</v>
      </c>
      <c r="BT81" s="39">
        <f>IF(B81=0,0,BU80-Table13[[#This Row],[All Deductions]])</f>
        <v>0</v>
      </c>
      <c r="BU81" s="40">
        <f>ROUND(IF(B81=0,0,((BR81+BU80)*(1+db!U83))),0)</f>
        <v>0</v>
      </c>
      <c r="BV81" s="40">
        <f t="shared" si="43"/>
        <v>0</v>
      </c>
      <c r="BW81" s="15">
        <f t="shared" si="40"/>
        <v>80</v>
      </c>
      <c r="BX81" s="39">
        <f>IF(B81=0,0,((BR81)*(1+db!AH83))+((BX80)*(1+db!AD83)))</f>
        <v>0</v>
      </c>
      <c r="BY81" s="39">
        <f>IF(B81=0,0,((BR81)*(1+db!AH83))+((BY80)*(1+db!AD83)))</f>
        <v>0</v>
      </c>
      <c r="BZ81" s="40">
        <f>IF(B81=0,0,((BR81)*(1+db!AO83))+((BZ80)*(1+db!AK83)))</f>
        <v>0</v>
      </c>
      <c r="CA81" s="40">
        <f>BZ81-(SUM(BM$7:$BM82))</f>
        <v>0</v>
      </c>
      <c r="CB81" s="26"/>
    </row>
    <row r="82" spans="1:80">
      <c r="A82" s="16">
        <f t="shared" si="41"/>
        <v>81</v>
      </c>
      <c r="B82" s="16">
        <f>IF(B81=0,0,IF(db!$E$5&lt;B81+1,0,B81+1))</f>
        <v>0</v>
      </c>
      <c r="C82" s="15">
        <f t="shared" si="42"/>
        <v>0</v>
      </c>
      <c r="D82" s="312">
        <f>LOOKUP(Table13[[#This Row],[Age]],RiskLoading!A$3:A$109,RiskLoading!DG$3:DG$109)</f>
        <v>55</v>
      </c>
      <c r="E82" s="29">
        <f t="shared" si="34"/>
        <v>0</v>
      </c>
      <c r="F82" s="29">
        <f t="shared" si="35"/>
        <v>0</v>
      </c>
      <c r="G82" s="29">
        <f t="shared" si="26"/>
        <v>0</v>
      </c>
      <c r="H82" s="29">
        <v>0</v>
      </c>
      <c r="I82" s="29">
        <f>IF(B82=0,0,SUM($H$2:H82))</f>
        <v>0</v>
      </c>
      <c r="J82" s="17">
        <f t="shared" si="36"/>
        <v>0</v>
      </c>
      <c r="K82" s="17">
        <f>IF(Table13[[#This Row],[Year]]=0,0,IF($C$2&lt;=50,LOOKUP(Table13[[#This Row],[Age]],db!BG83:BG189,db!BH83:BH189),LOOKUP(Table13[[#This Row],[Age]],db!BJ83:BJ189,db!BK83:BK189)))</f>
        <v>0</v>
      </c>
      <c r="L82" s="17">
        <f>MIN(IF(B82=0,0,db!$E$4*((1+db!$B$4)^(B82-1))),Table13[[#This Row],[Max Sum Insured For Death]])</f>
        <v>0</v>
      </c>
      <c r="M82" s="17">
        <f>ROUND(IF(L82&lt;=db!$L$7,L82,db!$L$7),0)</f>
        <v>0</v>
      </c>
      <c r="N82" s="29">
        <f t="shared" si="37"/>
        <v>0</v>
      </c>
      <c r="O82" s="29">
        <f>IF(B82=0,0,IF(db!$D$6="Yes",(db!$B$6)*M82,0))</f>
        <v>0</v>
      </c>
      <c r="P82" s="29">
        <f>MIN(IF(O82&lt;=db!$L$2,O82,db!$L$2),MAX_ACC_CAPITAL)</f>
        <v>0</v>
      </c>
      <c r="Q82" s="17">
        <f>IF(B82=0,0,IF(db!$D$7="Yes",(db!$B$7)*M82,0))</f>
        <v>0</v>
      </c>
      <c r="R82" s="42">
        <f>IF(C82&gt;69,0,IF(C82=0,0,IF(Q82&lt;=db!$L$3,Q82,db!$L$3)))</f>
        <v>0</v>
      </c>
      <c r="S82" s="29">
        <f>IF(B82=0,0,IF(db!$D$9="Yes",(db!$B$9)*M82,0))</f>
        <v>0</v>
      </c>
      <c r="T82" s="29">
        <f>ROUND(IF(C82&gt;69,0,IF(C82=0,0,IF(S82&lt;=db!$L$4,S82,db!$L$4))),0)</f>
        <v>0</v>
      </c>
      <c r="U82" s="38">
        <v>0</v>
      </c>
      <c r="V82" s="17">
        <v>0</v>
      </c>
      <c r="W82" s="29">
        <v>0</v>
      </c>
      <c r="X82" s="17">
        <f>IF(B82=0,0,IF(db!$D$11="Yes",(db!$B$11)*M82,0))</f>
        <v>0</v>
      </c>
      <c r="Y82" s="42">
        <f>ROUND(IF(C82&gt;59,0,IF(C82=0,0,IF(X82&lt;=db!$L$5,X82,db!$L$5))),0)</f>
        <v>0</v>
      </c>
      <c r="Z82" s="29">
        <f>IF(B82=0,0,IF(db!$D$12="Yes",(db!$B$12)*M82,0))</f>
        <v>0</v>
      </c>
      <c r="AA82" s="29">
        <f>ROUND(IF(C82&gt;59,0,IF(C82=0,0,IF(Z82&lt;=db!$L$6,Z82,db!$L$6))),0)</f>
        <v>0</v>
      </c>
      <c r="AB82" s="32"/>
      <c r="AC82" s="18">
        <f>IF(B82=0,0,IF(C82&lt;(db!$E$2+5),LOOKUP(C82,'Mortality Table'!$A$2:$A$108,'Mortality Table'!$P$2:$P$108),IF((C82&gt;=db!$E$2+10),LOOKUP(C82,'Mortality Table'!$A$2:$A$108,'Mortality Table'!$R$2:$R$108),LOOKUP(C82,'Mortality Table'!$A$2:$A$108,'Mortality Table'!$Q$2:$Q$108))))</f>
        <v>0</v>
      </c>
      <c r="AD82" s="22">
        <f t="shared" si="27"/>
        <v>0</v>
      </c>
      <c r="AE82" s="19">
        <f>IF(B82=0,0,LOOKUP(db!$A$8,db!$AX$4:$AX$8,db!$AY$4:$AY$8))</f>
        <v>0</v>
      </c>
      <c r="AF82" s="20">
        <f>ROUND((AE82/1000)*P82 * (1-db!$AS$9),0)</f>
        <v>0</v>
      </c>
      <c r="AG82" s="20">
        <f>(AE82/1000)*P82 * db!$AS$9</f>
        <v>0</v>
      </c>
      <c r="AH82" s="21">
        <f>IF(B82=0,0,LOOKUP(db!$A$8,db!$AX$4:$AX$8,db!$AZ$4:$AZ$8))</f>
        <v>0</v>
      </c>
      <c r="AI82" s="22">
        <f>(AH82/1000)*R82*(1-db!$AS$9)</f>
        <v>0</v>
      </c>
      <c r="AJ82" s="22">
        <f>(AH82/1000)*R82*(db!$AS$9)</f>
        <v>0</v>
      </c>
      <c r="AK82" s="23">
        <f>IF(B82=0,0,LOOKUP(db!$A$8,db!$AX$4:$AX$8,db!$BA$4:$BA$8))</f>
        <v>0</v>
      </c>
      <c r="AL82" s="20">
        <f>ROUND((AK82/(100))*T82*(1-db!$AS$9),0)</f>
        <v>0</v>
      </c>
      <c r="AM82" s="20">
        <f>ROUND((AK82/(100))*T82*(db!$AS$9),0)</f>
        <v>0</v>
      </c>
      <c r="AN82" s="21">
        <f>IF(db!$D$8="Yes",AH82,0)</f>
        <v>0</v>
      </c>
      <c r="AO82" s="22">
        <f>(AN82*V82)/1000*(1-db!$AS$9)</f>
        <v>0</v>
      </c>
      <c r="AP82" s="22">
        <f>(AN82*V82)/1000*(db!$AS$9)</f>
        <v>0</v>
      </c>
      <c r="AQ82" s="23">
        <f>IF(db!$D$10="Yes",AH82,0)</f>
        <v>0</v>
      </c>
      <c r="AR82" s="20">
        <f>(AQ82*W82/1000)*(1-db!$AS$9)</f>
        <v>0</v>
      </c>
      <c r="AS82" s="20">
        <f>(AQ82*W82/1000)*(db!$AS$9)</f>
        <v>0</v>
      </c>
      <c r="AT82" s="22">
        <f>IF(B82=0,0,IF(C82&gt;60,0,LOOKUP(LOOKUP(C82,RiskLoading!A$3:A$109,RiskLoading!DG$3:DG$109),db!$BC$3:$BC$63,db!$BD$3:$BD$63)))</f>
        <v>0</v>
      </c>
      <c r="AU82" s="22">
        <f>AV82*db!$AS$10</f>
        <v>0</v>
      </c>
      <c r="AV82" s="22">
        <f t="shared" si="28"/>
        <v>0</v>
      </c>
      <c r="AW82" s="22">
        <f>(AT82/1000000)*Y82*(1-db!$AS$10)</f>
        <v>0</v>
      </c>
      <c r="AX82" s="20">
        <f>IF(B82=0,0,IF(C82&gt;60,0,LOOKUP(LOOKUP(C82,RiskLoading!A$3:A$109,RiskLoading!DG$3:DG$109),db!$BC$3:$BC$63,db!$BE$3:$BE$63)))</f>
        <v>0</v>
      </c>
      <c r="AY82" s="20">
        <f>(AX82/1000000)*AA82*(1-db!$AS$11)</f>
        <v>0</v>
      </c>
      <c r="AZ82" s="20">
        <f>(AX82/1000000)*AA82*(db!$AS$11)</f>
        <v>0</v>
      </c>
      <c r="BA82" s="19">
        <f>IF(Table13[Year]=0,0,LOOKUP(Table13[Age],RiskLoading!A$3:A$109,RiskLoading!DP$3:DP$109))</f>
        <v>0</v>
      </c>
      <c r="BB82" s="20">
        <f>Table13[[#This Row],[RiskLoading
Rate]]*Table13[[#This Row],[Death Capital (2)]]</f>
        <v>0</v>
      </c>
      <c r="BC82" s="36"/>
      <c r="BD82" s="37">
        <f t="shared" si="29"/>
        <v>0</v>
      </c>
      <c r="BE82" s="35">
        <f t="shared" si="30"/>
        <v>0</v>
      </c>
      <c r="BF82" s="35">
        <f t="shared" si="31"/>
        <v>0</v>
      </c>
      <c r="BG82" s="37">
        <f t="shared" si="32"/>
        <v>0</v>
      </c>
      <c r="BH82" s="37">
        <f t="shared" si="33"/>
        <v>0</v>
      </c>
      <c r="BI82" s="35">
        <f t="shared" si="38"/>
        <v>0</v>
      </c>
      <c r="BJ82" s="35">
        <f t="shared" si="39"/>
        <v>0</v>
      </c>
      <c r="BK82" s="37">
        <v>0</v>
      </c>
      <c r="BL82" s="37">
        <v>0</v>
      </c>
      <c r="BM82" s="35"/>
      <c r="BN82" s="37">
        <f>0</f>
        <v>0</v>
      </c>
      <c r="BO82" s="37"/>
      <c r="BP82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82" s="33"/>
      <c r="BR82" s="39">
        <f>Table13[[#This Row],[Initial Reserve]]-Table13[[#This Row],[All Deductions]]</f>
        <v>0</v>
      </c>
      <c r="BS82" s="39">
        <v>0</v>
      </c>
      <c r="BT82" s="39">
        <f>IF(B82=0,0,BU81-Table13[[#This Row],[All Deductions]])</f>
        <v>0</v>
      </c>
      <c r="BU82" s="40">
        <f>ROUND(IF(B82=0,0,((BR82+BU81)*(1+db!U84))),0)</f>
        <v>0</v>
      </c>
      <c r="BV82" s="40">
        <f t="shared" si="43"/>
        <v>0</v>
      </c>
      <c r="BW82" s="15">
        <f t="shared" si="40"/>
        <v>81</v>
      </c>
      <c r="BX82" s="39">
        <f>IF(B82=0,0,((BR82)*(1+db!AH84))+((BX81)*(1+db!AD84)))</f>
        <v>0</v>
      </c>
      <c r="BY82" s="39">
        <f>IF(B82=0,0,((BR82)*(1+db!AH84))+((BY81)*(1+db!AD84)))</f>
        <v>0</v>
      </c>
      <c r="BZ82" s="40">
        <f>IF(B82=0,0,((BR82)*(1+db!AO84))+((BZ81)*(1+db!AK84)))</f>
        <v>0</v>
      </c>
      <c r="CA82" s="40">
        <f>BZ82-(SUM(BM$7:$BM83))</f>
        <v>0</v>
      </c>
      <c r="CB82" s="26"/>
    </row>
    <row r="83" spans="1:80">
      <c r="A83" s="16">
        <f t="shared" si="41"/>
        <v>82</v>
      </c>
      <c r="B83" s="16">
        <f>IF(B82=0,0,IF(db!$E$5&lt;B82+1,0,B82+1))</f>
        <v>0</v>
      </c>
      <c r="C83" s="15">
        <f t="shared" si="42"/>
        <v>0</v>
      </c>
      <c r="D83" s="312">
        <f>LOOKUP(Table13[[#This Row],[Age]],RiskLoading!A$3:A$109,RiskLoading!DG$3:DG$109)</f>
        <v>55</v>
      </c>
      <c r="E83" s="29">
        <f t="shared" si="34"/>
        <v>0</v>
      </c>
      <c r="F83" s="29">
        <f t="shared" si="35"/>
        <v>0</v>
      </c>
      <c r="G83" s="29">
        <f t="shared" si="26"/>
        <v>0</v>
      </c>
      <c r="H83" s="29">
        <v>0</v>
      </c>
      <c r="I83" s="29">
        <f>IF(B83=0,0,SUM($H$2:H83))</f>
        <v>0</v>
      </c>
      <c r="J83" s="17">
        <f t="shared" si="36"/>
        <v>0</v>
      </c>
      <c r="K83" s="17">
        <f>IF(Table13[[#This Row],[Year]]=0,0,IF($C$2&lt;=50,LOOKUP(Table13[[#This Row],[Age]],db!BG84:BG190,db!BH84:BH190),LOOKUP(Table13[[#This Row],[Age]],db!BJ84:BJ190,db!BK84:BK190)))</f>
        <v>0</v>
      </c>
      <c r="L83" s="17">
        <f>MIN(IF(B83=0,0,db!$E$4*((1+db!$B$4)^(B83-1))),Table13[[#This Row],[Max Sum Insured For Death]])</f>
        <v>0</v>
      </c>
      <c r="M83" s="17">
        <f>ROUND(IF(L83&lt;=db!$L$7,L83,db!$L$7),0)</f>
        <v>0</v>
      </c>
      <c r="N83" s="29">
        <f t="shared" si="37"/>
        <v>0</v>
      </c>
      <c r="O83" s="29">
        <f>IF(B83=0,0,IF(db!$D$6="Yes",(db!$B$6)*M83,0))</f>
        <v>0</v>
      </c>
      <c r="P83" s="29">
        <f>MIN(IF(O83&lt;=db!$L$2,O83,db!$L$2),MAX_ACC_CAPITAL)</f>
        <v>0</v>
      </c>
      <c r="Q83" s="17">
        <f>IF(B83=0,0,IF(db!$D$7="Yes",(db!$B$7)*M83,0))</f>
        <v>0</v>
      </c>
      <c r="R83" s="42">
        <f>IF(C83&gt;69,0,IF(C83=0,0,IF(Q83&lt;=db!$L$3,Q83,db!$L$3)))</f>
        <v>0</v>
      </c>
      <c r="S83" s="29">
        <f>IF(B83=0,0,IF(db!$D$9="Yes",(db!$B$9)*M83,0))</f>
        <v>0</v>
      </c>
      <c r="T83" s="29">
        <f>ROUND(IF(C83&gt;69,0,IF(C83=0,0,IF(S83&lt;=db!$L$4,S83,db!$L$4))),0)</f>
        <v>0</v>
      </c>
      <c r="U83" s="38">
        <v>0</v>
      </c>
      <c r="V83" s="17">
        <v>0</v>
      </c>
      <c r="W83" s="29">
        <v>0</v>
      </c>
      <c r="X83" s="17">
        <f>IF(B83=0,0,IF(db!$D$11="Yes",(db!$B$11)*M83,0))</f>
        <v>0</v>
      </c>
      <c r="Y83" s="42">
        <f>ROUND(IF(C83&gt;59,0,IF(C83=0,0,IF(X83&lt;=db!$L$5,X83,db!$L$5))),0)</f>
        <v>0</v>
      </c>
      <c r="Z83" s="29">
        <f>IF(B83=0,0,IF(db!$D$12="Yes",(db!$B$12)*M83,0))</f>
        <v>0</v>
      </c>
      <c r="AA83" s="29">
        <f>ROUND(IF(C83&gt;59,0,IF(C83=0,0,IF(Z83&lt;=db!$L$6,Z83,db!$L$6))),0)</f>
        <v>0</v>
      </c>
      <c r="AB83" s="32"/>
      <c r="AC83" s="18">
        <f>IF(B83=0,0,IF(C83&lt;(db!$E$2+5),LOOKUP(C83,'Mortality Table'!$A$2:$A$108,'Mortality Table'!$P$2:$P$108),IF((C83&gt;=db!$E$2+10),LOOKUP(C83,'Mortality Table'!$A$2:$A$108,'Mortality Table'!$R$2:$R$108),LOOKUP(C83,'Mortality Table'!$A$2:$A$108,'Mortality Table'!$Q$2:$Q$108))))</f>
        <v>0</v>
      </c>
      <c r="AD83" s="22">
        <f t="shared" si="27"/>
        <v>0</v>
      </c>
      <c r="AE83" s="19">
        <f>IF(B83=0,0,LOOKUP(db!$A$8,db!$AX$4:$AX$8,db!$AY$4:$AY$8))</f>
        <v>0</v>
      </c>
      <c r="AF83" s="20">
        <f>ROUND((AE83/1000)*P83 * (1-db!$AS$9),0)</f>
        <v>0</v>
      </c>
      <c r="AG83" s="20">
        <f>(AE83/1000)*P83 * db!$AS$9</f>
        <v>0</v>
      </c>
      <c r="AH83" s="21">
        <f>IF(B83=0,0,LOOKUP(db!$A$8,db!$AX$4:$AX$8,db!$AZ$4:$AZ$8))</f>
        <v>0</v>
      </c>
      <c r="AI83" s="22">
        <f>(AH83/1000)*R83*(1-db!$AS$9)</f>
        <v>0</v>
      </c>
      <c r="AJ83" s="22">
        <f>(AH83/1000)*R83*(db!$AS$9)</f>
        <v>0</v>
      </c>
      <c r="AK83" s="23">
        <f>IF(B83=0,0,LOOKUP(db!$A$8,db!$AX$4:$AX$8,db!$BA$4:$BA$8))</f>
        <v>0</v>
      </c>
      <c r="AL83" s="20">
        <f>ROUND((AK83/(100))*T83*(1-db!$AS$9),0)</f>
        <v>0</v>
      </c>
      <c r="AM83" s="20">
        <f>ROUND((AK83/(100))*T83*(db!$AS$9),0)</f>
        <v>0</v>
      </c>
      <c r="AN83" s="21">
        <f>IF(db!$D$8="Yes",AH83,0)</f>
        <v>0</v>
      </c>
      <c r="AO83" s="22">
        <f>(AN83*V83)/1000*(1-db!$AS$9)</f>
        <v>0</v>
      </c>
      <c r="AP83" s="22">
        <f>(AN83*V83)/1000*(db!$AS$9)</f>
        <v>0</v>
      </c>
      <c r="AQ83" s="23">
        <f>IF(db!$D$10="Yes",AH83,0)</f>
        <v>0</v>
      </c>
      <c r="AR83" s="20">
        <f>(AQ83*W83/1000)*(1-db!$AS$9)</f>
        <v>0</v>
      </c>
      <c r="AS83" s="20">
        <f>(AQ83*W83/1000)*(db!$AS$9)</f>
        <v>0</v>
      </c>
      <c r="AT83" s="22">
        <f>IF(B83=0,0,IF(C83&gt;60,0,LOOKUP(LOOKUP(C83,RiskLoading!A$3:A$109,RiskLoading!DG$3:DG$109),db!$BC$3:$BC$63,db!$BD$3:$BD$63)))</f>
        <v>0</v>
      </c>
      <c r="AU83" s="22">
        <f>AV83*db!$AS$10</f>
        <v>0</v>
      </c>
      <c r="AV83" s="22">
        <f t="shared" si="28"/>
        <v>0</v>
      </c>
      <c r="AW83" s="22">
        <f>(AT83/1000000)*Y83*(1-db!$AS$10)</f>
        <v>0</v>
      </c>
      <c r="AX83" s="20">
        <f>IF(B83=0,0,IF(C83&gt;60,0,LOOKUP(LOOKUP(C83,RiskLoading!A$3:A$109,RiskLoading!DG$3:DG$109),db!$BC$3:$BC$63,db!$BE$3:$BE$63)))</f>
        <v>0</v>
      </c>
      <c r="AY83" s="20">
        <f>(AX83/1000000)*AA83*(1-db!$AS$11)</f>
        <v>0</v>
      </c>
      <c r="AZ83" s="20">
        <f>(AX83/1000000)*AA83*(db!$AS$11)</f>
        <v>0</v>
      </c>
      <c r="BA83" s="19">
        <f>IF(Table13[Year]=0,0,LOOKUP(Table13[Age],RiskLoading!A$3:A$109,RiskLoading!DP$3:DP$109))</f>
        <v>0</v>
      </c>
      <c r="BB83" s="20">
        <f>Table13[[#This Row],[RiskLoading
Rate]]*Table13[[#This Row],[Death Capital (2)]]</f>
        <v>0</v>
      </c>
      <c r="BC83" s="36"/>
      <c r="BD83" s="37">
        <f t="shared" si="29"/>
        <v>0</v>
      </c>
      <c r="BE83" s="35">
        <f t="shared" si="30"/>
        <v>0</v>
      </c>
      <c r="BF83" s="35">
        <f t="shared" si="31"/>
        <v>0</v>
      </c>
      <c r="BG83" s="37">
        <f t="shared" si="32"/>
        <v>0</v>
      </c>
      <c r="BH83" s="37">
        <f t="shared" si="33"/>
        <v>0</v>
      </c>
      <c r="BI83" s="35">
        <f t="shared" si="38"/>
        <v>0</v>
      </c>
      <c r="BJ83" s="35">
        <f t="shared" si="39"/>
        <v>0</v>
      </c>
      <c r="BK83" s="37">
        <v>0</v>
      </c>
      <c r="BL83" s="37">
        <v>0</v>
      </c>
      <c r="BM83" s="35"/>
      <c r="BN83" s="37">
        <f>0</f>
        <v>0</v>
      </c>
      <c r="BO83" s="37"/>
      <c r="BP83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83" s="33"/>
      <c r="BR83" s="39">
        <f>Table13[[#This Row],[Initial Reserve]]-Table13[[#This Row],[All Deductions]]</f>
        <v>0</v>
      </c>
      <c r="BS83" s="39">
        <v>0</v>
      </c>
      <c r="BT83" s="39">
        <f>IF(B83=0,0,BU82-Table13[[#This Row],[All Deductions]])</f>
        <v>0</v>
      </c>
      <c r="BU83" s="40">
        <f>ROUND(IF(B83=0,0,((BR83+BU82)*(1+db!U85))),0)</f>
        <v>0</v>
      </c>
      <c r="BV83" s="40">
        <f t="shared" si="43"/>
        <v>0</v>
      </c>
      <c r="BW83" s="15">
        <f t="shared" si="40"/>
        <v>82</v>
      </c>
      <c r="BX83" s="39">
        <f>IF(B83=0,0,((BR83)*(1+db!AH85))+((BX82)*(1+db!AD85)))</f>
        <v>0</v>
      </c>
      <c r="BY83" s="39">
        <f>IF(B83=0,0,((BR83)*(1+db!AH85))+((BY82)*(1+db!AD85)))</f>
        <v>0</v>
      </c>
      <c r="BZ83" s="40">
        <f>IF(B83=0,0,((BR83)*(1+db!AO85))+((BZ82)*(1+db!AK85)))</f>
        <v>0</v>
      </c>
      <c r="CA83" s="40">
        <f>BZ83-(SUM(BM$7:$BM84))</f>
        <v>0</v>
      </c>
      <c r="CB83" s="26"/>
    </row>
    <row r="84" spans="1:80">
      <c r="A84" s="16">
        <f t="shared" si="41"/>
        <v>83</v>
      </c>
      <c r="B84" s="16">
        <f>IF(B83=0,0,IF(db!$E$5&lt;B83+1,0,B83+1))</f>
        <v>0</v>
      </c>
      <c r="C84" s="15">
        <f t="shared" si="42"/>
        <v>0</v>
      </c>
      <c r="D84" s="312">
        <f>LOOKUP(Table13[[#This Row],[Age]],RiskLoading!A$3:A$109,RiskLoading!DG$3:DG$109)</f>
        <v>55</v>
      </c>
      <c r="E84" s="29">
        <f t="shared" si="34"/>
        <v>0</v>
      </c>
      <c r="F84" s="29">
        <f t="shared" si="35"/>
        <v>0</v>
      </c>
      <c r="G84" s="29">
        <f t="shared" si="26"/>
        <v>0</v>
      </c>
      <c r="H84" s="29">
        <v>0</v>
      </c>
      <c r="I84" s="29">
        <f>IF(B84=0,0,SUM($H$2:H84))</f>
        <v>0</v>
      </c>
      <c r="J84" s="17">
        <f t="shared" si="36"/>
        <v>0</v>
      </c>
      <c r="K84" s="17">
        <f>IF(Table13[[#This Row],[Year]]=0,0,IF($C$2&lt;=50,LOOKUP(Table13[[#This Row],[Age]],db!BG85:BG191,db!BH85:BH191),LOOKUP(Table13[[#This Row],[Age]],db!BJ85:BJ191,db!BK85:BK191)))</f>
        <v>0</v>
      </c>
      <c r="L84" s="17">
        <f>MIN(IF(B84=0,0,db!$E$4*((1+db!$B$4)^(B84-1))),Table13[[#This Row],[Max Sum Insured For Death]])</f>
        <v>0</v>
      </c>
      <c r="M84" s="17">
        <f>ROUND(IF(L84&lt;=db!$L$7,L84,db!$L$7),0)</f>
        <v>0</v>
      </c>
      <c r="N84" s="29">
        <f t="shared" si="37"/>
        <v>0</v>
      </c>
      <c r="O84" s="29">
        <f>IF(B84=0,0,IF(db!$D$6="Yes",(db!$B$6)*M84,0))</f>
        <v>0</v>
      </c>
      <c r="P84" s="29">
        <f>MIN(IF(O84&lt;=db!$L$2,O84,db!$L$2),MAX_ACC_CAPITAL)</f>
        <v>0</v>
      </c>
      <c r="Q84" s="17">
        <f>IF(B84=0,0,IF(db!$D$7="Yes",(db!$B$7)*M84,0))</f>
        <v>0</v>
      </c>
      <c r="R84" s="42">
        <f>IF(C84&gt;69,0,IF(C84=0,0,IF(Q84&lt;=db!$L$3,Q84,db!$L$3)))</f>
        <v>0</v>
      </c>
      <c r="S84" s="29">
        <f>IF(B84=0,0,IF(db!$D$9="Yes",(db!$B$9)*M84,0))</f>
        <v>0</v>
      </c>
      <c r="T84" s="29">
        <f>ROUND(IF(C84&gt;69,0,IF(C84=0,0,IF(S84&lt;=db!$L$4,S84,db!$L$4))),0)</f>
        <v>0</v>
      </c>
      <c r="U84" s="38">
        <v>0</v>
      </c>
      <c r="V84" s="17">
        <v>0</v>
      </c>
      <c r="W84" s="29">
        <v>0</v>
      </c>
      <c r="X84" s="17">
        <f>IF(B84=0,0,IF(db!$D$11="Yes",(db!$B$11)*M84,0))</f>
        <v>0</v>
      </c>
      <c r="Y84" s="42">
        <f>ROUND(IF(C84&gt;59,0,IF(C84=0,0,IF(X84&lt;=db!$L$5,X84,db!$L$5))),0)</f>
        <v>0</v>
      </c>
      <c r="Z84" s="29">
        <f>IF(B84=0,0,IF(db!$D$12="Yes",(db!$B$12)*M84,0))</f>
        <v>0</v>
      </c>
      <c r="AA84" s="29">
        <f>ROUND(IF(C84&gt;59,0,IF(C84=0,0,IF(Z84&lt;=db!$L$6,Z84,db!$L$6))),0)</f>
        <v>0</v>
      </c>
      <c r="AB84" s="32"/>
      <c r="AC84" s="18">
        <f>IF(B84=0,0,IF(C84&lt;(db!$E$2+5),LOOKUP(C84,'Mortality Table'!$A$2:$A$108,'Mortality Table'!$P$2:$P$108),IF((C84&gt;=db!$E$2+10),LOOKUP(C84,'Mortality Table'!$A$2:$A$108,'Mortality Table'!$R$2:$R$108),LOOKUP(C84,'Mortality Table'!$A$2:$A$108,'Mortality Table'!$Q$2:$Q$108))))</f>
        <v>0</v>
      </c>
      <c r="AD84" s="22">
        <f t="shared" si="27"/>
        <v>0</v>
      </c>
      <c r="AE84" s="19">
        <f>IF(B84=0,0,LOOKUP(db!$A$8,db!$AX$4:$AX$8,db!$AY$4:$AY$8))</f>
        <v>0</v>
      </c>
      <c r="AF84" s="20">
        <f>ROUND((AE84/1000)*P84 * (1-db!$AS$9),0)</f>
        <v>0</v>
      </c>
      <c r="AG84" s="20">
        <f>(AE84/1000)*P84 * db!$AS$9</f>
        <v>0</v>
      </c>
      <c r="AH84" s="21">
        <f>IF(B84=0,0,LOOKUP(db!$A$8,db!$AX$4:$AX$8,db!$AZ$4:$AZ$8))</f>
        <v>0</v>
      </c>
      <c r="AI84" s="22">
        <f>(AH84/1000)*R84*(1-db!$AS$9)</f>
        <v>0</v>
      </c>
      <c r="AJ84" s="22">
        <f>(AH84/1000)*R84*(db!$AS$9)</f>
        <v>0</v>
      </c>
      <c r="AK84" s="23">
        <f>IF(B84=0,0,LOOKUP(db!$A$8,db!$AX$4:$AX$8,db!$BA$4:$BA$8))</f>
        <v>0</v>
      </c>
      <c r="AL84" s="20">
        <f>ROUND((AK84/(100))*T84*(1-db!$AS$9),0)</f>
        <v>0</v>
      </c>
      <c r="AM84" s="20">
        <f>ROUND((AK84/(100))*T84*(db!$AS$9),0)</f>
        <v>0</v>
      </c>
      <c r="AN84" s="21">
        <f>IF(db!$D$8="Yes",AH84,0)</f>
        <v>0</v>
      </c>
      <c r="AO84" s="22">
        <f>(AN84*V84)/1000*(1-db!$AS$9)</f>
        <v>0</v>
      </c>
      <c r="AP84" s="22">
        <f>(AN84*V84)/1000*(db!$AS$9)</f>
        <v>0</v>
      </c>
      <c r="AQ84" s="23">
        <f>IF(db!$D$10="Yes",AH84,0)</f>
        <v>0</v>
      </c>
      <c r="AR84" s="20">
        <f>(AQ84*W84/1000)*(1-db!$AS$9)</f>
        <v>0</v>
      </c>
      <c r="AS84" s="20">
        <f>(AQ84*W84/1000)*(db!$AS$9)</f>
        <v>0</v>
      </c>
      <c r="AT84" s="22">
        <f>IF(B84=0,0,IF(C84&gt;60,0,LOOKUP(LOOKUP(C84,RiskLoading!A$3:A$109,RiskLoading!DG$3:DG$109),db!$BC$3:$BC$63,db!$BD$3:$BD$63)))</f>
        <v>0</v>
      </c>
      <c r="AU84" s="22">
        <f>AV84*db!$AS$10</f>
        <v>0</v>
      </c>
      <c r="AV84" s="22">
        <f t="shared" si="28"/>
        <v>0</v>
      </c>
      <c r="AW84" s="22">
        <f>(AT84/1000000)*Y84*(1-db!$AS$10)</f>
        <v>0</v>
      </c>
      <c r="AX84" s="20">
        <f>IF(B84=0,0,IF(C84&gt;60,0,LOOKUP(LOOKUP(C84,RiskLoading!A$3:A$109,RiskLoading!DG$3:DG$109),db!$BC$3:$BC$63,db!$BE$3:$BE$63)))</f>
        <v>0</v>
      </c>
      <c r="AY84" s="20">
        <f>(AX84/1000000)*AA84*(1-db!$AS$11)</f>
        <v>0</v>
      </c>
      <c r="AZ84" s="20">
        <f>(AX84/1000000)*AA84*(db!$AS$11)</f>
        <v>0</v>
      </c>
      <c r="BA84" s="19">
        <f>IF(Table13[Year]=0,0,LOOKUP(Table13[Age],RiskLoading!A$3:A$109,RiskLoading!DP$3:DP$109))</f>
        <v>0</v>
      </c>
      <c r="BB84" s="20">
        <f>Table13[[#This Row],[RiskLoading
Rate]]*Table13[[#This Row],[Death Capital (2)]]</f>
        <v>0</v>
      </c>
      <c r="BC84" s="36"/>
      <c r="BD84" s="37">
        <f t="shared" si="29"/>
        <v>0</v>
      </c>
      <c r="BE84" s="35">
        <f t="shared" si="30"/>
        <v>0</v>
      </c>
      <c r="BF84" s="35">
        <f t="shared" si="31"/>
        <v>0</v>
      </c>
      <c r="BG84" s="37">
        <f t="shared" si="32"/>
        <v>0</v>
      </c>
      <c r="BH84" s="37">
        <f t="shared" si="33"/>
        <v>0</v>
      </c>
      <c r="BI84" s="35">
        <f t="shared" si="38"/>
        <v>0</v>
      </c>
      <c r="BJ84" s="35">
        <f t="shared" si="39"/>
        <v>0</v>
      </c>
      <c r="BK84" s="37">
        <v>0</v>
      </c>
      <c r="BL84" s="37">
        <v>0</v>
      </c>
      <c r="BM84" s="35"/>
      <c r="BN84" s="37">
        <f>0</f>
        <v>0</v>
      </c>
      <c r="BO84" s="37"/>
      <c r="BP84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84" s="33"/>
      <c r="BR84" s="39">
        <f>Table13[[#This Row],[Initial Reserve]]-Table13[[#This Row],[All Deductions]]</f>
        <v>0</v>
      </c>
      <c r="BS84" s="39">
        <v>0</v>
      </c>
      <c r="BT84" s="39">
        <f>IF(B84=0,0,BU83-Table13[[#This Row],[All Deductions]])</f>
        <v>0</v>
      </c>
      <c r="BU84" s="40">
        <f>ROUND(IF(B84=0,0,((BR84+BU83)*(1+db!U86))),0)</f>
        <v>0</v>
      </c>
      <c r="BV84" s="40">
        <f t="shared" si="43"/>
        <v>0</v>
      </c>
      <c r="BW84" s="15">
        <f t="shared" si="40"/>
        <v>83</v>
      </c>
      <c r="BX84" s="39">
        <f>IF(B84=0,0,((BR84)*(1+db!AH86))+((BX83)*(1+db!AD86)))</f>
        <v>0</v>
      </c>
      <c r="BY84" s="39">
        <f>IF(B84=0,0,((BR84)*(1+db!AH86))+((BY83)*(1+db!AD86)))</f>
        <v>0</v>
      </c>
      <c r="BZ84" s="40">
        <f>IF(B84=0,0,((BR84)*(1+db!AO86))+((BZ83)*(1+db!AK86)))</f>
        <v>0</v>
      </c>
      <c r="CA84" s="40">
        <f>BZ84-(SUM(BM$7:$BM85))</f>
        <v>0</v>
      </c>
      <c r="CB84" s="26"/>
    </row>
    <row r="85" spans="1:80">
      <c r="A85" s="16">
        <f t="shared" si="41"/>
        <v>84</v>
      </c>
      <c r="B85" s="16">
        <f>IF(B84=0,0,IF(db!$E$5&lt;B84+1,0,B84+1))</f>
        <v>0</v>
      </c>
      <c r="C85" s="15">
        <f t="shared" si="42"/>
        <v>0</v>
      </c>
      <c r="D85" s="312">
        <f>LOOKUP(Table13[[#This Row],[Age]],RiskLoading!A$3:A$109,RiskLoading!DG$3:DG$109)</f>
        <v>55</v>
      </c>
      <c r="E85" s="29">
        <f t="shared" si="34"/>
        <v>0</v>
      </c>
      <c r="F85" s="29">
        <f t="shared" si="35"/>
        <v>0</v>
      </c>
      <c r="G85" s="29">
        <f t="shared" si="26"/>
        <v>0</v>
      </c>
      <c r="H85" s="29">
        <v>0</v>
      </c>
      <c r="I85" s="29">
        <f>IF(B85=0,0,SUM($H$2:H85))</f>
        <v>0</v>
      </c>
      <c r="J85" s="17">
        <f t="shared" si="36"/>
        <v>0</v>
      </c>
      <c r="K85" s="17">
        <f>IF(Table13[[#This Row],[Year]]=0,0,IF($C$2&lt;=50,LOOKUP(Table13[[#This Row],[Age]],db!BG86:BG192,db!BH86:BH192),LOOKUP(Table13[[#This Row],[Age]],db!BJ86:BJ192,db!BK86:BK192)))</f>
        <v>0</v>
      </c>
      <c r="L85" s="17">
        <f>MIN(IF(B85=0,0,db!$E$4*((1+db!$B$4)^(B85-1))),Table13[[#This Row],[Max Sum Insured For Death]])</f>
        <v>0</v>
      </c>
      <c r="M85" s="17">
        <f>ROUND(IF(L85&lt;=db!$L$7,L85,db!$L$7),0)</f>
        <v>0</v>
      </c>
      <c r="N85" s="29">
        <f t="shared" si="37"/>
        <v>0</v>
      </c>
      <c r="O85" s="29">
        <f>IF(B85=0,0,IF(db!$D$6="Yes",(db!$B$6)*M85,0))</f>
        <v>0</v>
      </c>
      <c r="P85" s="29">
        <f>MIN(IF(O85&lt;=db!$L$2,O85,db!$L$2),MAX_ACC_CAPITAL)</f>
        <v>0</v>
      </c>
      <c r="Q85" s="17">
        <f>IF(B85=0,0,IF(db!$D$7="Yes",(db!$B$7)*M85,0))</f>
        <v>0</v>
      </c>
      <c r="R85" s="42">
        <f>IF(C85&gt;69,0,IF(C85=0,0,IF(Q85&lt;=db!$L$3,Q85,db!$L$3)))</f>
        <v>0</v>
      </c>
      <c r="S85" s="29">
        <f>IF(B85=0,0,IF(db!$D$9="Yes",(db!$B$9)*M85,0))</f>
        <v>0</v>
      </c>
      <c r="T85" s="29">
        <f>ROUND(IF(C85&gt;69,0,IF(C85=0,0,IF(S85&lt;=db!$L$4,S85,db!$L$4))),0)</f>
        <v>0</v>
      </c>
      <c r="U85" s="38">
        <v>0</v>
      </c>
      <c r="V85" s="17">
        <v>0</v>
      </c>
      <c r="W85" s="29">
        <v>0</v>
      </c>
      <c r="X85" s="17">
        <f>IF(B85=0,0,IF(db!$D$11="Yes",(db!$B$11)*M85,0))</f>
        <v>0</v>
      </c>
      <c r="Y85" s="42">
        <f>ROUND(IF(C85&gt;59,0,IF(C85=0,0,IF(X85&lt;=db!$L$5,X85,db!$L$5))),0)</f>
        <v>0</v>
      </c>
      <c r="Z85" s="29">
        <f>IF(B85=0,0,IF(db!$D$12="Yes",(db!$B$12)*M85,0))</f>
        <v>0</v>
      </c>
      <c r="AA85" s="29">
        <f>ROUND(IF(C85&gt;59,0,IF(C85=0,0,IF(Z85&lt;=db!$L$6,Z85,db!$L$6))),0)</f>
        <v>0</v>
      </c>
      <c r="AB85" s="32"/>
      <c r="AC85" s="18">
        <f>IF(B85=0,0,IF(C85&lt;(db!$E$2+5),LOOKUP(C85,'Mortality Table'!$A$2:$A$108,'Mortality Table'!$P$2:$P$108),IF((C85&gt;=db!$E$2+10),LOOKUP(C85,'Mortality Table'!$A$2:$A$108,'Mortality Table'!$R$2:$R$108),LOOKUP(C85,'Mortality Table'!$A$2:$A$108,'Mortality Table'!$Q$2:$Q$108))))</f>
        <v>0</v>
      </c>
      <c r="AD85" s="22">
        <f t="shared" si="27"/>
        <v>0</v>
      </c>
      <c r="AE85" s="19">
        <f>IF(B85=0,0,LOOKUP(db!$A$8,db!$AX$4:$AX$8,db!$AY$4:$AY$8))</f>
        <v>0</v>
      </c>
      <c r="AF85" s="20">
        <f>ROUND((AE85/1000)*P85 * (1-db!$AS$9),0)</f>
        <v>0</v>
      </c>
      <c r="AG85" s="20">
        <f>(AE85/1000)*P85 * db!$AS$9</f>
        <v>0</v>
      </c>
      <c r="AH85" s="21">
        <f>IF(B85=0,0,LOOKUP(db!$A$8,db!$AX$4:$AX$8,db!$AZ$4:$AZ$8))</f>
        <v>0</v>
      </c>
      <c r="AI85" s="22">
        <f>(AH85/1000)*R85*(1-db!$AS$9)</f>
        <v>0</v>
      </c>
      <c r="AJ85" s="22">
        <f>(AH85/1000)*R85*(db!$AS$9)</f>
        <v>0</v>
      </c>
      <c r="AK85" s="23">
        <f>IF(B85=0,0,LOOKUP(db!$A$8,db!$AX$4:$AX$8,db!$BA$4:$BA$8))</f>
        <v>0</v>
      </c>
      <c r="AL85" s="20">
        <f>ROUND((AK85/(100))*T85*(1-db!$AS$9),0)</f>
        <v>0</v>
      </c>
      <c r="AM85" s="20">
        <f>ROUND((AK85/(100))*T85*(db!$AS$9),0)</f>
        <v>0</v>
      </c>
      <c r="AN85" s="21">
        <f>IF(db!$D$8="Yes",AH85,0)</f>
        <v>0</v>
      </c>
      <c r="AO85" s="22">
        <f>(AN85*V85)/1000*(1-db!$AS$9)</f>
        <v>0</v>
      </c>
      <c r="AP85" s="22">
        <f>(AN85*V85)/1000*(db!$AS$9)</f>
        <v>0</v>
      </c>
      <c r="AQ85" s="23">
        <f>IF(db!$D$10="Yes",AH85,0)</f>
        <v>0</v>
      </c>
      <c r="AR85" s="20">
        <f>(AQ85*W85/1000)*(1-db!$AS$9)</f>
        <v>0</v>
      </c>
      <c r="AS85" s="20">
        <f>(AQ85*W85/1000)*(db!$AS$9)</f>
        <v>0</v>
      </c>
      <c r="AT85" s="22">
        <f>IF(B85=0,0,IF(C85&gt;60,0,LOOKUP(LOOKUP(C85,RiskLoading!A$3:A$109,RiskLoading!DG$3:DG$109),db!$BC$3:$BC$63,db!$BD$3:$BD$63)))</f>
        <v>0</v>
      </c>
      <c r="AU85" s="22">
        <f>AV85*db!$AS$10</f>
        <v>0</v>
      </c>
      <c r="AV85" s="22">
        <f t="shared" si="28"/>
        <v>0</v>
      </c>
      <c r="AW85" s="22">
        <f>(AT85/1000000)*Y85*(1-db!$AS$10)</f>
        <v>0</v>
      </c>
      <c r="AX85" s="20">
        <f>IF(B85=0,0,IF(C85&gt;60,0,LOOKUP(LOOKUP(C85,RiskLoading!A$3:A$109,RiskLoading!DG$3:DG$109),db!$BC$3:$BC$63,db!$BE$3:$BE$63)))</f>
        <v>0</v>
      </c>
      <c r="AY85" s="20">
        <f>(AX85/1000000)*AA85*(1-db!$AS$11)</f>
        <v>0</v>
      </c>
      <c r="AZ85" s="20">
        <f>(AX85/1000000)*AA85*(db!$AS$11)</f>
        <v>0</v>
      </c>
      <c r="BA85" s="19">
        <f>IF(Table13[Year]=0,0,LOOKUP(Table13[Age],RiskLoading!A$3:A$109,RiskLoading!DP$3:DP$109))</f>
        <v>0</v>
      </c>
      <c r="BB85" s="20">
        <f>Table13[[#This Row],[RiskLoading
Rate]]*Table13[[#This Row],[Death Capital (2)]]</f>
        <v>0</v>
      </c>
      <c r="BC85" s="36"/>
      <c r="BD85" s="37">
        <f t="shared" si="29"/>
        <v>0</v>
      </c>
      <c r="BE85" s="35">
        <f t="shared" si="30"/>
        <v>0</v>
      </c>
      <c r="BF85" s="35">
        <f t="shared" si="31"/>
        <v>0</v>
      </c>
      <c r="BG85" s="37">
        <f t="shared" si="32"/>
        <v>0</v>
      </c>
      <c r="BH85" s="37">
        <f t="shared" si="33"/>
        <v>0</v>
      </c>
      <c r="BI85" s="35">
        <f t="shared" si="38"/>
        <v>0</v>
      </c>
      <c r="BJ85" s="35">
        <f t="shared" si="39"/>
        <v>0</v>
      </c>
      <c r="BK85" s="37">
        <v>0</v>
      </c>
      <c r="BL85" s="37">
        <v>0</v>
      </c>
      <c r="BM85" s="35"/>
      <c r="BN85" s="37">
        <f>0</f>
        <v>0</v>
      </c>
      <c r="BO85" s="37"/>
      <c r="BP85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85" s="33"/>
      <c r="BR85" s="39">
        <f>Table13[[#This Row],[Initial Reserve]]-Table13[[#This Row],[All Deductions]]</f>
        <v>0</v>
      </c>
      <c r="BS85" s="39">
        <v>0</v>
      </c>
      <c r="BT85" s="39">
        <f>IF(B85=0,0,BU84-Table13[[#This Row],[All Deductions]])</f>
        <v>0</v>
      </c>
      <c r="BU85" s="40">
        <f>ROUND(IF(B85=0,0,((BR85+BU84)*(1+db!U87))),0)</f>
        <v>0</v>
      </c>
      <c r="BV85" s="40">
        <f t="shared" si="43"/>
        <v>0</v>
      </c>
      <c r="BW85" s="15">
        <f t="shared" si="40"/>
        <v>84</v>
      </c>
      <c r="BX85" s="39">
        <f>IF(B85=0,0,((BR85)*(1+db!AH87))+((BX84)*(1+db!AD87)))</f>
        <v>0</v>
      </c>
      <c r="BY85" s="39">
        <f>IF(B85=0,0,((BR85)*(1+db!AH87))+((BY84)*(1+db!AD87)))</f>
        <v>0</v>
      </c>
      <c r="BZ85" s="40">
        <f>IF(B85=0,0,((BR85)*(1+db!AO87))+((BZ84)*(1+db!AK87)))</f>
        <v>0</v>
      </c>
      <c r="CA85" s="40">
        <f>BZ85-(SUM(BM$7:$BM86))</f>
        <v>0</v>
      </c>
      <c r="CB85" s="26"/>
    </row>
    <row r="86" spans="1:80">
      <c r="A86" s="16">
        <f t="shared" si="41"/>
        <v>85</v>
      </c>
      <c r="B86" s="16">
        <f>IF(B85=0,0,IF(db!$E$5&lt;B85+1,0,B85+1))</f>
        <v>0</v>
      </c>
      <c r="C86" s="15">
        <f t="shared" si="42"/>
        <v>0</v>
      </c>
      <c r="D86" s="312">
        <f>LOOKUP(Table13[[#This Row],[Age]],RiskLoading!A$3:A$109,RiskLoading!DG$3:DG$109)</f>
        <v>55</v>
      </c>
      <c r="E86" s="29">
        <f t="shared" si="34"/>
        <v>0</v>
      </c>
      <c r="F86" s="29">
        <f t="shared" si="35"/>
        <v>0</v>
      </c>
      <c r="G86" s="29">
        <f t="shared" si="26"/>
        <v>0</v>
      </c>
      <c r="H86" s="29">
        <v>0</v>
      </c>
      <c r="I86" s="29">
        <f>IF(B86=0,0,SUM($H$2:H86))</f>
        <v>0</v>
      </c>
      <c r="J86" s="17">
        <f t="shared" si="36"/>
        <v>0</v>
      </c>
      <c r="K86" s="17">
        <f>IF(Table13[[#This Row],[Year]]=0,0,IF($C$2&lt;=50,LOOKUP(Table13[[#This Row],[Age]],db!BG87:BG193,db!BH87:BH193),LOOKUP(Table13[[#This Row],[Age]],db!BJ87:BJ193,db!BK87:BK193)))</f>
        <v>0</v>
      </c>
      <c r="L86" s="17">
        <f>MIN(IF(B86=0,0,db!$E$4*((1+db!$B$4)^(B86-1))),Table13[[#This Row],[Max Sum Insured For Death]])</f>
        <v>0</v>
      </c>
      <c r="M86" s="17">
        <f>ROUND(IF(L86&lt;=db!$L$7,L86,db!$L$7),0)</f>
        <v>0</v>
      </c>
      <c r="N86" s="29">
        <f t="shared" si="37"/>
        <v>0</v>
      </c>
      <c r="O86" s="29">
        <f>IF(B86=0,0,IF(db!$D$6="Yes",(db!$B$6)*M86,0))</f>
        <v>0</v>
      </c>
      <c r="P86" s="29">
        <f>MIN(IF(O86&lt;=db!$L$2,O86,db!$L$2),MAX_ACC_CAPITAL)</f>
        <v>0</v>
      </c>
      <c r="Q86" s="17">
        <f>IF(B86=0,0,IF(db!$D$7="Yes",(db!$B$7)*M86,0))</f>
        <v>0</v>
      </c>
      <c r="R86" s="42">
        <f>IF(C86&gt;69,0,IF(C86=0,0,IF(Q86&lt;=db!$L$3,Q86,db!$L$3)))</f>
        <v>0</v>
      </c>
      <c r="S86" s="29">
        <f>IF(B86=0,0,IF(db!$D$9="Yes",(db!$B$9)*M86,0))</f>
        <v>0</v>
      </c>
      <c r="T86" s="29">
        <f>ROUND(IF(C86&gt;69,0,IF(C86=0,0,IF(S86&lt;=db!$L$4,S86,db!$L$4))),0)</f>
        <v>0</v>
      </c>
      <c r="U86" s="38">
        <v>0</v>
      </c>
      <c r="V86" s="17">
        <v>0</v>
      </c>
      <c r="W86" s="29">
        <v>0</v>
      </c>
      <c r="X86" s="17">
        <f>IF(B86=0,0,IF(db!$D$11="Yes",(db!$B$11)*M86,0))</f>
        <v>0</v>
      </c>
      <c r="Y86" s="42">
        <f>ROUND(IF(C86&gt;59,0,IF(C86=0,0,IF(X86&lt;=db!$L$5,X86,db!$L$5))),0)</f>
        <v>0</v>
      </c>
      <c r="Z86" s="29">
        <f>IF(B86=0,0,IF(db!$D$12="Yes",(db!$B$12)*M86,0))</f>
        <v>0</v>
      </c>
      <c r="AA86" s="29">
        <f>ROUND(IF(C86&gt;59,0,IF(C86=0,0,IF(Z86&lt;=db!$L$6,Z86,db!$L$6))),0)</f>
        <v>0</v>
      </c>
      <c r="AB86" s="32"/>
      <c r="AC86" s="18">
        <f>IF(B86=0,0,IF(C86&lt;(db!$E$2+5),LOOKUP(C86,'Mortality Table'!$A$2:$A$108,'Mortality Table'!$P$2:$P$108),IF((C86&gt;=db!$E$2+10),LOOKUP(C86,'Mortality Table'!$A$2:$A$108,'Mortality Table'!$R$2:$R$108),LOOKUP(C86,'Mortality Table'!$A$2:$A$108,'Mortality Table'!$Q$2:$Q$108))))</f>
        <v>0</v>
      </c>
      <c r="AD86" s="22">
        <f t="shared" si="27"/>
        <v>0</v>
      </c>
      <c r="AE86" s="19">
        <f>IF(B86=0,0,LOOKUP(db!$A$8,db!$AX$4:$AX$8,db!$AY$4:$AY$8))</f>
        <v>0</v>
      </c>
      <c r="AF86" s="20">
        <f>ROUND((AE86/1000)*P86 * (1-db!$AS$9),0)</f>
        <v>0</v>
      </c>
      <c r="AG86" s="20">
        <f>(AE86/1000)*P86 * db!$AS$9</f>
        <v>0</v>
      </c>
      <c r="AH86" s="21">
        <f>IF(B86=0,0,LOOKUP(db!$A$8,db!$AX$4:$AX$8,db!$AZ$4:$AZ$8))</f>
        <v>0</v>
      </c>
      <c r="AI86" s="22">
        <f>(AH86/1000)*R86*(1-db!$AS$9)</f>
        <v>0</v>
      </c>
      <c r="AJ86" s="22">
        <f>(AH86/1000)*R86*(db!$AS$9)</f>
        <v>0</v>
      </c>
      <c r="AK86" s="23">
        <f>IF(B86=0,0,LOOKUP(db!$A$8,db!$AX$4:$AX$8,db!$BA$4:$BA$8))</f>
        <v>0</v>
      </c>
      <c r="AL86" s="20">
        <f>ROUND((AK86/(100))*T86*(1-db!$AS$9),0)</f>
        <v>0</v>
      </c>
      <c r="AM86" s="20">
        <f>ROUND((AK86/(100))*T86*(db!$AS$9),0)</f>
        <v>0</v>
      </c>
      <c r="AN86" s="21">
        <f>IF(db!$D$8="Yes",AH86,0)</f>
        <v>0</v>
      </c>
      <c r="AO86" s="22">
        <f>(AN86*V86)/1000*(1-db!$AS$9)</f>
        <v>0</v>
      </c>
      <c r="AP86" s="22">
        <f>(AN86*V86)/1000*(db!$AS$9)</f>
        <v>0</v>
      </c>
      <c r="AQ86" s="23">
        <f>IF(db!$D$10="Yes",AH86,0)</f>
        <v>0</v>
      </c>
      <c r="AR86" s="20">
        <f>(AQ86*W86/1000)*(1-db!$AS$9)</f>
        <v>0</v>
      </c>
      <c r="AS86" s="20">
        <f>(AQ86*W86/1000)*(db!$AS$9)</f>
        <v>0</v>
      </c>
      <c r="AT86" s="22">
        <f>IF(B86=0,0,IF(C86&gt;60,0,LOOKUP(LOOKUP(C86,RiskLoading!A$3:A$109,RiskLoading!DG$3:DG$109),db!$BC$3:$BC$63,db!$BD$3:$BD$63)))</f>
        <v>0</v>
      </c>
      <c r="AU86" s="22">
        <f>AV86*db!$AS$10</f>
        <v>0</v>
      </c>
      <c r="AV86" s="22">
        <f t="shared" si="28"/>
        <v>0</v>
      </c>
      <c r="AW86" s="22">
        <f>(AT86/1000000)*Y86*(1-db!$AS$10)</f>
        <v>0</v>
      </c>
      <c r="AX86" s="20">
        <f>IF(B86=0,0,IF(C86&gt;60,0,LOOKUP(LOOKUP(C86,RiskLoading!A$3:A$109,RiskLoading!DG$3:DG$109),db!$BC$3:$BC$63,db!$BE$3:$BE$63)))</f>
        <v>0</v>
      </c>
      <c r="AY86" s="20">
        <f>(AX86/1000000)*AA86*(1-db!$AS$11)</f>
        <v>0</v>
      </c>
      <c r="AZ86" s="20">
        <f>(AX86/1000000)*AA86*(db!$AS$11)</f>
        <v>0</v>
      </c>
      <c r="BA86" s="19">
        <f>IF(Table13[Year]=0,0,LOOKUP(Table13[Age],RiskLoading!A$3:A$109,RiskLoading!DP$3:DP$109))</f>
        <v>0</v>
      </c>
      <c r="BB86" s="20">
        <f>Table13[[#This Row],[RiskLoading
Rate]]*Table13[[#This Row],[Death Capital (2)]]</f>
        <v>0</v>
      </c>
      <c r="BC86" s="36"/>
      <c r="BD86" s="37">
        <f t="shared" si="29"/>
        <v>0</v>
      </c>
      <c r="BE86" s="35">
        <f t="shared" si="30"/>
        <v>0</v>
      </c>
      <c r="BF86" s="35">
        <f t="shared" si="31"/>
        <v>0</v>
      </c>
      <c r="BG86" s="37">
        <f t="shared" si="32"/>
        <v>0</v>
      </c>
      <c r="BH86" s="37">
        <f t="shared" si="33"/>
        <v>0</v>
      </c>
      <c r="BI86" s="35">
        <f t="shared" si="38"/>
        <v>0</v>
      </c>
      <c r="BJ86" s="35">
        <f t="shared" si="39"/>
        <v>0</v>
      </c>
      <c r="BK86" s="37">
        <v>0</v>
      </c>
      <c r="BL86" s="37">
        <v>0</v>
      </c>
      <c r="BM86" s="35"/>
      <c r="BN86" s="37">
        <f>0</f>
        <v>0</v>
      </c>
      <c r="BO86" s="37"/>
      <c r="BP86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86" s="33"/>
      <c r="BR86" s="39">
        <f>Table13[[#This Row],[Initial Reserve]]-Table13[[#This Row],[All Deductions]]</f>
        <v>0</v>
      </c>
      <c r="BS86" s="39">
        <v>0</v>
      </c>
      <c r="BT86" s="39">
        <f>IF(B86=0,0,BU85-Table13[[#This Row],[All Deductions]])</f>
        <v>0</v>
      </c>
      <c r="BU86" s="40">
        <f>ROUND(IF(B86=0,0,((BR86+BU85)*(1+db!U88))),0)</f>
        <v>0</v>
      </c>
      <c r="BV86" s="40">
        <f t="shared" si="43"/>
        <v>0</v>
      </c>
      <c r="BW86" s="15">
        <f t="shared" si="40"/>
        <v>85</v>
      </c>
      <c r="BX86" s="39">
        <f>IF(B86=0,0,((BR86)*(1+db!AH88))+((BX85)*(1+db!AD88)))</f>
        <v>0</v>
      </c>
      <c r="BY86" s="39">
        <f>IF(B86=0,0,((BR86)*(1+db!AH88))+((BY85)*(1+db!AD88)))</f>
        <v>0</v>
      </c>
      <c r="BZ86" s="40">
        <f>IF(B86=0,0,((BR86)*(1+db!AO88))+((BZ85)*(1+db!AK88)))</f>
        <v>0</v>
      </c>
      <c r="CA86" s="40">
        <f>BZ86-(SUM(BM$7:$BM87))</f>
        <v>0</v>
      </c>
      <c r="CB86" s="26"/>
    </row>
    <row r="87" spans="1:80">
      <c r="A87" s="16">
        <f t="shared" si="41"/>
        <v>86</v>
      </c>
      <c r="B87" s="16">
        <f>IF(B86=0,0,IF(db!$E$5&lt;B86+1,0,B86+1))</f>
        <v>0</v>
      </c>
      <c r="C87" s="15">
        <f t="shared" si="42"/>
        <v>0</v>
      </c>
      <c r="D87" s="312">
        <f>LOOKUP(Table13[[#This Row],[Age]],RiskLoading!A$3:A$109,RiskLoading!DG$3:DG$109)</f>
        <v>55</v>
      </c>
      <c r="E87" s="29">
        <f t="shared" si="34"/>
        <v>0</v>
      </c>
      <c r="F87" s="29">
        <f t="shared" si="35"/>
        <v>0</v>
      </c>
      <c r="G87" s="29">
        <f t="shared" si="26"/>
        <v>0</v>
      </c>
      <c r="H87" s="29">
        <v>0</v>
      </c>
      <c r="I87" s="29">
        <f>IF(B87=0,0,SUM($H$2:H87))</f>
        <v>0</v>
      </c>
      <c r="J87" s="17">
        <f t="shared" si="36"/>
        <v>0</v>
      </c>
      <c r="K87" s="17">
        <f>IF(Table13[[#This Row],[Year]]=0,0,IF($C$2&lt;=50,LOOKUP(Table13[[#This Row],[Age]],db!BG88:BG194,db!BH88:BH194),LOOKUP(Table13[[#This Row],[Age]],db!BJ88:BJ194,db!BK88:BK194)))</f>
        <v>0</v>
      </c>
      <c r="L87" s="17">
        <f>MIN(IF(B87=0,0,db!$E$4*((1+db!$B$4)^(B87-1))),Table13[[#This Row],[Max Sum Insured For Death]])</f>
        <v>0</v>
      </c>
      <c r="M87" s="17">
        <f>ROUND(IF(L87&lt;=db!$L$7,L87,db!$L$7),0)</f>
        <v>0</v>
      </c>
      <c r="N87" s="29">
        <f t="shared" si="37"/>
        <v>0</v>
      </c>
      <c r="O87" s="29">
        <f>IF(B87=0,0,IF(db!$D$6="Yes",(db!$B$6)*M87,0))</f>
        <v>0</v>
      </c>
      <c r="P87" s="29">
        <f>MIN(IF(O87&lt;=db!$L$2,O87,db!$L$2),MAX_ACC_CAPITAL)</f>
        <v>0</v>
      </c>
      <c r="Q87" s="17">
        <f>IF(B87=0,0,IF(db!$D$7="Yes",(db!$B$7)*M87,0))</f>
        <v>0</v>
      </c>
      <c r="R87" s="42">
        <f>IF(C87&gt;69,0,IF(C87=0,0,IF(Q87&lt;=db!$L$3,Q87,db!$L$3)))</f>
        <v>0</v>
      </c>
      <c r="S87" s="29">
        <f>IF(B87=0,0,IF(db!$D$9="Yes",(db!$B$9)*M87,0))</f>
        <v>0</v>
      </c>
      <c r="T87" s="29">
        <f>ROUND(IF(C87&gt;69,0,IF(C87=0,0,IF(S87&lt;=db!$L$4,S87,db!$L$4))),0)</f>
        <v>0</v>
      </c>
      <c r="U87" s="38">
        <v>0</v>
      </c>
      <c r="V87" s="17">
        <v>0</v>
      </c>
      <c r="W87" s="29">
        <v>0</v>
      </c>
      <c r="X87" s="17">
        <f>IF(B87=0,0,IF(db!$D$11="Yes",(db!$B$11)*M87,0))</f>
        <v>0</v>
      </c>
      <c r="Y87" s="42">
        <f>ROUND(IF(C87&gt;59,0,IF(C87=0,0,IF(X87&lt;=db!$L$5,X87,db!$L$5))),0)</f>
        <v>0</v>
      </c>
      <c r="Z87" s="29">
        <f>IF(B87=0,0,IF(db!$D$12="Yes",(db!$B$12)*M87,0))</f>
        <v>0</v>
      </c>
      <c r="AA87" s="29">
        <f>ROUND(IF(C87&gt;59,0,IF(C87=0,0,IF(Z87&lt;=db!$L$6,Z87,db!$L$6))),0)</f>
        <v>0</v>
      </c>
      <c r="AB87" s="32"/>
      <c r="AC87" s="18">
        <f>IF(B87=0,0,IF(C87&lt;(db!$E$2+5),LOOKUP(C87,'Mortality Table'!$A$2:$A$108,'Mortality Table'!$P$2:$P$108),IF((C87&gt;=db!$E$2+10),LOOKUP(C87,'Mortality Table'!$A$2:$A$108,'Mortality Table'!$R$2:$R$108),LOOKUP(C87,'Mortality Table'!$A$2:$A$108,'Mortality Table'!$Q$2:$Q$108))))</f>
        <v>0</v>
      </c>
      <c r="AD87" s="22">
        <f t="shared" si="27"/>
        <v>0</v>
      </c>
      <c r="AE87" s="19">
        <f>IF(B87=0,0,LOOKUP(db!$A$8,db!$AX$4:$AX$8,db!$AY$4:$AY$8))</f>
        <v>0</v>
      </c>
      <c r="AF87" s="20">
        <f>ROUND((AE87/1000)*P87 * (1-db!$AS$9),0)</f>
        <v>0</v>
      </c>
      <c r="AG87" s="20">
        <f>(AE87/1000)*P87 * db!$AS$9</f>
        <v>0</v>
      </c>
      <c r="AH87" s="21">
        <f>IF(B87=0,0,LOOKUP(db!$A$8,db!$AX$4:$AX$8,db!$AZ$4:$AZ$8))</f>
        <v>0</v>
      </c>
      <c r="AI87" s="22">
        <f>(AH87/1000)*R87*(1-db!$AS$9)</f>
        <v>0</v>
      </c>
      <c r="AJ87" s="22">
        <f>(AH87/1000)*R87*(db!$AS$9)</f>
        <v>0</v>
      </c>
      <c r="AK87" s="23">
        <f>IF(B87=0,0,LOOKUP(db!$A$8,db!$AX$4:$AX$8,db!$BA$4:$BA$8))</f>
        <v>0</v>
      </c>
      <c r="AL87" s="20">
        <f>ROUND((AK87/(100))*T87*(1-db!$AS$9),0)</f>
        <v>0</v>
      </c>
      <c r="AM87" s="20">
        <f>ROUND((AK87/(100))*T87*(db!$AS$9),0)</f>
        <v>0</v>
      </c>
      <c r="AN87" s="21">
        <f>IF(db!$D$8="Yes",AH87,0)</f>
        <v>0</v>
      </c>
      <c r="AO87" s="22">
        <f>(AN87*V87)/1000*(1-db!$AS$9)</f>
        <v>0</v>
      </c>
      <c r="AP87" s="22">
        <f>(AN87*V87)/1000*(db!$AS$9)</f>
        <v>0</v>
      </c>
      <c r="AQ87" s="23">
        <f>IF(db!$D$10="Yes",AH87,0)</f>
        <v>0</v>
      </c>
      <c r="AR87" s="20">
        <f>(AQ87*W87/1000)*(1-db!$AS$9)</f>
        <v>0</v>
      </c>
      <c r="AS87" s="20">
        <f>(AQ87*W87/1000)*(db!$AS$9)</f>
        <v>0</v>
      </c>
      <c r="AT87" s="22">
        <f>IF(B87=0,0,IF(C87&gt;60,0,LOOKUP(LOOKUP(C87,RiskLoading!A$3:A$109,RiskLoading!DG$3:DG$109),db!$BC$3:$BC$63,db!$BD$3:$BD$63)))</f>
        <v>0</v>
      </c>
      <c r="AU87" s="22">
        <f>AV87*db!$AS$10</f>
        <v>0</v>
      </c>
      <c r="AV87" s="22">
        <f t="shared" si="28"/>
        <v>0</v>
      </c>
      <c r="AW87" s="22">
        <f>(AT87/1000000)*Y87*(1-db!$AS$10)</f>
        <v>0</v>
      </c>
      <c r="AX87" s="20">
        <f>IF(B87=0,0,IF(C87&gt;60,0,LOOKUP(LOOKUP(C87,RiskLoading!A$3:A$109,RiskLoading!DG$3:DG$109),db!$BC$3:$BC$63,db!$BE$3:$BE$63)))</f>
        <v>0</v>
      </c>
      <c r="AY87" s="20">
        <f>(AX87/1000000)*AA87*(1-db!$AS$11)</f>
        <v>0</v>
      </c>
      <c r="AZ87" s="20">
        <f>(AX87/1000000)*AA87*(db!$AS$11)</f>
        <v>0</v>
      </c>
      <c r="BA87" s="19">
        <f>IF(Table13[Year]=0,0,LOOKUP(Table13[Age],RiskLoading!A$3:A$109,RiskLoading!DT$3:DT$109))</f>
        <v>0</v>
      </c>
      <c r="BB87" s="20">
        <f>Table13[[#This Row],[RiskLoading
Rate]]*Table13[[#This Row],[Death Capital (2)]]</f>
        <v>0</v>
      </c>
      <c r="BC87" s="36"/>
      <c r="BD87" s="37">
        <f t="shared" si="29"/>
        <v>0</v>
      </c>
      <c r="BE87" s="35">
        <f t="shared" si="30"/>
        <v>0</v>
      </c>
      <c r="BF87" s="35">
        <f t="shared" si="31"/>
        <v>0</v>
      </c>
      <c r="BG87" s="37">
        <f t="shared" si="32"/>
        <v>0</v>
      </c>
      <c r="BH87" s="37">
        <f t="shared" si="33"/>
        <v>0</v>
      </c>
      <c r="BI87" s="35">
        <f t="shared" si="38"/>
        <v>0</v>
      </c>
      <c r="BJ87" s="35">
        <f t="shared" si="39"/>
        <v>0</v>
      </c>
      <c r="BK87" s="37">
        <v>0</v>
      </c>
      <c r="BL87" s="37">
        <v>0</v>
      </c>
      <c r="BM87" s="35"/>
      <c r="BN87" s="37">
        <f>0</f>
        <v>0</v>
      </c>
      <c r="BO87" s="37"/>
      <c r="BP87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87" s="33"/>
      <c r="BR87" s="39">
        <f>Table13[[#This Row],[Initial Reserve]]-Table13[[#This Row],[All Deductions]]</f>
        <v>0</v>
      </c>
      <c r="BS87" s="39">
        <v>0</v>
      </c>
      <c r="BT87" s="39">
        <f>IF(B87=0,0,BU86-Table13[[#This Row],[All Deductions]])</f>
        <v>0</v>
      </c>
      <c r="BU87" s="40">
        <f>ROUND(IF(B87=0,0,((BR87+BU86)*(1+db!U89))),0)</f>
        <v>0</v>
      </c>
      <c r="BV87" s="40">
        <f t="shared" si="43"/>
        <v>0</v>
      </c>
      <c r="BW87" s="15">
        <f t="shared" si="40"/>
        <v>86</v>
      </c>
      <c r="BX87" s="39">
        <f>IF(B87=0,0,((BR87)*(1+db!AH89))+((BX86)*(1+db!AD89)))</f>
        <v>0</v>
      </c>
      <c r="BY87" s="39">
        <f>IF(B87=0,0,((BR87)*(1+db!AH89))+((BY86)*(1+db!AD89)))</f>
        <v>0</v>
      </c>
      <c r="BZ87" s="40">
        <f>IF(B87=0,0,((BR87)*(1+db!AO89))+((BZ86)*(1+db!AK89)))</f>
        <v>0</v>
      </c>
      <c r="CA87" s="40">
        <f>BZ87-(SUM(BM$7:$BM88))</f>
        <v>0</v>
      </c>
      <c r="CB87" s="26"/>
    </row>
    <row r="88" spans="1:80">
      <c r="A88" s="16">
        <f t="shared" si="41"/>
        <v>87</v>
      </c>
      <c r="B88" s="16">
        <f>IF(B87=0,0,IF(db!$E$5&lt;B87+1,0,B87+1))</f>
        <v>0</v>
      </c>
      <c r="C88" s="15">
        <f t="shared" si="42"/>
        <v>0</v>
      </c>
      <c r="D88" s="312">
        <f>LOOKUP(Table13[[#This Row],[Age]],RiskLoading!A$3:A$109,RiskLoading!DG$3:DG$109)</f>
        <v>55</v>
      </c>
      <c r="E88" s="29">
        <f t="shared" si="34"/>
        <v>0</v>
      </c>
      <c r="F88" s="29">
        <f t="shared" si="35"/>
        <v>0</v>
      </c>
      <c r="G88" s="29">
        <f t="shared" si="26"/>
        <v>0</v>
      </c>
      <c r="H88" s="29">
        <v>0</v>
      </c>
      <c r="I88" s="29">
        <f>IF(B88=0,0,SUM($H$2:H88))</f>
        <v>0</v>
      </c>
      <c r="J88" s="17">
        <f t="shared" si="36"/>
        <v>0</v>
      </c>
      <c r="K88" s="17">
        <f>IF(Table13[[#This Row],[Year]]=0,0,IF($C$2&lt;=50,LOOKUP(Table13[[#This Row],[Age]],db!BG89:BG195,db!BH89:BH195),LOOKUP(Table13[[#This Row],[Age]],db!BJ89:BJ195,db!BK89:BK195)))</f>
        <v>0</v>
      </c>
      <c r="L88" s="17">
        <f>MIN(IF(B88=0,0,db!$E$4*((1+db!$B$4)^(B88-1))),Table13[[#This Row],[Max Sum Insured For Death]])</f>
        <v>0</v>
      </c>
      <c r="M88" s="17">
        <f>ROUND(IF(L88&lt;=db!$L$7,L88,db!$L$7),0)</f>
        <v>0</v>
      </c>
      <c r="N88" s="29">
        <f t="shared" si="37"/>
        <v>0</v>
      </c>
      <c r="O88" s="29">
        <f>IF(B88=0,0,IF(db!$D$6="Yes",(db!$B$6)*M88,0))</f>
        <v>0</v>
      </c>
      <c r="P88" s="29">
        <f>MIN(IF(O88&lt;=db!$L$2,O88,db!$L$2),MAX_ACC_CAPITAL)</f>
        <v>0</v>
      </c>
      <c r="Q88" s="17">
        <f>IF(B88=0,0,IF(db!$D$7="Yes",(db!$B$7)*M88,0))</f>
        <v>0</v>
      </c>
      <c r="R88" s="42">
        <f>IF(C88&gt;69,0,IF(C88=0,0,IF(Q88&lt;=db!$L$3,Q88,db!$L$3)))</f>
        <v>0</v>
      </c>
      <c r="S88" s="29">
        <f>IF(B88=0,0,IF(db!$D$9="Yes",(db!$B$9)*M88,0))</f>
        <v>0</v>
      </c>
      <c r="T88" s="29">
        <f>ROUND(IF(C88&gt;69,0,IF(C88=0,0,IF(S88&lt;=db!$L$4,S88,db!$L$4))),0)</f>
        <v>0</v>
      </c>
      <c r="U88" s="38">
        <v>0</v>
      </c>
      <c r="V88" s="17">
        <v>0</v>
      </c>
      <c r="W88" s="29">
        <v>0</v>
      </c>
      <c r="X88" s="17">
        <f>IF(B88=0,0,IF(db!$D$11="Yes",(db!$B$11)*M88,0))</f>
        <v>0</v>
      </c>
      <c r="Y88" s="42">
        <f>ROUND(IF(C88&gt;59,0,IF(C88=0,0,IF(X88&lt;=db!$L$5,X88,db!$L$5))),0)</f>
        <v>0</v>
      </c>
      <c r="Z88" s="29">
        <f>IF(B88=0,0,IF(db!$D$12="Yes",(db!$B$12)*M88,0))</f>
        <v>0</v>
      </c>
      <c r="AA88" s="29">
        <f>ROUND(IF(C88&gt;59,0,IF(C88=0,0,IF(Z88&lt;=db!$L$6,Z88,db!$L$6))),0)</f>
        <v>0</v>
      </c>
      <c r="AB88" s="32"/>
      <c r="AC88" s="18">
        <f>IF(B88=0,0,IF(C88&lt;(db!$E$2+5),LOOKUP(C88,'Mortality Table'!$A$2:$A$108,'Mortality Table'!$P$2:$P$108),IF((C88&gt;=db!$E$2+10),LOOKUP(C88,'Mortality Table'!$A$2:$A$108,'Mortality Table'!$R$2:$R$108),LOOKUP(C88,'Mortality Table'!$A$2:$A$108,'Mortality Table'!$Q$2:$Q$108))))</f>
        <v>0</v>
      </c>
      <c r="AD88" s="22">
        <f t="shared" si="27"/>
        <v>0</v>
      </c>
      <c r="AE88" s="19">
        <f>IF(B88=0,0,LOOKUP(db!$A$8,db!$AX$4:$AX$8,db!$AY$4:$AY$8))</f>
        <v>0</v>
      </c>
      <c r="AF88" s="20">
        <f>ROUND((AE88/1000)*P88 * (1-db!$AS$9),0)</f>
        <v>0</v>
      </c>
      <c r="AG88" s="20">
        <f>(AE88/1000)*P88 * db!$AS$9</f>
        <v>0</v>
      </c>
      <c r="AH88" s="21">
        <f>IF(B88=0,0,LOOKUP(db!$A$8,db!$AX$4:$AX$8,db!$AZ$4:$AZ$8))</f>
        <v>0</v>
      </c>
      <c r="AI88" s="22">
        <f>(AH88/1000)*R88*(1-db!$AS$9)</f>
        <v>0</v>
      </c>
      <c r="AJ88" s="22">
        <f>(AH88/1000)*R88*(db!$AS$9)</f>
        <v>0</v>
      </c>
      <c r="AK88" s="23">
        <f>IF(B88=0,0,LOOKUP(db!$A$8,db!$AX$4:$AX$8,db!$BA$4:$BA$8))</f>
        <v>0</v>
      </c>
      <c r="AL88" s="20">
        <f>ROUND((AK88/(100))*T88*(1-db!$AS$9),0)</f>
        <v>0</v>
      </c>
      <c r="AM88" s="20">
        <f>ROUND((AK88/(100))*T88*(db!$AS$9),0)</f>
        <v>0</v>
      </c>
      <c r="AN88" s="21">
        <f>IF(db!$D$8="Yes",AH88,0)</f>
        <v>0</v>
      </c>
      <c r="AO88" s="22">
        <f>(AN88*V88)/1000*(1-db!$AS$9)</f>
        <v>0</v>
      </c>
      <c r="AP88" s="22">
        <f>(AN88*V88)/1000*(db!$AS$9)</f>
        <v>0</v>
      </c>
      <c r="AQ88" s="23">
        <f>IF(db!$D$10="Yes",AH88,0)</f>
        <v>0</v>
      </c>
      <c r="AR88" s="20">
        <f>(AQ88*W88/1000)*(1-db!$AS$9)</f>
        <v>0</v>
      </c>
      <c r="AS88" s="20">
        <f>(AQ88*W88/1000)*(db!$AS$9)</f>
        <v>0</v>
      </c>
      <c r="AT88" s="22">
        <f>IF(B88=0,0,IF(C88&gt;60,0,LOOKUP(LOOKUP(C88,RiskLoading!A$3:A$109,RiskLoading!DG$3:DG$109),db!$BC$3:$BC$63,db!$BD$3:$BD$63)))</f>
        <v>0</v>
      </c>
      <c r="AU88" s="22">
        <f>AV88*db!$AS$10</f>
        <v>0</v>
      </c>
      <c r="AV88" s="22">
        <f t="shared" si="28"/>
        <v>0</v>
      </c>
      <c r="AW88" s="22">
        <f>(AT88/1000000)*Y88*(1-db!$AS$10)</f>
        <v>0</v>
      </c>
      <c r="AX88" s="20">
        <f>IF(B88=0,0,IF(C88&gt;60,0,LOOKUP(LOOKUP(C88,RiskLoading!A$3:A$109,RiskLoading!DG$3:DG$109),db!$BC$3:$BC$63,db!$BE$3:$BE$63)))</f>
        <v>0</v>
      </c>
      <c r="AY88" s="20">
        <f>(AX88/1000000)*AA88*(1-db!$AS$11)</f>
        <v>0</v>
      </c>
      <c r="AZ88" s="20">
        <f>(AX88/1000000)*AA88*(db!$AS$11)</f>
        <v>0</v>
      </c>
      <c r="BA88" s="19">
        <f>IF(Table13[Year]=0,0,LOOKUP(Table13[Age],RiskLoading!A$3:A$109,RiskLoading!DT$3:DT$109))</f>
        <v>0</v>
      </c>
      <c r="BB88" s="20">
        <f>Table13[[#This Row],[RiskLoading
Rate]]*Table13[[#This Row],[Death Capital (2)]]</f>
        <v>0</v>
      </c>
      <c r="BC88" s="36"/>
      <c r="BD88" s="37">
        <f t="shared" si="29"/>
        <v>0</v>
      </c>
      <c r="BE88" s="35">
        <f t="shared" si="30"/>
        <v>0</v>
      </c>
      <c r="BF88" s="35">
        <f t="shared" si="31"/>
        <v>0</v>
      </c>
      <c r="BG88" s="37">
        <f t="shared" si="32"/>
        <v>0</v>
      </c>
      <c r="BH88" s="37">
        <f t="shared" si="33"/>
        <v>0</v>
      </c>
      <c r="BI88" s="35">
        <f t="shared" si="38"/>
        <v>0</v>
      </c>
      <c r="BJ88" s="35">
        <f t="shared" si="39"/>
        <v>0</v>
      </c>
      <c r="BK88" s="37">
        <v>0</v>
      </c>
      <c r="BL88" s="37">
        <v>0</v>
      </c>
      <c r="BM88" s="35"/>
      <c r="BN88" s="37">
        <f>0</f>
        <v>0</v>
      </c>
      <c r="BO88" s="37"/>
      <c r="BP88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88" s="33"/>
      <c r="BR88" s="39">
        <f>Table13[[#This Row],[Initial Reserve]]-Table13[[#This Row],[All Deductions]]</f>
        <v>0</v>
      </c>
      <c r="BS88" s="39">
        <v>0</v>
      </c>
      <c r="BT88" s="39">
        <f>IF(B88=0,0,BU87-Table13[[#This Row],[All Deductions]])</f>
        <v>0</v>
      </c>
      <c r="BU88" s="40">
        <f>ROUND(IF(B88=0,0,((BR88+BU87)*(1+db!U90))),0)</f>
        <v>0</v>
      </c>
      <c r="BV88" s="40">
        <f t="shared" si="43"/>
        <v>0</v>
      </c>
      <c r="BW88" s="15">
        <f t="shared" si="40"/>
        <v>87</v>
      </c>
      <c r="BX88" s="39">
        <f>IF(B88=0,0,((BR88)*(1+db!AH90))+((BX87)*(1+db!AD90)))</f>
        <v>0</v>
      </c>
      <c r="BY88" s="39">
        <f>IF(B88=0,0,((BR88)*(1+db!AH90))+((BY87)*(1+db!AD90)))</f>
        <v>0</v>
      </c>
      <c r="BZ88" s="40">
        <f>IF(B88=0,0,((BR88)*(1+db!AO90))+((BZ87)*(1+db!AK90)))</f>
        <v>0</v>
      </c>
      <c r="CA88" s="40">
        <f>BZ88-(SUM(BM$7:$BM89))</f>
        <v>0</v>
      </c>
      <c r="CB88" s="26"/>
    </row>
    <row r="89" spans="1:80">
      <c r="A89" s="16">
        <f t="shared" si="41"/>
        <v>88</v>
      </c>
      <c r="B89" s="16">
        <f>IF(B88=0,0,IF(db!$E$5&lt;B88+1,0,B88+1))</f>
        <v>0</v>
      </c>
      <c r="C89" s="15">
        <f t="shared" si="42"/>
        <v>0</v>
      </c>
      <c r="D89" s="312">
        <f>LOOKUP(Table13[[#This Row],[Age]],RiskLoading!A$3:A$109,RiskLoading!DG$3:DG$109)</f>
        <v>55</v>
      </c>
      <c r="E89" s="29">
        <f t="shared" si="34"/>
        <v>0</v>
      </c>
      <c r="F89" s="29">
        <f t="shared" si="35"/>
        <v>0</v>
      </c>
      <c r="G89" s="29">
        <f t="shared" si="26"/>
        <v>0</v>
      </c>
      <c r="H89" s="29">
        <v>0</v>
      </c>
      <c r="I89" s="29">
        <f>IF(B89=0,0,SUM($H$2:H89))</f>
        <v>0</v>
      </c>
      <c r="J89" s="17">
        <f t="shared" si="36"/>
        <v>0</v>
      </c>
      <c r="K89" s="17">
        <f>IF(Table13[[#This Row],[Year]]=0,0,IF($C$2&lt;=50,LOOKUP(Table13[[#This Row],[Age]],db!BG90:BG196,db!BH90:BH196),LOOKUP(Table13[[#This Row],[Age]],db!BJ90:BJ196,db!BK90:BK196)))</f>
        <v>0</v>
      </c>
      <c r="L89" s="17">
        <f>MIN(IF(B89=0,0,db!$E$4*((1+db!$B$4)^(B89-1))),Table13[[#This Row],[Max Sum Insured For Death]])</f>
        <v>0</v>
      </c>
      <c r="M89" s="17">
        <f>ROUND(IF(L89&lt;=db!$L$7,L89,db!$L$7),0)</f>
        <v>0</v>
      </c>
      <c r="N89" s="29">
        <f t="shared" si="37"/>
        <v>0</v>
      </c>
      <c r="O89" s="29">
        <f>IF(B89=0,0,IF(db!$D$6="Yes",(db!$B$6)*M89,0))</f>
        <v>0</v>
      </c>
      <c r="P89" s="29">
        <f>MIN(IF(O89&lt;=db!$L$2,O89,db!$L$2),MAX_ACC_CAPITAL)</f>
        <v>0</v>
      </c>
      <c r="Q89" s="17">
        <f>IF(B89=0,0,IF(db!$D$7="Yes",(db!$B$7)*M89,0))</f>
        <v>0</v>
      </c>
      <c r="R89" s="42">
        <f>IF(C89&gt;69,0,IF(C89=0,0,IF(Q89&lt;=db!$L$3,Q89,db!$L$3)))</f>
        <v>0</v>
      </c>
      <c r="S89" s="29">
        <f>IF(B89=0,0,IF(db!$D$9="Yes",(db!$B$9)*M89,0))</f>
        <v>0</v>
      </c>
      <c r="T89" s="29">
        <f>ROUND(IF(C89&gt;69,0,IF(C89=0,0,IF(S89&lt;=db!$L$4,S89,db!$L$4))),0)</f>
        <v>0</v>
      </c>
      <c r="U89" s="38">
        <v>0</v>
      </c>
      <c r="V89" s="17">
        <v>0</v>
      </c>
      <c r="W89" s="29">
        <v>0</v>
      </c>
      <c r="X89" s="17">
        <f>IF(B89=0,0,IF(db!$D$11="Yes",(db!$B$11)*M89,0))</f>
        <v>0</v>
      </c>
      <c r="Y89" s="42">
        <f>ROUND(IF(C89&gt;59,0,IF(C89=0,0,IF(X89&lt;=db!$L$5,X89,db!$L$5))),0)</f>
        <v>0</v>
      </c>
      <c r="Z89" s="29">
        <f>IF(B89=0,0,IF(db!$D$12="Yes",(db!$B$12)*M89,0))</f>
        <v>0</v>
      </c>
      <c r="AA89" s="29">
        <f>ROUND(IF(C89&gt;59,0,IF(C89=0,0,IF(Z89&lt;=db!$L$6,Z89,db!$L$6))),0)</f>
        <v>0</v>
      </c>
      <c r="AB89" s="32"/>
      <c r="AC89" s="18">
        <f>IF(B89=0,0,IF(C89&lt;(db!$E$2+5),LOOKUP(C89,'Mortality Table'!$A$2:$A$108,'Mortality Table'!$P$2:$P$108),IF((C89&gt;=db!$E$2+10),LOOKUP(C89,'Mortality Table'!$A$2:$A$108,'Mortality Table'!$R$2:$R$108),LOOKUP(C89,'Mortality Table'!$A$2:$A$108,'Mortality Table'!$Q$2:$Q$108))))</f>
        <v>0</v>
      </c>
      <c r="AD89" s="22">
        <f t="shared" si="27"/>
        <v>0</v>
      </c>
      <c r="AE89" s="19">
        <f>IF(B89=0,0,LOOKUP(db!$A$8,db!$AX$4:$AX$8,db!$AY$4:$AY$8))</f>
        <v>0</v>
      </c>
      <c r="AF89" s="20">
        <f>ROUND((AE89/1000)*P89 * (1-db!$AS$9),0)</f>
        <v>0</v>
      </c>
      <c r="AG89" s="20">
        <f>(AE89/1000)*P89 * db!$AS$9</f>
        <v>0</v>
      </c>
      <c r="AH89" s="21">
        <f>IF(B89=0,0,LOOKUP(db!$A$8,db!$AX$4:$AX$8,db!$AZ$4:$AZ$8))</f>
        <v>0</v>
      </c>
      <c r="AI89" s="22">
        <f>(AH89/1000)*R89*(1-db!$AS$9)</f>
        <v>0</v>
      </c>
      <c r="AJ89" s="22">
        <f>(AH89/1000)*R89*(db!$AS$9)</f>
        <v>0</v>
      </c>
      <c r="AK89" s="23">
        <f>IF(B89=0,0,LOOKUP(db!$A$8,db!$AX$4:$AX$8,db!$BA$4:$BA$8))</f>
        <v>0</v>
      </c>
      <c r="AL89" s="20">
        <f>ROUND((AK89/(100))*T89*(1-db!$AS$9),0)</f>
        <v>0</v>
      </c>
      <c r="AM89" s="20">
        <f>ROUND((AK89/(100))*T89*(db!$AS$9),0)</f>
        <v>0</v>
      </c>
      <c r="AN89" s="21">
        <f>IF(db!$D$8="Yes",AH89,0)</f>
        <v>0</v>
      </c>
      <c r="AO89" s="22">
        <f>(AN89*V89)/1000*(1-db!$AS$9)</f>
        <v>0</v>
      </c>
      <c r="AP89" s="22">
        <f>(AN89*V89)/1000*(db!$AS$9)</f>
        <v>0</v>
      </c>
      <c r="AQ89" s="23">
        <f>IF(db!$D$10="Yes",AH89,0)</f>
        <v>0</v>
      </c>
      <c r="AR89" s="20">
        <f>(AQ89*W89/1000)*(1-db!$AS$9)</f>
        <v>0</v>
      </c>
      <c r="AS89" s="20">
        <f>(AQ89*W89/1000)*(db!$AS$9)</f>
        <v>0</v>
      </c>
      <c r="AT89" s="22">
        <f>IF(B89=0,0,IF(C89&gt;60,0,LOOKUP(LOOKUP(C89,RiskLoading!A$3:A$109,RiskLoading!DG$3:DG$109),db!$BC$3:$BC$63,db!$BD$3:$BD$63)))</f>
        <v>0</v>
      </c>
      <c r="AU89" s="22">
        <f>AV89*db!$AS$10</f>
        <v>0</v>
      </c>
      <c r="AV89" s="22">
        <f t="shared" si="28"/>
        <v>0</v>
      </c>
      <c r="AW89" s="22">
        <f>(AT89/1000000)*Y89*(1-db!$AS$10)</f>
        <v>0</v>
      </c>
      <c r="AX89" s="20">
        <f>IF(B89=0,0,IF(C89&gt;60,0,LOOKUP(LOOKUP(C89,RiskLoading!A$3:A$109,RiskLoading!DG$3:DG$109),db!$BC$3:$BC$63,db!$BE$3:$BE$63)))</f>
        <v>0</v>
      </c>
      <c r="AY89" s="20">
        <f>(AX89/1000000)*AA89*(1-db!$AS$11)</f>
        <v>0</v>
      </c>
      <c r="AZ89" s="20">
        <f>(AX89/1000000)*AA89*(db!$AS$11)</f>
        <v>0</v>
      </c>
      <c r="BA89" s="19">
        <f>IF(Table13[Year]=0,0,LOOKUP(Table13[Age],RiskLoading!A$3:A$109,RiskLoading!DT$3:DT$109))</f>
        <v>0</v>
      </c>
      <c r="BB89" s="20">
        <f>Table13[[#This Row],[RiskLoading
Rate]]*Table13[[#This Row],[Death Capital (2)]]</f>
        <v>0</v>
      </c>
      <c r="BC89" s="36"/>
      <c r="BD89" s="37">
        <f t="shared" si="29"/>
        <v>0</v>
      </c>
      <c r="BE89" s="35">
        <f t="shared" si="30"/>
        <v>0</v>
      </c>
      <c r="BF89" s="35">
        <f t="shared" si="31"/>
        <v>0</v>
      </c>
      <c r="BG89" s="37">
        <f t="shared" si="32"/>
        <v>0</v>
      </c>
      <c r="BH89" s="37">
        <f t="shared" si="33"/>
        <v>0</v>
      </c>
      <c r="BI89" s="35">
        <f t="shared" si="38"/>
        <v>0</v>
      </c>
      <c r="BJ89" s="35">
        <f t="shared" si="39"/>
        <v>0</v>
      </c>
      <c r="BK89" s="37">
        <v>0</v>
      </c>
      <c r="BL89" s="37">
        <v>0</v>
      </c>
      <c r="BM89" s="35"/>
      <c r="BN89" s="37">
        <f>0</f>
        <v>0</v>
      </c>
      <c r="BO89" s="37"/>
      <c r="BP89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89" s="33"/>
      <c r="BR89" s="39">
        <f>Table13[[#This Row],[Initial Reserve]]-Table13[[#This Row],[All Deductions]]</f>
        <v>0</v>
      </c>
      <c r="BS89" s="39">
        <v>0</v>
      </c>
      <c r="BT89" s="39">
        <f>IF(B89=0,0,BU88-Table13[[#This Row],[All Deductions]])</f>
        <v>0</v>
      </c>
      <c r="BU89" s="40">
        <f>ROUND(IF(B89=0,0,((BR89+BU88)*(1+db!U91))),0)</f>
        <v>0</v>
      </c>
      <c r="BV89" s="40">
        <f t="shared" si="43"/>
        <v>0</v>
      </c>
      <c r="BW89" s="15">
        <f t="shared" si="40"/>
        <v>88</v>
      </c>
      <c r="BX89" s="39">
        <f>IF(B89=0,0,((BR89)*(1+db!AH91))+((BX88)*(1+db!AD91)))</f>
        <v>0</v>
      </c>
      <c r="BY89" s="39">
        <f>IF(B89=0,0,((BR89)*(1+db!AH91))+((BY88)*(1+db!AD91)))</f>
        <v>0</v>
      </c>
      <c r="BZ89" s="40">
        <f>IF(B89=0,0,((BR89)*(1+db!AO91))+((BZ88)*(1+db!AK91)))</f>
        <v>0</v>
      </c>
      <c r="CA89" s="40">
        <f>BZ89-(SUM(BM$7:$BM90))</f>
        <v>0</v>
      </c>
      <c r="CB89" s="26"/>
    </row>
    <row r="90" spans="1:80">
      <c r="A90" s="16">
        <f t="shared" si="41"/>
        <v>89</v>
      </c>
      <c r="B90" s="16">
        <f>IF(B89=0,0,IF(db!$E$5&lt;B89+1,0,B89+1))</f>
        <v>0</v>
      </c>
      <c r="C90" s="15">
        <f t="shared" si="42"/>
        <v>0</v>
      </c>
      <c r="D90" s="312">
        <f>LOOKUP(Table13[[#This Row],[Age]],RiskLoading!A$3:A$109,RiskLoading!DG$3:DG$109)</f>
        <v>55</v>
      </c>
      <c r="E90" s="29">
        <f t="shared" si="34"/>
        <v>0</v>
      </c>
      <c r="F90" s="29">
        <f t="shared" si="35"/>
        <v>0</v>
      </c>
      <c r="G90" s="29">
        <f t="shared" si="26"/>
        <v>0</v>
      </c>
      <c r="H90" s="29">
        <v>0</v>
      </c>
      <c r="I90" s="29">
        <f>IF(B90=0,0,SUM($H$2:H90))</f>
        <v>0</v>
      </c>
      <c r="J90" s="17">
        <f t="shared" si="36"/>
        <v>0</v>
      </c>
      <c r="K90" s="17">
        <f>IF(Table13[[#This Row],[Year]]=0,0,IF($C$2&lt;=50,LOOKUP(Table13[[#This Row],[Age]],db!BG91:BG197,db!BH91:BH197),LOOKUP(Table13[[#This Row],[Age]],db!BJ91:BJ197,db!BK91:BK197)))</f>
        <v>0</v>
      </c>
      <c r="L90" s="17">
        <f>MIN(IF(B90=0,0,db!$E$4*((1+db!$B$4)^(B90-1))),Table13[[#This Row],[Max Sum Insured For Death]])</f>
        <v>0</v>
      </c>
      <c r="M90" s="17">
        <f>ROUND(IF(L90&lt;=db!$L$7,L90,db!$L$7),0)</f>
        <v>0</v>
      </c>
      <c r="N90" s="29">
        <f t="shared" si="37"/>
        <v>0</v>
      </c>
      <c r="O90" s="29">
        <f>IF(B90=0,0,IF(db!$D$6="Yes",(db!$B$6)*M90,0))</f>
        <v>0</v>
      </c>
      <c r="P90" s="29">
        <f>MIN(IF(O90&lt;=db!$L$2,O90,db!$L$2),MAX_ACC_CAPITAL)</f>
        <v>0</v>
      </c>
      <c r="Q90" s="17">
        <f>IF(B90=0,0,IF(db!$D$7="Yes",(db!$B$7)*M90,0))</f>
        <v>0</v>
      </c>
      <c r="R90" s="42">
        <f>IF(C90&gt;69,0,IF(C90=0,0,IF(Q90&lt;=db!$L$3,Q90,db!$L$3)))</f>
        <v>0</v>
      </c>
      <c r="S90" s="29">
        <f>IF(B90=0,0,IF(db!$D$9="Yes",(db!$B$9)*M90,0))</f>
        <v>0</v>
      </c>
      <c r="T90" s="29">
        <f>ROUND(IF(C90&gt;69,0,IF(C90=0,0,IF(S90&lt;=db!$L$4,S90,db!$L$4))),0)</f>
        <v>0</v>
      </c>
      <c r="U90" s="38">
        <v>0</v>
      </c>
      <c r="V90" s="17">
        <v>0</v>
      </c>
      <c r="W90" s="29">
        <v>0</v>
      </c>
      <c r="X90" s="17">
        <f>IF(B90=0,0,IF(db!$D$11="Yes",(db!$B$11)*M90,0))</f>
        <v>0</v>
      </c>
      <c r="Y90" s="42">
        <f>ROUND(IF(C90&gt;59,0,IF(C90=0,0,IF(X90&lt;=db!$L$5,X90,db!$L$5))),0)</f>
        <v>0</v>
      </c>
      <c r="Z90" s="29">
        <f>IF(B90=0,0,IF(db!$D$12="Yes",(db!$B$12)*M90,0))</f>
        <v>0</v>
      </c>
      <c r="AA90" s="29">
        <f>ROUND(IF(C90&gt;59,0,IF(C90=0,0,IF(Z90&lt;=db!$L$6,Z90,db!$L$6))),0)</f>
        <v>0</v>
      </c>
      <c r="AB90" s="32"/>
      <c r="AC90" s="18">
        <f>IF(B90=0,0,IF(C90&lt;(db!$E$2+5),LOOKUP(C90,'Mortality Table'!$A$2:$A$108,'Mortality Table'!$P$2:$P$108),IF((C90&gt;=db!$E$2+10),LOOKUP(C90,'Mortality Table'!$A$2:$A$108,'Mortality Table'!$R$2:$R$108),LOOKUP(C90,'Mortality Table'!$A$2:$A$108,'Mortality Table'!$Q$2:$Q$108))))</f>
        <v>0</v>
      </c>
      <c r="AD90" s="22">
        <f t="shared" si="27"/>
        <v>0</v>
      </c>
      <c r="AE90" s="19">
        <f>IF(B90=0,0,LOOKUP(db!$A$8,db!$AX$4:$AX$8,db!$AY$4:$AY$8))</f>
        <v>0</v>
      </c>
      <c r="AF90" s="20">
        <f>ROUND((AE90/1000)*P90 * (1-db!$AS$9),0)</f>
        <v>0</v>
      </c>
      <c r="AG90" s="20">
        <f>(AE90/1000)*P90 * db!$AS$9</f>
        <v>0</v>
      </c>
      <c r="AH90" s="21">
        <f>IF(B90=0,0,LOOKUP(db!$A$8,db!$AX$4:$AX$8,db!$AZ$4:$AZ$8))</f>
        <v>0</v>
      </c>
      <c r="AI90" s="22">
        <f>(AH90/1000)*R90*(1-db!$AS$9)</f>
        <v>0</v>
      </c>
      <c r="AJ90" s="22">
        <f>(AH90/1000)*R90*(db!$AS$9)</f>
        <v>0</v>
      </c>
      <c r="AK90" s="23">
        <f>IF(B90=0,0,LOOKUP(db!$A$8,db!$AX$4:$AX$8,db!$BA$4:$BA$8))</f>
        <v>0</v>
      </c>
      <c r="AL90" s="20">
        <f>ROUND((AK90/(100))*T90*(1-db!$AS$9),0)</f>
        <v>0</v>
      </c>
      <c r="AM90" s="20">
        <f>ROUND((AK90/(100))*T90*(db!$AS$9),0)</f>
        <v>0</v>
      </c>
      <c r="AN90" s="21">
        <f>IF(db!$D$8="Yes",AH90,0)</f>
        <v>0</v>
      </c>
      <c r="AO90" s="22">
        <f>(AN90*V90)/1000*(1-db!$AS$9)</f>
        <v>0</v>
      </c>
      <c r="AP90" s="22">
        <f>(AN90*V90)/1000*(db!$AS$9)</f>
        <v>0</v>
      </c>
      <c r="AQ90" s="23">
        <f>IF(db!$D$10="Yes",AH90,0)</f>
        <v>0</v>
      </c>
      <c r="AR90" s="20">
        <f>(AQ90*W90/1000)*(1-db!$AS$9)</f>
        <v>0</v>
      </c>
      <c r="AS90" s="20">
        <f>(AQ90*W90/1000)*(db!$AS$9)</f>
        <v>0</v>
      </c>
      <c r="AT90" s="22">
        <f>IF(B90=0,0,IF(C90&gt;60,0,LOOKUP(LOOKUP(C90,RiskLoading!A$3:A$109,RiskLoading!DG$3:DG$109),db!$BC$3:$BC$63,db!$BD$3:$BD$63)))</f>
        <v>0</v>
      </c>
      <c r="AU90" s="22">
        <f>AV90*db!$AS$10</f>
        <v>0</v>
      </c>
      <c r="AV90" s="22">
        <f t="shared" si="28"/>
        <v>0</v>
      </c>
      <c r="AW90" s="22">
        <f>(AT90/1000000)*Y90*(1-db!$AS$10)</f>
        <v>0</v>
      </c>
      <c r="AX90" s="20">
        <f>IF(B90=0,0,IF(C90&gt;60,0,LOOKUP(LOOKUP(C90,RiskLoading!A$3:A$109,RiskLoading!DG$3:DG$109),db!$BC$3:$BC$63,db!$BE$3:$BE$63)))</f>
        <v>0</v>
      </c>
      <c r="AY90" s="20">
        <f>(AX90/1000000)*AA90*(1-db!$AS$11)</f>
        <v>0</v>
      </c>
      <c r="AZ90" s="20">
        <f>(AX90/1000000)*AA90*(db!$AS$11)</f>
        <v>0</v>
      </c>
      <c r="BA90" s="19">
        <f>IF(Table13[Year]=0,0,LOOKUP(Table13[Age],RiskLoading!A$3:A$109,RiskLoading!DT$3:DT$109))</f>
        <v>0</v>
      </c>
      <c r="BB90" s="20">
        <f>Table13[[#This Row],[RiskLoading
Rate]]*Table13[[#This Row],[Death Capital (2)]]</f>
        <v>0</v>
      </c>
      <c r="BC90" s="36"/>
      <c r="BD90" s="37">
        <f t="shared" si="29"/>
        <v>0</v>
      </c>
      <c r="BE90" s="35">
        <f t="shared" si="30"/>
        <v>0</v>
      </c>
      <c r="BF90" s="35">
        <f t="shared" si="31"/>
        <v>0</v>
      </c>
      <c r="BG90" s="37">
        <f t="shared" si="32"/>
        <v>0</v>
      </c>
      <c r="BH90" s="37">
        <f t="shared" si="33"/>
        <v>0</v>
      </c>
      <c r="BI90" s="35">
        <f t="shared" si="38"/>
        <v>0</v>
      </c>
      <c r="BJ90" s="35">
        <f t="shared" si="39"/>
        <v>0</v>
      </c>
      <c r="BK90" s="37">
        <v>0</v>
      </c>
      <c r="BL90" s="37">
        <v>0</v>
      </c>
      <c r="BM90" s="35"/>
      <c r="BN90" s="37">
        <f>0</f>
        <v>0</v>
      </c>
      <c r="BO90" s="37"/>
      <c r="BP90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90" s="33"/>
      <c r="BR90" s="39">
        <f>Table13[[#This Row],[Initial Reserve]]-Table13[[#This Row],[All Deductions]]</f>
        <v>0</v>
      </c>
      <c r="BS90" s="39">
        <v>0</v>
      </c>
      <c r="BT90" s="39">
        <f>IF(B90=0,0,BU89-Table13[[#This Row],[All Deductions]])</f>
        <v>0</v>
      </c>
      <c r="BU90" s="40">
        <f>ROUND(IF(B90=0,0,((BR90+BU89)*(1+db!U92))),0)</f>
        <v>0</v>
      </c>
      <c r="BV90" s="40">
        <f t="shared" si="43"/>
        <v>0</v>
      </c>
      <c r="BW90" s="15">
        <f t="shared" si="40"/>
        <v>89</v>
      </c>
      <c r="BX90" s="39">
        <f>IF(B90=0,0,((BR90)*(1+db!AH92))+((BX89)*(1+db!AD92)))</f>
        <v>0</v>
      </c>
      <c r="BY90" s="39">
        <f>IF(B90=0,0,((BR90)*(1+db!AH92))+((BY89)*(1+db!AD92)))</f>
        <v>0</v>
      </c>
      <c r="BZ90" s="40">
        <f>IF(B90=0,0,((BR90)*(1+db!AO92))+((BZ89)*(1+db!AK92)))</f>
        <v>0</v>
      </c>
      <c r="CA90" s="40">
        <f>BZ90-(SUM(BM$7:$BM91))</f>
        <v>0</v>
      </c>
      <c r="CB90" s="26"/>
    </row>
    <row r="91" spans="1:80">
      <c r="A91" s="16">
        <f t="shared" si="41"/>
        <v>90</v>
      </c>
      <c r="B91" s="16">
        <f>IF(B90=0,0,IF(db!$E$5&lt;B90+1,0,B90+1))</f>
        <v>0</v>
      </c>
      <c r="C91" s="15">
        <f t="shared" si="42"/>
        <v>0</v>
      </c>
      <c r="D91" s="312">
        <f>LOOKUP(Table13[[#This Row],[Age]],RiskLoading!A$3:A$109,RiskLoading!DG$3:DG$109)</f>
        <v>55</v>
      </c>
      <c r="E91" s="29">
        <f t="shared" si="34"/>
        <v>0</v>
      </c>
      <c r="F91" s="29">
        <f t="shared" si="35"/>
        <v>0</v>
      </c>
      <c r="G91" s="29">
        <f t="shared" si="26"/>
        <v>0</v>
      </c>
      <c r="H91" s="29">
        <v>0</v>
      </c>
      <c r="I91" s="29">
        <f>IF(B91=0,0,SUM($H$2:H91))</f>
        <v>0</v>
      </c>
      <c r="J91" s="17">
        <f t="shared" si="36"/>
        <v>0</v>
      </c>
      <c r="K91" s="17">
        <f>IF(Table13[[#This Row],[Year]]=0,0,IF($C$2&lt;=50,LOOKUP(Table13[[#This Row],[Age]],db!BG92:BG198,db!BH92:BH198),LOOKUP(Table13[[#This Row],[Age]],db!BJ92:BJ198,db!BK92:BK198)))</f>
        <v>0</v>
      </c>
      <c r="L91" s="17">
        <f>MIN(IF(B91=0,0,db!$E$4*((1+db!$B$4)^(B91-1))),Table13[[#This Row],[Max Sum Insured For Death]])</f>
        <v>0</v>
      </c>
      <c r="M91" s="17">
        <f>ROUND(IF(L91&lt;=db!$L$7,L91,db!$L$7),0)</f>
        <v>0</v>
      </c>
      <c r="N91" s="29">
        <f t="shared" si="37"/>
        <v>0</v>
      </c>
      <c r="O91" s="29">
        <f>IF(B91=0,0,IF(db!$D$6="Yes",(db!$B$6)*M91,0))</f>
        <v>0</v>
      </c>
      <c r="P91" s="29">
        <f>MIN(IF(O91&lt;=db!$L$2,O91,db!$L$2),MAX_ACC_CAPITAL)</f>
        <v>0</v>
      </c>
      <c r="Q91" s="17">
        <f>IF(B91=0,0,IF(db!$D$7="Yes",(db!$B$7)*M91,0))</f>
        <v>0</v>
      </c>
      <c r="R91" s="42">
        <f>IF(C91&gt;69,0,IF(C91=0,0,IF(Q91&lt;=db!$L$3,Q91,db!$L$3)))</f>
        <v>0</v>
      </c>
      <c r="S91" s="29">
        <f>IF(B91=0,0,IF(db!$D$9="Yes",(db!$B$9)*M91,0))</f>
        <v>0</v>
      </c>
      <c r="T91" s="29">
        <f>ROUND(IF(C91&gt;69,0,IF(C91=0,0,IF(S91&lt;=db!$L$4,S91,db!$L$4))),0)</f>
        <v>0</v>
      </c>
      <c r="U91" s="38">
        <v>0</v>
      </c>
      <c r="V91" s="17">
        <v>0</v>
      </c>
      <c r="W91" s="29">
        <v>0</v>
      </c>
      <c r="X91" s="17">
        <f>IF(B91=0,0,IF(db!$D$11="Yes",(db!$B$11)*M91,0))</f>
        <v>0</v>
      </c>
      <c r="Y91" s="42">
        <f>ROUND(IF(C91&gt;59,0,IF(C91=0,0,IF(X91&lt;=db!$L$5,X91,db!$L$5))),0)</f>
        <v>0</v>
      </c>
      <c r="Z91" s="29">
        <f>IF(B91=0,0,IF(db!$D$12="Yes",(db!$B$12)*M91,0))</f>
        <v>0</v>
      </c>
      <c r="AA91" s="29">
        <f>ROUND(IF(C91&gt;59,0,IF(C91=0,0,IF(Z91&lt;=db!$L$6,Z91,db!$L$6))),0)</f>
        <v>0</v>
      </c>
      <c r="AB91" s="32"/>
      <c r="AC91" s="18">
        <f>IF(B91=0,0,IF(C91&lt;(db!$E$2+5),LOOKUP(C91,'Mortality Table'!$A$2:$A$108,'Mortality Table'!$P$2:$P$108),IF((C91&gt;=db!$E$2+10),LOOKUP(C91,'Mortality Table'!$A$2:$A$108,'Mortality Table'!$R$2:$R$108),LOOKUP(C91,'Mortality Table'!$A$2:$A$108,'Mortality Table'!$Q$2:$Q$108))))</f>
        <v>0</v>
      </c>
      <c r="AD91" s="22">
        <f t="shared" si="27"/>
        <v>0</v>
      </c>
      <c r="AE91" s="19">
        <f>IF(B91=0,0,LOOKUP(db!$A$8,db!$AX$4:$AX$8,db!$AY$4:$AY$8))</f>
        <v>0</v>
      </c>
      <c r="AF91" s="20">
        <f>ROUND((AE91/1000)*P91 * (1-db!$AS$9),0)</f>
        <v>0</v>
      </c>
      <c r="AG91" s="20">
        <f>(AE91/1000)*P91 * db!$AS$9</f>
        <v>0</v>
      </c>
      <c r="AH91" s="21">
        <f>IF(B91=0,0,LOOKUP(db!$A$8,db!$AX$4:$AX$8,db!$AZ$4:$AZ$8))</f>
        <v>0</v>
      </c>
      <c r="AI91" s="22">
        <f>(AH91/1000)*R91*(1-db!$AS$9)</f>
        <v>0</v>
      </c>
      <c r="AJ91" s="22">
        <f>(AH91/1000)*R91*(db!$AS$9)</f>
        <v>0</v>
      </c>
      <c r="AK91" s="23">
        <f>IF(B91=0,0,LOOKUP(db!$A$8,db!$AX$4:$AX$8,db!$BA$4:$BA$8))</f>
        <v>0</v>
      </c>
      <c r="AL91" s="20">
        <f>ROUND((AK91/(100))*T91*(1-db!$AS$9),0)</f>
        <v>0</v>
      </c>
      <c r="AM91" s="20">
        <f>ROUND((AK91/(100))*T91*(db!$AS$9),0)</f>
        <v>0</v>
      </c>
      <c r="AN91" s="21">
        <f>IF(db!$D$8="Yes",AH91,0)</f>
        <v>0</v>
      </c>
      <c r="AO91" s="22">
        <f>(AN91*V91)/1000*(1-db!$AS$9)</f>
        <v>0</v>
      </c>
      <c r="AP91" s="22">
        <f>(AN91*V91)/1000*(db!$AS$9)</f>
        <v>0</v>
      </c>
      <c r="AQ91" s="23">
        <f>IF(db!$D$10="Yes",AH91,0)</f>
        <v>0</v>
      </c>
      <c r="AR91" s="20">
        <f>(AQ91*W91/1000)*(1-db!$AS$9)</f>
        <v>0</v>
      </c>
      <c r="AS91" s="20">
        <f>(AQ91*W91/1000)*(db!$AS$9)</f>
        <v>0</v>
      </c>
      <c r="AT91" s="22">
        <f>IF(B91=0,0,IF(C91&gt;60,0,LOOKUP(LOOKUP(C91,RiskLoading!A$3:A$109,RiskLoading!DG$3:DG$109),db!$BC$3:$BC$63,db!$BD$3:$BD$63)))</f>
        <v>0</v>
      </c>
      <c r="AU91" s="22">
        <f>AV91*db!$AS$10</f>
        <v>0</v>
      </c>
      <c r="AV91" s="22">
        <f t="shared" si="28"/>
        <v>0</v>
      </c>
      <c r="AW91" s="22">
        <f>(AT91/1000000)*Y91*(1-db!$AS$10)</f>
        <v>0</v>
      </c>
      <c r="AX91" s="20">
        <f>IF(B91=0,0,IF(C91&gt;60,0,LOOKUP(LOOKUP(C91,RiskLoading!A$3:A$109,RiskLoading!DG$3:DG$109),db!$BC$3:$BC$63,db!$BE$3:$BE$63)))</f>
        <v>0</v>
      </c>
      <c r="AY91" s="20">
        <f>(AX91/1000000)*AA91*(1-db!$AS$11)</f>
        <v>0</v>
      </c>
      <c r="AZ91" s="20">
        <f>(AX91/1000000)*AA91*(db!$AS$11)</f>
        <v>0</v>
      </c>
      <c r="BA91" s="19">
        <f>IF(Table13[Year]=0,0,LOOKUP(Table13[Age],RiskLoading!A$3:A$109,RiskLoading!DT$3:DT$109))</f>
        <v>0</v>
      </c>
      <c r="BB91" s="20">
        <f>Table13[[#This Row],[RiskLoading
Rate]]*Table13[[#This Row],[Death Capital (2)]]</f>
        <v>0</v>
      </c>
      <c r="BC91" s="36"/>
      <c r="BD91" s="37">
        <f t="shared" si="29"/>
        <v>0</v>
      </c>
      <c r="BE91" s="35">
        <f t="shared" si="30"/>
        <v>0</v>
      </c>
      <c r="BF91" s="35">
        <f t="shared" si="31"/>
        <v>0</v>
      </c>
      <c r="BG91" s="37">
        <f t="shared" si="32"/>
        <v>0</v>
      </c>
      <c r="BH91" s="37">
        <f t="shared" si="33"/>
        <v>0</v>
      </c>
      <c r="BI91" s="35">
        <f t="shared" si="38"/>
        <v>0</v>
      </c>
      <c r="BJ91" s="35">
        <f t="shared" si="39"/>
        <v>0</v>
      </c>
      <c r="BK91" s="37">
        <v>0</v>
      </c>
      <c r="BL91" s="37">
        <v>0</v>
      </c>
      <c r="BM91" s="35"/>
      <c r="BN91" s="37">
        <f>0</f>
        <v>0</v>
      </c>
      <c r="BO91" s="37"/>
      <c r="BP91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91" s="33"/>
      <c r="BR91" s="39">
        <f>Table13[[#This Row],[Initial Reserve]]-Table13[[#This Row],[All Deductions]]</f>
        <v>0</v>
      </c>
      <c r="BS91" s="39">
        <v>0</v>
      </c>
      <c r="BT91" s="39">
        <f>IF(B91=0,0,BU90-Table13[[#This Row],[All Deductions]])</f>
        <v>0</v>
      </c>
      <c r="BU91" s="40">
        <f>ROUND(IF(B91=0,0,((BR91+BU90)*(1+db!U93))),0)</f>
        <v>0</v>
      </c>
      <c r="BV91" s="40">
        <f t="shared" si="43"/>
        <v>0</v>
      </c>
      <c r="BW91" s="15">
        <f t="shared" si="40"/>
        <v>90</v>
      </c>
      <c r="BX91" s="39">
        <f>IF(B91=0,0,((BR91)*(1+db!AH93))+((BX90)*(1+db!AD93)))</f>
        <v>0</v>
      </c>
      <c r="BY91" s="39">
        <f>IF(B91=0,0,((BR91)*(1+db!AH93))+((BY90)*(1+db!AD93)))</f>
        <v>0</v>
      </c>
      <c r="BZ91" s="40">
        <f>IF(B91=0,0,((BR91)*(1+db!AO93))+((BZ90)*(1+db!AK93)))</f>
        <v>0</v>
      </c>
      <c r="CA91" s="40">
        <f>BZ91-(SUM(BM$7:$BM92))</f>
        <v>0</v>
      </c>
      <c r="CB91" s="26"/>
    </row>
    <row r="92" spans="1:80">
      <c r="A92" s="16">
        <f t="shared" si="41"/>
        <v>91</v>
      </c>
      <c r="B92" s="16">
        <f>IF(B91=0,0,IF(db!$E$5&lt;B91+1,0,B91+1))</f>
        <v>0</v>
      </c>
      <c r="C92" s="15">
        <f t="shared" si="42"/>
        <v>0</v>
      </c>
      <c r="D92" s="312">
        <f>LOOKUP(Table13[[#This Row],[Age]],RiskLoading!A$3:A$109,RiskLoading!DG$3:DG$109)</f>
        <v>55</v>
      </c>
      <c r="E92" s="29">
        <f t="shared" si="34"/>
        <v>0</v>
      </c>
      <c r="F92" s="29">
        <f t="shared" si="35"/>
        <v>0</v>
      </c>
      <c r="G92" s="29">
        <f t="shared" si="26"/>
        <v>0</v>
      </c>
      <c r="H92" s="29">
        <v>0</v>
      </c>
      <c r="I92" s="29">
        <f>IF(B92=0,0,SUM($H$2:H92))</f>
        <v>0</v>
      </c>
      <c r="J92" s="17">
        <f t="shared" si="36"/>
        <v>0</v>
      </c>
      <c r="K92" s="17">
        <f>IF(Table13[[#This Row],[Year]]=0,0,IF($C$2&lt;=50,LOOKUP(Table13[[#This Row],[Age]],db!BG93:BG199,db!BH93:BH199),LOOKUP(Table13[[#This Row],[Age]],db!BJ93:BJ199,db!BK93:BK199)))</f>
        <v>0</v>
      </c>
      <c r="L92" s="17">
        <f>MIN(IF(B92=0,0,db!$E$4*((1+db!$B$4)^(B92-1))),Table13[[#This Row],[Max Sum Insured For Death]])</f>
        <v>0</v>
      </c>
      <c r="M92" s="17">
        <f>ROUND(IF(L92&lt;=db!$L$7,L92,db!$L$7),0)</f>
        <v>0</v>
      </c>
      <c r="N92" s="29">
        <f t="shared" si="37"/>
        <v>0</v>
      </c>
      <c r="O92" s="29">
        <f>IF(B92=0,0,IF(db!$D$6="Yes",(db!$B$6)*M92,0))</f>
        <v>0</v>
      </c>
      <c r="P92" s="29">
        <f>MIN(IF(O92&lt;=db!$L$2,O92,db!$L$2),MAX_ACC_CAPITAL)</f>
        <v>0</v>
      </c>
      <c r="Q92" s="17">
        <f>IF(B92=0,0,IF(db!$D$7="Yes",(db!$B$7)*M92,0))</f>
        <v>0</v>
      </c>
      <c r="R92" s="42">
        <f>IF(C92&gt;69,0,IF(C92=0,0,IF(Q92&lt;=db!$L$3,Q92,db!$L$3)))</f>
        <v>0</v>
      </c>
      <c r="S92" s="29">
        <f>IF(B92=0,0,IF(db!$D$9="Yes",(db!$B$9)*M92,0))</f>
        <v>0</v>
      </c>
      <c r="T92" s="29">
        <f>ROUND(IF(C92&gt;69,0,IF(C92=0,0,IF(S92&lt;=db!$L$4,S92,db!$L$4))),0)</f>
        <v>0</v>
      </c>
      <c r="U92" s="38">
        <v>0</v>
      </c>
      <c r="V92" s="17">
        <v>0</v>
      </c>
      <c r="W92" s="29">
        <v>0</v>
      </c>
      <c r="X92" s="17">
        <f>IF(B92=0,0,IF(db!$D$11="Yes",(db!$B$11)*M92,0))</f>
        <v>0</v>
      </c>
      <c r="Y92" s="42">
        <f>ROUND(IF(C92&gt;59,0,IF(C92=0,0,IF(X92&lt;=db!$L$5,X92,db!$L$5))),0)</f>
        <v>0</v>
      </c>
      <c r="Z92" s="29">
        <f>IF(B92=0,0,IF(db!$D$12="Yes",(db!$B$12)*M92,0))</f>
        <v>0</v>
      </c>
      <c r="AA92" s="29">
        <f>ROUND(IF(C92&gt;59,0,IF(C92=0,0,IF(Z92&lt;=db!$L$6,Z92,db!$L$6))),0)</f>
        <v>0</v>
      </c>
      <c r="AB92" s="32"/>
      <c r="AC92" s="18">
        <f>IF(B92=0,0,IF(C92&lt;(db!$E$2+5),LOOKUP(C92,'Mortality Table'!$A$2:$A$108,'Mortality Table'!$P$2:$P$108),IF((C92&gt;=db!$E$2+10),LOOKUP(C92,'Mortality Table'!$A$2:$A$108,'Mortality Table'!$R$2:$R$108),LOOKUP(C92,'Mortality Table'!$A$2:$A$108,'Mortality Table'!$Q$2:$Q$108))))</f>
        <v>0</v>
      </c>
      <c r="AD92" s="22">
        <f t="shared" si="27"/>
        <v>0</v>
      </c>
      <c r="AE92" s="19">
        <f>IF(B92=0,0,LOOKUP(db!$A$8,db!$AX$4:$AX$8,db!$AY$4:$AY$8))</f>
        <v>0</v>
      </c>
      <c r="AF92" s="20">
        <f>ROUND((AE92/1000)*P92 * (1-db!$AS$9),0)</f>
        <v>0</v>
      </c>
      <c r="AG92" s="20">
        <f>(AE92/1000)*P92 * db!$AS$9</f>
        <v>0</v>
      </c>
      <c r="AH92" s="21">
        <f>IF(B92=0,0,LOOKUP(db!$A$8,db!$AX$4:$AX$8,db!$AZ$4:$AZ$8))</f>
        <v>0</v>
      </c>
      <c r="AI92" s="22">
        <f>(AH92/1000)*R92*(1-db!$AS$9)</f>
        <v>0</v>
      </c>
      <c r="AJ92" s="22">
        <f>(AH92/1000)*R92*(db!$AS$9)</f>
        <v>0</v>
      </c>
      <c r="AK92" s="23">
        <f>IF(B92=0,0,LOOKUP(db!$A$8,db!$AX$4:$AX$8,db!$BA$4:$BA$8))</f>
        <v>0</v>
      </c>
      <c r="AL92" s="20">
        <f>ROUND((AK92/(100))*T92*(1-db!$AS$9),0)</f>
        <v>0</v>
      </c>
      <c r="AM92" s="20">
        <f>ROUND((AK92/(100))*T92*(db!$AS$9),0)</f>
        <v>0</v>
      </c>
      <c r="AN92" s="21">
        <f>IF(db!$D$8="Yes",AH92,0)</f>
        <v>0</v>
      </c>
      <c r="AO92" s="22">
        <f>(AN92*V92)/1000*(1-db!$AS$9)</f>
        <v>0</v>
      </c>
      <c r="AP92" s="22">
        <f>(AN92*V92)/1000*(db!$AS$9)</f>
        <v>0</v>
      </c>
      <c r="AQ92" s="23">
        <f>IF(db!$D$10="Yes",AH92,0)</f>
        <v>0</v>
      </c>
      <c r="AR92" s="20">
        <f>(AQ92*W92/1000)*(1-db!$AS$9)</f>
        <v>0</v>
      </c>
      <c r="AS92" s="20">
        <f>(AQ92*W92/1000)*(db!$AS$9)</f>
        <v>0</v>
      </c>
      <c r="AT92" s="22">
        <f>IF(B92=0,0,IF(C92&gt;60,0,LOOKUP(LOOKUP(C92,RiskLoading!A$3:A$109,RiskLoading!DG$3:DG$109),db!$BC$3:$BC$63,db!$BD$3:$BD$63)))</f>
        <v>0</v>
      </c>
      <c r="AU92" s="22">
        <f>AV92*db!$AS$10</f>
        <v>0</v>
      </c>
      <c r="AV92" s="22">
        <f t="shared" si="28"/>
        <v>0</v>
      </c>
      <c r="AW92" s="22">
        <f>(AT92/1000000)*Y92*(1-db!$AS$10)</f>
        <v>0</v>
      </c>
      <c r="AX92" s="20">
        <f>IF(B92=0,0,IF(C92&gt;60,0,LOOKUP(LOOKUP(C92,RiskLoading!A$3:A$109,RiskLoading!DG$3:DG$109),db!$BC$3:$BC$63,db!$BE$3:$BE$63)))</f>
        <v>0</v>
      </c>
      <c r="AY92" s="20">
        <f>(AX92/1000000)*AA92*(1-db!$AS$11)</f>
        <v>0</v>
      </c>
      <c r="AZ92" s="20">
        <f>(AX92/1000000)*AA92*(db!$AS$11)</f>
        <v>0</v>
      </c>
      <c r="BA92" s="19">
        <f>IF(Table13[Year]=0,0,LOOKUP(Table13[Age],RiskLoading!A$3:A$109,RiskLoading!DT$3:DT$109))</f>
        <v>0</v>
      </c>
      <c r="BB92" s="20">
        <f>Table13[[#This Row],[RiskLoading
Rate]]*Table13[[#This Row],[Death Capital (2)]]</f>
        <v>0</v>
      </c>
      <c r="BC92" s="36"/>
      <c r="BD92" s="37">
        <f t="shared" si="29"/>
        <v>0</v>
      </c>
      <c r="BE92" s="35">
        <f t="shared" si="30"/>
        <v>0</v>
      </c>
      <c r="BF92" s="35">
        <f t="shared" si="31"/>
        <v>0</v>
      </c>
      <c r="BG92" s="37">
        <f t="shared" si="32"/>
        <v>0</v>
      </c>
      <c r="BH92" s="37">
        <f t="shared" si="33"/>
        <v>0</v>
      </c>
      <c r="BI92" s="35">
        <f t="shared" si="38"/>
        <v>0</v>
      </c>
      <c r="BJ92" s="35">
        <f t="shared" si="39"/>
        <v>0</v>
      </c>
      <c r="BK92" s="37">
        <v>0</v>
      </c>
      <c r="BL92" s="37">
        <v>0</v>
      </c>
      <c r="BM92" s="35"/>
      <c r="BN92" s="37">
        <f>0</f>
        <v>0</v>
      </c>
      <c r="BO92" s="37"/>
      <c r="BP92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92" s="33"/>
      <c r="BR92" s="39">
        <f>Table13[[#This Row],[Initial Reserve]]-Table13[[#This Row],[All Deductions]]</f>
        <v>0</v>
      </c>
      <c r="BS92" s="39">
        <v>0</v>
      </c>
      <c r="BT92" s="39">
        <f>IF(B92=0,0,BU91-Table13[[#This Row],[All Deductions]])</f>
        <v>0</v>
      </c>
      <c r="BU92" s="40">
        <f>ROUND(IF(B92=0,0,((BR92+BU91)*(1+db!U94))),0)</f>
        <v>0</v>
      </c>
      <c r="BV92" s="40">
        <f t="shared" si="43"/>
        <v>0</v>
      </c>
      <c r="BW92" s="15">
        <f t="shared" si="40"/>
        <v>91</v>
      </c>
      <c r="BX92" s="39">
        <f>IF(B92=0,0,((BR92)*(1+db!AH94))+((BX91)*(1+db!AD94)))</f>
        <v>0</v>
      </c>
      <c r="BY92" s="39">
        <f>IF(B92=0,0,((BR92)*(1+db!AH94))+((BY91)*(1+db!AD94)))</f>
        <v>0</v>
      </c>
      <c r="BZ92" s="40">
        <f>IF(B92=0,0,((BR92)*(1+db!AO94))+((BZ91)*(1+db!AK94)))</f>
        <v>0</v>
      </c>
      <c r="CA92" s="40">
        <f>BZ92-(SUM(BM$7:$BM93))</f>
        <v>0</v>
      </c>
      <c r="CB92" s="26"/>
    </row>
    <row r="93" spans="1:80">
      <c r="A93" s="16">
        <f t="shared" si="41"/>
        <v>92</v>
      </c>
      <c r="B93" s="16">
        <f>IF(B92=0,0,IF(db!$E$5&lt;B92+1,0,B92+1))</f>
        <v>0</v>
      </c>
      <c r="C93" s="15">
        <f t="shared" si="42"/>
        <v>0</v>
      </c>
      <c r="D93" s="312">
        <f>LOOKUP(Table13[[#This Row],[Age]],RiskLoading!A$3:A$109,RiskLoading!DG$3:DG$109)</f>
        <v>55</v>
      </c>
      <c r="E93" s="29">
        <f t="shared" si="34"/>
        <v>0</v>
      </c>
      <c r="F93" s="29">
        <f t="shared" si="35"/>
        <v>0</v>
      </c>
      <c r="G93" s="29">
        <f t="shared" si="26"/>
        <v>0</v>
      </c>
      <c r="H93" s="29">
        <v>0</v>
      </c>
      <c r="I93" s="29">
        <f>IF(B93=0,0,SUM($H$2:H93))</f>
        <v>0</v>
      </c>
      <c r="J93" s="17">
        <f t="shared" si="36"/>
        <v>0</v>
      </c>
      <c r="K93" s="17">
        <f>IF(Table13[[#This Row],[Year]]=0,0,IF($C$2&lt;=50,LOOKUP(Table13[[#This Row],[Age]],db!BG94:BG200,db!BH94:BH200),LOOKUP(Table13[[#This Row],[Age]],db!BJ94:BJ200,db!BK94:BK200)))</f>
        <v>0</v>
      </c>
      <c r="L93" s="17">
        <f>MIN(IF(B93=0,0,db!$E$4*((1+db!$B$4)^(B93-1))),Table13[[#This Row],[Max Sum Insured For Death]])</f>
        <v>0</v>
      </c>
      <c r="M93" s="17">
        <f>ROUND(IF(L93&lt;=db!$L$7,L93,db!$L$7),0)</f>
        <v>0</v>
      </c>
      <c r="N93" s="29">
        <f t="shared" si="37"/>
        <v>0</v>
      </c>
      <c r="O93" s="29">
        <f>IF(B93=0,0,IF(db!$D$6="Yes",(db!$B$6)*M93,0))</f>
        <v>0</v>
      </c>
      <c r="P93" s="29">
        <f>MIN(IF(O93&lt;=db!$L$2,O93,db!$L$2),MAX_ACC_CAPITAL)</f>
        <v>0</v>
      </c>
      <c r="Q93" s="17">
        <f>IF(B93=0,0,IF(db!$D$7="Yes",(db!$B$7)*M93,0))</f>
        <v>0</v>
      </c>
      <c r="R93" s="42">
        <f>IF(C93&gt;69,0,IF(C93=0,0,IF(Q93&lt;=db!$L$3,Q93,db!$L$3)))</f>
        <v>0</v>
      </c>
      <c r="S93" s="29">
        <f>IF(B93=0,0,IF(db!$D$9="Yes",(db!$B$9)*M93,0))</f>
        <v>0</v>
      </c>
      <c r="T93" s="29">
        <f>ROUND(IF(C93&gt;69,0,IF(C93=0,0,IF(S93&lt;=db!$L$4,S93,db!$L$4))),0)</f>
        <v>0</v>
      </c>
      <c r="U93" s="38">
        <v>0</v>
      </c>
      <c r="V93" s="17">
        <v>0</v>
      </c>
      <c r="W93" s="29">
        <v>0</v>
      </c>
      <c r="X93" s="17">
        <f>IF(B93=0,0,IF(db!$D$11="Yes",(db!$B$11)*M93,0))</f>
        <v>0</v>
      </c>
      <c r="Y93" s="42">
        <f>ROUND(IF(C93&gt;59,0,IF(C93=0,0,IF(X93&lt;=db!$L$5,X93,db!$L$5))),0)</f>
        <v>0</v>
      </c>
      <c r="Z93" s="29">
        <f>IF(B93=0,0,IF(db!$D$12="Yes",(db!$B$12)*M93,0))</f>
        <v>0</v>
      </c>
      <c r="AA93" s="29">
        <f>ROUND(IF(C93&gt;59,0,IF(C93=0,0,IF(Z93&lt;=db!$L$6,Z93,db!$L$6))),0)</f>
        <v>0</v>
      </c>
      <c r="AB93" s="32"/>
      <c r="AC93" s="18">
        <f>IF(B93=0,0,IF(C93&lt;(db!$E$2+5),LOOKUP(C93,'Mortality Table'!$A$2:$A$108,'Mortality Table'!$P$2:$P$108),IF((C93&gt;=db!$E$2+10),LOOKUP(C93,'Mortality Table'!$A$2:$A$108,'Mortality Table'!$R$2:$R$108),LOOKUP(C93,'Mortality Table'!$A$2:$A$108,'Mortality Table'!$Q$2:$Q$108))))</f>
        <v>0</v>
      </c>
      <c r="AD93" s="22">
        <f t="shared" si="27"/>
        <v>0</v>
      </c>
      <c r="AE93" s="19">
        <f>IF(B93=0,0,LOOKUP(db!$A$8,db!$AX$4:$AX$8,db!$AY$4:$AY$8))</f>
        <v>0</v>
      </c>
      <c r="AF93" s="20">
        <f>ROUND((AE93/1000)*P93 * (1-db!$AS$9),0)</f>
        <v>0</v>
      </c>
      <c r="AG93" s="20">
        <f>(AE93/1000)*P93 * db!$AS$9</f>
        <v>0</v>
      </c>
      <c r="AH93" s="21">
        <f>IF(B93=0,0,LOOKUP(db!$A$8,db!$AX$4:$AX$8,db!$AZ$4:$AZ$8))</f>
        <v>0</v>
      </c>
      <c r="AI93" s="22">
        <f>(AH93/1000)*R93*(1-db!$AS$9)</f>
        <v>0</v>
      </c>
      <c r="AJ93" s="22">
        <f>(AH93/1000)*R93*(db!$AS$9)</f>
        <v>0</v>
      </c>
      <c r="AK93" s="23">
        <f>IF(B93=0,0,LOOKUP(db!$A$8,db!$AX$4:$AX$8,db!$BA$4:$BA$8))</f>
        <v>0</v>
      </c>
      <c r="AL93" s="20">
        <f>ROUND((AK93/(100))*T93*(1-db!$AS$9),0)</f>
        <v>0</v>
      </c>
      <c r="AM93" s="20">
        <f>ROUND((AK93/(100))*T93*(db!$AS$9),0)</f>
        <v>0</v>
      </c>
      <c r="AN93" s="21">
        <f>IF(db!$D$8="Yes",AH93,0)</f>
        <v>0</v>
      </c>
      <c r="AO93" s="22">
        <f>(AN93*V93)/1000*(1-db!$AS$9)</f>
        <v>0</v>
      </c>
      <c r="AP93" s="22">
        <f>(AN93*V93)/1000*(db!$AS$9)</f>
        <v>0</v>
      </c>
      <c r="AQ93" s="23">
        <f>IF(db!$D$10="Yes",AH93,0)</f>
        <v>0</v>
      </c>
      <c r="AR93" s="20">
        <f>(AQ93*W93/1000)*(1-db!$AS$9)</f>
        <v>0</v>
      </c>
      <c r="AS93" s="20">
        <f>(AQ93*W93/1000)*(db!$AS$9)</f>
        <v>0</v>
      </c>
      <c r="AT93" s="22">
        <f>IF(B93=0,0,IF(C93&gt;60,0,LOOKUP(LOOKUP(C93,RiskLoading!A$3:A$109,RiskLoading!DG$3:DG$109),db!$BC$3:$BC$63,db!$BD$3:$BD$63)))</f>
        <v>0</v>
      </c>
      <c r="AU93" s="22">
        <f>AV93*db!$AS$10</f>
        <v>0</v>
      </c>
      <c r="AV93" s="22">
        <f t="shared" si="28"/>
        <v>0</v>
      </c>
      <c r="AW93" s="22">
        <f>(AT93/1000000)*Y93*(1-db!$AS$10)</f>
        <v>0</v>
      </c>
      <c r="AX93" s="20">
        <f>IF(B93=0,0,IF(C93&gt;60,0,LOOKUP(LOOKUP(C93,RiskLoading!A$3:A$109,RiskLoading!DG$3:DG$109),db!$BC$3:$BC$63,db!$BE$3:$BE$63)))</f>
        <v>0</v>
      </c>
      <c r="AY93" s="20">
        <f>(AX93/1000000)*AA93*(1-db!$AS$11)</f>
        <v>0</v>
      </c>
      <c r="AZ93" s="20">
        <f>(AX93/1000000)*AA93*(db!$AS$11)</f>
        <v>0</v>
      </c>
      <c r="BA93" s="19">
        <f>IF(Table13[Year]=0,0,LOOKUP(Table13[Age],RiskLoading!A$3:A$109,RiskLoading!DT$3:DT$109))</f>
        <v>0</v>
      </c>
      <c r="BB93" s="20">
        <f>Table13[[#This Row],[RiskLoading
Rate]]*Table13[[#This Row],[Death Capital (2)]]</f>
        <v>0</v>
      </c>
      <c r="BC93" s="36"/>
      <c r="BD93" s="37">
        <f t="shared" si="29"/>
        <v>0</v>
      </c>
      <c r="BE93" s="35">
        <f t="shared" si="30"/>
        <v>0</v>
      </c>
      <c r="BF93" s="35">
        <f t="shared" si="31"/>
        <v>0</v>
      </c>
      <c r="BG93" s="37">
        <f t="shared" si="32"/>
        <v>0</v>
      </c>
      <c r="BH93" s="37">
        <f t="shared" si="33"/>
        <v>0</v>
      </c>
      <c r="BI93" s="35">
        <f t="shared" si="38"/>
        <v>0</v>
      </c>
      <c r="BJ93" s="35">
        <f t="shared" si="39"/>
        <v>0</v>
      </c>
      <c r="BK93" s="37">
        <v>0</v>
      </c>
      <c r="BL93" s="37">
        <v>0</v>
      </c>
      <c r="BM93" s="35"/>
      <c r="BN93" s="37">
        <f>0</f>
        <v>0</v>
      </c>
      <c r="BO93" s="37"/>
      <c r="BP93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93" s="33"/>
      <c r="BR93" s="39">
        <f>Table13[[#This Row],[Initial Reserve]]-Table13[[#This Row],[All Deductions]]</f>
        <v>0</v>
      </c>
      <c r="BS93" s="39">
        <v>0</v>
      </c>
      <c r="BT93" s="39">
        <f>IF(B93=0,0,BU92-Table13[[#This Row],[All Deductions]])</f>
        <v>0</v>
      </c>
      <c r="BU93" s="40">
        <f>ROUND(IF(B93=0,0,((BR93+BU92)*(1+db!U95))),0)</f>
        <v>0</v>
      </c>
      <c r="BV93" s="40">
        <f t="shared" si="43"/>
        <v>0</v>
      </c>
      <c r="BW93" s="15">
        <f t="shared" si="40"/>
        <v>92</v>
      </c>
      <c r="BX93" s="39">
        <f>IF(B93=0,0,((BR93)*(1+db!AH95))+((BX92)*(1+db!AD95)))</f>
        <v>0</v>
      </c>
      <c r="BY93" s="39">
        <f>IF(B93=0,0,((BR93)*(1+db!AH95))+((BY92)*(1+db!AD95)))</f>
        <v>0</v>
      </c>
      <c r="BZ93" s="40">
        <f>IF(B93=0,0,((BR93)*(1+db!AO95))+((BZ92)*(1+db!AK95)))</f>
        <v>0</v>
      </c>
      <c r="CA93" s="40">
        <f>BZ93-(SUM(BM$7:$BM94))</f>
        <v>0</v>
      </c>
      <c r="CB93" s="26"/>
    </row>
    <row r="94" spans="1:80">
      <c r="A94" s="16">
        <f t="shared" si="41"/>
        <v>93</v>
      </c>
      <c r="B94" s="16">
        <f>IF(B93=0,0,IF(db!$E$5&lt;B93+1,0,B93+1))</f>
        <v>0</v>
      </c>
      <c r="C94" s="15">
        <f t="shared" si="42"/>
        <v>0</v>
      </c>
      <c r="D94" s="312">
        <f>LOOKUP(Table13[[#This Row],[Age]],RiskLoading!A$3:A$109,RiskLoading!DG$3:DG$109)</f>
        <v>55</v>
      </c>
      <c r="E94" s="29">
        <f t="shared" si="34"/>
        <v>0</v>
      </c>
      <c r="F94" s="29">
        <f t="shared" si="35"/>
        <v>0</v>
      </c>
      <c r="G94" s="29">
        <f t="shared" si="26"/>
        <v>0</v>
      </c>
      <c r="H94" s="29">
        <v>0</v>
      </c>
      <c r="I94" s="29">
        <f>IF(B94=0,0,SUM($H$2:H94))</f>
        <v>0</v>
      </c>
      <c r="J94" s="17">
        <f t="shared" si="36"/>
        <v>0</v>
      </c>
      <c r="K94" s="17">
        <f>IF(Table13[[#This Row],[Year]]=0,0,IF($C$2&lt;=50,LOOKUP(Table13[[#This Row],[Age]],db!BG95:BG201,db!BH95:BH201),LOOKUP(Table13[[#This Row],[Age]],db!BJ95:BJ201,db!BK95:BK201)))</f>
        <v>0</v>
      </c>
      <c r="L94" s="17">
        <f>MIN(IF(B94=0,0,db!$E$4*((1+db!$B$4)^(B94-1))),Table13[[#This Row],[Max Sum Insured For Death]])</f>
        <v>0</v>
      </c>
      <c r="M94" s="17">
        <f>ROUND(IF(L94&lt;=db!$L$7,L94,db!$L$7),0)</f>
        <v>0</v>
      </c>
      <c r="N94" s="29">
        <f t="shared" si="37"/>
        <v>0</v>
      </c>
      <c r="O94" s="29">
        <f>IF(B94=0,0,IF(db!$D$6="Yes",(db!$B$6)*M94,0))</f>
        <v>0</v>
      </c>
      <c r="P94" s="29">
        <f>MIN(IF(O94&lt;=db!$L$2,O94,db!$L$2),MAX_ACC_CAPITAL)</f>
        <v>0</v>
      </c>
      <c r="Q94" s="17">
        <f>IF(B94=0,0,IF(db!$D$7="Yes",(db!$B$7)*M94,0))</f>
        <v>0</v>
      </c>
      <c r="R94" s="42">
        <f>IF(C94&gt;69,0,IF(C94=0,0,IF(Q94&lt;=db!$L$3,Q94,db!$L$3)))</f>
        <v>0</v>
      </c>
      <c r="S94" s="29">
        <f>IF(B94=0,0,IF(db!$D$9="Yes",(db!$B$9)*M94,0))</f>
        <v>0</v>
      </c>
      <c r="T94" s="29">
        <f>ROUND(IF(C94&gt;69,0,IF(C94=0,0,IF(S94&lt;=db!$L$4,S94,db!$L$4))),0)</f>
        <v>0</v>
      </c>
      <c r="U94" s="38">
        <v>0</v>
      </c>
      <c r="V94" s="17">
        <v>0</v>
      </c>
      <c r="W94" s="29">
        <v>0</v>
      </c>
      <c r="X94" s="17">
        <f>IF(B94=0,0,IF(db!$D$11="Yes",(db!$B$11)*M94,0))</f>
        <v>0</v>
      </c>
      <c r="Y94" s="42">
        <f>ROUND(IF(C94&gt;59,0,IF(C94=0,0,IF(X94&lt;=db!$L$5,X94,db!$L$5))),0)</f>
        <v>0</v>
      </c>
      <c r="Z94" s="29">
        <f>IF(B94=0,0,IF(db!$D$12="Yes",(db!$B$12)*M94,0))</f>
        <v>0</v>
      </c>
      <c r="AA94" s="29">
        <f>ROUND(IF(C94&gt;59,0,IF(C94=0,0,IF(Z94&lt;=db!$L$6,Z94,db!$L$6))),0)</f>
        <v>0</v>
      </c>
      <c r="AB94" s="32"/>
      <c r="AC94" s="18">
        <f>IF(B94=0,0,IF(C94&lt;(db!$E$2+5),LOOKUP(C94,'Mortality Table'!$A$2:$A$108,'Mortality Table'!$P$2:$P$108),IF((C94&gt;=db!$E$2+10),LOOKUP(C94,'Mortality Table'!$A$2:$A$108,'Mortality Table'!$R$2:$R$108),LOOKUP(C94,'Mortality Table'!$A$2:$A$108,'Mortality Table'!$Q$2:$Q$108))))</f>
        <v>0</v>
      </c>
      <c r="AD94" s="22">
        <f t="shared" si="27"/>
        <v>0</v>
      </c>
      <c r="AE94" s="19">
        <f>IF(B94=0,0,LOOKUP(db!$A$8,db!$AX$4:$AX$8,db!$AY$4:$AY$8))</f>
        <v>0</v>
      </c>
      <c r="AF94" s="20">
        <f>ROUND((AE94/1000)*P94 * (1-db!$AS$9),0)</f>
        <v>0</v>
      </c>
      <c r="AG94" s="20">
        <f>(AE94/1000)*P94 * db!$AS$9</f>
        <v>0</v>
      </c>
      <c r="AH94" s="21">
        <f>IF(B94=0,0,LOOKUP(db!$A$8,db!$AX$4:$AX$8,db!$AZ$4:$AZ$8))</f>
        <v>0</v>
      </c>
      <c r="AI94" s="22">
        <f>(AH94/1000)*R94*(1-db!$AS$9)</f>
        <v>0</v>
      </c>
      <c r="AJ94" s="22">
        <f>(AH94/1000)*R94*(db!$AS$9)</f>
        <v>0</v>
      </c>
      <c r="AK94" s="23">
        <f>IF(B94=0,0,LOOKUP(db!$A$8,db!$AX$4:$AX$8,db!$BA$4:$BA$8))</f>
        <v>0</v>
      </c>
      <c r="AL94" s="20">
        <f>ROUND((AK94/(100))*T94*(1-db!$AS$9),0)</f>
        <v>0</v>
      </c>
      <c r="AM94" s="20">
        <f>ROUND((AK94/(100))*T94*(db!$AS$9),0)</f>
        <v>0</v>
      </c>
      <c r="AN94" s="21">
        <f>IF(db!$D$8="Yes",AH94,0)</f>
        <v>0</v>
      </c>
      <c r="AO94" s="22">
        <f>(AN94*V94)/1000*(1-db!$AS$9)</f>
        <v>0</v>
      </c>
      <c r="AP94" s="22">
        <f>(AN94*V94)/1000*(db!$AS$9)</f>
        <v>0</v>
      </c>
      <c r="AQ94" s="23">
        <f>IF(db!$D$10="Yes",AH94,0)</f>
        <v>0</v>
      </c>
      <c r="AR94" s="20">
        <f>(AQ94*W94/1000)*(1-db!$AS$9)</f>
        <v>0</v>
      </c>
      <c r="AS94" s="20">
        <f>(AQ94*W94/1000)*(db!$AS$9)</f>
        <v>0</v>
      </c>
      <c r="AT94" s="22">
        <f>IF(B94=0,0,IF(C94&gt;60,0,LOOKUP(LOOKUP(C94,RiskLoading!A$3:A$109,RiskLoading!DG$3:DG$109),db!$BC$3:$BC$63,db!$BD$3:$BD$63)))</f>
        <v>0</v>
      </c>
      <c r="AU94" s="22">
        <f>AV94*db!$AS$10</f>
        <v>0</v>
      </c>
      <c r="AV94" s="22">
        <f t="shared" si="28"/>
        <v>0</v>
      </c>
      <c r="AW94" s="22">
        <f>(AT94/1000000)*Y94*(1-db!$AS$10)</f>
        <v>0</v>
      </c>
      <c r="AX94" s="20">
        <f>IF(B94=0,0,IF(C94&gt;60,0,LOOKUP(LOOKUP(C94,RiskLoading!A$3:A$109,RiskLoading!DG$3:DG$109),db!$BC$3:$BC$63,db!$BE$3:$BE$63)))</f>
        <v>0</v>
      </c>
      <c r="AY94" s="20">
        <f>(AX94/1000000)*AA94*(1-db!$AS$11)</f>
        <v>0</v>
      </c>
      <c r="AZ94" s="20">
        <f>(AX94/1000000)*AA94*(db!$AS$11)</f>
        <v>0</v>
      </c>
      <c r="BA94" s="19">
        <f>IF(Table13[Year]=0,0,LOOKUP(Table13[Age],RiskLoading!A$3:A$109,RiskLoading!DT$3:DT$109))</f>
        <v>0</v>
      </c>
      <c r="BB94" s="20">
        <f>Table13[[#This Row],[RiskLoading
Rate]]*Table13[[#This Row],[Death Capital (2)]]</f>
        <v>0</v>
      </c>
      <c r="BC94" s="36"/>
      <c r="BD94" s="37">
        <f t="shared" si="29"/>
        <v>0</v>
      </c>
      <c r="BE94" s="35">
        <f t="shared" si="30"/>
        <v>0</v>
      </c>
      <c r="BF94" s="35">
        <f t="shared" si="31"/>
        <v>0</v>
      </c>
      <c r="BG94" s="37">
        <f t="shared" si="32"/>
        <v>0</v>
      </c>
      <c r="BH94" s="37">
        <f t="shared" si="33"/>
        <v>0</v>
      </c>
      <c r="BI94" s="35">
        <f t="shared" si="38"/>
        <v>0</v>
      </c>
      <c r="BJ94" s="35">
        <f t="shared" si="39"/>
        <v>0</v>
      </c>
      <c r="BK94" s="37">
        <v>0</v>
      </c>
      <c r="BL94" s="37">
        <v>0</v>
      </c>
      <c r="BM94" s="35"/>
      <c r="BN94" s="37">
        <f>0</f>
        <v>0</v>
      </c>
      <c r="BO94" s="37"/>
      <c r="BP94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94" s="33"/>
      <c r="BR94" s="39">
        <f>Table13[[#This Row],[Initial Reserve]]-Table13[[#This Row],[All Deductions]]</f>
        <v>0</v>
      </c>
      <c r="BS94" s="39">
        <v>0</v>
      </c>
      <c r="BT94" s="39">
        <f>IF(B94=0,0,BU93-Table13[[#This Row],[All Deductions]])</f>
        <v>0</v>
      </c>
      <c r="BU94" s="40">
        <f>ROUND(IF(B94=0,0,((BR94+BU93)*(1+db!U96))),0)</f>
        <v>0</v>
      </c>
      <c r="BV94" s="40">
        <f t="shared" si="43"/>
        <v>0</v>
      </c>
      <c r="BW94" s="15">
        <f t="shared" si="40"/>
        <v>93</v>
      </c>
      <c r="BX94" s="39">
        <f>IF(B94=0,0,((BR94)*(1+db!AH96))+((BX93)*(1+db!AD96)))</f>
        <v>0</v>
      </c>
      <c r="BY94" s="39">
        <f>IF(B94=0,0,((BR94)*(1+db!AH96))+((BY93)*(1+db!AD96)))</f>
        <v>0</v>
      </c>
      <c r="BZ94" s="40">
        <f>IF(B94=0,0,((BR94)*(1+db!AO96))+((BZ93)*(1+db!AK96)))</f>
        <v>0</v>
      </c>
      <c r="CA94" s="40">
        <f>BZ94-(SUM(BM$7:$BM95))</f>
        <v>0</v>
      </c>
      <c r="CB94" s="26"/>
    </row>
    <row r="95" spans="1:80">
      <c r="A95" s="16">
        <f t="shared" si="41"/>
        <v>94</v>
      </c>
      <c r="B95" s="16">
        <f>IF(B94=0,0,IF(db!$E$5&lt;B94+1,0,B94+1))</f>
        <v>0</v>
      </c>
      <c r="C95" s="15">
        <f t="shared" si="42"/>
        <v>0</v>
      </c>
      <c r="D95" s="312">
        <f>LOOKUP(Table13[[#This Row],[Age]],RiskLoading!A$3:A$109,RiskLoading!DG$3:DG$109)</f>
        <v>55</v>
      </c>
      <c r="E95" s="29">
        <f t="shared" si="34"/>
        <v>0</v>
      </c>
      <c r="F95" s="29">
        <f t="shared" si="35"/>
        <v>0</v>
      </c>
      <c r="G95" s="29">
        <f t="shared" si="26"/>
        <v>0</v>
      </c>
      <c r="H95" s="29">
        <v>0</v>
      </c>
      <c r="I95" s="29">
        <f>IF(B95=0,0,SUM($H$2:H95))</f>
        <v>0</v>
      </c>
      <c r="J95" s="17">
        <f t="shared" si="36"/>
        <v>0</v>
      </c>
      <c r="K95" s="17">
        <f>IF(Table13[[#This Row],[Year]]=0,0,IF($C$2&lt;=50,LOOKUP(Table13[[#This Row],[Age]],db!BG96:BG202,db!BH96:BH202),LOOKUP(Table13[[#This Row],[Age]],db!BJ96:BJ202,db!BK96:BK202)))</f>
        <v>0</v>
      </c>
      <c r="L95" s="17">
        <f>MIN(IF(B95=0,0,db!$E$4*((1+db!$B$4)^(B95-1))),Table13[[#This Row],[Max Sum Insured For Death]])</f>
        <v>0</v>
      </c>
      <c r="M95" s="17">
        <f>ROUND(IF(L95&lt;=db!$L$7,L95,db!$L$7),0)</f>
        <v>0</v>
      </c>
      <c r="N95" s="29">
        <f t="shared" si="37"/>
        <v>0</v>
      </c>
      <c r="O95" s="29">
        <f>IF(B95=0,0,IF(db!$D$6="Yes",(db!$B$6)*M95,0))</f>
        <v>0</v>
      </c>
      <c r="P95" s="29">
        <f>MIN(IF(O95&lt;=db!$L$2,O95,db!$L$2),MAX_ACC_CAPITAL)</f>
        <v>0</v>
      </c>
      <c r="Q95" s="17">
        <f>IF(B95=0,0,IF(db!$D$7="Yes",(db!$B$7)*M95,0))</f>
        <v>0</v>
      </c>
      <c r="R95" s="42">
        <f>IF(C95&gt;69,0,IF(C95=0,0,IF(Q95&lt;=db!$L$3,Q95,db!$L$3)))</f>
        <v>0</v>
      </c>
      <c r="S95" s="29">
        <f>IF(B95=0,0,IF(db!$D$9="Yes",(db!$B$9)*M95,0))</f>
        <v>0</v>
      </c>
      <c r="T95" s="29">
        <f>ROUND(IF(C95&gt;69,0,IF(C95=0,0,IF(S95&lt;=db!$L$4,S95,db!$L$4))),0)</f>
        <v>0</v>
      </c>
      <c r="U95" s="38">
        <v>0</v>
      </c>
      <c r="V95" s="17">
        <v>0</v>
      </c>
      <c r="W95" s="29">
        <v>0</v>
      </c>
      <c r="X95" s="17">
        <f>IF(B95=0,0,IF(db!$D$11="Yes",(db!$B$11)*M95,0))</f>
        <v>0</v>
      </c>
      <c r="Y95" s="42">
        <f>ROUND(IF(C95&gt;59,0,IF(C95=0,0,IF(X95&lt;=db!$L$5,X95,db!$L$5))),0)</f>
        <v>0</v>
      </c>
      <c r="Z95" s="29">
        <f>IF(B95=0,0,IF(db!$D$12="Yes",(db!$B$12)*M95,0))</f>
        <v>0</v>
      </c>
      <c r="AA95" s="29">
        <f>ROUND(IF(C95&gt;59,0,IF(C95=0,0,IF(Z95&lt;=db!$L$6,Z95,db!$L$6))),0)</f>
        <v>0</v>
      </c>
      <c r="AB95" s="32"/>
      <c r="AC95" s="18">
        <f>IF(B95=0,0,IF(C95&lt;(db!$E$2+5),LOOKUP(C95,'Mortality Table'!$A$2:$A$108,'Mortality Table'!$P$2:$P$108),IF((C95&gt;=db!$E$2+10),LOOKUP(C95,'Mortality Table'!$A$2:$A$108,'Mortality Table'!$R$2:$R$108),LOOKUP(C95,'Mortality Table'!$A$2:$A$108,'Mortality Table'!$Q$2:$Q$108))))</f>
        <v>0</v>
      </c>
      <c r="AD95" s="22">
        <f t="shared" si="27"/>
        <v>0</v>
      </c>
      <c r="AE95" s="19">
        <f>IF(B95=0,0,LOOKUP(db!$A$8,db!$AX$4:$AX$8,db!$AY$4:$AY$8))</f>
        <v>0</v>
      </c>
      <c r="AF95" s="20">
        <f>ROUND((AE95/1000)*P95 * (1-db!$AS$9),0)</f>
        <v>0</v>
      </c>
      <c r="AG95" s="20">
        <f>(AE95/1000)*P95 * db!$AS$9</f>
        <v>0</v>
      </c>
      <c r="AH95" s="21">
        <f>IF(B95=0,0,LOOKUP(db!$A$8,db!$AX$4:$AX$8,db!$AZ$4:$AZ$8))</f>
        <v>0</v>
      </c>
      <c r="AI95" s="22">
        <f>(AH95/1000)*R95*(1-db!$AS$9)</f>
        <v>0</v>
      </c>
      <c r="AJ95" s="22">
        <f>(AH95/1000)*R95*(db!$AS$9)</f>
        <v>0</v>
      </c>
      <c r="AK95" s="23">
        <f>IF(B95=0,0,LOOKUP(db!$A$8,db!$AX$4:$AX$8,db!$BA$4:$BA$8))</f>
        <v>0</v>
      </c>
      <c r="AL95" s="20">
        <f>ROUND((AK95/(100))*T95*(1-db!$AS$9),0)</f>
        <v>0</v>
      </c>
      <c r="AM95" s="20">
        <f>ROUND((AK95/(100))*T95*(db!$AS$9),0)</f>
        <v>0</v>
      </c>
      <c r="AN95" s="21">
        <f>IF(db!$D$8="Yes",AH95,0)</f>
        <v>0</v>
      </c>
      <c r="AO95" s="22">
        <f>(AN95*V95)/1000*(1-db!$AS$9)</f>
        <v>0</v>
      </c>
      <c r="AP95" s="22">
        <f>(AN95*V95)/1000*(db!$AS$9)</f>
        <v>0</v>
      </c>
      <c r="AQ95" s="23">
        <f>IF(db!$D$10="Yes",AH95,0)</f>
        <v>0</v>
      </c>
      <c r="AR95" s="20">
        <f>(AQ95*W95/1000)*(1-db!$AS$9)</f>
        <v>0</v>
      </c>
      <c r="AS95" s="20">
        <f>(AQ95*W95/1000)*(db!$AS$9)</f>
        <v>0</v>
      </c>
      <c r="AT95" s="22">
        <f>IF(B95=0,0,IF(C95&gt;60,0,LOOKUP(LOOKUP(C95,RiskLoading!A$3:A$109,RiskLoading!DG$3:DG$109),db!$BC$3:$BC$63,db!$BD$3:$BD$63)))</f>
        <v>0</v>
      </c>
      <c r="AU95" s="22">
        <f>AV95*db!$AS$10</f>
        <v>0</v>
      </c>
      <c r="AV95" s="22">
        <f t="shared" si="28"/>
        <v>0</v>
      </c>
      <c r="AW95" s="22">
        <f>(AT95/1000000)*Y95*(1-db!$AS$10)</f>
        <v>0</v>
      </c>
      <c r="AX95" s="20">
        <f>IF(B95=0,0,IF(C95&gt;60,0,LOOKUP(LOOKUP(C95,RiskLoading!A$3:A$109,RiskLoading!DG$3:DG$109),db!$BC$3:$BC$63,db!$BE$3:$BE$63)))</f>
        <v>0</v>
      </c>
      <c r="AY95" s="20">
        <f>(AX95/1000000)*AA95*(1-db!$AS$11)</f>
        <v>0</v>
      </c>
      <c r="AZ95" s="20">
        <f>(AX95/1000000)*AA95*(db!$AS$11)</f>
        <v>0</v>
      </c>
      <c r="BA95" s="19">
        <f>IF(Table13[Year]=0,0,LOOKUP(Table13[Age],RiskLoading!A$3:A$109,RiskLoading!DT$3:DT$109))</f>
        <v>0</v>
      </c>
      <c r="BB95" s="20">
        <f>Table13[[#This Row],[RiskLoading
Rate]]*Table13[[#This Row],[Death Capital (2)]]</f>
        <v>0</v>
      </c>
      <c r="BC95" s="36"/>
      <c r="BD95" s="37">
        <f t="shared" si="29"/>
        <v>0</v>
      </c>
      <c r="BE95" s="35">
        <f t="shared" si="30"/>
        <v>0</v>
      </c>
      <c r="BF95" s="35">
        <f t="shared" si="31"/>
        <v>0</v>
      </c>
      <c r="BG95" s="37">
        <f t="shared" si="32"/>
        <v>0</v>
      </c>
      <c r="BH95" s="37">
        <f t="shared" si="33"/>
        <v>0</v>
      </c>
      <c r="BI95" s="35">
        <f t="shared" si="38"/>
        <v>0</v>
      </c>
      <c r="BJ95" s="35">
        <f t="shared" si="39"/>
        <v>0</v>
      </c>
      <c r="BK95" s="37">
        <v>0</v>
      </c>
      <c r="BL95" s="37">
        <v>0</v>
      </c>
      <c r="BM95" s="35"/>
      <c r="BN95" s="37">
        <f>0</f>
        <v>0</v>
      </c>
      <c r="BO95" s="37"/>
      <c r="BP95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95" s="33"/>
      <c r="BR95" s="39">
        <f>Table13[[#This Row],[Initial Reserve]]-Table13[[#This Row],[All Deductions]]</f>
        <v>0</v>
      </c>
      <c r="BS95" s="39">
        <v>0</v>
      </c>
      <c r="BT95" s="39">
        <f>IF(B95=0,0,BU94-Table13[[#This Row],[All Deductions]])</f>
        <v>0</v>
      </c>
      <c r="BU95" s="40">
        <f>ROUND(IF(B95=0,0,((BR95+BU94)*(1+db!U97))),0)</f>
        <v>0</v>
      </c>
      <c r="BV95" s="40">
        <f t="shared" si="43"/>
        <v>0</v>
      </c>
      <c r="BW95" s="15">
        <f t="shared" si="40"/>
        <v>94</v>
      </c>
      <c r="BX95" s="39">
        <f>IF(B95=0,0,((BR95)*(1+db!AH97))+((BX94)*(1+db!AD97)))</f>
        <v>0</v>
      </c>
      <c r="BY95" s="39">
        <f>IF(B95=0,0,((BR95)*(1+db!AH97))+((BY94)*(1+db!AD97)))</f>
        <v>0</v>
      </c>
      <c r="BZ95" s="40">
        <f>IF(B95=0,0,((BR95)*(1+db!AO97))+((BZ94)*(1+db!AK97)))</f>
        <v>0</v>
      </c>
      <c r="CA95" s="40">
        <f>BZ95-(SUM(BM$7:$BM96))</f>
        <v>0</v>
      </c>
      <c r="CB95" s="26"/>
    </row>
    <row r="96" spans="1:80">
      <c r="A96" s="16">
        <f t="shared" si="41"/>
        <v>95</v>
      </c>
      <c r="B96" s="16">
        <f>IF(B95=0,0,IF(db!$E$5&lt;B95+1,0,B95+1))</f>
        <v>0</v>
      </c>
      <c r="C96" s="15">
        <f t="shared" si="42"/>
        <v>0</v>
      </c>
      <c r="D96" s="312">
        <f>LOOKUP(Table13[[#This Row],[Age]],RiskLoading!A$3:A$109,RiskLoading!DG$3:DG$109)</f>
        <v>55</v>
      </c>
      <c r="E96" s="29">
        <f t="shared" si="34"/>
        <v>0</v>
      </c>
      <c r="F96" s="29">
        <f t="shared" si="35"/>
        <v>0</v>
      </c>
      <c r="G96" s="29">
        <f t="shared" si="26"/>
        <v>0</v>
      </c>
      <c r="H96" s="29">
        <v>0</v>
      </c>
      <c r="I96" s="29">
        <f>IF(B96=0,0,SUM($H$2:H96))</f>
        <v>0</v>
      </c>
      <c r="J96" s="17">
        <f t="shared" si="36"/>
        <v>0</v>
      </c>
      <c r="K96" s="17">
        <f>IF(Table13[[#This Row],[Year]]=0,0,IF($C$2&lt;=50,LOOKUP(Table13[[#This Row],[Age]],db!BG97:BG203,db!BH97:BH203),LOOKUP(Table13[[#This Row],[Age]],db!BJ97:BJ203,db!BK97:BK203)))</f>
        <v>0</v>
      </c>
      <c r="L96" s="17">
        <f>MIN(IF(B96=0,0,db!$E$4*((1+db!$B$4)^(B96-1))),Table13[[#This Row],[Max Sum Insured For Death]])</f>
        <v>0</v>
      </c>
      <c r="M96" s="17">
        <f>ROUND(IF(L96&lt;=db!$L$7,L96,db!$L$7),0)</f>
        <v>0</v>
      </c>
      <c r="N96" s="29">
        <f t="shared" si="37"/>
        <v>0</v>
      </c>
      <c r="O96" s="29">
        <f>IF(B96=0,0,IF(db!$D$6="Yes",(db!$B$6)*M96,0))</f>
        <v>0</v>
      </c>
      <c r="P96" s="29">
        <f>MIN(IF(O96&lt;=db!$L$2,O96,db!$L$2),MAX_ACC_CAPITAL)</f>
        <v>0</v>
      </c>
      <c r="Q96" s="17">
        <f>IF(B96=0,0,IF(db!$D$7="Yes",(db!$B$7)*M96,0))</f>
        <v>0</v>
      </c>
      <c r="R96" s="42">
        <f>IF(C96&gt;69,0,IF(C96=0,0,IF(Q96&lt;=db!$L$3,Q96,db!$L$3)))</f>
        <v>0</v>
      </c>
      <c r="S96" s="29">
        <f>IF(B96=0,0,IF(db!$D$9="Yes",(db!$B$9)*M96,0))</f>
        <v>0</v>
      </c>
      <c r="T96" s="29">
        <f>ROUND(IF(C96&gt;69,0,IF(C96=0,0,IF(S96&lt;=db!$L$4,S96,db!$L$4))),0)</f>
        <v>0</v>
      </c>
      <c r="U96" s="38">
        <v>0</v>
      </c>
      <c r="V96" s="17">
        <v>0</v>
      </c>
      <c r="W96" s="29">
        <v>0</v>
      </c>
      <c r="X96" s="17">
        <f>IF(B96=0,0,IF(db!$D$11="Yes",(db!$B$11)*M96,0))</f>
        <v>0</v>
      </c>
      <c r="Y96" s="42">
        <f>ROUND(IF(C96&gt;59,0,IF(C96=0,0,IF(X96&lt;=db!$L$5,X96,db!$L$5))),0)</f>
        <v>0</v>
      </c>
      <c r="Z96" s="29">
        <f>IF(B96=0,0,IF(db!$D$12="Yes",(db!$B$12)*M96,0))</f>
        <v>0</v>
      </c>
      <c r="AA96" s="29">
        <f>ROUND(IF(C96&gt;59,0,IF(C96=0,0,IF(Z96&lt;=db!$L$6,Z96,db!$L$6))),0)</f>
        <v>0</v>
      </c>
      <c r="AB96" s="32"/>
      <c r="AC96" s="18">
        <f>IF(B96=0,0,IF(C96&lt;(db!$E$2+5),LOOKUP(C96,'Mortality Table'!$A$2:$A$108,'Mortality Table'!$P$2:$P$108),IF((C96&gt;=db!$E$2+10),LOOKUP(C96,'Mortality Table'!$A$2:$A$108,'Mortality Table'!$R$2:$R$108),LOOKUP(C96,'Mortality Table'!$A$2:$A$108,'Mortality Table'!$Q$2:$Q$108))))</f>
        <v>0</v>
      </c>
      <c r="AD96" s="22">
        <f t="shared" si="27"/>
        <v>0</v>
      </c>
      <c r="AE96" s="19">
        <f>IF(B96=0,0,LOOKUP(db!$A$8,db!$AX$4:$AX$8,db!$AY$4:$AY$8))</f>
        <v>0</v>
      </c>
      <c r="AF96" s="20">
        <f>ROUND((AE96/1000)*P96 * (1-db!$AS$9),0)</f>
        <v>0</v>
      </c>
      <c r="AG96" s="20">
        <f>(AE96/1000)*P96 * db!$AS$9</f>
        <v>0</v>
      </c>
      <c r="AH96" s="21">
        <f>IF(B96=0,0,LOOKUP(db!$A$8,db!$AX$4:$AX$8,db!$AZ$4:$AZ$8))</f>
        <v>0</v>
      </c>
      <c r="AI96" s="22">
        <f>(AH96/1000)*R96*(1-db!$AS$9)</f>
        <v>0</v>
      </c>
      <c r="AJ96" s="22">
        <f>(AH96/1000)*R96*(db!$AS$9)</f>
        <v>0</v>
      </c>
      <c r="AK96" s="23">
        <f>IF(B96=0,0,LOOKUP(db!$A$8,db!$AX$4:$AX$8,db!$BA$4:$BA$8))</f>
        <v>0</v>
      </c>
      <c r="AL96" s="20">
        <f>ROUND((AK96/(100))*T96*(1-db!$AS$9),0)</f>
        <v>0</v>
      </c>
      <c r="AM96" s="20">
        <f>ROUND((AK96/(100))*T96*(db!$AS$9),0)</f>
        <v>0</v>
      </c>
      <c r="AN96" s="21">
        <f>IF(db!$D$8="Yes",AH96,0)</f>
        <v>0</v>
      </c>
      <c r="AO96" s="22">
        <f>(AN96*V96)/1000*(1-db!$AS$9)</f>
        <v>0</v>
      </c>
      <c r="AP96" s="22">
        <f>(AN96*V96)/1000*(db!$AS$9)</f>
        <v>0</v>
      </c>
      <c r="AQ96" s="23">
        <f>IF(db!$D$10="Yes",AH96,0)</f>
        <v>0</v>
      </c>
      <c r="AR96" s="20">
        <f>(AQ96*W96/1000)*(1-db!$AS$9)</f>
        <v>0</v>
      </c>
      <c r="AS96" s="20">
        <f>(AQ96*W96/1000)*(db!$AS$9)</f>
        <v>0</v>
      </c>
      <c r="AT96" s="22">
        <f>IF(B96=0,0,IF(C96&gt;60,0,LOOKUP(LOOKUP(C96,RiskLoading!A$3:A$109,RiskLoading!DG$3:DG$109),db!$BC$3:$BC$63,db!$BD$3:$BD$63)))</f>
        <v>0</v>
      </c>
      <c r="AU96" s="22">
        <f>AV96*db!$AS$10</f>
        <v>0</v>
      </c>
      <c r="AV96" s="22">
        <f t="shared" si="28"/>
        <v>0</v>
      </c>
      <c r="AW96" s="22">
        <f>(AT96/1000000)*Y96*(1-db!$AS$10)</f>
        <v>0</v>
      </c>
      <c r="AX96" s="20">
        <f>IF(B96=0,0,IF(C96&gt;60,0,LOOKUP(LOOKUP(C96,RiskLoading!A$3:A$109,RiskLoading!DG$3:DG$109),db!$BC$3:$BC$63,db!$BE$3:$BE$63)))</f>
        <v>0</v>
      </c>
      <c r="AY96" s="20">
        <f>(AX96/1000000)*AA96*(1-db!$AS$11)</f>
        <v>0</v>
      </c>
      <c r="AZ96" s="20">
        <f>(AX96/1000000)*AA96*(db!$AS$11)</f>
        <v>0</v>
      </c>
      <c r="BA96" s="19">
        <f>IF(Table13[Year]=0,0,LOOKUP(Table13[Age],RiskLoading!A$3:A$109,RiskLoading!DT$3:DT$109))</f>
        <v>0</v>
      </c>
      <c r="BB96" s="20">
        <f>Table13[[#This Row],[RiskLoading
Rate]]*Table13[[#This Row],[Death Capital (2)]]</f>
        <v>0</v>
      </c>
      <c r="BC96" s="36"/>
      <c r="BD96" s="37">
        <f t="shared" si="29"/>
        <v>0</v>
      </c>
      <c r="BE96" s="35">
        <f t="shared" si="30"/>
        <v>0</v>
      </c>
      <c r="BF96" s="35">
        <f t="shared" si="31"/>
        <v>0</v>
      </c>
      <c r="BG96" s="37">
        <f t="shared" si="32"/>
        <v>0</v>
      </c>
      <c r="BH96" s="37">
        <f t="shared" si="33"/>
        <v>0</v>
      </c>
      <c r="BI96" s="35">
        <f t="shared" si="38"/>
        <v>0</v>
      </c>
      <c r="BJ96" s="35">
        <f t="shared" si="39"/>
        <v>0</v>
      </c>
      <c r="BK96" s="37">
        <v>0</v>
      </c>
      <c r="BL96" s="37">
        <v>0</v>
      </c>
      <c r="BM96" s="35"/>
      <c r="BN96" s="37">
        <f>0</f>
        <v>0</v>
      </c>
      <c r="BO96" s="37"/>
      <c r="BP96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96" s="33"/>
      <c r="BR96" s="39">
        <f>Table13[[#This Row],[Initial Reserve]]-Table13[[#This Row],[All Deductions]]</f>
        <v>0</v>
      </c>
      <c r="BS96" s="39">
        <v>0</v>
      </c>
      <c r="BT96" s="39">
        <f>IF(B96=0,0,BU95-Table13[[#This Row],[All Deductions]])</f>
        <v>0</v>
      </c>
      <c r="BU96" s="40">
        <f>ROUND(IF(B96=0,0,((BR96+BU95)*(1+db!U98))),0)</f>
        <v>0</v>
      </c>
      <c r="BV96" s="40">
        <f t="shared" si="43"/>
        <v>0</v>
      </c>
      <c r="BW96" s="15">
        <f t="shared" si="40"/>
        <v>95</v>
      </c>
      <c r="BX96" s="39">
        <f>IF(B96=0,0,((BR96)*(1+db!AH98))+((BX95)*(1+db!AD98)))</f>
        <v>0</v>
      </c>
      <c r="BY96" s="39">
        <f>IF(B96=0,0,((BR96)*(1+db!AH98))+((BY95)*(1+db!AD98)))</f>
        <v>0</v>
      </c>
      <c r="BZ96" s="40">
        <f>IF(B96=0,0,((BR96)*(1+db!AO98))+((BZ95)*(1+db!AK98)))</f>
        <v>0</v>
      </c>
      <c r="CA96" s="40">
        <f>BZ96-(SUM(BM$7:$BM97))</f>
        <v>0</v>
      </c>
      <c r="CB96" s="26"/>
    </row>
    <row r="97" spans="1:80">
      <c r="A97" s="16">
        <f t="shared" si="41"/>
        <v>96</v>
      </c>
      <c r="B97" s="16">
        <f>IF(B96=0,0,IF(db!$E$5&lt;B96+1,0,B96+1))</f>
        <v>0</v>
      </c>
      <c r="C97" s="15">
        <f t="shared" si="42"/>
        <v>0</v>
      </c>
      <c r="D97" s="312">
        <f>LOOKUP(Table13[[#This Row],[Age]],RiskLoading!A$3:A$109,RiskLoading!DG$3:DG$109)</f>
        <v>55</v>
      </c>
      <c r="E97" s="29">
        <f t="shared" si="34"/>
        <v>0</v>
      </c>
      <c r="F97" s="29">
        <f t="shared" si="35"/>
        <v>0</v>
      </c>
      <c r="G97" s="29">
        <f t="shared" si="26"/>
        <v>0</v>
      </c>
      <c r="H97" s="29">
        <v>0</v>
      </c>
      <c r="I97" s="29">
        <f>IF(B97=0,0,SUM($H$2:H97))</f>
        <v>0</v>
      </c>
      <c r="J97" s="17">
        <f t="shared" si="36"/>
        <v>0</v>
      </c>
      <c r="K97" s="17">
        <f>IF(Table13[[#This Row],[Year]]=0,0,IF($C$2&lt;=50,LOOKUP(Table13[[#This Row],[Age]],db!BG98:BG204,db!BH98:BH204),LOOKUP(Table13[[#This Row],[Age]],db!BJ98:BJ204,db!BK98:BK204)))</f>
        <v>0</v>
      </c>
      <c r="L97" s="17">
        <f>MIN(IF(B97=0,0,db!$E$4*((1+db!$B$4)^(B97-1))),Table13[[#This Row],[Max Sum Insured For Death]])</f>
        <v>0</v>
      </c>
      <c r="M97" s="17">
        <f>ROUND(IF(L97&lt;=db!$L$7,L97,db!$L$7),0)</f>
        <v>0</v>
      </c>
      <c r="N97" s="29">
        <f t="shared" si="37"/>
        <v>0</v>
      </c>
      <c r="O97" s="29">
        <f>IF(B97=0,0,IF(db!$D$6="Yes",(db!$B$6)*M97,0))</f>
        <v>0</v>
      </c>
      <c r="P97" s="29">
        <f>MIN(IF(O97&lt;=db!$L$2,O97,db!$L$2),MAX_ACC_CAPITAL)</f>
        <v>0</v>
      </c>
      <c r="Q97" s="17">
        <f>IF(B97=0,0,IF(db!$D$7="Yes",(db!$B$7)*M97,0))</f>
        <v>0</v>
      </c>
      <c r="R97" s="42">
        <f>IF(C97&gt;69,0,IF(C97=0,0,IF(Q97&lt;=db!$L$3,Q97,db!$L$3)))</f>
        <v>0</v>
      </c>
      <c r="S97" s="29">
        <f>IF(B97=0,0,IF(db!$D$9="Yes",(db!$B$9)*M97,0))</f>
        <v>0</v>
      </c>
      <c r="T97" s="29">
        <f>ROUND(IF(C97&gt;69,0,IF(C97=0,0,IF(S97&lt;=db!$L$4,S97,db!$L$4))),0)</f>
        <v>0</v>
      </c>
      <c r="U97" s="38">
        <v>0</v>
      </c>
      <c r="V97" s="17">
        <v>0</v>
      </c>
      <c r="W97" s="29">
        <v>0</v>
      </c>
      <c r="X97" s="17">
        <f>IF(B97=0,0,IF(db!$D$11="Yes",(db!$B$11)*M97,0))</f>
        <v>0</v>
      </c>
      <c r="Y97" s="42">
        <f>ROUND(IF(C97&gt;59,0,IF(C97=0,0,IF(X97&lt;=db!$L$5,X97,db!$L$5))),0)</f>
        <v>0</v>
      </c>
      <c r="Z97" s="29">
        <f>IF(B97=0,0,IF(db!$D$12="Yes",(db!$B$12)*M97,0))</f>
        <v>0</v>
      </c>
      <c r="AA97" s="29">
        <f>ROUND(IF(C97&gt;59,0,IF(C97=0,0,IF(Z97&lt;=db!$L$6,Z97,db!$L$6))),0)</f>
        <v>0</v>
      </c>
      <c r="AB97" s="32"/>
      <c r="AC97" s="18">
        <f>IF(B97=0,0,IF(C97&lt;(db!$E$2+5),LOOKUP(C97,'Mortality Table'!$A$2:$A$108,'Mortality Table'!$P$2:$P$108),IF((C97&gt;=db!$E$2+10),LOOKUP(C97,'Mortality Table'!$A$2:$A$108,'Mortality Table'!$R$2:$R$108),LOOKUP(C97,'Mortality Table'!$A$2:$A$108,'Mortality Table'!$Q$2:$Q$108))))</f>
        <v>0</v>
      </c>
      <c r="AD97" s="22">
        <f t="shared" si="27"/>
        <v>0</v>
      </c>
      <c r="AE97" s="19">
        <f>IF(B97=0,0,LOOKUP(db!$A$8,db!$AX$4:$AX$8,db!$AY$4:$AY$8))</f>
        <v>0</v>
      </c>
      <c r="AF97" s="20">
        <f>ROUND((AE97/1000)*P97 * (1-db!$AS$9),0)</f>
        <v>0</v>
      </c>
      <c r="AG97" s="20">
        <f>(AE97/1000)*P97 * db!$AS$9</f>
        <v>0</v>
      </c>
      <c r="AH97" s="21">
        <f>IF(B97=0,0,LOOKUP(db!$A$8,db!$AX$4:$AX$8,db!$AZ$4:$AZ$8))</f>
        <v>0</v>
      </c>
      <c r="AI97" s="22">
        <f>(AH97/1000)*R97*(1-db!$AS$9)</f>
        <v>0</v>
      </c>
      <c r="AJ97" s="22">
        <f>(AH97/1000)*R97*(db!$AS$9)</f>
        <v>0</v>
      </c>
      <c r="AK97" s="23">
        <f>IF(B97=0,0,LOOKUP(db!$A$8,db!$AX$4:$AX$8,db!$BA$4:$BA$8))</f>
        <v>0</v>
      </c>
      <c r="AL97" s="20">
        <f>ROUND((AK97/(100))*T97*(1-db!$AS$9),0)</f>
        <v>0</v>
      </c>
      <c r="AM97" s="20">
        <f>ROUND((AK97/(100))*T97*(db!$AS$9),0)</f>
        <v>0</v>
      </c>
      <c r="AN97" s="21">
        <f>IF(db!$D$8="Yes",AH97,0)</f>
        <v>0</v>
      </c>
      <c r="AO97" s="22">
        <f>(AN97*V97)/1000*(1-db!$AS$9)</f>
        <v>0</v>
      </c>
      <c r="AP97" s="22">
        <f>(AN97*V97)/1000*(db!$AS$9)</f>
        <v>0</v>
      </c>
      <c r="AQ97" s="23">
        <f>IF(db!$D$10="Yes",AH97,0)</f>
        <v>0</v>
      </c>
      <c r="AR97" s="20">
        <f>(AQ97*W97/1000)*(1-db!$AS$9)</f>
        <v>0</v>
      </c>
      <c r="AS97" s="20">
        <f>(AQ97*W97/1000)*(db!$AS$9)</f>
        <v>0</v>
      </c>
      <c r="AT97" s="22">
        <f>IF(B97=0,0,IF(C97&gt;60,0,LOOKUP(LOOKUP(C97,RiskLoading!A$3:A$109,RiskLoading!DG$3:DG$109),db!$BC$3:$BC$63,db!$BD$3:$BD$63)))</f>
        <v>0</v>
      </c>
      <c r="AU97" s="22">
        <f>AV97*db!$AS$10</f>
        <v>0</v>
      </c>
      <c r="AV97" s="22">
        <f t="shared" si="28"/>
        <v>0</v>
      </c>
      <c r="AW97" s="22">
        <f>(AT97/1000000)*Y97*(1-db!$AS$10)</f>
        <v>0</v>
      </c>
      <c r="AX97" s="20">
        <f>IF(B97=0,0,IF(C97&gt;60,0,LOOKUP(LOOKUP(C97,RiskLoading!A$3:A$109,RiskLoading!DG$3:DG$109),db!$BC$3:$BC$63,db!$BE$3:$BE$63)))</f>
        <v>0</v>
      </c>
      <c r="AY97" s="20">
        <f>(AX97/1000000)*AA97*(1-db!$AS$11)</f>
        <v>0</v>
      </c>
      <c r="AZ97" s="20">
        <f>(AX97/1000000)*AA97*(db!$AS$11)</f>
        <v>0</v>
      </c>
      <c r="BA97" s="19">
        <f>IF(Table13[Year]=0,0,LOOKUP(Table13[Age],RiskLoading!A$3:A$109,RiskLoading!DT$3:DT$109))</f>
        <v>0</v>
      </c>
      <c r="BB97" s="20">
        <f>Table13[[#This Row],[RiskLoading
Rate]]*Table13[[#This Row],[Death Capital (2)]]</f>
        <v>0</v>
      </c>
      <c r="BC97" s="36"/>
      <c r="BD97" s="37">
        <f t="shared" si="29"/>
        <v>0</v>
      </c>
      <c r="BE97" s="35">
        <f t="shared" si="30"/>
        <v>0</v>
      </c>
      <c r="BF97" s="35">
        <f t="shared" si="31"/>
        <v>0</v>
      </c>
      <c r="BG97" s="37">
        <f t="shared" si="32"/>
        <v>0</v>
      </c>
      <c r="BH97" s="37">
        <f t="shared" si="33"/>
        <v>0</v>
      </c>
      <c r="BI97" s="35">
        <f t="shared" si="38"/>
        <v>0</v>
      </c>
      <c r="BJ97" s="35">
        <f t="shared" si="39"/>
        <v>0</v>
      </c>
      <c r="BK97" s="37">
        <v>0</v>
      </c>
      <c r="BL97" s="37">
        <v>0</v>
      </c>
      <c r="BM97" s="35"/>
      <c r="BN97" s="37">
        <f>0</f>
        <v>0</v>
      </c>
      <c r="BO97" s="37"/>
      <c r="BP97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97" s="33"/>
      <c r="BR97" s="39">
        <f>Table13[[#This Row],[Initial Reserve]]-Table13[[#This Row],[All Deductions]]</f>
        <v>0</v>
      </c>
      <c r="BS97" s="39">
        <v>0</v>
      </c>
      <c r="BT97" s="39">
        <f>IF(B97=0,0,BU96-Table13[[#This Row],[All Deductions]])</f>
        <v>0</v>
      </c>
      <c r="BU97" s="40">
        <f>ROUND(IF(B97=0,0,((BR97+BU96)*(1+db!U99))),0)</f>
        <v>0</v>
      </c>
      <c r="BV97" s="40">
        <f t="shared" si="43"/>
        <v>0</v>
      </c>
      <c r="BW97" s="15">
        <f t="shared" si="40"/>
        <v>96</v>
      </c>
      <c r="BX97" s="39">
        <f>IF(B97=0,0,((BR97)*(1+db!AH99))+((BX96)*(1+db!AD99)))</f>
        <v>0</v>
      </c>
      <c r="BY97" s="39">
        <f>IF(B97=0,0,((BR97)*(1+db!AH99))+((BY96)*(1+db!AD99)))</f>
        <v>0</v>
      </c>
      <c r="BZ97" s="40">
        <f>IF(B97=0,0,((BR97)*(1+db!AO99))+((BZ96)*(1+db!AK99)))</f>
        <v>0</v>
      </c>
      <c r="CA97" s="40">
        <f>BZ97-(SUM(BM$7:$BM98))</f>
        <v>0</v>
      </c>
      <c r="CB97" s="26"/>
    </row>
    <row r="98" spans="1:80">
      <c r="A98" s="16">
        <f t="shared" si="41"/>
        <v>97</v>
      </c>
      <c r="B98" s="16">
        <f>IF(B97=0,0,IF(db!$E$5&lt;B97+1,0,B97+1))</f>
        <v>0</v>
      </c>
      <c r="C98" s="15">
        <f t="shared" si="42"/>
        <v>0</v>
      </c>
      <c r="D98" s="312">
        <f>LOOKUP(Table13[[#This Row],[Age]],RiskLoading!A$3:A$109,RiskLoading!DG$3:DG$109)</f>
        <v>55</v>
      </c>
      <c r="E98" s="29">
        <f t="shared" si="34"/>
        <v>0</v>
      </c>
      <c r="F98" s="29">
        <f t="shared" si="35"/>
        <v>0</v>
      </c>
      <c r="G98" s="29">
        <f t="shared" si="26"/>
        <v>0</v>
      </c>
      <c r="H98" s="29">
        <v>0</v>
      </c>
      <c r="I98" s="29">
        <f>IF(B98=0,0,SUM($H$2:H98))</f>
        <v>0</v>
      </c>
      <c r="J98" s="17">
        <f t="shared" si="36"/>
        <v>0</v>
      </c>
      <c r="K98" s="17">
        <f>IF(Table13[[#This Row],[Year]]=0,0,IF($C$2&lt;=50,LOOKUP(Table13[[#This Row],[Age]],db!BG99:BG205,db!BH99:BH205),LOOKUP(Table13[[#This Row],[Age]],db!BJ99:BJ205,db!BK99:BK205)))</f>
        <v>0</v>
      </c>
      <c r="L98" s="17">
        <f>MIN(IF(B98=0,0,db!$E$4*((1+db!$B$4)^(B98-1))),Table13[[#This Row],[Max Sum Insured For Death]])</f>
        <v>0</v>
      </c>
      <c r="M98" s="17">
        <f>ROUND(IF(L98&lt;=db!$L$7,L98,db!$L$7),0)</f>
        <v>0</v>
      </c>
      <c r="N98" s="29">
        <f t="shared" si="37"/>
        <v>0</v>
      </c>
      <c r="O98" s="29">
        <f>IF(B98=0,0,IF(db!$D$6="Yes",(db!$B$6)*M98,0))</f>
        <v>0</v>
      </c>
      <c r="P98" s="29">
        <f>MIN(IF(O98&lt;=db!$L$2,O98,db!$L$2),MAX_ACC_CAPITAL)</f>
        <v>0</v>
      </c>
      <c r="Q98" s="17">
        <f>IF(B98=0,0,IF(db!$D$7="Yes",(db!$B$7)*M98,0))</f>
        <v>0</v>
      </c>
      <c r="R98" s="42">
        <f>IF(C98&gt;69,0,IF(C98=0,0,IF(Q98&lt;=db!$L$3,Q98,db!$L$3)))</f>
        <v>0</v>
      </c>
      <c r="S98" s="29">
        <f>IF(B98=0,0,IF(db!$D$9="Yes",(db!$B$9)*M98,0))</f>
        <v>0</v>
      </c>
      <c r="T98" s="29">
        <f>ROUND(IF(C98&gt;69,0,IF(C98=0,0,IF(S98&lt;=db!$L$4,S98,db!$L$4))),0)</f>
        <v>0</v>
      </c>
      <c r="U98" s="38">
        <v>0</v>
      </c>
      <c r="V98" s="17">
        <v>0</v>
      </c>
      <c r="W98" s="29">
        <v>0</v>
      </c>
      <c r="X98" s="17">
        <f>IF(B98=0,0,IF(db!$D$11="Yes",(db!$B$11)*M98,0))</f>
        <v>0</v>
      </c>
      <c r="Y98" s="42">
        <f>ROUND(IF(C98&gt;59,0,IF(C98=0,0,IF(X98&lt;=db!$L$5,X98,db!$L$5))),0)</f>
        <v>0</v>
      </c>
      <c r="Z98" s="29">
        <f>IF(B98=0,0,IF(db!$D$12="Yes",(db!$B$12)*M98,0))</f>
        <v>0</v>
      </c>
      <c r="AA98" s="29">
        <f>ROUND(IF(C98&gt;59,0,IF(C98=0,0,IF(Z98&lt;=db!$L$6,Z98,db!$L$6))),0)</f>
        <v>0</v>
      </c>
      <c r="AB98" s="32"/>
      <c r="AC98" s="18">
        <f>IF(B98=0,0,IF(C98&lt;(db!$E$2+5),LOOKUP(C98,'Mortality Table'!$A$2:$A$108,'Mortality Table'!$P$2:$P$108),IF((C98&gt;=db!$E$2+10),LOOKUP(C98,'Mortality Table'!$A$2:$A$108,'Mortality Table'!$R$2:$R$108),LOOKUP(C98,'Mortality Table'!$A$2:$A$108,'Mortality Table'!$Q$2:$Q$108))))</f>
        <v>0</v>
      </c>
      <c r="AD98" s="22">
        <f t="shared" ref="AD98:AD107" si="44">ROUND(AC98*M98,0)</f>
        <v>0</v>
      </c>
      <c r="AE98" s="19">
        <f>IF(B98=0,0,LOOKUP(db!$A$8,db!$AX$4:$AX$8,db!$AY$4:$AY$8))</f>
        <v>0</v>
      </c>
      <c r="AF98" s="20">
        <f>ROUND((AE98/1000)*P98 * (1-db!$AS$9),0)</f>
        <v>0</v>
      </c>
      <c r="AG98" s="20">
        <f>(AE98/1000)*P98 * db!$AS$9</f>
        <v>0</v>
      </c>
      <c r="AH98" s="21">
        <f>IF(B98=0,0,LOOKUP(db!$A$8,db!$AX$4:$AX$8,db!$AZ$4:$AZ$8))</f>
        <v>0</v>
      </c>
      <c r="AI98" s="22">
        <f>(AH98/1000)*R98*(1-db!$AS$9)</f>
        <v>0</v>
      </c>
      <c r="AJ98" s="22">
        <f>(AH98/1000)*R98*(db!$AS$9)</f>
        <v>0</v>
      </c>
      <c r="AK98" s="23">
        <f>IF(B98=0,0,LOOKUP(db!$A$8,db!$AX$4:$AX$8,db!$BA$4:$BA$8))</f>
        <v>0</v>
      </c>
      <c r="AL98" s="20">
        <f>ROUND((AK98/(100))*T98*(1-db!$AS$9),0)</f>
        <v>0</v>
      </c>
      <c r="AM98" s="20">
        <f>ROUND((AK98/(100))*T98*(db!$AS$9),0)</f>
        <v>0</v>
      </c>
      <c r="AN98" s="21">
        <f>IF(db!$D$8="Yes",AH98,0)</f>
        <v>0</v>
      </c>
      <c r="AO98" s="22">
        <f>(AN98*V98)/1000*(1-db!$AS$9)</f>
        <v>0</v>
      </c>
      <c r="AP98" s="22">
        <f>(AN98*V98)/1000*(db!$AS$9)</f>
        <v>0</v>
      </c>
      <c r="AQ98" s="23">
        <f>IF(db!$D$10="Yes",AH98,0)</f>
        <v>0</v>
      </c>
      <c r="AR98" s="20">
        <f>(AQ98*W98/1000)*(1-db!$AS$9)</f>
        <v>0</v>
      </c>
      <c r="AS98" s="20">
        <f>(AQ98*W98/1000)*(db!$AS$9)</f>
        <v>0</v>
      </c>
      <c r="AT98" s="22">
        <f>IF(B98=0,0,IF(C98&gt;60,0,LOOKUP(LOOKUP(C98,RiskLoading!A$3:A$109,RiskLoading!DG$3:DG$109),db!$BC$3:$BC$63,db!$BD$3:$BD$63)))</f>
        <v>0</v>
      </c>
      <c r="AU98" s="22">
        <f>AV98*db!$AS$10</f>
        <v>0</v>
      </c>
      <c r="AV98" s="22">
        <f t="shared" ref="AV98:AV107" si="45">(AT98/1000000)*Y98</f>
        <v>0</v>
      </c>
      <c r="AW98" s="22">
        <f>(AT98/1000000)*Y98*(1-db!$AS$10)</f>
        <v>0</v>
      </c>
      <c r="AX98" s="20">
        <f>IF(B98=0,0,IF(C98&gt;60,0,LOOKUP(LOOKUP(C98,RiskLoading!A$3:A$109,RiskLoading!DG$3:DG$109),db!$BC$3:$BC$63,db!$BE$3:$BE$63)))</f>
        <v>0</v>
      </c>
      <c r="AY98" s="20">
        <f>(AX98/1000000)*AA98*(1-db!$AS$11)</f>
        <v>0</v>
      </c>
      <c r="AZ98" s="20">
        <f>(AX98/1000000)*AA98*(db!$AS$11)</f>
        <v>0</v>
      </c>
      <c r="BA98" s="19">
        <f>IF(Table13[Year]=0,0,LOOKUP(Table13[Age],RiskLoading!A$3:A$109,RiskLoading!DT$3:DT$109))</f>
        <v>0</v>
      </c>
      <c r="BB98" s="20">
        <f>Table13[[#This Row],[RiskLoading
Rate]]*Table13[[#This Row],[Death Capital (2)]]</f>
        <v>0</v>
      </c>
      <c r="BC98" s="36"/>
      <c r="BD98" s="37">
        <f t="shared" ref="BD98:BD107" si="46">AD98</f>
        <v>0</v>
      </c>
      <c r="BE98" s="35">
        <f t="shared" ref="BE98:BE107" si="47">(AR98+AO98+AL98+AI98+AF98)</f>
        <v>0</v>
      </c>
      <c r="BF98" s="35">
        <f t="shared" ref="BF98:BF107" si="48">AG98+AJ98+AM98+AP98+AS98</f>
        <v>0</v>
      </c>
      <c r="BG98" s="37">
        <f t="shared" ref="BG98:BG107" si="49">(AY98+AW98)</f>
        <v>0</v>
      </c>
      <c r="BH98" s="37">
        <f t="shared" ref="BH98:BH107" si="50">AU98+AZ98</f>
        <v>0</v>
      </c>
      <c r="BI98" s="35">
        <f t="shared" si="38"/>
        <v>0</v>
      </c>
      <c r="BJ98" s="35">
        <f t="shared" si="39"/>
        <v>0</v>
      </c>
      <c r="BK98" s="37">
        <v>0</v>
      </c>
      <c r="BL98" s="37">
        <v>0</v>
      </c>
      <c r="BM98" s="35"/>
      <c r="BN98" s="37">
        <f>0</f>
        <v>0</v>
      </c>
      <c r="BO98" s="37"/>
      <c r="BP98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98" s="33"/>
      <c r="BR98" s="39">
        <f>Table13[[#This Row],[Initial Reserve]]-Table13[[#This Row],[All Deductions]]</f>
        <v>0</v>
      </c>
      <c r="BS98" s="39">
        <v>0</v>
      </c>
      <c r="BT98" s="39">
        <f>IF(B98=0,0,BU97-Table13[[#This Row],[All Deductions]])</f>
        <v>0</v>
      </c>
      <c r="BU98" s="40">
        <f>ROUND(IF(B98=0,0,((BR98+BU97)*(1+db!U100))),0)</f>
        <v>0</v>
      </c>
      <c r="BV98" s="40">
        <f t="shared" si="43"/>
        <v>0</v>
      </c>
      <c r="BW98" s="15">
        <f t="shared" si="40"/>
        <v>97</v>
      </c>
      <c r="BX98" s="39">
        <f>IF(B98=0,0,((BR98)*(1+db!AH100))+((BX97)*(1+db!AD100)))</f>
        <v>0</v>
      </c>
      <c r="BY98" s="39">
        <f>IF(B98=0,0,((BR98)*(1+db!AH100))+((BY97)*(1+db!AD100)))</f>
        <v>0</v>
      </c>
      <c r="BZ98" s="40">
        <f>IF(B98=0,0,((BR98)*(1+db!AO100))+((BZ97)*(1+db!AK100)))</f>
        <v>0</v>
      </c>
      <c r="CA98" s="40">
        <f>BZ98-(SUM(BM$7:$BM99))</f>
        <v>0</v>
      </c>
      <c r="CB98" s="26"/>
    </row>
    <row r="99" spans="1:80">
      <c r="A99" s="16">
        <f t="shared" si="41"/>
        <v>98</v>
      </c>
      <c r="B99" s="16">
        <f>IF(B98=0,0,IF(db!$E$5&lt;B98+1,0,B98+1))</f>
        <v>0</v>
      </c>
      <c r="C99" s="15">
        <f t="shared" si="42"/>
        <v>0</v>
      </c>
      <c r="D99" s="312">
        <f>LOOKUP(Table13[[#This Row],[Age]],RiskLoading!A$3:A$109,RiskLoading!DG$3:DG$109)</f>
        <v>55</v>
      </c>
      <c r="E99" s="29">
        <f t="shared" si="34"/>
        <v>0</v>
      </c>
      <c r="F99" s="29">
        <f t="shared" si="35"/>
        <v>0</v>
      </c>
      <c r="G99" s="29">
        <f t="shared" si="26"/>
        <v>0</v>
      </c>
      <c r="H99" s="29">
        <v>0</v>
      </c>
      <c r="I99" s="29">
        <f>IF(B99=0,0,SUM($H$2:H99))</f>
        <v>0</v>
      </c>
      <c r="J99" s="17">
        <f t="shared" si="36"/>
        <v>0</v>
      </c>
      <c r="K99" s="17">
        <f>IF(Table13[[#This Row],[Year]]=0,0,IF($C$2&lt;=50,LOOKUP(Table13[[#This Row],[Age]],db!BG100:BG206,db!BH100:BH206),LOOKUP(Table13[[#This Row],[Age]],db!BJ100:BJ206,db!BK100:BK206)))</f>
        <v>0</v>
      </c>
      <c r="L99" s="17">
        <f>MIN(IF(B99=0,0,db!$E$4*((1+db!$B$4)^(B99-1))),Table13[[#This Row],[Max Sum Insured For Death]])</f>
        <v>0</v>
      </c>
      <c r="M99" s="17">
        <f>ROUND(IF(L99&lt;=db!$L$7,L99,db!$L$7),0)</f>
        <v>0</v>
      </c>
      <c r="N99" s="29">
        <f t="shared" si="37"/>
        <v>0</v>
      </c>
      <c r="O99" s="29">
        <f>IF(B99=0,0,IF(db!$D$6="Yes",(db!$B$6)*M99,0))</f>
        <v>0</v>
      </c>
      <c r="P99" s="29">
        <f>MIN(IF(O99&lt;=db!$L$2,O99,db!$L$2),MAX_ACC_CAPITAL)</f>
        <v>0</v>
      </c>
      <c r="Q99" s="17">
        <f>IF(B99=0,0,IF(db!$D$7="Yes",(db!$B$7)*M99,0))</f>
        <v>0</v>
      </c>
      <c r="R99" s="42">
        <f>IF(C99&gt;69,0,IF(C99=0,0,IF(Q99&lt;=db!$L$3,Q99,db!$L$3)))</f>
        <v>0</v>
      </c>
      <c r="S99" s="29">
        <f>IF(B99=0,0,IF(db!$D$9="Yes",(db!$B$9)*M99,0))</f>
        <v>0</v>
      </c>
      <c r="T99" s="29">
        <f>ROUND(IF(C99&gt;69,0,IF(C99=0,0,IF(S99&lt;=db!$L$4,S99,db!$L$4))),0)</f>
        <v>0</v>
      </c>
      <c r="U99" s="38">
        <v>0</v>
      </c>
      <c r="V99" s="17">
        <v>0</v>
      </c>
      <c r="W99" s="29">
        <v>0</v>
      </c>
      <c r="X99" s="17">
        <f>IF(B99=0,0,IF(db!$D$11="Yes",(db!$B$11)*M99,0))</f>
        <v>0</v>
      </c>
      <c r="Y99" s="42">
        <f>ROUND(IF(C99&gt;59,0,IF(C99=0,0,IF(X99&lt;=db!$L$5,X99,db!$L$5))),0)</f>
        <v>0</v>
      </c>
      <c r="Z99" s="29">
        <f>IF(B99=0,0,IF(db!$D$12="Yes",(db!$B$12)*M99,0))</f>
        <v>0</v>
      </c>
      <c r="AA99" s="29">
        <f>ROUND(IF(C99&gt;59,0,IF(C99=0,0,IF(Z99&lt;=db!$L$6,Z99,db!$L$6))),0)</f>
        <v>0</v>
      </c>
      <c r="AB99" s="32"/>
      <c r="AC99" s="18">
        <f>IF(B99=0,0,IF(C99&lt;(db!$E$2+5),LOOKUP(C99,'Mortality Table'!$A$2:$A$108,'Mortality Table'!$P$2:$P$108),IF((C99&gt;=db!$E$2+10),LOOKUP(C99,'Mortality Table'!$A$2:$A$108,'Mortality Table'!$R$2:$R$108),LOOKUP(C99,'Mortality Table'!$A$2:$A$108,'Mortality Table'!$Q$2:$Q$108))))</f>
        <v>0</v>
      </c>
      <c r="AD99" s="22">
        <f t="shared" si="44"/>
        <v>0</v>
      </c>
      <c r="AE99" s="19">
        <f>IF(B99=0,0,LOOKUP(db!$A$8,db!$AX$4:$AX$8,db!$AY$4:$AY$8))</f>
        <v>0</v>
      </c>
      <c r="AF99" s="20">
        <f>ROUND((AE99/1000)*P99 * (1-db!$AS$9),0)</f>
        <v>0</v>
      </c>
      <c r="AG99" s="20">
        <f>(AE99/1000)*P99 * db!$AS$9</f>
        <v>0</v>
      </c>
      <c r="AH99" s="21">
        <f>IF(B99=0,0,LOOKUP(db!$A$8,db!$AX$4:$AX$8,db!$AZ$4:$AZ$8))</f>
        <v>0</v>
      </c>
      <c r="AI99" s="22">
        <f>(AH99/1000)*R99*(1-db!$AS$9)</f>
        <v>0</v>
      </c>
      <c r="AJ99" s="22">
        <f>(AH99/1000)*R99*(db!$AS$9)</f>
        <v>0</v>
      </c>
      <c r="AK99" s="23">
        <f>IF(B99=0,0,LOOKUP(db!$A$8,db!$AX$4:$AX$8,db!$BA$4:$BA$8))</f>
        <v>0</v>
      </c>
      <c r="AL99" s="20">
        <f>ROUND((AK99/(100))*T99*(1-db!$AS$9),0)</f>
        <v>0</v>
      </c>
      <c r="AM99" s="20">
        <f>ROUND((AK99/(100))*T99*(db!$AS$9),0)</f>
        <v>0</v>
      </c>
      <c r="AN99" s="21">
        <f>IF(db!$D$8="Yes",AH99,0)</f>
        <v>0</v>
      </c>
      <c r="AO99" s="22">
        <f>(AN99*V99)/1000*(1-db!$AS$9)</f>
        <v>0</v>
      </c>
      <c r="AP99" s="22">
        <f>(AN99*V99)/1000*(db!$AS$9)</f>
        <v>0</v>
      </c>
      <c r="AQ99" s="23">
        <f>IF(db!$D$10="Yes",AH99,0)</f>
        <v>0</v>
      </c>
      <c r="AR99" s="20">
        <f>(AQ99*W99/1000)*(1-db!$AS$9)</f>
        <v>0</v>
      </c>
      <c r="AS99" s="20">
        <f>(AQ99*W99/1000)*(db!$AS$9)</f>
        <v>0</v>
      </c>
      <c r="AT99" s="22">
        <f>IF(B99=0,0,IF(C99&gt;60,0,LOOKUP(LOOKUP(C99,RiskLoading!A$3:A$109,RiskLoading!DG$3:DG$109),db!$BC$3:$BC$63,db!$BD$3:$BD$63)))</f>
        <v>0</v>
      </c>
      <c r="AU99" s="22">
        <f>AV99*db!$AS$10</f>
        <v>0</v>
      </c>
      <c r="AV99" s="22">
        <f t="shared" si="45"/>
        <v>0</v>
      </c>
      <c r="AW99" s="22">
        <f>(AT99/1000000)*Y99*(1-db!$AS$10)</f>
        <v>0</v>
      </c>
      <c r="AX99" s="20">
        <f>IF(B99=0,0,IF(C99&gt;60,0,LOOKUP(LOOKUP(C99,RiskLoading!A$3:A$109,RiskLoading!DG$3:DG$109),db!$BC$3:$BC$63,db!$BE$3:$BE$63)))</f>
        <v>0</v>
      </c>
      <c r="AY99" s="20">
        <f>(AX99/1000000)*AA99*(1-db!$AS$11)</f>
        <v>0</v>
      </c>
      <c r="AZ99" s="20">
        <f>(AX99/1000000)*AA99*(db!$AS$11)</f>
        <v>0</v>
      </c>
      <c r="BA99" s="19">
        <f>IF(Table13[Year]=0,0,LOOKUP(Table13[Age],RiskLoading!A$3:A$109,RiskLoading!DT$3:DT$109))</f>
        <v>0</v>
      </c>
      <c r="BB99" s="20">
        <f>Table13[[#This Row],[RiskLoading
Rate]]*Table13[[#This Row],[Death Capital (2)]]</f>
        <v>0</v>
      </c>
      <c r="BC99" s="36"/>
      <c r="BD99" s="37">
        <f t="shared" si="46"/>
        <v>0</v>
      </c>
      <c r="BE99" s="35">
        <f t="shared" si="47"/>
        <v>0</v>
      </c>
      <c r="BF99" s="35">
        <f t="shared" si="48"/>
        <v>0</v>
      </c>
      <c r="BG99" s="37">
        <f t="shared" si="49"/>
        <v>0</v>
      </c>
      <c r="BH99" s="37">
        <f t="shared" si="50"/>
        <v>0</v>
      </c>
      <c r="BI99" s="35">
        <f t="shared" si="38"/>
        <v>0</v>
      </c>
      <c r="BJ99" s="35">
        <f t="shared" si="39"/>
        <v>0</v>
      </c>
      <c r="BK99" s="37">
        <v>0</v>
      </c>
      <c r="BL99" s="37">
        <v>0</v>
      </c>
      <c r="BM99" s="35"/>
      <c r="BN99" s="37">
        <f>0</f>
        <v>0</v>
      </c>
      <c r="BO99" s="37"/>
      <c r="BP99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99" s="33"/>
      <c r="BR99" s="39">
        <f>Table13[[#This Row],[Initial Reserve]]-Table13[[#This Row],[All Deductions]]</f>
        <v>0</v>
      </c>
      <c r="BS99" s="39">
        <v>0</v>
      </c>
      <c r="BT99" s="39">
        <f>IF(B99=0,0,BU98-Table13[[#This Row],[All Deductions]])</f>
        <v>0</v>
      </c>
      <c r="BU99" s="40">
        <f>ROUND(IF(B99=0,0,((BR99+BU98)*(1+db!U101))),0)</f>
        <v>0</v>
      </c>
      <c r="BV99" s="40">
        <f t="shared" si="43"/>
        <v>0</v>
      </c>
      <c r="BW99" s="15">
        <f t="shared" si="40"/>
        <v>98</v>
      </c>
      <c r="BX99" s="39">
        <f>IF(B99=0,0,((BR99)*(1+db!AH101))+((BX98)*(1+db!AD101)))</f>
        <v>0</v>
      </c>
      <c r="BY99" s="39">
        <f>IF(B99=0,0,((BR99)*(1+db!AH101))+((BY98)*(1+db!AD101)))</f>
        <v>0</v>
      </c>
      <c r="BZ99" s="40">
        <f>IF(B99=0,0,((BR99)*(1+db!AO101))+((BZ98)*(1+db!AK101)))</f>
        <v>0</v>
      </c>
      <c r="CA99" s="40">
        <f>BZ99-(SUM(BM$7:$BM100))</f>
        <v>0</v>
      </c>
      <c r="CB99" s="26"/>
    </row>
    <row r="100" spans="1:80">
      <c r="A100" s="16">
        <f t="shared" si="41"/>
        <v>99</v>
      </c>
      <c r="B100" s="16">
        <f>IF(B99=0,0,IF(db!$E$5&lt;B99+1,0,B99+1))</f>
        <v>0</v>
      </c>
      <c r="C100" s="15">
        <f t="shared" si="42"/>
        <v>0</v>
      </c>
      <c r="D100" s="312">
        <f>LOOKUP(Table13[[#This Row],[Age]],RiskLoading!A$3:A$109,RiskLoading!DG$3:DG$109)</f>
        <v>55</v>
      </c>
      <c r="E100" s="29">
        <f t="shared" si="34"/>
        <v>0</v>
      </c>
      <c r="F100" s="29">
        <f t="shared" si="35"/>
        <v>0</v>
      </c>
      <c r="G100" s="29">
        <f t="shared" si="26"/>
        <v>0</v>
      </c>
      <c r="H100" s="29">
        <v>0</v>
      </c>
      <c r="I100" s="29">
        <f>IF(B100=0,0,SUM($H$2:H100))</f>
        <v>0</v>
      </c>
      <c r="J100" s="17">
        <f t="shared" si="36"/>
        <v>0</v>
      </c>
      <c r="K100" s="17">
        <f>IF(Table13[[#This Row],[Year]]=0,0,IF($C$2&lt;=50,LOOKUP(Table13[[#This Row],[Age]],db!BG101:BG207,db!BH101:BH207),LOOKUP(Table13[[#This Row],[Age]],db!BJ101:BJ207,db!BK101:BK207)))</f>
        <v>0</v>
      </c>
      <c r="L100" s="17">
        <f>MIN(IF(B100=0,0,db!$E$4*((1+db!$B$4)^(B100-1))),Table13[[#This Row],[Max Sum Insured For Death]])</f>
        <v>0</v>
      </c>
      <c r="M100" s="17">
        <f>ROUND(IF(L100&lt;=db!$L$7,L100,db!$L$7),0)</f>
        <v>0</v>
      </c>
      <c r="N100" s="29">
        <f t="shared" si="37"/>
        <v>0</v>
      </c>
      <c r="O100" s="29">
        <f>IF(B100=0,0,IF(db!$D$6="Yes",(db!$B$6)*M100,0))</f>
        <v>0</v>
      </c>
      <c r="P100" s="29">
        <f>MIN(IF(O100&lt;=db!$L$2,O100,db!$L$2),MAX_ACC_CAPITAL)</f>
        <v>0</v>
      </c>
      <c r="Q100" s="17">
        <f>IF(B100=0,0,IF(db!$D$7="Yes",(db!$B$7)*M100,0))</f>
        <v>0</v>
      </c>
      <c r="R100" s="42">
        <f>IF(C100&gt;69,0,IF(C100=0,0,IF(Q100&lt;=db!$L$3,Q100,db!$L$3)))</f>
        <v>0</v>
      </c>
      <c r="S100" s="29">
        <f>IF(B100=0,0,IF(db!$D$9="Yes",(db!$B$9)*M100,0))</f>
        <v>0</v>
      </c>
      <c r="T100" s="29">
        <f>ROUND(IF(C100&gt;69,0,IF(C100=0,0,IF(S100&lt;=db!$L$4,S100,db!$L$4))),0)</f>
        <v>0</v>
      </c>
      <c r="U100" s="38">
        <v>0</v>
      </c>
      <c r="V100" s="17">
        <v>0</v>
      </c>
      <c r="W100" s="29">
        <v>0</v>
      </c>
      <c r="X100" s="17">
        <f>IF(B100=0,0,IF(db!$D$11="Yes",(db!$B$11)*M100,0))</f>
        <v>0</v>
      </c>
      <c r="Y100" s="42">
        <f>ROUND(IF(C100&gt;59,0,IF(C100=0,0,IF(X100&lt;=db!$L$5,X100,db!$L$5))),0)</f>
        <v>0</v>
      </c>
      <c r="Z100" s="29">
        <f>IF(B100=0,0,IF(db!$D$12="Yes",(db!$B$12)*M100,0))</f>
        <v>0</v>
      </c>
      <c r="AA100" s="29">
        <f>ROUND(IF(C100&gt;59,0,IF(C100=0,0,IF(Z100&lt;=db!$L$6,Z100,db!$L$6))),0)</f>
        <v>0</v>
      </c>
      <c r="AB100" s="32"/>
      <c r="AC100" s="18">
        <f>IF(B100=0,0,IF(C100&lt;(db!$E$2+5),LOOKUP(C100,'Mortality Table'!$A$2:$A$108,'Mortality Table'!$P$2:$P$108),IF((C100&gt;=db!$E$2+10),LOOKUP(C100,'Mortality Table'!$A$2:$A$108,'Mortality Table'!$R$2:$R$108),LOOKUP(C100,'Mortality Table'!$A$2:$A$108,'Mortality Table'!$Q$2:$Q$108))))</f>
        <v>0</v>
      </c>
      <c r="AD100" s="22">
        <f t="shared" si="44"/>
        <v>0</v>
      </c>
      <c r="AE100" s="19">
        <f>IF(B100=0,0,LOOKUP(db!$A$8,db!$AX$4:$AX$8,db!$AY$4:$AY$8))</f>
        <v>0</v>
      </c>
      <c r="AF100" s="20">
        <f>ROUND((AE100/1000)*P100 * (1-db!$AS$9),0)</f>
        <v>0</v>
      </c>
      <c r="AG100" s="20">
        <f>(AE100/1000)*P100 * db!$AS$9</f>
        <v>0</v>
      </c>
      <c r="AH100" s="21">
        <f>IF(B100=0,0,LOOKUP(db!$A$8,db!$AX$4:$AX$8,db!$AZ$4:$AZ$8))</f>
        <v>0</v>
      </c>
      <c r="AI100" s="22">
        <f>(AH100/1000)*R100*(1-db!$AS$9)</f>
        <v>0</v>
      </c>
      <c r="AJ100" s="22">
        <f>(AH100/1000)*R100*(db!$AS$9)</f>
        <v>0</v>
      </c>
      <c r="AK100" s="23">
        <f>IF(B100=0,0,LOOKUP(db!$A$8,db!$AX$4:$AX$8,db!$BA$4:$BA$8))</f>
        <v>0</v>
      </c>
      <c r="AL100" s="20">
        <f>ROUND((AK100/(100))*T100*(1-db!$AS$9),0)</f>
        <v>0</v>
      </c>
      <c r="AM100" s="20">
        <f>ROUND((AK100/(100))*T100*(db!$AS$9),0)</f>
        <v>0</v>
      </c>
      <c r="AN100" s="21">
        <f>IF(db!$D$8="Yes",AH100,0)</f>
        <v>0</v>
      </c>
      <c r="AO100" s="22">
        <f>(AN100*V100)/1000*(1-db!$AS$9)</f>
        <v>0</v>
      </c>
      <c r="AP100" s="22">
        <f>(AN100*V100)/1000*(db!$AS$9)</f>
        <v>0</v>
      </c>
      <c r="AQ100" s="23">
        <f>IF(db!$D$10="Yes",AH100,0)</f>
        <v>0</v>
      </c>
      <c r="AR100" s="20">
        <f>(AQ100*W100/1000)*(1-db!$AS$9)</f>
        <v>0</v>
      </c>
      <c r="AS100" s="20">
        <f>(AQ100*W100/1000)*(db!$AS$9)</f>
        <v>0</v>
      </c>
      <c r="AT100" s="22">
        <f>IF(B100=0,0,IF(C100&gt;60,0,LOOKUP(LOOKUP(C100,RiskLoading!A$3:A$109,RiskLoading!DG$3:DG$109),db!$BC$3:$BC$63,db!$BD$3:$BD$63)))</f>
        <v>0</v>
      </c>
      <c r="AU100" s="22">
        <f>AV100*db!$AS$10</f>
        <v>0</v>
      </c>
      <c r="AV100" s="22">
        <f t="shared" si="45"/>
        <v>0</v>
      </c>
      <c r="AW100" s="22">
        <f>(AT100/1000000)*Y100*(1-db!$AS$10)</f>
        <v>0</v>
      </c>
      <c r="AX100" s="20">
        <f>IF(B100=0,0,IF(C100&gt;60,0,LOOKUP(LOOKUP(C100,RiskLoading!A$3:A$109,RiskLoading!DG$3:DG$109),db!$BC$3:$BC$63,db!$BE$3:$BE$63)))</f>
        <v>0</v>
      </c>
      <c r="AY100" s="20">
        <f>(AX100/1000000)*AA100*(1-db!$AS$11)</f>
        <v>0</v>
      </c>
      <c r="AZ100" s="20">
        <f>(AX100/1000000)*AA100*(db!$AS$11)</f>
        <v>0</v>
      </c>
      <c r="BA100" s="19">
        <f>IF(Table13[Year]=0,0,LOOKUP(Table13[Age],RiskLoading!A$3:A$109,RiskLoading!DT$3:DT$109))</f>
        <v>0</v>
      </c>
      <c r="BB100" s="20">
        <f>Table13[[#This Row],[RiskLoading
Rate]]*Table13[[#This Row],[Death Capital (2)]]</f>
        <v>0</v>
      </c>
      <c r="BC100" s="36"/>
      <c r="BD100" s="37">
        <f t="shared" si="46"/>
        <v>0</v>
      </c>
      <c r="BE100" s="35">
        <f t="shared" si="47"/>
        <v>0</v>
      </c>
      <c r="BF100" s="35">
        <f t="shared" si="48"/>
        <v>0</v>
      </c>
      <c r="BG100" s="37">
        <f t="shared" si="49"/>
        <v>0</v>
      </c>
      <c r="BH100" s="37">
        <f t="shared" si="50"/>
        <v>0</v>
      </c>
      <c r="BI100" s="35">
        <f t="shared" si="38"/>
        <v>0</v>
      </c>
      <c r="BJ100" s="35">
        <f t="shared" si="39"/>
        <v>0</v>
      </c>
      <c r="BK100" s="37">
        <v>0</v>
      </c>
      <c r="BL100" s="37">
        <v>0</v>
      </c>
      <c r="BM100" s="35"/>
      <c r="BN100" s="37">
        <f>0</f>
        <v>0</v>
      </c>
      <c r="BO100" s="37"/>
      <c r="BP100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100" s="33"/>
      <c r="BR100" s="39">
        <f>Table13[[#This Row],[Initial Reserve]]-Table13[[#This Row],[All Deductions]]</f>
        <v>0</v>
      </c>
      <c r="BS100" s="39">
        <v>0</v>
      </c>
      <c r="BT100" s="39">
        <f>IF(B100=0,0,BU99-Table13[[#This Row],[All Deductions]])</f>
        <v>0</v>
      </c>
      <c r="BU100" s="40">
        <f>ROUND(IF(B100=0,0,((BR100+BU99)*(1+db!U102))),0)</f>
        <v>0</v>
      </c>
      <c r="BV100" s="40">
        <f t="shared" si="43"/>
        <v>0</v>
      </c>
      <c r="BW100" s="15">
        <f t="shared" si="40"/>
        <v>99</v>
      </c>
      <c r="BX100" s="39">
        <f>IF(B100=0,0,((BR100)*(1+db!AH102))+((BX99)*(1+db!AD102)))</f>
        <v>0</v>
      </c>
      <c r="BY100" s="39">
        <f>IF(B100=0,0,((BR100)*(1+db!AH102))+((BY99)*(1+db!AD102)))</f>
        <v>0</v>
      </c>
      <c r="BZ100" s="40">
        <f>IF(B100=0,0,((BR100)*(1+db!AO102))+((BZ99)*(1+db!AK102)))</f>
        <v>0</v>
      </c>
      <c r="CA100" s="40">
        <f>BZ100-(SUM(BM$7:$BM101))</f>
        <v>0</v>
      </c>
      <c r="CB100" s="26"/>
    </row>
    <row r="101" spans="1:80">
      <c r="A101" s="16">
        <f t="shared" si="41"/>
        <v>100</v>
      </c>
      <c r="B101" s="16">
        <f>IF(B100=0,0,IF(db!$E$5&lt;B100+1,0,B100+1))</f>
        <v>0</v>
      </c>
      <c r="C101" s="15">
        <f t="shared" si="42"/>
        <v>0</v>
      </c>
      <c r="D101" s="312">
        <f>LOOKUP(Table13[[#This Row],[Age]],RiskLoading!A$3:A$109,RiskLoading!DG$3:DG$109)</f>
        <v>55</v>
      </c>
      <c r="E101" s="29">
        <f t="shared" si="34"/>
        <v>0</v>
      </c>
      <c r="F101" s="29">
        <f t="shared" si="35"/>
        <v>0</v>
      </c>
      <c r="G101" s="29">
        <f t="shared" si="26"/>
        <v>0</v>
      </c>
      <c r="H101" s="29">
        <v>0</v>
      </c>
      <c r="I101" s="29">
        <f>IF(B101=0,0,SUM($H$2:H101))</f>
        <v>0</v>
      </c>
      <c r="J101" s="17">
        <f t="shared" si="36"/>
        <v>0</v>
      </c>
      <c r="K101" s="17">
        <f>IF(Table13[[#This Row],[Year]]=0,0,IF($C$2&lt;=50,LOOKUP(Table13[[#This Row],[Age]],db!BG102:BG208,db!BH102:BH208),LOOKUP(Table13[[#This Row],[Age]],db!BJ102:BJ208,db!BK102:BK208)))</f>
        <v>0</v>
      </c>
      <c r="L101" s="17">
        <f>MIN(IF(B101=0,0,db!$E$4*((1+db!$B$4)^(B101-1))),Table13[[#This Row],[Max Sum Insured For Death]])</f>
        <v>0</v>
      </c>
      <c r="M101" s="17">
        <f>ROUND(IF(L101&lt;=db!$L$7,L101,db!$L$7),0)</f>
        <v>0</v>
      </c>
      <c r="N101" s="29">
        <f t="shared" si="37"/>
        <v>0</v>
      </c>
      <c r="O101" s="29">
        <f>IF(B101=0,0,IF(db!$D$6="Yes",(db!$B$6)*M101,0))</f>
        <v>0</v>
      </c>
      <c r="P101" s="29">
        <f>MIN(IF(O101&lt;=db!$L$2,O101,db!$L$2),MAX_ACC_CAPITAL)</f>
        <v>0</v>
      </c>
      <c r="Q101" s="17">
        <f>IF(B101=0,0,IF(db!$D$7="Yes",(db!$B$7)*M101,0))</f>
        <v>0</v>
      </c>
      <c r="R101" s="42">
        <f>IF(C101&gt;69,0,IF(C101=0,0,IF(Q101&lt;=db!$L$3,Q101,db!$L$3)))</f>
        <v>0</v>
      </c>
      <c r="S101" s="29">
        <f>IF(B101=0,0,IF(db!$D$9="Yes",(db!$B$9)*M101,0))</f>
        <v>0</v>
      </c>
      <c r="T101" s="29">
        <f>ROUND(IF(C101&gt;69,0,IF(C101=0,0,IF(S101&lt;=db!$L$4,S101,db!$L$4))),0)</f>
        <v>0</v>
      </c>
      <c r="U101" s="38">
        <v>0</v>
      </c>
      <c r="V101" s="17">
        <v>0</v>
      </c>
      <c r="W101" s="29">
        <v>0</v>
      </c>
      <c r="X101" s="17">
        <f>IF(B101=0,0,IF(db!$D$11="Yes",(db!$B$11)*M101,0))</f>
        <v>0</v>
      </c>
      <c r="Y101" s="42">
        <f>ROUND(IF(C101&gt;59,0,IF(C101=0,0,IF(X101&lt;=db!$L$5,X101,db!$L$5))),0)</f>
        <v>0</v>
      </c>
      <c r="Z101" s="29">
        <f>IF(B101=0,0,IF(db!$D$12="Yes",(db!$B$12)*M101,0))</f>
        <v>0</v>
      </c>
      <c r="AA101" s="29">
        <f>ROUND(IF(C101&gt;59,0,IF(C101=0,0,IF(Z101&lt;=db!$L$6,Z101,db!$L$6))),0)</f>
        <v>0</v>
      </c>
      <c r="AB101" s="32"/>
      <c r="AC101" s="18">
        <f>IF(B101=0,0,IF(C101&lt;(db!$E$2+5),LOOKUP(C101,'Mortality Table'!$A$2:$A$108,'Mortality Table'!$P$2:$P$108),IF((C101&gt;=db!$E$2+10),LOOKUP(C101,'Mortality Table'!$A$2:$A$108,'Mortality Table'!$R$2:$R$108),LOOKUP(C101,'Mortality Table'!$A$2:$A$108,'Mortality Table'!$Q$2:$Q$108))))</f>
        <v>0</v>
      </c>
      <c r="AD101" s="22">
        <f t="shared" si="44"/>
        <v>0</v>
      </c>
      <c r="AE101" s="19">
        <f>IF(B101=0,0,LOOKUP(db!$A$8,db!$AX$4:$AX$8,db!$AY$4:$AY$8))</f>
        <v>0</v>
      </c>
      <c r="AF101" s="20">
        <f>ROUND((AE101/1000)*P101 * (1-db!$AS$9),0)</f>
        <v>0</v>
      </c>
      <c r="AG101" s="20">
        <f>(AE101/1000)*P101 * db!$AS$9</f>
        <v>0</v>
      </c>
      <c r="AH101" s="21">
        <f>IF(B101=0,0,LOOKUP(db!$A$8,db!$AX$4:$AX$8,db!$AZ$4:$AZ$8))</f>
        <v>0</v>
      </c>
      <c r="AI101" s="22">
        <f>(AH101/1000)*R101*(1-db!$AS$9)</f>
        <v>0</v>
      </c>
      <c r="AJ101" s="22">
        <f>(AH101/1000)*R101*(db!$AS$9)</f>
        <v>0</v>
      </c>
      <c r="AK101" s="23">
        <f>IF(B101=0,0,LOOKUP(db!$A$8,db!$AX$4:$AX$8,db!$BA$4:$BA$8))</f>
        <v>0</v>
      </c>
      <c r="AL101" s="20">
        <f>ROUND((AK101/(100))*T101*(1-db!$AS$9),0)</f>
        <v>0</v>
      </c>
      <c r="AM101" s="20">
        <f>ROUND((AK101/(100))*T101*(db!$AS$9),0)</f>
        <v>0</v>
      </c>
      <c r="AN101" s="21">
        <f>IF(db!$D$8="Yes",AH101,0)</f>
        <v>0</v>
      </c>
      <c r="AO101" s="22">
        <f>(AN101*V101)/1000*(1-db!$AS$9)</f>
        <v>0</v>
      </c>
      <c r="AP101" s="22">
        <f>(AN101*V101)/1000*(db!$AS$9)</f>
        <v>0</v>
      </c>
      <c r="AQ101" s="23">
        <f>IF(db!$D$10="Yes",AH101,0)</f>
        <v>0</v>
      </c>
      <c r="AR101" s="20">
        <f>(AQ101*W101/1000)*(1-db!$AS$9)</f>
        <v>0</v>
      </c>
      <c r="AS101" s="20">
        <f>(AQ101*W101/1000)*(db!$AS$9)</f>
        <v>0</v>
      </c>
      <c r="AT101" s="22">
        <f>IF(B101=0,0,IF(C101&gt;60,0,LOOKUP(LOOKUP(C101,RiskLoading!A$3:A$109,RiskLoading!DG$3:DG$109),db!$BC$3:$BC$63,db!$BD$3:$BD$63)))</f>
        <v>0</v>
      </c>
      <c r="AU101" s="22">
        <f>AV101*db!$AS$10</f>
        <v>0</v>
      </c>
      <c r="AV101" s="22">
        <f t="shared" si="45"/>
        <v>0</v>
      </c>
      <c r="AW101" s="22">
        <f>(AT101/1000000)*Y101*(1-db!$AS$10)</f>
        <v>0</v>
      </c>
      <c r="AX101" s="20">
        <f>IF(B101=0,0,IF(C101&gt;60,0,LOOKUP(LOOKUP(C101,RiskLoading!A$3:A$109,RiskLoading!DG$3:DG$109),db!$BC$3:$BC$63,db!$BE$3:$BE$63)))</f>
        <v>0</v>
      </c>
      <c r="AY101" s="20">
        <f>(AX101/1000000)*AA101*(1-db!$AS$11)</f>
        <v>0</v>
      </c>
      <c r="AZ101" s="20">
        <f>(AX101/1000000)*AA101*(db!$AS$11)</f>
        <v>0</v>
      </c>
      <c r="BA101" s="19">
        <f>IF(Table13[Year]=0,0,LOOKUP(Table13[Age],RiskLoading!A$3:A$109,RiskLoading!DT$3:DT$109))</f>
        <v>0</v>
      </c>
      <c r="BB101" s="20">
        <f>Table13[[#This Row],[RiskLoading
Rate]]*Table13[[#This Row],[Death Capital (2)]]</f>
        <v>0</v>
      </c>
      <c r="BC101" s="36"/>
      <c r="BD101" s="37">
        <f t="shared" si="46"/>
        <v>0</v>
      </c>
      <c r="BE101" s="35">
        <f t="shared" si="47"/>
        <v>0</v>
      </c>
      <c r="BF101" s="35">
        <f t="shared" si="48"/>
        <v>0</v>
      </c>
      <c r="BG101" s="37">
        <f t="shared" si="49"/>
        <v>0</v>
      </c>
      <c r="BH101" s="37">
        <f t="shared" si="50"/>
        <v>0</v>
      </c>
      <c r="BI101" s="35">
        <f t="shared" si="38"/>
        <v>0</v>
      </c>
      <c r="BJ101" s="35">
        <f t="shared" si="39"/>
        <v>0</v>
      </c>
      <c r="BK101" s="37">
        <v>0</v>
      </c>
      <c r="BL101" s="37">
        <v>0</v>
      </c>
      <c r="BM101" s="35"/>
      <c r="BN101" s="37">
        <f>0</f>
        <v>0</v>
      </c>
      <c r="BO101" s="37"/>
      <c r="BP101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101" s="33"/>
      <c r="BR101" s="39">
        <f>Table13[[#This Row],[Initial Reserve]]-Table13[[#This Row],[All Deductions]]</f>
        <v>0</v>
      </c>
      <c r="BS101" s="39">
        <v>0</v>
      </c>
      <c r="BT101" s="39">
        <f>IF(B101=0,0,BU100-Table13[[#This Row],[All Deductions]])</f>
        <v>0</v>
      </c>
      <c r="BU101" s="40">
        <f>ROUND(IF(B101=0,0,((BR101+BU100)*(1+db!U103))),0)</f>
        <v>0</v>
      </c>
      <c r="BV101" s="40">
        <f t="shared" si="43"/>
        <v>0</v>
      </c>
      <c r="BW101" s="15">
        <f t="shared" si="40"/>
        <v>100</v>
      </c>
      <c r="BX101" s="39">
        <f>IF(B101=0,0,((BR101)*(1+db!AH103))+((BX100)*(1+db!AD103)))</f>
        <v>0</v>
      </c>
      <c r="BY101" s="39">
        <f>IF(B101=0,0,((BR101)*(1+db!AH103))+((BY100)*(1+db!AD103)))</f>
        <v>0</v>
      </c>
      <c r="BZ101" s="40">
        <f>IF(B101=0,0,((BR101)*(1+db!AO103))+((BZ100)*(1+db!AK103)))</f>
        <v>0</v>
      </c>
      <c r="CA101" s="40">
        <f>BZ101-(SUM(BM$7:$BM102))</f>
        <v>0</v>
      </c>
      <c r="CB101" s="26"/>
    </row>
    <row r="102" spans="1:80">
      <c r="A102" s="16">
        <f t="shared" si="41"/>
        <v>101</v>
      </c>
      <c r="B102" s="16">
        <f>IF(B101=0,0,IF(db!$E$5&lt;B101+1,0,B101+1))</f>
        <v>0</v>
      </c>
      <c r="C102" s="15">
        <f t="shared" si="42"/>
        <v>0</v>
      </c>
      <c r="D102" s="312">
        <f>LOOKUP(Table13[[#This Row],[Age]],RiskLoading!A$3:A$109,RiskLoading!DG$3:DG$109)</f>
        <v>55</v>
      </c>
      <c r="E102" s="29">
        <f t="shared" si="34"/>
        <v>0</v>
      </c>
      <c r="F102" s="29">
        <f t="shared" si="35"/>
        <v>0</v>
      </c>
      <c r="G102" s="29">
        <f t="shared" si="26"/>
        <v>0</v>
      </c>
      <c r="H102" s="29">
        <v>0</v>
      </c>
      <c r="I102" s="29">
        <f>IF(B102=0,0,SUM($H$2:H102))</f>
        <v>0</v>
      </c>
      <c r="J102" s="17">
        <f t="shared" si="36"/>
        <v>0</v>
      </c>
      <c r="K102" s="17">
        <f>IF(Table13[[#This Row],[Year]]=0,0,IF($C$2&lt;=50,LOOKUP(Table13[[#This Row],[Age]],db!BG103:BG209,db!BH103:BH209),LOOKUP(Table13[[#This Row],[Age]],db!BJ103:BJ209,db!BK103:BK209)))</f>
        <v>0</v>
      </c>
      <c r="L102" s="17">
        <f>MIN(IF(B102=0,0,db!$E$4*((1+db!$B$4)^(B102-1))),Table13[[#This Row],[Max Sum Insured For Death]])</f>
        <v>0</v>
      </c>
      <c r="M102" s="17">
        <f>ROUND(IF(L102&lt;=db!$L$7,L102,db!$L$7),0)</f>
        <v>0</v>
      </c>
      <c r="N102" s="29">
        <f t="shared" si="37"/>
        <v>0</v>
      </c>
      <c r="O102" s="29">
        <f>IF(B102=0,0,IF(db!$D$6="Yes",(db!$B$6)*M102,0))</f>
        <v>0</v>
      </c>
      <c r="P102" s="29">
        <f>MIN(IF(O102&lt;=db!$L$2,O102,db!$L$2),MAX_ACC_CAPITAL)</f>
        <v>0</v>
      </c>
      <c r="Q102" s="17">
        <f>IF(B102=0,0,IF(db!$D$7="Yes",(db!$B$7)*M102,0))</f>
        <v>0</v>
      </c>
      <c r="R102" s="42">
        <f>IF(C102&gt;69,0,IF(C102=0,0,IF(Q102&lt;=db!$L$3,Q102,db!$L$3)))</f>
        <v>0</v>
      </c>
      <c r="S102" s="29">
        <f>IF(B102=0,0,IF(db!$D$9="Yes",(db!$B$9)*M102,0))</f>
        <v>0</v>
      </c>
      <c r="T102" s="29">
        <f>ROUND(IF(C102&gt;69,0,IF(C102=0,0,IF(S102&lt;=db!$L$4,S102,db!$L$4))),0)</f>
        <v>0</v>
      </c>
      <c r="U102" s="38">
        <v>0</v>
      </c>
      <c r="V102" s="17">
        <v>0</v>
      </c>
      <c r="W102" s="29">
        <v>0</v>
      </c>
      <c r="X102" s="17">
        <f>IF(B102=0,0,IF(db!$D$11="Yes",(db!$B$11)*M102,0))</f>
        <v>0</v>
      </c>
      <c r="Y102" s="42">
        <f>ROUND(IF(C102&gt;59,0,IF(C102=0,0,IF(X102&lt;=db!$L$5,X102,db!$L$5))),0)</f>
        <v>0</v>
      </c>
      <c r="Z102" s="29">
        <f>IF(B102=0,0,IF(db!$D$12="Yes",(db!$B$12)*M102,0))</f>
        <v>0</v>
      </c>
      <c r="AA102" s="29">
        <f>ROUND(IF(C102&gt;59,0,IF(C102=0,0,IF(Z102&lt;=db!$L$6,Z102,db!$L$6))),0)</f>
        <v>0</v>
      </c>
      <c r="AB102" s="32"/>
      <c r="AC102" s="18">
        <f>IF(B102=0,0,IF(C102&lt;(db!$E$2+5),LOOKUP(C102,'Mortality Table'!$A$2:$A$108,'Mortality Table'!$P$2:$P$108),IF((C102&gt;=db!$E$2+10),LOOKUP(C102,'Mortality Table'!$A$2:$A$108,'Mortality Table'!$R$2:$R$108),LOOKUP(C102,'Mortality Table'!$A$2:$A$108,'Mortality Table'!$Q$2:$Q$108))))</f>
        <v>0</v>
      </c>
      <c r="AD102" s="22">
        <f t="shared" si="44"/>
        <v>0</v>
      </c>
      <c r="AE102" s="19">
        <f>IF(B102=0,0,LOOKUP(db!$A$8,db!$AX$4:$AX$8,db!$AY$4:$AY$8))</f>
        <v>0</v>
      </c>
      <c r="AF102" s="20">
        <f>ROUND((AE102/1000)*P102 * (1-db!$AS$9),0)</f>
        <v>0</v>
      </c>
      <c r="AG102" s="20">
        <f>(AE102/1000)*P102 * db!$AS$9</f>
        <v>0</v>
      </c>
      <c r="AH102" s="21">
        <f>IF(B102=0,0,LOOKUP(db!$A$8,db!$AX$4:$AX$8,db!$AZ$4:$AZ$8))</f>
        <v>0</v>
      </c>
      <c r="AI102" s="22">
        <f>(AH102/1000)*R102*(1-db!$AS$9)</f>
        <v>0</v>
      </c>
      <c r="AJ102" s="22">
        <f>(AH102/1000)*R102*(db!$AS$9)</f>
        <v>0</v>
      </c>
      <c r="AK102" s="23">
        <f>IF(B102=0,0,LOOKUP(db!$A$8,db!$AX$4:$AX$8,db!$BA$4:$BA$8))</f>
        <v>0</v>
      </c>
      <c r="AL102" s="20">
        <f>ROUND((AK102/(100))*T102*(1-db!$AS$9),0)</f>
        <v>0</v>
      </c>
      <c r="AM102" s="20">
        <f>ROUND((AK102/(100))*T102*(db!$AS$9),0)</f>
        <v>0</v>
      </c>
      <c r="AN102" s="21">
        <f>IF(db!$D$8="Yes",AH102,0)</f>
        <v>0</v>
      </c>
      <c r="AO102" s="22">
        <f>(AN102*V102)/1000*(1-db!$AS$9)</f>
        <v>0</v>
      </c>
      <c r="AP102" s="22">
        <f>(AN102*V102)/1000*(db!$AS$9)</f>
        <v>0</v>
      </c>
      <c r="AQ102" s="23">
        <f>IF(db!$D$10="Yes",AH102,0)</f>
        <v>0</v>
      </c>
      <c r="AR102" s="20">
        <f>(AQ102*W102/1000)*(1-db!$AS$9)</f>
        <v>0</v>
      </c>
      <c r="AS102" s="20">
        <f>(AQ102*W102/1000)*(db!$AS$9)</f>
        <v>0</v>
      </c>
      <c r="AT102" s="22">
        <f>IF(B102=0,0,IF(C102&gt;60,0,LOOKUP(LOOKUP(C102,RiskLoading!A$3:A$109,RiskLoading!DG$3:DG$109),db!$BC$3:$BC$63,db!$BD$3:$BD$63)))</f>
        <v>0</v>
      </c>
      <c r="AU102" s="22">
        <f>AV102*db!$AS$10</f>
        <v>0</v>
      </c>
      <c r="AV102" s="22">
        <f t="shared" si="45"/>
        <v>0</v>
      </c>
      <c r="AW102" s="22">
        <f>(AT102/1000000)*Y102*(1-db!$AS$10)</f>
        <v>0</v>
      </c>
      <c r="AX102" s="20">
        <f>IF(B102=0,0,IF(C102&gt;60,0,LOOKUP(LOOKUP(C102,RiskLoading!A$3:A$109,RiskLoading!DG$3:DG$109),db!$BC$3:$BC$63,db!$BE$3:$BE$63)))</f>
        <v>0</v>
      </c>
      <c r="AY102" s="20">
        <f>(AX102/1000000)*AA102*(1-db!$AS$11)</f>
        <v>0</v>
      </c>
      <c r="AZ102" s="20">
        <f>(AX102/1000000)*AA102*(db!$AS$11)</f>
        <v>0</v>
      </c>
      <c r="BA102" s="19">
        <f>IF(Table13[Year]=0,0,LOOKUP(Table13[Age],RiskLoading!A$3:A$109,RiskLoading!DT$3:DT$109))</f>
        <v>0</v>
      </c>
      <c r="BB102" s="20">
        <f>Table13[[#This Row],[RiskLoading
Rate]]*Table13[[#This Row],[Death Capital (2)]]</f>
        <v>0</v>
      </c>
      <c r="BC102" s="36"/>
      <c r="BD102" s="37">
        <f t="shared" si="46"/>
        <v>0</v>
      </c>
      <c r="BE102" s="35">
        <f t="shared" si="47"/>
        <v>0</v>
      </c>
      <c r="BF102" s="35">
        <f t="shared" si="48"/>
        <v>0</v>
      </c>
      <c r="BG102" s="37">
        <f t="shared" si="49"/>
        <v>0</v>
      </c>
      <c r="BH102" s="37">
        <f t="shared" si="50"/>
        <v>0</v>
      </c>
      <c r="BI102" s="35">
        <f t="shared" si="38"/>
        <v>0</v>
      </c>
      <c r="BJ102" s="35">
        <f t="shared" si="39"/>
        <v>0</v>
      </c>
      <c r="BK102" s="37">
        <v>0</v>
      </c>
      <c r="BL102" s="37">
        <v>0</v>
      </c>
      <c r="BM102" s="35"/>
      <c r="BN102" s="37">
        <f>0</f>
        <v>0</v>
      </c>
      <c r="BO102" s="37"/>
      <c r="BP102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102" s="33"/>
      <c r="BR102" s="39">
        <f>Table13[[#This Row],[Initial Reserve]]-Table13[[#This Row],[All Deductions]]</f>
        <v>0</v>
      </c>
      <c r="BS102" s="39">
        <v>0</v>
      </c>
      <c r="BT102" s="39">
        <f>IF(B102=0,0,BU101-Table13[[#This Row],[All Deductions]])</f>
        <v>0</v>
      </c>
      <c r="BU102" s="40">
        <f>ROUND(IF(B102=0,0,((BR102+BU101)*(1+db!U104))),0)</f>
        <v>0</v>
      </c>
      <c r="BV102" s="40">
        <f t="shared" si="43"/>
        <v>0</v>
      </c>
      <c r="BW102" s="15">
        <f t="shared" si="40"/>
        <v>101</v>
      </c>
      <c r="BX102" s="39">
        <f>IF(B102=0,0,((BR102)*(1+db!AH104))+((BX101)*(1+db!AD104)))</f>
        <v>0</v>
      </c>
      <c r="BY102" s="39">
        <f>IF(B102=0,0,((BR102)*(1+db!AH104))+((BY101)*(1+db!AD104)))</f>
        <v>0</v>
      </c>
      <c r="BZ102" s="40">
        <f>IF(B102=0,0,((BR102)*(1+db!AO104))+((BZ101)*(1+db!AK104)))</f>
        <v>0</v>
      </c>
      <c r="CA102" s="40">
        <f>BZ102-(SUM(BM$7:$BM103))</f>
        <v>0</v>
      </c>
      <c r="CB102" s="26"/>
    </row>
    <row r="103" spans="1:80">
      <c r="A103" s="16">
        <f t="shared" si="41"/>
        <v>102</v>
      </c>
      <c r="B103" s="16">
        <f>IF(B102=0,0,IF(db!$E$5&lt;B102+1,0,B102+1))</f>
        <v>0</v>
      </c>
      <c r="C103" s="15">
        <f t="shared" si="42"/>
        <v>0</v>
      </c>
      <c r="D103" s="312">
        <f>LOOKUP(Table13[[#This Row],[Age]],RiskLoading!A$3:A$109,RiskLoading!DG$3:DG$109)</f>
        <v>55</v>
      </c>
      <c r="E103" s="29">
        <f t="shared" si="34"/>
        <v>0</v>
      </c>
      <c r="F103" s="29">
        <f t="shared" si="35"/>
        <v>0</v>
      </c>
      <c r="G103" s="29">
        <f t="shared" si="26"/>
        <v>0</v>
      </c>
      <c r="H103" s="29">
        <v>0</v>
      </c>
      <c r="I103" s="29">
        <f>IF(B103=0,0,SUM($H$2:H103))</f>
        <v>0</v>
      </c>
      <c r="J103" s="17">
        <f t="shared" si="36"/>
        <v>0</v>
      </c>
      <c r="K103" s="17">
        <f>IF(Table13[[#This Row],[Year]]=0,0,IF($C$2&lt;=50,LOOKUP(Table13[[#This Row],[Age]],db!BG104:BG210,db!BH104:BH210),LOOKUP(Table13[[#This Row],[Age]],db!BJ104:BJ210,db!BK104:BK210)))</f>
        <v>0</v>
      </c>
      <c r="L103" s="17">
        <f>MIN(IF(B103=0,0,db!$E$4*((1+db!$B$4)^(B103-1))),Table13[[#This Row],[Max Sum Insured For Death]])</f>
        <v>0</v>
      </c>
      <c r="M103" s="17">
        <f>ROUND(IF(L103&lt;=db!$L$7,L103,db!$L$7),0)</f>
        <v>0</v>
      </c>
      <c r="N103" s="29">
        <f t="shared" si="37"/>
        <v>0</v>
      </c>
      <c r="O103" s="29">
        <f>IF(B103=0,0,IF(db!$D$6="Yes",(db!$B$6)*M103,0))</f>
        <v>0</v>
      </c>
      <c r="P103" s="29">
        <f>MIN(IF(O103&lt;=db!$L$2,O103,db!$L$2),MAX_ACC_CAPITAL)</f>
        <v>0</v>
      </c>
      <c r="Q103" s="17">
        <f>IF(B103=0,0,IF(db!$D$7="Yes",(db!$B$7)*M103,0))</f>
        <v>0</v>
      </c>
      <c r="R103" s="42">
        <f>IF(C103&gt;69,0,IF(C103=0,0,IF(Q103&lt;=db!$L$3,Q103,db!$L$3)))</f>
        <v>0</v>
      </c>
      <c r="S103" s="29">
        <f>IF(B103=0,0,IF(db!$D$9="Yes",(db!$B$9)*M103,0))</f>
        <v>0</v>
      </c>
      <c r="T103" s="29">
        <f>ROUND(IF(C103&gt;69,0,IF(C103=0,0,IF(S103&lt;=db!$L$4,S103,db!$L$4))),0)</f>
        <v>0</v>
      </c>
      <c r="U103" s="38">
        <v>0</v>
      </c>
      <c r="V103" s="17">
        <v>0</v>
      </c>
      <c r="W103" s="29">
        <v>0</v>
      </c>
      <c r="X103" s="17">
        <f>IF(B103=0,0,IF(db!$D$11="Yes",(db!$B$11)*M103,0))</f>
        <v>0</v>
      </c>
      <c r="Y103" s="42">
        <f>ROUND(IF(C103&gt;59,0,IF(C103=0,0,IF(X103&lt;=db!$L$5,X103,db!$L$5))),0)</f>
        <v>0</v>
      </c>
      <c r="Z103" s="29">
        <f>IF(B103=0,0,IF(db!$D$12="Yes",(db!$B$12)*M103,0))</f>
        <v>0</v>
      </c>
      <c r="AA103" s="29">
        <f>ROUND(IF(C103&gt;59,0,IF(C103=0,0,IF(Z103&lt;=db!$L$6,Z103,db!$L$6))),0)</f>
        <v>0</v>
      </c>
      <c r="AB103" s="32"/>
      <c r="AC103" s="18">
        <f>IF(B103=0,0,IF(C103&lt;(db!$E$2+5),LOOKUP(C103,'Mortality Table'!$A$2:$A$108,'Mortality Table'!$P$2:$P$108),IF((C103&gt;=db!$E$2+10),LOOKUP(C103,'Mortality Table'!$A$2:$A$108,'Mortality Table'!$R$2:$R$108),LOOKUP(C103,'Mortality Table'!$A$2:$A$108,'Mortality Table'!$Q$2:$Q$108))))</f>
        <v>0</v>
      </c>
      <c r="AD103" s="22">
        <f t="shared" si="44"/>
        <v>0</v>
      </c>
      <c r="AE103" s="19">
        <f>IF(B103=0,0,LOOKUP(db!$A$8,db!$AX$4:$AX$8,db!$AY$4:$AY$8))</f>
        <v>0</v>
      </c>
      <c r="AF103" s="20">
        <f>ROUND((AE103/1000)*P103 * (1-db!$AS$9),0)</f>
        <v>0</v>
      </c>
      <c r="AG103" s="20">
        <f>(AE103/1000)*P103 * db!$AS$9</f>
        <v>0</v>
      </c>
      <c r="AH103" s="21">
        <f>IF(B103=0,0,LOOKUP(db!$A$8,db!$AX$4:$AX$8,db!$AZ$4:$AZ$8))</f>
        <v>0</v>
      </c>
      <c r="AI103" s="22">
        <f>(AH103/1000)*R103*(1-db!$AS$9)</f>
        <v>0</v>
      </c>
      <c r="AJ103" s="22">
        <f>(AH103/1000)*R103*(db!$AS$9)</f>
        <v>0</v>
      </c>
      <c r="AK103" s="23">
        <f>IF(B103=0,0,LOOKUP(db!$A$8,db!$AX$4:$AX$8,db!$BA$4:$BA$8))</f>
        <v>0</v>
      </c>
      <c r="AL103" s="20">
        <f>ROUND((AK103/(100))*T103*(1-db!$AS$9),0)</f>
        <v>0</v>
      </c>
      <c r="AM103" s="20">
        <f>ROUND((AK103/(100))*T103*(db!$AS$9),0)</f>
        <v>0</v>
      </c>
      <c r="AN103" s="21">
        <f>IF(db!$D$8="Yes",AH103,0)</f>
        <v>0</v>
      </c>
      <c r="AO103" s="22">
        <f>(AN103*V103)/1000*(1-db!$AS$9)</f>
        <v>0</v>
      </c>
      <c r="AP103" s="22">
        <f>(AN103*V103)/1000*(db!$AS$9)</f>
        <v>0</v>
      </c>
      <c r="AQ103" s="23">
        <f>IF(db!$D$10="Yes",AH103,0)</f>
        <v>0</v>
      </c>
      <c r="AR103" s="20">
        <f>(AQ103*W103/1000)*(1-db!$AS$9)</f>
        <v>0</v>
      </c>
      <c r="AS103" s="20">
        <f>(AQ103*W103/1000)*(db!$AS$9)</f>
        <v>0</v>
      </c>
      <c r="AT103" s="22">
        <f>IF(B103=0,0,IF(C103&gt;60,0,LOOKUP(LOOKUP(C103,RiskLoading!A$3:A$109,RiskLoading!DG$3:DG$109),db!$BC$3:$BC$63,db!$BD$3:$BD$63)))</f>
        <v>0</v>
      </c>
      <c r="AU103" s="22">
        <f>AV103*db!$AS$10</f>
        <v>0</v>
      </c>
      <c r="AV103" s="22">
        <f t="shared" si="45"/>
        <v>0</v>
      </c>
      <c r="AW103" s="22">
        <f>(AT103/1000000)*Y103*(1-db!$AS$10)</f>
        <v>0</v>
      </c>
      <c r="AX103" s="20">
        <f>IF(B103=0,0,IF(C103&gt;60,0,LOOKUP(LOOKUP(C103,RiskLoading!A$3:A$109,RiskLoading!DG$3:DG$109),db!$BC$3:$BC$63,db!$BE$3:$BE$63)))</f>
        <v>0</v>
      </c>
      <c r="AY103" s="20">
        <f>(AX103/1000000)*AA103*(1-db!$AS$11)</f>
        <v>0</v>
      </c>
      <c r="AZ103" s="20">
        <f>(AX103/1000000)*AA103*(db!$AS$11)</f>
        <v>0</v>
      </c>
      <c r="BA103" s="19">
        <f>IF(Table13[Year]=0,0,LOOKUP(Table13[Age],RiskLoading!A$3:A$109,RiskLoading!DT$3:DT$109))</f>
        <v>0</v>
      </c>
      <c r="BB103" s="20">
        <f>Table13[[#This Row],[RiskLoading
Rate]]*Table13[[#This Row],[Death Capital (2)]]</f>
        <v>0</v>
      </c>
      <c r="BC103" s="36"/>
      <c r="BD103" s="37">
        <f t="shared" si="46"/>
        <v>0</v>
      </c>
      <c r="BE103" s="35">
        <f t="shared" si="47"/>
        <v>0</v>
      </c>
      <c r="BF103" s="35">
        <f t="shared" si="48"/>
        <v>0</v>
      </c>
      <c r="BG103" s="37">
        <f t="shared" si="49"/>
        <v>0</v>
      </c>
      <c r="BH103" s="37">
        <f t="shared" si="50"/>
        <v>0</v>
      </c>
      <c r="BI103" s="35">
        <f t="shared" si="38"/>
        <v>0</v>
      </c>
      <c r="BJ103" s="35">
        <f t="shared" si="39"/>
        <v>0</v>
      </c>
      <c r="BK103" s="37">
        <v>0</v>
      </c>
      <c r="BL103" s="37">
        <v>0</v>
      </c>
      <c r="BM103" s="35"/>
      <c r="BN103" s="37">
        <f>0</f>
        <v>0</v>
      </c>
      <c r="BO103" s="37"/>
      <c r="BP103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103" s="33"/>
      <c r="BR103" s="39">
        <f>Table13[[#This Row],[Initial Reserve]]-Table13[[#This Row],[All Deductions]]</f>
        <v>0</v>
      </c>
      <c r="BS103" s="39">
        <v>0</v>
      </c>
      <c r="BT103" s="39">
        <f>IF(B103=0,0,BU102-Table13[[#This Row],[All Deductions]])</f>
        <v>0</v>
      </c>
      <c r="BU103" s="40">
        <f>ROUND(IF(B103=0,0,((BR103+BU102)*(1+db!U105))),0)</f>
        <v>0</v>
      </c>
      <c r="BV103" s="40">
        <f t="shared" si="43"/>
        <v>0</v>
      </c>
      <c r="BW103" s="15">
        <f t="shared" si="40"/>
        <v>102</v>
      </c>
      <c r="BX103" s="39">
        <f>IF(B103=0,0,((BR103)*(1+db!AH105))+((BX102)*(1+db!AD105)))</f>
        <v>0</v>
      </c>
      <c r="BY103" s="39">
        <f>IF(B103=0,0,((BR103)*(1+db!AH105))+((BY102)*(1+db!AD105)))</f>
        <v>0</v>
      </c>
      <c r="BZ103" s="40">
        <f>IF(B103=0,0,((BR103)*(1+db!AO105))+((BZ102)*(1+db!AK105)))</f>
        <v>0</v>
      </c>
      <c r="CA103" s="40">
        <f>BZ103-(SUM(BM$7:$BM104))</f>
        <v>0</v>
      </c>
      <c r="CB103" s="26"/>
    </row>
    <row r="104" spans="1:80">
      <c r="A104" s="16">
        <f t="shared" si="41"/>
        <v>103</v>
      </c>
      <c r="B104" s="16">
        <f>IF(B103=0,0,IF(db!$E$5&lt;B103+1,0,B103+1))</f>
        <v>0</v>
      </c>
      <c r="C104" s="15">
        <f t="shared" si="42"/>
        <v>0</v>
      </c>
      <c r="D104" s="312">
        <f>LOOKUP(Table13[[#This Row],[Age]],RiskLoading!A$3:A$109,RiskLoading!DG$3:DG$109)</f>
        <v>55</v>
      </c>
      <c r="E104" s="29">
        <f t="shared" si="34"/>
        <v>0</v>
      </c>
      <c r="F104" s="29">
        <f t="shared" si="35"/>
        <v>0</v>
      </c>
      <c r="G104" s="29">
        <f t="shared" si="26"/>
        <v>0</v>
      </c>
      <c r="H104" s="29">
        <v>0</v>
      </c>
      <c r="I104" s="29">
        <f>IF(B104=0,0,SUM($H$2:H104))</f>
        <v>0</v>
      </c>
      <c r="J104" s="17">
        <f t="shared" si="36"/>
        <v>0</v>
      </c>
      <c r="K104" s="17">
        <f>IF(Table13[[#This Row],[Year]]=0,0,IF($C$2&lt;=50,LOOKUP(Table13[[#This Row],[Age]],db!BG105:BG211,db!BH105:BH211),LOOKUP(Table13[[#This Row],[Age]],db!BJ105:BJ211,db!BK105:BK211)))</f>
        <v>0</v>
      </c>
      <c r="L104" s="17">
        <f>MIN(IF(B104=0,0,db!$E$4*((1+db!$B$4)^(B104-1))),Table13[[#This Row],[Max Sum Insured For Death]])</f>
        <v>0</v>
      </c>
      <c r="M104" s="17">
        <f>ROUND(IF(L104&lt;=db!$L$7,L104,db!$L$7),0)</f>
        <v>0</v>
      </c>
      <c r="N104" s="29">
        <f t="shared" si="37"/>
        <v>0</v>
      </c>
      <c r="O104" s="29">
        <f>IF(B104=0,0,IF(db!$D$6="Yes",(db!$B$6)*M104,0))</f>
        <v>0</v>
      </c>
      <c r="P104" s="29">
        <f>MIN(IF(O104&lt;=db!$L$2,O104,db!$L$2),MAX_ACC_CAPITAL)</f>
        <v>0</v>
      </c>
      <c r="Q104" s="17">
        <f>IF(B104=0,0,IF(db!$D$7="Yes",(db!$B$7)*M104,0))</f>
        <v>0</v>
      </c>
      <c r="R104" s="42">
        <f>IF(C104&gt;69,0,IF(C104=0,0,IF(Q104&lt;=db!$L$3,Q104,db!$L$3)))</f>
        <v>0</v>
      </c>
      <c r="S104" s="29">
        <f>IF(B104=0,0,IF(db!$D$9="Yes",(db!$B$9)*M104,0))</f>
        <v>0</v>
      </c>
      <c r="T104" s="29">
        <f>ROUND(IF(C104&gt;69,0,IF(C104=0,0,IF(S104&lt;=db!$L$4,S104,db!$L$4))),0)</f>
        <v>0</v>
      </c>
      <c r="U104" s="38">
        <v>0</v>
      </c>
      <c r="V104" s="17">
        <v>0</v>
      </c>
      <c r="W104" s="29">
        <v>0</v>
      </c>
      <c r="X104" s="17">
        <f>IF(B104=0,0,IF(db!$D$11="Yes",(db!$B$11)*M104,0))</f>
        <v>0</v>
      </c>
      <c r="Y104" s="42">
        <f>ROUND(IF(C104&gt;59,0,IF(C104=0,0,IF(X104&lt;=db!$L$5,X104,db!$L$5))),0)</f>
        <v>0</v>
      </c>
      <c r="Z104" s="29">
        <f>IF(B104=0,0,IF(db!$D$12="Yes",(db!$B$12)*M104,0))</f>
        <v>0</v>
      </c>
      <c r="AA104" s="29">
        <f>ROUND(IF(C104&gt;59,0,IF(C104=0,0,IF(Z104&lt;=db!$L$6,Z104,db!$L$6))),0)</f>
        <v>0</v>
      </c>
      <c r="AB104" s="32"/>
      <c r="AC104" s="18">
        <f>IF(B104=0,0,IF(C104&lt;(db!$E$2+5),LOOKUP(C104,'Mortality Table'!$A$2:$A$108,'Mortality Table'!$P$2:$P$108),IF((C104&gt;=db!$E$2+10),LOOKUP(C104,'Mortality Table'!$A$2:$A$108,'Mortality Table'!$R$2:$R$108),LOOKUP(C104,'Mortality Table'!$A$2:$A$108,'Mortality Table'!$Q$2:$Q$108))))</f>
        <v>0</v>
      </c>
      <c r="AD104" s="22">
        <f t="shared" si="44"/>
        <v>0</v>
      </c>
      <c r="AE104" s="19">
        <f>IF(B104=0,0,LOOKUP(db!$A$8,db!$AX$4:$AX$8,db!$AY$4:$AY$8))</f>
        <v>0</v>
      </c>
      <c r="AF104" s="20">
        <f>ROUND((AE104/1000)*P104 * (1-db!$AS$9),0)</f>
        <v>0</v>
      </c>
      <c r="AG104" s="20">
        <f>(AE104/1000)*P104 * db!$AS$9</f>
        <v>0</v>
      </c>
      <c r="AH104" s="21">
        <f>IF(B104=0,0,LOOKUP(db!$A$8,db!$AX$4:$AX$8,db!$AZ$4:$AZ$8))</f>
        <v>0</v>
      </c>
      <c r="AI104" s="22">
        <f>(AH104/1000)*R104*(1-db!$AS$9)</f>
        <v>0</v>
      </c>
      <c r="AJ104" s="22">
        <f>(AH104/1000)*R104*(db!$AS$9)</f>
        <v>0</v>
      </c>
      <c r="AK104" s="23">
        <f>IF(B104=0,0,LOOKUP(db!$A$8,db!$AX$4:$AX$8,db!$BA$4:$BA$8))</f>
        <v>0</v>
      </c>
      <c r="AL104" s="20">
        <f>ROUND((AK104/(100))*T104*(1-db!$AS$9),0)</f>
        <v>0</v>
      </c>
      <c r="AM104" s="20">
        <f>ROUND((AK104/(100))*T104*(db!$AS$9),0)</f>
        <v>0</v>
      </c>
      <c r="AN104" s="21">
        <f>IF(db!$D$8="Yes",AH104,0)</f>
        <v>0</v>
      </c>
      <c r="AO104" s="22">
        <f>(AN104*V104)/1000*(1-db!$AS$9)</f>
        <v>0</v>
      </c>
      <c r="AP104" s="22">
        <f>(AN104*V104)/1000*(db!$AS$9)</f>
        <v>0</v>
      </c>
      <c r="AQ104" s="23">
        <f>IF(db!$D$10="Yes",AH104,0)</f>
        <v>0</v>
      </c>
      <c r="AR104" s="20">
        <f>(AQ104*W104/1000)*(1-db!$AS$9)</f>
        <v>0</v>
      </c>
      <c r="AS104" s="20">
        <f>(AQ104*W104/1000)*(db!$AS$9)</f>
        <v>0</v>
      </c>
      <c r="AT104" s="22">
        <f>IF(B104=0,0,IF(C104&gt;60,0,LOOKUP(LOOKUP(C104,RiskLoading!A$3:A$109,RiskLoading!DG$3:DG$109),db!$BC$3:$BC$63,db!$BD$3:$BD$63)))</f>
        <v>0</v>
      </c>
      <c r="AU104" s="22">
        <f>AV104*db!$AS$10</f>
        <v>0</v>
      </c>
      <c r="AV104" s="22">
        <f t="shared" si="45"/>
        <v>0</v>
      </c>
      <c r="AW104" s="22">
        <f>(AT104/1000000)*Y104*(1-db!$AS$10)</f>
        <v>0</v>
      </c>
      <c r="AX104" s="20">
        <f>IF(B104=0,0,IF(C104&gt;60,0,LOOKUP(LOOKUP(C104,RiskLoading!A$3:A$109,RiskLoading!DG$3:DG$109),db!$BC$3:$BC$63,db!$BE$3:$BE$63)))</f>
        <v>0</v>
      </c>
      <c r="AY104" s="20">
        <f>(AX104/1000000)*AA104*(1-db!$AS$11)</f>
        <v>0</v>
      </c>
      <c r="AZ104" s="20">
        <f>(AX104/1000000)*AA104*(db!$AS$11)</f>
        <v>0</v>
      </c>
      <c r="BA104" s="19">
        <f>IF(Table13[Year]=0,0,LOOKUP(Table13[Age],RiskLoading!A$3:A$109,RiskLoading!DT$3:DT$109))</f>
        <v>0</v>
      </c>
      <c r="BB104" s="20">
        <f>Table13[[#This Row],[RiskLoading
Rate]]*Table13[[#This Row],[Death Capital (2)]]</f>
        <v>0</v>
      </c>
      <c r="BC104" s="36"/>
      <c r="BD104" s="37">
        <f t="shared" si="46"/>
        <v>0</v>
      </c>
      <c r="BE104" s="35">
        <f t="shared" si="47"/>
        <v>0</v>
      </c>
      <c r="BF104" s="35">
        <f t="shared" si="48"/>
        <v>0</v>
      </c>
      <c r="BG104" s="37">
        <f t="shared" si="49"/>
        <v>0</v>
      </c>
      <c r="BH104" s="37">
        <f t="shared" si="50"/>
        <v>0</v>
      </c>
      <c r="BI104" s="35">
        <f t="shared" si="38"/>
        <v>0</v>
      </c>
      <c r="BJ104" s="35">
        <f t="shared" si="39"/>
        <v>0</v>
      </c>
      <c r="BK104" s="37">
        <v>0</v>
      </c>
      <c r="BL104" s="37">
        <v>0</v>
      </c>
      <c r="BM104" s="35"/>
      <c r="BN104" s="37">
        <f>0</f>
        <v>0</v>
      </c>
      <c r="BO104" s="37"/>
      <c r="BP104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104" s="33"/>
      <c r="BR104" s="39">
        <f>Table13[[#This Row],[Initial Reserve]]-Table13[[#This Row],[All Deductions]]</f>
        <v>0</v>
      </c>
      <c r="BS104" s="39">
        <v>0</v>
      </c>
      <c r="BT104" s="39">
        <f>IF(B104=0,0,BU103-Table13[[#This Row],[All Deductions]])</f>
        <v>0</v>
      </c>
      <c r="BU104" s="40">
        <f>ROUND(IF(B104=0,0,((BR104+BU103)*(1+db!U106))),0)</f>
        <v>0</v>
      </c>
      <c r="BV104" s="40">
        <f t="shared" si="43"/>
        <v>0</v>
      </c>
      <c r="BW104" s="15">
        <f t="shared" si="40"/>
        <v>103</v>
      </c>
      <c r="BX104" s="39">
        <f>IF(B104=0,0,((BR104)*(1+db!AH106))+((BX103)*(1+db!AD106)))</f>
        <v>0</v>
      </c>
      <c r="BY104" s="39">
        <f>IF(B104=0,0,((BR104)*(1+db!AH106))+((BY103)*(1+db!AD106)))</f>
        <v>0</v>
      </c>
      <c r="BZ104" s="40">
        <f>IF(B104=0,0,((BR104)*(1+db!AO106))+((BZ103)*(1+db!AK106)))</f>
        <v>0</v>
      </c>
      <c r="CA104" s="40">
        <f>BZ104-(SUM(BM$7:$BM105))</f>
        <v>0</v>
      </c>
      <c r="CB104" s="26"/>
    </row>
    <row r="105" spans="1:80">
      <c r="A105" s="16">
        <f t="shared" si="41"/>
        <v>104</v>
      </c>
      <c r="B105" s="16">
        <f>IF(B104=0,0,IF(db!$E$5&lt;B104+1,0,B104+1))</f>
        <v>0</v>
      </c>
      <c r="C105" s="15">
        <f t="shared" si="42"/>
        <v>0</v>
      </c>
      <c r="D105" s="312">
        <f>LOOKUP(Table13[[#This Row],[Age]],RiskLoading!A$3:A$109,RiskLoading!DG$3:DG$109)</f>
        <v>55</v>
      </c>
      <c r="E105" s="29">
        <f t="shared" si="34"/>
        <v>0</v>
      </c>
      <c r="F105" s="29">
        <f t="shared" si="35"/>
        <v>0</v>
      </c>
      <c r="G105" s="29">
        <f t="shared" si="26"/>
        <v>0</v>
      </c>
      <c r="H105" s="29">
        <v>0</v>
      </c>
      <c r="I105" s="29">
        <f>IF(B105=0,0,SUM($H$2:H105))</f>
        <v>0</v>
      </c>
      <c r="J105" s="17">
        <f t="shared" si="36"/>
        <v>0</v>
      </c>
      <c r="K105" s="17">
        <f>IF(Table13[[#This Row],[Year]]=0,0,IF($C$2&lt;=50,LOOKUP(Table13[[#This Row],[Age]],db!BG106:BG212,db!BH106:BH212),LOOKUP(Table13[[#This Row],[Age]],db!BJ106:BJ212,db!BK106:BK212)))</f>
        <v>0</v>
      </c>
      <c r="L105" s="17">
        <f>MIN(IF(B105=0,0,db!$E$4*((1+db!$B$4)^(B105-1))),Table13[[#This Row],[Max Sum Insured For Death]])</f>
        <v>0</v>
      </c>
      <c r="M105" s="17">
        <f>ROUND(IF(L105&lt;=db!$L$7,L105,db!$L$7),0)</f>
        <v>0</v>
      </c>
      <c r="N105" s="29">
        <f t="shared" si="37"/>
        <v>0</v>
      </c>
      <c r="O105" s="29">
        <f>IF(B105=0,0,IF(db!$D$6="Yes",(db!$B$6)*M105,0))</f>
        <v>0</v>
      </c>
      <c r="P105" s="29">
        <f>MIN(IF(O105&lt;=db!$L$2,O105,db!$L$2),MAX_ACC_CAPITAL)</f>
        <v>0</v>
      </c>
      <c r="Q105" s="17">
        <f>IF(B105=0,0,IF(db!$D$7="Yes",(db!$B$7)*M105,0))</f>
        <v>0</v>
      </c>
      <c r="R105" s="42">
        <f>IF(C105&gt;69,0,IF(C105=0,0,IF(Q105&lt;=db!$L$3,Q105,db!$L$3)))</f>
        <v>0</v>
      </c>
      <c r="S105" s="29">
        <f>IF(B105=0,0,IF(db!$D$9="Yes",(db!$B$9)*M105,0))</f>
        <v>0</v>
      </c>
      <c r="T105" s="29">
        <f>ROUND(IF(C105&gt;69,0,IF(C105=0,0,IF(S105&lt;=db!$L$4,S105,db!$L$4))),0)</f>
        <v>0</v>
      </c>
      <c r="U105" s="38">
        <v>0</v>
      </c>
      <c r="V105" s="17">
        <v>0</v>
      </c>
      <c r="W105" s="29">
        <v>0</v>
      </c>
      <c r="X105" s="17">
        <f>IF(B105=0,0,IF(db!$D$11="Yes",(db!$B$11)*M105,0))</f>
        <v>0</v>
      </c>
      <c r="Y105" s="42">
        <f>ROUND(IF(C105&gt;59,0,IF(C105=0,0,IF(X105&lt;=db!$L$5,X105,db!$L$5))),0)</f>
        <v>0</v>
      </c>
      <c r="Z105" s="29">
        <f>IF(B105=0,0,IF(db!$D$12="Yes",(db!$B$12)*M105,0))</f>
        <v>0</v>
      </c>
      <c r="AA105" s="29">
        <f>ROUND(IF(C105&gt;59,0,IF(C105=0,0,IF(Z105&lt;=db!$L$6,Z105,db!$L$6))),0)</f>
        <v>0</v>
      </c>
      <c r="AB105" s="32"/>
      <c r="AC105" s="18">
        <f>IF(B105=0,0,IF(C105&lt;(db!$E$2+5),LOOKUP(C105,'Mortality Table'!$A$2:$A$108,'Mortality Table'!$P$2:$P$108),IF((C105&gt;=db!$E$2+10),LOOKUP(C105,'Mortality Table'!$A$2:$A$108,'Mortality Table'!$R$2:$R$108),LOOKUP(C105,'Mortality Table'!$A$2:$A$108,'Mortality Table'!$Q$2:$Q$108))))</f>
        <v>0</v>
      </c>
      <c r="AD105" s="22">
        <f t="shared" si="44"/>
        <v>0</v>
      </c>
      <c r="AE105" s="19">
        <f>IF(B105=0,0,LOOKUP(db!$A$8,db!$AX$4:$AX$8,db!$AY$4:$AY$8))</f>
        <v>0</v>
      </c>
      <c r="AF105" s="20">
        <f>ROUND((AE105/1000)*P105 * (1-db!$AS$9),0)</f>
        <v>0</v>
      </c>
      <c r="AG105" s="20">
        <f>(AE105/1000)*P105 * db!$AS$9</f>
        <v>0</v>
      </c>
      <c r="AH105" s="21">
        <f>IF(B105=0,0,LOOKUP(db!$A$8,db!$AX$4:$AX$8,db!$AZ$4:$AZ$8))</f>
        <v>0</v>
      </c>
      <c r="AI105" s="22">
        <f>(AH105/1000)*R105*(1-db!$AS$9)</f>
        <v>0</v>
      </c>
      <c r="AJ105" s="22">
        <f>(AH105/1000)*R105*(db!$AS$9)</f>
        <v>0</v>
      </c>
      <c r="AK105" s="23">
        <f>IF(B105=0,0,LOOKUP(db!$A$8,db!$AX$4:$AX$8,db!$BA$4:$BA$8))</f>
        <v>0</v>
      </c>
      <c r="AL105" s="20">
        <f>ROUND((AK105/(100))*T105*(1-db!$AS$9),0)</f>
        <v>0</v>
      </c>
      <c r="AM105" s="20">
        <f>ROUND((AK105/(100))*T105*(db!$AS$9),0)</f>
        <v>0</v>
      </c>
      <c r="AN105" s="21">
        <f>IF(db!$D$8="Yes",AH105,0)</f>
        <v>0</v>
      </c>
      <c r="AO105" s="22">
        <f>(AN105*V105)/1000*(1-db!$AS$9)</f>
        <v>0</v>
      </c>
      <c r="AP105" s="22">
        <f>(AN105*V105)/1000*(db!$AS$9)</f>
        <v>0</v>
      </c>
      <c r="AQ105" s="23">
        <f>IF(db!$D$10="Yes",AH105,0)</f>
        <v>0</v>
      </c>
      <c r="AR105" s="20">
        <f>(AQ105*W105/1000)*(1-db!$AS$9)</f>
        <v>0</v>
      </c>
      <c r="AS105" s="20">
        <f>(AQ105*W105/1000)*(db!$AS$9)</f>
        <v>0</v>
      </c>
      <c r="AT105" s="22">
        <f>IF(B105=0,0,IF(C105&gt;60,0,LOOKUP(LOOKUP(C105,RiskLoading!A$3:A$109,RiskLoading!DG$3:DG$109),db!$BC$3:$BC$63,db!$BD$3:$BD$63)))</f>
        <v>0</v>
      </c>
      <c r="AU105" s="22">
        <f>AV105*db!$AS$10</f>
        <v>0</v>
      </c>
      <c r="AV105" s="22">
        <f t="shared" si="45"/>
        <v>0</v>
      </c>
      <c r="AW105" s="22">
        <f>(AT105/1000000)*Y105*(1-db!$AS$10)</f>
        <v>0</v>
      </c>
      <c r="AX105" s="20">
        <f>IF(B105=0,0,IF(C105&gt;60,0,LOOKUP(LOOKUP(C105,RiskLoading!A$3:A$109,RiskLoading!DG$3:DG$109),db!$BC$3:$BC$63,db!$BE$3:$BE$63)))</f>
        <v>0</v>
      </c>
      <c r="AY105" s="20">
        <f>(AX105/1000000)*AA105*(1-db!$AS$11)</f>
        <v>0</v>
      </c>
      <c r="AZ105" s="20">
        <f>(AX105/1000000)*AA105*(db!$AS$11)</f>
        <v>0</v>
      </c>
      <c r="BA105" s="19">
        <f>IF(Table13[Year]=0,0,LOOKUP(Table13[Age],RiskLoading!A$3:A$109,RiskLoading!DT$3:DT$109))</f>
        <v>0</v>
      </c>
      <c r="BB105" s="20">
        <f>Table13[[#This Row],[RiskLoading
Rate]]*Table13[[#This Row],[Death Capital (2)]]</f>
        <v>0</v>
      </c>
      <c r="BC105" s="36"/>
      <c r="BD105" s="37">
        <f t="shared" si="46"/>
        <v>0</v>
      </c>
      <c r="BE105" s="35">
        <f t="shared" si="47"/>
        <v>0</v>
      </c>
      <c r="BF105" s="35">
        <f t="shared" si="48"/>
        <v>0</v>
      </c>
      <c r="BG105" s="37">
        <f t="shared" si="49"/>
        <v>0</v>
      </c>
      <c r="BH105" s="37">
        <f t="shared" si="50"/>
        <v>0</v>
      </c>
      <c r="BI105" s="35">
        <f t="shared" si="38"/>
        <v>0</v>
      </c>
      <c r="BJ105" s="35">
        <f t="shared" si="39"/>
        <v>0</v>
      </c>
      <c r="BK105" s="37">
        <v>0</v>
      </c>
      <c r="BL105" s="37">
        <v>0</v>
      </c>
      <c r="BM105" s="35"/>
      <c r="BN105" s="37">
        <f>0</f>
        <v>0</v>
      </c>
      <c r="BO105" s="37"/>
      <c r="BP105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105" s="33"/>
      <c r="BR105" s="39">
        <f>Table13[[#This Row],[Initial Reserve]]-Table13[[#This Row],[All Deductions]]</f>
        <v>0</v>
      </c>
      <c r="BS105" s="39">
        <v>0</v>
      </c>
      <c r="BT105" s="39">
        <f>IF(B105=0,0,BU104-Table13[[#This Row],[All Deductions]])</f>
        <v>0</v>
      </c>
      <c r="BU105" s="40">
        <f>ROUND(IF(B105=0,0,((BR105+BU104)*(1+db!U107))),0)</f>
        <v>0</v>
      </c>
      <c r="BV105" s="40">
        <f t="shared" si="43"/>
        <v>0</v>
      </c>
      <c r="BW105" s="15">
        <f t="shared" si="40"/>
        <v>104</v>
      </c>
      <c r="BX105" s="39">
        <f>IF(B105=0,0,((BR105)*(1+db!AH107))+((BX104)*(1+db!AD107)))</f>
        <v>0</v>
      </c>
      <c r="BY105" s="39">
        <f>IF(B105=0,0,((BR105)*(1+db!AH107))+((BY104)*(1+db!AD107)))</f>
        <v>0</v>
      </c>
      <c r="BZ105" s="40">
        <f>IF(B105=0,0,((BR105)*(1+db!AO107))+((BZ104)*(1+db!AK107)))</f>
        <v>0</v>
      </c>
      <c r="CA105" s="40">
        <f>BZ105-(SUM(BM$7:$BM106))</f>
        <v>0</v>
      </c>
      <c r="CB105" s="26"/>
    </row>
    <row r="106" spans="1:80">
      <c r="A106" s="16">
        <f t="shared" si="41"/>
        <v>105</v>
      </c>
      <c r="B106" s="16">
        <f>IF(B105=0,0,IF(db!$E$5&lt;B105+1,0,B105+1))</f>
        <v>0</v>
      </c>
      <c r="C106" s="15">
        <f t="shared" si="42"/>
        <v>0</v>
      </c>
      <c r="D106" s="312">
        <f>LOOKUP(Table13[[#This Row],[Age]],RiskLoading!A$3:A$109,RiskLoading!DG$3:DG$109)</f>
        <v>55</v>
      </c>
      <c r="E106" s="29">
        <f t="shared" si="34"/>
        <v>0</v>
      </c>
      <c r="F106" s="29">
        <f t="shared" si="35"/>
        <v>0</v>
      </c>
      <c r="G106" s="29">
        <f t="shared" si="26"/>
        <v>0</v>
      </c>
      <c r="H106" s="29">
        <v>0</v>
      </c>
      <c r="I106" s="29">
        <f>IF(B106=0,0,SUM($H$2:H106))</f>
        <v>0</v>
      </c>
      <c r="J106" s="17">
        <f t="shared" si="36"/>
        <v>0</v>
      </c>
      <c r="K106" s="17">
        <f>IF(Table13[[#This Row],[Year]]=0,0,IF($C$2&lt;=50,LOOKUP(Table13[[#This Row],[Age]],db!BG107:BG213,db!BH107:BH213),LOOKUP(Table13[[#This Row],[Age]],db!BJ107:BJ213,db!BK107:BK213)))</f>
        <v>0</v>
      </c>
      <c r="L106" s="17">
        <f>MIN(IF(B106=0,0,db!$E$4*((1+db!$B$4)^(B106-1))),Table13[[#This Row],[Max Sum Insured For Death]])</f>
        <v>0</v>
      </c>
      <c r="M106" s="17">
        <f>ROUND(IF(L106&lt;=db!$L$7,L106,db!$L$7),0)</f>
        <v>0</v>
      </c>
      <c r="N106" s="29">
        <f t="shared" si="37"/>
        <v>0</v>
      </c>
      <c r="O106" s="29">
        <f>IF(B106=0,0,IF(db!$D$6="Yes",(db!$B$6)*M106,0))</f>
        <v>0</v>
      </c>
      <c r="P106" s="29">
        <f>MIN(IF(O106&lt;=db!$L$2,O106,db!$L$2),MAX_ACC_CAPITAL)</f>
        <v>0</v>
      </c>
      <c r="Q106" s="17">
        <f>IF(B106=0,0,IF(db!$D$7="Yes",(db!$B$7)*M106,0))</f>
        <v>0</v>
      </c>
      <c r="R106" s="42">
        <f>IF(C106&gt;69,0,IF(C106=0,0,IF(Q106&lt;=db!$L$3,Q106,db!$L$3)))</f>
        <v>0</v>
      </c>
      <c r="S106" s="29">
        <f>IF(B106=0,0,IF(db!$D$9="Yes",(db!$B$9)*M106,0))</f>
        <v>0</v>
      </c>
      <c r="T106" s="29">
        <f>ROUND(IF(C106&gt;69,0,IF(C106=0,0,IF(S106&lt;=db!$L$4,S106,db!$L$4))),0)</f>
        <v>0</v>
      </c>
      <c r="U106" s="38">
        <v>0</v>
      </c>
      <c r="V106" s="17">
        <v>0</v>
      </c>
      <c r="W106" s="29">
        <v>0</v>
      </c>
      <c r="X106" s="17">
        <f>IF(B106=0,0,IF(db!$D$11="Yes",(db!$B$11)*M106,0))</f>
        <v>0</v>
      </c>
      <c r="Y106" s="42">
        <f>ROUND(IF(C106&gt;59,0,IF(C106=0,0,IF(X106&lt;=db!$L$5,X106,db!$L$5))),0)</f>
        <v>0</v>
      </c>
      <c r="Z106" s="29">
        <f>IF(B106=0,0,IF(db!$D$12="Yes",(db!$B$12)*M106,0))</f>
        <v>0</v>
      </c>
      <c r="AA106" s="29">
        <f>ROUND(IF(C106&gt;59,0,IF(C106=0,0,IF(Z106&lt;=db!$L$6,Z106,db!$L$6))),0)</f>
        <v>0</v>
      </c>
      <c r="AB106" s="32"/>
      <c r="AC106" s="18">
        <f>IF(B106=0,0,IF(C106&lt;(db!$E$2+5),LOOKUP(C106,'Mortality Table'!$A$2:$A$108,'Mortality Table'!$P$2:$P$108),IF((C106&gt;=db!$E$2+10),LOOKUP(C106,'Mortality Table'!$A$2:$A$108,'Mortality Table'!$R$2:$R$108),LOOKUP(C106,'Mortality Table'!$A$2:$A$108,'Mortality Table'!$Q$2:$Q$108))))</f>
        <v>0</v>
      </c>
      <c r="AD106" s="22">
        <f t="shared" si="44"/>
        <v>0</v>
      </c>
      <c r="AE106" s="19">
        <f>IF(B106=0,0,LOOKUP(db!$A$8,db!$AX$4:$AX$8,db!$AY$4:$AY$8))</f>
        <v>0</v>
      </c>
      <c r="AF106" s="20">
        <f>ROUND((AE106/1000)*P106 * (1-db!$AS$9),0)</f>
        <v>0</v>
      </c>
      <c r="AG106" s="20">
        <f>(AE106/1000)*P106 * db!$AS$9</f>
        <v>0</v>
      </c>
      <c r="AH106" s="21">
        <f>IF(B106=0,0,LOOKUP(db!$A$8,db!$AX$4:$AX$8,db!$AZ$4:$AZ$8))</f>
        <v>0</v>
      </c>
      <c r="AI106" s="22">
        <f>(AH106/1000)*R106*(1-db!$AS$9)</f>
        <v>0</v>
      </c>
      <c r="AJ106" s="22">
        <f>(AH106/1000)*R106*(db!$AS$9)</f>
        <v>0</v>
      </c>
      <c r="AK106" s="23">
        <f>IF(B106=0,0,LOOKUP(db!$A$8,db!$AX$4:$AX$8,db!$BA$4:$BA$8))</f>
        <v>0</v>
      </c>
      <c r="AL106" s="20">
        <f>ROUND((AK106/(100))*T106*(1-db!$AS$9),0)</f>
        <v>0</v>
      </c>
      <c r="AM106" s="20">
        <f>ROUND((AK106/(100))*T106*(db!$AS$9),0)</f>
        <v>0</v>
      </c>
      <c r="AN106" s="21">
        <f>IF(db!$D$8="Yes",AH106,0)</f>
        <v>0</v>
      </c>
      <c r="AO106" s="22">
        <f>(AN106*V106)/1000*(1-db!$AS$9)</f>
        <v>0</v>
      </c>
      <c r="AP106" s="22">
        <f>(AN106*V106)/1000*(db!$AS$9)</f>
        <v>0</v>
      </c>
      <c r="AQ106" s="23">
        <f>IF(db!$D$10="Yes",AH106,0)</f>
        <v>0</v>
      </c>
      <c r="AR106" s="20">
        <f>(AQ106*W106/1000)*(1-db!$AS$9)</f>
        <v>0</v>
      </c>
      <c r="AS106" s="20">
        <f>(AQ106*W106/1000)*(db!$AS$9)</f>
        <v>0</v>
      </c>
      <c r="AT106" s="22">
        <f>IF(B106=0,0,IF(C106&gt;60,0,LOOKUP(LOOKUP(C106,RiskLoading!A$3:A$109,RiskLoading!DG$3:DG$109),db!$BC$3:$BC$63,db!$BD$3:$BD$63)))</f>
        <v>0</v>
      </c>
      <c r="AU106" s="22">
        <f>AV106*db!$AS$10</f>
        <v>0</v>
      </c>
      <c r="AV106" s="22">
        <f t="shared" si="45"/>
        <v>0</v>
      </c>
      <c r="AW106" s="22">
        <f>(AT106/1000000)*Y106*(1-db!$AS$10)</f>
        <v>0</v>
      </c>
      <c r="AX106" s="20">
        <f>IF(B106=0,0,IF(C106&gt;60,0,LOOKUP(LOOKUP(C106,RiskLoading!A$3:A$109,RiskLoading!DG$3:DG$109),db!$BC$3:$BC$63,db!$BE$3:$BE$63)))</f>
        <v>0</v>
      </c>
      <c r="AY106" s="20">
        <f>(AX106/1000000)*AA106*(1-db!$AS$11)</f>
        <v>0</v>
      </c>
      <c r="AZ106" s="20">
        <f>(AX106/1000000)*AA106*(db!$AS$11)</f>
        <v>0</v>
      </c>
      <c r="BA106" s="19">
        <f>IF(Table13[Year]=0,0,LOOKUP(Table13[Age],RiskLoading!A$3:A$109,RiskLoading!DT$3:DT$109))</f>
        <v>0</v>
      </c>
      <c r="BB106" s="20">
        <f>Table13[[#This Row],[RiskLoading
Rate]]*Table13[[#This Row],[Death Capital (2)]]</f>
        <v>0</v>
      </c>
      <c r="BC106" s="36"/>
      <c r="BD106" s="37">
        <f t="shared" si="46"/>
        <v>0</v>
      </c>
      <c r="BE106" s="35">
        <f t="shared" si="47"/>
        <v>0</v>
      </c>
      <c r="BF106" s="35">
        <f t="shared" si="48"/>
        <v>0</v>
      </c>
      <c r="BG106" s="37">
        <f t="shared" si="49"/>
        <v>0</v>
      </c>
      <c r="BH106" s="37">
        <f t="shared" si="50"/>
        <v>0</v>
      </c>
      <c r="BI106" s="35">
        <f t="shared" si="38"/>
        <v>0</v>
      </c>
      <c r="BJ106" s="35">
        <f t="shared" si="39"/>
        <v>0</v>
      </c>
      <c r="BK106" s="37">
        <v>0</v>
      </c>
      <c r="BL106" s="37">
        <v>0</v>
      </c>
      <c r="BM106" s="35"/>
      <c r="BN106" s="37">
        <f>0</f>
        <v>0</v>
      </c>
      <c r="BO106" s="37"/>
      <c r="BP106" s="35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106" s="33"/>
      <c r="BR106" s="39">
        <f>Table13[[#This Row],[Initial Reserve]]-Table13[[#This Row],[All Deductions]]</f>
        <v>0</v>
      </c>
      <c r="BS106" s="39">
        <v>0</v>
      </c>
      <c r="BT106" s="39">
        <f>IF(B106=0,0,BU105-Table13[[#This Row],[All Deductions]])</f>
        <v>0</v>
      </c>
      <c r="BU106" s="40">
        <f>ROUND(IF(B106=0,0,((BR106+BU105)*(1+db!U108))),0)</f>
        <v>0</v>
      </c>
      <c r="BV106" s="40">
        <f t="shared" si="43"/>
        <v>0</v>
      </c>
      <c r="BW106" s="15">
        <f t="shared" si="40"/>
        <v>105</v>
      </c>
      <c r="BX106" s="39">
        <f>IF(B106=0,0,((BR106)*(1+db!AH108))+((BX105)*(1+db!AD108)))</f>
        <v>0</v>
      </c>
      <c r="BY106" s="39">
        <f>IF(B106=0,0,((BR106)*(1+db!AH108))+((BY105)*(1+db!AD108)))</f>
        <v>0</v>
      </c>
      <c r="BZ106" s="40">
        <f>IF(B106=0,0,((BR106)*(1+db!AO108))+((BZ105)*(1+db!AK108)))</f>
        <v>0</v>
      </c>
      <c r="CA106" s="40">
        <f>BZ106-(SUM(BM$7:$BM107))</f>
        <v>0</v>
      </c>
      <c r="CB106" s="26"/>
    </row>
    <row r="107" spans="1:80">
      <c r="A107" s="16">
        <f t="shared" si="41"/>
        <v>106</v>
      </c>
      <c r="B107" s="295">
        <f>IF(B106=0,0,IF(db!$E$5&lt;B106+1,0,B106+1))</f>
        <v>0</v>
      </c>
      <c r="C107" s="296">
        <f t="shared" si="42"/>
        <v>0</v>
      </c>
      <c r="D107" s="313">
        <f>LOOKUP(Table13[[#This Row],[Age]],RiskLoading!A$3:A$109,RiskLoading!DG$3:DG$109)</f>
        <v>55</v>
      </c>
      <c r="E107" s="297">
        <f t="shared" si="34"/>
        <v>0</v>
      </c>
      <c r="F107" s="297">
        <f t="shared" si="35"/>
        <v>0</v>
      </c>
      <c r="G107" s="297">
        <f t="shared" si="26"/>
        <v>0</v>
      </c>
      <c r="H107" s="29">
        <v>0</v>
      </c>
      <c r="I107" s="297">
        <f>IF(B107=0,0,SUM($H$2:H107))</f>
        <v>0</v>
      </c>
      <c r="J107" s="298">
        <f t="shared" si="36"/>
        <v>0</v>
      </c>
      <c r="K107" s="298">
        <f>IF(Table13[[#This Row],[Year]]=0,0,IF($C$2&lt;=50,LOOKUP(Table13[[#This Row],[Age]],db!BG108:BG214,db!BH108:BH214),LOOKUP(Table13[[#This Row],[Age]],db!BJ108:BJ214,db!BK108:BK214)))</f>
        <v>0</v>
      </c>
      <c r="L107" s="298">
        <f>MIN(IF(B107=0,0,db!$E$4*((1+db!$B$4)^(B107-1))),Table13[[#This Row],[Max Sum Insured For Death]])</f>
        <v>0</v>
      </c>
      <c r="M107" s="298">
        <f>ROUND(IF(L107&lt;=db!$L$7,L107,db!$L$7),0)</f>
        <v>0</v>
      </c>
      <c r="N107" s="297">
        <f t="shared" si="37"/>
        <v>0</v>
      </c>
      <c r="O107" s="297">
        <f>IF(B107=0,0,IF(db!$D$6="Yes",(db!$B$6)*M107,0))</f>
        <v>0</v>
      </c>
      <c r="P107" s="297">
        <f>MIN(IF(O107&lt;=db!$L$2,O107,db!$L$2),MAX_ACC_CAPITAL)</f>
        <v>0</v>
      </c>
      <c r="Q107" s="298">
        <f>IF(B107=0,0,IF(db!$D$7="Yes",(db!$B$7)*M107,0))</f>
        <v>0</v>
      </c>
      <c r="R107" s="299">
        <f>IF(C107&gt;69,0,IF(C107=0,0,IF(Q107&lt;=db!$L$3,Q107,db!$L$3)))</f>
        <v>0</v>
      </c>
      <c r="S107" s="297">
        <f>IF(B107=0,0,IF(db!$D$9="Yes",(db!$B$9)*M107,0))</f>
        <v>0</v>
      </c>
      <c r="T107" s="297">
        <f>ROUND(IF(C107&gt;69,0,IF(C107=0,0,IF(S107&lt;=db!$L$4,S107,db!$L$4))),0)</f>
        <v>0</v>
      </c>
      <c r="U107" s="38">
        <v>0</v>
      </c>
      <c r="V107" s="17">
        <v>0</v>
      </c>
      <c r="W107" s="29">
        <v>0</v>
      </c>
      <c r="X107" s="298">
        <f>IF(B107=0,0,IF(db!$D$11="Yes",(db!$B$11)*M107,0))</f>
        <v>0</v>
      </c>
      <c r="Y107" s="299">
        <f>ROUND(IF(C107&gt;59,0,IF(C107=0,0,IF(X107&lt;=db!$L$5,X107,db!$L$5))),0)</f>
        <v>0</v>
      </c>
      <c r="Z107" s="297">
        <f>IF(B107=0,0,IF(db!$D$12="Yes",(db!$B$12)*M107,0))</f>
        <v>0</v>
      </c>
      <c r="AA107" s="297">
        <f>ROUND(IF(C107&gt;59,0,IF(C107=0,0,IF(Z107&lt;=db!$L$6,Z107,db!$L$6))),0)</f>
        <v>0</v>
      </c>
      <c r="AB107" s="300"/>
      <c r="AC107" s="301">
        <f>IF(B107=0,0,IF(C107&lt;(db!$E$2+5),LOOKUP(C107,'Mortality Table'!$A$2:$A$108,'Mortality Table'!$P$2:$P$108),IF((C107&gt;=db!$E$2+10),LOOKUP(C107,'Mortality Table'!$A$2:$A$108,'Mortality Table'!$R$2:$R$108),LOOKUP(C107,'Mortality Table'!$A$2:$A$108,'Mortality Table'!$Q$2:$Q$108))))</f>
        <v>0</v>
      </c>
      <c r="AD107" s="302">
        <f t="shared" si="44"/>
        <v>0</v>
      </c>
      <c r="AE107" s="303">
        <f>IF(B107=0,0,LOOKUP(db!$A$8,db!$AX$4:$AX$8,db!$AY$4:$AY$8))</f>
        <v>0</v>
      </c>
      <c r="AF107" s="304">
        <f>ROUND((AE107/1000)*P107 * (1-db!$AS$9),0)</f>
        <v>0</v>
      </c>
      <c r="AG107" s="304">
        <f>(AE107/1000)*P107 * db!$AS$9</f>
        <v>0</v>
      </c>
      <c r="AH107" s="305">
        <f>IF(B107=0,0,LOOKUP(db!$A$8,db!$AX$4:$AX$8,db!$AZ$4:$AZ$8))</f>
        <v>0</v>
      </c>
      <c r="AI107" s="302">
        <f>(AH107/1000)*R107*(1-db!$AS$9)</f>
        <v>0</v>
      </c>
      <c r="AJ107" s="302">
        <f>(AH107/1000)*R107*(db!$AS$9)</f>
        <v>0</v>
      </c>
      <c r="AK107" s="306">
        <f>IF(B107=0,0,LOOKUP(db!$A$8,db!$AX$4:$AX$8,db!$BA$4:$BA$8))</f>
        <v>0</v>
      </c>
      <c r="AL107" s="304">
        <f>ROUND((AK107/(100))*T107*(1-db!$AS$9),0)</f>
        <v>0</v>
      </c>
      <c r="AM107" s="304">
        <f>ROUND((AK107/(100))*T107*(db!$AS$9),0)</f>
        <v>0</v>
      </c>
      <c r="AN107" s="305">
        <f>IF(db!$D$8="Yes",AH107,0)</f>
        <v>0</v>
      </c>
      <c r="AO107" s="302">
        <f>(AN107*V107)/1000*(1-db!$AS$9)</f>
        <v>0</v>
      </c>
      <c r="AP107" s="302">
        <f>(AN107*V107)/1000*(db!$AS$9)</f>
        <v>0</v>
      </c>
      <c r="AQ107" s="306">
        <f>IF(db!$D$10="Yes",AH107,0)</f>
        <v>0</v>
      </c>
      <c r="AR107" s="304">
        <f>(AQ107*W107/1000)*(1-db!$AS$9)</f>
        <v>0</v>
      </c>
      <c r="AS107" s="304">
        <f>(AQ107*W107/1000)*(db!$AS$9)</f>
        <v>0</v>
      </c>
      <c r="AT107" s="22">
        <f>IF(B107=0,0,IF(C107&gt;60,0,LOOKUP(LOOKUP(C107,RiskLoading!A$3:A$109,RiskLoading!DG$3:DG$109),db!$BC$3:$BC$63,db!$BD$3:$BD$63)))</f>
        <v>0</v>
      </c>
      <c r="AU107" s="302">
        <f>AV107*db!$AS$10</f>
        <v>0</v>
      </c>
      <c r="AV107" s="302">
        <f t="shared" si="45"/>
        <v>0</v>
      </c>
      <c r="AW107" s="302">
        <f>(AT107/1000000)*Y107*(1-db!$AS$10)</f>
        <v>0</v>
      </c>
      <c r="AX107" s="20">
        <f>IF(B107=0,0,IF(C107&gt;60,0,LOOKUP(LOOKUP(C107,RiskLoading!A$3:A$109,RiskLoading!DG$3:DG$109),db!$BC$3:$BC$63,db!$BE$3:$BE$63)))</f>
        <v>0</v>
      </c>
      <c r="AY107" s="304">
        <f>(AX107/1000000)*AA107*(1-db!$AS$11)</f>
        <v>0</v>
      </c>
      <c r="AZ107" s="304">
        <f>(AX107/1000000)*AA107*(db!$AS$11)</f>
        <v>0</v>
      </c>
      <c r="BA107" s="303">
        <f>IF(Table13[Year]=0,0,LOOKUP(Table13[Age],RiskLoading!A$3:A$109,RiskLoading!DT$3:DT$109))</f>
        <v>0</v>
      </c>
      <c r="BB107" s="20">
        <f>Table13[[#This Row],[RiskLoading
Rate]]*Table13[[#This Row],[Death Capital (2)]]</f>
        <v>0</v>
      </c>
      <c r="BC107" s="307"/>
      <c r="BD107" s="308">
        <f t="shared" si="46"/>
        <v>0</v>
      </c>
      <c r="BE107" s="309">
        <f t="shared" si="47"/>
        <v>0</v>
      </c>
      <c r="BF107" s="309">
        <f t="shared" si="48"/>
        <v>0</v>
      </c>
      <c r="BG107" s="308">
        <f t="shared" si="49"/>
        <v>0</v>
      </c>
      <c r="BH107" s="308">
        <f t="shared" si="50"/>
        <v>0</v>
      </c>
      <c r="BI107" s="309">
        <f t="shared" si="38"/>
        <v>0</v>
      </c>
      <c r="BJ107" s="309">
        <f t="shared" si="39"/>
        <v>0</v>
      </c>
      <c r="BK107" s="37">
        <v>0</v>
      </c>
      <c r="BL107" s="37">
        <v>0</v>
      </c>
      <c r="BM107" s="309"/>
      <c r="BN107" s="37">
        <f>0</f>
        <v>0</v>
      </c>
      <c r="BO107" s="308"/>
      <c r="BP107" s="309">
        <f>ROUND(Table13[[#This Row],[RiskLoading
Risk Premium]]+Table13[[#This Row],[Sale Commission (2)]]+Table13[[#This Row],[Acquisition Cost]]+Table13[[#This Row],[Riders Risk Premiums]]+Table13[[#This Row],[Riders Acquisition Costs]]+Table13[[#This Row],[Main Risk Premium]],0)</f>
        <v>0</v>
      </c>
      <c r="BQ107" s="310"/>
      <c r="BR107" s="39">
        <f>Table13[[#This Row],[Initial Reserve]]-Table13[[#This Row],[All Deductions]]</f>
        <v>0</v>
      </c>
      <c r="BS107" s="39">
        <v>0</v>
      </c>
      <c r="BT107" s="39">
        <f>IF(B107=0,0,BU106-Table13[[#This Row],[All Deductions]])</f>
        <v>0</v>
      </c>
      <c r="BU107" s="40">
        <f>ROUND(IF(B107=0,0,((BR107+BU106)*(1+db!U109))),0)</f>
        <v>0</v>
      </c>
      <c r="BV107" s="311">
        <f t="shared" si="43"/>
        <v>0</v>
      </c>
      <c r="BW107" s="15">
        <f t="shared" si="40"/>
        <v>106</v>
      </c>
      <c r="BX107" s="39">
        <f>IF(B107=0,0,((BR107)*(1+db!AH109))+((BX106)*(1+db!AD109)))</f>
        <v>0</v>
      </c>
      <c r="BY107" s="39">
        <f>IF(B107=0,0,((BR107)*(1+db!AH109))+((BY106)*(1+db!AD109)))</f>
        <v>0</v>
      </c>
      <c r="BZ107" s="40">
        <f>IF(B107=0,0,((BR107)*(1+db!AO109))+((BZ106)*(1+db!AK109)))</f>
        <v>0</v>
      </c>
      <c r="CA107" s="40">
        <f>BZ107-(SUM(BM$7:$BM1048576))</f>
        <v>0</v>
      </c>
      <c r="CB107" s="26"/>
    </row>
  </sheetData>
  <mergeCells count="2">
    <mergeCell ref="BX1:BY1"/>
    <mergeCell ref="BZ1:CA1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BK111"/>
  <sheetViews>
    <sheetView topLeftCell="D1" zoomScale="80" zoomScaleNormal="80" workbookViewId="0">
      <selection activeCell="U4" sqref="U4"/>
    </sheetView>
  </sheetViews>
  <sheetFormatPr defaultColWidth="9" defaultRowHeight="33" customHeight="1"/>
  <cols>
    <col min="1" max="1" width="16.28515625" style="176" customWidth="1"/>
    <col min="2" max="2" width="8.85546875" style="176" customWidth="1"/>
    <col min="3" max="3" width="15.28515625" style="258" bestFit="1" customWidth="1"/>
    <col min="4" max="4" width="12.5703125" style="176" bestFit="1" customWidth="1"/>
    <col min="5" max="5" width="16.140625" style="176" customWidth="1"/>
    <col min="6" max="6" width="26" style="176" customWidth="1"/>
    <col min="7" max="8" width="1.85546875" style="176" customWidth="1"/>
    <col min="9" max="9" width="2.5703125" style="176" customWidth="1"/>
    <col min="10" max="10" width="2.140625" style="176" customWidth="1"/>
    <col min="11" max="11" width="15" style="176" bestFit="1" customWidth="1"/>
    <col min="12" max="12" width="25" style="176" bestFit="1" customWidth="1"/>
    <col min="13" max="13" width="31.42578125" style="176" bestFit="1" customWidth="1"/>
    <col min="14" max="14" width="1.7109375" style="176" customWidth="1"/>
    <col min="15" max="15" width="2.5703125" style="176" customWidth="1"/>
    <col min="16" max="16" width="5.7109375" style="176" customWidth="1"/>
    <col min="17" max="17" width="17.7109375" style="176" bestFit="1" customWidth="1"/>
    <col min="18" max="18" width="13.140625" style="176" customWidth="1"/>
    <col min="19" max="19" width="5.140625" style="176" customWidth="1"/>
    <col min="20" max="25" width="24.42578125" style="176" customWidth="1"/>
    <col min="26" max="26" width="3.28515625" style="176" customWidth="1"/>
    <col min="27" max="27" width="35.140625" style="176" bestFit="1" customWidth="1"/>
    <col min="28" max="28" width="3" style="176" customWidth="1"/>
    <col min="29" max="34" width="24.42578125" style="176" hidden="1" customWidth="1"/>
    <col min="35" max="35" width="3.28515625" style="176" hidden="1" customWidth="1"/>
    <col min="36" max="41" width="24.42578125" style="176" hidden="1" customWidth="1"/>
    <col min="42" max="43" width="3.28515625" style="176" customWidth="1"/>
    <col min="44" max="44" width="37.7109375" style="176" bestFit="1" customWidth="1"/>
    <col min="45" max="45" width="10.5703125" style="176" customWidth="1"/>
    <col min="46" max="46" width="41.42578125" style="176" bestFit="1" customWidth="1"/>
    <col min="47" max="47" width="3.28515625" style="176" customWidth="1"/>
    <col min="48" max="48" width="3.42578125" style="176" customWidth="1"/>
    <col min="49" max="49" width="2.7109375" style="176" customWidth="1"/>
    <col min="50" max="50" width="19.42578125" style="259" bestFit="1" customWidth="1"/>
    <col min="51" max="51" width="21.5703125" style="259" bestFit="1" customWidth="1"/>
    <col min="52" max="52" width="27.7109375" style="259" bestFit="1" customWidth="1"/>
    <col min="53" max="53" width="32.140625" style="176" bestFit="1" customWidth="1"/>
    <col min="54" max="54" width="4.5703125" style="176" customWidth="1"/>
    <col min="55" max="55" width="5.85546875" style="260" bestFit="1" customWidth="1"/>
    <col min="56" max="56" width="26.42578125" style="259" customWidth="1"/>
    <col min="57" max="57" width="16.85546875" style="259" bestFit="1" customWidth="1"/>
    <col min="58" max="58" width="15.7109375" style="176" customWidth="1"/>
    <col min="59" max="59" width="15.7109375" style="259" customWidth="1"/>
    <col min="60" max="60" width="22.5703125" style="316" customWidth="1"/>
    <col min="61" max="61" width="9" style="259"/>
    <col min="62" max="62" width="21.140625" style="259" customWidth="1"/>
    <col min="63" max="63" width="33.7109375" style="316" customWidth="1"/>
    <col min="64" max="16384" width="9" style="176"/>
  </cols>
  <sheetData>
    <row r="1" spans="1:63" ht="33" customHeight="1" thickBot="1">
      <c r="A1" s="530" t="s">
        <v>190</v>
      </c>
      <c r="B1" s="531"/>
      <c r="C1" s="531"/>
      <c r="D1" s="531"/>
      <c r="E1" s="531"/>
      <c r="F1" s="532"/>
      <c r="G1" s="166"/>
      <c r="H1" s="167"/>
      <c r="I1" s="168"/>
      <c r="J1" s="168"/>
      <c r="K1" s="533" t="s">
        <v>188</v>
      </c>
      <c r="L1" s="534"/>
      <c r="M1" s="535"/>
      <c r="N1" s="168"/>
      <c r="O1" s="169"/>
      <c r="P1" s="170"/>
      <c r="Q1" s="536" t="s">
        <v>10</v>
      </c>
      <c r="R1" s="537"/>
      <c r="S1" s="170"/>
      <c r="T1" s="538" t="s">
        <v>195</v>
      </c>
      <c r="U1" s="539"/>
      <c r="V1" s="539"/>
      <c r="W1" s="539"/>
      <c r="X1" s="539"/>
      <c r="Y1" s="540"/>
      <c r="Z1" s="170"/>
      <c r="AA1" s="171" t="s">
        <v>184</v>
      </c>
      <c r="AB1" s="170"/>
      <c r="AC1" s="538" t="s">
        <v>49</v>
      </c>
      <c r="AD1" s="539"/>
      <c r="AE1" s="539"/>
      <c r="AF1" s="539"/>
      <c r="AG1" s="539"/>
      <c r="AH1" s="540"/>
      <c r="AI1" s="170"/>
      <c r="AJ1" s="538" t="s">
        <v>50</v>
      </c>
      <c r="AK1" s="539"/>
      <c r="AL1" s="539"/>
      <c r="AM1" s="539"/>
      <c r="AN1" s="539"/>
      <c r="AO1" s="540"/>
      <c r="AP1" s="172"/>
      <c r="AQ1" s="173"/>
      <c r="AR1" s="546" t="s">
        <v>242</v>
      </c>
      <c r="AS1" s="547"/>
      <c r="AT1" s="548"/>
      <c r="AU1" s="173"/>
      <c r="AV1" s="172"/>
      <c r="AW1" s="174"/>
      <c r="AX1" s="553" t="s">
        <v>168</v>
      </c>
      <c r="AY1" s="554"/>
      <c r="AZ1" s="554"/>
      <c r="BA1" s="555"/>
      <c r="BB1" s="174"/>
      <c r="BC1" s="558" t="s">
        <v>99</v>
      </c>
      <c r="BD1" s="175" t="s">
        <v>166</v>
      </c>
      <c r="BE1" s="175" t="s">
        <v>165</v>
      </c>
      <c r="BF1" s="174"/>
      <c r="BG1" s="523" t="s">
        <v>247</v>
      </c>
      <c r="BH1" s="523"/>
      <c r="BJ1" s="523" t="s">
        <v>248</v>
      </c>
      <c r="BK1" s="523"/>
    </row>
    <row r="2" spans="1:63" ht="33" customHeight="1" thickBot="1">
      <c r="A2" s="177"/>
      <c r="B2" s="178"/>
      <c r="C2" s="179"/>
      <c r="D2" s="180" t="s">
        <v>191</v>
      </c>
      <c r="E2" s="181">
        <f>'Application Annually'!$H$5</f>
        <v>28</v>
      </c>
      <c r="F2" s="182" t="s">
        <v>99</v>
      </c>
      <c r="G2" s="166"/>
      <c r="H2" s="167"/>
      <c r="I2" s="168"/>
      <c r="J2" s="168"/>
      <c r="K2" s="543" t="s">
        <v>122</v>
      </c>
      <c r="L2" s="183">
        <v>2000000000</v>
      </c>
      <c r="M2" s="184" t="s">
        <v>169</v>
      </c>
      <c r="N2" s="168"/>
      <c r="O2" s="185"/>
      <c r="P2" s="170"/>
      <c r="Q2" s="186" t="s">
        <v>13</v>
      </c>
      <c r="R2" s="187">
        <v>0.18</v>
      </c>
      <c r="S2" s="170"/>
      <c r="T2" s="556" t="s">
        <v>29</v>
      </c>
      <c r="U2" s="188"/>
      <c r="V2" s="188"/>
      <c r="W2" s="188"/>
      <c r="X2" s="188"/>
      <c r="Y2" s="556" t="s">
        <v>30</v>
      </c>
      <c r="Z2" s="170"/>
      <c r="AA2" s="541" t="s">
        <v>185</v>
      </c>
      <c r="AB2" s="170"/>
      <c r="AC2" s="556" t="s">
        <v>29</v>
      </c>
      <c r="AD2" s="188"/>
      <c r="AE2" s="188"/>
      <c r="AF2" s="188"/>
      <c r="AG2" s="188"/>
      <c r="AH2" s="556" t="s">
        <v>30</v>
      </c>
      <c r="AI2" s="170"/>
      <c r="AJ2" s="556" t="s">
        <v>29</v>
      </c>
      <c r="AK2" s="188"/>
      <c r="AL2" s="188"/>
      <c r="AM2" s="188"/>
      <c r="AN2" s="188"/>
      <c r="AO2" s="556" t="s">
        <v>30</v>
      </c>
      <c r="AP2" s="172"/>
      <c r="AQ2" s="173"/>
      <c r="AR2" s="189" t="s">
        <v>175</v>
      </c>
      <c r="AS2" s="190">
        <v>4</v>
      </c>
      <c r="AT2" s="191" t="s">
        <v>174</v>
      </c>
      <c r="AU2" s="173"/>
      <c r="AV2" s="172"/>
      <c r="AW2" s="174"/>
      <c r="AX2" s="192"/>
      <c r="AY2" s="193" t="s">
        <v>169</v>
      </c>
      <c r="AZ2" s="193" t="s">
        <v>170</v>
      </c>
      <c r="BA2" s="194" t="s">
        <v>171</v>
      </c>
      <c r="BB2" s="174"/>
      <c r="BC2" s="559"/>
      <c r="BD2" s="551" t="s">
        <v>167</v>
      </c>
      <c r="BE2" s="552"/>
      <c r="BF2" s="174"/>
      <c r="BG2" s="317" t="s">
        <v>244</v>
      </c>
      <c r="BH2" s="318" t="s">
        <v>246</v>
      </c>
      <c r="BJ2" s="317" t="s">
        <v>244</v>
      </c>
      <c r="BK2" s="318" t="s">
        <v>246</v>
      </c>
    </row>
    <row r="3" spans="1:63" ht="33" customHeight="1" thickBot="1">
      <c r="A3" s="195" t="s">
        <v>123</v>
      </c>
      <c r="B3" s="196">
        <f>'Application Annually'!$C$7/100</f>
        <v>0.2</v>
      </c>
      <c r="C3" s="197" t="s">
        <v>192</v>
      </c>
      <c r="D3" s="198" t="s">
        <v>122</v>
      </c>
      <c r="E3" s="199">
        <f>'Application Annually'!H7</f>
        <v>100000000</v>
      </c>
      <c r="F3" s="200" t="s">
        <v>8</v>
      </c>
      <c r="G3" s="166"/>
      <c r="H3" s="167"/>
      <c r="I3" s="168"/>
      <c r="J3" s="168"/>
      <c r="K3" s="544"/>
      <c r="L3" s="201">
        <v>1000000000</v>
      </c>
      <c r="M3" s="202" t="s">
        <v>170</v>
      </c>
      <c r="N3" s="168"/>
      <c r="O3" s="185"/>
      <c r="P3" s="170"/>
      <c r="Q3" s="203" t="s">
        <v>11</v>
      </c>
      <c r="R3" s="204">
        <v>0.15</v>
      </c>
      <c r="S3" s="170"/>
      <c r="T3" s="557"/>
      <c r="U3" s="205">
        <v>1</v>
      </c>
      <c r="V3" s="205">
        <v>2</v>
      </c>
      <c r="W3" s="205">
        <v>4</v>
      </c>
      <c r="X3" s="205">
        <v>12</v>
      </c>
      <c r="Y3" s="557"/>
      <c r="Z3" s="170"/>
      <c r="AA3" s="542"/>
      <c r="AB3" s="170"/>
      <c r="AC3" s="557"/>
      <c r="AD3" s="205">
        <v>1</v>
      </c>
      <c r="AE3" s="205">
        <v>2</v>
      </c>
      <c r="AF3" s="205">
        <v>4</v>
      </c>
      <c r="AG3" s="205">
        <v>12</v>
      </c>
      <c r="AH3" s="557"/>
      <c r="AI3" s="170"/>
      <c r="AJ3" s="557"/>
      <c r="AK3" s="205">
        <v>1</v>
      </c>
      <c r="AL3" s="205">
        <v>2</v>
      </c>
      <c r="AM3" s="205">
        <v>4</v>
      </c>
      <c r="AN3" s="205">
        <v>12</v>
      </c>
      <c r="AO3" s="557"/>
      <c r="AP3" s="172"/>
      <c r="AQ3" s="173"/>
      <c r="AR3" s="206" t="s">
        <v>175</v>
      </c>
      <c r="AS3" s="207">
        <v>2</v>
      </c>
      <c r="AT3" s="208" t="s">
        <v>176</v>
      </c>
      <c r="AU3" s="173"/>
      <c r="AV3" s="172"/>
      <c r="AW3" s="174"/>
      <c r="AX3" s="209" t="s">
        <v>106</v>
      </c>
      <c r="AY3" s="210" t="s">
        <v>172</v>
      </c>
      <c r="AZ3" s="210" t="s">
        <v>172</v>
      </c>
      <c r="BA3" s="210" t="s">
        <v>173</v>
      </c>
      <c r="BB3" s="174"/>
      <c r="BC3" s="211">
        <v>0</v>
      </c>
      <c r="BD3" s="212">
        <v>450</v>
      </c>
      <c r="BE3" s="213">
        <v>450</v>
      </c>
      <c r="BF3" s="214"/>
      <c r="BG3" s="315">
        <v>0</v>
      </c>
      <c r="BH3" s="315">
        <v>100000000</v>
      </c>
      <c r="BJ3" s="315">
        <v>0</v>
      </c>
      <c r="BK3" s="315">
        <v>2000000000</v>
      </c>
    </row>
    <row r="4" spans="1:63" ht="33" customHeight="1" thickBot="1">
      <c r="A4" s="195" t="s">
        <v>123</v>
      </c>
      <c r="B4" s="196">
        <f>'Application Annually'!C11/100</f>
        <v>0.15</v>
      </c>
      <c r="C4" s="197" t="s">
        <v>193</v>
      </c>
      <c r="D4" s="198" t="s">
        <v>122</v>
      </c>
      <c r="E4" s="199">
        <f>'Application Annually'!H11</f>
        <v>1000000000</v>
      </c>
      <c r="F4" s="200" t="s">
        <v>6</v>
      </c>
      <c r="G4" s="166"/>
      <c r="H4" s="167"/>
      <c r="I4" s="168"/>
      <c r="J4" s="168"/>
      <c r="K4" s="544"/>
      <c r="L4" s="201">
        <v>50000000</v>
      </c>
      <c r="M4" s="202" t="s">
        <v>171</v>
      </c>
      <c r="N4" s="168"/>
      <c r="O4" s="185"/>
      <c r="P4" s="170"/>
      <c r="Q4" s="215" t="s">
        <v>20</v>
      </c>
      <c r="R4" s="216">
        <v>0.15</v>
      </c>
      <c r="S4" s="170"/>
      <c r="T4" s="217">
        <v>1</v>
      </c>
      <c r="U4" s="217">
        <f>$R$2</f>
        <v>0.18</v>
      </c>
      <c r="V4" s="217">
        <f>(((1-(1/(1+$U4)))/(V$3*(1-((1/(1+$U4))^(1/V$3)))))*(1+$U4))-1</f>
        <v>0.13313902456001059</v>
      </c>
      <c r="W4" s="217">
        <f t="shared" ref="V4:X23" si="0">(((1-(1/(1+$U4)))/(W$3*(1-((1/(1+$U4))^(1/W$3)))))*(1+$U4))-1</f>
        <v>0.11017358161043478</v>
      </c>
      <c r="X4" s="217">
        <f t="shared" si="0"/>
        <v>9.503565728486052E-2</v>
      </c>
      <c r="Y4" s="217">
        <f t="shared" ref="Y4:Y35" si="1">LOOKUP($Q$7,$U$3:$X$3,U4:X4)</f>
        <v>0.18</v>
      </c>
      <c r="Z4" s="170"/>
      <c r="AA4" s="217">
        <f>'Mortality Table'!$H$2</f>
        <v>0.18</v>
      </c>
      <c r="AB4" s="170"/>
      <c r="AC4" s="217">
        <v>1</v>
      </c>
      <c r="AD4" s="217">
        <v>0.2</v>
      </c>
      <c r="AE4" s="217">
        <f>(((1-(1/(1+$AD4)))/(AE$3*(1-((1/(1+$AD4))^(1/AE$3)))))*(1+$AD4))-1</f>
        <v>0.14772255750516639</v>
      </c>
      <c r="AF4" s="217">
        <f t="shared" ref="AF4:AG19" si="2">(((1-(1/(1+$AD4)))/(AF$3*(1-((1/(1+$AD4))^(1/AF$3)))))*(1+$AD4))-1</f>
        <v>0.12215290126191869</v>
      </c>
      <c r="AG4" s="217">
        <f t="shared" si="2"/>
        <v>0.10531742483359952</v>
      </c>
      <c r="AH4" s="217">
        <f t="shared" ref="AH4:AH35" si="3">LOOKUP($Q$7,$U$3:$X$3,AD4:AG4)</f>
        <v>0.2</v>
      </c>
      <c r="AI4" s="170"/>
      <c r="AJ4" s="217">
        <v>1</v>
      </c>
      <c r="AK4" s="217">
        <v>0.22</v>
      </c>
      <c r="AL4" s="217">
        <f>(((1-(1/(1+$AK4)))/(AL$3*(1-((1/(1+$AK4))^(1/AL$3)))))*(1+$AK4))-1</f>
        <v>0.16226805085936236</v>
      </c>
      <c r="AM4" s="217">
        <f>(((1-(1/(1+$AK4)))/(AM$3*(1-((1/(1+$AK4))^(1/AM$3)))))*(1+$AK4))-1</f>
        <v>0.13408464177211044</v>
      </c>
      <c r="AN4" s="217">
        <f>(((1-(1/(1+$AK4)))/(AN$3*(1-((1/(1+$AK4))^(1/AN$3)))))*(1+$AK4))-1</f>
        <v>0.11554878442527183</v>
      </c>
      <c r="AO4" s="217">
        <f t="shared" ref="AO4:AO35" si="4">LOOKUP($Q$7,$U$3:$X$3,AK4:AN4)</f>
        <v>0.22</v>
      </c>
      <c r="AP4" s="172"/>
      <c r="AQ4" s="173"/>
      <c r="AR4" s="206" t="s">
        <v>175</v>
      </c>
      <c r="AS4" s="207">
        <v>1.5</v>
      </c>
      <c r="AT4" s="208" t="s">
        <v>177</v>
      </c>
      <c r="AU4" s="173"/>
      <c r="AV4" s="172"/>
      <c r="AW4" s="174"/>
      <c r="AX4" s="218">
        <v>1</v>
      </c>
      <c r="AY4" s="219">
        <v>0.6</v>
      </c>
      <c r="AZ4" s="220">
        <f>1.2/2</f>
        <v>0.6</v>
      </c>
      <c r="BA4" s="221">
        <v>0.8</v>
      </c>
      <c r="BB4" s="174"/>
      <c r="BC4" s="222">
        <v>1</v>
      </c>
      <c r="BD4" s="212">
        <v>450</v>
      </c>
      <c r="BE4" s="213">
        <v>450</v>
      </c>
      <c r="BF4" s="214"/>
      <c r="BG4" s="315">
        <v>1</v>
      </c>
      <c r="BH4" s="315">
        <v>200000000</v>
      </c>
      <c r="BJ4" s="315">
        <v>1</v>
      </c>
      <c r="BK4" s="315">
        <v>2000000000</v>
      </c>
    </row>
    <row r="5" spans="1:63" ht="33" customHeight="1">
      <c r="A5" s="195" t="s">
        <v>122</v>
      </c>
      <c r="B5" s="223">
        <f>'Application Annually'!$C$9</f>
        <v>10000000</v>
      </c>
      <c r="C5" s="197" t="s">
        <v>109</v>
      </c>
      <c r="D5" s="198" t="s">
        <v>127</v>
      </c>
      <c r="E5" s="199">
        <f>'Application Annually'!$C$5</f>
        <v>15</v>
      </c>
      <c r="F5" s="200" t="s">
        <v>107</v>
      </c>
      <c r="G5" s="166"/>
      <c r="H5" s="167"/>
      <c r="I5" s="168"/>
      <c r="J5" s="168"/>
      <c r="K5" s="544"/>
      <c r="L5" s="201">
        <v>200000000</v>
      </c>
      <c r="M5" s="202" t="s">
        <v>166</v>
      </c>
      <c r="N5" s="168"/>
      <c r="O5" s="185"/>
      <c r="P5" s="170"/>
      <c r="Q5" s="170"/>
      <c r="R5" s="170"/>
      <c r="S5" s="170"/>
      <c r="T5" s="224">
        <f>T4+1</f>
        <v>2</v>
      </c>
      <c r="U5" s="224">
        <f>$R$2</f>
        <v>0.18</v>
      </c>
      <c r="V5" s="217">
        <f t="shared" si="0"/>
        <v>0.13313902456001059</v>
      </c>
      <c r="W5" s="217">
        <f t="shared" si="0"/>
        <v>0.11017358161043478</v>
      </c>
      <c r="X5" s="217">
        <f t="shared" si="0"/>
        <v>9.503565728486052E-2</v>
      </c>
      <c r="Y5" s="217">
        <f t="shared" si="1"/>
        <v>0.18</v>
      </c>
      <c r="Z5" s="170"/>
      <c r="AA5" s="217">
        <f>'Mortality Table'!$H$2</f>
        <v>0.18</v>
      </c>
      <c r="AB5" s="170"/>
      <c r="AC5" s="224">
        <f>AC4+1</f>
        <v>2</v>
      </c>
      <c r="AD5" s="224">
        <v>0.2</v>
      </c>
      <c r="AE5" s="217">
        <f t="shared" ref="AE5:AG36" si="5">(((1-(1/(1+$AD5)))/(AE$3*(1-((1/(1+$AD5))^(1/AE$3)))))*(1+$AD5))-1</f>
        <v>0.14772255750516639</v>
      </c>
      <c r="AF5" s="217">
        <f t="shared" si="2"/>
        <v>0.12215290126191869</v>
      </c>
      <c r="AG5" s="217">
        <f t="shared" si="2"/>
        <v>0.10531742483359952</v>
      </c>
      <c r="AH5" s="217">
        <f t="shared" si="3"/>
        <v>0.2</v>
      </c>
      <c r="AI5" s="170"/>
      <c r="AJ5" s="224">
        <f>AJ4+1</f>
        <v>2</v>
      </c>
      <c r="AK5" s="217">
        <v>0.22</v>
      </c>
      <c r="AL5" s="217">
        <f t="shared" ref="AL5:AL36" si="6">(((1-(1/(1+$AK5)))/(AL$3*(1-((1/(1+$AK5))^(1/AL$3)))))*(1+$AK5))-1</f>
        <v>0.16226805085936236</v>
      </c>
      <c r="AM5" s="217">
        <f t="shared" ref="AM5:AN68" si="7">(((1-(1/(1+$AK5)))/(AM$3*(1-((1/(1+$AK5))^(1/AM$3)))))*(1+$AK5))-1</f>
        <v>0.13408464177211044</v>
      </c>
      <c r="AN5" s="217">
        <f t="shared" si="7"/>
        <v>0.11554878442527183</v>
      </c>
      <c r="AO5" s="217">
        <f t="shared" si="4"/>
        <v>0.22</v>
      </c>
      <c r="AP5" s="172"/>
      <c r="AQ5" s="173"/>
      <c r="AR5" s="206" t="s">
        <v>179</v>
      </c>
      <c r="AS5" s="207">
        <v>1.5</v>
      </c>
      <c r="AT5" s="208" t="s">
        <v>178</v>
      </c>
      <c r="AU5" s="173"/>
      <c r="AV5" s="172"/>
      <c r="AW5" s="174"/>
      <c r="AX5" s="225">
        <v>2</v>
      </c>
      <c r="AY5" s="220">
        <f>1.5/2</f>
        <v>0.75</v>
      </c>
      <c r="AZ5" s="220">
        <f>1.5/2</f>
        <v>0.75</v>
      </c>
      <c r="BA5" s="220">
        <v>1.1000000000000001</v>
      </c>
      <c r="BB5" s="174"/>
      <c r="BC5" s="222">
        <f t="shared" ref="BC5:BC36" si="8">BC4+1</f>
        <v>2</v>
      </c>
      <c r="BD5" s="226">
        <v>450</v>
      </c>
      <c r="BE5" s="213">
        <v>450</v>
      </c>
      <c r="BF5" s="214"/>
      <c r="BG5" s="315">
        <v>2</v>
      </c>
      <c r="BH5" s="315">
        <v>200000000</v>
      </c>
      <c r="BJ5" s="315">
        <v>2</v>
      </c>
      <c r="BK5" s="315">
        <v>2000000000</v>
      </c>
    </row>
    <row r="6" spans="1:63" ht="33" customHeight="1">
      <c r="A6" s="195" t="s">
        <v>123</v>
      </c>
      <c r="B6" s="223">
        <f>'Application Annually'!$C$14</f>
        <v>1</v>
      </c>
      <c r="C6" s="227" t="s">
        <v>169</v>
      </c>
      <c r="D6" s="228" t="str">
        <f>'Application Annually'!$G$14</f>
        <v>Yes</v>
      </c>
      <c r="E6" s="526" t="s">
        <v>169</v>
      </c>
      <c r="F6" s="527"/>
      <c r="G6" s="166"/>
      <c r="H6" s="167"/>
      <c r="I6" s="168"/>
      <c r="J6" s="168"/>
      <c r="K6" s="544"/>
      <c r="L6" s="201">
        <v>300000000</v>
      </c>
      <c r="M6" s="202" t="s">
        <v>186</v>
      </c>
      <c r="N6" s="168"/>
      <c r="O6" s="185"/>
      <c r="P6" s="170"/>
      <c r="Q6" s="170"/>
      <c r="R6" s="170"/>
      <c r="S6" s="170"/>
      <c r="T6" s="224">
        <f t="shared" ref="T6:T69" si="9">T5+1</f>
        <v>3</v>
      </c>
      <c r="U6" s="224">
        <f>$R$2</f>
        <v>0.18</v>
      </c>
      <c r="V6" s="217">
        <f t="shared" si="0"/>
        <v>0.13313902456001059</v>
      </c>
      <c r="W6" s="217">
        <f t="shared" si="0"/>
        <v>0.11017358161043478</v>
      </c>
      <c r="X6" s="217">
        <f t="shared" si="0"/>
        <v>9.503565728486052E-2</v>
      </c>
      <c r="Y6" s="217">
        <f t="shared" si="1"/>
        <v>0.18</v>
      </c>
      <c r="Z6" s="170"/>
      <c r="AA6" s="217">
        <f>'Mortality Table'!$H$2</f>
        <v>0.18</v>
      </c>
      <c r="AB6" s="170"/>
      <c r="AC6" s="224">
        <f t="shared" ref="AC6:AC69" si="10">AC5+1</f>
        <v>3</v>
      </c>
      <c r="AD6" s="224">
        <v>0.2</v>
      </c>
      <c r="AE6" s="217">
        <f t="shared" si="5"/>
        <v>0.14772255750516639</v>
      </c>
      <c r="AF6" s="217">
        <f t="shared" si="2"/>
        <v>0.12215290126191869</v>
      </c>
      <c r="AG6" s="217">
        <f t="shared" si="2"/>
        <v>0.10531742483359952</v>
      </c>
      <c r="AH6" s="217">
        <f t="shared" si="3"/>
        <v>0.2</v>
      </c>
      <c r="AI6" s="170"/>
      <c r="AJ6" s="224">
        <f t="shared" ref="AJ6:AJ69" si="11">AJ5+1</f>
        <v>3</v>
      </c>
      <c r="AK6" s="217">
        <v>0.22</v>
      </c>
      <c r="AL6" s="217">
        <f t="shared" si="6"/>
        <v>0.16226805085936236</v>
      </c>
      <c r="AM6" s="217">
        <f t="shared" si="7"/>
        <v>0.13408464177211044</v>
      </c>
      <c r="AN6" s="217">
        <f t="shared" si="7"/>
        <v>0.11554878442527183</v>
      </c>
      <c r="AO6" s="217">
        <f t="shared" si="4"/>
        <v>0.22</v>
      </c>
      <c r="AP6" s="172"/>
      <c r="AQ6" s="173"/>
      <c r="AR6" s="206" t="s">
        <v>134</v>
      </c>
      <c r="AS6" s="207">
        <v>0</v>
      </c>
      <c r="AT6" s="208" t="s">
        <v>174</v>
      </c>
      <c r="AU6" s="173"/>
      <c r="AV6" s="172"/>
      <c r="AW6" s="174"/>
      <c r="AX6" s="225">
        <v>3</v>
      </c>
      <c r="AY6" s="220">
        <f>2.2/2</f>
        <v>1.1000000000000001</v>
      </c>
      <c r="AZ6" s="220">
        <f>2.2/2</f>
        <v>1.1000000000000001</v>
      </c>
      <c r="BA6" s="220">
        <v>1.5</v>
      </c>
      <c r="BB6" s="174"/>
      <c r="BC6" s="222">
        <f t="shared" si="8"/>
        <v>3</v>
      </c>
      <c r="BD6" s="226">
        <v>450</v>
      </c>
      <c r="BE6" s="213">
        <v>450</v>
      </c>
      <c r="BF6" s="214"/>
      <c r="BG6" s="315">
        <v>3</v>
      </c>
      <c r="BH6" s="315">
        <v>200000000</v>
      </c>
      <c r="BJ6" s="315">
        <v>3</v>
      </c>
      <c r="BK6" s="315">
        <v>2000000000</v>
      </c>
    </row>
    <row r="7" spans="1:63" ht="33" customHeight="1" thickBot="1">
      <c r="A7" s="239" t="s">
        <v>187</v>
      </c>
      <c r="B7" s="196">
        <f>'Application Annually'!$C$16/100</f>
        <v>0.5</v>
      </c>
      <c r="C7" s="197" t="s">
        <v>170</v>
      </c>
      <c r="D7" s="228" t="str">
        <f>'Application Annually'!$G$16</f>
        <v>Yes</v>
      </c>
      <c r="E7" s="526" t="s">
        <v>170</v>
      </c>
      <c r="F7" s="527"/>
      <c r="G7" s="166"/>
      <c r="H7" s="167"/>
      <c r="I7" s="168"/>
      <c r="J7" s="168"/>
      <c r="K7" s="545"/>
      <c r="L7" s="319">
        <v>2000000000</v>
      </c>
      <c r="M7" s="320" t="s">
        <v>189</v>
      </c>
      <c r="N7" s="168"/>
      <c r="O7" s="172"/>
      <c r="P7" s="170"/>
      <c r="Q7" s="232">
        <v>1</v>
      </c>
      <c r="R7" s="232" t="s">
        <v>31</v>
      </c>
      <c r="S7" s="170"/>
      <c r="T7" s="224">
        <f t="shared" si="9"/>
        <v>4</v>
      </c>
      <c r="U7" s="224">
        <f>$R$2</f>
        <v>0.18</v>
      </c>
      <c r="V7" s="217">
        <f t="shared" si="0"/>
        <v>0.13313902456001059</v>
      </c>
      <c r="W7" s="217">
        <f t="shared" si="0"/>
        <v>0.11017358161043478</v>
      </c>
      <c r="X7" s="217">
        <f t="shared" si="0"/>
        <v>9.503565728486052E-2</v>
      </c>
      <c r="Y7" s="217">
        <f t="shared" si="1"/>
        <v>0.18</v>
      </c>
      <c r="Z7" s="170"/>
      <c r="AA7" s="217">
        <f>'Mortality Table'!$H$2</f>
        <v>0.18</v>
      </c>
      <c r="AB7" s="170"/>
      <c r="AC7" s="224">
        <f t="shared" si="10"/>
        <v>4</v>
      </c>
      <c r="AD7" s="224">
        <v>0.2</v>
      </c>
      <c r="AE7" s="217">
        <f t="shared" si="5"/>
        <v>0.14772255750516639</v>
      </c>
      <c r="AF7" s="217">
        <f t="shared" si="2"/>
        <v>0.12215290126191869</v>
      </c>
      <c r="AG7" s="217">
        <f t="shared" si="2"/>
        <v>0.10531742483359952</v>
      </c>
      <c r="AH7" s="217">
        <f t="shared" si="3"/>
        <v>0.2</v>
      </c>
      <c r="AI7" s="170"/>
      <c r="AJ7" s="224">
        <f t="shared" si="11"/>
        <v>4</v>
      </c>
      <c r="AK7" s="217">
        <v>0.22</v>
      </c>
      <c r="AL7" s="217">
        <f t="shared" si="6"/>
        <v>0.16226805085936236</v>
      </c>
      <c r="AM7" s="217">
        <f t="shared" si="7"/>
        <v>0.13408464177211044</v>
      </c>
      <c r="AN7" s="217">
        <f t="shared" si="7"/>
        <v>0.11554878442527183</v>
      </c>
      <c r="AO7" s="217">
        <f t="shared" si="4"/>
        <v>0.22</v>
      </c>
      <c r="AP7" s="172"/>
      <c r="AQ7" s="173"/>
      <c r="AR7" s="206" t="s">
        <v>134</v>
      </c>
      <c r="AS7" s="207">
        <v>2</v>
      </c>
      <c r="AT7" s="208" t="s">
        <v>176</v>
      </c>
      <c r="AU7" s="173"/>
      <c r="AV7" s="172"/>
      <c r="AW7" s="174"/>
      <c r="AX7" s="225">
        <v>4</v>
      </c>
      <c r="AY7" s="220">
        <f>2.8/2</f>
        <v>1.4</v>
      </c>
      <c r="AZ7" s="220">
        <f>2.8/2</f>
        <v>1.4</v>
      </c>
      <c r="BA7" s="220">
        <v>2.5</v>
      </c>
      <c r="BB7" s="174"/>
      <c r="BC7" s="222">
        <f t="shared" si="8"/>
        <v>4</v>
      </c>
      <c r="BD7" s="226">
        <v>450</v>
      </c>
      <c r="BE7" s="213">
        <v>450</v>
      </c>
      <c r="BF7" s="214"/>
      <c r="BG7" s="315">
        <v>4</v>
      </c>
      <c r="BH7" s="315">
        <v>200000000</v>
      </c>
      <c r="BJ7" s="315">
        <v>4</v>
      </c>
      <c r="BK7" s="315">
        <v>2000000000</v>
      </c>
    </row>
    <row r="8" spans="1:63" ht="33" customHeight="1" thickBot="1">
      <c r="A8" s="229">
        <f>'Application Annually'!$B$20</f>
        <v>1</v>
      </c>
      <c r="B8" s="524" t="s">
        <v>106</v>
      </c>
      <c r="C8" s="525"/>
      <c r="D8" s="228" t="str">
        <f>'Application Annually'!G20</f>
        <v>Yes</v>
      </c>
      <c r="E8" s="526" t="s">
        <v>150</v>
      </c>
      <c r="F8" s="527"/>
      <c r="G8" s="166"/>
      <c r="H8" s="167"/>
      <c r="I8" s="168"/>
      <c r="J8" s="168"/>
      <c r="K8" s="168"/>
      <c r="L8" s="168"/>
      <c r="M8" s="168"/>
      <c r="N8" s="168"/>
      <c r="O8" s="172"/>
      <c r="P8" s="170"/>
      <c r="Q8" s="170"/>
      <c r="R8" s="170"/>
      <c r="S8" s="170"/>
      <c r="T8" s="224">
        <f t="shared" si="9"/>
        <v>5</v>
      </c>
      <c r="U8" s="224">
        <f>$R$2</f>
        <v>0.18</v>
      </c>
      <c r="V8" s="217">
        <f t="shared" si="0"/>
        <v>0.13313902456001059</v>
      </c>
      <c r="W8" s="217">
        <f t="shared" si="0"/>
        <v>0.11017358161043478</v>
      </c>
      <c r="X8" s="217">
        <f t="shared" si="0"/>
        <v>9.503565728486052E-2</v>
      </c>
      <c r="Y8" s="217">
        <f t="shared" si="1"/>
        <v>0.18</v>
      </c>
      <c r="Z8" s="170"/>
      <c r="AA8" s="217">
        <f>'Mortality Table'!$H$2</f>
        <v>0.18</v>
      </c>
      <c r="AB8" s="170"/>
      <c r="AC8" s="224">
        <f t="shared" si="10"/>
        <v>5</v>
      </c>
      <c r="AD8" s="224">
        <v>0.2</v>
      </c>
      <c r="AE8" s="217">
        <f t="shared" si="5"/>
        <v>0.14772255750516639</v>
      </c>
      <c r="AF8" s="217">
        <f t="shared" si="2"/>
        <v>0.12215290126191869</v>
      </c>
      <c r="AG8" s="217">
        <f t="shared" si="2"/>
        <v>0.10531742483359952</v>
      </c>
      <c r="AH8" s="217">
        <f t="shared" si="3"/>
        <v>0.2</v>
      </c>
      <c r="AI8" s="170"/>
      <c r="AJ8" s="224">
        <f t="shared" si="11"/>
        <v>5</v>
      </c>
      <c r="AK8" s="217">
        <v>0.22</v>
      </c>
      <c r="AL8" s="217">
        <f t="shared" si="6"/>
        <v>0.16226805085936236</v>
      </c>
      <c r="AM8" s="217">
        <f t="shared" si="7"/>
        <v>0.13408464177211044</v>
      </c>
      <c r="AN8" s="217">
        <f t="shared" si="7"/>
        <v>0.11554878442527183</v>
      </c>
      <c r="AO8" s="217">
        <f t="shared" si="4"/>
        <v>0.22</v>
      </c>
      <c r="AP8" s="172"/>
      <c r="AQ8" s="173"/>
      <c r="AR8" s="206" t="s">
        <v>134</v>
      </c>
      <c r="AS8" s="207">
        <v>3</v>
      </c>
      <c r="AT8" s="208" t="s">
        <v>177</v>
      </c>
      <c r="AU8" s="173"/>
      <c r="AV8" s="172"/>
      <c r="AW8" s="174"/>
      <c r="AX8" s="230">
        <v>5</v>
      </c>
      <c r="AY8" s="231">
        <f>3.5/2</f>
        <v>1.75</v>
      </c>
      <c r="AZ8" s="231">
        <f>3.5/2</f>
        <v>1.75</v>
      </c>
      <c r="BA8" s="231">
        <v>3</v>
      </c>
      <c r="BB8" s="174"/>
      <c r="BC8" s="222">
        <f t="shared" si="8"/>
        <v>5</v>
      </c>
      <c r="BD8" s="226">
        <v>450</v>
      </c>
      <c r="BE8" s="213">
        <v>450</v>
      </c>
      <c r="BF8" s="214"/>
      <c r="BG8" s="315">
        <v>5</v>
      </c>
      <c r="BH8" s="315">
        <v>200000000</v>
      </c>
      <c r="BJ8" s="315">
        <v>5</v>
      </c>
      <c r="BK8" s="315">
        <v>2000000000</v>
      </c>
    </row>
    <row r="9" spans="1:63" ht="33" customHeight="1" thickBot="1">
      <c r="A9" s="239" t="s">
        <v>187</v>
      </c>
      <c r="B9" s="196">
        <f>'Application Annually'!C18/100</f>
        <v>0.2</v>
      </c>
      <c r="C9" s="197" t="s">
        <v>171</v>
      </c>
      <c r="D9" s="228" t="str">
        <f>'Application Annually'!$G$18</f>
        <v>Yes</v>
      </c>
      <c r="E9" s="526" t="s">
        <v>171</v>
      </c>
      <c r="F9" s="527"/>
      <c r="G9" s="166"/>
      <c r="H9" s="167"/>
      <c r="I9" s="168"/>
      <c r="J9" s="168"/>
      <c r="K9" s="168"/>
      <c r="L9" s="168"/>
      <c r="M9" s="168"/>
      <c r="N9" s="168"/>
      <c r="O9" s="172"/>
      <c r="P9" s="170"/>
      <c r="Q9" s="232">
        <f>IF($Q$11="سالیانه",1,IF($Q$11="ماهیانه",12,IF($Q$11="سه ماه یکبار",4,2)))</f>
        <v>2</v>
      </c>
      <c r="R9" s="170"/>
      <c r="S9" s="170"/>
      <c r="T9" s="224">
        <f t="shared" si="9"/>
        <v>6</v>
      </c>
      <c r="U9" s="224">
        <f>$R$3</f>
        <v>0.15</v>
      </c>
      <c r="V9" s="217">
        <f t="shared" si="0"/>
        <v>0.11119026473817994</v>
      </c>
      <c r="W9" s="217">
        <f t="shared" si="0"/>
        <v>9.2112731007184756E-2</v>
      </c>
      <c r="X9" s="217">
        <f t="shared" si="0"/>
        <v>7.9515676296965099E-2</v>
      </c>
      <c r="Y9" s="217">
        <f t="shared" si="1"/>
        <v>0.15</v>
      </c>
      <c r="Z9" s="170"/>
      <c r="AA9" s="217">
        <f>'Mortality Table'!$H$3</f>
        <v>0.15</v>
      </c>
      <c r="AB9" s="170"/>
      <c r="AC9" s="224">
        <f t="shared" si="10"/>
        <v>6</v>
      </c>
      <c r="AD9" s="224">
        <v>0.2</v>
      </c>
      <c r="AE9" s="217">
        <f t="shared" si="5"/>
        <v>0.14772255750516639</v>
      </c>
      <c r="AF9" s="217">
        <f t="shared" si="2"/>
        <v>0.12215290126191869</v>
      </c>
      <c r="AG9" s="217">
        <f t="shared" si="2"/>
        <v>0.10531742483359952</v>
      </c>
      <c r="AH9" s="217">
        <f t="shared" si="3"/>
        <v>0.2</v>
      </c>
      <c r="AI9" s="170"/>
      <c r="AJ9" s="224">
        <f t="shared" si="11"/>
        <v>6</v>
      </c>
      <c r="AK9" s="217">
        <v>0.22</v>
      </c>
      <c r="AL9" s="217">
        <f t="shared" si="6"/>
        <v>0.16226805085936236</v>
      </c>
      <c r="AM9" s="217">
        <f t="shared" si="7"/>
        <v>0.13408464177211044</v>
      </c>
      <c r="AN9" s="217">
        <f t="shared" si="7"/>
        <v>0.11554878442527183</v>
      </c>
      <c r="AO9" s="217">
        <f t="shared" si="4"/>
        <v>0.22</v>
      </c>
      <c r="AP9" s="172"/>
      <c r="AQ9" s="173"/>
      <c r="AR9" s="206" t="s">
        <v>181</v>
      </c>
      <c r="AS9" s="207">
        <v>0.245</v>
      </c>
      <c r="AT9" s="208" t="s">
        <v>180</v>
      </c>
      <c r="AU9" s="173"/>
      <c r="AV9" s="172"/>
      <c r="AW9" s="174"/>
      <c r="AX9" s="174"/>
      <c r="AY9" s="174"/>
      <c r="AZ9" s="174"/>
      <c r="BA9" s="174"/>
      <c r="BB9" s="174"/>
      <c r="BC9" s="222">
        <f t="shared" si="8"/>
        <v>6</v>
      </c>
      <c r="BD9" s="226">
        <v>450</v>
      </c>
      <c r="BE9" s="213">
        <v>450</v>
      </c>
      <c r="BF9" s="214"/>
      <c r="BG9" s="315">
        <v>6</v>
      </c>
      <c r="BH9" s="315">
        <v>200000000</v>
      </c>
      <c r="BJ9" s="315">
        <v>6</v>
      </c>
      <c r="BK9" s="315">
        <v>2000000000</v>
      </c>
    </row>
    <row r="10" spans="1:63" ht="33" customHeight="1">
      <c r="A10" s="195" t="s">
        <v>194</v>
      </c>
      <c r="B10" s="223">
        <f>'Application Annually'!$C$22</f>
        <v>2</v>
      </c>
      <c r="C10" s="233" t="s">
        <v>128</v>
      </c>
      <c r="D10" s="228" t="str">
        <f>'Application Annually'!$G$22</f>
        <v>Yes</v>
      </c>
      <c r="E10" s="526" t="s">
        <v>120</v>
      </c>
      <c r="F10" s="527"/>
      <c r="G10" s="234"/>
      <c r="H10" s="185"/>
      <c r="I10" s="168"/>
      <c r="J10" s="168"/>
      <c r="K10" s="168"/>
      <c r="L10" s="168"/>
      <c r="M10" s="168"/>
      <c r="N10" s="168"/>
      <c r="O10" s="172"/>
      <c r="P10" s="170"/>
      <c r="Q10" s="232"/>
      <c r="R10" s="170"/>
      <c r="S10" s="170"/>
      <c r="T10" s="224">
        <f t="shared" si="9"/>
        <v>7</v>
      </c>
      <c r="U10" s="224">
        <f>$R$3</f>
        <v>0.15</v>
      </c>
      <c r="V10" s="217">
        <f t="shared" si="0"/>
        <v>0.11119026473817994</v>
      </c>
      <c r="W10" s="217">
        <f t="shared" si="0"/>
        <v>9.2112731007184756E-2</v>
      </c>
      <c r="X10" s="217">
        <f t="shared" si="0"/>
        <v>7.9515676296965099E-2</v>
      </c>
      <c r="Y10" s="217">
        <f t="shared" si="1"/>
        <v>0.15</v>
      </c>
      <c r="Z10" s="170"/>
      <c r="AA10" s="217">
        <f>'Mortality Table'!$H$3</f>
        <v>0.15</v>
      </c>
      <c r="AB10" s="170"/>
      <c r="AC10" s="224">
        <f t="shared" si="10"/>
        <v>7</v>
      </c>
      <c r="AD10" s="224">
        <v>0.2</v>
      </c>
      <c r="AE10" s="217">
        <f t="shared" si="5"/>
        <v>0.14772255750516639</v>
      </c>
      <c r="AF10" s="217">
        <f t="shared" si="2"/>
        <v>0.12215290126191869</v>
      </c>
      <c r="AG10" s="217">
        <f t="shared" si="2"/>
        <v>0.10531742483359952</v>
      </c>
      <c r="AH10" s="217">
        <f t="shared" si="3"/>
        <v>0.2</v>
      </c>
      <c r="AI10" s="170"/>
      <c r="AJ10" s="224">
        <f t="shared" si="11"/>
        <v>7</v>
      </c>
      <c r="AK10" s="217">
        <v>0.22</v>
      </c>
      <c r="AL10" s="217">
        <f t="shared" si="6"/>
        <v>0.16226805085936236</v>
      </c>
      <c r="AM10" s="217">
        <f t="shared" si="7"/>
        <v>0.13408464177211044</v>
      </c>
      <c r="AN10" s="217">
        <f t="shared" si="7"/>
        <v>0.11554878442527183</v>
      </c>
      <c r="AO10" s="217">
        <f t="shared" si="4"/>
        <v>0.22</v>
      </c>
      <c r="AP10" s="172"/>
      <c r="AQ10" s="173"/>
      <c r="AR10" s="206" t="s">
        <v>182</v>
      </c>
      <c r="AS10" s="207">
        <v>0.1</v>
      </c>
      <c r="AT10" s="208" t="s">
        <v>180</v>
      </c>
      <c r="AU10" s="173"/>
      <c r="AV10" s="172"/>
      <c r="AW10" s="174"/>
      <c r="AX10" s="174"/>
      <c r="AY10" s="174"/>
      <c r="AZ10" s="174"/>
      <c r="BA10" s="174"/>
      <c r="BB10" s="174"/>
      <c r="BC10" s="222">
        <f t="shared" si="8"/>
        <v>7</v>
      </c>
      <c r="BD10" s="226">
        <v>450</v>
      </c>
      <c r="BE10" s="213">
        <v>450</v>
      </c>
      <c r="BF10" s="214"/>
      <c r="BG10" s="315">
        <v>7</v>
      </c>
      <c r="BH10" s="315">
        <v>2000000000</v>
      </c>
      <c r="BJ10" s="315">
        <v>7</v>
      </c>
      <c r="BK10" s="315">
        <v>2000000000</v>
      </c>
    </row>
    <row r="11" spans="1:63" ht="33" customHeight="1" thickBot="1">
      <c r="A11" s="239" t="s">
        <v>187</v>
      </c>
      <c r="B11" s="196">
        <f>'Application Annually'!$C$25/100</f>
        <v>0.15</v>
      </c>
      <c r="C11" s="197" t="s">
        <v>166</v>
      </c>
      <c r="D11" s="228" t="str">
        <f>'Application Annually'!$G$25</f>
        <v>Yes</v>
      </c>
      <c r="E11" s="526" t="s">
        <v>166</v>
      </c>
      <c r="F11" s="527"/>
      <c r="G11" s="234"/>
      <c r="H11" s="185"/>
      <c r="I11" s="168"/>
      <c r="J11" s="168"/>
      <c r="K11" s="168"/>
      <c r="L11" s="168"/>
      <c r="M11" s="168"/>
      <c r="N11" s="168"/>
      <c r="O11" s="172"/>
      <c r="P11" s="170"/>
      <c r="Q11" s="235" t="str">
        <f>'Application Annually'!C3</f>
        <v>Annually</v>
      </c>
      <c r="R11" s="170"/>
      <c r="S11" s="170"/>
      <c r="T11" s="224">
        <f t="shared" si="9"/>
        <v>8</v>
      </c>
      <c r="U11" s="224">
        <f>$R$3</f>
        <v>0.15</v>
      </c>
      <c r="V11" s="217">
        <f t="shared" si="0"/>
        <v>0.11119026473817994</v>
      </c>
      <c r="W11" s="217">
        <f t="shared" si="0"/>
        <v>9.2112731007184756E-2</v>
      </c>
      <c r="X11" s="217">
        <f t="shared" si="0"/>
        <v>7.9515676296965099E-2</v>
      </c>
      <c r="Y11" s="217">
        <f t="shared" si="1"/>
        <v>0.15</v>
      </c>
      <c r="Z11" s="170"/>
      <c r="AA11" s="217">
        <f>'Mortality Table'!$H$3</f>
        <v>0.15</v>
      </c>
      <c r="AB11" s="170"/>
      <c r="AC11" s="224">
        <f t="shared" si="10"/>
        <v>8</v>
      </c>
      <c r="AD11" s="224">
        <v>0.2</v>
      </c>
      <c r="AE11" s="217">
        <f t="shared" si="5"/>
        <v>0.14772255750516639</v>
      </c>
      <c r="AF11" s="217">
        <f t="shared" si="2"/>
        <v>0.12215290126191869</v>
      </c>
      <c r="AG11" s="217">
        <f t="shared" si="2"/>
        <v>0.10531742483359952</v>
      </c>
      <c r="AH11" s="217">
        <f t="shared" si="3"/>
        <v>0.2</v>
      </c>
      <c r="AI11" s="170"/>
      <c r="AJ11" s="224">
        <f t="shared" si="11"/>
        <v>8</v>
      </c>
      <c r="AK11" s="217">
        <v>0.22</v>
      </c>
      <c r="AL11" s="217">
        <f t="shared" si="6"/>
        <v>0.16226805085936236</v>
      </c>
      <c r="AM11" s="217">
        <f t="shared" si="7"/>
        <v>0.13408464177211044</v>
      </c>
      <c r="AN11" s="217">
        <f t="shared" si="7"/>
        <v>0.11554878442527183</v>
      </c>
      <c r="AO11" s="217">
        <f t="shared" si="4"/>
        <v>0.22</v>
      </c>
      <c r="AP11" s="172"/>
      <c r="AQ11" s="173"/>
      <c r="AR11" s="236" t="s">
        <v>183</v>
      </c>
      <c r="AS11" s="237">
        <v>0.1</v>
      </c>
      <c r="AT11" s="238" t="s">
        <v>180</v>
      </c>
      <c r="AU11" s="173"/>
      <c r="AV11" s="172"/>
      <c r="AW11" s="174"/>
      <c r="AX11" s="174"/>
      <c r="AY11" s="174"/>
      <c r="AZ11" s="174"/>
      <c r="BA11" s="174"/>
      <c r="BB11" s="174"/>
      <c r="BC11" s="222">
        <f t="shared" si="8"/>
        <v>8</v>
      </c>
      <c r="BD11" s="226">
        <v>450</v>
      </c>
      <c r="BE11" s="213">
        <v>450</v>
      </c>
      <c r="BF11" s="214"/>
      <c r="BG11" s="315">
        <v>8</v>
      </c>
      <c r="BH11" s="315">
        <v>2000000000</v>
      </c>
      <c r="BJ11" s="315">
        <v>8</v>
      </c>
      <c r="BK11" s="315">
        <v>2000000000</v>
      </c>
    </row>
    <row r="12" spans="1:63" ht="33" customHeight="1" thickBot="1">
      <c r="A12" s="239" t="s">
        <v>187</v>
      </c>
      <c r="B12" s="240">
        <f>'Application Annually'!$C$27/100</f>
        <v>0.25</v>
      </c>
      <c r="C12" s="241" t="s">
        <v>186</v>
      </c>
      <c r="D12" s="242" t="str">
        <f>'Application Annually'!$G$27</f>
        <v>Yes</v>
      </c>
      <c r="E12" s="528" t="s">
        <v>186</v>
      </c>
      <c r="F12" s="529"/>
      <c r="G12" s="243"/>
      <c r="H12" s="172"/>
      <c r="I12" s="168"/>
      <c r="J12" s="168"/>
      <c r="K12" s="168"/>
      <c r="L12" s="168"/>
      <c r="M12" s="168"/>
      <c r="N12" s="168"/>
      <c r="O12" s="172"/>
      <c r="P12" s="170"/>
      <c r="Q12" s="232"/>
      <c r="R12" s="170"/>
      <c r="S12" s="170"/>
      <c r="T12" s="224">
        <f t="shared" si="9"/>
        <v>9</v>
      </c>
      <c r="U12" s="224">
        <f>$R$3</f>
        <v>0.15</v>
      </c>
      <c r="V12" s="217">
        <f t="shared" si="0"/>
        <v>0.11119026473817994</v>
      </c>
      <c r="W12" s="217">
        <f t="shared" si="0"/>
        <v>9.2112731007184756E-2</v>
      </c>
      <c r="X12" s="217">
        <f t="shared" si="0"/>
        <v>7.9515676296965099E-2</v>
      </c>
      <c r="Y12" s="217">
        <f t="shared" si="1"/>
        <v>0.15</v>
      </c>
      <c r="Z12" s="170"/>
      <c r="AA12" s="217">
        <f>'Mortality Table'!$H$3</f>
        <v>0.15</v>
      </c>
      <c r="AB12" s="170"/>
      <c r="AC12" s="224">
        <f t="shared" si="10"/>
        <v>9</v>
      </c>
      <c r="AD12" s="224">
        <v>0.2</v>
      </c>
      <c r="AE12" s="217">
        <f t="shared" si="5"/>
        <v>0.14772255750516639</v>
      </c>
      <c r="AF12" s="217">
        <f t="shared" si="2"/>
        <v>0.12215290126191869</v>
      </c>
      <c r="AG12" s="217">
        <f t="shared" si="2"/>
        <v>0.10531742483359952</v>
      </c>
      <c r="AH12" s="217">
        <f t="shared" si="3"/>
        <v>0.2</v>
      </c>
      <c r="AI12" s="170"/>
      <c r="AJ12" s="224">
        <f t="shared" si="11"/>
        <v>9</v>
      </c>
      <c r="AK12" s="217">
        <v>0.22</v>
      </c>
      <c r="AL12" s="217">
        <f t="shared" si="6"/>
        <v>0.16226805085936236</v>
      </c>
      <c r="AM12" s="217">
        <f t="shared" si="7"/>
        <v>0.13408464177211044</v>
      </c>
      <c r="AN12" s="217">
        <f t="shared" si="7"/>
        <v>0.11554878442527183</v>
      </c>
      <c r="AO12" s="217">
        <f t="shared" si="4"/>
        <v>0.22</v>
      </c>
      <c r="AP12" s="172"/>
      <c r="AQ12" s="173"/>
      <c r="AR12" s="173"/>
      <c r="AS12" s="173"/>
      <c r="AT12" s="173"/>
      <c r="AU12" s="173"/>
      <c r="AV12" s="172"/>
      <c r="AW12" s="174"/>
      <c r="AX12" s="174"/>
      <c r="AY12" s="174"/>
      <c r="AZ12" s="174"/>
      <c r="BA12" s="174"/>
      <c r="BB12" s="174"/>
      <c r="BC12" s="222">
        <f>BC11+1</f>
        <v>9</v>
      </c>
      <c r="BD12" s="226">
        <v>450</v>
      </c>
      <c r="BE12" s="213">
        <v>450</v>
      </c>
      <c r="BF12" s="214"/>
      <c r="BG12" s="315">
        <v>9</v>
      </c>
      <c r="BH12" s="315">
        <v>2000000000</v>
      </c>
      <c r="BJ12" s="315">
        <v>9</v>
      </c>
      <c r="BK12" s="315">
        <v>2000000000</v>
      </c>
    </row>
    <row r="13" spans="1:63" ht="33" customHeight="1" thickBot="1">
      <c r="A13" s="177"/>
      <c r="B13" s="178"/>
      <c r="C13" s="179"/>
      <c r="D13" s="180" t="s">
        <v>191</v>
      </c>
      <c r="E13" s="181">
        <v>106</v>
      </c>
      <c r="F13" s="182" t="s">
        <v>237</v>
      </c>
      <c r="G13" s="244"/>
      <c r="H13" s="245"/>
      <c r="I13" s="168"/>
      <c r="J13" s="168"/>
      <c r="K13" s="168"/>
      <c r="L13" s="168"/>
      <c r="M13" s="168"/>
      <c r="N13" s="168"/>
      <c r="O13" s="172"/>
      <c r="P13" s="170"/>
      <c r="Q13" s="232"/>
      <c r="R13" s="170"/>
      <c r="S13" s="170"/>
      <c r="T13" s="224">
        <f>T12+1</f>
        <v>10</v>
      </c>
      <c r="U13" s="224">
        <f>$R$3</f>
        <v>0.15</v>
      </c>
      <c r="V13" s="217">
        <f t="shared" si="0"/>
        <v>0.11119026473817994</v>
      </c>
      <c r="W13" s="217">
        <f t="shared" si="0"/>
        <v>9.2112731007184756E-2</v>
      </c>
      <c r="X13" s="217">
        <f t="shared" si="0"/>
        <v>7.9515676296965099E-2</v>
      </c>
      <c r="Y13" s="217">
        <f t="shared" si="1"/>
        <v>0.15</v>
      </c>
      <c r="Z13" s="170"/>
      <c r="AA13" s="217">
        <f>'Mortality Table'!$H$3</f>
        <v>0.15</v>
      </c>
      <c r="AB13" s="170"/>
      <c r="AC13" s="224">
        <f>AC12+1</f>
        <v>10</v>
      </c>
      <c r="AD13" s="224">
        <v>0.2</v>
      </c>
      <c r="AE13" s="217">
        <f t="shared" si="5"/>
        <v>0.14772255750516639</v>
      </c>
      <c r="AF13" s="217">
        <f t="shared" si="2"/>
        <v>0.12215290126191869</v>
      </c>
      <c r="AG13" s="217">
        <f t="shared" si="2"/>
        <v>0.10531742483359952</v>
      </c>
      <c r="AH13" s="217">
        <f t="shared" si="3"/>
        <v>0.2</v>
      </c>
      <c r="AI13" s="170"/>
      <c r="AJ13" s="224">
        <f>AJ12+1</f>
        <v>10</v>
      </c>
      <c r="AK13" s="217">
        <v>0.22</v>
      </c>
      <c r="AL13" s="217">
        <f t="shared" si="6"/>
        <v>0.16226805085936236</v>
      </c>
      <c r="AM13" s="217">
        <f t="shared" si="7"/>
        <v>0.13408464177211044</v>
      </c>
      <c r="AN13" s="217">
        <f t="shared" si="7"/>
        <v>0.11554878442527183</v>
      </c>
      <c r="AO13" s="217">
        <f t="shared" si="4"/>
        <v>0.22</v>
      </c>
      <c r="AP13" s="172"/>
      <c r="AQ13" s="173"/>
      <c r="AR13" s="173"/>
      <c r="AS13" s="173"/>
      <c r="AT13" s="173"/>
      <c r="AU13" s="173"/>
      <c r="AV13" s="172"/>
      <c r="AW13" s="174"/>
      <c r="AX13" s="174"/>
      <c r="AY13" s="174"/>
      <c r="AZ13" s="174"/>
      <c r="BA13" s="174"/>
      <c r="BB13" s="174"/>
      <c r="BC13" s="222">
        <f>BC12+1</f>
        <v>10</v>
      </c>
      <c r="BD13" s="226">
        <v>450</v>
      </c>
      <c r="BE13" s="213">
        <v>450</v>
      </c>
      <c r="BF13" s="214"/>
      <c r="BG13" s="315">
        <v>10</v>
      </c>
      <c r="BH13" s="315">
        <v>2000000000</v>
      </c>
      <c r="BJ13" s="315">
        <v>10</v>
      </c>
      <c r="BK13" s="315">
        <v>2000000000</v>
      </c>
    </row>
    <row r="14" spans="1:63" ht="33" customHeight="1" thickBot="1">
      <c r="A14" s="549" t="s">
        <v>79</v>
      </c>
      <c r="B14" s="550"/>
      <c r="C14" s="166"/>
      <c r="D14" s="166"/>
      <c r="E14" s="166"/>
      <c r="F14" s="166"/>
      <c r="G14" s="166"/>
      <c r="H14" s="167"/>
      <c r="I14" s="168"/>
      <c r="J14" s="168"/>
      <c r="K14" s="168"/>
      <c r="L14" s="168"/>
      <c r="M14" s="168"/>
      <c r="N14" s="168"/>
      <c r="O14" s="172"/>
      <c r="P14" s="170"/>
      <c r="Q14" s="232"/>
      <c r="R14" s="170"/>
      <c r="S14" s="170"/>
      <c r="T14" s="224">
        <f t="shared" si="9"/>
        <v>11</v>
      </c>
      <c r="U14" s="224">
        <f>$R$4</f>
        <v>0.15</v>
      </c>
      <c r="V14" s="217">
        <f t="shared" si="0"/>
        <v>0.11119026473817994</v>
      </c>
      <c r="W14" s="217">
        <f t="shared" si="0"/>
        <v>9.2112731007184756E-2</v>
      </c>
      <c r="X14" s="217">
        <f t="shared" si="0"/>
        <v>7.9515676296965099E-2</v>
      </c>
      <c r="Y14" s="217">
        <f t="shared" si="1"/>
        <v>0.15</v>
      </c>
      <c r="Z14" s="170"/>
      <c r="AA14" s="217">
        <f>'Mortality Table'!$H$4</f>
        <v>0.1</v>
      </c>
      <c r="AB14" s="170"/>
      <c r="AC14" s="224">
        <f t="shared" si="10"/>
        <v>11</v>
      </c>
      <c r="AD14" s="224">
        <v>0.2</v>
      </c>
      <c r="AE14" s="217">
        <f t="shared" si="5"/>
        <v>0.14772255750516639</v>
      </c>
      <c r="AF14" s="217">
        <f t="shared" si="2"/>
        <v>0.12215290126191869</v>
      </c>
      <c r="AG14" s="217">
        <f t="shared" si="2"/>
        <v>0.10531742483359952</v>
      </c>
      <c r="AH14" s="217">
        <f t="shared" si="3"/>
        <v>0.2</v>
      </c>
      <c r="AI14" s="170"/>
      <c r="AJ14" s="224">
        <f t="shared" si="11"/>
        <v>11</v>
      </c>
      <c r="AK14" s="217">
        <v>0.22</v>
      </c>
      <c r="AL14" s="217">
        <f t="shared" si="6"/>
        <v>0.16226805085936236</v>
      </c>
      <c r="AM14" s="217">
        <f t="shared" si="7"/>
        <v>0.13408464177211044</v>
      </c>
      <c r="AN14" s="217">
        <f t="shared" si="7"/>
        <v>0.11554878442527183</v>
      </c>
      <c r="AO14" s="217">
        <f t="shared" si="4"/>
        <v>0.22</v>
      </c>
      <c r="AP14" s="172"/>
      <c r="AQ14" s="173"/>
      <c r="AR14" s="546" t="s">
        <v>243</v>
      </c>
      <c r="AS14" s="547"/>
      <c r="AT14" s="548"/>
      <c r="AU14" s="173"/>
      <c r="AV14" s="172"/>
      <c r="AW14" s="174"/>
      <c r="AX14" s="174"/>
      <c r="AY14" s="174"/>
      <c r="AZ14" s="174"/>
      <c r="BA14" s="174"/>
      <c r="BB14" s="174"/>
      <c r="BC14" s="222">
        <f>BC13+1</f>
        <v>11</v>
      </c>
      <c r="BD14" s="226">
        <v>450</v>
      </c>
      <c r="BE14" s="213">
        <v>450</v>
      </c>
      <c r="BF14" s="214"/>
      <c r="BG14" s="315">
        <v>11</v>
      </c>
      <c r="BH14" s="315">
        <v>2000000000</v>
      </c>
      <c r="BJ14" s="315">
        <v>11</v>
      </c>
      <c r="BK14" s="315">
        <v>2000000000</v>
      </c>
    </row>
    <row r="15" spans="1:63" ht="33" customHeight="1" thickBot="1">
      <c r="A15" s="246" t="s">
        <v>75</v>
      </c>
      <c r="B15" s="247">
        <v>0.01</v>
      </c>
      <c r="C15" s="248"/>
      <c r="D15" s="166"/>
      <c r="E15" s="166"/>
      <c r="F15" s="166"/>
      <c r="G15" s="166"/>
      <c r="H15" s="167"/>
      <c r="I15" s="249"/>
      <c r="J15" s="168"/>
      <c r="K15" s="168"/>
      <c r="L15" s="168"/>
      <c r="M15" s="168"/>
      <c r="N15" s="168"/>
      <c r="O15" s="172"/>
      <c r="P15" s="170"/>
      <c r="Q15" s="170"/>
      <c r="R15" s="170"/>
      <c r="S15" s="170"/>
      <c r="T15" s="224">
        <f t="shared" si="9"/>
        <v>12</v>
      </c>
      <c r="U15" s="224">
        <f t="shared" ref="U15:U78" si="12">$R$4</f>
        <v>0.15</v>
      </c>
      <c r="V15" s="217">
        <f t="shared" si="0"/>
        <v>0.11119026473817994</v>
      </c>
      <c r="W15" s="217">
        <f t="shared" si="0"/>
        <v>9.2112731007184756E-2</v>
      </c>
      <c r="X15" s="217">
        <f t="shared" si="0"/>
        <v>7.9515676296965099E-2</v>
      </c>
      <c r="Y15" s="217">
        <f t="shared" si="1"/>
        <v>0.15</v>
      </c>
      <c r="Z15" s="170"/>
      <c r="AA15" s="217">
        <f>'Mortality Table'!$H$4</f>
        <v>0.1</v>
      </c>
      <c r="AB15" s="170"/>
      <c r="AC15" s="224">
        <f t="shared" si="10"/>
        <v>12</v>
      </c>
      <c r="AD15" s="224">
        <v>0.2</v>
      </c>
      <c r="AE15" s="217">
        <f t="shared" si="5"/>
        <v>0.14772255750516639</v>
      </c>
      <c r="AF15" s="217">
        <f t="shared" si="2"/>
        <v>0.12215290126191869</v>
      </c>
      <c r="AG15" s="217">
        <f t="shared" si="2"/>
        <v>0.10531742483359952</v>
      </c>
      <c r="AH15" s="217">
        <f t="shared" si="3"/>
        <v>0.2</v>
      </c>
      <c r="AI15" s="170"/>
      <c r="AJ15" s="224">
        <f t="shared" si="11"/>
        <v>12</v>
      </c>
      <c r="AK15" s="217">
        <v>0.22</v>
      </c>
      <c r="AL15" s="217">
        <f t="shared" si="6"/>
        <v>0.16226805085936236</v>
      </c>
      <c r="AM15" s="217">
        <f t="shared" si="7"/>
        <v>0.13408464177211044</v>
      </c>
      <c r="AN15" s="217">
        <f t="shared" si="7"/>
        <v>0.11554878442527183</v>
      </c>
      <c r="AO15" s="217">
        <f t="shared" si="4"/>
        <v>0.22</v>
      </c>
      <c r="AP15" s="172"/>
      <c r="AQ15" s="173"/>
      <c r="AR15" s="189" t="s">
        <v>175</v>
      </c>
      <c r="AS15" s="190">
        <v>2</v>
      </c>
      <c r="AT15" s="191" t="s">
        <v>174</v>
      </c>
      <c r="AU15" s="173"/>
      <c r="AV15" s="250"/>
      <c r="AW15" s="251"/>
      <c r="AX15" s="174"/>
      <c r="AY15" s="174"/>
      <c r="AZ15" s="174"/>
      <c r="BA15" s="174"/>
      <c r="BB15" s="251"/>
      <c r="BC15" s="222">
        <f>BC14+1</f>
        <v>12</v>
      </c>
      <c r="BD15" s="226">
        <v>450</v>
      </c>
      <c r="BE15" s="213">
        <v>450</v>
      </c>
      <c r="BF15" s="214"/>
      <c r="BG15" s="315">
        <v>12</v>
      </c>
      <c r="BH15" s="315">
        <v>2000000000</v>
      </c>
      <c r="BJ15" s="315">
        <v>12</v>
      </c>
      <c r="BK15" s="315">
        <v>2000000000</v>
      </c>
    </row>
    <row r="16" spans="1:63" ht="33" customHeight="1">
      <c r="A16" s="252" t="s">
        <v>76</v>
      </c>
      <c r="B16" s="247">
        <v>2.7E-2</v>
      </c>
      <c r="C16" s="248"/>
      <c r="D16" s="166"/>
      <c r="E16" s="166"/>
      <c r="F16" s="166"/>
      <c r="G16" s="166"/>
      <c r="H16" s="167"/>
      <c r="I16" s="168"/>
      <c r="J16" s="168"/>
      <c r="K16" s="168"/>
      <c r="L16" s="168"/>
      <c r="M16" s="168"/>
      <c r="N16" s="168"/>
      <c r="O16" s="172"/>
      <c r="P16" s="170"/>
      <c r="Q16" s="170"/>
      <c r="R16" s="170"/>
      <c r="S16" s="170"/>
      <c r="T16" s="224">
        <f t="shared" si="9"/>
        <v>13</v>
      </c>
      <c r="U16" s="224">
        <f t="shared" si="12"/>
        <v>0.15</v>
      </c>
      <c r="V16" s="217">
        <f t="shared" si="0"/>
        <v>0.11119026473817994</v>
      </c>
      <c r="W16" s="217">
        <f t="shared" si="0"/>
        <v>9.2112731007184756E-2</v>
      </c>
      <c r="X16" s="217">
        <f t="shared" si="0"/>
        <v>7.9515676296965099E-2</v>
      </c>
      <c r="Y16" s="217">
        <f t="shared" si="1"/>
        <v>0.15</v>
      </c>
      <c r="Z16" s="170"/>
      <c r="AA16" s="217">
        <f>'Mortality Table'!$H$4</f>
        <v>0.1</v>
      </c>
      <c r="AB16" s="170"/>
      <c r="AC16" s="224">
        <f t="shared" si="10"/>
        <v>13</v>
      </c>
      <c r="AD16" s="224">
        <v>0.2</v>
      </c>
      <c r="AE16" s="217">
        <f t="shared" si="5"/>
        <v>0.14772255750516639</v>
      </c>
      <c r="AF16" s="217">
        <f t="shared" si="2"/>
        <v>0.12215290126191869</v>
      </c>
      <c r="AG16" s="217">
        <f t="shared" si="2"/>
        <v>0.10531742483359952</v>
      </c>
      <c r="AH16" s="217">
        <f t="shared" si="3"/>
        <v>0.2</v>
      </c>
      <c r="AI16" s="170"/>
      <c r="AJ16" s="224">
        <f t="shared" si="11"/>
        <v>13</v>
      </c>
      <c r="AK16" s="217">
        <v>0.22</v>
      </c>
      <c r="AL16" s="217">
        <f t="shared" si="6"/>
        <v>0.16226805085936236</v>
      </c>
      <c r="AM16" s="217">
        <f t="shared" si="7"/>
        <v>0.13408464177211044</v>
      </c>
      <c r="AN16" s="217">
        <f t="shared" si="7"/>
        <v>0.11554878442527183</v>
      </c>
      <c r="AO16" s="217">
        <f t="shared" si="4"/>
        <v>0.22</v>
      </c>
      <c r="AP16" s="172"/>
      <c r="AQ16" s="173"/>
      <c r="AR16" s="189" t="s">
        <v>241</v>
      </c>
      <c r="AS16" s="190">
        <v>5</v>
      </c>
      <c r="AT16" s="191" t="s">
        <v>174</v>
      </c>
      <c r="AU16" s="173"/>
      <c r="AV16" s="250"/>
      <c r="AW16" s="251"/>
      <c r="AX16" s="174"/>
      <c r="AY16" s="174"/>
      <c r="AZ16" s="174"/>
      <c r="BA16" s="174"/>
      <c r="BB16" s="251"/>
      <c r="BC16" s="222">
        <f>BC15+1</f>
        <v>13</v>
      </c>
      <c r="BD16" s="226">
        <v>450</v>
      </c>
      <c r="BE16" s="213">
        <v>450</v>
      </c>
      <c r="BF16" s="214"/>
      <c r="BG16" s="315">
        <v>13</v>
      </c>
      <c r="BH16" s="315">
        <v>2000000000</v>
      </c>
      <c r="BJ16" s="315">
        <v>13</v>
      </c>
      <c r="BK16" s="315">
        <v>2000000000</v>
      </c>
    </row>
    <row r="17" spans="1:63" ht="33" customHeight="1">
      <c r="A17" s="252" t="s">
        <v>77</v>
      </c>
      <c r="B17" s="247">
        <v>4.2999999999999997E-2</v>
      </c>
      <c r="C17" s="248"/>
      <c r="D17" s="166"/>
      <c r="E17" s="166"/>
      <c r="F17" s="166"/>
      <c r="G17" s="166"/>
      <c r="H17" s="167"/>
      <c r="I17" s="168"/>
      <c r="J17" s="168"/>
      <c r="K17" s="168"/>
      <c r="L17" s="168"/>
      <c r="M17" s="168"/>
      <c r="N17" s="168"/>
      <c r="O17" s="172"/>
      <c r="P17" s="170"/>
      <c r="Q17" s="170"/>
      <c r="R17" s="170"/>
      <c r="S17" s="170"/>
      <c r="T17" s="224">
        <f t="shared" si="9"/>
        <v>14</v>
      </c>
      <c r="U17" s="224">
        <f t="shared" si="12"/>
        <v>0.15</v>
      </c>
      <c r="V17" s="217">
        <f t="shared" si="0"/>
        <v>0.11119026473817994</v>
      </c>
      <c r="W17" s="217">
        <f t="shared" si="0"/>
        <v>9.2112731007184756E-2</v>
      </c>
      <c r="X17" s="217">
        <f t="shared" si="0"/>
        <v>7.9515676296965099E-2</v>
      </c>
      <c r="Y17" s="217">
        <f t="shared" si="1"/>
        <v>0.15</v>
      </c>
      <c r="Z17" s="170"/>
      <c r="AA17" s="217">
        <f>'Mortality Table'!$H$4</f>
        <v>0.1</v>
      </c>
      <c r="AB17" s="170"/>
      <c r="AC17" s="224">
        <f t="shared" si="10"/>
        <v>14</v>
      </c>
      <c r="AD17" s="224">
        <v>0.2</v>
      </c>
      <c r="AE17" s="217">
        <f t="shared" si="5"/>
        <v>0.14772255750516639</v>
      </c>
      <c r="AF17" s="217">
        <f t="shared" si="2"/>
        <v>0.12215290126191869</v>
      </c>
      <c r="AG17" s="217">
        <f t="shared" si="2"/>
        <v>0.10531742483359952</v>
      </c>
      <c r="AH17" s="217">
        <f t="shared" si="3"/>
        <v>0.2</v>
      </c>
      <c r="AI17" s="170"/>
      <c r="AJ17" s="224">
        <f t="shared" si="11"/>
        <v>14</v>
      </c>
      <c r="AK17" s="217">
        <v>0.22</v>
      </c>
      <c r="AL17" s="217">
        <f t="shared" si="6"/>
        <v>0.16226805085936236</v>
      </c>
      <c r="AM17" s="217">
        <f t="shared" si="7"/>
        <v>0.13408464177211044</v>
      </c>
      <c r="AN17" s="217">
        <f t="shared" si="7"/>
        <v>0.11554878442527183</v>
      </c>
      <c r="AO17" s="217">
        <f t="shared" si="4"/>
        <v>0.22</v>
      </c>
      <c r="AP17" s="172"/>
      <c r="AQ17" s="173"/>
      <c r="AR17" s="206"/>
      <c r="AS17" s="207"/>
      <c r="AT17" s="208"/>
      <c r="AU17" s="173"/>
      <c r="AV17" s="172"/>
      <c r="AW17" s="174"/>
      <c r="AX17" s="174"/>
      <c r="AY17" s="174"/>
      <c r="AZ17" s="174"/>
      <c r="BA17" s="174"/>
      <c r="BB17" s="174"/>
      <c r="BC17" s="222">
        <f t="shared" si="8"/>
        <v>14</v>
      </c>
      <c r="BD17" s="226">
        <v>450</v>
      </c>
      <c r="BE17" s="213">
        <v>450</v>
      </c>
      <c r="BF17" s="214"/>
      <c r="BG17" s="315">
        <v>14</v>
      </c>
      <c r="BH17" s="315">
        <v>2000000000</v>
      </c>
      <c r="BJ17" s="315">
        <v>14</v>
      </c>
      <c r="BK17" s="315">
        <v>2000000000</v>
      </c>
    </row>
    <row r="18" spans="1:63" ht="33" customHeight="1">
      <c r="A18" s="252" t="s">
        <v>78</v>
      </c>
      <c r="B18" s="247">
        <f>SUM(B15:B17)</f>
        <v>7.9999999999999988E-2</v>
      </c>
      <c r="C18" s="248"/>
      <c r="D18" s="166"/>
      <c r="E18" s="166"/>
      <c r="F18" s="166"/>
      <c r="G18" s="166"/>
      <c r="H18" s="167"/>
      <c r="I18" s="168"/>
      <c r="J18" s="168"/>
      <c r="K18" s="168"/>
      <c r="L18" s="168"/>
      <c r="M18" s="168"/>
      <c r="N18" s="168"/>
      <c r="O18" s="172"/>
      <c r="P18" s="170"/>
      <c r="Q18" s="170"/>
      <c r="R18" s="170"/>
      <c r="S18" s="170"/>
      <c r="T18" s="224">
        <f t="shared" si="9"/>
        <v>15</v>
      </c>
      <c r="U18" s="224">
        <f t="shared" si="12"/>
        <v>0.15</v>
      </c>
      <c r="V18" s="217">
        <f t="shared" si="0"/>
        <v>0.11119026473817994</v>
      </c>
      <c r="W18" s="217">
        <f t="shared" si="0"/>
        <v>9.2112731007184756E-2</v>
      </c>
      <c r="X18" s="217">
        <f t="shared" si="0"/>
        <v>7.9515676296965099E-2</v>
      </c>
      <c r="Y18" s="217">
        <f t="shared" si="1"/>
        <v>0.15</v>
      </c>
      <c r="Z18" s="170"/>
      <c r="AA18" s="217">
        <f>'Mortality Table'!$H$4</f>
        <v>0.1</v>
      </c>
      <c r="AB18" s="170"/>
      <c r="AC18" s="224">
        <f t="shared" si="10"/>
        <v>15</v>
      </c>
      <c r="AD18" s="224">
        <v>0.2</v>
      </c>
      <c r="AE18" s="217">
        <f t="shared" si="5"/>
        <v>0.14772255750516639</v>
      </c>
      <c r="AF18" s="217">
        <f t="shared" si="2"/>
        <v>0.12215290126191869</v>
      </c>
      <c r="AG18" s="217">
        <f t="shared" si="2"/>
        <v>0.10531742483359952</v>
      </c>
      <c r="AH18" s="217">
        <f t="shared" si="3"/>
        <v>0.2</v>
      </c>
      <c r="AI18" s="170"/>
      <c r="AJ18" s="224">
        <f t="shared" si="11"/>
        <v>15</v>
      </c>
      <c r="AK18" s="217">
        <v>0.22</v>
      </c>
      <c r="AL18" s="217">
        <f t="shared" si="6"/>
        <v>0.16226805085936236</v>
      </c>
      <c r="AM18" s="217">
        <f t="shared" si="7"/>
        <v>0.13408464177211044</v>
      </c>
      <c r="AN18" s="217">
        <f t="shared" si="7"/>
        <v>0.11554878442527183</v>
      </c>
      <c r="AO18" s="217">
        <f t="shared" si="4"/>
        <v>0.22</v>
      </c>
      <c r="AP18" s="172"/>
      <c r="AQ18" s="173"/>
      <c r="AR18" s="206"/>
      <c r="AS18" s="207"/>
      <c r="AT18" s="208"/>
      <c r="AU18" s="173"/>
      <c r="AV18" s="172"/>
      <c r="AW18" s="174"/>
      <c r="AX18" s="174"/>
      <c r="AY18" s="174"/>
      <c r="AZ18" s="174"/>
      <c r="BA18" s="174"/>
      <c r="BB18" s="174"/>
      <c r="BC18" s="222">
        <f t="shared" si="8"/>
        <v>15</v>
      </c>
      <c r="BD18" s="226">
        <v>450</v>
      </c>
      <c r="BE18" s="213">
        <v>450</v>
      </c>
      <c r="BF18" s="214"/>
      <c r="BG18" s="315">
        <v>15</v>
      </c>
      <c r="BH18" s="315">
        <v>2000000000</v>
      </c>
      <c r="BJ18" s="315">
        <v>15</v>
      </c>
      <c r="BK18" s="315">
        <v>2000000000</v>
      </c>
    </row>
    <row r="19" spans="1:63" ht="33" customHeight="1">
      <c r="A19" s="248"/>
      <c r="B19" s="248"/>
      <c r="C19" s="248"/>
      <c r="D19" s="166"/>
      <c r="E19" s="166"/>
      <c r="F19" s="166"/>
      <c r="G19" s="166"/>
      <c r="H19" s="167"/>
      <c r="I19" s="168"/>
      <c r="J19" s="168"/>
      <c r="K19" s="168"/>
      <c r="L19" s="168"/>
      <c r="M19" s="168"/>
      <c r="N19" s="168"/>
      <c r="O19" s="253"/>
      <c r="P19" s="170"/>
      <c r="Q19" s="170"/>
      <c r="R19" s="170"/>
      <c r="S19" s="170"/>
      <c r="T19" s="224">
        <f t="shared" si="9"/>
        <v>16</v>
      </c>
      <c r="U19" s="224">
        <f t="shared" si="12"/>
        <v>0.15</v>
      </c>
      <c r="V19" s="217">
        <f t="shared" si="0"/>
        <v>0.11119026473817994</v>
      </c>
      <c r="W19" s="217">
        <f t="shared" si="0"/>
        <v>9.2112731007184756E-2</v>
      </c>
      <c r="X19" s="217">
        <f t="shared" si="0"/>
        <v>7.9515676296965099E-2</v>
      </c>
      <c r="Y19" s="217">
        <f t="shared" si="1"/>
        <v>0.15</v>
      </c>
      <c r="Z19" s="170"/>
      <c r="AA19" s="217">
        <f>'Mortality Table'!$H$4</f>
        <v>0.1</v>
      </c>
      <c r="AB19" s="170"/>
      <c r="AC19" s="224">
        <f t="shared" si="10"/>
        <v>16</v>
      </c>
      <c r="AD19" s="224">
        <v>0.2</v>
      </c>
      <c r="AE19" s="217">
        <f t="shared" si="5"/>
        <v>0.14772255750516639</v>
      </c>
      <c r="AF19" s="217">
        <f t="shared" si="2"/>
        <v>0.12215290126191869</v>
      </c>
      <c r="AG19" s="217">
        <f t="shared" si="2"/>
        <v>0.10531742483359952</v>
      </c>
      <c r="AH19" s="217">
        <f t="shared" si="3"/>
        <v>0.2</v>
      </c>
      <c r="AI19" s="170"/>
      <c r="AJ19" s="224">
        <f t="shared" si="11"/>
        <v>16</v>
      </c>
      <c r="AK19" s="217">
        <v>0.22</v>
      </c>
      <c r="AL19" s="217">
        <f t="shared" si="6"/>
        <v>0.16226805085936236</v>
      </c>
      <c r="AM19" s="217">
        <f t="shared" si="7"/>
        <v>0.13408464177211044</v>
      </c>
      <c r="AN19" s="217">
        <f t="shared" si="7"/>
        <v>0.11554878442527183</v>
      </c>
      <c r="AO19" s="217">
        <f t="shared" si="4"/>
        <v>0.22</v>
      </c>
      <c r="AP19" s="172"/>
      <c r="AQ19" s="173"/>
      <c r="AR19" s="206"/>
      <c r="AS19" s="207"/>
      <c r="AT19" s="208"/>
      <c r="AU19" s="173"/>
      <c r="AV19" s="172"/>
      <c r="AW19" s="174"/>
      <c r="AX19" s="174"/>
      <c r="AY19" s="174"/>
      <c r="AZ19" s="174"/>
      <c r="BA19" s="174"/>
      <c r="BB19" s="174"/>
      <c r="BC19" s="222">
        <f t="shared" si="8"/>
        <v>16</v>
      </c>
      <c r="BD19" s="226">
        <v>450</v>
      </c>
      <c r="BE19" s="213">
        <v>450</v>
      </c>
      <c r="BF19" s="214"/>
      <c r="BG19" s="315">
        <v>16</v>
      </c>
      <c r="BH19" s="315">
        <v>2000000000</v>
      </c>
      <c r="BJ19" s="315">
        <v>16</v>
      </c>
      <c r="BK19" s="315">
        <v>2000000000</v>
      </c>
    </row>
    <row r="20" spans="1:63" ht="33" customHeight="1">
      <c r="A20" s="166"/>
      <c r="B20" s="166"/>
      <c r="C20" s="166"/>
      <c r="D20" s="166"/>
      <c r="E20" s="166"/>
      <c r="F20" s="166"/>
      <c r="G20" s="166"/>
      <c r="H20" s="167"/>
      <c r="I20" s="168"/>
      <c r="J20" s="168"/>
      <c r="K20" s="168"/>
      <c r="L20" s="168"/>
      <c r="M20" s="168"/>
      <c r="N20" s="168"/>
      <c r="O20" s="253"/>
      <c r="P20" s="170"/>
      <c r="Q20" s="170"/>
      <c r="R20" s="170"/>
      <c r="S20" s="170"/>
      <c r="T20" s="224">
        <f t="shared" si="9"/>
        <v>17</v>
      </c>
      <c r="U20" s="224">
        <f t="shared" si="12"/>
        <v>0.15</v>
      </c>
      <c r="V20" s="217">
        <f t="shared" si="0"/>
        <v>0.11119026473817994</v>
      </c>
      <c r="W20" s="217">
        <f t="shared" si="0"/>
        <v>9.2112731007184756E-2</v>
      </c>
      <c r="X20" s="217">
        <f t="shared" si="0"/>
        <v>7.9515676296965099E-2</v>
      </c>
      <c r="Y20" s="217">
        <f t="shared" si="1"/>
        <v>0.15</v>
      </c>
      <c r="Z20" s="170"/>
      <c r="AA20" s="217">
        <f>'Mortality Table'!$H$4</f>
        <v>0.1</v>
      </c>
      <c r="AB20" s="170"/>
      <c r="AC20" s="224">
        <f t="shared" si="10"/>
        <v>17</v>
      </c>
      <c r="AD20" s="224">
        <v>0.2</v>
      </c>
      <c r="AE20" s="217">
        <f t="shared" si="5"/>
        <v>0.14772255750516639</v>
      </c>
      <c r="AF20" s="217">
        <f t="shared" si="5"/>
        <v>0.12215290126191869</v>
      </c>
      <c r="AG20" s="217">
        <f t="shared" si="5"/>
        <v>0.10531742483359952</v>
      </c>
      <c r="AH20" s="217">
        <f t="shared" si="3"/>
        <v>0.2</v>
      </c>
      <c r="AI20" s="170"/>
      <c r="AJ20" s="224">
        <f t="shared" si="11"/>
        <v>17</v>
      </c>
      <c r="AK20" s="217">
        <v>0.22</v>
      </c>
      <c r="AL20" s="217">
        <f t="shared" si="6"/>
        <v>0.16226805085936236</v>
      </c>
      <c r="AM20" s="217">
        <f t="shared" si="7"/>
        <v>0.13408464177211044</v>
      </c>
      <c r="AN20" s="217">
        <f t="shared" si="7"/>
        <v>0.11554878442527183</v>
      </c>
      <c r="AO20" s="217">
        <f t="shared" si="4"/>
        <v>0.22</v>
      </c>
      <c r="AP20" s="172"/>
      <c r="AQ20" s="173"/>
      <c r="AR20" s="206"/>
      <c r="AS20" s="207"/>
      <c r="AT20" s="208"/>
      <c r="AU20" s="173"/>
      <c r="AV20" s="172"/>
      <c r="AW20" s="174"/>
      <c r="AX20" s="174"/>
      <c r="AY20" s="174"/>
      <c r="AZ20" s="174"/>
      <c r="BA20" s="174"/>
      <c r="BB20" s="174"/>
      <c r="BC20" s="222">
        <f t="shared" si="8"/>
        <v>17</v>
      </c>
      <c r="BD20" s="226">
        <v>450</v>
      </c>
      <c r="BE20" s="213">
        <v>450</v>
      </c>
      <c r="BF20" s="214"/>
      <c r="BG20" s="315">
        <v>17</v>
      </c>
      <c r="BH20" s="315">
        <v>2000000000</v>
      </c>
      <c r="BJ20" s="315">
        <v>17</v>
      </c>
      <c r="BK20" s="315">
        <v>2000000000</v>
      </c>
    </row>
    <row r="21" spans="1:63" ht="33" customHeight="1">
      <c r="A21" s="166"/>
      <c r="B21" s="166"/>
      <c r="C21" s="166"/>
      <c r="D21" s="166"/>
      <c r="E21" s="166"/>
      <c r="F21" s="166"/>
      <c r="G21" s="166"/>
      <c r="H21" s="167"/>
      <c r="I21" s="168"/>
      <c r="J21" s="168"/>
      <c r="K21" s="168"/>
      <c r="L21" s="168"/>
      <c r="M21" s="168"/>
      <c r="N21" s="168"/>
      <c r="O21" s="253"/>
      <c r="P21" s="170"/>
      <c r="Q21" s="170"/>
      <c r="R21" s="170"/>
      <c r="S21" s="170"/>
      <c r="T21" s="224">
        <f t="shared" si="9"/>
        <v>18</v>
      </c>
      <c r="U21" s="224">
        <f t="shared" si="12"/>
        <v>0.15</v>
      </c>
      <c r="V21" s="217">
        <f t="shared" si="0"/>
        <v>0.11119026473817994</v>
      </c>
      <c r="W21" s="217">
        <f t="shared" si="0"/>
        <v>9.2112731007184756E-2</v>
      </c>
      <c r="X21" s="217">
        <f t="shared" si="0"/>
        <v>7.9515676296965099E-2</v>
      </c>
      <c r="Y21" s="217">
        <f t="shared" si="1"/>
        <v>0.15</v>
      </c>
      <c r="Z21" s="170"/>
      <c r="AA21" s="217">
        <f>'Mortality Table'!$H$4</f>
        <v>0.1</v>
      </c>
      <c r="AB21" s="170"/>
      <c r="AC21" s="224">
        <f t="shared" si="10"/>
        <v>18</v>
      </c>
      <c r="AD21" s="224">
        <v>0.2</v>
      </c>
      <c r="AE21" s="217">
        <f t="shared" si="5"/>
        <v>0.14772255750516639</v>
      </c>
      <c r="AF21" s="217">
        <f t="shared" si="5"/>
        <v>0.12215290126191869</v>
      </c>
      <c r="AG21" s="217">
        <f t="shared" si="5"/>
        <v>0.10531742483359952</v>
      </c>
      <c r="AH21" s="217">
        <f t="shared" si="3"/>
        <v>0.2</v>
      </c>
      <c r="AI21" s="170"/>
      <c r="AJ21" s="224">
        <f t="shared" si="11"/>
        <v>18</v>
      </c>
      <c r="AK21" s="217">
        <v>0.22</v>
      </c>
      <c r="AL21" s="217">
        <f t="shared" si="6"/>
        <v>0.16226805085936236</v>
      </c>
      <c r="AM21" s="217">
        <f t="shared" si="7"/>
        <v>0.13408464177211044</v>
      </c>
      <c r="AN21" s="217">
        <f t="shared" si="7"/>
        <v>0.11554878442527183</v>
      </c>
      <c r="AO21" s="217">
        <f t="shared" si="4"/>
        <v>0.22</v>
      </c>
      <c r="AP21" s="172"/>
      <c r="AQ21" s="173"/>
      <c r="AR21" s="206"/>
      <c r="AS21" s="207"/>
      <c r="AT21" s="208"/>
      <c r="AU21" s="173"/>
      <c r="AV21" s="172"/>
      <c r="AW21" s="174"/>
      <c r="AX21" s="174"/>
      <c r="AY21" s="174"/>
      <c r="AZ21" s="174"/>
      <c r="BA21" s="174"/>
      <c r="BB21" s="174"/>
      <c r="BC21" s="222">
        <f t="shared" si="8"/>
        <v>18</v>
      </c>
      <c r="BD21" s="226">
        <v>450</v>
      </c>
      <c r="BE21" s="213">
        <v>450</v>
      </c>
      <c r="BF21" s="214"/>
      <c r="BG21" s="315">
        <v>18</v>
      </c>
      <c r="BH21" s="315">
        <v>2000000000</v>
      </c>
      <c r="BJ21" s="315">
        <v>18</v>
      </c>
      <c r="BK21" s="315">
        <v>2000000000</v>
      </c>
    </row>
    <row r="22" spans="1:63" ht="33" customHeight="1">
      <c r="A22" s="166"/>
      <c r="B22" s="166"/>
      <c r="C22" s="166"/>
      <c r="D22" s="166"/>
      <c r="E22" s="166"/>
      <c r="F22" s="166"/>
      <c r="G22" s="166"/>
      <c r="H22" s="167"/>
      <c r="I22" s="168"/>
      <c r="J22" s="168"/>
      <c r="K22" s="168"/>
      <c r="L22" s="168"/>
      <c r="M22" s="168"/>
      <c r="N22" s="168"/>
      <c r="O22" s="253"/>
      <c r="P22" s="170"/>
      <c r="Q22" s="170"/>
      <c r="R22" s="170"/>
      <c r="S22" s="170"/>
      <c r="T22" s="224">
        <f t="shared" si="9"/>
        <v>19</v>
      </c>
      <c r="U22" s="224">
        <f t="shared" si="12"/>
        <v>0.15</v>
      </c>
      <c r="V22" s="217">
        <f t="shared" si="0"/>
        <v>0.11119026473817994</v>
      </c>
      <c r="W22" s="217">
        <f t="shared" si="0"/>
        <v>9.2112731007184756E-2</v>
      </c>
      <c r="X22" s="217">
        <f t="shared" si="0"/>
        <v>7.9515676296965099E-2</v>
      </c>
      <c r="Y22" s="217">
        <f t="shared" si="1"/>
        <v>0.15</v>
      </c>
      <c r="Z22" s="170"/>
      <c r="AA22" s="217">
        <f>'Mortality Table'!$H$4</f>
        <v>0.1</v>
      </c>
      <c r="AB22" s="170"/>
      <c r="AC22" s="224">
        <f t="shared" si="10"/>
        <v>19</v>
      </c>
      <c r="AD22" s="224">
        <v>0.2</v>
      </c>
      <c r="AE22" s="217">
        <f t="shared" si="5"/>
        <v>0.14772255750516639</v>
      </c>
      <c r="AF22" s="217">
        <f t="shared" si="5"/>
        <v>0.12215290126191869</v>
      </c>
      <c r="AG22" s="217">
        <f t="shared" si="5"/>
        <v>0.10531742483359952</v>
      </c>
      <c r="AH22" s="217">
        <f t="shared" si="3"/>
        <v>0.2</v>
      </c>
      <c r="AI22" s="170"/>
      <c r="AJ22" s="224">
        <f t="shared" si="11"/>
        <v>19</v>
      </c>
      <c r="AK22" s="217">
        <v>0.22</v>
      </c>
      <c r="AL22" s="217">
        <f t="shared" si="6"/>
        <v>0.16226805085936236</v>
      </c>
      <c r="AM22" s="217">
        <f t="shared" si="7"/>
        <v>0.13408464177211044</v>
      </c>
      <c r="AN22" s="217">
        <f t="shared" si="7"/>
        <v>0.11554878442527183</v>
      </c>
      <c r="AO22" s="217">
        <f t="shared" si="4"/>
        <v>0.22</v>
      </c>
      <c r="AP22" s="172"/>
      <c r="AQ22" s="173"/>
      <c r="AR22" s="206"/>
      <c r="AS22" s="207"/>
      <c r="AT22" s="208"/>
      <c r="AU22" s="173"/>
      <c r="AV22" s="172"/>
      <c r="AW22" s="174"/>
      <c r="AX22" s="174"/>
      <c r="AY22" s="174"/>
      <c r="AZ22" s="174"/>
      <c r="BA22" s="174"/>
      <c r="BB22" s="174"/>
      <c r="BC22" s="222">
        <f t="shared" si="8"/>
        <v>19</v>
      </c>
      <c r="BD22" s="226">
        <v>450</v>
      </c>
      <c r="BE22" s="213">
        <v>450</v>
      </c>
      <c r="BF22" s="214"/>
      <c r="BG22" s="315">
        <v>19</v>
      </c>
      <c r="BH22" s="315">
        <v>2000000000</v>
      </c>
      <c r="BJ22" s="315">
        <v>19</v>
      </c>
      <c r="BK22" s="315">
        <v>2000000000</v>
      </c>
    </row>
    <row r="23" spans="1:63" ht="33" customHeight="1">
      <c r="A23" s="166"/>
      <c r="B23" s="166"/>
      <c r="C23" s="166"/>
      <c r="D23" s="166"/>
      <c r="E23" s="166"/>
      <c r="F23" s="166"/>
      <c r="G23" s="166"/>
      <c r="H23" s="167"/>
      <c r="I23" s="168"/>
      <c r="J23" s="168"/>
      <c r="K23" s="168"/>
      <c r="L23" s="168"/>
      <c r="M23" s="168"/>
      <c r="N23" s="168"/>
      <c r="O23" s="253"/>
      <c r="P23" s="170"/>
      <c r="Q23" s="170"/>
      <c r="R23" s="170"/>
      <c r="S23" s="170"/>
      <c r="T23" s="224">
        <f t="shared" si="9"/>
        <v>20</v>
      </c>
      <c r="U23" s="224">
        <f t="shared" si="12"/>
        <v>0.15</v>
      </c>
      <c r="V23" s="217">
        <f t="shared" si="0"/>
        <v>0.11119026473817994</v>
      </c>
      <c r="W23" s="217">
        <f t="shared" si="0"/>
        <v>9.2112731007184756E-2</v>
      </c>
      <c r="X23" s="217">
        <f t="shared" si="0"/>
        <v>7.9515676296965099E-2</v>
      </c>
      <c r="Y23" s="217">
        <f t="shared" si="1"/>
        <v>0.15</v>
      </c>
      <c r="Z23" s="170"/>
      <c r="AA23" s="217">
        <f>'Mortality Table'!$H$4</f>
        <v>0.1</v>
      </c>
      <c r="AB23" s="170"/>
      <c r="AC23" s="224">
        <f t="shared" si="10"/>
        <v>20</v>
      </c>
      <c r="AD23" s="224">
        <v>0.2</v>
      </c>
      <c r="AE23" s="217">
        <f t="shared" si="5"/>
        <v>0.14772255750516639</v>
      </c>
      <c r="AF23" s="217">
        <f t="shared" si="5"/>
        <v>0.12215290126191869</v>
      </c>
      <c r="AG23" s="217">
        <f t="shared" si="5"/>
        <v>0.10531742483359952</v>
      </c>
      <c r="AH23" s="217">
        <f t="shared" si="3"/>
        <v>0.2</v>
      </c>
      <c r="AI23" s="170"/>
      <c r="AJ23" s="224">
        <f t="shared" si="11"/>
        <v>20</v>
      </c>
      <c r="AK23" s="217">
        <v>0.22</v>
      </c>
      <c r="AL23" s="217">
        <f t="shared" si="6"/>
        <v>0.16226805085936236</v>
      </c>
      <c r="AM23" s="217">
        <f t="shared" si="7"/>
        <v>0.13408464177211044</v>
      </c>
      <c r="AN23" s="217">
        <f t="shared" si="7"/>
        <v>0.11554878442527183</v>
      </c>
      <c r="AO23" s="217">
        <f t="shared" si="4"/>
        <v>0.22</v>
      </c>
      <c r="AP23" s="172"/>
      <c r="AQ23" s="173"/>
      <c r="AR23" s="206"/>
      <c r="AS23" s="207"/>
      <c r="AT23" s="208"/>
      <c r="AU23" s="173"/>
      <c r="AV23" s="172"/>
      <c r="AW23" s="174"/>
      <c r="AX23" s="174"/>
      <c r="AY23" s="174"/>
      <c r="AZ23" s="174"/>
      <c r="BA23" s="174"/>
      <c r="BB23" s="174"/>
      <c r="BC23" s="222">
        <f t="shared" si="8"/>
        <v>20</v>
      </c>
      <c r="BD23" s="226">
        <v>450</v>
      </c>
      <c r="BE23" s="213">
        <v>450</v>
      </c>
      <c r="BF23" s="214"/>
      <c r="BG23" s="315">
        <v>20</v>
      </c>
      <c r="BH23" s="315">
        <v>2000000000</v>
      </c>
      <c r="BJ23" s="315">
        <v>20</v>
      </c>
      <c r="BK23" s="315">
        <v>2000000000</v>
      </c>
    </row>
    <row r="24" spans="1:63" ht="33" customHeight="1" thickBot="1">
      <c r="A24" s="166"/>
      <c r="B24" s="166"/>
      <c r="C24" s="166"/>
      <c r="D24" s="166"/>
      <c r="E24" s="166"/>
      <c r="F24" s="166"/>
      <c r="G24" s="166"/>
      <c r="H24" s="167"/>
      <c r="I24" s="168"/>
      <c r="J24" s="168"/>
      <c r="K24" s="168"/>
      <c r="L24" s="168"/>
      <c r="M24" s="168"/>
      <c r="N24" s="168"/>
      <c r="O24" s="253"/>
      <c r="P24" s="170"/>
      <c r="Q24" s="170"/>
      <c r="R24" s="170"/>
      <c r="S24" s="170"/>
      <c r="T24" s="224">
        <f t="shared" si="9"/>
        <v>21</v>
      </c>
      <c r="U24" s="224">
        <f t="shared" si="12"/>
        <v>0.15</v>
      </c>
      <c r="V24" s="217">
        <f t="shared" ref="V24:X43" si="13">(((1-(1/(1+$U24)))/(V$3*(1-((1/(1+$U24))^(1/V$3)))))*(1+$U24))-1</f>
        <v>0.11119026473817994</v>
      </c>
      <c r="W24" s="217">
        <f t="shared" si="13"/>
        <v>9.2112731007184756E-2</v>
      </c>
      <c r="X24" s="217">
        <f t="shared" si="13"/>
        <v>7.9515676296965099E-2</v>
      </c>
      <c r="Y24" s="217">
        <f t="shared" si="1"/>
        <v>0.15</v>
      </c>
      <c r="Z24" s="170"/>
      <c r="AA24" s="217">
        <f>'Mortality Table'!$H$4</f>
        <v>0.1</v>
      </c>
      <c r="AB24" s="170"/>
      <c r="AC24" s="224">
        <f t="shared" si="10"/>
        <v>21</v>
      </c>
      <c r="AD24" s="224">
        <v>0.2</v>
      </c>
      <c r="AE24" s="217">
        <f t="shared" si="5"/>
        <v>0.14772255750516639</v>
      </c>
      <c r="AF24" s="217">
        <f t="shared" si="5"/>
        <v>0.12215290126191869</v>
      </c>
      <c r="AG24" s="217">
        <f t="shared" si="5"/>
        <v>0.10531742483359952</v>
      </c>
      <c r="AH24" s="217">
        <f t="shared" si="3"/>
        <v>0.2</v>
      </c>
      <c r="AI24" s="170"/>
      <c r="AJ24" s="224">
        <f t="shared" si="11"/>
        <v>21</v>
      </c>
      <c r="AK24" s="217">
        <v>0.22</v>
      </c>
      <c r="AL24" s="217">
        <f t="shared" si="6"/>
        <v>0.16226805085936236</v>
      </c>
      <c r="AM24" s="217">
        <f t="shared" si="7"/>
        <v>0.13408464177211044</v>
      </c>
      <c r="AN24" s="217">
        <f t="shared" si="7"/>
        <v>0.11554878442527183</v>
      </c>
      <c r="AO24" s="217">
        <f t="shared" si="4"/>
        <v>0.22</v>
      </c>
      <c r="AP24" s="172"/>
      <c r="AQ24" s="173"/>
      <c r="AR24" s="236"/>
      <c r="AS24" s="237"/>
      <c r="AT24" s="238"/>
      <c r="AU24" s="173"/>
      <c r="AV24" s="172"/>
      <c r="AW24" s="174"/>
      <c r="AX24" s="174"/>
      <c r="AY24" s="174"/>
      <c r="AZ24" s="174"/>
      <c r="BA24" s="174"/>
      <c r="BB24" s="174"/>
      <c r="BC24" s="222">
        <f t="shared" si="8"/>
        <v>21</v>
      </c>
      <c r="BD24" s="226">
        <v>450</v>
      </c>
      <c r="BE24" s="213">
        <v>450</v>
      </c>
      <c r="BF24" s="214"/>
      <c r="BG24" s="315">
        <v>21</v>
      </c>
      <c r="BH24" s="315">
        <v>2000000000</v>
      </c>
      <c r="BJ24" s="315">
        <v>21</v>
      </c>
      <c r="BK24" s="315">
        <v>2000000000</v>
      </c>
    </row>
    <row r="25" spans="1:63" ht="33" customHeight="1">
      <c r="A25" s="166"/>
      <c r="B25" s="166"/>
      <c r="C25" s="166"/>
      <c r="D25" s="166"/>
      <c r="E25" s="166"/>
      <c r="F25" s="166"/>
      <c r="G25" s="166"/>
      <c r="H25" s="167"/>
      <c r="I25" s="168"/>
      <c r="J25" s="168"/>
      <c r="K25" s="168"/>
      <c r="L25" s="168"/>
      <c r="M25" s="168"/>
      <c r="N25" s="168"/>
      <c r="O25" s="254"/>
      <c r="P25" s="170"/>
      <c r="Q25" s="170"/>
      <c r="R25" s="170"/>
      <c r="S25" s="170"/>
      <c r="T25" s="224">
        <f t="shared" si="9"/>
        <v>22</v>
      </c>
      <c r="U25" s="224">
        <f t="shared" si="12"/>
        <v>0.15</v>
      </c>
      <c r="V25" s="217">
        <f t="shared" si="13"/>
        <v>0.11119026473817994</v>
      </c>
      <c r="W25" s="217">
        <f t="shared" si="13"/>
        <v>9.2112731007184756E-2</v>
      </c>
      <c r="X25" s="217">
        <f t="shared" si="13"/>
        <v>7.9515676296965099E-2</v>
      </c>
      <c r="Y25" s="217">
        <f t="shared" si="1"/>
        <v>0.15</v>
      </c>
      <c r="Z25" s="170"/>
      <c r="AA25" s="217">
        <f>'Mortality Table'!$H$4</f>
        <v>0.1</v>
      </c>
      <c r="AB25" s="170"/>
      <c r="AC25" s="224">
        <f t="shared" si="10"/>
        <v>22</v>
      </c>
      <c r="AD25" s="224">
        <v>0.2</v>
      </c>
      <c r="AE25" s="217">
        <f t="shared" si="5"/>
        <v>0.14772255750516639</v>
      </c>
      <c r="AF25" s="217">
        <f t="shared" si="5"/>
        <v>0.12215290126191869</v>
      </c>
      <c r="AG25" s="217">
        <f t="shared" si="5"/>
        <v>0.10531742483359952</v>
      </c>
      <c r="AH25" s="217">
        <f t="shared" si="3"/>
        <v>0.2</v>
      </c>
      <c r="AI25" s="170"/>
      <c r="AJ25" s="224">
        <f t="shared" si="11"/>
        <v>22</v>
      </c>
      <c r="AK25" s="217">
        <v>0.22</v>
      </c>
      <c r="AL25" s="217">
        <f t="shared" si="6"/>
        <v>0.16226805085936236</v>
      </c>
      <c r="AM25" s="217">
        <f t="shared" si="7"/>
        <v>0.13408464177211044</v>
      </c>
      <c r="AN25" s="217">
        <f t="shared" si="7"/>
        <v>0.11554878442527183</v>
      </c>
      <c r="AO25" s="217">
        <f t="shared" si="4"/>
        <v>0.22</v>
      </c>
      <c r="AP25" s="172"/>
      <c r="AQ25" s="173"/>
      <c r="AR25" s="173"/>
      <c r="AS25" s="173"/>
      <c r="AT25" s="173"/>
      <c r="AU25" s="173"/>
      <c r="AV25" s="172"/>
      <c r="AW25" s="174"/>
      <c r="AX25" s="174"/>
      <c r="AY25" s="174"/>
      <c r="AZ25" s="174"/>
      <c r="BA25" s="174"/>
      <c r="BB25" s="174"/>
      <c r="BC25" s="222">
        <f t="shared" si="8"/>
        <v>22</v>
      </c>
      <c r="BD25" s="226">
        <v>450</v>
      </c>
      <c r="BE25" s="213">
        <v>450</v>
      </c>
      <c r="BF25" s="214"/>
      <c r="BG25" s="315">
        <v>22</v>
      </c>
      <c r="BH25" s="315">
        <v>2000000000</v>
      </c>
      <c r="BJ25" s="315">
        <v>22</v>
      </c>
      <c r="BK25" s="315">
        <v>2000000000</v>
      </c>
    </row>
    <row r="26" spans="1:63" ht="33" customHeight="1">
      <c r="A26" s="166"/>
      <c r="B26" s="166"/>
      <c r="C26" s="166"/>
      <c r="D26" s="166"/>
      <c r="E26" s="166"/>
      <c r="F26" s="166"/>
      <c r="G26" s="166"/>
      <c r="H26" s="167"/>
      <c r="I26" s="168"/>
      <c r="J26" s="168"/>
      <c r="K26" s="168"/>
      <c r="L26" s="168"/>
      <c r="M26" s="168"/>
      <c r="N26" s="168"/>
      <c r="O26" s="172"/>
      <c r="P26" s="170"/>
      <c r="Q26" s="170"/>
      <c r="R26" s="170"/>
      <c r="S26" s="170"/>
      <c r="T26" s="224">
        <f t="shared" si="9"/>
        <v>23</v>
      </c>
      <c r="U26" s="224">
        <f t="shared" si="12"/>
        <v>0.15</v>
      </c>
      <c r="V26" s="217">
        <f t="shared" si="13"/>
        <v>0.11119026473817994</v>
      </c>
      <c r="W26" s="217">
        <f t="shared" si="13"/>
        <v>9.2112731007184756E-2</v>
      </c>
      <c r="X26" s="217">
        <f t="shared" si="13"/>
        <v>7.9515676296965099E-2</v>
      </c>
      <c r="Y26" s="217">
        <f t="shared" si="1"/>
        <v>0.15</v>
      </c>
      <c r="Z26" s="170"/>
      <c r="AA26" s="217">
        <f>'Mortality Table'!$H$4</f>
        <v>0.1</v>
      </c>
      <c r="AB26" s="170"/>
      <c r="AC26" s="224">
        <f t="shared" si="10"/>
        <v>23</v>
      </c>
      <c r="AD26" s="224">
        <v>0.2</v>
      </c>
      <c r="AE26" s="217">
        <f t="shared" si="5"/>
        <v>0.14772255750516639</v>
      </c>
      <c r="AF26" s="217">
        <f t="shared" si="5"/>
        <v>0.12215290126191869</v>
      </c>
      <c r="AG26" s="217">
        <f t="shared" si="5"/>
        <v>0.10531742483359952</v>
      </c>
      <c r="AH26" s="217">
        <f t="shared" si="3"/>
        <v>0.2</v>
      </c>
      <c r="AI26" s="170"/>
      <c r="AJ26" s="224">
        <f t="shared" si="11"/>
        <v>23</v>
      </c>
      <c r="AK26" s="217">
        <v>0.22</v>
      </c>
      <c r="AL26" s="217">
        <f t="shared" si="6"/>
        <v>0.16226805085936236</v>
      </c>
      <c r="AM26" s="217">
        <f t="shared" si="7"/>
        <v>0.13408464177211044</v>
      </c>
      <c r="AN26" s="217">
        <f t="shared" si="7"/>
        <v>0.11554878442527183</v>
      </c>
      <c r="AO26" s="217">
        <f t="shared" si="4"/>
        <v>0.22</v>
      </c>
      <c r="AP26" s="172"/>
      <c r="AQ26" s="173"/>
      <c r="AR26" s="173"/>
      <c r="AS26" s="173"/>
      <c r="AT26" s="173"/>
      <c r="AU26" s="173"/>
      <c r="AV26" s="172"/>
      <c r="AW26" s="174"/>
      <c r="AX26" s="174"/>
      <c r="AY26" s="174"/>
      <c r="AZ26" s="174"/>
      <c r="BA26" s="174"/>
      <c r="BB26" s="174"/>
      <c r="BC26" s="222">
        <f t="shared" si="8"/>
        <v>23</v>
      </c>
      <c r="BD26" s="226">
        <v>450</v>
      </c>
      <c r="BE26" s="213">
        <v>450</v>
      </c>
      <c r="BF26" s="214"/>
      <c r="BG26" s="315">
        <v>23</v>
      </c>
      <c r="BH26" s="315">
        <v>2000000000</v>
      </c>
      <c r="BJ26" s="315">
        <v>23</v>
      </c>
      <c r="BK26" s="315">
        <v>2000000000</v>
      </c>
    </row>
    <row r="27" spans="1:63" ht="33" customHeight="1">
      <c r="A27" s="166"/>
      <c r="B27" s="166"/>
      <c r="C27" s="166"/>
      <c r="D27" s="166"/>
      <c r="E27" s="166"/>
      <c r="F27" s="166"/>
      <c r="G27" s="166"/>
      <c r="H27" s="167"/>
      <c r="I27" s="168"/>
      <c r="J27" s="168"/>
      <c r="K27" s="168"/>
      <c r="L27" s="168"/>
      <c r="M27" s="168"/>
      <c r="N27" s="168"/>
      <c r="O27" s="172"/>
      <c r="P27" s="170"/>
      <c r="Q27" s="170"/>
      <c r="R27" s="170"/>
      <c r="S27" s="170"/>
      <c r="T27" s="224">
        <f t="shared" si="9"/>
        <v>24</v>
      </c>
      <c r="U27" s="224">
        <f t="shared" si="12"/>
        <v>0.15</v>
      </c>
      <c r="V27" s="217">
        <f t="shared" si="13"/>
        <v>0.11119026473817994</v>
      </c>
      <c r="W27" s="217">
        <f t="shared" si="13"/>
        <v>9.2112731007184756E-2</v>
      </c>
      <c r="X27" s="217">
        <f t="shared" si="13"/>
        <v>7.9515676296965099E-2</v>
      </c>
      <c r="Y27" s="217">
        <f t="shared" si="1"/>
        <v>0.15</v>
      </c>
      <c r="Z27" s="170"/>
      <c r="AA27" s="217">
        <f>'Mortality Table'!$H$4</f>
        <v>0.1</v>
      </c>
      <c r="AB27" s="170"/>
      <c r="AC27" s="224">
        <f t="shared" si="10"/>
        <v>24</v>
      </c>
      <c r="AD27" s="224">
        <v>0.2</v>
      </c>
      <c r="AE27" s="217">
        <f t="shared" si="5"/>
        <v>0.14772255750516639</v>
      </c>
      <c r="AF27" s="217">
        <f t="shared" si="5"/>
        <v>0.12215290126191869</v>
      </c>
      <c r="AG27" s="217">
        <f t="shared" si="5"/>
        <v>0.10531742483359952</v>
      </c>
      <c r="AH27" s="217">
        <f t="shared" si="3"/>
        <v>0.2</v>
      </c>
      <c r="AI27" s="170"/>
      <c r="AJ27" s="224">
        <f t="shared" si="11"/>
        <v>24</v>
      </c>
      <c r="AK27" s="217">
        <v>0.22</v>
      </c>
      <c r="AL27" s="217">
        <f t="shared" si="6"/>
        <v>0.16226805085936236</v>
      </c>
      <c r="AM27" s="217">
        <f t="shared" si="7"/>
        <v>0.13408464177211044</v>
      </c>
      <c r="AN27" s="217">
        <f t="shared" si="7"/>
        <v>0.11554878442527183</v>
      </c>
      <c r="AO27" s="217">
        <f t="shared" si="4"/>
        <v>0.22</v>
      </c>
      <c r="AP27" s="172"/>
      <c r="AQ27" s="173"/>
      <c r="AR27" s="173"/>
      <c r="AS27" s="173"/>
      <c r="AT27" s="173"/>
      <c r="AU27" s="173"/>
      <c r="AV27" s="172"/>
      <c r="AW27" s="174"/>
      <c r="AX27" s="174"/>
      <c r="AY27" s="174"/>
      <c r="AZ27" s="174"/>
      <c r="BA27" s="174"/>
      <c r="BB27" s="174"/>
      <c r="BC27" s="222">
        <f t="shared" si="8"/>
        <v>24</v>
      </c>
      <c r="BD27" s="226">
        <v>450</v>
      </c>
      <c r="BE27" s="213">
        <v>450</v>
      </c>
      <c r="BF27" s="214"/>
      <c r="BG27" s="315">
        <v>24</v>
      </c>
      <c r="BH27" s="315">
        <v>2000000000</v>
      </c>
      <c r="BJ27" s="315">
        <v>24</v>
      </c>
      <c r="BK27" s="315">
        <v>2000000000</v>
      </c>
    </row>
    <row r="28" spans="1:63" ht="33" customHeight="1">
      <c r="A28" s="166"/>
      <c r="B28" s="166"/>
      <c r="C28" s="166"/>
      <c r="D28" s="166"/>
      <c r="E28" s="166"/>
      <c r="F28" s="166"/>
      <c r="G28" s="166"/>
      <c r="H28" s="167"/>
      <c r="I28" s="168"/>
      <c r="J28" s="168"/>
      <c r="K28" s="168"/>
      <c r="L28" s="168"/>
      <c r="M28" s="168"/>
      <c r="N28" s="168"/>
      <c r="O28" s="172"/>
      <c r="P28" s="170"/>
      <c r="Q28" s="170"/>
      <c r="R28" s="170"/>
      <c r="S28" s="170"/>
      <c r="T28" s="224">
        <f t="shared" si="9"/>
        <v>25</v>
      </c>
      <c r="U28" s="224">
        <f t="shared" si="12"/>
        <v>0.15</v>
      </c>
      <c r="V28" s="217">
        <f t="shared" si="13"/>
        <v>0.11119026473817994</v>
      </c>
      <c r="W28" s="217">
        <f t="shared" si="13"/>
        <v>9.2112731007184756E-2</v>
      </c>
      <c r="X28" s="217">
        <f t="shared" si="13"/>
        <v>7.9515676296965099E-2</v>
      </c>
      <c r="Y28" s="217">
        <f t="shared" si="1"/>
        <v>0.15</v>
      </c>
      <c r="Z28" s="170"/>
      <c r="AA28" s="217">
        <f>'Mortality Table'!$H$4</f>
        <v>0.1</v>
      </c>
      <c r="AB28" s="170"/>
      <c r="AC28" s="224">
        <f t="shared" si="10"/>
        <v>25</v>
      </c>
      <c r="AD28" s="224">
        <v>0.2</v>
      </c>
      <c r="AE28" s="217">
        <f t="shared" si="5"/>
        <v>0.14772255750516639</v>
      </c>
      <c r="AF28" s="217">
        <f t="shared" si="5"/>
        <v>0.12215290126191869</v>
      </c>
      <c r="AG28" s="217">
        <f t="shared" si="5"/>
        <v>0.10531742483359952</v>
      </c>
      <c r="AH28" s="217">
        <f t="shared" si="3"/>
        <v>0.2</v>
      </c>
      <c r="AI28" s="170"/>
      <c r="AJ28" s="224">
        <f t="shared" si="11"/>
        <v>25</v>
      </c>
      <c r="AK28" s="217">
        <v>0.22</v>
      </c>
      <c r="AL28" s="217">
        <f t="shared" si="6"/>
        <v>0.16226805085936236</v>
      </c>
      <c r="AM28" s="217">
        <f t="shared" si="7"/>
        <v>0.13408464177211044</v>
      </c>
      <c r="AN28" s="217">
        <f t="shared" si="7"/>
        <v>0.11554878442527183</v>
      </c>
      <c r="AO28" s="217">
        <f t="shared" si="4"/>
        <v>0.22</v>
      </c>
      <c r="AP28" s="172"/>
      <c r="AQ28" s="173"/>
      <c r="AR28" s="173"/>
      <c r="AS28" s="173"/>
      <c r="AT28" s="173"/>
      <c r="AU28" s="173"/>
      <c r="AV28" s="172"/>
      <c r="AW28" s="174"/>
      <c r="AX28" s="174"/>
      <c r="AY28" s="174"/>
      <c r="AZ28" s="174"/>
      <c r="BA28" s="174"/>
      <c r="BB28" s="174"/>
      <c r="BC28" s="222">
        <f t="shared" si="8"/>
        <v>25</v>
      </c>
      <c r="BD28" s="226">
        <v>450</v>
      </c>
      <c r="BE28" s="213">
        <v>450</v>
      </c>
      <c r="BF28" s="214"/>
      <c r="BG28" s="315">
        <v>25</v>
      </c>
      <c r="BH28" s="315">
        <v>2000000000</v>
      </c>
      <c r="BJ28" s="315">
        <v>25</v>
      </c>
      <c r="BK28" s="315">
        <v>2000000000</v>
      </c>
    </row>
    <row r="29" spans="1:63" ht="33" customHeight="1">
      <c r="A29" s="166"/>
      <c r="B29" s="166"/>
      <c r="C29" s="166"/>
      <c r="D29" s="166"/>
      <c r="E29" s="166"/>
      <c r="F29" s="166"/>
      <c r="G29" s="166"/>
      <c r="H29" s="167"/>
      <c r="I29" s="168"/>
      <c r="J29" s="168"/>
      <c r="K29" s="168"/>
      <c r="L29" s="168"/>
      <c r="M29" s="168"/>
      <c r="N29" s="168"/>
      <c r="O29" s="172"/>
      <c r="P29" s="170"/>
      <c r="Q29" s="170"/>
      <c r="R29" s="170"/>
      <c r="S29" s="170"/>
      <c r="T29" s="224">
        <f t="shared" si="9"/>
        <v>26</v>
      </c>
      <c r="U29" s="224">
        <f t="shared" si="12"/>
        <v>0.15</v>
      </c>
      <c r="V29" s="217">
        <f t="shared" si="13"/>
        <v>0.11119026473817994</v>
      </c>
      <c r="W29" s="217">
        <f t="shared" si="13"/>
        <v>9.2112731007184756E-2</v>
      </c>
      <c r="X29" s="217">
        <f t="shared" si="13"/>
        <v>7.9515676296965099E-2</v>
      </c>
      <c r="Y29" s="217">
        <f t="shared" si="1"/>
        <v>0.15</v>
      </c>
      <c r="Z29" s="170"/>
      <c r="AA29" s="217">
        <f>'Mortality Table'!$H$4</f>
        <v>0.1</v>
      </c>
      <c r="AB29" s="170"/>
      <c r="AC29" s="224">
        <f t="shared" si="10"/>
        <v>26</v>
      </c>
      <c r="AD29" s="224">
        <v>0.2</v>
      </c>
      <c r="AE29" s="217">
        <f t="shared" si="5"/>
        <v>0.14772255750516639</v>
      </c>
      <c r="AF29" s="217">
        <f t="shared" si="5"/>
        <v>0.12215290126191869</v>
      </c>
      <c r="AG29" s="217">
        <f t="shared" si="5"/>
        <v>0.10531742483359952</v>
      </c>
      <c r="AH29" s="217">
        <f t="shared" si="3"/>
        <v>0.2</v>
      </c>
      <c r="AI29" s="170"/>
      <c r="AJ29" s="224">
        <f t="shared" si="11"/>
        <v>26</v>
      </c>
      <c r="AK29" s="217">
        <v>0.22</v>
      </c>
      <c r="AL29" s="217">
        <f t="shared" si="6"/>
        <v>0.16226805085936236</v>
      </c>
      <c r="AM29" s="217">
        <f t="shared" si="7"/>
        <v>0.13408464177211044</v>
      </c>
      <c r="AN29" s="217">
        <f t="shared" si="7"/>
        <v>0.11554878442527183</v>
      </c>
      <c r="AO29" s="217">
        <f t="shared" si="4"/>
        <v>0.22</v>
      </c>
      <c r="AP29" s="172"/>
      <c r="AQ29" s="173"/>
      <c r="AR29" s="173"/>
      <c r="AS29" s="173"/>
      <c r="AT29" s="173"/>
      <c r="AU29" s="173"/>
      <c r="AV29" s="172"/>
      <c r="AW29" s="174"/>
      <c r="AX29" s="174"/>
      <c r="AY29" s="174"/>
      <c r="AZ29" s="174"/>
      <c r="BA29" s="174"/>
      <c r="BB29" s="174"/>
      <c r="BC29" s="222">
        <f t="shared" si="8"/>
        <v>26</v>
      </c>
      <c r="BD29" s="226">
        <v>570</v>
      </c>
      <c r="BE29" s="213">
        <v>570</v>
      </c>
      <c r="BF29" s="214"/>
      <c r="BG29" s="315">
        <v>26</v>
      </c>
      <c r="BH29" s="315">
        <v>2000000000</v>
      </c>
      <c r="BJ29" s="315">
        <v>26</v>
      </c>
      <c r="BK29" s="315">
        <v>2000000000</v>
      </c>
    </row>
    <row r="30" spans="1:63" ht="33" customHeight="1">
      <c r="A30" s="166"/>
      <c r="B30" s="166"/>
      <c r="C30" s="166"/>
      <c r="D30" s="166"/>
      <c r="E30" s="166"/>
      <c r="F30" s="166"/>
      <c r="G30" s="166"/>
      <c r="H30" s="167"/>
      <c r="I30" s="168"/>
      <c r="J30" s="168"/>
      <c r="K30" s="168"/>
      <c r="L30" s="168"/>
      <c r="M30" s="168"/>
      <c r="N30" s="168"/>
      <c r="O30" s="172"/>
      <c r="P30" s="170"/>
      <c r="Q30" s="170"/>
      <c r="R30" s="170"/>
      <c r="S30" s="170"/>
      <c r="T30" s="224">
        <f t="shared" si="9"/>
        <v>27</v>
      </c>
      <c r="U30" s="224">
        <f t="shared" si="12"/>
        <v>0.15</v>
      </c>
      <c r="V30" s="217">
        <f t="shared" si="13"/>
        <v>0.11119026473817994</v>
      </c>
      <c r="W30" s="217">
        <f t="shared" si="13"/>
        <v>9.2112731007184756E-2</v>
      </c>
      <c r="X30" s="217">
        <f t="shared" si="13"/>
        <v>7.9515676296965099E-2</v>
      </c>
      <c r="Y30" s="217">
        <f t="shared" si="1"/>
        <v>0.15</v>
      </c>
      <c r="Z30" s="170"/>
      <c r="AA30" s="217">
        <f>'Mortality Table'!$H$4</f>
        <v>0.1</v>
      </c>
      <c r="AB30" s="170"/>
      <c r="AC30" s="224">
        <f t="shared" si="10"/>
        <v>27</v>
      </c>
      <c r="AD30" s="224">
        <v>0.2</v>
      </c>
      <c r="AE30" s="217">
        <f t="shared" si="5"/>
        <v>0.14772255750516639</v>
      </c>
      <c r="AF30" s="217">
        <f t="shared" si="5"/>
        <v>0.12215290126191869</v>
      </c>
      <c r="AG30" s="217">
        <f t="shared" si="5"/>
        <v>0.10531742483359952</v>
      </c>
      <c r="AH30" s="217">
        <f t="shared" si="3"/>
        <v>0.2</v>
      </c>
      <c r="AI30" s="170"/>
      <c r="AJ30" s="224">
        <f t="shared" si="11"/>
        <v>27</v>
      </c>
      <c r="AK30" s="217">
        <v>0.22</v>
      </c>
      <c r="AL30" s="217">
        <f t="shared" si="6"/>
        <v>0.16226805085936236</v>
      </c>
      <c r="AM30" s="217">
        <f t="shared" si="7"/>
        <v>0.13408464177211044</v>
      </c>
      <c r="AN30" s="217">
        <f t="shared" si="7"/>
        <v>0.11554878442527183</v>
      </c>
      <c r="AO30" s="217">
        <f t="shared" si="4"/>
        <v>0.22</v>
      </c>
      <c r="AP30" s="172"/>
      <c r="AQ30" s="173"/>
      <c r="AR30" s="173"/>
      <c r="AS30" s="173"/>
      <c r="AT30" s="173"/>
      <c r="AU30" s="173"/>
      <c r="AV30" s="172"/>
      <c r="AW30" s="174"/>
      <c r="AX30" s="174"/>
      <c r="AY30" s="174"/>
      <c r="AZ30" s="174"/>
      <c r="BA30" s="174"/>
      <c r="BB30" s="174"/>
      <c r="BC30" s="222">
        <f t="shared" si="8"/>
        <v>27</v>
      </c>
      <c r="BD30" s="226">
        <v>570</v>
      </c>
      <c r="BE30" s="213">
        <v>570</v>
      </c>
      <c r="BF30" s="214"/>
      <c r="BG30" s="315">
        <v>27</v>
      </c>
      <c r="BH30" s="315">
        <v>2000000000</v>
      </c>
      <c r="BJ30" s="315">
        <v>27</v>
      </c>
      <c r="BK30" s="315">
        <v>2000000000</v>
      </c>
    </row>
    <row r="31" spans="1:63" ht="33" customHeight="1">
      <c r="A31" s="166"/>
      <c r="B31" s="166"/>
      <c r="C31" s="166"/>
      <c r="D31" s="166"/>
      <c r="E31" s="166"/>
      <c r="F31" s="166"/>
      <c r="G31" s="166"/>
      <c r="H31" s="167"/>
      <c r="I31" s="168"/>
      <c r="J31" s="168"/>
      <c r="K31" s="168"/>
      <c r="L31" s="168"/>
      <c r="M31" s="168"/>
      <c r="N31" s="168"/>
      <c r="O31" s="172"/>
      <c r="P31" s="170"/>
      <c r="Q31" s="170"/>
      <c r="R31" s="170"/>
      <c r="S31" s="170"/>
      <c r="T31" s="224">
        <f t="shared" si="9"/>
        <v>28</v>
      </c>
      <c r="U31" s="224">
        <f t="shared" si="12"/>
        <v>0.15</v>
      </c>
      <c r="V31" s="217">
        <f t="shared" si="13"/>
        <v>0.11119026473817994</v>
      </c>
      <c r="W31" s="217">
        <f t="shared" si="13"/>
        <v>9.2112731007184756E-2</v>
      </c>
      <c r="X31" s="217">
        <f t="shared" si="13"/>
        <v>7.9515676296965099E-2</v>
      </c>
      <c r="Y31" s="217">
        <f t="shared" si="1"/>
        <v>0.15</v>
      </c>
      <c r="Z31" s="170"/>
      <c r="AA31" s="217">
        <f>'Mortality Table'!$H$4</f>
        <v>0.1</v>
      </c>
      <c r="AB31" s="170"/>
      <c r="AC31" s="224">
        <f t="shared" si="10"/>
        <v>28</v>
      </c>
      <c r="AD31" s="224">
        <v>0.2</v>
      </c>
      <c r="AE31" s="217">
        <f t="shared" si="5"/>
        <v>0.14772255750516639</v>
      </c>
      <c r="AF31" s="217">
        <f t="shared" si="5"/>
        <v>0.12215290126191869</v>
      </c>
      <c r="AG31" s="217">
        <f t="shared" si="5"/>
        <v>0.10531742483359952</v>
      </c>
      <c r="AH31" s="217">
        <f t="shared" si="3"/>
        <v>0.2</v>
      </c>
      <c r="AI31" s="170"/>
      <c r="AJ31" s="224">
        <f t="shared" si="11"/>
        <v>28</v>
      </c>
      <c r="AK31" s="217">
        <v>0.22</v>
      </c>
      <c r="AL31" s="217">
        <f t="shared" si="6"/>
        <v>0.16226805085936236</v>
      </c>
      <c r="AM31" s="217">
        <f t="shared" si="7"/>
        <v>0.13408464177211044</v>
      </c>
      <c r="AN31" s="217">
        <f t="shared" si="7"/>
        <v>0.11554878442527183</v>
      </c>
      <c r="AO31" s="217">
        <f t="shared" si="4"/>
        <v>0.22</v>
      </c>
      <c r="AP31" s="172"/>
      <c r="AQ31" s="173"/>
      <c r="AR31" s="173"/>
      <c r="AS31" s="173"/>
      <c r="AT31" s="173"/>
      <c r="AU31" s="173"/>
      <c r="AV31" s="172"/>
      <c r="AW31" s="174"/>
      <c r="AX31" s="174"/>
      <c r="AY31" s="174"/>
      <c r="AZ31" s="174"/>
      <c r="BA31" s="174"/>
      <c r="BB31" s="174"/>
      <c r="BC31" s="222">
        <f t="shared" si="8"/>
        <v>28</v>
      </c>
      <c r="BD31" s="226">
        <v>570</v>
      </c>
      <c r="BE31" s="213">
        <v>570</v>
      </c>
      <c r="BF31" s="214"/>
      <c r="BG31" s="315">
        <v>28</v>
      </c>
      <c r="BH31" s="315">
        <v>2000000000</v>
      </c>
      <c r="BJ31" s="315">
        <v>28</v>
      </c>
      <c r="BK31" s="315">
        <v>2000000000</v>
      </c>
    </row>
    <row r="32" spans="1:63" ht="33" customHeight="1">
      <c r="A32" s="166"/>
      <c r="B32" s="166"/>
      <c r="C32" s="166"/>
      <c r="D32" s="166"/>
      <c r="E32" s="166"/>
      <c r="F32" s="166"/>
      <c r="G32" s="166"/>
      <c r="H32" s="167"/>
      <c r="I32" s="168"/>
      <c r="J32" s="168"/>
      <c r="K32" s="168"/>
      <c r="L32" s="168"/>
      <c r="M32" s="168"/>
      <c r="N32" s="168"/>
      <c r="O32" s="172"/>
      <c r="P32" s="170"/>
      <c r="Q32" s="170"/>
      <c r="R32" s="170"/>
      <c r="S32" s="170"/>
      <c r="T32" s="224">
        <f t="shared" si="9"/>
        <v>29</v>
      </c>
      <c r="U32" s="224">
        <f t="shared" si="12"/>
        <v>0.15</v>
      </c>
      <c r="V32" s="217">
        <f t="shared" si="13"/>
        <v>0.11119026473817994</v>
      </c>
      <c r="W32" s="217">
        <f t="shared" si="13"/>
        <v>9.2112731007184756E-2</v>
      </c>
      <c r="X32" s="217">
        <f t="shared" si="13"/>
        <v>7.9515676296965099E-2</v>
      </c>
      <c r="Y32" s="217">
        <f t="shared" si="1"/>
        <v>0.15</v>
      </c>
      <c r="Z32" s="170"/>
      <c r="AA32" s="217">
        <f>'Mortality Table'!$H$4</f>
        <v>0.1</v>
      </c>
      <c r="AB32" s="170"/>
      <c r="AC32" s="224">
        <f t="shared" si="10"/>
        <v>29</v>
      </c>
      <c r="AD32" s="224">
        <v>0.2</v>
      </c>
      <c r="AE32" s="217">
        <f t="shared" si="5"/>
        <v>0.14772255750516639</v>
      </c>
      <c r="AF32" s="217">
        <f t="shared" si="5"/>
        <v>0.12215290126191869</v>
      </c>
      <c r="AG32" s="217">
        <f t="shared" si="5"/>
        <v>0.10531742483359952</v>
      </c>
      <c r="AH32" s="217">
        <f t="shared" si="3"/>
        <v>0.2</v>
      </c>
      <c r="AI32" s="170"/>
      <c r="AJ32" s="224">
        <f t="shared" si="11"/>
        <v>29</v>
      </c>
      <c r="AK32" s="217">
        <v>0.22</v>
      </c>
      <c r="AL32" s="217">
        <f t="shared" si="6"/>
        <v>0.16226805085936236</v>
      </c>
      <c r="AM32" s="217">
        <f t="shared" si="7"/>
        <v>0.13408464177211044</v>
      </c>
      <c r="AN32" s="217">
        <f t="shared" si="7"/>
        <v>0.11554878442527183</v>
      </c>
      <c r="AO32" s="217">
        <f t="shared" si="4"/>
        <v>0.22</v>
      </c>
      <c r="AP32" s="172"/>
      <c r="AQ32" s="173"/>
      <c r="AR32" s="173"/>
      <c r="AS32" s="173"/>
      <c r="AT32" s="173"/>
      <c r="AU32" s="173"/>
      <c r="AV32" s="172"/>
      <c r="AW32" s="174"/>
      <c r="AX32" s="174"/>
      <c r="AY32" s="174"/>
      <c r="AZ32" s="174"/>
      <c r="BA32" s="174"/>
      <c r="BB32" s="174"/>
      <c r="BC32" s="222">
        <f t="shared" si="8"/>
        <v>29</v>
      </c>
      <c r="BD32" s="226">
        <v>570</v>
      </c>
      <c r="BE32" s="213">
        <v>570</v>
      </c>
      <c r="BF32" s="214"/>
      <c r="BG32" s="315">
        <v>29</v>
      </c>
      <c r="BH32" s="315">
        <v>2000000000</v>
      </c>
      <c r="BJ32" s="315">
        <v>29</v>
      </c>
      <c r="BK32" s="315">
        <v>2000000000</v>
      </c>
    </row>
    <row r="33" spans="1:63" ht="33" customHeight="1">
      <c r="A33" s="166"/>
      <c r="B33" s="166"/>
      <c r="C33" s="166"/>
      <c r="D33" s="166"/>
      <c r="E33" s="166"/>
      <c r="F33" s="166"/>
      <c r="G33" s="166"/>
      <c r="H33" s="167"/>
      <c r="I33" s="168"/>
      <c r="J33" s="168"/>
      <c r="K33" s="168"/>
      <c r="L33" s="168"/>
      <c r="M33" s="168"/>
      <c r="N33" s="168"/>
      <c r="O33" s="172"/>
      <c r="P33" s="170"/>
      <c r="Q33" s="170"/>
      <c r="R33" s="170"/>
      <c r="S33" s="170"/>
      <c r="T33" s="224">
        <f t="shared" si="9"/>
        <v>30</v>
      </c>
      <c r="U33" s="224">
        <f t="shared" si="12"/>
        <v>0.15</v>
      </c>
      <c r="V33" s="217">
        <f t="shared" si="13"/>
        <v>0.11119026473817994</v>
      </c>
      <c r="W33" s="217">
        <f t="shared" si="13"/>
        <v>9.2112731007184756E-2</v>
      </c>
      <c r="X33" s="217">
        <f t="shared" si="13"/>
        <v>7.9515676296965099E-2</v>
      </c>
      <c r="Y33" s="217">
        <f t="shared" si="1"/>
        <v>0.15</v>
      </c>
      <c r="Z33" s="170"/>
      <c r="AA33" s="217">
        <f>'Mortality Table'!$H$4</f>
        <v>0.1</v>
      </c>
      <c r="AB33" s="170"/>
      <c r="AC33" s="224">
        <f t="shared" si="10"/>
        <v>30</v>
      </c>
      <c r="AD33" s="224">
        <v>0.2</v>
      </c>
      <c r="AE33" s="217">
        <f t="shared" si="5"/>
        <v>0.14772255750516639</v>
      </c>
      <c r="AF33" s="217">
        <f t="shared" si="5"/>
        <v>0.12215290126191869</v>
      </c>
      <c r="AG33" s="217">
        <f t="shared" si="5"/>
        <v>0.10531742483359952</v>
      </c>
      <c r="AH33" s="217">
        <f t="shared" si="3"/>
        <v>0.2</v>
      </c>
      <c r="AI33" s="170"/>
      <c r="AJ33" s="224">
        <f t="shared" si="11"/>
        <v>30</v>
      </c>
      <c r="AK33" s="217">
        <v>0.22</v>
      </c>
      <c r="AL33" s="217">
        <f t="shared" si="6"/>
        <v>0.16226805085936236</v>
      </c>
      <c r="AM33" s="217">
        <f t="shared" si="7"/>
        <v>0.13408464177211044</v>
      </c>
      <c r="AN33" s="217">
        <f t="shared" si="7"/>
        <v>0.11554878442527183</v>
      </c>
      <c r="AO33" s="217">
        <f t="shared" si="4"/>
        <v>0.22</v>
      </c>
      <c r="AP33" s="172"/>
      <c r="AQ33" s="173"/>
      <c r="AR33" s="173"/>
      <c r="AS33" s="173"/>
      <c r="AT33" s="173"/>
      <c r="AU33" s="173"/>
      <c r="AV33" s="172"/>
      <c r="AW33" s="174"/>
      <c r="AX33" s="174"/>
      <c r="AY33" s="174"/>
      <c r="AZ33" s="174"/>
      <c r="BA33" s="174"/>
      <c r="BB33" s="174"/>
      <c r="BC33" s="222">
        <f t="shared" si="8"/>
        <v>30</v>
      </c>
      <c r="BD33" s="226">
        <v>570</v>
      </c>
      <c r="BE33" s="213">
        <v>570</v>
      </c>
      <c r="BF33" s="214"/>
      <c r="BG33" s="315">
        <v>30</v>
      </c>
      <c r="BH33" s="315">
        <v>2000000000</v>
      </c>
      <c r="BJ33" s="315">
        <v>30</v>
      </c>
      <c r="BK33" s="315">
        <v>2000000000</v>
      </c>
    </row>
    <row r="34" spans="1:63" ht="33" customHeight="1">
      <c r="A34" s="166"/>
      <c r="B34" s="166"/>
      <c r="C34" s="166"/>
      <c r="D34" s="166"/>
      <c r="E34" s="166"/>
      <c r="F34" s="166"/>
      <c r="G34" s="166"/>
      <c r="H34" s="167"/>
      <c r="I34" s="168"/>
      <c r="J34" s="168"/>
      <c r="K34" s="168"/>
      <c r="L34" s="168"/>
      <c r="M34" s="168"/>
      <c r="N34" s="168"/>
      <c r="O34" s="172"/>
      <c r="P34" s="170"/>
      <c r="Q34" s="170"/>
      <c r="R34" s="170"/>
      <c r="S34" s="170"/>
      <c r="T34" s="224">
        <f t="shared" si="9"/>
        <v>31</v>
      </c>
      <c r="U34" s="224">
        <f t="shared" si="12"/>
        <v>0.15</v>
      </c>
      <c r="V34" s="217">
        <f t="shared" si="13"/>
        <v>0.11119026473817994</v>
      </c>
      <c r="W34" s="217">
        <f t="shared" si="13"/>
        <v>9.2112731007184756E-2</v>
      </c>
      <c r="X34" s="217">
        <f t="shared" si="13"/>
        <v>7.9515676296965099E-2</v>
      </c>
      <c r="Y34" s="217">
        <f t="shared" si="1"/>
        <v>0.15</v>
      </c>
      <c r="Z34" s="170"/>
      <c r="AA34" s="217">
        <f>'Mortality Table'!$H$4</f>
        <v>0.1</v>
      </c>
      <c r="AB34" s="170"/>
      <c r="AC34" s="224">
        <f t="shared" si="10"/>
        <v>31</v>
      </c>
      <c r="AD34" s="224">
        <v>0.2</v>
      </c>
      <c r="AE34" s="217">
        <f t="shared" si="5"/>
        <v>0.14772255750516639</v>
      </c>
      <c r="AF34" s="217">
        <f t="shared" si="5"/>
        <v>0.12215290126191869</v>
      </c>
      <c r="AG34" s="217">
        <f t="shared" si="5"/>
        <v>0.10531742483359952</v>
      </c>
      <c r="AH34" s="217">
        <f t="shared" si="3"/>
        <v>0.2</v>
      </c>
      <c r="AI34" s="170"/>
      <c r="AJ34" s="224">
        <f t="shared" si="11"/>
        <v>31</v>
      </c>
      <c r="AK34" s="217">
        <v>0.22</v>
      </c>
      <c r="AL34" s="217">
        <f t="shared" si="6"/>
        <v>0.16226805085936236</v>
      </c>
      <c r="AM34" s="217">
        <f t="shared" si="7"/>
        <v>0.13408464177211044</v>
      </c>
      <c r="AN34" s="217">
        <f t="shared" si="7"/>
        <v>0.11554878442527183</v>
      </c>
      <c r="AO34" s="217">
        <f t="shared" si="4"/>
        <v>0.22</v>
      </c>
      <c r="AP34" s="172"/>
      <c r="AQ34" s="255"/>
      <c r="AR34" s="173"/>
      <c r="AS34" s="173"/>
      <c r="AT34" s="173"/>
      <c r="AU34" s="173"/>
      <c r="AV34" s="172"/>
      <c r="AW34" s="174"/>
      <c r="AX34" s="174"/>
      <c r="AY34" s="174"/>
      <c r="AZ34" s="174"/>
      <c r="BA34" s="174"/>
      <c r="BB34" s="174"/>
      <c r="BC34" s="222">
        <f t="shared" si="8"/>
        <v>31</v>
      </c>
      <c r="BD34" s="226">
        <v>750</v>
      </c>
      <c r="BE34" s="213">
        <v>750</v>
      </c>
      <c r="BF34" s="214"/>
      <c r="BG34" s="315">
        <v>31</v>
      </c>
      <c r="BH34" s="315">
        <v>2000000000</v>
      </c>
      <c r="BJ34" s="315">
        <v>31</v>
      </c>
      <c r="BK34" s="315">
        <v>2000000000</v>
      </c>
    </row>
    <row r="35" spans="1:63" ht="33" customHeight="1">
      <c r="A35" s="166"/>
      <c r="B35" s="166"/>
      <c r="C35" s="166"/>
      <c r="D35" s="166"/>
      <c r="E35" s="166"/>
      <c r="F35" s="166"/>
      <c r="G35" s="166"/>
      <c r="H35" s="167"/>
      <c r="I35" s="168"/>
      <c r="J35" s="168"/>
      <c r="K35" s="168"/>
      <c r="L35" s="168"/>
      <c r="M35" s="168"/>
      <c r="N35" s="168"/>
      <c r="O35" s="172"/>
      <c r="P35" s="170"/>
      <c r="Q35" s="170"/>
      <c r="R35" s="170"/>
      <c r="S35" s="170"/>
      <c r="T35" s="224">
        <f t="shared" si="9"/>
        <v>32</v>
      </c>
      <c r="U35" s="224">
        <f t="shared" si="12"/>
        <v>0.15</v>
      </c>
      <c r="V35" s="217">
        <f t="shared" si="13"/>
        <v>0.11119026473817994</v>
      </c>
      <c r="W35" s="217">
        <f t="shared" si="13"/>
        <v>9.2112731007184756E-2</v>
      </c>
      <c r="X35" s="217">
        <f t="shared" si="13"/>
        <v>7.9515676296965099E-2</v>
      </c>
      <c r="Y35" s="217">
        <f t="shared" si="1"/>
        <v>0.15</v>
      </c>
      <c r="Z35" s="170"/>
      <c r="AA35" s="217">
        <f>'Mortality Table'!$H$4</f>
        <v>0.1</v>
      </c>
      <c r="AB35" s="170"/>
      <c r="AC35" s="224">
        <f t="shared" si="10"/>
        <v>32</v>
      </c>
      <c r="AD35" s="224">
        <v>0.2</v>
      </c>
      <c r="AE35" s="217">
        <f t="shared" si="5"/>
        <v>0.14772255750516639</v>
      </c>
      <c r="AF35" s="217">
        <f t="shared" si="5"/>
        <v>0.12215290126191869</v>
      </c>
      <c r="AG35" s="217">
        <f t="shared" si="5"/>
        <v>0.10531742483359952</v>
      </c>
      <c r="AH35" s="217">
        <f t="shared" si="3"/>
        <v>0.2</v>
      </c>
      <c r="AI35" s="170"/>
      <c r="AJ35" s="224">
        <f t="shared" si="11"/>
        <v>32</v>
      </c>
      <c r="AK35" s="217">
        <v>0.22</v>
      </c>
      <c r="AL35" s="217">
        <f t="shared" si="6"/>
        <v>0.16226805085936236</v>
      </c>
      <c r="AM35" s="217">
        <f t="shared" si="7"/>
        <v>0.13408464177211044</v>
      </c>
      <c r="AN35" s="217">
        <f t="shared" si="7"/>
        <v>0.11554878442527183</v>
      </c>
      <c r="AO35" s="217">
        <f t="shared" si="4"/>
        <v>0.22</v>
      </c>
      <c r="AP35" s="172"/>
      <c r="AQ35" s="255"/>
      <c r="AR35" s="173"/>
      <c r="AS35" s="173"/>
      <c r="AT35" s="173"/>
      <c r="AU35" s="173"/>
      <c r="AV35" s="172"/>
      <c r="AW35" s="174"/>
      <c r="AX35" s="174"/>
      <c r="AY35" s="174"/>
      <c r="AZ35" s="174"/>
      <c r="BA35" s="174"/>
      <c r="BB35" s="174"/>
      <c r="BC35" s="222">
        <f t="shared" si="8"/>
        <v>32</v>
      </c>
      <c r="BD35" s="226">
        <v>750</v>
      </c>
      <c r="BE35" s="213">
        <v>750</v>
      </c>
      <c r="BF35" s="214"/>
      <c r="BG35" s="315">
        <v>32</v>
      </c>
      <c r="BH35" s="315">
        <v>2000000000</v>
      </c>
      <c r="BJ35" s="315">
        <v>32</v>
      </c>
      <c r="BK35" s="315">
        <v>2000000000</v>
      </c>
    </row>
    <row r="36" spans="1:63" ht="33" customHeight="1">
      <c r="A36" s="166"/>
      <c r="B36" s="166"/>
      <c r="C36" s="166"/>
      <c r="D36" s="166"/>
      <c r="E36" s="166"/>
      <c r="F36" s="166"/>
      <c r="G36" s="166"/>
      <c r="H36" s="167"/>
      <c r="I36" s="168"/>
      <c r="J36" s="168"/>
      <c r="K36" s="168"/>
      <c r="L36" s="168"/>
      <c r="M36" s="168"/>
      <c r="N36" s="168"/>
      <c r="O36" s="172"/>
      <c r="P36" s="170"/>
      <c r="Q36" s="170"/>
      <c r="R36" s="170"/>
      <c r="S36" s="170"/>
      <c r="T36" s="224">
        <f t="shared" si="9"/>
        <v>33</v>
      </c>
      <c r="U36" s="224">
        <f t="shared" si="12"/>
        <v>0.15</v>
      </c>
      <c r="V36" s="217">
        <f t="shared" si="13"/>
        <v>0.11119026473817994</v>
      </c>
      <c r="W36" s="217">
        <f t="shared" si="13"/>
        <v>9.2112731007184756E-2</v>
      </c>
      <c r="X36" s="217">
        <f t="shared" si="13"/>
        <v>7.9515676296965099E-2</v>
      </c>
      <c r="Y36" s="217">
        <f t="shared" ref="Y36:Y67" si="14">LOOKUP($Q$7,$U$3:$X$3,U36:X36)</f>
        <v>0.15</v>
      </c>
      <c r="Z36" s="170"/>
      <c r="AA36" s="217">
        <f>'Mortality Table'!$H$4</f>
        <v>0.1</v>
      </c>
      <c r="AB36" s="170"/>
      <c r="AC36" s="224">
        <f t="shared" si="10"/>
        <v>33</v>
      </c>
      <c r="AD36" s="224">
        <v>0.2</v>
      </c>
      <c r="AE36" s="217">
        <f t="shared" si="5"/>
        <v>0.14772255750516639</v>
      </c>
      <c r="AF36" s="217">
        <f t="shared" si="5"/>
        <v>0.12215290126191869</v>
      </c>
      <c r="AG36" s="217">
        <f t="shared" si="5"/>
        <v>0.10531742483359952</v>
      </c>
      <c r="AH36" s="217">
        <f t="shared" ref="AH36:AH67" si="15">LOOKUP($Q$7,$U$3:$X$3,AD36:AG36)</f>
        <v>0.2</v>
      </c>
      <c r="AI36" s="170"/>
      <c r="AJ36" s="224">
        <f t="shared" si="11"/>
        <v>33</v>
      </c>
      <c r="AK36" s="217">
        <v>0.22</v>
      </c>
      <c r="AL36" s="217">
        <f t="shared" si="6"/>
        <v>0.16226805085936236</v>
      </c>
      <c r="AM36" s="217">
        <f t="shared" si="7"/>
        <v>0.13408464177211044</v>
      </c>
      <c r="AN36" s="217">
        <f t="shared" si="7"/>
        <v>0.11554878442527183</v>
      </c>
      <c r="AO36" s="217">
        <f t="shared" ref="AO36:AO67" si="16">LOOKUP($Q$7,$U$3:$X$3,AK36:AN36)</f>
        <v>0.22</v>
      </c>
      <c r="AP36" s="172"/>
      <c r="AQ36" s="173"/>
      <c r="AR36" s="173"/>
      <c r="AS36" s="173"/>
      <c r="AT36" s="173"/>
      <c r="AU36" s="173"/>
      <c r="AV36" s="172"/>
      <c r="AW36" s="174"/>
      <c r="AX36" s="174"/>
      <c r="AY36" s="174"/>
      <c r="AZ36" s="174"/>
      <c r="BA36" s="174"/>
      <c r="BB36" s="174"/>
      <c r="BC36" s="222">
        <f t="shared" si="8"/>
        <v>33</v>
      </c>
      <c r="BD36" s="226">
        <v>750</v>
      </c>
      <c r="BE36" s="213">
        <v>750</v>
      </c>
      <c r="BF36" s="214"/>
      <c r="BG36" s="315">
        <v>33</v>
      </c>
      <c r="BH36" s="315">
        <v>2000000000</v>
      </c>
      <c r="BJ36" s="315">
        <v>33</v>
      </c>
      <c r="BK36" s="315">
        <v>2000000000</v>
      </c>
    </row>
    <row r="37" spans="1:63" ht="33" customHeight="1">
      <c r="A37" s="166"/>
      <c r="B37" s="166"/>
      <c r="C37" s="166"/>
      <c r="D37" s="166"/>
      <c r="E37" s="166"/>
      <c r="F37" s="166"/>
      <c r="G37" s="166"/>
      <c r="H37" s="167"/>
      <c r="I37" s="168"/>
      <c r="J37" s="168"/>
      <c r="K37" s="168"/>
      <c r="L37" s="168"/>
      <c r="M37" s="168"/>
      <c r="N37" s="168"/>
      <c r="O37" s="172"/>
      <c r="P37" s="170"/>
      <c r="Q37" s="170"/>
      <c r="R37" s="170"/>
      <c r="S37" s="170"/>
      <c r="T37" s="224">
        <f t="shared" si="9"/>
        <v>34</v>
      </c>
      <c r="U37" s="224">
        <f t="shared" si="12"/>
        <v>0.15</v>
      </c>
      <c r="V37" s="217">
        <f t="shared" si="13"/>
        <v>0.11119026473817994</v>
      </c>
      <c r="W37" s="217">
        <f t="shared" si="13"/>
        <v>9.2112731007184756E-2</v>
      </c>
      <c r="X37" s="217">
        <f t="shared" si="13"/>
        <v>7.9515676296965099E-2</v>
      </c>
      <c r="Y37" s="217">
        <f t="shared" si="14"/>
        <v>0.15</v>
      </c>
      <c r="Z37" s="170"/>
      <c r="AA37" s="217">
        <f>'Mortality Table'!$H$4</f>
        <v>0.1</v>
      </c>
      <c r="AB37" s="170"/>
      <c r="AC37" s="224">
        <f t="shared" si="10"/>
        <v>34</v>
      </c>
      <c r="AD37" s="224">
        <v>0.2</v>
      </c>
      <c r="AE37" s="217">
        <f t="shared" ref="AE37:AG68" si="17">(((1-(1/(1+$AD37)))/(AE$3*(1-((1/(1+$AD37))^(1/AE$3)))))*(1+$AD37))-1</f>
        <v>0.14772255750516639</v>
      </c>
      <c r="AF37" s="217">
        <f t="shared" si="17"/>
        <v>0.12215290126191869</v>
      </c>
      <c r="AG37" s="217">
        <f t="shared" si="17"/>
        <v>0.10531742483359952</v>
      </c>
      <c r="AH37" s="217">
        <f t="shared" si="15"/>
        <v>0.2</v>
      </c>
      <c r="AI37" s="170"/>
      <c r="AJ37" s="224">
        <f t="shared" si="11"/>
        <v>34</v>
      </c>
      <c r="AK37" s="217">
        <v>0.22</v>
      </c>
      <c r="AL37" s="217">
        <f t="shared" ref="AL37:AL69" si="18">(((1-(1/(1+$AK37)))/(AL$3*(1-((1/(1+$AK37))^(1/AL$3)))))*(1+$AK37))-1</f>
        <v>0.16226805085936236</v>
      </c>
      <c r="AM37" s="217">
        <f t="shared" si="7"/>
        <v>0.13408464177211044</v>
      </c>
      <c r="AN37" s="217">
        <f t="shared" si="7"/>
        <v>0.11554878442527183</v>
      </c>
      <c r="AO37" s="217">
        <f t="shared" si="16"/>
        <v>0.22</v>
      </c>
      <c r="AP37" s="172"/>
      <c r="AQ37" s="173"/>
      <c r="AR37" s="173"/>
      <c r="AS37" s="173"/>
      <c r="AT37" s="173"/>
      <c r="AU37" s="173"/>
      <c r="AV37" s="172"/>
      <c r="AW37" s="174"/>
      <c r="AX37" s="174"/>
      <c r="AY37" s="174"/>
      <c r="AZ37" s="174"/>
      <c r="BA37" s="174"/>
      <c r="BB37" s="174"/>
      <c r="BC37" s="222">
        <f t="shared" ref="BC37:BC63" si="19">BC36+1</f>
        <v>34</v>
      </c>
      <c r="BD37" s="226">
        <v>750</v>
      </c>
      <c r="BE37" s="213">
        <v>750</v>
      </c>
      <c r="BF37" s="214"/>
      <c r="BG37" s="315">
        <v>34</v>
      </c>
      <c r="BH37" s="315">
        <v>2000000000</v>
      </c>
      <c r="BJ37" s="315">
        <v>34</v>
      </c>
      <c r="BK37" s="315">
        <v>2000000000</v>
      </c>
    </row>
    <row r="38" spans="1:63" ht="33" customHeight="1">
      <c r="A38" s="166"/>
      <c r="B38" s="166"/>
      <c r="C38" s="166"/>
      <c r="D38" s="166"/>
      <c r="E38" s="166"/>
      <c r="F38" s="166"/>
      <c r="G38" s="166"/>
      <c r="H38" s="167"/>
      <c r="I38" s="168"/>
      <c r="J38" s="168"/>
      <c r="K38" s="168"/>
      <c r="L38" s="168"/>
      <c r="M38" s="168"/>
      <c r="N38" s="168"/>
      <c r="O38" s="172"/>
      <c r="P38" s="170"/>
      <c r="Q38" s="170"/>
      <c r="R38" s="170"/>
      <c r="S38" s="170"/>
      <c r="T38" s="224">
        <f t="shared" si="9"/>
        <v>35</v>
      </c>
      <c r="U38" s="224">
        <f t="shared" si="12"/>
        <v>0.15</v>
      </c>
      <c r="V38" s="217">
        <f t="shared" si="13"/>
        <v>0.11119026473817994</v>
      </c>
      <c r="W38" s="217">
        <f t="shared" si="13"/>
        <v>9.2112731007184756E-2</v>
      </c>
      <c r="X38" s="217">
        <f t="shared" si="13"/>
        <v>7.9515676296965099E-2</v>
      </c>
      <c r="Y38" s="217">
        <f t="shared" si="14"/>
        <v>0.15</v>
      </c>
      <c r="Z38" s="170"/>
      <c r="AA38" s="217">
        <f>'Mortality Table'!$H$4</f>
        <v>0.1</v>
      </c>
      <c r="AB38" s="170"/>
      <c r="AC38" s="224">
        <f t="shared" si="10"/>
        <v>35</v>
      </c>
      <c r="AD38" s="224">
        <v>0.2</v>
      </c>
      <c r="AE38" s="217">
        <f t="shared" si="17"/>
        <v>0.14772255750516639</v>
      </c>
      <c r="AF38" s="217">
        <f t="shared" si="17"/>
        <v>0.12215290126191869</v>
      </c>
      <c r="AG38" s="217">
        <f t="shared" si="17"/>
        <v>0.10531742483359952</v>
      </c>
      <c r="AH38" s="217">
        <f t="shared" si="15"/>
        <v>0.2</v>
      </c>
      <c r="AI38" s="170"/>
      <c r="AJ38" s="224">
        <f t="shared" si="11"/>
        <v>35</v>
      </c>
      <c r="AK38" s="217">
        <v>0.22</v>
      </c>
      <c r="AL38" s="217">
        <f t="shared" si="18"/>
        <v>0.16226805085936236</v>
      </c>
      <c r="AM38" s="217">
        <f t="shared" si="7"/>
        <v>0.13408464177211044</v>
      </c>
      <c r="AN38" s="217">
        <f t="shared" si="7"/>
        <v>0.11554878442527183</v>
      </c>
      <c r="AO38" s="217">
        <f t="shared" si="16"/>
        <v>0.22</v>
      </c>
      <c r="AP38" s="172"/>
      <c r="AQ38" s="173"/>
      <c r="AR38" s="173"/>
      <c r="AS38" s="173"/>
      <c r="AT38" s="173"/>
      <c r="AU38" s="173"/>
      <c r="AV38" s="172"/>
      <c r="AW38" s="174"/>
      <c r="AX38" s="174"/>
      <c r="AY38" s="174"/>
      <c r="AZ38" s="174"/>
      <c r="BA38" s="174"/>
      <c r="BB38" s="174"/>
      <c r="BC38" s="222">
        <f t="shared" si="19"/>
        <v>35</v>
      </c>
      <c r="BD38" s="226">
        <v>750</v>
      </c>
      <c r="BE38" s="213">
        <v>750</v>
      </c>
      <c r="BF38" s="214"/>
      <c r="BG38" s="315">
        <v>35</v>
      </c>
      <c r="BH38" s="315">
        <v>2000000000</v>
      </c>
      <c r="BJ38" s="315">
        <v>35</v>
      </c>
      <c r="BK38" s="315">
        <v>2000000000</v>
      </c>
    </row>
    <row r="39" spans="1:63" ht="33" customHeight="1">
      <c r="A39" s="166"/>
      <c r="B39" s="166"/>
      <c r="C39" s="166"/>
      <c r="D39" s="166"/>
      <c r="E39" s="166"/>
      <c r="F39" s="166"/>
      <c r="G39" s="166"/>
      <c r="H39" s="167"/>
      <c r="I39" s="168"/>
      <c r="J39" s="168"/>
      <c r="K39" s="168"/>
      <c r="L39" s="168"/>
      <c r="M39" s="168"/>
      <c r="N39" s="168"/>
      <c r="O39" s="172"/>
      <c r="P39" s="170"/>
      <c r="Q39" s="170"/>
      <c r="R39" s="170"/>
      <c r="S39" s="170"/>
      <c r="T39" s="224">
        <f t="shared" si="9"/>
        <v>36</v>
      </c>
      <c r="U39" s="224">
        <f t="shared" si="12"/>
        <v>0.15</v>
      </c>
      <c r="V39" s="217">
        <f t="shared" si="13"/>
        <v>0.11119026473817994</v>
      </c>
      <c r="W39" s="217">
        <f t="shared" si="13"/>
        <v>9.2112731007184756E-2</v>
      </c>
      <c r="X39" s="217">
        <f t="shared" si="13"/>
        <v>7.9515676296965099E-2</v>
      </c>
      <c r="Y39" s="217">
        <f t="shared" si="14"/>
        <v>0.15</v>
      </c>
      <c r="Z39" s="170"/>
      <c r="AA39" s="217">
        <f>'Mortality Table'!$H$4</f>
        <v>0.1</v>
      </c>
      <c r="AB39" s="170"/>
      <c r="AC39" s="224">
        <f t="shared" si="10"/>
        <v>36</v>
      </c>
      <c r="AD39" s="224">
        <v>0.2</v>
      </c>
      <c r="AE39" s="217">
        <f t="shared" si="17"/>
        <v>0.14772255750516639</v>
      </c>
      <c r="AF39" s="217">
        <f t="shared" si="17"/>
        <v>0.12215290126191869</v>
      </c>
      <c r="AG39" s="217">
        <f t="shared" si="17"/>
        <v>0.10531742483359952</v>
      </c>
      <c r="AH39" s="217">
        <f t="shared" si="15"/>
        <v>0.2</v>
      </c>
      <c r="AI39" s="170"/>
      <c r="AJ39" s="224">
        <f t="shared" si="11"/>
        <v>36</v>
      </c>
      <c r="AK39" s="217">
        <v>0.22</v>
      </c>
      <c r="AL39" s="217">
        <f t="shared" si="18"/>
        <v>0.16226805085936236</v>
      </c>
      <c r="AM39" s="217">
        <f t="shared" si="7"/>
        <v>0.13408464177211044</v>
      </c>
      <c r="AN39" s="217">
        <f t="shared" si="7"/>
        <v>0.11554878442527183</v>
      </c>
      <c r="AO39" s="217">
        <f t="shared" si="16"/>
        <v>0.22</v>
      </c>
      <c r="AP39" s="172"/>
      <c r="AQ39" s="173"/>
      <c r="AR39" s="173"/>
      <c r="AS39" s="173"/>
      <c r="AT39" s="173"/>
      <c r="AU39" s="173"/>
      <c r="AV39" s="172"/>
      <c r="AW39" s="174"/>
      <c r="AX39" s="174"/>
      <c r="AY39" s="174"/>
      <c r="AZ39" s="174"/>
      <c r="BA39" s="174"/>
      <c r="BB39" s="174"/>
      <c r="BC39" s="222">
        <f t="shared" si="19"/>
        <v>36</v>
      </c>
      <c r="BD39" s="226">
        <v>1500</v>
      </c>
      <c r="BE39" s="213">
        <v>1500</v>
      </c>
      <c r="BF39" s="214"/>
      <c r="BG39" s="315">
        <v>36</v>
      </c>
      <c r="BH39" s="315">
        <v>2000000000</v>
      </c>
      <c r="BJ39" s="315">
        <v>36</v>
      </c>
      <c r="BK39" s="315">
        <v>2000000000</v>
      </c>
    </row>
    <row r="40" spans="1:63" ht="33" customHeight="1">
      <c r="A40" s="166"/>
      <c r="B40" s="166"/>
      <c r="C40" s="166"/>
      <c r="D40" s="166"/>
      <c r="E40" s="166"/>
      <c r="F40" s="166"/>
      <c r="G40" s="166"/>
      <c r="H40" s="167"/>
      <c r="I40" s="168"/>
      <c r="J40" s="168"/>
      <c r="K40" s="168"/>
      <c r="L40" s="168"/>
      <c r="M40" s="168"/>
      <c r="N40" s="168"/>
      <c r="O40" s="172"/>
      <c r="P40" s="170"/>
      <c r="Q40" s="170"/>
      <c r="R40" s="170"/>
      <c r="S40" s="170"/>
      <c r="T40" s="224">
        <f t="shared" si="9"/>
        <v>37</v>
      </c>
      <c r="U40" s="224">
        <f t="shared" si="12"/>
        <v>0.15</v>
      </c>
      <c r="V40" s="217">
        <f t="shared" si="13"/>
        <v>0.11119026473817994</v>
      </c>
      <c r="W40" s="217">
        <f t="shared" si="13"/>
        <v>9.2112731007184756E-2</v>
      </c>
      <c r="X40" s="217">
        <f t="shared" si="13"/>
        <v>7.9515676296965099E-2</v>
      </c>
      <c r="Y40" s="217">
        <f t="shared" si="14"/>
        <v>0.15</v>
      </c>
      <c r="Z40" s="170"/>
      <c r="AA40" s="217">
        <f>'Mortality Table'!$H$4</f>
        <v>0.1</v>
      </c>
      <c r="AB40" s="170"/>
      <c r="AC40" s="224">
        <f t="shared" si="10"/>
        <v>37</v>
      </c>
      <c r="AD40" s="224">
        <v>0.2</v>
      </c>
      <c r="AE40" s="217">
        <f t="shared" si="17"/>
        <v>0.14772255750516639</v>
      </c>
      <c r="AF40" s="217">
        <f t="shared" si="17"/>
        <v>0.12215290126191869</v>
      </c>
      <c r="AG40" s="217">
        <f t="shared" si="17"/>
        <v>0.10531742483359952</v>
      </c>
      <c r="AH40" s="217">
        <f t="shared" si="15"/>
        <v>0.2</v>
      </c>
      <c r="AI40" s="170"/>
      <c r="AJ40" s="224">
        <f t="shared" si="11"/>
        <v>37</v>
      </c>
      <c r="AK40" s="217">
        <v>0.22</v>
      </c>
      <c r="AL40" s="217">
        <f t="shared" si="18"/>
        <v>0.16226805085936236</v>
      </c>
      <c r="AM40" s="217">
        <f t="shared" si="7"/>
        <v>0.13408464177211044</v>
      </c>
      <c r="AN40" s="217">
        <f t="shared" si="7"/>
        <v>0.11554878442527183</v>
      </c>
      <c r="AO40" s="217">
        <f t="shared" si="16"/>
        <v>0.22</v>
      </c>
      <c r="AP40" s="172"/>
      <c r="AQ40" s="173"/>
      <c r="AR40" s="173"/>
      <c r="AS40" s="173"/>
      <c r="AT40" s="173"/>
      <c r="AU40" s="173"/>
      <c r="AV40" s="172"/>
      <c r="AW40" s="174"/>
      <c r="AX40" s="174"/>
      <c r="AY40" s="174"/>
      <c r="AZ40" s="174"/>
      <c r="BA40" s="174"/>
      <c r="BB40" s="174"/>
      <c r="BC40" s="222">
        <f t="shared" si="19"/>
        <v>37</v>
      </c>
      <c r="BD40" s="226">
        <v>1500</v>
      </c>
      <c r="BE40" s="213">
        <v>1500</v>
      </c>
      <c r="BF40" s="214"/>
      <c r="BG40" s="315">
        <v>37</v>
      </c>
      <c r="BH40" s="315">
        <v>2000000000</v>
      </c>
      <c r="BJ40" s="315">
        <v>37</v>
      </c>
      <c r="BK40" s="315">
        <v>2000000000</v>
      </c>
    </row>
    <row r="41" spans="1:63" ht="33" customHeight="1">
      <c r="A41" s="166"/>
      <c r="B41" s="166"/>
      <c r="C41" s="166"/>
      <c r="D41" s="166"/>
      <c r="E41" s="166"/>
      <c r="F41" s="166"/>
      <c r="G41" s="166"/>
      <c r="H41" s="167"/>
      <c r="I41" s="168"/>
      <c r="J41" s="168"/>
      <c r="K41" s="168"/>
      <c r="L41" s="168"/>
      <c r="M41" s="168"/>
      <c r="N41" s="168"/>
      <c r="O41" s="172"/>
      <c r="P41" s="170"/>
      <c r="Q41" s="170"/>
      <c r="R41" s="170"/>
      <c r="S41" s="170"/>
      <c r="T41" s="224">
        <f t="shared" si="9"/>
        <v>38</v>
      </c>
      <c r="U41" s="224">
        <f t="shared" si="12"/>
        <v>0.15</v>
      </c>
      <c r="V41" s="217">
        <f t="shared" si="13"/>
        <v>0.11119026473817994</v>
      </c>
      <c r="W41" s="217">
        <f t="shared" si="13"/>
        <v>9.2112731007184756E-2</v>
      </c>
      <c r="X41" s="217">
        <f t="shared" si="13"/>
        <v>7.9515676296965099E-2</v>
      </c>
      <c r="Y41" s="217">
        <f t="shared" si="14"/>
        <v>0.15</v>
      </c>
      <c r="Z41" s="170"/>
      <c r="AA41" s="217">
        <f>'Mortality Table'!$H$4</f>
        <v>0.1</v>
      </c>
      <c r="AB41" s="170"/>
      <c r="AC41" s="224">
        <f t="shared" si="10"/>
        <v>38</v>
      </c>
      <c r="AD41" s="224">
        <v>0.2</v>
      </c>
      <c r="AE41" s="217">
        <f t="shared" si="17"/>
        <v>0.14772255750516639</v>
      </c>
      <c r="AF41" s="217">
        <f t="shared" si="17"/>
        <v>0.12215290126191869</v>
      </c>
      <c r="AG41" s="217">
        <f t="shared" si="17"/>
        <v>0.10531742483359952</v>
      </c>
      <c r="AH41" s="217">
        <f t="shared" si="15"/>
        <v>0.2</v>
      </c>
      <c r="AI41" s="170"/>
      <c r="AJ41" s="224">
        <f t="shared" si="11"/>
        <v>38</v>
      </c>
      <c r="AK41" s="217">
        <v>0.22</v>
      </c>
      <c r="AL41" s="217">
        <f t="shared" si="18"/>
        <v>0.16226805085936236</v>
      </c>
      <c r="AM41" s="217">
        <f t="shared" si="7"/>
        <v>0.13408464177211044</v>
      </c>
      <c r="AN41" s="217">
        <f t="shared" si="7"/>
        <v>0.11554878442527183</v>
      </c>
      <c r="AO41" s="217">
        <f t="shared" si="16"/>
        <v>0.22</v>
      </c>
      <c r="AP41" s="172"/>
      <c r="AQ41" s="173"/>
      <c r="AR41" s="173"/>
      <c r="AS41" s="173"/>
      <c r="AT41" s="173"/>
      <c r="AU41" s="173"/>
      <c r="AV41" s="172"/>
      <c r="AW41" s="174"/>
      <c r="AX41" s="174"/>
      <c r="AY41" s="174"/>
      <c r="AZ41" s="174"/>
      <c r="BA41" s="174"/>
      <c r="BB41" s="174"/>
      <c r="BC41" s="222">
        <f t="shared" si="19"/>
        <v>38</v>
      </c>
      <c r="BD41" s="226">
        <v>1500</v>
      </c>
      <c r="BE41" s="213">
        <v>1500</v>
      </c>
      <c r="BF41" s="214"/>
      <c r="BG41" s="315">
        <v>38</v>
      </c>
      <c r="BH41" s="315">
        <v>2000000000</v>
      </c>
      <c r="BJ41" s="315">
        <v>38</v>
      </c>
      <c r="BK41" s="315">
        <v>2000000000</v>
      </c>
    </row>
    <row r="42" spans="1:63" ht="33" customHeight="1">
      <c r="A42" s="166"/>
      <c r="B42" s="166"/>
      <c r="C42" s="166"/>
      <c r="D42" s="166"/>
      <c r="E42" s="166"/>
      <c r="F42" s="166"/>
      <c r="G42" s="166"/>
      <c r="H42" s="167"/>
      <c r="I42" s="168"/>
      <c r="J42" s="168"/>
      <c r="K42" s="168"/>
      <c r="L42" s="168"/>
      <c r="M42" s="168"/>
      <c r="N42" s="168"/>
      <c r="O42" s="172"/>
      <c r="P42" s="170"/>
      <c r="Q42" s="170"/>
      <c r="R42" s="170"/>
      <c r="S42" s="170"/>
      <c r="T42" s="224">
        <f t="shared" si="9"/>
        <v>39</v>
      </c>
      <c r="U42" s="224">
        <f t="shared" si="12"/>
        <v>0.15</v>
      </c>
      <c r="V42" s="217">
        <f t="shared" si="13"/>
        <v>0.11119026473817994</v>
      </c>
      <c r="W42" s="217">
        <f t="shared" si="13"/>
        <v>9.2112731007184756E-2</v>
      </c>
      <c r="X42" s="217">
        <f t="shared" si="13"/>
        <v>7.9515676296965099E-2</v>
      </c>
      <c r="Y42" s="217">
        <f t="shared" si="14"/>
        <v>0.15</v>
      </c>
      <c r="Z42" s="170"/>
      <c r="AA42" s="217">
        <f>'Mortality Table'!$H$4</f>
        <v>0.1</v>
      </c>
      <c r="AB42" s="170"/>
      <c r="AC42" s="224">
        <f t="shared" si="10"/>
        <v>39</v>
      </c>
      <c r="AD42" s="224">
        <v>0.2</v>
      </c>
      <c r="AE42" s="217">
        <f t="shared" si="17"/>
        <v>0.14772255750516639</v>
      </c>
      <c r="AF42" s="217">
        <f t="shared" si="17"/>
        <v>0.12215290126191869</v>
      </c>
      <c r="AG42" s="217">
        <f t="shared" si="17"/>
        <v>0.10531742483359952</v>
      </c>
      <c r="AH42" s="217">
        <f t="shared" si="15"/>
        <v>0.2</v>
      </c>
      <c r="AI42" s="170"/>
      <c r="AJ42" s="224">
        <f t="shared" si="11"/>
        <v>39</v>
      </c>
      <c r="AK42" s="217">
        <v>0.22</v>
      </c>
      <c r="AL42" s="217">
        <f t="shared" si="18"/>
        <v>0.16226805085936236</v>
      </c>
      <c r="AM42" s="217">
        <f t="shared" si="7"/>
        <v>0.13408464177211044</v>
      </c>
      <c r="AN42" s="217">
        <f t="shared" si="7"/>
        <v>0.11554878442527183</v>
      </c>
      <c r="AO42" s="217">
        <f t="shared" si="16"/>
        <v>0.22</v>
      </c>
      <c r="AP42" s="172"/>
      <c r="AQ42" s="173"/>
      <c r="AR42" s="173"/>
      <c r="AS42" s="173"/>
      <c r="AT42" s="173"/>
      <c r="AU42" s="173"/>
      <c r="AV42" s="172"/>
      <c r="AW42" s="174"/>
      <c r="AX42" s="174"/>
      <c r="AY42" s="174"/>
      <c r="AZ42" s="174"/>
      <c r="BA42" s="174"/>
      <c r="BB42" s="174"/>
      <c r="BC42" s="222">
        <f t="shared" si="19"/>
        <v>39</v>
      </c>
      <c r="BD42" s="226">
        <v>1500</v>
      </c>
      <c r="BE42" s="213">
        <v>1500</v>
      </c>
      <c r="BF42" s="214"/>
      <c r="BG42" s="315">
        <v>39</v>
      </c>
      <c r="BH42" s="315">
        <v>2000000000</v>
      </c>
      <c r="BJ42" s="315">
        <v>39</v>
      </c>
      <c r="BK42" s="315">
        <v>2000000000</v>
      </c>
    </row>
    <row r="43" spans="1:63" ht="33" customHeight="1">
      <c r="A43" s="166"/>
      <c r="B43" s="166"/>
      <c r="C43" s="166"/>
      <c r="D43" s="166"/>
      <c r="E43" s="166"/>
      <c r="F43" s="166"/>
      <c r="G43" s="166"/>
      <c r="H43" s="167"/>
      <c r="I43" s="168"/>
      <c r="J43" s="168"/>
      <c r="K43" s="168"/>
      <c r="L43" s="168"/>
      <c r="M43" s="168"/>
      <c r="N43" s="168"/>
      <c r="O43" s="172"/>
      <c r="P43" s="170"/>
      <c r="Q43" s="170"/>
      <c r="R43" s="170"/>
      <c r="S43" s="170"/>
      <c r="T43" s="224">
        <f t="shared" si="9"/>
        <v>40</v>
      </c>
      <c r="U43" s="224">
        <f t="shared" si="12"/>
        <v>0.15</v>
      </c>
      <c r="V43" s="217">
        <f t="shared" si="13"/>
        <v>0.11119026473817994</v>
      </c>
      <c r="W43" s="217">
        <f t="shared" si="13"/>
        <v>9.2112731007184756E-2</v>
      </c>
      <c r="X43" s="217">
        <f t="shared" si="13"/>
        <v>7.9515676296965099E-2</v>
      </c>
      <c r="Y43" s="217">
        <f t="shared" si="14"/>
        <v>0.15</v>
      </c>
      <c r="Z43" s="170"/>
      <c r="AA43" s="217">
        <f>'Mortality Table'!$H$4</f>
        <v>0.1</v>
      </c>
      <c r="AB43" s="170"/>
      <c r="AC43" s="224">
        <f t="shared" si="10"/>
        <v>40</v>
      </c>
      <c r="AD43" s="224">
        <v>0.2</v>
      </c>
      <c r="AE43" s="217">
        <f t="shared" si="17"/>
        <v>0.14772255750516639</v>
      </c>
      <c r="AF43" s="217">
        <f t="shared" si="17"/>
        <v>0.12215290126191869</v>
      </c>
      <c r="AG43" s="217">
        <f t="shared" si="17"/>
        <v>0.10531742483359952</v>
      </c>
      <c r="AH43" s="217">
        <f t="shared" si="15"/>
        <v>0.2</v>
      </c>
      <c r="AI43" s="170"/>
      <c r="AJ43" s="224">
        <f t="shared" si="11"/>
        <v>40</v>
      </c>
      <c r="AK43" s="217">
        <v>0.22</v>
      </c>
      <c r="AL43" s="217">
        <f t="shared" si="18"/>
        <v>0.16226805085936236</v>
      </c>
      <c r="AM43" s="217">
        <f t="shared" si="7"/>
        <v>0.13408464177211044</v>
      </c>
      <c r="AN43" s="217">
        <f t="shared" si="7"/>
        <v>0.11554878442527183</v>
      </c>
      <c r="AO43" s="217">
        <f t="shared" si="16"/>
        <v>0.22</v>
      </c>
      <c r="AP43" s="172"/>
      <c r="AQ43" s="173"/>
      <c r="AR43" s="173"/>
      <c r="AS43" s="173"/>
      <c r="AT43" s="173"/>
      <c r="AU43" s="173"/>
      <c r="AV43" s="172"/>
      <c r="AW43" s="174"/>
      <c r="AX43" s="174"/>
      <c r="AY43" s="174"/>
      <c r="AZ43" s="174"/>
      <c r="BA43" s="174"/>
      <c r="BB43" s="174"/>
      <c r="BC43" s="222">
        <f t="shared" si="19"/>
        <v>40</v>
      </c>
      <c r="BD43" s="226">
        <v>1500</v>
      </c>
      <c r="BE43" s="213">
        <v>1500</v>
      </c>
      <c r="BF43" s="214"/>
      <c r="BG43" s="315">
        <v>40</v>
      </c>
      <c r="BH43" s="315">
        <v>2000000000</v>
      </c>
      <c r="BJ43" s="315">
        <v>40</v>
      </c>
      <c r="BK43" s="315">
        <v>2000000000</v>
      </c>
    </row>
    <row r="44" spans="1:63" ht="33" customHeight="1">
      <c r="A44" s="166"/>
      <c r="B44" s="166"/>
      <c r="C44" s="166"/>
      <c r="D44" s="166"/>
      <c r="E44" s="166"/>
      <c r="F44" s="166"/>
      <c r="G44" s="166"/>
      <c r="H44" s="167"/>
      <c r="I44" s="168"/>
      <c r="J44" s="168"/>
      <c r="K44" s="168"/>
      <c r="L44" s="168"/>
      <c r="M44" s="168"/>
      <c r="N44" s="168"/>
      <c r="O44" s="172"/>
      <c r="P44" s="170"/>
      <c r="Q44" s="170"/>
      <c r="R44" s="170"/>
      <c r="S44" s="170"/>
      <c r="T44" s="224">
        <f t="shared" si="9"/>
        <v>41</v>
      </c>
      <c r="U44" s="224">
        <f t="shared" si="12"/>
        <v>0.15</v>
      </c>
      <c r="V44" s="217">
        <f t="shared" ref="V44:X68" si="20">(((1-(1/(1+$U44)))/(V$3*(1-((1/(1+$U44))^(1/V$3)))))*(1+$U44))-1</f>
        <v>0.11119026473817994</v>
      </c>
      <c r="W44" s="217">
        <f t="shared" si="20"/>
        <v>9.2112731007184756E-2</v>
      </c>
      <c r="X44" s="217">
        <f t="shared" si="20"/>
        <v>7.9515676296965099E-2</v>
      </c>
      <c r="Y44" s="217">
        <f t="shared" si="14"/>
        <v>0.15</v>
      </c>
      <c r="Z44" s="170"/>
      <c r="AA44" s="217">
        <f>'Mortality Table'!$H$4</f>
        <v>0.1</v>
      </c>
      <c r="AB44" s="170"/>
      <c r="AC44" s="224">
        <f t="shared" si="10"/>
        <v>41</v>
      </c>
      <c r="AD44" s="224">
        <v>0.2</v>
      </c>
      <c r="AE44" s="217">
        <f t="shared" si="17"/>
        <v>0.14772255750516639</v>
      </c>
      <c r="AF44" s="217">
        <f t="shared" si="17"/>
        <v>0.12215290126191869</v>
      </c>
      <c r="AG44" s="217">
        <f t="shared" si="17"/>
        <v>0.10531742483359952</v>
      </c>
      <c r="AH44" s="217">
        <f t="shared" si="15"/>
        <v>0.2</v>
      </c>
      <c r="AI44" s="170"/>
      <c r="AJ44" s="224">
        <f t="shared" si="11"/>
        <v>41</v>
      </c>
      <c r="AK44" s="217">
        <v>0.22</v>
      </c>
      <c r="AL44" s="217">
        <f t="shared" si="18"/>
        <v>0.16226805085936236</v>
      </c>
      <c r="AM44" s="217">
        <f t="shared" si="7"/>
        <v>0.13408464177211044</v>
      </c>
      <c r="AN44" s="217">
        <f t="shared" si="7"/>
        <v>0.11554878442527183</v>
      </c>
      <c r="AO44" s="217">
        <f t="shared" si="16"/>
        <v>0.22</v>
      </c>
      <c r="AP44" s="172"/>
      <c r="AQ44" s="173"/>
      <c r="AR44" s="173"/>
      <c r="AS44" s="173"/>
      <c r="AT44" s="173"/>
      <c r="AU44" s="173"/>
      <c r="AV44" s="172"/>
      <c r="AW44" s="174"/>
      <c r="AX44" s="174"/>
      <c r="AY44" s="174"/>
      <c r="AZ44" s="174"/>
      <c r="BA44" s="174"/>
      <c r="BB44" s="174"/>
      <c r="BC44" s="222">
        <f t="shared" si="19"/>
        <v>41</v>
      </c>
      <c r="BD44" s="226">
        <v>2800</v>
      </c>
      <c r="BE44" s="213">
        <v>2800</v>
      </c>
      <c r="BF44" s="214"/>
      <c r="BG44" s="315">
        <v>41</v>
      </c>
      <c r="BH44" s="315">
        <v>2000000000</v>
      </c>
      <c r="BJ44" s="315">
        <v>41</v>
      </c>
      <c r="BK44" s="315">
        <v>2000000000</v>
      </c>
    </row>
    <row r="45" spans="1:63" ht="33" customHeight="1">
      <c r="A45" s="166"/>
      <c r="B45" s="166"/>
      <c r="C45" s="166"/>
      <c r="D45" s="166"/>
      <c r="E45" s="166"/>
      <c r="F45" s="166"/>
      <c r="G45" s="166"/>
      <c r="H45" s="167"/>
      <c r="I45" s="168"/>
      <c r="J45" s="168"/>
      <c r="K45" s="168"/>
      <c r="L45" s="168"/>
      <c r="M45" s="168"/>
      <c r="N45" s="168"/>
      <c r="O45" s="172"/>
      <c r="P45" s="170"/>
      <c r="Q45" s="170"/>
      <c r="R45" s="170"/>
      <c r="S45" s="170"/>
      <c r="T45" s="224">
        <f t="shared" si="9"/>
        <v>42</v>
      </c>
      <c r="U45" s="224">
        <f t="shared" si="12"/>
        <v>0.15</v>
      </c>
      <c r="V45" s="217">
        <f t="shared" si="20"/>
        <v>0.11119026473817994</v>
      </c>
      <c r="W45" s="217">
        <f t="shared" si="20"/>
        <v>9.2112731007184756E-2</v>
      </c>
      <c r="X45" s="217">
        <f t="shared" si="20"/>
        <v>7.9515676296965099E-2</v>
      </c>
      <c r="Y45" s="217">
        <f t="shared" si="14"/>
        <v>0.15</v>
      </c>
      <c r="Z45" s="170"/>
      <c r="AA45" s="217">
        <f>'Mortality Table'!$H$4</f>
        <v>0.1</v>
      </c>
      <c r="AB45" s="170"/>
      <c r="AC45" s="224">
        <f t="shared" si="10"/>
        <v>42</v>
      </c>
      <c r="AD45" s="224">
        <v>0.2</v>
      </c>
      <c r="AE45" s="217">
        <f t="shared" si="17"/>
        <v>0.14772255750516639</v>
      </c>
      <c r="AF45" s="217">
        <f t="shared" si="17"/>
        <v>0.12215290126191869</v>
      </c>
      <c r="AG45" s="217">
        <f t="shared" si="17"/>
        <v>0.10531742483359952</v>
      </c>
      <c r="AH45" s="217">
        <f t="shared" si="15"/>
        <v>0.2</v>
      </c>
      <c r="AI45" s="170"/>
      <c r="AJ45" s="224">
        <f t="shared" si="11"/>
        <v>42</v>
      </c>
      <c r="AK45" s="217">
        <v>0.22</v>
      </c>
      <c r="AL45" s="217">
        <f t="shared" si="18"/>
        <v>0.16226805085936236</v>
      </c>
      <c r="AM45" s="217">
        <f t="shared" si="7"/>
        <v>0.13408464177211044</v>
      </c>
      <c r="AN45" s="217">
        <f t="shared" si="7"/>
        <v>0.11554878442527183</v>
      </c>
      <c r="AO45" s="217">
        <f t="shared" si="16"/>
        <v>0.22</v>
      </c>
      <c r="AP45" s="172"/>
      <c r="AQ45" s="173"/>
      <c r="AR45" s="173"/>
      <c r="AS45" s="173"/>
      <c r="AT45" s="173"/>
      <c r="AU45" s="173"/>
      <c r="AV45" s="172"/>
      <c r="AW45" s="174"/>
      <c r="AX45" s="174"/>
      <c r="AY45" s="174"/>
      <c r="AZ45" s="174"/>
      <c r="BA45" s="174"/>
      <c r="BB45" s="174"/>
      <c r="BC45" s="222">
        <f t="shared" si="19"/>
        <v>42</v>
      </c>
      <c r="BD45" s="226">
        <v>2800</v>
      </c>
      <c r="BE45" s="213">
        <v>2800</v>
      </c>
      <c r="BF45" s="214"/>
      <c r="BG45" s="315">
        <v>42</v>
      </c>
      <c r="BH45" s="315">
        <v>2000000000</v>
      </c>
      <c r="BJ45" s="315">
        <v>42</v>
      </c>
      <c r="BK45" s="315">
        <v>2000000000</v>
      </c>
    </row>
    <row r="46" spans="1:63" ht="33" customHeight="1">
      <c r="A46" s="166"/>
      <c r="B46" s="166"/>
      <c r="C46" s="166"/>
      <c r="D46" s="166"/>
      <c r="E46" s="166"/>
      <c r="F46" s="166"/>
      <c r="G46" s="166"/>
      <c r="H46" s="167"/>
      <c r="I46" s="168"/>
      <c r="J46" s="168"/>
      <c r="K46" s="168"/>
      <c r="L46" s="168"/>
      <c r="M46" s="168"/>
      <c r="N46" s="168"/>
      <c r="O46" s="172"/>
      <c r="P46" s="170"/>
      <c r="Q46" s="170"/>
      <c r="R46" s="170"/>
      <c r="S46" s="170"/>
      <c r="T46" s="224">
        <f t="shared" si="9"/>
        <v>43</v>
      </c>
      <c r="U46" s="224">
        <f t="shared" si="12"/>
        <v>0.15</v>
      </c>
      <c r="V46" s="217">
        <f t="shared" si="20"/>
        <v>0.11119026473817994</v>
      </c>
      <c r="W46" s="217">
        <f t="shared" si="20"/>
        <v>9.2112731007184756E-2</v>
      </c>
      <c r="X46" s="217">
        <f t="shared" si="20"/>
        <v>7.9515676296965099E-2</v>
      </c>
      <c r="Y46" s="217">
        <f t="shared" si="14"/>
        <v>0.15</v>
      </c>
      <c r="Z46" s="170"/>
      <c r="AA46" s="217">
        <f>'Mortality Table'!$H$4</f>
        <v>0.1</v>
      </c>
      <c r="AB46" s="170"/>
      <c r="AC46" s="224">
        <f t="shared" si="10"/>
        <v>43</v>
      </c>
      <c r="AD46" s="224">
        <v>0.2</v>
      </c>
      <c r="AE46" s="217">
        <f t="shared" si="17"/>
        <v>0.14772255750516639</v>
      </c>
      <c r="AF46" s="217">
        <f t="shared" si="17"/>
        <v>0.12215290126191869</v>
      </c>
      <c r="AG46" s="217">
        <f t="shared" si="17"/>
        <v>0.10531742483359952</v>
      </c>
      <c r="AH46" s="217">
        <f t="shared" si="15"/>
        <v>0.2</v>
      </c>
      <c r="AI46" s="170"/>
      <c r="AJ46" s="224">
        <f t="shared" si="11"/>
        <v>43</v>
      </c>
      <c r="AK46" s="217">
        <v>0.22</v>
      </c>
      <c r="AL46" s="217">
        <f t="shared" si="18"/>
        <v>0.16226805085936236</v>
      </c>
      <c r="AM46" s="217">
        <f t="shared" si="7"/>
        <v>0.13408464177211044</v>
      </c>
      <c r="AN46" s="217">
        <f t="shared" si="7"/>
        <v>0.11554878442527183</v>
      </c>
      <c r="AO46" s="217">
        <f t="shared" si="16"/>
        <v>0.22</v>
      </c>
      <c r="AP46" s="172"/>
      <c r="AQ46" s="173"/>
      <c r="AR46" s="173"/>
      <c r="AS46" s="173"/>
      <c r="AT46" s="173"/>
      <c r="AU46" s="173"/>
      <c r="AV46" s="172"/>
      <c r="AW46" s="174"/>
      <c r="AX46" s="174"/>
      <c r="AY46" s="174"/>
      <c r="AZ46" s="174"/>
      <c r="BA46" s="174"/>
      <c r="BB46" s="174"/>
      <c r="BC46" s="222">
        <f t="shared" si="19"/>
        <v>43</v>
      </c>
      <c r="BD46" s="226">
        <v>2800</v>
      </c>
      <c r="BE46" s="213">
        <v>2800</v>
      </c>
      <c r="BF46" s="214"/>
      <c r="BG46" s="315">
        <v>43</v>
      </c>
      <c r="BH46" s="315">
        <v>2000000000</v>
      </c>
      <c r="BJ46" s="315">
        <v>43</v>
      </c>
      <c r="BK46" s="315">
        <v>2000000000</v>
      </c>
    </row>
    <row r="47" spans="1:63" ht="33" customHeight="1">
      <c r="A47" s="166"/>
      <c r="B47" s="166"/>
      <c r="C47" s="166"/>
      <c r="D47" s="166"/>
      <c r="E47" s="166"/>
      <c r="F47" s="166"/>
      <c r="G47" s="166"/>
      <c r="H47" s="167"/>
      <c r="I47" s="168"/>
      <c r="J47" s="168"/>
      <c r="K47" s="168"/>
      <c r="L47" s="168"/>
      <c r="M47" s="168"/>
      <c r="N47" s="168"/>
      <c r="O47" s="172"/>
      <c r="P47" s="170"/>
      <c r="Q47" s="170"/>
      <c r="R47" s="170"/>
      <c r="S47" s="170"/>
      <c r="T47" s="224">
        <f t="shared" si="9"/>
        <v>44</v>
      </c>
      <c r="U47" s="224">
        <f t="shared" si="12"/>
        <v>0.15</v>
      </c>
      <c r="V47" s="217">
        <f t="shared" si="20"/>
        <v>0.11119026473817994</v>
      </c>
      <c r="W47" s="217">
        <f t="shared" si="20"/>
        <v>9.2112731007184756E-2</v>
      </c>
      <c r="X47" s="217">
        <f t="shared" si="20"/>
        <v>7.9515676296965099E-2</v>
      </c>
      <c r="Y47" s="217">
        <f t="shared" si="14"/>
        <v>0.15</v>
      </c>
      <c r="Z47" s="170"/>
      <c r="AA47" s="217">
        <f>'Mortality Table'!$H$4</f>
        <v>0.1</v>
      </c>
      <c r="AB47" s="170"/>
      <c r="AC47" s="224">
        <f t="shared" si="10"/>
        <v>44</v>
      </c>
      <c r="AD47" s="224">
        <v>0.2</v>
      </c>
      <c r="AE47" s="217">
        <f t="shared" si="17"/>
        <v>0.14772255750516639</v>
      </c>
      <c r="AF47" s="217">
        <f t="shared" si="17"/>
        <v>0.12215290126191869</v>
      </c>
      <c r="AG47" s="217">
        <f t="shared" si="17"/>
        <v>0.10531742483359952</v>
      </c>
      <c r="AH47" s="217">
        <f t="shared" si="15"/>
        <v>0.2</v>
      </c>
      <c r="AI47" s="170"/>
      <c r="AJ47" s="224">
        <f t="shared" si="11"/>
        <v>44</v>
      </c>
      <c r="AK47" s="217">
        <v>0.22</v>
      </c>
      <c r="AL47" s="217">
        <f t="shared" si="18"/>
        <v>0.16226805085936236</v>
      </c>
      <c r="AM47" s="217">
        <f t="shared" si="7"/>
        <v>0.13408464177211044</v>
      </c>
      <c r="AN47" s="217">
        <f t="shared" si="7"/>
        <v>0.11554878442527183</v>
      </c>
      <c r="AO47" s="217">
        <f t="shared" si="16"/>
        <v>0.22</v>
      </c>
      <c r="AP47" s="172"/>
      <c r="AQ47" s="173"/>
      <c r="AR47" s="173"/>
      <c r="AS47" s="173"/>
      <c r="AT47" s="173"/>
      <c r="AU47" s="173"/>
      <c r="AV47" s="172"/>
      <c r="AW47" s="174"/>
      <c r="AX47" s="174"/>
      <c r="AY47" s="174"/>
      <c r="AZ47" s="174"/>
      <c r="BA47" s="174"/>
      <c r="BB47" s="174"/>
      <c r="BC47" s="222">
        <f t="shared" si="19"/>
        <v>44</v>
      </c>
      <c r="BD47" s="226">
        <v>2800</v>
      </c>
      <c r="BE47" s="213">
        <v>2800</v>
      </c>
      <c r="BF47" s="214"/>
      <c r="BG47" s="315">
        <v>44</v>
      </c>
      <c r="BH47" s="315">
        <v>2000000000</v>
      </c>
      <c r="BJ47" s="315">
        <v>44</v>
      </c>
      <c r="BK47" s="315">
        <v>2000000000</v>
      </c>
    </row>
    <row r="48" spans="1:63" ht="33" customHeight="1">
      <c r="A48" s="166"/>
      <c r="B48" s="166"/>
      <c r="C48" s="166"/>
      <c r="D48" s="166"/>
      <c r="E48" s="166"/>
      <c r="F48" s="166"/>
      <c r="G48" s="166"/>
      <c r="H48" s="167"/>
      <c r="I48" s="168"/>
      <c r="J48" s="168"/>
      <c r="K48" s="168"/>
      <c r="L48" s="168"/>
      <c r="M48" s="168"/>
      <c r="N48" s="168"/>
      <c r="O48" s="172"/>
      <c r="P48" s="170"/>
      <c r="Q48" s="170"/>
      <c r="R48" s="170"/>
      <c r="S48" s="170"/>
      <c r="T48" s="224">
        <f t="shared" si="9"/>
        <v>45</v>
      </c>
      <c r="U48" s="224">
        <f t="shared" si="12"/>
        <v>0.15</v>
      </c>
      <c r="V48" s="217">
        <f t="shared" si="20"/>
        <v>0.11119026473817994</v>
      </c>
      <c r="W48" s="217">
        <f t="shared" si="20"/>
        <v>9.2112731007184756E-2</v>
      </c>
      <c r="X48" s="217">
        <f t="shared" si="20"/>
        <v>7.9515676296965099E-2</v>
      </c>
      <c r="Y48" s="217">
        <f t="shared" si="14"/>
        <v>0.15</v>
      </c>
      <c r="Z48" s="170"/>
      <c r="AA48" s="217">
        <f>'Mortality Table'!$H$4</f>
        <v>0.1</v>
      </c>
      <c r="AB48" s="170"/>
      <c r="AC48" s="224">
        <f t="shared" si="10"/>
        <v>45</v>
      </c>
      <c r="AD48" s="224">
        <v>0.2</v>
      </c>
      <c r="AE48" s="217">
        <f t="shared" si="17"/>
        <v>0.14772255750516639</v>
      </c>
      <c r="AF48" s="217">
        <f t="shared" si="17"/>
        <v>0.12215290126191869</v>
      </c>
      <c r="AG48" s="217">
        <f t="shared" si="17"/>
        <v>0.10531742483359952</v>
      </c>
      <c r="AH48" s="217">
        <f t="shared" si="15"/>
        <v>0.2</v>
      </c>
      <c r="AI48" s="170"/>
      <c r="AJ48" s="224">
        <f t="shared" si="11"/>
        <v>45</v>
      </c>
      <c r="AK48" s="217">
        <v>0.22</v>
      </c>
      <c r="AL48" s="217">
        <f t="shared" si="18"/>
        <v>0.16226805085936236</v>
      </c>
      <c r="AM48" s="217">
        <f t="shared" si="7"/>
        <v>0.13408464177211044</v>
      </c>
      <c r="AN48" s="217">
        <f t="shared" si="7"/>
        <v>0.11554878442527183</v>
      </c>
      <c r="AO48" s="217">
        <f t="shared" si="16"/>
        <v>0.22</v>
      </c>
      <c r="AP48" s="172"/>
      <c r="AQ48" s="173"/>
      <c r="AR48" s="173"/>
      <c r="AS48" s="173"/>
      <c r="AT48" s="173"/>
      <c r="AU48" s="173"/>
      <c r="AV48" s="172"/>
      <c r="AW48" s="174"/>
      <c r="AX48" s="174"/>
      <c r="AY48" s="174"/>
      <c r="AZ48" s="174"/>
      <c r="BA48" s="174"/>
      <c r="BB48" s="174"/>
      <c r="BC48" s="222">
        <f t="shared" si="19"/>
        <v>45</v>
      </c>
      <c r="BD48" s="226">
        <v>2800</v>
      </c>
      <c r="BE48" s="213">
        <v>2800</v>
      </c>
      <c r="BF48" s="214"/>
      <c r="BG48" s="315">
        <v>45</v>
      </c>
      <c r="BH48" s="315">
        <v>2000000000</v>
      </c>
      <c r="BJ48" s="315">
        <v>45</v>
      </c>
      <c r="BK48" s="315">
        <v>2000000000</v>
      </c>
    </row>
    <row r="49" spans="1:63" ht="33" customHeight="1">
      <c r="A49" s="166"/>
      <c r="B49" s="166"/>
      <c r="C49" s="166"/>
      <c r="D49" s="166"/>
      <c r="E49" s="166"/>
      <c r="F49" s="166"/>
      <c r="G49" s="166"/>
      <c r="H49" s="167"/>
      <c r="I49" s="168"/>
      <c r="J49" s="168"/>
      <c r="K49" s="168"/>
      <c r="L49" s="168"/>
      <c r="M49" s="168"/>
      <c r="N49" s="168"/>
      <c r="O49" s="172"/>
      <c r="P49" s="170"/>
      <c r="Q49" s="170"/>
      <c r="R49" s="170"/>
      <c r="S49" s="170"/>
      <c r="T49" s="224">
        <f t="shared" si="9"/>
        <v>46</v>
      </c>
      <c r="U49" s="224">
        <f t="shared" si="12"/>
        <v>0.15</v>
      </c>
      <c r="V49" s="217">
        <f t="shared" si="20"/>
        <v>0.11119026473817994</v>
      </c>
      <c r="W49" s="217">
        <f t="shared" si="20"/>
        <v>9.2112731007184756E-2</v>
      </c>
      <c r="X49" s="217">
        <f t="shared" si="20"/>
        <v>7.9515676296965099E-2</v>
      </c>
      <c r="Y49" s="217">
        <f t="shared" si="14"/>
        <v>0.15</v>
      </c>
      <c r="Z49" s="170"/>
      <c r="AA49" s="217">
        <f>'Mortality Table'!$H$4</f>
        <v>0.1</v>
      </c>
      <c r="AB49" s="170"/>
      <c r="AC49" s="224">
        <f t="shared" si="10"/>
        <v>46</v>
      </c>
      <c r="AD49" s="224">
        <v>0.2</v>
      </c>
      <c r="AE49" s="217">
        <f t="shared" si="17"/>
        <v>0.14772255750516639</v>
      </c>
      <c r="AF49" s="217">
        <f t="shared" si="17"/>
        <v>0.12215290126191869</v>
      </c>
      <c r="AG49" s="217">
        <f t="shared" si="17"/>
        <v>0.10531742483359952</v>
      </c>
      <c r="AH49" s="217">
        <f t="shared" si="15"/>
        <v>0.2</v>
      </c>
      <c r="AI49" s="170"/>
      <c r="AJ49" s="224">
        <f t="shared" si="11"/>
        <v>46</v>
      </c>
      <c r="AK49" s="217">
        <v>0.22</v>
      </c>
      <c r="AL49" s="217">
        <f t="shared" si="18"/>
        <v>0.16226805085936236</v>
      </c>
      <c r="AM49" s="217">
        <f t="shared" si="7"/>
        <v>0.13408464177211044</v>
      </c>
      <c r="AN49" s="217">
        <f t="shared" si="7"/>
        <v>0.11554878442527183</v>
      </c>
      <c r="AO49" s="217">
        <f t="shared" si="16"/>
        <v>0.22</v>
      </c>
      <c r="AP49" s="172"/>
      <c r="AQ49" s="173"/>
      <c r="AR49" s="173"/>
      <c r="AS49" s="173"/>
      <c r="AT49" s="173"/>
      <c r="AU49" s="173"/>
      <c r="AV49" s="172"/>
      <c r="AW49" s="174"/>
      <c r="AX49" s="174"/>
      <c r="AY49" s="174"/>
      <c r="AZ49" s="174"/>
      <c r="BA49" s="174"/>
      <c r="BB49" s="174"/>
      <c r="BC49" s="222">
        <f t="shared" si="19"/>
        <v>46</v>
      </c>
      <c r="BD49" s="226">
        <v>4600</v>
      </c>
      <c r="BE49" s="213">
        <v>4600</v>
      </c>
      <c r="BF49" s="214"/>
      <c r="BG49" s="315">
        <v>46</v>
      </c>
      <c r="BH49" s="315">
        <v>2000000000</v>
      </c>
      <c r="BJ49" s="315">
        <v>46</v>
      </c>
      <c r="BK49" s="315">
        <v>2000000000</v>
      </c>
    </row>
    <row r="50" spans="1:63" ht="33" customHeight="1">
      <c r="A50" s="166"/>
      <c r="B50" s="166"/>
      <c r="C50" s="166"/>
      <c r="D50" s="166"/>
      <c r="E50" s="166"/>
      <c r="F50" s="166"/>
      <c r="G50" s="166"/>
      <c r="H50" s="167"/>
      <c r="I50" s="168"/>
      <c r="J50" s="168"/>
      <c r="K50" s="168"/>
      <c r="L50" s="168"/>
      <c r="M50" s="168"/>
      <c r="N50" s="168"/>
      <c r="O50" s="172"/>
      <c r="P50" s="170"/>
      <c r="Q50" s="170"/>
      <c r="R50" s="170"/>
      <c r="S50" s="170"/>
      <c r="T50" s="224">
        <f t="shared" si="9"/>
        <v>47</v>
      </c>
      <c r="U50" s="224">
        <f t="shared" si="12"/>
        <v>0.15</v>
      </c>
      <c r="V50" s="217">
        <f t="shared" si="20"/>
        <v>0.11119026473817994</v>
      </c>
      <c r="W50" s="217">
        <f t="shared" si="20"/>
        <v>9.2112731007184756E-2</v>
      </c>
      <c r="X50" s="217">
        <f t="shared" si="20"/>
        <v>7.9515676296965099E-2</v>
      </c>
      <c r="Y50" s="217">
        <f t="shared" si="14"/>
        <v>0.15</v>
      </c>
      <c r="Z50" s="170"/>
      <c r="AA50" s="217">
        <f>'Mortality Table'!$H$4</f>
        <v>0.1</v>
      </c>
      <c r="AB50" s="170"/>
      <c r="AC50" s="224">
        <f t="shared" si="10"/>
        <v>47</v>
      </c>
      <c r="AD50" s="224">
        <v>0.2</v>
      </c>
      <c r="AE50" s="217">
        <f t="shared" si="17"/>
        <v>0.14772255750516639</v>
      </c>
      <c r="AF50" s="217">
        <f t="shared" si="17"/>
        <v>0.12215290126191869</v>
      </c>
      <c r="AG50" s="217">
        <f t="shared" si="17"/>
        <v>0.10531742483359952</v>
      </c>
      <c r="AH50" s="217">
        <f t="shared" si="15"/>
        <v>0.2</v>
      </c>
      <c r="AI50" s="170"/>
      <c r="AJ50" s="224">
        <f t="shared" si="11"/>
        <v>47</v>
      </c>
      <c r="AK50" s="217">
        <v>0.22</v>
      </c>
      <c r="AL50" s="217">
        <f t="shared" si="18"/>
        <v>0.16226805085936236</v>
      </c>
      <c r="AM50" s="217">
        <f t="shared" si="7"/>
        <v>0.13408464177211044</v>
      </c>
      <c r="AN50" s="217">
        <f t="shared" si="7"/>
        <v>0.11554878442527183</v>
      </c>
      <c r="AO50" s="217">
        <f t="shared" si="16"/>
        <v>0.22</v>
      </c>
      <c r="AP50" s="172"/>
      <c r="AQ50" s="173"/>
      <c r="AR50" s="173"/>
      <c r="AS50" s="173"/>
      <c r="AT50" s="173"/>
      <c r="AU50" s="173"/>
      <c r="AV50" s="172"/>
      <c r="AW50" s="174"/>
      <c r="AX50" s="174"/>
      <c r="AY50" s="174"/>
      <c r="AZ50" s="174"/>
      <c r="BA50" s="174"/>
      <c r="BB50" s="174"/>
      <c r="BC50" s="222">
        <f t="shared" si="19"/>
        <v>47</v>
      </c>
      <c r="BD50" s="226">
        <v>4600</v>
      </c>
      <c r="BE50" s="213">
        <v>4600</v>
      </c>
      <c r="BF50" s="214"/>
      <c r="BG50" s="315">
        <v>47</v>
      </c>
      <c r="BH50" s="315">
        <v>2000000000</v>
      </c>
      <c r="BJ50" s="315">
        <v>47</v>
      </c>
      <c r="BK50" s="315">
        <v>2000000000</v>
      </c>
    </row>
    <row r="51" spans="1:63" ht="33" customHeight="1">
      <c r="A51" s="166"/>
      <c r="B51" s="166"/>
      <c r="C51" s="166"/>
      <c r="D51" s="166"/>
      <c r="E51" s="166"/>
      <c r="F51" s="166"/>
      <c r="G51" s="166"/>
      <c r="H51" s="167"/>
      <c r="I51" s="168"/>
      <c r="J51" s="168"/>
      <c r="K51" s="168"/>
      <c r="L51" s="168"/>
      <c r="M51" s="168"/>
      <c r="N51" s="168"/>
      <c r="O51" s="172"/>
      <c r="P51" s="170"/>
      <c r="Q51" s="170"/>
      <c r="R51" s="170"/>
      <c r="S51" s="170"/>
      <c r="T51" s="224">
        <f t="shared" si="9"/>
        <v>48</v>
      </c>
      <c r="U51" s="224">
        <f t="shared" si="12"/>
        <v>0.15</v>
      </c>
      <c r="V51" s="217">
        <f t="shared" si="20"/>
        <v>0.11119026473817994</v>
      </c>
      <c r="W51" s="217">
        <f t="shared" si="20"/>
        <v>9.2112731007184756E-2</v>
      </c>
      <c r="X51" s="217">
        <f t="shared" si="20"/>
        <v>7.9515676296965099E-2</v>
      </c>
      <c r="Y51" s="217">
        <f t="shared" si="14"/>
        <v>0.15</v>
      </c>
      <c r="Z51" s="170"/>
      <c r="AA51" s="217">
        <f>'Mortality Table'!$H$4</f>
        <v>0.1</v>
      </c>
      <c r="AB51" s="170"/>
      <c r="AC51" s="224">
        <f t="shared" si="10"/>
        <v>48</v>
      </c>
      <c r="AD51" s="224">
        <v>0.2</v>
      </c>
      <c r="AE51" s="217">
        <f t="shared" si="17"/>
        <v>0.14772255750516639</v>
      </c>
      <c r="AF51" s="217">
        <f t="shared" si="17"/>
        <v>0.12215290126191869</v>
      </c>
      <c r="AG51" s="217">
        <f t="shared" si="17"/>
        <v>0.10531742483359952</v>
      </c>
      <c r="AH51" s="217">
        <f t="shared" si="15"/>
        <v>0.2</v>
      </c>
      <c r="AI51" s="170"/>
      <c r="AJ51" s="224">
        <f t="shared" si="11"/>
        <v>48</v>
      </c>
      <c r="AK51" s="217">
        <v>0.22</v>
      </c>
      <c r="AL51" s="217">
        <f t="shared" si="18"/>
        <v>0.16226805085936236</v>
      </c>
      <c r="AM51" s="217">
        <f t="shared" si="7"/>
        <v>0.13408464177211044</v>
      </c>
      <c r="AN51" s="217">
        <f t="shared" si="7"/>
        <v>0.11554878442527183</v>
      </c>
      <c r="AO51" s="217">
        <f t="shared" si="16"/>
        <v>0.22</v>
      </c>
      <c r="AP51" s="172"/>
      <c r="AQ51" s="173"/>
      <c r="AR51" s="173"/>
      <c r="AS51" s="173"/>
      <c r="AT51" s="173"/>
      <c r="AU51" s="173"/>
      <c r="AV51" s="172"/>
      <c r="AW51" s="174"/>
      <c r="AX51" s="174"/>
      <c r="AY51" s="174"/>
      <c r="AZ51" s="174"/>
      <c r="BA51" s="174"/>
      <c r="BB51" s="174"/>
      <c r="BC51" s="222">
        <f t="shared" si="19"/>
        <v>48</v>
      </c>
      <c r="BD51" s="226">
        <v>4600</v>
      </c>
      <c r="BE51" s="213">
        <v>4600</v>
      </c>
      <c r="BF51" s="214"/>
      <c r="BG51" s="315">
        <v>48</v>
      </c>
      <c r="BH51" s="315">
        <v>2000000000</v>
      </c>
      <c r="BJ51" s="315">
        <v>48</v>
      </c>
      <c r="BK51" s="315">
        <v>2000000000</v>
      </c>
    </row>
    <row r="52" spans="1:63" ht="33" customHeight="1">
      <c r="A52" s="166"/>
      <c r="B52" s="166"/>
      <c r="C52" s="166"/>
      <c r="D52" s="166"/>
      <c r="E52" s="166"/>
      <c r="F52" s="166"/>
      <c r="G52" s="166"/>
      <c r="H52" s="167"/>
      <c r="I52" s="168"/>
      <c r="J52" s="168"/>
      <c r="K52" s="168"/>
      <c r="L52" s="168"/>
      <c r="M52" s="168"/>
      <c r="N52" s="168"/>
      <c r="O52" s="172"/>
      <c r="P52" s="170"/>
      <c r="Q52" s="170"/>
      <c r="R52" s="170"/>
      <c r="S52" s="170"/>
      <c r="T52" s="224">
        <f t="shared" si="9"/>
        <v>49</v>
      </c>
      <c r="U52" s="224">
        <f t="shared" si="12"/>
        <v>0.15</v>
      </c>
      <c r="V52" s="217">
        <f t="shared" si="20"/>
        <v>0.11119026473817994</v>
      </c>
      <c r="W52" s="217">
        <f t="shared" si="20"/>
        <v>9.2112731007184756E-2</v>
      </c>
      <c r="X52" s="217">
        <f t="shared" si="20"/>
        <v>7.9515676296965099E-2</v>
      </c>
      <c r="Y52" s="217">
        <f t="shared" si="14"/>
        <v>0.15</v>
      </c>
      <c r="Z52" s="170"/>
      <c r="AA52" s="217">
        <f>'Mortality Table'!$H$4</f>
        <v>0.1</v>
      </c>
      <c r="AB52" s="170"/>
      <c r="AC52" s="224">
        <f t="shared" si="10"/>
        <v>49</v>
      </c>
      <c r="AD52" s="224">
        <v>0.2</v>
      </c>
      <c r="AE52" s="217">
        <f t="shared" si="17"/>
        <v>0.14772255750516639</v>
      </c>
      <c r="AF52" s="217">
        <f t="shared" si="17"/>
        <v>0.12215290126191869</v>
      </c>
      <c r="AG52" s="217">
        <f t="shared" si="17"/>
        <v>0.10531742483359952</v>
      </c>
      <c r="AH52" s="217">
        <f t="shared" si="15"/>
        <v>0.2</v>
      </c>
      <c r="AI52" s="170"/>
      <c r="AJ52" s="224">
        <f t="shared" si="11"/>
        <v>49</v>
      </c>
      <c r="AK52" s="217">
        <v>0.22</v>
      </c>
      <c r="AL52" s="217">
        <f t="shared" si="18"/>
        <v>0.16226805085936236</v>
      </c>
      <c r="AM52" s="217">
        <f t="shared" si="7"/>
        <v>0.13408464177211044</v>
      </c>
      <c r="AN52" s="217">
        <f t="shared" si="7"/>
        <v>0.11554878442527183</v>
      </c>
      <c r="AO52" s="217">
        <f t="shared" si="16"/>
        <v>0.22</v>
      </c>
      <c r="AP52" s="172"/>
      <c r="AQ52" s="173"/>
      <c r="AR52" s="173"/>
      <c r="AS52" s="173"/>
      <c r="AT52" s="173"/>
      <c r="AU52" s="173"/>
      <c r="AV52" s="172"/>
      <c r="AW52" s="174"/>
      <c r="AX52" s="174"/>
      <c r="AY52" s="174"/>
      <c r="AZ52" s="174"/>
      <c r="BA52" s="174"/>
      <c r="BB52" s="174"/>
      <c r="BC52" s="222">
        <f t="shared" si="19"/>
        <v>49</v>
      </c>
      <c r="BD52" s="226">
        <v>4600</v>
      </c>
      <c r="BE52" s="213">
        <v>4600</v>
      </c>
      <c r="BF52" s="214"/>
      <c r="BG52" s="315">
        <v>49</v>
      </c>
      <c r="BH52" s="315">
        <v>2000000000</v>
      </c>
      <c r="BJ52" s="315">
        <v>49</v>
      </c>
      <c r="BK52" s="315">
        <v>2000000000</v>
      </c>
    </row>
    <row r="53" spans="1:63" ht="33" customHeight="1">
      <c r="A53" s="166"/>
      <c r="B53" s="166"/>
      <c r="C53" s="166"/>
      <c r="D53" s="166"/>
      <c r="E53" s="166"/>
      <c r="F53" s="166"/>
      <c r="G53" s="166"/>
      <c r="H53" s="167"/>
      <c r="I53" s="168"/>
      <c r="J53" s="168"/>
      <c r="K53" s="168"/>
      <c r="L53" s="168"/>
      <c r="M53" s="168"/>
      <c r="N53" s="168"/>
      <c r="O53" s="172"/>
      <c r="P53" s="170"/>
      <c r="Q53" s="170"/>
      <c r="R53" s="170"/>
      <c r="S53" s="170"/>
      <c r="T53" s="224">
        <f t="shared" si="9"/>
        <v>50</v>
      </c>
      <c r="U53" s="224">
        <f t="shared" si="12"/>
        <v>0.15</v>
      </c>
      <c r="V53" s="217">
        <f t="shared" si="20"/>
        <v>0.11119026473817994</v>
      </c>
      <c r="W53" s="217">
        <f t="shared" si="20"/>
        <v>9.2112731007184756E-2</v>
      </c>
      <c r="X53" s="217">
        <f t="shared" si="20"/>
        <v>7.9515676296965099E-2</v>
      </c>
      <c r="Y53" s="217">
        <f t="shared" si="14"/>
        <v>0.15</v>
      </c>
      <c r="Z53" s="170"/>
      <c r="AA53" s="217">
        <f>'Mortality Table'!$H$4</f>
        <v>0.1</v>
      </c>
      <c r="AB53" s="170"/>
      <c r="AC53" s="224">
        <f t="shared" si="10"/>
        <v>50</v>
      </c>
      <c r="AD53" s="224">
        <v>0.2</v>
      </c>
      <c r="AE53" s="217">
        <f t="shared" si="17"/>
        <v>0.14772255750516639</v>
      </c>
      <c r="AF53" s="217">
        <f t="shared" si="17"/>
        <v>0.12215290126191869</v>
      </c>
      <c r="AG53" s="217">
        <f t="shared" si="17"/>
        <v>0.10531742483359952</v>
      </c>
      <c r="AH53" s="217">
        <f t="shared" si="15"/>
        <v>0.2</v>
      </c>
      <c r="AI53" s="170"/>
      <c r="AJ53" s="224">
        <f t="shared" si="11"/>
        <v>50</v>
      </c>
      <c r="AK53" s="217">
        <v>0.22</v>
      </c>
      <c r="AL53" s="217">
        <f t="shared" si="18"/>
        <v>0.16226805085936236</v>
      </c>
      <c r="AM53" s="217">
        <f t="shared" si="7"/>
        <v>0.13408464177211044</v>
      </c>
      <c r="AN53" s="217">
        <f t="shared" si="7"/>
        <v>0.11554878442527183</v>
      </c>
      <c r="AO53" s="217">
        <f t="shared" si="16"/>
        <v>0.22</v>
      </c>
      <c r="AP53" s="172"/>
      <c r="AQ53" s="173"/>
      <c r="AR53" s="173"/>
      <c r="AS53" s="173"/>
      <c r="AT53" s="173"/>
      <c r="AU53" s="173"/>
      <c r="AV53" s="172"/>
      <c r="AW53" s="174"/>
      <c r="AX53" s="174"/>
      <c r="AY53" s="174"/>
      <c r="AZ53" s="174"/>
      <c r="BA53" s="174"/>
      <c r="BB53" s="174"/>
      <c r="BC53" s="222">
        <f t="shared" si="19"/>
        <v>50</v>
      </c>
      <c r="BD53" s="226">
        <v>4600</v>
      </c>
      <c r="BE53" s="213">
        <v>4600</v>
      </c>
      <c r="BF53" s="214"/>
      <c r="BG53" s="315">
        <v>50</v>
      </c>
      <c r="BH53" s="315">
        <v>2000000000</v>
      </c>
      <c r="BJ53" s="315">
        <v>50</v>
      </c>
      <c r="BK53" s="315">
        <v>2000000000</v>
      </c>
    </row>
    <row r="54" spans="1:63" ht="33" customHeight="1">
      <c r="A54" s="166"/>
      <c r="B54" s="166"/>
      <c r="C54" s="166"/>
      <c r="D54" s="166"/>
      <c r="E54" s="166"/>
      <c r="F54" s="166"/>
      <c r="G54" s="166"/>
      <c r="H54" s="167"/>
      <c r="I54" s="168"/>
      <c r="J54" s="168"/>
      <c r="K54" s="168"/>
      <c r="L54" s="168"/>
      <c r="M54" s="168"/>
      <c r="N54" s="168"/>
      <c r="O54" s="172"/>
      <c r="P54" s="170"/>
      <c r="Q54" s="170"/>
      <c r="R54" s="170"/>
      <c r="S54" s="170"/>
      <c r="T54" s="224">
        <f t="shared" si="9"/>
        <v>51</v>
      </c>
      <c r="U54" s="224">
        <f t="shared" si="12"/>
        <v>0.15</v>
      </c>
      <c r="V54" s="217">
        <f t="shared" si="20"/>
        <v>0.11119026473817994</v>
      </c>
      <c r="W54" s="217">
        <f t="shared" si="20"/>
        <v>9.2112731007184756E-2</v>
      </c>
      <c r="X54" s="217">
        <f t="shared" si="20"/>
        <v>7.9515676296965099E-2</v>
      </c>
      <c r="Y54" s="217">
        <f t="shared" si="14"/>
        <v>0.15</v>
      </c>
      <c r="Z54" s="170"/>
      <c r="AA54" s="217">
        <f>'Mortality Table'!$H$4</f>
        <v>0.1</v>
      </c>
      <c r="AB54" s="170"/>
      <c r="AC54" s="224">
        <f t="shared" si="10"/>
        <v>51</v>
      </c>
      <c r="AD54" s="224">
        <v>0.2</v>
      </c>
      <c r="AE54" s="217">
        <f t="shared" si="17"/>
        <v>0.14772255750516639</v>
      </c>
      <c r="AF54" s="217">
        <f t="shared" si="17"/>
        <v>0.12215290126191869</v>
      </c>
      <c r="AG54" s="217">
        <f t="shared" si="17"/>
        <v>0.10531742483359952</v>
      </c>
      <c r="AH54" s="217">
        <f t="shared" si="15"/>
        <v>0.2</v>
      </c>
      <c r="AI54" s="170"/>
      <c r="AJ54" s="224">
        <f t="shared" si="11"/>
        <v>51</v>
      </c>
      <c r="AK54" s="217">
        <v>0.22</v>
      </c>
      <c r="AL54" s="217">
        <f t="shared" si="18"/>
        <v>0.16226805085936236</v>
      </c>
      <c r="AM54" s="217">
        <f t="shared" si="7"/>
        <v>0.13408464177211044</v>
      </c>
      <c r="AN54" s="217">
        <f t="shared" si="7"/>
        <v>0.11554878442527183</v>
      </c>
      <c r="AO54" s="217">
        <f t="shared" si="16"/>
        <v>0.22</v>
      </c>
      <c r="AP54" s="172"/>
      <c r="AQ54" s="173"/>
      <c r="AR54" s="173"/>
      <c r="AS54" s="173"/>
      <c r="AT54" s="173"/>
      <c r="AU54" s="173"/>
      <c r="AV54" s="172"/>
      <c r="AW54" s="174"/>
      <c r="AX54" s="174"/>
      <c r="AY54" s="174"/>
      <c r="AZ54" s="174"/>
      <c r="BA54" s="174"/>
      <c r="BB54" s="174"/>
      <c r="BC54" s="222">
        <f t="shared" si="19"/>
        <v>51</v>
      </c>
      <c r="BD54" s="226">
        <v>5600</v>
      </c>
      <c r="BE54" s="213">
        <v>5600</v>
      </c>
      <c r="BF54" s="214"/>
      <c r="BG54" s="315">
        <v>51</v>
      </c>
      <c r="BH54" s="315">
        <v>2000000000</v>
      </c>
      <c r="BJ54" s="315">
        <v>51</v>
      </c>
      <c r="BK54" s="315">
        <v>2000000000</v>
      </c>
    </row>
    <row r="55" spans="1:63" ht="33" customHeight="1">
      <c r="A55" s="166"/>
      <c r="B55" s="166"/>
      <c r="C55" s="166"/>
      <c r="D55" s="166"/>
      <c r="E55" s="166"/>
      <c r="F55" s="166"/>
      <c r="G55" s="166"/>
      <c r="H55" s="167"/>
      <c r="I55" s="168"/>
      <c r="J55" s="168"/>
      <c r="K55" s="168"/>
      <c r="L55" s="168"/>
      <c r="M55" s="168"/>
      <c r="N55" s="168"/>
      <c r="O55" s="172"/>
      <c r="P55" s="170"/>
      <c r="Q55" s="170"/>
      <c r="R55" s="170"/>
      <c r="S55" s="170"/>
      <c r="T55" s="224">
        <f t="shared" si="9"/>
        <v>52</v>
      </c>
      <c r="U55" s="224">
        <f t="shared" si="12"/>
        <v>0.15</v>
      </c>
      <c r="V55" s="217">
        <f t="shared" si="20"/>
        <v>0.11119026473817994</v>
      </c>
      <c r="W55" s="217">
        <f t="shared" si="20"/>
        <v>9.2112731007184756E-2</v>
      </c>
      <c r="X55" s="217">
        <f t="shared" si="20"/>
        <v>7.9515676296965099E-2</v>
      </c>
      <c r="Y55" s="217">
        <f t="shared" si="14"/>
        <v>0.15</v>
      </c>
      <c r="Z55" s="170"/>
      <c r="AA55" s="217">
        <f>'Mortality Table'!$H$4</f>
        <v>0.1</v>
      </c>
      <c r="AB55" s="170"/>
      <c r="AC55" s="224">
        <f t="shared" si="10"/>
        <v>52</v>
      </c>
      <c r="AD55" s="224">
        <v>0.2</v>
      </c>
      <c r="AE55" s="217">
        <f t="shared" si="17"/>
        <v>0.14772255750516639</v>
      </c>
      <c r="AF55" s="217">
        <f t="shared" si="17"/>
        <v>0.12215290126191869</v>
      </c>
      <c r="AG55" s="217">
        <f t="shared" si="17"/>
        <v>0.10531742483359952</v>
      </c>
      <c r="AH55" s="217">
        <f t="shared" si="15"/>
        <v>0.2</v>
      </c>
      <c r="AI55" s="170"/>
      <c r="AJ55" s="224">
        <f t="shared" si="11"/>
        <v>52</v>
      </c>
      <c r="AK55" s="217">
        <v>0.22</v>
      </c>
      <c r="AL55" s="217">
        <f t="shared" si="18"/>
        <v>0.16226805085936236</v>
      </c>
      <c r="AM55" s="217">
        <f t="shared" si="7"/>
        <v>0.13408464177211044</v>
      </c>
      <c r="AN55" s="217">
        <f t="shared" si="7"/>
        <v>0.11554878442527183</v>
      </c>
      <c r="AO55" s="217">
        <f t="shared" si="16"/>
        <v>0.22</v>
      </c>
      <c r="AP55" s="172"/>
      <c r="AQ55" s="173"/>
      <c r="AR55" s="173"/>
      <c r="AS55" s="173"/>
      <c r="AT55" s="173"/>
      <c r="AU55" s="173"/>
      <c r="AV55" s="172"/>
      <c r="AW55" s="174"/>
      <c r="AX55" s="174"/>
      <c r="AY55" s="174"/>
      <c r="AZ55" s="174"/>
      <c r="BA55" s="174"/>
      <c r="BB55" s="174"/>
      <c r="BC55" s="222">
        <f t="shared" si="19"/>
        <v>52</v>
      </c>
      <c r="BD55" s="226">
        <v>5600</v>
      </c>
      <c r="BE55" s="213">
        <v>5600</v>
      </c>
      <c r="BF55" s="214"/>
      <c r="BG55" s="315">
        <v>52</v>
      </c>
      <c r="BH55" s="315">
        <v>2000000000</v>
      </c>
      <c r="BJ55" s="315">
        <v>52</v>
      </c>
      <c r="BK55" s="315">
        <v>2000000000</v>
      </c>
    </row>
    <row r="56" spans="1:63" ht="33" customHeight="1">
      <c r="A56" s="166"/>
      <c r="B56" s="166"/>
      <c r="C56" s="166"/>
      <c r="D56" s="166"/>
      <c r="E56" s="166"/>
      <c r="F56" s="166"/>
      <c r="G56" s="166"/>
      <c r="H56" s="167"/>
      <c r="I56" s="168"/>
      <c r="J56" s="168"/>
      <c r="K56" s="168"/>
      <c r="L56" s="168"/>
      <c r="M56" s="168"/>
      <c r="N56" s="168"/>
      <c r="O56" s="172"/>
      <c r="P56" s="170"/>
      <c r="Q56" s="170"/>
      <c r="R56" s="170"/>
      <c r="S56" s="170"/>
      <c r="T56" s="224">
        <f t="shared" si="9"/>
        <v>53</v>
      </c>
      <c r="U56" s="224">
        <f t="shared" si="12"/>
        <v>0.15</v>
      </c>
      <c r="V56" s="217">
        <f t="shared" si="20"/>
        <v>0.11119026473817994</v>
      </c>
      <c r="W56" s="217">
        <f t="shared" si="20"/>
        <v>9.2112731007184756E-2</v>
      </c>
      <c r="X56" s="217">
        <f t="shared" si="20"/>
        <v>7.9515676296965099E-2</v>
      </c>
      <c r="Y56" s="217">
        <f t="shared" si="14"/>
        <v>0.15</v>
      </c>
      <c r="Z56" s="170"/>
      <c r="AA56" s="217">
        <f>'Mortality Table'!$H$4</f>
        <v>0.1</v>
      </c>
      <c r="AB56" s="170"/>
      <c r="AC56" s="224">
        <f t="shared" si="10"/>
        <v>53</v>
      </c>
      <c r="AD56" s="224">
        <v>0.2</v>
      </c>
      <c r="AE56" s="217">
        <f t="shared" si="17"/>
        <v>0.14772255750516639</v>
      </c>
      <c r="AF56" s="217">
        <f t="shared" si="17"/>
        <v>0.12215290126191869</v>
      </c>
      <c r="AG56" s="217">
        <f t="shared" si="17"/>
        <v>0.10531742483359952</v>
      </c>
      <c r="AH56" s="217">
        <f t="shared" si="15"/>
        <v>0.2</v>
      </c>
      <c r="AI56" s="170"/>
      <c r="AJ56" s="224">
        <f t="shared" si="11"/>
        <v>53</v>
      </c>
      <c r="AK56" s="217">
        <v>0.22</v>
      </c>
      <c r="AL56" s="217">
        <f t="shared" si="18"/>
        <v>0.16226805085936236</v>
      </c>
      <c r="AM56" s="217">
        <f t="shared" si="7"/>
        <v>0.13408464177211044</v>
      </c>
      <c r="AN56" s="217">
        <f t="shared" si="7"/>
        <v>0.11554878442527183</v>
      </c>
      <c r="AO56" s="217">
        <f t="shared" si="16"/>
        <v>0.22</v>
      </c>
      <c r="AP56" s="172"/>
      <c r="AQ56" s="173"/>
      <c r="AR56" s="173"/>
      <c r="AS56" s="173"/>
      <c r="AT56" s="173"/>
      <c r="AU56" s="173"/>
      <c r="AV56" s="172"/>
      <c r="AW56" s="174"/>
      <c r="AX56" s="174"/>
      <c r="AY56" s="174"/>
      <c r="AZ56" s="174"/>
      <c r="BA56" s="174"/>
      <c r="BB56" s="174"/>
      <c r="BC56" s="222">
        <f t="shared" si="19"/>
        <v>53</v>
      </c>
      <c r="BD56" s="226">
        <v>5600</v>
      </c>
      <c r="BE56" s="213">
        <v>5600</v>
      </c>
      <c r="BF56" s="214"/>
      <c r="BG56" s="315">
        <v>53</v>
      </c>
      <c r="BH56" s="315">
        <v>2000000000</v>
      </c>
      <c r="BJ56" s="315">
        <v>53</v>
      </c>
      <c r="BK56" s="315">
        <v>2000000000</v>
      </c>
    </row>
    <row r="57" spans="1:63" ht="33" customHeight="1">
      <c r="A57" s="166"/>
      <c r="B57" s="166"/>
      <c r="C57" s="166"/>
      <c r="D57" s="166"/>
      <c r="E57" s="166"/>
      <c r="F57" s="166"/>
      <c r="G57" s="166"/>
      <c r="H57" s="167"/>
      <c r="I57" s="168"/>
      <c r="J57" s="168"/>
      <c r="K57" s="168"/>
      <c r="L57" s="168"/>
      <c r="M57" s="168"/>
      <c r="N57" s="168"/>
      <c r="O57" s="172"/>
      <c r="P57" s="170"/>
      <c r="Q57" s="170"/>
      <c r="R57" s="170"/>
      <c r="S57" s="170"/>
      <c r="T57" s="224">
        <f t="shared" si="9"/>
        <v>54</v>
      </c>
      <c r="U57" s="224">
        <f t="shared" si="12"/>
        <v>0.15</v>
      </c>
      <c r="V57" s="217">
        <f t="shared" si="20"/>
        <v>0.11119026473817994</v>
      </c>
      <c r="W57" s="217">
        <f t="shared" si="20"/>
        <v>9.2112731007184756E-2</v>
      </c>
      <c r="X57" s="217">
        <f t="shared" si="20"/>
        <v>7.9515676296965099E-2</v>
      </c>
      <c r="Y57" s="217">
        <f t="shared" si="14"/>
        <v>0.15</v>
      </c>
      <c r="Z57" s="170"/>
      <c r="AA57" s="217">
        <f>'Mortality Table'!$H$4</f>
        <v>0.1</v>
      </c>
      <c r="AB57" s="170"/>
      <c r="AC57" s="224">
        <f t="shared" si="10"/>
        <v>54</v>
      </c>
      <c r="AD57" s="224">
        <v>0.2</v>
      </c>
      <c r="AE57" s="217">
        <f t="shared" si="17"/>
        <v>0.14772255750516639</v>
      </c>
      <c r="AF57" s="217">
        <f t="shared" si="17"/>
        <v>0.12215290126191869</v>
      </c>
      <c r="AG57" s="217">
        <f t="shared" si="17"/>
        <v>0.10531742483359952</v>
      </c>
      <c r="AH57" s="217">
        <f t="shared" si="15"/>
        <v>0.2</v>
      </c>
      <c r="AI57" s="170"/>
      <c r="AJ57" s="224">
        <f t="shared" si="11"/>
        <v>54</v>
      </c>
      <c r="AK57" s="217">
        <v>0.22</v>
      </c>
      <c r="AL57" s="217">
        <f t="shared" si="18"/>
        <v>0.16226805085936236</v>
      </c>
      <c r="AM57" s="217">
        <f t="shared" si="7"/>
        <v>0.13408464177211044</v>
      </c>
      <c r="AN57" s="217">
        <f t="shared" si="7"/>
        <v>0.11554878442527183</v>
      </c>
      <c r="AO57" s="217">
        <f t="shared" si="16"/>
        <v>0.22</v>
      </c>
      <c r="AP57" s="172"/>
      <c r="AQ57" s="173"/>
      <c r="AR57" s="173"/>
      <c r="AS57" s="173"/>
      <c r="AT57" s="173"/>
      <c r="AU57" s="173"/>
      <c r="AV57" s="172"/>
      <c r="AW57" s="174"/>
      <c r="AX57" s="174"/>
      <c r="AY57" s="174"/>
      <c r="AZ57" s="174"/>
      <c r="BA57" s="174"/>
      <c r="BB57" s="174"/>
      <c r="BC57" s="222">
        <f t="shared" si="19"/>
        <v>54</v>
      </c>
      <c r="BD57" s="226">
        <v>5600</v>
      </c>
      <c r="BE57" s="213">
        <v>5600</v>
      </c>
      <c r="BF57" s="214"/>
      <c r="BG57" s="315">
        <v>54</v>
      </c>
      <c r="BH57" s="315">
        <v>2000000000</v>
      </c>
      <c r="BJ57" s="315">
        <v>54</v>
      </c>
      <c r="BK57" s="315">
        <v>2000000000</v>
      </c>
    </row>
    <row r="58" spans="1:63" ht="33" customHeight="1">
      <c r="A58" s="166"/>
      <c r="B58" s="166"/>
      <c r="C58" s="166"/>
      <c r="D58" s="166"/>
      <c r="E58" s="166"/>
      <c r="F58" s="166"/>
      <c r="G58" s="166"/>
      <c r="H58" s="167"/>
      <c r="I58" s="168"/>
      <c r="J58" s="168"/>
      <c r="K58" s="168"/>
      <c r="L58" s="168"/>
      <c r="M58" s="168"/>
      <c r="N58" s="168"/>
      <c r="O58" s="172"/>
      <c r="P58" s="170"/>
      <c r="Q58" s="170"/>
      <c r="R58" s="170"/>
      <c r="S58" s="170"/>
      <c r="T58" s="224">
        <f t="shared" si="9"/>
        <v>55</v>
      </c>
      <c r="U58" s="224">
        <f t="shared" si="12"/>
        <v>0.15</v>
      </c>
      <c r="V58" s="217">
        <f t="shared" si="20"/>
        <v>0.11119026473817994</v>
      </c>
      <c r="W58" s="217">
        <f t="shared" si="20"/>
        <v>9.2112731007184756E-2</v>
      </c>
      <c r="X58" s="217">
        <f t="shared" si="20"/>
        <v>7.9515676296965099E-2</v>
      </c>
      <c r="Y58" s="217">
        <f t="shared" si="14"/>
        <v>0.15</v>
      </c>
      <c r="Z58" s="170"/>
      <c r="AA58" s="217">
        <f>'Mortality Table'!$H$4</f>
        <v>0.1</v>
      </c>
      <c r="AB58" s="170"/>
      <c r="AC58" s="224">
        <f t="shared" si="10"/>
        <v>55</v>
      </c>
      <c r="AD58" s="224">
        <v>0.2</v>
      </c>
      <c r="AE58" s="217">
        <f t="shared" si="17"/>
        <v>0.14772255750516639</v>
      </c>
      <c r="AF58" s="217">
        <f t="shared" si="17"/>
        <v>0.12215290126191869</v>
      </c>
      <c r="AG58" s="217">
        <f t="shared" si="17"/>
        <v>0.10531742483359952</v>
      </c>
      <c r="AH58" s="217">
        <f t="shared" si="15"/>
        <v>0.2</v>
      </c>
      <c r="AI58" s="170"/>
      <c r="AJ58" s="224">
        <f t="shared" si="11"/>
        <v>55</v>
      </c>
      <c r="AK58" s="217">
        <v>0.22</v>
      </c>
      <c r="AL58" s="217">
        <f t="shared" si="18"/>
        <v>0.16226805085936236</v>
      </c>
      <c r="AM58" s="217">
        <f t="shared" si="7"/>
        <v>0.13408464177211044</v>
      </c>
      <c r="AN58" s="217">
        <f t="shared" si="7"/>
        <v>0.11554878442527183</v>
      </c>
      <c r="AO58" s="217">
        <f t="shared" si="16"/>
        <v>0.22</v>
      </c>
      <c r="AP58" s="172"/>
      <c r="AQ58" s="173"/>
      <c r="AR58" s="173"/>
      <c r="AS58" s="173"/>
      <c r="AT58" s="173"/>
      <c r="AU58" s="173"/>
      <c r="AV58" s="172"/>
      <c r="AW58" s="174"/>
      <c r="AX58" s="174"/>
      <c r="AY58" s="174"/>
      <c r="AZ58" s="174"/>
      <c r="BA58" s="174"/>
      <c r="BB58" s="174"/>
      <c r="BC58" s="222">
        <f t="shared" si="19"/>
        <v>55</v>
      </c>
      <c r="BD58" s="226">
        <v>5600</v>
      </c>
      <c r="BE58" s="213">
        <v>5600</v>
      </c>
      <c r="BF58" s="214"/>
      <c r="BG58" s="315">
        <v>55</v>
      </c>
      <c r="BH58" s="315">
        <v>2000000000</v>
      </c>
      <c r="BJ58" s="315">
        <v>55</v>
      </c>
      <c r="BK58" s="315">
        <v>2000000000</v>
      </c>
    </row>
    <row r="59" spans="1:63" ht="33" customHeight="1">
      <c r="A59" s="166"/>
      <c r="B59" s="166"/>
      <c r="C59" s="166"/>
      <c r="D59" s="166"/>
      <c r="E59" s="166"/>
      <c r="F59" s="166"/>
      <c r="G59" s="166"/>
      <c r="H59" s="167"/>
      <c r="I59" s="168"/>
      <c r="J59" s="168"/>
      <c r="K59" s="168"/>
      <c r="L59" s="168"/>
      <c r="M59" s="168"/>
      <c r="N59" s="168"/>
      <c r="O59" s="172"/>
      <c r="P59" s="170"/>
      <c r="Q59" s="170"/>
      <c r="R59" s="170"/>
      <c r="S59" s="170"/>
      <c r="T59" s="224">
        <f t="shared" si="9"/>
        <v>56</v>
      </c>
      <c r="U59" s="224">
        <f t="shared" si="12"/>
        <v>0.15</v>
      </c>
      <c r="V59" s="217">
        <f t="shared" si="20"/>
        <v>0.11119026473817994</v>
      </c>
      <c r="W59" s="217">
        <f t="shared" si="20"/>
        <v>9.2112731007184756E-2</v>
      </c>
      <c r="X59" s="217">
        <f t="shared" si="20"/>
        <v>7.9515676296965099E-2</v>
      </c>
      <c r="Y59" s="217">
        <f t="shared" si="14"/>
        <v>0.15</v>
      </c>
      <c r="Z59" s="170"/>
      <c r="AA59" s="217">
        <f>'Mortality Table'!$H$4</f>
        <v>0.1</v>
      </c>
      <c r="AB59" s="170"/>
      <c r="AC59" s="224">
        <f t="shared" si="10"/>
        <v>56</v>
      </c>
      <c r="AD59" s="224">
        <v>0.2</v>
      </c>
      <c r="AE59" s="217">
        <f t="shared" si="17"/>
        <v>0.14772255750516639</v>
      </c>
      <c r="AF59" s="217">
        <f t="shared" si="17"/>
        <v>0.12215290126191869</v>
      </c>
      <c r="AG59" s="217">
        <f t="shared" si="17"/>
        <v>0.10531742483359952</v>
      </c>
      <c r="AH59" s="217">
        <f t="shared" si="15"/>
        <v>0.2</v>
      </c>
      <c r="AI59" s="170"/>
      <c r="AJ59" s="224">
        <f t="shared" si="11"/>
        <v>56</v>
      </c>
      <c r="AK59" s="217">
        <v>0.22</v>
      </c>
      <c r="AL59" s="217">
        <f t="shared" si="18"/>
        <v>0.16226805085936236</v>
      </c>
      <c r="AM59" s="217">
        <f t="shared" si="7"/>
        <v>0.13408464177211044</v>
      </c>
      <c r="AN59" s="217">
        <f t="shared" si="7"/>
        <v>0.11554878442527183</v>
      </c>
      <c r="AO59" s="217">
        <f t="shared" si="16"/>
        <v>0.22</v>
      </c>
      <c r="AP59" s="172"/>
      <c r="AQ59" s="173"/>
      <c r="AR59" s="173"/>
      <c r="AS59" s="173"/>
      <c r="AT59" s="173"/>
      <c r="AU59" s="173"/>
      <c r="AV59" s="172"/>
      <c r="AW59" s="174"/>
      <c r="AX59" s="174"/>
      <c r="AY59" s="174"/>
      <c r="AZ59" s="174"/>
      <c r="BA59" s="174"/>
      <c r="BB59" s="174"/>
      <c r="BC59" s="222">
        <f t="shared" si="19"/>
        <v>56</v>
      </c>
      <c r="BD59" s="226">
        <v>5800</v>
      </c>
      <c r="BE59" s="213">
        <v>5800</v>
      </c>
      <c r="BF59" s="214"/>
      <c r="BG59" s="315">
        <v>56</v>
      </c>
      <c r="BH59" s="315">
        <v>2000000000</v>
      </c>
      <c r="BJ59" s="315">
        <v>56</v>
      </c>
      <c r="BK59" s="315">
        <v>2000000000</v>
      </c>
    </row>
    <row r="60" spans="1:63" ht="33" customHeight="1">
      <c r="A60" s="166"/>
      <c r="B60" s="166"/>
      <c r="C60" s="166"/>
      <c r="D60" s="166"/>
      <c r="E60" s="166"/>
      <c r="F60" s="166"/>
      <c r="G60" s="166"/>
      <c r="H60" s="167"/>
      <c r="I60" s="168"/>
      <c r="J60" s="168"/>
      <c r="K60" s="168"/>
      <c r="L60" s="168"/>
      <c r="M60" s="168"/>
      <c r="N60" s="168"/>
      <c r="O60" s="172"/>
      <c r="P60" s="170"/>
      <c r="Q60" s="170"/>
      <c r="R60" s="170"/>
      <c r="S60" s="170"/>
      <c r="T60" s="224">
        <f t="shared" si="9"/>
        <v>57</v>
      </c>
      <c r="U60" s="224">
        <f t="shared" si="12"/>
        <v>0.15</v>
      </c>
      <c r="V60" s="217">
        <f t="shared" si="20"/>
        <v>0.11119026473817994</v>
      </c>
      <c r="W60" s="217">
        <f t="shared" si="20"/>
        <v>9.2112731007184756E-2</v>
      </c>
      <c r="X60" s="217">
        <f t="shared" si="20"/>
        <v>7.9515676296965099E-2</v>
      </c>
      <c r="Y60" s="217">
        <f t="shared" si="14"/>
        <v>0.15</v>
      </c>
      <c r="Z60" s="170"/>
      <c r="AA60" s="217">
        <f>'Mortality Table'!$H$4</f>
        <v>0.1</v>
      </c>
      <c r="AB60" s="170"/>
      <c r="AC60" s="224">
        <f t="shared" si="10"/>
        <v>57</v>
      </c>
      <c r="AD60" s="224">
        <v>0.2</v>
      </c>
      <c r="AE60" s="217">
        <f t="shared" si="17"/>
        <v>0.14772255750516639</v>
      </c>
      <c r="AF60" s="217">
        <f t="shared" si="17"/>
        <v>0.12215290126191869</v>
      </c>
      <c r="AG60" s="217">
        <f t="shared" si="17"/>
        <v>0.10531742483359952</v>
      </c>
      <c r="AH60" s="217">
        <f t="shared" si="15"/>
        <v>0.2</v>
      </c>
      <c r="AI60" s="170"/>
      <c r="AJ60" s="224">
        <f t="shared" si="11"/>
        <v>57</v>
      </c>
      <c r="AK60" s="217">
        <v>0.22</v>
      </c>
      <c r="AL60" s="217">
        <f t="shared" si="18"/>
        <v>0.16226805085936236</v>
      </c>
      <c r="AM60" s="217">
        <f t="shared" si="7"/>
        <v>0.13408464177211044</v>
      </c>
      <c r="AN60" s="217">
        <f t="shared" si="7"/>
        <v>0.11554878442527183</v>
      </c>
      <c r="AO60" s="217">
        <f t="shared" si="16"/>
        <v>0.22</v>
      </c>
      <c r="AP60" s="172"/>
      <c r="AQ60" s="173"/>
      <c r="AR60" s="173"/>
      <c r="AS60" s="173"/>
      <c r="AT60" s="173"/>
      <c r="AU60" s="173"/>
      <c r="AV60" s="172"/>
      <c r="AW60" s="174"/>
      <c r="AX60" s="174"/>
      <c r="AY60" s="174"/>
      <c r="AZ60" s="174"/>
      <c r="BA60" s="174"/>
      <c r="BB60" s="174"/>
      <c r="BC60" s="222">
        <f t="shared" si="19"/>
        <v>57</v>
      </c>
      <c r="BD60" s="226">
        <v>5800</v>
      </c>
      <c r="BE60" s="213">
        <v>5800</v>
      </c>
      <c r="BF60" s="214"/>
      <c r="BG60" s="315">
        <v>57</v>
      </c>
      <c r="BH60" s="315">
        <v>2000000000</v>
      </c>
      <c r="BJ60" s="315">
        <v>57</v>
      </c>
      <c r="BK60" s="315">
        <v>2000000000</v>
      </c>
    </row>
    <row r="61" spans="1:63" ht="33" customHeight="1">
      <c r="A61" s="166"/>
      <c r="B61" s="166"/>
      <c r="C61" s="166"/>
      <c r="D61" s="166"/>
      <c r="E61" s="166"/>
      <c r="F61" s="166"/>
      <c r="G61" s="166"/>
      <c r="H61" s="167"/>
      <c r="I61" s="168"/>
      <c r="J61" s="168"/>
      <c r="K61" s="168"/>
      <c r="L61" s="168"/>
      <c r="M61" s="168"/>
      <c r="N61" s="168"/>
      <c r="O61" s="172"/>
      <c r="P61" s="170"/>
      <c r="Q61" s="170"/>
      <c r="R61" s="170"/>
      <c r="S61" s="170"/>
      <c r="T61" s="224">
        <f t="shared" si="9"/>
        <v>58</v>
      </c>
      <c r="U61" s="224">
        <f t="shared" si="12"/>
        <v>0.15</v>
      </c>
      <c r="V61" s="217">
        <f t="shared" si="20"/>
        <v>0.11119026473817994</v>
      </c>
      <c r="W61" s="217">
        <f t="shared" si="20"/>
        <v>9.2112731007184756E-2</v>
      </c>
      <c r="X61" s="217">
        <f t="shared" si="20"/>
        <v>7.9515676296965099E-2</v>
      </c>
      <c r="Y61" s="217">
        <f t="shared" si="14"/>
        <v>0.15</v>
      </c>
      <c r="Z61" s="170"/>
      <c r="AA61" s="217">
        <f>'Mortality Table'!$H$4</f>
        <v>0.1</v>
      </c>
      <c r="AB61" s="170"/>
      <c r="AC61" s="224">
        <f t="shared" si="10"/>
        <v>58</v>
      </c>
      <c r="AD61" s="224">
        <v>0.2</v>
      </c>
      <c r="AE61" s="217">
        <f t="shared" si="17"/>
        <v>0.14772255750516639</v>
      </c>
      <c r="AF61" s="217">
        <f t="shared" si="17"/>
        <v>0.12215290126191869</v>
      </c>
      <c r="AG61" s="217">
        <f t="shared" si="17"/>
        <v>0.10531742483359952</v>
      </c>
      <c r="AH61" s="217">
        <f t="shared" si="15"/>
        <v>0.2</v>
      </c>
      <c r="AI61" s="170"/>
      <c r="AJ61" s="224">
        <f t="shared" si="11"/>
        <v>58</v>
      </c>
      <c r="AK61" s="217">
        <v>0.22</v>
      </c>
      <c r="AL61" s="217">
        <f t="shared" si="18"/>
        <v>0.16226805085936236</v>
      </c>
      <c r="AM61" s="217">
        <f t="shared" si="7"/>
        <v>0.13408464177211044</v>
      </c>
      <c r="AN61" s="217">
        <f t="shared" si="7"/>
        <v>0.11554878442527183</v>
      </c>
      <c r="AO61" s="217">
        <f t="shared" si="16"/>
        <v>0.22</v>
      </c>
      <c r="AP61" s="172"/>
      <c r="AQ61" s="173"/>
      <c r="AR61" s="173"/>
      <c r="AS61" s="173"/>
      <c r="AT61" s="173"/>
      <c r="AU61" s="173"/>
      <c r="AV61" s="172"/>
      <c r="AW61" s="174"/>
      <c r="AX61" s="174"/>
      <c r="AY61" s="174"/>
      <c r="AZ61" s="174"/>
      <c r="BA61" s="174"/>
      <c r="BB61" s="174"/>
      <c r="BC61" s="222">
        <f t="shared" si="19"/>
        <v>58</v>
      </c>
      <c r="BD61" s="226">
        <v>5800</v>
      </c>
      <c r="BE61" s="213">
        <v>5800</v>
      </c>
      <c r="BF61" s="214"/>
      <c r="BG61" s="315">
        <v>58</v>
      </c>
      <c r="BH61" s="315">
        <v>2000000000</v>
      </c>
      <c r="BJ61" s="315">
        <v>58</v>
      </c>
      <c r="BK61" s="315">
        <v>2000000000</v>
      </c>
    </row>
    <row r="62" spans="1:63" ht="33" customHeight="1">
      <c r="A62" s="166"/>
      <c r="B62" s="166"/>
      <c r="C62" s="166"/>
      <c r="D62" s="166"/>
      <c r="E62" s="166"/>
      <c r="F62" s="166"/>
      <c r="G62" s="166"/>
      <c r="H62" s="167"/>
      <c r="I62" s="168"/>
      <c r="J62" s="168"/>
      <c r="K62" s="168"/>
      <c r="L62" s="168"/>
      <c r="M62" s="168"/>
      <c r="N62" s="168"/>
      <c r="O62" s="172"/>
      <c r="P62" s="170"/>
      <c r="Q62" s="170"/>
      <c r="R62" s="170"/>
      <c r="S62" s="170"/>
      <c r="T62" s="224">
        <f t="shared" si="9"/>
        <v>59</v>
      </c>
      <c r="U62" s="224">
        <f t="shared" si="12"/>
        <v>0.15</v>
      </c>
      <c r="V62" s="217">
        <f t="shared" si="20"/>
        <v>0.11119026473817994</v>
      </c>
      <c r="W62" s="217">
        <f t="shared" si="20"/>
        <v>9.2112731007184756E-2</v>
      </c>
      <c r="X62" s="217">
        <f t="shared" si="20"/>
        <v>7.9515676296965099E-2</v>
      </c>
      <c r="Y62" s="217">
        <f t="shared" si="14"/>
        <v>0.15</v>
      </c>
      <c r="Z62" s="170"/>
      <c r="AA62" s="217">
        <f>'Mortality Table'!$H$4</f>
        <v>0.1</v>
      </c>
      <c r="AB62" s="170"/>
      <c r="AC62" s="224">
        <f t="shared" si="10"/>
        <v>59</v>
      </c>
      <c r="AD62" s="224">
        <v>0.2</v>
      </c>
      <c r="AE62" s="217">
        <f t="shared" si="17"/>
        <v>0.14772255750516639</v>
      </c>
      <c r="AF62" s="217">
        <f t="shared" si="17"/>
        <v>0.12215290126191869</v>
      </c>
      <c r="AG62" s="217">
        <f t="shared" si="17"/>
        <v>0.10531742483359952</v>
      </c>
      <c r="AH62" s="217">
        <f t="shared" si="15"/>
        <v>0.2</v>
      </c>
      <c r="AI62" s="170"/>
      <c r="AJ62" s="224">
        <f t="shared" si="11"/>
        <v>59</v>
      </c>
      <c r="AK62" s="217">
        <v>0.22</v>
      </c>
      <c r="AL62" s="217">
        <f t="shared" si="18"/>
        <v>0.16226805085936236</v>
      </c>
      <c r="AM62" s="217">
        <f t="shared" si="7"/>
        <v>0.13408464177211044</v>
      </c>
      <c r="AN62" s="217">
        <f t="shared" si="7"/>
        <v>0.11554878442527183</v>
      </c>
      <c r="AO62" s="217">
        <f t="shared" si="16"/>
        <v>0.22</v>
      </c>
      <c r="AP62" s="172"/>
      <c r="AQ62" s="173"/>
      <c r="AR62" s="173"/>
      <c r="AS62" s="173"/>
      <c r="AT62" s="173"/>
      <c r="AU62" s="173"/>
      <c r="AV62" s="172"/>
      <c r="AW62" s="174"/>
      <c r="AX62" s="174"/>
      <c r="AY62" s="174"/>
      <c r="AZ62" s="174"/>
      <c r="BA62" s="174"/>
      <c r="BB62" s="174"/>
      <c r="BC62" s="222">
        <f t="shared" si="19"/>
        <v>59</v>
      </c>
      <c r="BD62" s="226">
        <v>5800</v>
      </c>
      <c r="BE62" s="213">
        <v>5800</v>
      </c>
      <c r="BF62" s="214"/>
      <c r="BG62" s="315">
        <v>59</v>
      </c>
      <c r="BH62" s="315">
        <v>2000000000</v>
      </c>
      <c r="BJ62" s="315">
        <v>59</v>
      </c>
      <c r="BK62" s="315">
        <v>2000000000</v>
      </c>
    </row>
    <row r="63" spans="1:63" ht="33" customHeight="1" thickBot="1">
      <c r="A63" s="166"/>
      <c r="B63" s="166"/>
      <c r="C63" s="166"/>
      <c r="D63" s="166"/>
      <c r="E63" s="166"/>
      <c r="F63" s="166"/>
      <c r="G63" s="166"/>
      <c r="H63" s="167"/>
      <c r="I63" s="168"/>
      <c r="J63" s="168"/>
      <c r="K63" s="168"/>
      <c r="L63" s="168"/>
      <c r="M63" s="168"/>
      <c r="N63" s="168"/>
      <c r="O63" s="172"/>
      <c r="P63" s="170"/>
      <c r="Q63" s="170"/>
      <c r="R63" s="170"/>
      <c r="S63" s="170"/>
      <c r="T63" s="224">
        <f t="shared" si="9"/>
        <v>60</v>
      </c>
      <c r="U63" s="224">
        <f t="shared" si="12"/>
        <v>0.15</v>
      </c>
      <c r="V63" s="217">
        <f t="shared" si="20"/>
        <v>0.11119026473817994</v>
      </c>
      <c r="W63" s="217">
        <f t="shared" si="20"/>
        <v>9.2112731007184756E-2</v>
      </c>
      <c r="X63" s="217">
        <f t="shared" si="20"/>
        <v>7.9515676296965099E-2</v>
      </c>
      <c r="Y63" s="217">
        <f t="shared" si="14"/>
        <v>0.15</v>
      </c>
      <c r="Z63" s="170"/>
      <c r="AA63" s="217">
        <f>'Mortality Table'!$H$4</f>
        <v>0.1</v>
      </c>
      <c r="AB63" s="170"/>
      <c r="AC63" s="224">
        <f t="shared" si="10"/>
        <v>60</v>
      </c>
      <c r="AD63" s="224">
        <v>0.2</v>
      </c>
      <c r="AE63" s="217">
        <f t="shared" si="17"/>
        <v>0.14772255750516639</v>
      </c>
      <c r="AF63" s="217">
        <f t="shared" si="17"/>
        <v>0.12215290126191869</v>
      </c>
      <c r="AG63" s="217">
        <f t="shared" si="17"/>
        <v>0.10531742483359952</v>
      </c>
      <c r="AH63" s="217">
        <f t="shared" si="15"/>
        <v>0.2</v>
      </c>
      <c r="AI63" s="170"/>
      <c r="AJ63" s="224">
        <f t="shared" si="11"/>
        <v>60</v>
      </c>
      <c r="AK63" s="217">
        <v>0.22</v>
      </c>
      <c r="AL63" s="217">
        <f t="shared" si="18"/>
        <v>0.16226805085936236</v>
      </c>
      <c r="AM63" s="217">
        <f t="shared" si="7"/>
        <v>0.13408464177211044</v>
      </c>
      <c r="AN63" s="217">
        <f t="shared" si="7"/>
        <v>0.11554878442527183</v>
      </c>
      <c r="AO63" s="217">
        <f t="shared" si="16"/>
        <v>0.22</v>
      </c>
      <c r="AP63" s="172"/>
      <c r="AQ63" s="173"/>
      <c r="AR63" s="173"/>
      <c r="AS63" s="173"/>
      <c r="AT63" s="173"/>
      <c r="AU63" s="173"/>
      <c r="AV63" s="172"/>
      <c r="AW63" s="174"/>
      <c r="AX63" s="174"/>
      <c r="AY63" s="174"/>
      <c r="AZ63" s="174"/>
      <c r="BA63" s="174"/>
      <c r="BB63" s="174"/>
      <c r="BC63" s="222">
        <f t="shared" si="19"/>
        <v>60</v>
      </c>
      <c r="BD63" s="256">
        <v>5800</v>
      </c>
      <c r="BE63" s="213">
        <v>5800</v>
      </c>
      <c r="BF63" s="214"/>
      <c r="BG63" s="315">
        <v>60</v>
      </c>
      <c r="BH63" s="315">
        <v>2000000000</v>
      </c>
      <c r="BJ63" s="315">
        <v>60</v>
      </c>
      <c r="BK63" s="315">
        <v>2000000000</v>
      </c>
    </row>
    <row r="64" spans="1:63" ht="33" customHeight="1">
      <c r="A64" s="166"/>
      <c r="B64" s="166"/>
      <c r="C64" s="166"/>
      <c r="D64" s="166"/>
      <c r="E64" s="166"/>
      <c r="F64" s="166"/>
      <c r="G64" s="166"/>
      <c r="H64" s="167"/>
      <c r="I64" s="168"/>
      <c r="J64" s="168"/>
      <c r="K64" s="168"/>
      <c r="L64" s="168"/>
      <c r="M64" s="168"/>
      <c r="N64" s="168"/>
      <c r="O64" s="172"/>
      <c r="P64" s="170"/>
      <c r="Q64" s="170"/>
      <c r="R64" s="170"/>
      <c r="S64" s="170"/>
      <c r="T64" s="224">
        <f t="shared" si="9"/>
        <v>61</v>
      </c>
      <c r="U64" s="224">
        <f t="shared" si="12"/>
        <v>0.15</v>
      </c>
      <c r="V64" s="217">
        <f t="shared" si="20"/>
        <v>0.11119026473817994</v>
      </c>
      <c r="W64" s="217">
        <f t="shared" si="20"/>
        <v>9.2112731007184756E-2</v>
      </c>
      <c r="X64" s="217">
        <f t="shared" si="20"/>
        <v>7.9515676296965099E-2</v>
      </c>
      <c r="Y64" s="217">
        <f t="shared" si="14"/>
        <v>0.15</v>
      </c>
      <c r="Z64" s="170"/>
      <c r="AA64" s="217">
        <f>'Mortality Table'!$H$4</f>
        <v>0.1</v>
      </c>
      <c r="AB64" s="170"/>
      <c r="AC64" s="224">
        <f t="shared" si="10"/>
        <v>61</v>
      </c>
      <c r="AD64" s="224">
        <v>0.2</v>
      </c>
      <c r="AE64" s="217">
        <f t="shared" si="17"/>
        <v>0.14772255750516639</v>
      </c>
      <c r="AF64" s="217">
        <f t="shared" si="17"/>
        <v>0.12215290126191869</v>
      </c>
      <c r="AG64" s="217">
        <f t="shared" si="17"/>
        <v>0.10531742483359952</v>
      </c>
      <c r="AH64" s="217">
        <f t="shared" si="15"/>
        <v>0.2</v>
      </c>
      <c r="AI64" s="170"/>
      <c r="AJ64" s="224">
        <f t="shared" si="11"/>
        <v>61</v>
      </c>
      <c r="AK64" s="217">
        <v>0.22</v>
      </c>
      <c r="AL64" s="217">
        <f t="shared" si="18"/>
        <v>0.16226805085936236</v>
      </c>
      <c r="AM64" s="217">
        <f t="shared" si="7"/>
        <v>0.13408464177211044</v>
      </c>
      <c r="AN64" s="217">
        <f t="shared" si="7"/>
        <v>0.11554878442527183</v>
      </c>
      <c r="AO64" s="217">
        <f t="shared" si="16"/>
        <v>0.22</v>
      </c>
      <c r="AP64" s="172"/>
      <c r="AQ64" s="173"/>
      <c r="AR64" s="173"/>
      <c r="AS64" s="173"/>
      <c r="AT64" s="173"/>
      <c r="AU64" s="173"/>
      <c r="AV64" s="172"/>
      <c r="AW64" s="174"/>
      <c r="AX64" s="174"/>
      <c r="AY64" s="174"/>
      <c r="AZ64" s="174"/>
      <c r="BA64" s="174"/>
      <c r="BB64" s="174"/>
      <c r="BC64" s="257"/>
      <c r="BD64" s="174"/>
      <c r="BE64" s="174"/>
      <c r="BF64" s="174"/>
      <c r="BG64" s="315">
        <v>61</v>
      </c>
      <c r="BH64" s="315">
        <v>2000000000</v>
      </c>
      <c r="BJ64" s="315">
        <v>61</v>
      </c>
      <c r="BK64" s="315">
        <v>2000000000</v>
      </c>
    </row>
    <row r="65" spans="1:63" ht="33" customHeight="1">
      <c r="A65" s="166"/>
      <c r="B65" s="166"/>
      <c r="C65" s="166"/>
      <c r="D65" s="166"/>
      <c r="E65" s="166"/>
      <c r="F65" s="166"/>
      <c r="G65" s="166"/>
      <c r="H65" s="167"/>
      <c r="I65" s="168"/>
      <c r="J65" s="168"/>
      <c r="K65" s="168"/>
      <c r="L65" s="168"/>
      <c r="M65" s="168"/>
      <c r="N65" s="168"/>
      <c r="O65" s="172"/>
      <c r="P65" s="170"/>
      <c r="Q65" s="170"/>
      <c r="R65" s="170"/>
      <c r="S65" s="170"/>
      <c r="T65" s="224">
        <f t="shared" si="9"/>
        <v>62</v>
      </c>
      <c r="U65" s="224">
        <f t="shared" si="12"/>
        <v>0.15</v>
      </c>
      <c r="V65" s="217">
        <f t="shared" si="20"/>
        <v>0.11119026473817994</v>
      </c>
      <c r="W65" s="217">
        <f t="shared" si="20"/>
        <v>9.2112731007184756E-2</v>
      </c>
      <c r="X65" s="217">
        <f t="shared" si="20"/>
        <v>7.9515676296965099E-2</v>
      </c>
      <c r="Y65" s="217">
        <f t="shared" si="14"/>
        <v>0.15</v>
      </c>
      <c r="Z65" s="170"/>
      <c r="AA65" s="217">
        <f>'Mortality Table'!$H$4</f>
        <v>0.1</v>
      </c>
      <c r="AB65" s="170"/>
      <c r="AC65" s="224">
        <f t="shared" si="10"/>
        <v>62</v>
      </c>
      <c r="AD65" s="224">
        <v>0.2</v>
      </c>
      <c r="AE65" s="217">
        <f t="shared" si="17"/>
        <v>0.14772255750516639</v>
      </c>
      <c r="AF65" s="217">
        <f t="shared" si="17"/>
        <v>0.12215290126191869</v>
      </c>
      <c r="AG65" s="217">
        <f t="shared" si="17"/>
        <v>0.10531742483359952</v>
      </c>
      <c r="AH65" s="217">
        <f t="shared" si="15"/>
        <v>0.2</v>
      </c>
      <c r="AI65" s="170"/>
      <c r="AJ65" s="224">
        <f t="shared" si="11"/>
        <v>62</v>
      </c>
      <c r="AK65" s="217">
        <v>0.22</v>
      </c>
      <c r="AL65" s="217">
        <f t="shared" si="18"/>
        <v>0.16226805085936236</v>
      </c>
      <c r="AM65" s="217">
        <f t="shared" si="7"/>
        <v>0.13408464177211044</v>
      </c>
      <c r="AN65" s="217">
        <f t="shared" si="7"/>
        <v>0.11554878442527183</v>
      </c>
      <c r="AO65" s="217">
        <f t="shared" si="16"/>
        <v>0.22</v>
      </c>
      <c r="AP65" s="172"/>
      <c r="AQ65" s="173"/>
      <c r="AR65" s="173"/>
      <c r="AS65" s="173"/>
      <c r="AT65" s="173"/>
      <c r="AU65" s="173"/>
      <c r="AV65" s="172"/>
      <c r="AW65" s="174"/>
      <c r="AX65" s="174"/>
      <c r="AY65" s="174"/>
      <c r="AZ65" s="174"/>
      <c r="BA65" s="174"/>
      <c r="BB65" s="174"/>
      <c r="BC65" s="257"/>
      <c r="BD65" s="174"/>
      <c r="BE65" s="174"/>
      <c r="BF65" s="174"/>
      <c r="BG65" s="315">
        <v>62</v>
      </c>
      <c r="BH65" s="315">
        <v>2000000000</v>
      </c>
      <c r="BJ65" s="315">
        <v>62</v>
      </c>
      <c r="BK65" s="315">
        <v>2000000000</v>
      </c>
    </row>
    <row r="66" spans="1:63" ht="33" customHeight="1">
      <c r="A66" s="166"/>
      <c r="B66" s="166"/>
      <c r="C66" s="166"/>
      <c r="D66" s="166"/>
      <c r="E66" s="166"/>
      <c r="F66" s="166"/>
      <c r="G66" s="166"/>
      <c r="H66" s="167"/>
      <c r="I66" s="168"/>
      <c r="J66" s="168"/>
      <c r="K66" s="168"/>
      <c r="L66" s="168"/>
      <c r="M66" s="168"/>
      <c r="N66" s="168"/>
      <c r="O66" s="172"/>
      <c r="P66" s="170"/>
      <c r="Q66" s="170"/>
      <c r="R66" s="170"/>
      <c r="S66" s="170"/>
      <c r="T66" s="224">
        <f t="shared" si="9"/>
        <v>63</v>
      </c>
      <c r="U66" s="224">
        <f t="shared" si="12"/>
        <v>0.15</v>
      </c>
      <c r="V66" s="217">
        <f t="shared" si="20"/>
        <v>0.11119026473817994</v>
      </c>
      <c r="W66" s="217">
        <f t="shared" si="20"/>
        <v>9.2112731007184756E-2</v>
      </c>
      <c r="X66" s="217">
        <f t="shared" si="20"/>
        <v>7.9515676296965099E-2</v>
      </c>
      <c r="Y66" s="217">
        <f t="shared" si="14"/>
        <v>0.15</v>
      </c>
      <c r="Z66" s="170"/>
      <c r="AA66" s="217">
        <f>'Mortality Table'!$H$4</f>
        <v>0.1</v>
      </c>
      <c r="AB66" s="170"/>
      <c r="AC66" s="224">
        <f t="shared" si="10"/>
        <v>63</v>
      </c>
      <c r="AD66" s="224">
        <v>0.2</v>
      </c>
      <c r="AE66" s="217">
        <f t="shared" si="17"/>
        <v>0.14772255750516639</v>
      </c>
      <c r="AF66" s="217">
        <f t="shared" si="17"/>
        <v>0.12215290126191869</v>
      </c>
      <c r="AG66" s="217">
        <f t="shared" si="17"/>
        <v>0.10531742483359952</v>
      </c>
      <c r="AH66" s="217">
        <f t="shared" si="15"/>
        <v>0.2</v>
      </c>
      <c r="AI66" s="170"/>
      <c r="AJ66" s="224">
        <f t="shared" si="11"/>
        <v>63</v>
      </c>
      <c r="AK66" s="217">
        <v>0.22</v>
      </c>
      <c r="AL66" s="217">
        <f t="shared" si="18"/>
        <v>0.16226805085936236</v>
      </c>
      <c r="AM66" s="217">
        <f t="shared" si="7"/>
        <v>0.13408464177211044</v>
      </c>
      <c r="AN66" s="217">
        <f t="shared" si="7"/>
        <v>0.11554878442527183</v>
      </c>
      <c r="AO66" s="217">
        <f t="shared" si="16"/>
        <v>0.22</v>
      </c>
      <c r="AP66" s="172"/>
      <c r="AQ66" s="173"/>
      <c r="AR66" s="173"/>
      <c r="AS66" s="173"/>
      <c r="AT66" s="173"/>
      <c r="AU66" s="173"/>
      <c r="AV66" s="172"/>
      <c r="AW66" s="174"/>
      <c r="AX66" s="174"/>
      <c r="AY66" s="174"/>
      <c r="AZ66" s="174"/>
      <c r="BA66" s="174"/>
      <c r="BB66" s="174"/>
      <c r="BC66" s="257"/>
      <c r="BD66" s="174"/>
      <c r="BE66" s="174"/>
      <c r="BF66" s="174"/>
      <c r="BG66" s="315">
        <v>63</v>
      </c>
      <c r="BH66" s="315">
        <v>2000000000</v>
      </c>
      <c r="BJ66" s="315">
        <v>63</v>
      </c>
      <c r="BK66" s="315">
        <v>2000000000</v>
      </c>
    </row>
    <row r="67" spans="1:63" ht="33" customHeight="1">
      <c r="A67" s="166"/>
      <c r="B67" s="166"/>
      <c r="C67" s="166"/>
      <c r="D67" s="166"/>
      <c r="E67" s="166"/>
      <c r="F67" s="166"/>
      <c r="G67" s="166"/>
      <c r="H67" s="167"/>
      <c r="I67" s="168"/>
      <c r="J67" s="168"/>
      <c r="K67" s="168"/>
      <c r="L67" s="168"/>
      <c r="M67" s="168"/>
      <c r="N67" s="168"/>
      <c r="O67" s="172"/>
      <c r="P67" s="170"/>
      <c r="Q67" s="170"/>
      <c r="R67" s="170"/>
      <c r="S67" s="170"/>
      <c r="T67" s="224">
        <f t="shared" si="9"/>
        <v>64</v>
      </c>
      <c r="U67" s="224">
        <f t="shared" si="12"/>
        <v>0.15</v>
      </c>
      <c r="V67" s="217">
        <f t="shared" si="20"/>
        <v>0.11119026473817994</v>
      </c>
      <c r="W67" s="217">
        <f t="shared" si="20"/>
        <v>9.2112731007184756E-2</v>
      </c>
      <c r="X67" s="217">
        <f t="shared" si="20"/>
        <v>7.9515676296965099E-2</v>
      </c>
      <c r="Y67" s="217">
        <f t="shared" si="14"/>
        <v>0.15</v>
      </c>
      <c r="Z67" s="170"/>
      <c r="AA67" s="217">
        <f>'Mortality Table'!$H$4</f>
        <v>0.1</v>
      </c>
      <c r="AB67" s="170"/>
      <c r="AC67" s="224">
        <f t="shared" si="10"/>
        <v>64</v>
      </c>
      <c r="AD67" s="224">
        <v>0.2</v>
      </c>
      <c r="AE67" s="217">
        <f t="shared" si="17"/>
        <v>0.14772255750516639</v>
      </c>
      <c r="AF67" s="217">
        <f t="shared" si="17"/>
        <v>0.12215290126191869</v>
      </c>
      <c r="AG67" s="217">
        <f t="shared" si="17"/>
        <v>0.10531742483359952</v>
      </c>
      <c r="AH67" s="217">
        <f t="shared" si="15"/>
        <v>0.2</v>
      </c>
      <c r="AI67" s="170"/>
      <c r="AJ67" s="224">
        <f t="shared" si="11"/>
        <v>64</v>
      </c>
      <c r="AK67" s="217">
        <v>0.22</v>
      </c>
      <c r="AL67" s="217">
        <f t="shared" si="18"/>
        <v>0.16226805085936236</v>
      </c>
      <c r="AM67" s="217">
        <f t="shared" si="7"/>
        <v>0.13408464177211044</v>
      </c>
      <c r="AN67" s="217">
        <f t="shared" si="7"/>
        <v>0.11554878442527183</v>
      </c>
      <c r="AO67" s="217">
        <f t="shared" si="16"/>
        <v>0.22</v>
      </c>
      <c r="AP67" s="172"/>
      <c r="AQ67" s="173"/>
      <c r="AR67" s="173"/>
      <c r="AS67" s="173"/>
      <c r="AT67" s="173"/>
      <c r="AU67" s="173"/>
      <c r="AV67" s="172"/>
      <c r="AW67" s="174"/>
      <c r="AX67" s="174"/>
      <c r="AY67" s="174"/>
      <c r="AZ67" s="174"/>
      <c r="BA67" s="174"/>
      <c r="BB67" s="174"/>
      <c r="BC67" s="257"/>
      <c r="BD67" s="174"/>
      <c r="BE67" s="174"/>
      <c r="BF67" s="174"/>
      <c r="BG67" s="315">
        <v>64</v>
      </c>
      <c r="BH67" s="315">
        <v>2000000000</v>
      </c>
      <c r="BJ67" s="315">
        <v>64</v>
      </c>
      <c r="BK67" s="315">
        <v>2000000000</v>
      </c>
    </row>
    <row r="68" spans="1:63" ht="33" customHeight="1">
      <c r="A68" s="166"/>
      <c r="B68" s="166"/>
      <c r="C68" s="166"/>
      <c r="D68" s="166"/>
      <c r="E68" s="166"/>
      <c r="F68" s="166"/>
      <c r="G68" s="166"/>
      <c r="H68" s="167"/>
      <c r="I68" s="168"/>
      <c r="J68" s="168"/>
      <c r="K68" s="168"/>
      <c r="L68" s="168"/>
      <c r="M68" s="168"/>
      <c r="N68" s="168"/>
      <c r="O68" s="172"/>
      <c r="P68" s="170"/>
      <c r="Q68" s="170"/>
      <c r="R68" s="170"/>
      <c r="S68" s="170"/>
      <c r="T68" s="224">
        <f t="shared" si="9"/>
        <v>65</v>
      </c>
      <c r="U68" s="224">
        <f t="shared" si="12"/>
        <v>0.15</v>
      </c>
      <c r="V68" s="217">
        <f t="shared" si="20"/>
        <v>0.11119026473817994</v>
      </c>
      <c r="W68" s="217">
        <f t="shared" si="20"/>
        <v>9.2112731007184756E-2</v>
      </c>
      <c r="X68" s="217">
        <f t="shared" si="20"/>
        <v>7.9515676296965099E-2</v>
      </c>
      <c r="Y68" s="217">
        <f t="shared" ref="Y68:Y99" si="21">LOOKUP($Q$7,$U$3:$X$3,U68:X68)</f>
        <v>0.15</v>
      </c>
      <c r="Z68" s="170"/>
      <c r="AA68" s="217">
        <f>'Mortality Table'!$H$4</f>
        <v>0.1</v>
      </c>
      <c r="AB68" s="170"/>
      <c r="AC68" s="224">
        <f t="shared" si="10"/>
        <v>65</v>
      </c>
      <c r="AD68" s="224">
        <v>0.2</v>
      </c>
      <c r="AE68" s="217">
        <f t="shared" si="17"/>
        <v>0.14772255750516639</v>
      </c>
      <c r="AF68" s="217">
        <f t="shared" si="17"/>
        <v>0.12215290126191869</v>
      </c>
      <c r="AG68" s="217">
        <f t="shared" si="17"/>
        <v>0.10531742483359952</v>
      </c>
      <c r="AH68" s="217">
        <f t="shared" ref="AH68:AH99" si="22">LOOKUP($Q$7,$U$3:$X$3,AD68:AG68)</f>
        <v>0.2</v>
      </c>
      <c r="AI68" s="170"/>
      <c r="AJ68" s="224">
        <f t="shared" si="11"/>
        <v>65</v>
      </c>
      <c r="AK68" s="217">
        <v>0.22</v>
      </c>
      <c r="AL68" s="217">
        <f t="shared" si="18"/>
        <v>0.16226805085936236</v>
      </c>
      <c r="AM68" s="217">
        <f t="shared" si="7"/>
        <v>0.13408464177211044</v>
      </c>
      <c r="AN68" s="217">
        <f t="shared" si="7"/>
        <v>0.11554878442527183</v>
      </c>
      <c r="AO68" s="217">
        <f t="shared" ref="AO68:AO99" si="23">LOOKUP($Q$7,$U$3:$X$3,AK68:AN68)</f>
        <v>0.22</v>
      </c>
      <c r="AP68" s="172"/>
      <c r="AQ68" s="173"/>
      <c r="AR68" s="173"/>
      <c r="AS68" s="173"/>
      <c r="AT68" s="173"/>
      <c r="AU68" s="173"/>
      <c r="AV68" s="172"/>
      <c r="AW68" s="174"/>
      <c r="AX68" s="174"/>
      <c r="AY68" s="174"/>
      <c r="AZ68" s="174"/>
      <c r="BA68" s="174"/>
      <c r="BB68" s="174"/>
      <c r="BC68" s="257"/>
      <c r="BD68" s="174"/>
      <c r="BE68" s="174"/>
      <c r="BF68" s="174"/>
      <c r="BG68" s="315">
        <v>65</v>
      </c>
      <c r="BH68" s="315">
        <v>2000000000</v>
      </c>
      <c r="BJ68" s="315">
        <v>65</v>
      </c>
      <c r="BK68" s="315">
        <v>2000000000</v>
      </c>
    </row>
    <row r="69" spans="1:63" ht="33" customHeight="1">
      <c r="A69" s="166"/>
      <c r="B69" s="166"/>
      <c r="C69" s="166"/>
      <c r="D69" s="166"/>
      <c r="E69" s="166"/>
      <c r="F69" s="166"/>
      <c r="G69" s="166"/>
      <c r="H69" s="167"/>
      <c r="I69" s="168"/>
      <c r="J69" s="168"/>
      <c r="K69" s="168"/>
      <c r="L69" s="168"/>
      <c r="M69" s="168"/>
      <c r="N69" s="168"/>
      <c r="O69" s="172"/>
      <c r="P69" s="170"/>
      <c r="Q69" s="170"/>
      <c r="R69" s="170"/>
      <c r="S69" s="170"/>
      <c r="T69" s="224">
        <f t="shared" si="9"/>
        <v>66</v>
      </c>
      <c r="U69" s="224">
        <f t="shared" si="12"/>
        <v>0.15</v>
      </c>
      <c r="V69" s="217">
        <f t="shared" ref="V69:X109" si="24">(((1-(1/(1+$U69)))/(V$3*(1-((1/(1+$U69))^(1/V$3)))))*(1+$U69))-1</f>
        <v>0.11119026473817994</v>
      </c>
      <c r="W69" s="217">
        <f t="shared" si="24"/>
        <v>9.2112731007184756E-2</v>
      </c>
      <c r="X69" s="217">
        <f t="shared" si="24"/>
        <v>7.9515676296965099E-2</v>
      </c>
      <c r="Y69" s="217">
        <f t="shared" si="21"/>
        <v>0.15</v>
      </c>
      <c r="Z69" s="170"/>
      <c r="AA69" s="217">
        <f>'Mortality Table'!$H$4</f>
        <v>0.1</v>
      </c>
      <c r="AB69" s="170"/>
      <c r="AC69" s="224">
        <f t="shared" si="10"/>
        <v>66</v>
      </c>
      <c r="AD69" s="224">
        <v>0.2</v>
      </c>
      <c r="AE69" s="217">
        <f t="shared" ref="AE69:AG109" si="25">(((1-(1/(1+$AD69)))/(AE$3*(1-((1/(1+$AD69))^(1/AE$3)))))*(1+$AD69))-1</f>
        <v>0.14772255750516639</v>
      </c>
      <c r="AF69" s="217">
        <f t="shared" si="25"/>
        <v>0.12215290126191869</v>
      </c>
      <c r="AG69" s="217">
        <f t="shared" si="25"/>
        <v>0.10531742483359952</v>
      </c>
      <c r="AH69" s="217">
        <f t="shared" si="22"/>
        <v>0.2</v>
      </c>
      <c r="AI69" s="170"/>
      <c r="AJ69" s="224">
        <f t="shared" si="11"/>
        <v>66</v>
      </c>
      <c r="AK69" s="217">
        <v>0.22</v>
      </c>
      <c r="AL69" s="217">
        <f t="shared" si="18"/>
        <v>0.16226805085936236</v>
      </c>
      <c r="AM69" s="217">
        <f>(((1-(1/(1+$AK69)))/(AM$3*(1-((1/(1+$AK69))^(1/AM$3)))))*(1+$AK69))-1</f>
        <v>0.13408464177211044</v>
      </c>
      <c r="AN69" s="217">
        <f>(((1-(1/(1+$AK69)))/(AN$3*(1-((1/(1+$AK69))^(1/AN$3)))))*(1+$AK69))-1</f>
        <v>0.11554878442527183</v>
      </c>
      <c r="AO69" s="217">
        <f t="shared" si="23"/>
        <v>0.22</v>
      </c>
      <c r="AP69" s="172"/>
      <c r="AQ69" s="173"/>
      <c r="AR69" s="173"/>
      <c r="AS69" s="173"/>
      <c r="AT69" s="173"/>
      <c r="AU69" s="173"/>
      <c r="AV69" s="172"/>
      <c r="AW69" s="174"/>
      <c r="AX69" s="174"/>
      <c r="AY69" s="174"/>
      <c r="AZ69" s="174"/>
      <c r="BA69" s="174"/>
      <c r="BB69" s="174"/>
      <c r="BC69" s="257"/>
      <c r="BD69" s="174"/>
      <c r="BE69" s="174"/>
      <c r="BF69" s="174"/>
      <c r="BG69" s="315">
        <v>66</v>
      </c>
      <c r="BH69" s="315">
        <v>2000000000</v>
      </c>
      <c r="BJ69" s="315">
        <v>66</v>
      </c>
      <c r="BK69" s="315">
        <v>2000000000</v>
      </c>
    </row>
    <row r="70" spans="1:63" ht="33" customHeight="1">
      <c r="A70" s="166"/>
      <c r="B70" s="166"/>
      <c r="C70" s="166"/>
      <c r="D70" s="166"/>
      <c r="E70" s="166"/>
      <c r="F70" s="166"/>
      <c r="G70" s="166"/>
      <c r="H70" s="167"/>
      <c r="I70" s="168"/>
      <c r="J70" s="168"/>
      <c r="K70" s="168"/>
      <c r="L70" s="168"/>
      <c r="M70" s="168"/>
      <c r="N70" s="168"/>
      <c r="O70" s="172"/>
      <c r="P70" s="170"/>
      <c r="Q70" s="170"/>
      <c r="R70" s="170"/>
      <c r="S70" s="170"/>
      <c r="T70" s="224">
        <f t="shared" ref="T70:T109" si="26">T69+1</f>
        <v>67</v>
      </c>
      <c r="U70" s="224">
        <f t="shared" si="12"/>
        <v>0.15</v>
      </c>
      <c r="V70" s="217">
        <f t="shared" si="24"/>
        <v>0.11119026473817994</v>
      </c>
      <c r="W70" s="217">
        <f t="shared" si="24"/>
        <v>9.2112731007184756E-2</v>
      </c>
      <c r="X70" s="217">
        <f t="shared" si="24"/>
        <v>7.9515676296965099E-2</v>
      </c>
      <c r="Y70" s="217">
        <f t="shared" si="21"/>
        <v>0.15</v>
      </c>
      <c r="Z70" s="170"/>
      <c r="AA70" s="217">
        <f>'Mortality Table'!$H$4</f>
        <v>0.1</v>
      </c>
      <c r="AB70" s="170"/>
      <c r="AC70" s="224">
        <f t="shared" ref="AC70:AC109" si="27">AC69+1</f>
        <v>67</v>
      </c>
      <c r="AD70" s="224">
        <v>0.2</v>
      </c>
      <c r="AE70" s="217">
        <f t="shared" si="25"/>
        <v>0.14772255750516639</v>
      </c>
      <c r="AF70" s="217">
        <f t="shared" si="25"/>
        <v>0.12215290126191869</v>
      </c>
      <c r="AG70" s="217">
        <f t="shared" si="25"/>
        <v>0.10531742483359952</v>
      </c>
      <c r="AH70" s="217">
        <f t="shared" si="22"/>
        <v>0.2</v>
      </c>
      <c r="AI70" s="170"/>
      <c r="AJ70" s="224">
        <f t="shared" ref="AJ70:AJ109" si="28">AJ69+1</f>
        <v>67</v>
      </c>
      <c r="AK70" s="217">
        <v>0.22</v>
      </c>
      <c r="AL70" s="217">
        <f t="shared" ref="AL70:AN109" si="29">(((1-(1/(1+$AK70)))/(AL$3*(1-((1/(1+$AK70))^(1/AL$3)))))*(1+$AK70))-1</f>
        <v>0.16226805085936236</v>
      </c>
      <c r="AM70" s="217">
        <f t="shared" si="29"/>
        <v>0.13408464177211044</v>
      </c>
      <c r="AN70" s="217">
        <f t="shared" si="29"/>
        <v>0.11554878442527183</v>
      </c>
      <c r="AO70" s="217">
        <f t="shared" si="23"/>
        <v>0.22</v>
      </c>
      <c r="AP70" s="172"/>
      <c r="AQ70" s="173"/>
      <c r="AR70" s="173"/>
      <c r="AS70" s="173"/>
      <c r="AT70" s="173"/>
      <c r="AU70" s="173"/>
      <c r="AV70" s="172"/>
      <c r="AW70" s="174"/>
      <c r="AX70" s="174"/>
      <c r="AY70" s="174"/>
      <c r="AZ70" s="174"/>
      <c r="BA70" s="174"/>
      <c r="BB70" s="174"/>
      <c r="BC70" s="257"/>
      <c r="BD70" s="174"/>
      <c r="BE70" s="174"/>
      <c r="BF70" s="174"/>
      <c r="BG70" s="315">
        <v>67</v>
      </c>
      <c r="BH70" s="315">
        <v>2000000000</v>
      </c>
      <c r="BJ70" s="315">
        <v>67</v>
      </c>
      <c r="BK70" s="315">
        <v>2000000000</v>
      </c>
    </row>
    <row r="71" spans="1:63" ht="33" customHeight="1">
      <c r="A71" s="166"/>
      <c r="B71" s="166"/>
      <c r="C71" s="166"/>
      <c r="D71" s="166"/>
      <c r="E71" s="166"/>
      <c r="F71" s="166"/>
      <c r="G71" s="166"/>
      <c r="H71" s="167"/>
      <c r="I71" s="168"/>
      <c r="J71" s="168"/>
      <c r="K71" s="168"/>
      <c r="L71" s="168"/>
      <c r="M71" s="168"/>
      <c r="N71" s="168"/>
      <c r="O71" s="172"/>
      <c r="P71" s="170"/>
      <c r="Q71" s="170"/>
      <c r="R71" s="170"/>
      <c r="S71" s="170"/>
      <c r="T71" s="224">
        <f t="shared" si="26"/>
        <v>68</v>
      </c>
      <c r="U71" s="224">
        <f t="shared" si="12"/>
        <v>0.15</v>
      </c>
      <c r="V71" s="217">
        <f t="shared" si="24"/>
        <v>0.11119026473817994</v>
      </c>
      <c r="W71" s="217">
        <f t="shared" si="24"/>
        <v>9.2112731007184756E-2</v>
      </c>
      <c r="X71" s="217">
        <f t="shared" si="24"/>
        <v>7.9515676296965099E-2</v>
      </c>
      <c r="Y71" s="217">
        <f t="shared" si="21"/>
        <v>0.15</v>
      </c>
      <c r="Z71" s="170"/>
      <c r="AA71" s="217">
        <f>'Mortality Table'!$H$4</f>
        <v>0.1</v>
      </c>
      <c r="AB71" s="170"/>
      <c r="AC71" s="224">
        <f t="shared" si="27"/>
        <v>68</v>
      </c>
      <c r="AD71" s="224">
        <v>0.2</v>
      </c>
      <c r="AE71" s="217">
        <f t="shared" si="25"/>
        <v>0.14772255750516639</v>
      </c>
      <c r="AF71" s="217">
        <f t="shared" si="25"/>
        <v>0.12215290126191869</v>
      </c>
      <c r="AG71" s="217">
        <f t="shared" si="25"/>
        <v>0.10531742483359952</v>
      </c>
      <c r="AH71" s="217">
        <f t="shared" si="22"/>
        <v>0.2</v>
      </c>
      <c r="AI71" s="170"/>
      <c r="AJ71" s="224">
        <f t="shared" si="28"/>
        <v>68</v>
      </c>
      <c r="AK71" s="217">
        <v>0.22</v>
      </c>
      <c r="AL71" s="217">
        <f t="shared" si="29"/>
        <v>0.16226805085936236</v>
      </c>
      <c r="AM71" s="217">
        <f t="shared" si="29"/>
        <v>0.13408464177211044</v>
      </c>
      <c r="AN71" s="217">
        <f t="shared" si="29"/>
        <v>0.11554878442527183</v>
      </c>
      <c r="AO71" s="217">
        <f t="shared" si="23"/>
        <v>0.22</v>
      </c>
      <c r="AP71" s="172"/>
      <c r="AQ71" s="173"/>
      <c r="AR71" s="173"/>
      <c r="AS71" s="173"/>
      <c r="AT71" s="173"/>
      <c r="AU71" s="173"/>
      <c r="AV71" s="172"/>
      <c r="AW71" s="174"/>
      <c r="AX71" s="174"/>
      <c r="AY71" s="174"/>
      <c r="AZ71" s="174"/>
      <c r="BA71" s="174"/>
      <c r="BB71" s="174"/>
      <c r="BC71" s="257"/>
      <c r="BD71" s="174"/>
      <c r="BE71" s="174"/>
      <c r="BF71" s="174"/>
      <c r="BG71" s="315">
        <v>68</v>
      </c>
      <c r="BH71" s="315">
        <v>2000000000</v>
      </c>
      <c r="BJ71" s="315">
        <v>68</v>
      </c>
      <c r="BK71" s="315">
        <v>2000000000</v>
      </c>
    </row>
    <row r="72" spans="1:63" ht="33" customHeight="1">
      <c r="A72" s="166"/>
      <c r="B72" s="166"/>
      <c r="C72" s="166"/>
      <c r="D72" s="166"/>
      <c r="E72" s="166"/>
      <c r="F72" s="166"/>
      <c r="G72" s="166"/>
      <c r="H72" s="167"/>
      <c r="I72" s="168"/>
      <c r="J72" s="168"/>
      <c r="K72" s="168"/>
      <c r="L72" s="168"/>
      <c r="M72" s="168"/>
      <c r="N72" s="168"/>
      <c r="O72" s="172"/>
      <c r="P72" s="170"/>
      <c r="Q72" s="170"/>
      <c r="R72" s="170"/>
      <c r="S72" s="170"/>
      <c r="T72" s="224">
        <f t="shared" si="26"/>
        <v>69</v>
      </c>
      <c r="U72" s="224">
        <f t="shared" si="12"/>
        <v>0.15</v>
      </c>
      <c r="V72" s="217">
        <f t="shared" si="24"/>
        <v>0.11119026473817994</v>
      </c>
      <c r="W72" s="217">
        <f t="shared" si="24"/>
        <v>9.2112731007184756E-2</v>
      </c>
      <c r="X72" s="217">
        <f t="shared" si="24"/>
        <v>7.9515676296965099E-2</v>
      </c>
      <c r="Y72" s="217">
        <f t="shared" si="21"/>
        <v>0.15</v>
      </c>
      <c r="Z72" s="170"/>
      <c r="AA72" s="217">
        <f>'Mortality Table'!$H$4</f>
        <v>0.1</v>
      </c>
      <c r="AB72" s="170"/>
      <c r="AC72" s="224">
        <f t="shared" si="27"/>
        <v>69</v>
      </c>
      <c r="AD72" s="224">
        <v>0.2</v>
      </c>
      <c r="AE72" s="217">
        <f t="shared" si="25"/>
        <v>0.14772255750516639</v>
      </c>
      <c r="AF72" s="217">
        <f t="shared" si="25"/>
        <v>0.12215290126191869</v>
      </c>
      <c r="AG72" s="217">
        <f t="shared" si="25"/>
        <v>0.10531742483359952</v>
      </c>
      <c r="AH72" s="217">
        <f t="shared" si="22"/>
        <v>0.2</v>
      </c>
      <c r="AI72" s="170"/>
      <c r="AJ72" s="224">
        <f t="shared" si="28"/>
        <v>69</v>
      </c>
      <c r="AK72" s="217">
        <v>0.22</v>
      </c>
      <c r="AL72" s="217">
        <f t="shared" si="29"/>
        <v>0.16226805085936236</v>
      </c>
      <c r="AM72" s="217">
        <f t="shared" si="29"/>
        <v>0.13408464177211044</v>
      </c>
      <c r="AN72" s="217">
        <f t="shared" si="29"/>
        <v>0.11554878442527183</v>
      </c>
      <c r="AO72" s="217">
        <f t="shared" si="23"/>
        <v>0.22</v>
      </c>
      <c r="AP72" s="172"/>
      <c r="AQ72" s="173"/>
      <c r="AR72" s="173"/>
      <c r="AS72" s="173"/>
      <c r="AT72" s="173"/>
      <c r="AU72" s="173"/>
      <c r="AV72" s="172"/>
      <c r="AW72" s="174"/>
      <c r="AX72" s="174"/>
      <c r="AY72" s="174"/>
      <c r="AZ72" s="174"/>
      <c r="BA72" s="174"/>
      <c r="BB72" s="174"/>
      <c r="BC72" s="257"/>
      <c r="BD72" s="174"/>
      <c r="BE72" s="174"/>
      <c r="BF72" s="174"/>
      <c r="BG72" s="315">
        <v>69</v>
      </c>
      <c r="BH72" s="315">
        <v>2000000000</v>
      </c>
      <c r="BJ72" s="315">
        <v>69</v>
      </c>
      <c r="BK72" s="315">
        <v>2000000000</v>
      </c>
    </row>
    <row r="73" spans="1:63" ht="33" customHeight="1">
      <c r="A73" s="166"/>
      <c r="B73" s="166"/>
      <c r="C73" s="166"/>
      <c r="D73" s="166"/>
      <c r="E73" s="166"/>
      <c r="F73" s="166"/>
      <c r="G73" s="166"/>
      <c r="H73" s="167"/>
      <c r="I73" s="168"/>
      <c r="J73" s="168"/>
      <c r="K73" s="168"/>
      <c r="L73" s="168"/>
      <c r="M73" s="168"/>
      <c r="N73" s="168"/>
      <c r="O73" s="172"/>
      <c r="P73" s="170"/>
      <c r="Q73" s="170"/>
      <c r="R73" s="170"/>
      <c r="S73" s="170"/>
      <c r="T73" s="224">
        <f t="shared" si="26"/>
        <v>70</v>
      </c>
      <c r="U73" s="224">
        <f t="shared" si="12"/>
        <v>0.15</v>
      </c>
      <c r="V73" s="217">
        <f t="shared" si="24"/>
        <v>0.11119026473817994</v>
      </c>
      <c r="W73" s="217">
        <f t="shared" si="24"/>
        <v>9.2112731007184756E-2</v>
      </c>
      <c r="X73" s="217">
        <f t="shared" si="24"/>
        <v>7.9515676296965099E-2</v>
      </c>
      <c r="Y73" s="217">
        <f t="shared" si="21"/>
        <v>0.15</v>
      </c>
      <c r="Z73" s="170"/>
      <c r="AA73" s="217">
        <f>'Mortality Table'!$H$4</f>
        <v>0.1</v>
      </c>
      <c r="AB73" s="170"/>
      <c r="AC73" s="224">
        <f t="shared" si="27"/>
        <v>70</v>
      </c>
      <c r="AD73" s="224">
        <v>0.2</v>
      </c>
      <c r="AE73" s="217">
        <f t="shared" si="25"/>
        <v>0.14772255750516639</v>
      </c>
      <c r="AF73" s="217">
        <f t="shared" si="25"/>
        <v>0.12215290126191869</v>
      </c>
      <c r="AG73" s="217">
        <f t="shared" si="25"/>
        <v>0.10531742483359952</v>
      </c>
      <c r="AH73" s="217">
        <f t="shared" si="22"/>
        <v>0.2</v>
      </c>
      <c r="AI73" s="170"/>
      <c r="AJ73" s="224">
        <f t="shared" si="28"/>
        <v>70</v>
      </c>
      <c r="AK73" s="217">
        <v>0.22</v>
      </c>
      <c r="AL73" s="217">
        <f t="shared" si="29"/>
        <v>0.16226805085936236</v>
      </c>
      <c r="AM73" s="217">
        <f t="shared" si="29"/>
        <v>0.13408464177211044</v>
      </c>
      <c r="AN73" s="217">
        <f t="shared" si="29"/>
        <v>0.11554878442527183</v>
      </c>
      <c r="AO73" s="217">
        <f t="shared" si="23"/>
        <v>0.22</v>
      </c>
      <c r="AP73" s="172"/>
      <c r="AQ73" s="173"/>
      <c r="AR73" s="173"/>
      <c r="AS73" s="173"/>
      <c r="AT73" s="173"/>
      <c r="AU73" s="173"/>
      <c r="AV73" s="172"/>
      <c r="AW73" s="174"/>
      <c r="AX73" s="174"/>
      <c r="AY73" s="174"/>
      <c r="AZ73" s="174"/>
      <c r="BA73" s="174"/>
      <c r="BB73" s="174"/>
      <c r="BC73" s="257"/>
      <c r="BD73" s="174"/>
      <c r="BE73" s="174"/>
      <c r="BF73" s="174"/>
      <c r="BG73" s="315">
        <v>70</v>
      </c>
      <c r="BH73" s="315">
        <v>1800000000</v>
      </c>
      <c r="BJ73" s="315">
        <v>70</v>
      </c>
      <c r="BK73" s="315">
        <v>500000000</v>
      </c>
    </row>
    <row r="74" spans="1:63" ht="33" customHeight="1">
      <c r="A74" s="166"/>
      <c r="B74" s="166"/>
      <c r="C74" s="166"/>
      <c r="D74" s="166"/>
      <c r="E74" s="166"/>
      <c r="F74" s="166"/>
      <c r="G74" s="166"/>
      <c r="H74" s="167"/>
      <c r="I74" s="168"/>
      <c r="J74" s="168"/>
      <c r="K74" s="168"/>
      <c r="L74" s="168"/>
      <c r="M74" s="168"/>
      <c r="N74" s="168"/>
      <c r="O74" s="172"/>
      <c r="P74" s="170"/>
      <c r="Q74" s="170"/>
      <c r="R74" s="170"/>
      <c r="S74" s="170"/>
      <c r="T74" s="224">
        <f t="shared" si="26"/>
        <v>71</v>
      </c>
      <c r="U74" s="224">
        <f t="shared" si="12"/>
        <v>0.15</v>
      </c>
      <c r="V74" s="217">
        <f t="shared" si="24"/>
        <v>0.11119026473817994</v>
      </c>
      <c r="W74" s="217">
        <f t="shared" si="24"/>
        <v>9.2112731007184756E-2</v>
      </c>
      <c r="X74" s="217">
        <f t="shared" si="24"/>
        <v>7.9515676296965099E-2</v>
      </c>
      <c r="Y74" s="217">
        <f t="shared" si="21"/>
        <v>0.15</v>
      </c>
      <c r="Z74" s="170"/>
      <c r="AA74" s="217">
        <f>'Mortality Table'!$H$4</f>
        <v>0.1</v>
      </c>
      <c r="AB74" s="170"/>
      <c r="AC74" s="224">
        <f t="shared" si="27"/>
        <v>71</v>
      </c>
      <c r="AD74" s="224">
        <v>0.2</v>
      </c>
      <c r="AE74" s="217">
        <f t="shared" si="25"/>
        <v>0.14772255750516639</v>
      </c>
      <c r="AF74" s="217">
        <f t="shared" si="25"/>
        <v>0.12215290126191869</v>
      </c>
      <c r="AG74" s="217">
        <f t="shared" si="25"/>
        <v>0.10531742483359952</v>
      </c>
      <c r="AH74" s="217">
        <f t="shared" si="22"/>
        <v>0.2</v>
      </c>
      <c r="AI74" s="170"/>
      <c r="AJ74" s="224">
        <f t="shared" si="28"/>
        <v>71</v>
      </c>
      <c r="AK74" s="217">
        <v>0.22</v>
      </c>
      <c r="AL74" s="217">
        <f t="shared" si="29"/>
        <v>0.16226805085936236</v>
      </c>
      <c r="AM74" s="217">
        <f t="shared" si="29"/>
        <v>0.13408464177211044</v>
      </c>
      <c r="AN74" s="217">
        <f t="shared" si="29"/>
        <v>0.11554878442527183</v>
      </c>
      <c r="AO74" s="217">
        <f t="shared" si="23"/>
        <v>0.22</v>
      </c>
      <c r="AP74" s="172"/>
      <c r="AQ74" s="173"/>
      <c r="AR74" s="173"/>
      <c r="AS74" s="173"/>
      <c r="AT74" s="173"/>
      <c r="AU74" s="173"/>
      <c r="AV74" s="172"/>
      <c r="AW74" s="174"/>
      <c r="AX74" s="174"/>
      <c r="AY74" s="174"/>
      <c r="AZ74" s="174"/>
      <c r="BA74" s="174"/>
      <c r="BB74" s="174"/>
      <c r="BC74" s="257"/>
      <c r="BD74" s="174"/>
      <c r="BE74" s="174"/>
      <c r="BF74" s="174"/>
      <c r="BG74" s="315">
        <v>71</v>
      </c>
      <c r="BH74" s="315">
        <v>1600000000</v>
      </c>
      <c r="BJ74" s="315">
        <v>71</v>
      </c>
      <c r="BK74" s="315">
        <v>450000000</v>
      </c>
    </row>
    <row r="75" spans="1:63" ht="33" customHeight="1">
      <c r="A75" s="166"/>
      <c r="B75" s="166"/>
      <c r="C75" s="166"/>
      <c r="D75" s="166"/>
      <c r="E75" s="166"/>
      <c r="F75" s="166"/>
      <c r="G75" s="166"/>
      <c r="H75" s="167"/>
      <c r="I75" s="168"/>
      <c r="J75" s="168"/>
      <c r="K75" s="168"/>
      <c r="L75" s="168"/>
      <c r="M75" s="168"/>
      <c r="N75" s="168"/>
      <c r="O75" s="172"/>
      <c r="P75" s="170"/>
      <c r="Q75" s="170"/>
      <c r="R75" s="170"/>
      <c r="S75" s="170"/>
      <c r="T75" s="224">
        <f t="shared" si="26"/>
        <v>72</v>
      </c>
      <c r="U75" s="224">
        <f t="shared" si="12"/>
        <v>0.15</v>
      </c>
      <c r="V75" s="217">
        <f t="shared" si="24"/>
        <v>0.11119026473817994</v>
      </c>
      <c r="W75" s="217">
        <f t="shared" si="24"/>
        <v>9.2112731007184756E-2</v>
      </c>
      <c r="X75" s="217">
        <f t="shared" si="24"/>
        <v>7.9515676296965099E-2</v>
      </c>
      <c r="Y75" s="217">
        <f t="shared" si="21"/>
        <v>0.15</v>
      </c>
      <c r="Z75" s="170"/>
      <c r="AA75" s="217">
        <f>'Mortality Table'!$H$4</f>
        <v>0.1</v>
      </c>
      <c r="AB75" s="170"/>
      <c r="AC75" s="224">
        <f t="shared" si="27"/>
        <v>72</v>
      </c>
      <c r="AD75" s="224">
        <v>0.2</v>
      </c>
      <c r="AE75" s="217">
        <f t="shared" si="25"/>
        <v>0.14772255750516639</v>
      </c>
      <c r="AF75" s="217">
        <f t="shared" si="25"/>
        <v>0.12215290126191869</v>
      </c>
      <c r="AG75" s="217">
        <f t="shared" si="25"/>
        <v>0.10531742483359952</v>
      </c>
      <c r="AH75" s="217">
        <f t="shared" si="22"/>
        <v>0.2</v>
      </c>
      <c r="AI75" s="170"/>
      <c r="AJ75" s="224">
        <f t="shared" si="28"/>
        <v>72</v>
      </c>
      <c r="AK75" s="217">
        <v>0.22</v>
      </c>
      <c r="AL75" s="217">
        <f t="shared" si="29"/>
        <v>0.16226805085936236</v>
      </c>
      <c r="AM75" s="217">
        <f t="shared" si="29"/>
        <v>0.13408464177211044</v>
      </c>
      <c r="AN75" s="217">
        <f t="shared" si="29"/>
        <v>0.11554878442527183</v>
      </c>
      <c r="AO75" s="217">
        <f t="shared" si="23"/>
        <v>0.22</v>
      </c>
      <c r="AP75" s="172"/>
      <c r="AQ75" s="173"/>
      <c r="AR75" s="173"/>
      <c r="AS75" s="173"/>
      <c r="AT75" s="173"/>
      <c r="AU75" s="173"/>
      <c r="AV75" s="172"/>
      <c r="AW75" s="174"/>
      <c r="AX75" s="174"/>
      <c r="AY75" s="174"/>
      <c r="AZ75" s="174"/>
      <c r="BA75" s="174"/>
      <c r="BB75" s="174"/>
      <c r="BC75" s="257"/>
      <c r="BD75" s="174"/>
      <c r="BE75" s="174"/>
      <c r="BF75" s="174"/>
      <c r="BG75" s="315">
        <v>72</v>
      </c>
      <c r="BH75" s="315">
        <v>1400000000</v>
      </c>
      <c r="BJ75" s="315">
        <v>72</v>
      </c>
      <c r="BK75" s="315">
        <v>400000000</v>
      </c>
    </row>
    <row r="76" spans="1:63" ht="33" customHeight="1">
      <c r="A76" s="166"/>
      <c r="B76" s="166"/>
      <c r="C76" s="166"/>
      <c r="D76" s="166"/>
      <c r="E76" s="166"/>
      <c r="F76" s="166"/>
      <c r="G76" s="166"/>
      <c r="H76" s="167"/>
      <c r="I76" s="168"/>
      <c r="J76" s="168"/>
      <c r="K76" s="168"/>
      <c r="L76" s="168"/>
      <c r="M76" s="168"/>
      <c r="N76" s="168"/>
      <c r="O76" s="172"/>
      <c r="P76" s="170"/>
      <c r="Q76" s="170"/>
      <c r="R76" s="170"/>
      <c r="S76" s="170"/>
      <c r="T76" s="224">
        <f t="shared" si="26"/>
        <v>73</v>
      </c>
      <c r="U76" s="224">
        <f t="shared" si="12"/>
        <v>0.15</v>
      </c>
      <c r="V76" s="217">
        <f t="shared" si="24"/>
        <v>0.11119026473817994</v>
      </c>
      <c r="W76" s="217">
        <f t="shared" si="24"/>
        <v>9.2112731007184756E-2</v>
      </c>
      <c r="X76" s="217">
        <f t="shared" si="24"/>
        <v>7.9515676296965099E-2</v>
      </c>
      <c r="Y76" s="217">
        <f t="shared" si="21"/>
        <v>0.15</v>
      </c>
      <c r="Z76" s="170"/>
      <c r="AA76" s="217">
        <f>'Mortality Table'!$H$4</f>
        <v>0.1</v>
      </c>
      <c r="AB76" s="170"/>
      <c r="AC76" s="224">
        <f t="shared" si="27"/>
        <v>73</v>
      </c>
      <c r="AD76" s="224">
        <v>0.2</v>
      </c>
      <c r="AE76" s="217">
        <f t="shared" si="25"/>
        <v>0.14772255750516639</v>
      </c>
      <c r="AF76" s="217">
        <f t="shared" si="25"/>
        <v>0.12215290126191869</v>
      </c>
      <c r="AG76" s="217">
        <f t="shared" si="25"/>
        <v>0.10531742483359952</v>
      </c>
      <c r="AH76" s="217">
        <f t="shared" si="22"/>
        <v>0.2</v>
      </c>
      <c r="AI76" s="170"/>
      <c r="AJ76" s="224">
        <f t="shared" si="28"/>
        <v>73</v>
      </c>
      <c r="AK76" s="217">
        <v>0.22</v>
      </c>
      <c r="AL76" s="217">
        <f t="shared" si="29"/>
        <v>0.16226805085936236</v>
      </c>
      <c r="AM76" s="217">
        <f t="shared" si="29"/>
        <v>0.13408464177211044</v>
      </c>
      <c r="AN76" s="217">
        <f t="shared" si="29"/>
        <v>0.11554878442527183</v>
      </c>
      <c r="AO76" s="217">
        <f t="shared" si="23"/>
        <v>0.22</v>
      </c>
      <c r="AP76" s="172"/>
      <c r="AQ76" s="173"/>
      <c r="AR76" s="173"/>
      <c r="AS76" s="173"/>
      <c r="AT76" s="173"/>
      <c r="AU76" s="173"/>
      <c r="AV76" s="172"/>
      <c r="AW76" s="174"/>
      <c r="AX76" s="174"/>
      <c r="AY76" s="174"/>
      <c r="AZ76" s="174"/>
      <c r="BA76" s="174"/>
      <c r="BB76" s="174"/>
      <c r="BC76" s="257"/>
      <c r="BD76" s="174"/>
      <c r="BE76" s="174"/>
      <c r="BF76" s="174"/>
      <c r="BG76" s="315">
        <v>73</v>
      </c>
      <c r="BH76" s="315">
        <v>1200000000</v>
      </c>
      <c r="BJ76" s="315">
        <v>73</v>
      </c>
      <c r="BK76" s="315">
        <v>350000000</v>
      </c>
    </row>
    <row r="77" spans="1:63" ht="33" customHeight="1">
      <c r="A77" s="166"/>
      <c r="B77" s="166"/>
      <c r="C77" s="166"/>
      <c r="D77" s="166"/>
      <c r="E77" s="166"/>
      <c r="F77" s="166"/>
      <c r="G77" s="166"/>
      <c r="H77" s="167"/>
      <c r="I77" s="168"/>
      <c r="J77" s="168"/>
      <c r="K77" s="168"/>
      <c r="L77" s="168"/>
      <c r="M77" s="168"/>
      <c r="N77" s="168"/>
      <c r="O77" s="172"/>
      <c r="P77" s="170"/>
      <c r="Q77" s="170"/>
      <c r="R77" s="170"/>
      <c r="S77" s="170"/>
      <c r="T77" s="224">
        <f t="shared" si="26"/>
        <v>74</v>
      </c>
      <c r="U77" s="224">
        <f t="shared" si="12"/>
        <v>0.15</v>
      </c>
      <c r="V77" s="217">
        <f t="shared" si="24"/>
        <v>0.11119026473817994</v>
      </c>
      <c r="W77" s="217">
        <f t="shared" si="24"/>
        <v>9.2112731007184756E-2</v>
      </c>
      <c r="X77" s="217">
        <f t="shared" si="24"/>
        <v>7.9515676296965099E-2</v>
      </c>
      <c r="Y77" s="217">
        <f t="shared" si="21"/>
        <v>0.15</v>
      </c>
      <c r="Z77" s="170"/>
      <c r="AA77" s="217">
        <f>'Mortality Table'!$H$4</f>
        <v>0.1</v>
      </c>
      <c r="AB77" s="170"/>
      <c r="AC77" s="224">
        <f t="shared" si="27"/>
        <v>74</v>
      </c>
      <c r="AD77" s="224">
        <v>0.2</v>
      </c>
      <c r="AE77" s="217">
        <f t="shared" si="25"/>
        <v>0.14772255750516639</v>
      </c>
      <c r="AF77" s="217">
        <f t="shared" si="25"/>
        <v>0.12215290126191869</v>
      </c>
      <c r="AG77" s="217">
        <f t="shared" si="25"/>
        <v>0.10531742483359952</v>
      </c>
      <c r="AH77" s="217">
        <f t="shared" si="22"/>
        <v>0.2</v>
      </c>
      <c r="AI77" s="170"/>
      <c r="AJ77" s="224">
        <f t="shared" si="28"/>
        <v>74</v>
      </c>
      <c r="AK77" s="217">
        <v>0.22</v>
      </c>
      <c r="AL77" s="217">
        <f t="shared" si="29"/>
        <v>0.16226805085936236</v>
      </c>
      <c r="AM77" s="217">
        <f t="shared" si="29"/>
        <v>0.13408464177211044</v>
      </c>
      <c r="AN77" s="217">
        <f t="shared" si="29"/>
        <v>0.11554878442527183</v>
      </c>
      <c r="AO77" s="217">
        <f t="shared" si="23"/>
        <v>0.22</v>
      </c>
      <c r="AP77" s="172"/>
      <c r="AQ77" s="173"/>
      <c r="AR77" s="173"/>
      <c r="AS77" s="173"/>
      <c r="AT77" s="173"/>
      <c r="AU77" s="173"/>
      <c r="AV77" s="172"/>
      <c r="AW77" s="174"/>
      <c r="AX77" s="174"/>
      <c r="AY77" s="174"/>
      <c r="AZ77" s="174"/>
      <c r="BA77" s="174"/>
      <c r="BB77" s="174"/>
      <c r="BC77" s="257"/>
      <c r="BD77" s="174"/>
      <c r="BE77" s="174"/>
      <c r="BF77" s="174"/>
      <c r="BG77" s="315">
        <v>74</v>
      </c>
      <c r="BH77" s="315">
        <v>1000000000</v>
      </c>
      <c r="BJ77" s="315">
        <v>74</v>
      </c>
      <c r="BK77" s="315">
        <v>300000000</v>
      </c>
    </row>
    <row r="78" spans="1:63" ht="33" customHeight="1">
      <c r="A78" s="166"/>
      <c r="B78" s="166"/>
      <c r="C78" s="166"/>
      <c r="D78" s="166"/>
      <c r="E78" s="166"/>
      <c r="F78" s="166"/>
      <c r="G78" s="166"/>
      <c r="H78" s="167"/>
      <c r="I78" s="168"/>
      <c r="J78" s="168"/>
      <c r="K78" s="168"/>
      <c r="L78" s="168"/>
      <c r="M78" s="168"/>
      <c r="N78" s="168"/>
      <c r="O78" s="172"/>
      <c r="P78" s="170"/>
      <c r="Q78" s="170"/>
      <c r="R78" s="170"/>
      <c r="S78" s="170"/>
      <c r="T78" s="224">
        <f t="shared" si="26"/>
        <v>75</v>
      </c>
      <c r="U78" s="224">
        <f t="shared" si="12"/>
        <v>0.15</v>
      </c>
      <c r="V78" s="217">
        <f t="shared" si="24"/>
        <v>0.11119026473817994</v>
      </c>
      <c r="W78" s="217">
        <f t="shared" si="24"/>
        <v>9.2112731007184756E-2</v>
      </c>
      <c r="X78" s="217">
        <f t="shared" si="24"/>
        <v>7.9515676296965099E-2</v>
      </c>
      <c r="Y78" s="217">
        <f t="shared" si="21"/>
        <v>0.15</v>
      </c>
      <c r="Z78" s="170"/>
      <c r="AA78" s="217">
        <f>'Mortality Table'!$H$4</f>
        <v>0.1</v>
      </c>
      <c r="AB78" s="170"/>
      <c r="AC78" s="224">
        <f t="shared" si="27"/>
        <v>75</v>
      </c>
      <c r="AD78" s="224">
        <v>0.2</v>
      </c>
      <c r="AE78" s="217">
        <f t="shared" si="25"/>
        <v>0.14772255750516639</v>
      </c>
      <c r="AF78" s="217">
        <f t="shared" si="25"/>
        <v>0.12215290126191869</v>
      </c>
      <c r="AG78" s="217">
        <f t="shared" si="25"/>
        <v>0.10531742483359952</v>
      </c>
      <c r="AH78" s="217">
        <f t="shared" si="22"/>
        <v>0.2</v>
      </c>
      <c r="AI78" s="170"/>
      <c r="AJ78" s="224">
        <f t="shared" si="28"/>
        <v>75</v>
      </c>
      <c r="AK78" s="217">
        <v>0.22</v>
      </c>
      <c r="AL78" s="217">
        <f t="shared" si="29"/>
        <v>0.16226805085936236</v>
      </c>
      <c r="AM78" s="217">
        <f t="shared" si="29"/>
        <v>0.13408464177211044</v>
      </c>
      <c r="AN78" s="217">
        <f t="shared" si="29"/>
        <v>0.11554878442527183</v>
      </c>
      <c r="AO78" s="217">
        <f t="shared" si="23"/>
        <v>0.22</v>
      </c>
      <c r="AP78" s="172"/>
      <c r="AQ78" s="173"/>
      <c r="AR78" s="173"/>
      <c r="AS78" s="173"/>
      <c r="AT78" s="173"/>
      <c r="AU78" s="173"/>
      <c r="AV78" s="172"/>
      <c r="AW78" s="174"/>
      <c r="AX78" s="174"/>
      <c r="AY78" s="174"/>
      <c r="AZ78" s="174"/>
      <c r="BA78" s="174"/>
      <c r="BB78" s="174"/>
      <c r="BC78" s="257"/>
      <c r="BD78" s="174"/>
      <c r="BE78" s="174"/>
      <c r="BF78" s="174"/>
      <c r="BG78" s="315">
        <v>75</v>
      </c>
      <c r="BH78" s="315">
        <v>800000000</v>
      </c>
      <c r="BJ78" s="315">
        <v>75</v>
      </c>
      <c r="BK78" s="315">
        <v>250000000</v>
      </c>
    </row>
    <row r="79" spans="1:63" ht="33" customHeight="1">
      <c r="A79" s="166"/>
      <c r="B79" s="166"/>
      <c r="C79" s="166"/>
      <c r="D79" s="166"/>
      <c r="E79" s="166"/>
      <c r="F79" s="166"/>
      <c r="G79" s="166"/>
      <c r="H79" s="167"/>
      <c r="I79" s="168"/>
      <c r="J79" s="168"/>
      <c r="K79" s="168"/>
      <c r="L79" s="168"/>
      <c r="M79" s="168"/>
      <c r="N79" s="168"/>
      <c r="O79" s="172"/>
      <c r="P79" s="170"/>
      <c r="Q79" s="170"/>
      <c r="R79" s="170"/>
      <c r="S79" s="170"/>
      <c r="T79" s="224">
        <f t="shared" si="26"/>
        <v>76</v>
      </c>
      <c r="U79" s="224">
        <f t="shared" ref="U79:U109" si="30">$R$4</f>
        <v>0.15</v>
      </c>
      <c r="V79" s="217">
        <f t="shared" si="24"/>
        <v>0.11119026473817994</v>
      </c>
      <c r="W79" s="217">
        <f t="shared" si="24"/>
        <v>9.2112731007184756E-2</v>
      </c>
      <c r="X79" s="217">
        <f t="shared" si="24"/>
        <v>7.9515676296965099E-2</v>
      </c>
      <c r="Y79" s="217">
        <f t="shared" si="21"/>
        <v>0.15</v>
      </c>
      <c r="Z79" s="170"/>
      <c r="AA79" s="217">
        <f>'Mortality Table'!$H$4</f>
        <v>0.1</v>
      </c>
      <c r="AB79" s="170"/>
      <c r="AC79" s="224">
        <f t="shared" si="27"/>
        <v>76</v>
      </c>
      <c r="AD79" s="224">
        <v>0.2</v>
      </c>
      <c r="AE79" s="217">
        <f t="shared" si="25"/>
        <v>0.14772255750516639</v>
      </c>
      <c r="AF79" s="217">
        <f t="shared" si="25"/>
        <v>0.12215290126191869</v>
      </c>
      <c r="AG79" s="217">
        <f t="shared" si="25"/>
        <v>0.10531742483359952</v>
      </c>
      <c r="AH79" s="217">
        <f t="shared" si="22"/>
        <v>0.2</v>
      </c>
      <c r="AI79" s="170"/>
      <c r="AJ79" s="224">
        <f t="shared" si="28"/>
        <v>76</v>
      </c>
      <c r="AK79" s="217">
        <v>0.22</v>
      </c>
      <c r="AL79" s="217">
        <f t="shared" si="29"/>
        <v>0.16226805085936236</v>
      </c>
      <c r="AM79" s="217">
        <f t="shared" si="29"/>
        <v>0.13408464177211044</v>
      </c>
      <c r="AN79" s="217">
        <f t="shared" si="29"/>
        <v>0.11554878442527183</v>
      </c>
      <c r="AO79" s="217">
        <f t="shared" si="23"/>
        <v>0.22</v>
      </c>
      <c r="AP79" s="172"/>
      <c r="AQ79" s="173"/>
      <c r="AR79" s="173"/>
      <c r="AS79" s="173"/>
      <c r="AT79" s="173"/>
      <c r="AU79" s="173"/>
      <c r="AV79" s="172"/>
      <c r="AW79" s="174"/>
      <c r="AX79" s="174"/>
      <c r="AY79" s="174"/>
      <c r="AZ79" s="174"/>
      <c r="BA79" s="174"/>
      <c r="BB79" s="174"/>
      <c r="BC79" s="257"/>
      <c r="BD79" s="174"/>
      <c r="BE79" s="174"/>
      <c r="BF79" s="174"/>
      <c r="BG79" s="315">
        <v>76</v>
      </c>
      <c r="BH79" s="315">
        <v>600000000</v>
      </c>
      <c r="BJ79" s="315">
        <v>76</v>
      </c>
      <c r="BK79" s="315">
        <v>200000000</v>
      </c>
    </row>
    <row r="80" spans="1:63" ht="33" customHeight="1">
      <c r="A80" s="166"/>
      <c r="B80" s="166"/>
      <c r="C80" s="166"/>
      <c r="D80" s="166"/>
      <c r="E80" s="166"/>
      <c r="F80" s="166"/>
      <c r="G80" s="166"/>
      <c r="H80" s="167"/>
      <c r="I80" s="168"/>
      <c r="J80" s="168"/>
      <c r="K80" s="168"/>
      <c r="L80" s="168"/>
      <c r="M80" s="168"/>
      <c r="N80" s="168"/>
      <c r="O80" s="172"/>
      <c r="P80" s="170"/>
      <c r="Q80" s="170"/>
      <c r="R80" s="170"/>
      <c r="S80" s="170"/>
      <c r="T80" s="224">
        <f t="shared" si="26"/>
        <v>77</v>
      </c>
      <c r="U80" s="224">
        <f t="shared" si="30"/>
        <v>0.15</v>
      </c>
      <c r="V80" s="217">
        <f t="shared" si="24"/>
        <v>0.11119026473817994</v>
      </c>
      <c r="W80" s="217">
        <f t="shared" si="24"/>
        <v>9.2112731007184756E-2</v>
      </c>
      <c r="X80" s="217">
        <f t="shared" si="24"/>
        <v>7.9515676296965099E-2</v>
      </c>
      <c r="Y80" s="217">
        <f t="shared" si="21"/>
        <v>0.15</v>
      </c>
      <c r="Z80" s="170"/>
      <c r="AA80" s="217">
        <f>'Mortality Table'!$H$4</f>
        <v>0.1</v>
      </c>
      <c r="AB80" s="170"/>
      <c r="AC80" s="224">
        <f t="shared" si="27"/>
        <v>77</v>
      </c>
      <c r="AD80" s="224">
        <v>0.2</v>
      </c>
      <c r="AE80" s="217">
        <f t="shared" si="25"/>
        <v>0.14772255750516639</v>
      </c>
      <c r="AF80" s="217">
        <f t="shared" si="25"/>
        <v>0.12215290126191869</v>
      </c>
      <c r="AG80" s="217">
        <f t="shared" si="25"/>
        <v>0.10531742483359952</v>
      </c>
      <c r="AH80" s="217">
        <f t="shared" si="22"/>
        <v>0.2</v>
      </c>
      <c r="AI80" s="170"/>
      <c r="AJ80" s="224">
        <f t="shared" si="28"/>
        <v>77</v>
      </c>
      <c r="AK80" s="217">
        <v>0.22</v>
      </c>
      <c r="AL80" s="217">
        <f t="shared" si="29"/>
        <v>0.16226805085936236</v>
      </c>
      <c r="AM80" s="217">
        <f t="shared" si="29"/>
        <v>0.13408464177211044</v>
      </c>
      <c r="AN80" s="217">
        <f t="shared" si="29"/>
        <v>0.11554878442527183</v>
      </c>
      <c r="AO80" s="217">
        <f t="shared" si="23"/>
        <v>0.22</v>
      </c>
      <c r="AP80" s="172"/>
      <c r="AQ80" s="173"/>
      <c r="AR80" s="173"/>
      <c r="AS80" s="173"/>
      <c r="AT80" s="173"/>
      <c r="AU80" s="173"/>
      <c r="AV80" s="172"/>
      <c r="AW80" s="174"/>
      <c r="AX80" s="174"/>
      <c r="AY80" s="174"/>
      <c r="AZ80" s="174"/>
      <c r="BA80" s="174"/>
      <c r="BB80" s="174"/>
      <c r="BC80" s="257"/>
      <c r="BD80" s="174"/>
      <c r="BE80" s="174"/>
      <c r="BF80" s="174"/>
      <c r="BG80" s="315">
        <v>77</v>
      </c>
      <c r="BH80" s="315">
        <v>400000000</v>
      </c>
      <c r="BJ80" s="315">
        <v>77</v>
      </c>
      <c r="BK80" s="315">
        <v>150000000</v>
      </c>
    </row>
    <row r="81" spans="1:63" ht="33" customHeight="1">
      <c r="A81" s="166"/>
      <c r="B81" s="166"/>
      <c r="C81" s="166"/>
      <c r="D81" s="166"/>
      <c r="E81" s="166"/>
      <c r="F81" s="166"/>
      <c r="G81" s="166"/>
      <c r="H81" s="167"/>
      <c r="I81" s="168"/>
      <c r="J81" s="168"/>
      <c r="K81" s="168"/>
      <c r="L81" s="168"/>
      <c r="M81" s="168"/>
      <c r="N81" s="168"/>
      <c r="O81" s="172"/>
      <c r="P81" s="170"/>
      <c r="Q81" s="170"/>
      <c r="R81" s="170"/>
      <c r="S81" s="170"/>
      <c r="T81" s="224">
        <f t="shared" si="26"/>
        <v>78</v>
      </c>
      <c r="U81" s="224">
        <f t="shared" si="30"/>
        <v>0.15</v>
      </c>
      <c r="V81" s="217">
        <f t="shared" si="24"/>
        <v>0.11119026473817994</v>
      </c>
      <c r="W81" s="217">
        <f t="shared" si="24"/>
        <v>9.2112731007184756E-2</v>
      </c>
      <c r="X81" s="217">
        <f t="shared" si="24"/>
        <v>7.9515676296965099E-2</v>
      </c>
      <c r="Y81" s="217">
        <f t="shared" si="21"/>
        <v>0.15</v>
      </c>
      <c r="Z81" s="170"/>
      <c r="AA81" s="217">
        <f>'Mortality Table'!$H$4</f>
        <v>0.1</v>
      </c>
      <c r="AB81" s="170"/>
      <c r="AC81" s="224">
        <f t="shared" si="27"/>
        <v>78</v>
      </c>
      <c r="AD81" s="224">
        <v>0.2</v>
      </c>
      <c r="AE81" s="217">
        <f t="shared" si="25"/>
        <v>0.14772255750516639</v>
      </c>
      <c r="AF81" s="217">
        <f t="shared" si="25"/>
        <v>0.12215290126191869</v>
      </c>
      <c r="AG81" s="217">
        <f t="shared" si="25"/>
        <v>0.10531742483359952</v>
      </c>
      <c r="AH81" s="217">
        <f t="shared" si="22"/>
        <v>0.2</v>
      </c>
      <c r="AI81" s="170"/>
      <c r="AJ81" s="224">
        <f t="shared" si="28"/>
        <v>78</v>
      </c>
      <c r="AK81" s="217">
        <v>0.22</v>
      </c>
      <c r="AL81" s="217">
        <f t="shared" si="29"/>
        <v>0.16226805085936236</v>
      </c>
      <c r="AM81" s="217">
        <f t="shared" si="29"/>
        <v>0.13408464177211044</v>
      </c>
      <c r="AN81" s="217">
        <f t="shared" si="29"/>
        <v>0.11554878442527183</v>
      </c>
      <c r="AO81" s="217">
        <f t="shared" si="23"/>
        <v>0.22</v>
      </c>
      <c r="AP81" s="172"/>
      <c r="AQ81" s="173"/>
      <c r="AR81" s="173"/>
      <c r="AS81" s="173"/>
      <c r="AT81" s="173"/>
      <c r="AU81" s="173"/>
      <c r="AV81" s="172"/>
      <c r="AW81" s="174"/>
      <c r="AX81" s="174"/>
      <c r="AY81" s="174"/>
      <c r="AZ81" s="174"/>
      <c r="BA81" s="174"/>
      <c r="BB81" s="174"/>
      <c r="BC81" s="257"/>
      <c r="BD81" s="174"/>
      <c r="BE81" s="174"/>
      <c r="BF81" s="174"/>
      <c r="BG81" s="315">
        <v>78</v>
      </c>
      <c r="BH81" s="315">
        <v>200000000</v>
      </c>
      <c r="BJ81" s="315">
        <v>78</v>
      </c>
      <c r="BK81" s="315">
        <v>100000000</v>
      </c>
    </row>
    <row r="82" spans="1:63" ht="33" customHeight="1">
      <c r="A82" s="166"/>
      <c r="B82" s="166"/>
      <c r="C82" s="166"/>
      <c r="D82" s="166"/>
      <c r="E82" s="166"/>
      <c r="F82" s="166"/>
      <c r="G82" s="166"/>
      <c r="H82" s="167"/>
      <c r="I82" s="168"/>
      <c r="J82" s="168"/>
      <c r="K82" s="168"/>
      <c r="L82" s="168"/>
      <c r="M82" s="168"/>
      <c r="N82" s="168"/>
      <c r="O82" s="172"/>
      <c r="P82" s="170"/>
      <c r="Q82" s="170"/>
      <c r="R82" s="170"/>
      <c r="S82" s="170"/>
      <c r="T82" s="224">
        <f t="shared" si="26"/>
        <v>79</v>
      </c>
      <c r="U82" s="224">
        <f t="shared" si="30"/>
        <v>0.15</v>
      </c>
      <c r="V82" s="217">
        <f t="shared" si="24"/>
        <v>0.11119026473817994</v>
      </c>
      <c r="W82" s="217">
        <f t="shared" si="24"/>
        <v>9.2112731007184756E-2</v>
      </c>
      <c r="X82" s="217">
        <f t="shared" si="24"/>
        <v>7.9515676296965099E-2</v>
      </c>
      <c r="Y82" s="217">
        <f t="shared" si="21"/>
        <v>0.15</v>
      </c>
      <c r="Z82" s="170"/>
      <c r="AA82" s="217">
        <f>'Mortality Table'!$H$4</f>
        <v>0.1</v>
      </c>
      <c r="AB82" s="170"/>
      <c r="AC82" s="224">
        <f t="shared" si="27"/>
        <v>79</v>
      </c>
      <c r="AD82" s="224">
        <v>0.2</v>
      </c>
      <c r="AE82" s="217">
        <f t="shared" si="25"/>
        <v>0.14772255750516639</v>
      </c>
      <c r="AF82" s="217">
        <f t="shared" si="25"/>
        <v>0.12215290126191869</v>
      </c>
      <c r="AG82" s="217">
        <f t="shared" si="25"/>
        <v>0.10531742483359952</v>
      </c>
      <c r="AH82" s="217">
        <f t="shared" si="22"/>
        <v>0.2</v>
      </c>
      <c r="AI82" s="170"/>
      <c r="AJ82" s="224">
        <f t="shared" si="28"/>
        <v>79</v>
      </c>
      <c r="AK82" s="217">
        <v>0.22</v>
      </c>
      <c r="AL82" s="217">
        <f t="shared" si="29"/>
        <v>0.16226805085936236</v>
      </c>
      <c r="AM82" s="217">
        <f t="shared" si="29"/>
        <v>0.13408464177211044</v>
      </c>
      <c r="AN82" s="217">
        <f t="shared" si="29"/>
        <v>0.11554878442527183</v>
      </c>
      <c r="AO82" s="217">
        <f t="shared" si="23"/>
        <v>0.22</v>
      </c>
      <c r="AP82" s="172"/>
      <c r="AQ82" s="173"/>
      <c r="AR82" s="173"/>
      <c r="AS82" s="173"/>
      <c r="AT82" s="173"/>
      <c r="AU82" s="173"/>
      <c r="AV82" s="172"/>
      <c r="AW82" s="174"/>
      <c r="AX82" s="174"/>
      <c r="AY82" s="174"/>
      <c r="AZ82" s="174"/>
      <c r="BA82" s="174"/>
      <c r="BB82" s="174"/>
      <c r="BC82" s="257"/>
      <c r="BD82" s="174"/>
      <c r="BE82" s="174"/>
      <c r="BF82" s="174"/>
      <c r="BG82" s="315">
        <v>79</v>
      </c>
      <c r="BH82" s="315">
        <v>100000000</v>
      </c>
      <c r="BJ82" s="315">
        <v>79</v>
      </c>
      <c r="BK82" s="315">
        <v>50000000</v>
      </c>
    </row>
    <row r="83" spans="1:63" ht="33" customHeight="1">
      <c r="A83" s="166"/>
      <c r="B83" s="166"/>
      <c r="C83" s="166"/>
      <c r="D83" s="166"/>
      <c r="E83" s="166"/>
      <c r="F83" s="166"/>
      <c r="G83" s="166"/>
      <c r="H83" s="167"/>
      <c r="I83" s="168"/>
      <c r="J83" s="168"/>
      <c r="K83" s="168"/>
      <c r="L83" s="168"/>
      <c r="M83" s="168"/>
      <c r="N83" s="168"/>
      <c r="O83" s="172"/>
      <c r="P83" s="170"/>
      <c r="Q83" s="170"/>
      <c r="R83" s="170"/>
      <c r="S83" s="170"/>
      <c r="T83" s="224">
        <f t="shared" si="26"/>
        <v>80</v>
      </c>
      <c r="U83" s="224">
        <f t="shared" si="30"/>
        <v>0.15</v>
      </c>
      <c r="V83" s="217">
        <f t="shared" si="24"/>
        <v>0.11119026473817994</v>
      </c>
      <c r="W83" s="217">
        <f t="shared" si="24"/>
        <v>9.2112731007184756E-2</v>
      </c>
      <c r="X83" s="217">
        <f t="shared" si="24"/>
        <v>7.9515676296965099E-2</v>
      </c>
      <c r="Y83" s="217">
        <f t="shared" si="21"/>
        <v>0.15</v>
      </c>
      <c r="Z83" s="170"/>
      <c r="AA83" s="217">
        <f>'Mortality Table'!$H$4</f>
        <v>0.1</v>
      </c>
      <c r="AB83" s="170"/>
      <c r="AC83" s="224">
        <f t="shared" si="27"/>
        <v>80</v>
      </c>
      <c r="AD83" s="224">
        <v>0.2</v>
      </c>
      <c r="AE83" s="217">
        <f t="shared" si="25"/>
        <v>0.14772255750516639</v>
      </c>
      <c r="AF83" s="217">
        <f t="shared" si="25"/>
        <v>0.12215290126191869</v>
      </c>
      <c r="AG83" s="217">
        <f t="shared" si="25"/>
        <v>0.10531742483359952</v>
      </c>
      <c r="AH83" s="217">
        <f t="shared" si="22"/>
        <v>0.2</v>
      </c>
      <c r="AI83" s="170"/>
      <c r="AJ83" s="224">
        <f t="shared" si="28"/>
        <v>80</v>
      </c>
      <c r="AK83" s="217">
        <v>0.22</v>
      </c>
      <c r="AL83" s="217">
        <f t="shared" si="29"/>
        <v>0.16226805085936236</v>
      </c>
      <c r="AM83" s="217">
        <f t="shared" si="29"/>
        <v>0.13408464177211044</v>
      </c>
      <c r="AN83" s="217">
        <f t="shared" si="29"/>
        <v>0.11554878442527183</v>
      </c>
      <c r="AO83" s="217">
        <f t="shared" si="23"/>
        <v>0.22</v>
      </c>
      <c r="AP83" s="172"/>
      <c r="AQ83" s="173"/>
      <c r="AR83" s="173"/>
      <c r="AS83" s="173"/>
      <c r="AT83" s="173"/>
      <c r="AU83" s="173"/>
      <c r="AV83" s="172"/>
      <c r="AW83" s="174"/>
      <c r="AX83" s="174"/>
      <c r="AY83" s="174"/>
      <c r="AZ83" s="174"/>
      <c r="BA83" s="174"/>
      <c r="BB83" s="174"/>
      <c r="BC83" s="257"/>
      <c r="BD83" s="174"/>
      <c r="BE83" s="174"/>
      <c r="BF83" s="174"/>
      <c r="BG83" s="315">
        <v>80</v>
      </c>
      <c r="BH83" s="315">
        <v>100000000</v>
      </c>
      <c r="BJ83" s="315">
        <v>80</v>
      </c>
      <c r="BK83" s="315">
        <v>50000000</v>
      </c>
    </row>
    <row r="84" spans="1:63" ht="33" customHeight="1">
      <c r="A84" s="166"/>
      <c r="B84" s="166"/>
      <c r="C84" s="166"/>
      <c r="D84" s="166"/>
      <c r="E84" s="166"/>
      <c r="F84" s="166"/>
      <c r="G84" s="166"/>
      <c r="H84" s="167"/>
      <c r="I84" s="168"/>
      <c r="J84" s="168"/>
      <c r="K84" s="168"/>
      <c r="L84" s="168"/>
      <c r="M84" s="168"/>
      <c r="N84" s="168"/>
      <c r="O84" s="172"/>
      <c r="P84" s="170"/>
      <c r="Q84" s="170"/>
      <c r="R84" s="170"/>
      <c r="S84" s="170"/>
      <c r="T84" s="224">
        <f t="shared" si="26"/>
        <v>81</v>
      </c>
      <c r="U84" s="224">
        <f t="shared" si="30"/>
        <v>0.15</v>
      </c>
      <c r="V84" s="217">
        <f t="shared" si="24"/>
        <v>0.11119026473817994</v>
      </c>
      <c r="W84" s="217">
        <f t="shared" si="24"/>
        <v>9.2112731007184756E-2</v>
      </c>
      <c r="X84" s="217">
        <f t="shared" si="24"/>
        <v>7.9515676296965099E-2</v>
      </c>
      <c r="Y84" s="217">
        <f t="shared" si="21"/>
        <v>0.15</v>
      </c>
      <c r="Z84" s="170"/>
      <c r="AA84" s="217">
        <f>'Mortality Table'!$H$4</f>
        <v>0.1</v>
      </c>
      <c r="AB84" s="170"/>
      <c r="AC84" s="224">
        <f t="shared" si="27"/>
        <v>81</v>
      </c>
      <c r="AD84" s="224">
        <v>0.2</v>
      </c>
      <c r="AE84" s="217">
        <f t="shared" si="25"/>
        <v>0.14772255750516639</v>
      </c>
      <c r="AF84" s="217">
        <f t="shared" si="25"/>
        <v>0.12215290126191869</v>
      </c>
      <c r="AG84" s="217">
        <f t="shared" si="25"/>
        <v>0.10531742483359952</v>
      </c>
      <c r="AH84" s="217">
        <f t="shared" si="22"/>
        <v>0.2</v>
      </c>
      <c r="AI84" s="170"/>
      <c r="AJ84" s="224">
        <f t="shared" si="28"/>
        <v>81</v>
      </c>
      <c r="AK84" s="217">
        <v>0.22</v>
      </c>
      <c r="AL84" s="217">
        <f t="shared" si="29"/>
        <v>0.16226805085936236</v>
      </c>
      <c r="AM84" s="217">
        <f t="shared" si="29"/>
        <v>0.13408464177211044</v>
      </c>
      <c r="AN84" s="217">
        <f t="shared" si="29"/>
        <v>0.11554878442527183</v>
      </c>
      <c r="AO84" s="217">
        <f t="shared" si="23"/>
        <v>0.22</v>
      </c>
      <c r="AP84" s="172"/>
      <c r="AQ84" s="173"/>
      <c r="AR84" s="173"/>
      <c r="AS84" s="173"/>
      <c r="AT84" s="173"/>
      <c r="AU84" s="173"/>
      <c r="AV84" s="172"/>
      <c r="AW84" s="174"/>
      <c r="AX84" s="174"/>
      <c r="AY84" s="174"/>
      <c r="AZ84" s="174"/>
      <c r="BA84" s="174"/>
      <c r="BB84" s="174"/>
      <c r="BC84" s="257"/>
      <c r="BD84" s="174"/>
      <c r="BE84" s="174"/>
      <c r="BF84" s="174"/>
      <c r="BG84" s="315">
        <v>81</v>
      </c>
      <c r="BH84" s="315">
        <v>100000000</v>
      </c>
      <c r="BJ84" s="315">
        <v>81</v>
      </c>
      <c r="BK84" s="315">
        <v>50000000</v>
      </c>
    </row>
    <row r="85" spans="1:63" ht="33" customHeight="1">
      <c r="A85" s="166"/>
      <c r="B85" s="166"/>
      <c r="C85" s="166"/>
      <c r="D85" s="166"/>
      <c r="E85" s="166"/>
      <c r="F85" s="166"/>
      <c r="G85" s="166"/>
      <c r="H85" s="167"/>
      <c r="I85" s="168"/>
      <c r="J85" s="168"/>
      <c r="K85" s="168"/>
      <c r="L85" s="168"/>
      <c r="M85" s="168"/>
      <c r="N85" s="168"/>
      <c r="O85" s="172"/>
      <c r="P85" s="170"/>
      <c r="Q85" s="170"/>
      <c r="R85" s="170"/>
      <c r="S85" s="170"/>
      <c r="T85" s="224">
        <f t="shared" si="26"/>
        <v>82</v>
      </c>
      <c r="U85" s="224">
        <f t="shared" si="30"/>
        <v>0.15</v>
      </c>
      <c r="V85" s="217">
        <f t="shared" si="24"/>
        <v>0.11119026473817994</v>
      </c>
      <c r="W85" s="217">
        <f t="shared" si="24"/>
        <v>9.2112731007184756E-2</v>
      </c>
      <c r="X85" s="217">
        <f t="shared" si="24"/>
        <v>7.9515676296965099E-2</v>
      </c>
      <c r="Y85" s="217">
        <f t="shared" si="21"/>
        <v>0.15</v>
      </c>
      <c r="Z85" s="170"/>
      <c r="AA85" s="217">
        <f>'Mortality Table'!$H$4</f>
        <v>0.1</v>
      </c>
      <c r="AB85" s="170"/>
      <c r="AC85" s="224">
        <f t="shared" si="27"/>
        <v>82</v>
      </c>
      <c r="AD85" s="224">
        <v>0.2</v>
      </c>
      <c r="AE85" s="217">
        <f t="shared" si="25"/>
        <v>0.14772255750516639</v>
      </c>
      <c r="AF85" s="217">
        <f t="shared" si="25"/>
        <v>0.12215290126191869</v>
      </c>
      <c r="AG85" s="217">
        <f t="shared" si="25"/>
        <v>0.10531742483359952</v>
      </c>
      <c r="AH85" s="217">
        <f t="shared" si="22"/>
        <v>0.2</v>
      </c>
      <c r="AI85" s="170"/>
      <c r="AJ85" s="224">
        <f t="shared" si="28"/>
        <v>82</v>
      </c>
      <c r="AK85" s="217">
        <v>0.22</v>
      </c>
      <c r="AL85" s="217">
        <f t="shared" si="29"/>
        <v>0.16226805085936236</v>
      </c>
      <c r="AM85" s="217">
        <f t="shared" si="29"/>
        <v>0.13408464177211044</v>
      </c>
      <c r="AN85" s="217">
        <f t="shared" si="29"/>
        <v>0.11554878442527183</v>
      </c>
      <c r="AO85" s="217">
        <f t="shared" si="23"/>
        <v>0.22</v>
      </c>
      <c r="AP85" s="172"/>
      <c r="AQ85" s="173"/>
      <c r="AR85" s="173"/>
      <c r="AS85" s="173"/>
      <c r="AT85" s="173"/>
      <c r="AU85" s="173"/>
      <c r="AV85" s="172"/>
      <c r="AW85" s="174"/>
      <c r="AX85" s="174"/>
      <c r="AY85" s="174"/>
      <c r="AZ85" s="174"/>
      <c r="BA85" s="174"/>
      <c r="BB85" s="174"/>
      <c r="BC85" s="257"/>
      <c r="BD85" s="174"/>
      <c r="BE85" s="174"/>
      <c r="BF85" s="174"/>
      <c r="BG85" s="315">
        <v>82</v>
      </c>
      <c r="BH85" s="315">
        <v>100000000</v>
      </c>
      <c r="BJ85" s="315">
        <v>82</v>
      </c>
      <c r="BK85" s="315">
        <v>50000000</v>
      </c>
    </row>
    <row r="86" spans="1:63" ht="33" customHeight="1">
      <c r="A86" s="166"/>
      <c r="B86" s="166"/>
      <c r="C86" s="166"/>
      <c r="D86" s="166"/>
      <c r="E86" s="166"/>
      <c r="F86" s="166"/>
      <c r="G86" s="166"/>
      <c r="H86" s="167"/>
      <c r="I86" s="168"/>
      <c r="J86" s="168"/>
      <c r="K86" s="168"/>
      <c r="L86" s="168"/>
      <c r="M86" s="168"/>
      <c r="N86" s="168"/>
      <c r="O86" s="172"/>
      <c r="P86" s="170"/>
      <c r="Q86" s="170"/>
      <c r="R86" s="170"/>
      <c r="S86" s="170"/>
      <c r="T86" s="224">
        <f t="shared" si="26"/>
        <v>83</v>
      </c>
      <c r="U86" s="224">
        <f t="shared" si="30"/>
        <v>0.15</v>
      </c>
      <c r="V86" s="217">
        <f t="shared" si="24"/>
        <v>0.11119026473817994</v>
      </c>
      <c r="W86" s="217">
        <f t="shared" si="24"/>
        <v>9.2112731007184756E-2</v>
      </c>
      <c r="X86" s="217">
        <f t="shared" si="24"/>
        <v>7.9515676296965099E-2</v>
      </c>
      <c r="Y86" s="217">
        <f t="shared" si="21"/>
        <v>0.15</v>
      </c>
      <c r="Z86" s="170"/>
      <c r="AA86" s="217">
        <f>'Mortality Table'!$H$4</f>
        <v>0.1</v>
      </c>
      <c r="AB86" s="170"/>
      <c r="AC86" s="224">
        <f t="shared" si="27"/>
        <v>83</v>
      </c>
      <c r="AD86" s="224">
        <v>0.2</v>
      </c>
      <c r="AE86" s="217">
        <f t="shared" si="25"/>
        <v>0.14772255750516639</v>
      </c>
      <c r="AF86" s="217">
        <f t="shared" si="25"/>
        <v>0.12215290126191869</v>
      </c>
      <c r="AG86" s="217">
        <f t="shared" si="25"/>
        <v>0.10531742483359952</v>
      </c>
      <c r="AH86" s="217">
        <f t="shared" si="22"/>
        <v>0.2</v>
      </c>
      <c r="AI86" s="170"/>
      <c r="AJ86" s="224">
        <f t="shared" si="28"/>
        <v>83</v>
      </c>
      <c r="AK86" s="217">
        <v>0.22</v>
      </c>
      <c r="AL86" s="217">
        <f t="shared" si="29"/>
        <v>0.16226805085936236</v>
      </c>
      <c r="AM86" s="217">
        <f t="shared" si="29"/>
        <v>0.13408464177211044</v>
      </c>
      <c r="AN86" s="217">
        <f t="shared" si="29"/>
        <v>0.11554878442527183</v>
      </c>
      <c r="AO86" s="217">
        <f t="shared" si="23"/>
        <v>0.22</v>
      </c>
      <c r="AP86" s="172"/>
      <c r="AQ86" s="173"/>
      <c r="AR86" s="173"/>
      <c r="AS86" s="173"/>
      <c r="AT86" s="173"/>
      <c r="AU86" s="173"/>
      <c r="AV86" s="172"/>
      <c r="AW86" s="174"/>
      <c r="AX86" s="174"/>
      <c r="AY86" s="174"/>
      <c r="AZ86" s="174"/>
      <c r="BA86" s="174"/>
      <c r="BB86" s="174"/>
      <c r="BC86" s="257"/>
      <c r="BD86" s="174"/>
      <c r="BE86" s="174"/>
      <c r="BF86" s="174"/>
      <c r="BG86" s="315">
        <v>83</v>
      </c>
      <c r="BH86" s="315">
        <v>100000000</v>
      </c>
      <c r="BJ86" s="315">
        <v>83</v>
      </c>
      <c r="BK86" s="315">
        <v>50000000</v>
      </c>
    </row>
    <row r="87" spans="1:63" ht="33" customHeight="1">
      <c r="A87" s="166"/>
      <c r="B87" s="166"/>
      <c r="C87" s="166"/>
      <c r="D87" s="166"/>
      <c r="E87" s="166"/>
      <c r="F87" s="166"/>
      <c r="G87" s="166"/>
      <c r="H87" s="167"/>
      <c r="I87" s="168"/>
      <c r="J87" s="168"/>
      <c r="K87" s="168"/>
      <c r="L87" s="168"/>
      <c r="M87" s="168"/>
      <c r="N87" s="168"/>
      <c r="O87" s="172"/>
      <c r="P87" s="170"/>
      <c r="Q87" s="170"/>
      <c r="R87" s="170"/>
      <c r="S87" s="170"/>
      <c r="T87" s="224">
        <f t="shared" si="26"/>
        <v>84</v>
      </c>
      <c r="U87" s="224">
        <f t="shared" si="30"/>
        <v>0.15</v>
      </c>
      <c r="V87" s="217">
        <f t="shared" si="24"/>
        <v>0.11119026473817994</v>
      </c>
      <c r="W87" s="217">
        <f t="shared" si="24"/>
        <v>9.2112731007184756E-2</v>
      </c>
      <c r="X87" s="217">
        <f t="shared" si="24"/>
        <v>7.9515676296965099E-2</v>
      </c>
      <c r="Y87" s="217">
        <f t="shared" si="21"/>
        <v>0.15</v>
      </c>
      <c r="Z87" s="170"/>
      <c r="AA87" s="217">
        <f>'Mortality Table'!$H$4</f>
        <v>0.1</v>
      </c>
      <c r="AB87" s="170"/>
      <c r="AC87" s="224">
        <f t="shared" si="27"/>
        <v>84</v>
      </c>
      <c r="AD87" s="224">
        <v>0.2</v>
      </c>
      <c r="AE87" s="217">
        <f t="shared" si="25"/>
        <v>0.14772255750516639</v>
      </c>
      <c r="AF87" s="217">
        <f t="shared" si="25"/>
        <v>0.12215290126191869</v>
      </c>
      <c r="AG87" s="217">
        <f t="shared" si="25"/>
        <v>0.10531742483359952</v>
      </c>
      <c r="AH87" s="217">
        <f t="shared" si="22"/>
        <v>0.2</v>
      </c>
      <c r="AI87" s="170"/>
      <c r="AJ87" s="224">
        <f t="shared" si="28"/>
        <v>84</v>
      </c>
      <c r="AK87" s="217">
        <v>0.22</v>
      </c>
      <c r="AL87" s="217">
        <f t="shared" si="29"/>
        <v>0.16226805085936236</v>
      </c>
      <c r="AM87" s="217">
        <f t="shared" si="29"/>
        <v>0.13408464177211044</v>
      </c>
      <c r="AN87" s="217">
        <f t="shared" si="29"/>
        <v>0.11554878442527183</v>
      </c>
      <c r="AO87" s="217">
        <f t="shared" si="23"/>
        <v>0.22</v>
      </c>
      <c r="AP87" s="172"/>
      <c r="AQ87" s="173"/>
      <c r="AR87" s="173"/>
      <c r="AS87" s="173"/>
      <c r="AT87" s="173"/>
      <c r="AU87" s="173"/>
      <c r="AV87" s="172"/>
      <c r="AW87" s="174"/>
      <c r="AX87" s="174"/>
      <c r="AY87" s="174"/>
      <c r="AZ87" s="174"/>
      <c r="BA87" s="174"/>
      <c r="BB87" s="174"/>
      <c r="BC87" s="257"/>
      <c r="BD87" s="174"/>
      <c r="BE87" s="174"/>
      <c r="BF87" s="174"/>
      <c r="BG87" s="315">
        <v>84</v>
      </c>
      <c r="BH87" s="315">
        <v>100000000</v>
      </c>
      <c r="BJ87" s="315">
        <v>84</v>
      </c>
      <c r="BK87" s="315">
        <v>50000000</v>
      </c>
    </row>
    <row r="88" spans="1:63" ht="33" customHeight="1">
      <c r="A88" s="166"/>
      <c r="B88" s="166"/>
      <c r="C88" s="166"/>
      <c r="D88" s="166"/>
      <c r="E88" s="166"/>
      <c r="F88" s="166"/>
      <c r="G88" s="166"/>
      <c r="H88" s="167"/>
      <c r="I88" s="168"/>
      <c r="J88" s="168"/>
      <c r="K88" s="168"/>
      <c r="L88" s="168"/>
      <c r="M88" s="168"/>
      <c r="N88" s="168"/>
      <c r="O88" s="172"/>
      <c r="P88" s="170"/>
      <c r="Q88" s="170"/>
      <c r="R88" s="170"/>
      <c r="S88" s="170"/>
      <c r="T88" s="224">
        <f t="shared" si="26"/>
        <v>85</v>
      </c>
      <c r="U88" s="224">
        <f t="shared" si="30"/>
        <v>0.15</v>
      </c>
      <c r="V88" s="217">
        <f t="shared" si="24"/>
        <v>0.11119026473817994</v>
      </c>
      <c r="W88" s="217">
        <f t="shared" si="24"/>
        <v>9.2112731007184756E-2</v>
      </c>
      <c r="X88" s="217">
        <f t="shared" si="24"/>
        <v>7.9515676296965099E-2</v>
      </c>
      <c r="Y88" s="217">
        <f t="shared" si="21"/>
        <v>0.15</v>
      </c>
      <c r="Z88" s="170"/>
      <c r="AA88" s="217">
        <f>'Mortality Table'!$H$4</f>
        <v>0.1</v>
      </c>
      <c r="AB88" s="170"/>
      <c r="AC88" s="224">
        <f t="shared" si="27"/>
        <v>85</v>
      </c>
      <c r="AD88" s="224">
        <v>0.2</v>
      </c>
      <c r="AE88" s="217">
        <f t="shared" si="25"/>
        <v>0.14772255750516639</v>
      </c>
      <c r="AF88" s="217">
        <f t="shared" si="25"/>
        <v>0.12215290126191869</v>
      </c>
      <c r="AG88" s="217">
        <f t="shared" si="25"/>
        <v>0.10531742483359952</v>
      </c>
      <c r="AH88" s="217">
        <f t="shared" si="22"/>
        <v>0.2</v>
      </c>
      <c r="AI88" s="170"/>
      <c r="AJ88" s="224">
        <f t="shared" si="28"/>
        <v>85</v>
      </c>
      <c r="AK88" s="217">
        <v>0.22</v>
      </c>
      <c r="AL88" s="217">
        <f t="shared" si="29"/>
        <v>0.16226805085936236</v>
      </c>
      <c r="AM88" s="217">
        <f t="shared" si="29"/>
        <v>0.13408464177211044</v>
      </c>
      <c r="AN88" s="217">
        <f t="shared" si="29"/>
        <v>0.11554878442527183</v>
      </c>
      <c r="AO88" s="217">
        <f t="shared" si="23"/>
        <v>0.22</v>
      </c>
      <c r="AP88" s="172"/>
      <c r="AQ88" s="173"/>
      <c r="AR88" s="173"/>
      <c r="AS88" s="173"/>
      <c r="AT88" s="173"/>
      <c r="AU88" s="173"/>
      <c r="AV88" s="172"/>
      <c r="AW88" s="174"/>
      <c r="AX88" s="174"/>
      <c r="AY88" s="174"/>
      <c r="AZ88" s="174"/>
      <c r="BA88" s="174"/>
      <c r="BB88" s="174"/>
      <c r="BC88" s="257"/>
      <c r="BD88" s="174"/>
      <c r="BE88" s="174"/>
      <c r="BF88" s="174"/>
      <c r="BG88" s="315">
        <v>85</v>
      </c>
      <c r="BH88" s="315">
        <v>100000000</v>
      </c>
      <c r="BJ88" s="315">
        <v>85</v>
      </c>
      <c r="BK88" s="315">
        <v>50000000</v>
      </c>
    </row>
    <row r="89" spans="1:63" ht="33" customHeight="1">
      <c r="A89" s="166"/>
      <c r="B89" s="166"/>
      <c r="C89" s="166"/>
      <c r="D89" s="166"/>
      <c r="E89" s="166"/>
      <c r="F89" s="166"/>
      <c r="G89" s="166"/>
      <c r="H89" s="167"/>
      <c r="I89" s="168"/>
      <c r="J89" s="168"/>
      <c r="K89" s="168"/>
      <c r="L89" s="168"/>
      <c r="M89" s="168"/>
      <c r="N89" s="168"/>
      <c r="O89" s="172"/>
      <c r="P89" s="170"/>
      <c r="Q89" s="170"/>
      <c r="R89" s="170"/>
      <c r="S89" s="170"/>
      <c r="T89" s="224">
        <f t="shared" si="26"/>
        <v>86</v>
      </c>
      <c r="U89" s="224">
        <f t="shared" si="30"/>
        <v>0.15</v>
      </c>
      <c r="V89" s="217">
        <f t="shared" si="24"/>
        <v>0.11119026473817994</v>
      </c>
      <c r="W89" s="217">
        <f t="shared" si="24"/>
        <v>9.2112731007184756E-2</v>
      </c>
      <c r="X89" s="217">
        <f t="shared" si="24"/>
        <v>7.9515676296965099E-2</v>
      </c>
      <c r="Y89" s="217">
        <f t="shared" si="21"/>
        <v>0.15</v>
      </c>
      <c r="Z89" s="170"/>
      <c r="AA89" s="217">
        <f>'Mortality Table'!$H$4</f>
        <v>0.1</v>
      </c>
      <c r="AB89" s="170"/>
      <c r="AC89" s="224">
        <f t="shared" si="27"/>
        <v>86</v>
      </c>
      <c r="AD89" s="224">
        <v>0.2</v>
      </c>
      <c r="AE89" s="217">
        <f t="shared" si="25"/>
        <v>0.14772255750516639</v>
      </c>
      <c r="AF89" s="217">
        <f t="shared" si="25"/>
        <v>0.12215290126191869</v>
      </c>
      <c r="AG89" s="217">
        <f t="shared" si="25"/>
        <v>0.10531742483359952</v>
      </c>
      <c r="AH89" s="217">
        <f t="shared" si="22"/>
        <v>0.2</v>
      </c>
      <c r="AI89" s="170"/>
      <c r="AJ89" s="224">
        <f t="shared" si="28"/>
        <v>86</v>
      </c>
      <c r="AK89" s="217">
        <v>0.22</v>
      </c>
      <c r="AL89" s="217">
        <f t="shared" si="29"/>
        <v>0.16226805085936236</v>
      </c>
      <c r="AM89" s="217">
        <f t="shared" si="29"/>
        <v>0.13408464177211044</v>
      </c>
      <c r="AN89" s="217">
        <f t="shared" si="29"/>
        <v>0.11554878442527183</v>
      </c>
      <c r="AO89" s="217">
        <f t="shared" si="23"/>
        <v>0.22</v>
      </c>
      <c r="AP89" s="172"/>
      <c r="AQ89" s="173"/>
      <c r="AR89" s="173"/>
      <c r="AS89" s="173"/>
      <c r="AT89" s="173"/>
      <c r="AU89" s="173"/>
      <c r="AV89" s="172"/>
      <c r="AW89" s="174"/>
      <c r="AX89" s="174"/>
      <c r="AY89" s="174"/>
      <c r="AZ89" s="174"/>
      <c r="BA89" s="174"/>
      <c r="BB89" s="174"/>
      <c r="BC89" s="257"/>
      <c r="BD89" s="174"/>
      <c r="BE89" s="174"/>
      <c r="BF89" s="174"/>
      <c r="BG89" s="315">
        <v>86</v>
      </c>
      <c r="BH89" s="315">
        <v>100000000</v>
      </c>
      <c r="BJ89" s="315">
        <v>86</v>
      </c>
      <c r="BK89" s="315">
        <v>50000000</v>
      </c>
    </row>
    <row r="90" spans="1:63" ht="33" customHeight="1">
      <c r="A90" s="166"/>
      <c r="B90" s="166"/>
      <c r="C90" s="166"/>
      <c r="D90" s="166"/>
      <c r="E90" s="166"/>
      <c r="F90" s="166"/>
      <c r="G90" s="166"/>
      <c r="H90" s="167"/>
      <c r="I90" s="168"/>
      <c r="J90" s="168"/>
      <c r="K90" s="168"/>
      <c r="L90" s="168"/>
      <c r="M90" s="168"/>
      <c r="N90" s="168"/>
      <c r="O90" s="172"/>
      <c r="P90" s="170"/>
      <c r="Q90" s="170"/>
      <c r="R90" s="170"/>
      <c r="S90" s="170"/>
      <c r="T90" s="224">
        <f t="shared" si="26"/>
        <v>87</v>
      </c>
      <c r="U90" s="224">
        <f t="shared" si="30"/>
        <v>0.15</v>
      </c>
      <c r="V90" s="217">
        <f t="shared" si="24"/>
        <v>0.11119026473817994</v>
      </c>
      <c r="W90" s="217">
        <f t="shared" si="24"/>
        <v>9.2112731007184756E-2</v>
      </c>
      <c r="X90" s="217">
        <f t="shared" si="24"/>
        <v>7.9515676296965099E-2</v>
      </c>
      <c r="Y90" s="217">
        <f t="shared" si="21"/>
        <v>0.15</v>
      </c>
      <c r="Z90" s="170"/>
      <c r="AA90" s="217">
        <f>'Mortality Table'!$H$4</f>
        <v>0.1</v>
      </c>
      <c r="AB90" s="170"/>
      <c r="AC90" s="224">
        <f t="shared" si="27"/>
        <v>87</v>
      </c>
      <c r="AD90" s="224">
        <v>0.2</v>
      </c>
      <c r="AE90" s="217">
        <f t="shared" si="25"/>
        <v>0.14772255750516639</v>
      </c>
      <c r="AF90" s="217">
        <f t="shared" si="25"/>
        <v>0.12215290126191869</v>
      </c>
      <c r="AG90" s="217">
        <f t="shared" si="25"/>
        <v>0.10531742483359952</v>
      </c>
      <c r="AH90" s="217">
        <f t="shared" si="22"/>
        <v>0.2</v>
      </c>
      <c r="AI90" s="170"/>
      <c r="AJ90" s="224">
        <f t="shared" si="28"/>
        <v>87</v>
      </c>
      <c r="AK90" s="217">
        <v>0.22</v>
      </c>
      <c r="AL90" s="217">
        <f t="shared" si="29"/>
        <v>0.16226805085936236</v>
      </c>
      <c r="AM90" s="217">
        <f t="shared" si="29"/>
        <v>0.13408464177211044</v>
      </c>
      <c r="AN90" s="217">
        <f t="shared" si="29"/>
        <v>0.11554878442527183</v>
      </c>
      <c r="AO90" s="217">
        <f t="shared" si="23"/>
        <v>0.22</v>
      </c>
      <c r="AP90" s="172"/>
      <c r="AQ90" s="173"/>
      <c r="AR90" s="173"/>
      <c r="AS90" s="173"/>
      <c r="AT90" s="173"/>
      <c r="AU90" s="173"/>
      <c r="AV90" s="172"/>
      <c r="AW90" s="174"/>
      <c r="AX90" s="174"/>
      <c r="AY90" s="174"/>
      <c r="AZ90" s="174"/>
      <c r="BA90" s="174"/>
      <c r="BB90" s="174"/>
      <c r="BC90" s="257"/>
      <c r="BD90" s="174"/>
      <c r="BE90" s="174"/>
      <c r="BF90" s="174"/>
      <c r="BG90" s="315">
        <v>87</v>
      </c>
      <c r="BH90" s="315">
        <v>100000000</v>
      </c>
      <c r="BJ90" s="315">
        <v>87</v>
      </c>
      <c r="BK90" s="315">
        <v>50000000</v>
      </c>
    </row>
    <row r="91" spans="1:63" ht="33" customHeight="1">
      <c r="A91" s="166"/>
      <c r="B91" s="166"/>
      <c r="C91" s="166"/>
      <c r="D91" s="166"/>
      <c r="E91" s="166"/>
      <c r="F91" s="166"/>
      <c r="G91" s="166"/>
      <c r="H91" s="167"/>
      <c r="I91" s="168"/>
      <c r="J91" s="168"/>
      <c r="K91" s="168"/>
      <c r="L91" s="168"/>
      <c r="M91" s="168"/>
      <c r="N91" s="168"/>
      <c r="O91" s="172"/>
      <c r="P91" s="170"/>
      <c r="Q91" s="170"/>
      <c r="R91" s="170"/>
      <c r="S91" s="170"/>
      <c r="T91" s="224">
        <f t="shared" si="26"/>
        <v>88</v>
      </c>
      <c r="U91" s="224">
        <f t="shared" si="30"/>
        <v>0.15</v>
      </c>
      <c r="V91" s="217">
        <f t="shared" si="24"/>
        <v>0.11119026473817994</v>
      </c>
      <c r="W91" s="217">
        <f t="shared" si="24"/>
        <v>9.2112731007184756E-2</v>
      </c>
      <c r="X91" s="217">
        <f t="shared" si="24"/>
        <v>7.9515676296965099E-2</v>
      </c>
      <c r="Y91" s="217">
        <f t="shared" si="21"/>
        <v>0.15</v>
      </c>
      <c r="Z91" s="170"/>
      <c r="AA91" s="217">
        <f>'Mortality Table'!$H$4</f>
        <v>0.1</v>
      </c>
      <c r="AB91" s="170"/>
      <c r="AC91" s="224">
        <f t="shared" si="27"/>
        <v>88</v>
      </c>
      <c r="AD91" s="224">
        <v>0.2</v>
      </c>
      <c r="AE91" s="217">
        <f t="shared" si="25"/>
        <v>0.14772255750516639</v>
      </c>
      <c r="AF91" s="217">
        <f t="shared" si="25"/>
        <v>0.12215290126191869</v>
      </c>
      <c r="AG91" s="217">
        <f t="shared" si="25"/>
        <v>0.10531742483359952</v>
      </c>
      <c r="AH91" s="217">
        <f t="shared" si="22"/>
        <v>0.2</v>
      </c>
      <c r="AI91" s="170"/>
      <c r="AJ91" s="224">
        <f t="shared" si="28"/>
        <v>88</v>
      </c>
      <c r="AK91" s="217">
        <v>0.22</v>
      </c>
      <c r="AL91" s="217">
        <f t="shared" si="29"/>
        <v>0.16226805085936236</v>
      </c>
      <c r="AM91" s="217">
        <f t="shared" si="29"/>
        <v>0.13408464177211044</v>
      </c>
      <c r="AN91" s="217">
        <f t="shared" si="29"/>
        <v>0.11554878442527183</v>
      </c>
      <c r="AO91" s="217">
        <f t="shared" si="23"/>
        <v>0.22</v>
      </c>
      <c r="AP91" s="172"/>
      <c r="AQ91" s="173"/>
      <c r="AR91" s="173"/>
      <c r="AS91" s="173"/>
      <c r="AT91" s="173"/>
      <c r="AU91" s="173"/>
      <c r="AV91" s="172"/>
      <c r="AW91" s="174"/>
      <c r="AX91" s="174"/>
      <c r="AY91" s="174"/>
      <c r="AZ91" s="174"/>
      <c r="BA91" s="174"/>
      <c r="BB91" s="174"/>
      <c r="BC91" s="257"/>
      <c r="BD91" s="174"/>
      <c r="BE91" s="174"/>
      <c r="BF91" s="174"/>
      <c r="BG91" s="315">
        <v>88</v>
      </c>
      <c r="BH91" s="315">
        <v>100000000</v>
      </c>
      <c r="BJ91" s="315">
        <v>88</v>
      </c>
      <c r="BK91" s="315">
        <v>50000000</v>
      </c>
    </row>
    <row r="92" spans="1:63" ht="33" customHeight="1">
      <c r="A92" s="166"/>
      <c r="B92" s="166"/>
      <c r="C92" s="166"/>
      <c r="D92" s="166"/>
      <c r="E92" s="166"/>
      <c r="F92" s="166"/>
      <c r="G92" s="166"/>
      <c r="H92" s="167"/>
      <c r="I92" s="168"/>
      <c r="J92" s="168"/>
      <c r="K92" s="168"/>
      <c r="L92" s="168"/>
      <c r="M92" s="168"/>
      <c r="N92" s="168"/>
      <c r="O92" s="172"/>
      <c r="P92" s="170"/>
      <c r="Q92" s="170"/>
      <c r="R92" s="170"/>
      <c r="S92" s="170"/>
      <c r="T92" s="224">
        <f t="shared" si="26"/>
        <v>89</v>
      </c>
      <c r="U92" s="224">
        <f t="shared" si="30"/>
        <v>0.15</v>
      </c>
      <c r="V92" s="217">
        <f t="shared" si="24"/>
        <v>0.11119026473817994</v>
      </c>
      <c r="W92" s="217">
        <f t="shared" si="24"/>
        <v>9.2112731007184756E-2</v>
      </c>
      <c r="X92" s="217">
        <f t="shared" si="24"/>
        <v>7.9515676296965099E-2</v>
      </c>
      <c r="Y92" s="217">
        <f t="shared" si="21"/>
        <v>0.15</v>
      </c>
      <c r="Z92" s="170"/>
      <c r="AA92" s="217">
        <f>'Mortality Table'!$H$4</f>
        <v>0.1</v>
      </c>
      <c r="AB92" s="170"/>
      <c r="AC92" s="224">
        <f t="shared" si="27"/>
        <v>89</v>
      </c>
      <c r="AD92" s="224">
        <v>0.2</v>
      </c>
      <c r="AE92" s="217">
        <f t="shared" si="25"/>
        <v>0.14772255750516639</v>
      </c>
      <c r="AF92" s="217">
        <f t="shared" si="25"/>
        <v>0.12215290126191869</v>
      </c>
      <c r="AG92" s="217">
        <f t="shared" si="25"/>
        <v>0.10531742483359952</v>
      </c>
      <c r="AH92" s="217">
        <f t="shared" si="22"/>
        <v>0.2</v>
      </c>
      <c r="AI92" s="170"/>
      <c r="AJ92" s="224">
        <f t="shared" si="28"/>
        <v>89</v>
      </c>
      <c r="AK92" s="217">
        <v>0.22</v>
      </c>
      <c r="AL92" s="217">
        <f t="shared" si="29"/>
        <v>0.16226805085936236</v>
      </c>
      <c r="AM92" s="217">
        <f t="shared" si="29"/>
        <v>0.13408464177211044</v>
      </c>
      <c r="AN92" s="217">
        <f t="shared" si="29"/>
        <v>0.11554878442527183</v>
      </c>
      <c r="AO92" s="217">
        <f t="shared" si="23"/>
        <v>0.22</v>
      </c>
      <c r="AP92" s="172"/>
      <c r="AQ92" s="173"/>
      <c r="AR92" s="173"/>
      <c r="AS92" s="173"/>
      <c r="AT92" s="173"/>
      <c r="AU92" s="173"/>
      <c r="AV92" s="172"/>
      <c r="AW92" s="174"/>
      <c r="AX92" s="174"/>
      <c r="AY92" s="174"/>
      <c r="AZ92" s="174"/>
      <c r="BA92" s="174"/>
      <c r="BB92" s="174"/>
      <c r="BC92" s="257"/>
      <c r="BD92" s="174"/>
      <c r="BE92" s="174"/>
      <c r="BF92" s="174"/>
      <c r="BG92" s="315">
        <v>89</v>
      </c>
      <c r="BH92" s="315">
        <v>100000000</v>
      </c>
      <c r="BJ92" s="315">
        <v>89</v>
      </c>
      <c r="BK92" s="315">
        <v>50000000</v>
      </c>
    </row>
    <row r="93" spans="1:63" ht="33" customHeight="1">
      <c r="A93" s="166"/>
      <c r="B93" s="166"/>
      <c r="C93" s="166"/>
      <c r="D93" s="166"/>
      <c r="E93" s="166"/>
      <c r="F93" s="166"/>
      <c r="G93" s="166"/>
      <c r="H93" s="167"/>
      <c r="I93" s="168"/>
      <c r="J93" s="168"/>
      <c r="K93" s="168"/>
      <c r="L93" s="168"/>
      <c r="M93" s="168"/>
      <c r="N93" s="168"/>
      <c r="O93" s="172"/>
      <c r="P93" s="170"/>
      <c r="Q93" s="170"/>
      <c r="R93" s="170"/>
      <c r="S93" s="170"/>
      <c r="T93" s="224">
        <f t="shared" si="26"/>
        <v>90</v>
      </c>
      <c r="U93" s="224">
        <f t="shared" si="30"/>
        <v>0.15</v>
      </c>
      <c r="V93" s="217">
        <f t="shared" si="24"/>
        <v>0.11119026473817994</v>
      </c>
      <c r="W93" s="217">
        <f t="shared" si="24"/>
        <v>9.2112731007184756E-2</v>
      </c>
      <c r="X93" s="217">
        <f t="shared" si="24"/>
        <v>7.9515676296965099E-2</v>
      </c>
      <c r="Y93" s="217">
        <f t="shared" si="21"/>
        <v>0.15</v>
      </c>
      <c r="Z93" s="170"/>
      <c r="AA93" s="217">
        <f>'Mortality Table'!$H$4</f>
        <v>0.1</v>
      </c>
      <c r="AB93" s="170"/>
      <c r="AC93" s="224">
        <f t="shared" si="27"/>
        <v>90</v>
      </c>
      <c r="AD93" s="224">
        <v>0.2</v>
      </c>
      <c r="AE93" s="217">
        <f t="shared" si="25"/>
        <v>0.14772255750516639</v>
      </c>
      <c r="AF93" s="217">
        <f t="shared" si="25"/>
        <v>0.12215290126191869</v>
      </c>
      <c r="AG93" s="217">
        <f t="shared" si="25"/>
        <v>0.10531742483359952</v>
      </c>
      <c r="AH93" s="217">
        <f t="shared" si="22"/>
        <v>0.2</v>
      </c>
      <c r="AI93" s="170"/>
      <c r="AJ93" s="224">
        <f t="shared" si="28"/>
        <v>90</v>
      </c>
      <c r="AK93" s="217">
        <v>0.22</v>
      </c>
      <c r="AL93" s="217">
        <f t="shared" si="29"/>
        <v>0.16226805085936236</v>
      </c>
      <c r="AM93" s="217">
        <f t="shared" si="29"/>
        <v>0.13408464177211044</v>
      </c>
      <c r="AN93" s="217">
        <f t="shared" si="29"/>
        <v>0.11554878442527183</v>
      </c>
      <c r="AO93" s="217">
        <f t="shared" si="23"/>
        <v>0.22</v>
      </c>
      <c r="AP93" s="172"/>
      <c r="AQ93" s="173"/>
      <c r="AR93" s="173"/>
      <c r="AS93" s="173"/>
      <c r="AT93" s="173"/>
      <c r="AU93" s="173"/>
      <c r="AV93" s="172"/>
      <c r="AW93" s="174"/>
      <c r="AX93" s="174"/>
      <c r="AY93" s="174"/>
      <c r="AZ93" s="174"/>
      <c r="BA93" s="174"/>
      <c r="BB93" s="174"/>
      <c r="BC93" s="257"/>
      <c r="BD93" s="174"/>
      <c r="BE93" s="174"/>
      <c r="BF93" s="174"/>
      <c r="BG93" s="315">
        <v>90</v>
      </c>
      <c r="BH93" s="315">
        <v>100000000</v>
      </c>
      <c r="BJ93" s="315">
        <v>90</v>
      </c>
      <c r="BK93" s="315">
        <v>50000000</v>
      </c>
    </row>
    <row r="94" spans="1:63" ht="33" customHeight="1">
      <c r="A94" s="166"/>
      <c r="B94" s="166"/>
      <c r="C94" s="166"/>
      <c r="D94" s="166"/>
      <c r="E94" s="166"/>
      <c r="F94" s="166"/>
      <c r="G94" s="166"/>
      <c r="H94" s="167"/>
      <c r="I94" s="168"/>
      <c r="J94" s="168"/>
      <c r="K94" s="168"/>
      <c r="L94" s="168"/>
      <c r="M94" s="168"/>
      <c r="N94" s="168"/>
      <c r="O94" s="172"/>
      <c r="P94" s="170"/>
      <c r="Q94" s="170"/>
      <c r="R94" s="170"/>
      <c r="S94" s="170"/>
      <c r="T94" s="224">
        <f t="shared" si="26"/>
        <v>91</v>
      </c>
      <c r="U94" s="224">
        <f t="shared" si="30"/>
        <v>0.15</v>
      </c>
      <c r="V94" s="217">
        <f t="shared" si="24"/>
        <v>0.11119026473817994</v>
      </c>
      <c r="W94" s="217">
        <f t="shared" si="24"/>
        <v>9.2112731007184756E-2</v>
      </c>
      <c r="X94" s="217">
        <f t="shared" si="24"/>
        <v>7.9515676296965099E-2</v>
      </c>
      <c r="Y94" s="217">
        <f t="shared" si="21"/>
        <v>0.15</v>
      </c>
      <c r="Z94" s="170"/>
      <c r="AA94" s="217">
        <f>'Mortality Table'!$H$4</f>
        <v>0.1</v>
      </c>
      <c r="AB94" s="170"/>
      <c r="AC94" s="224">
        <f t="shared" si="27"/>
        <v>91</v>
      </c>
      <c r="AD94" s="224">
        <v>0.2</v>
      </c>
      <c r="AE94" s="217">
        <f t="shared" si="25"/>
        <v>0.14772255750516639</v>
      </c>
      <c r="AF94" s="217">
        <f t="shared" si="25"/>
        <v>0.12215290126191869</v>
      </c>
      <c r="AG94" s="217">
        <f t="shared" si="25"/>
        <v>0.10531742483359952</v>
      </c>
      <c r="AH94" s="217">
        <f t="shared" si="22"/>
        <v>0.2</v>
      </c>
      <c r="AI94" s="170"/>
      <c r="AJ94" s="224">
        <f t="shared" si="28"/>
        <v>91</v>
      </c>
      <c r="AK94" s="217">
        <v>0.22</v>
      </c>
      <c r="AL94" s="217">
        <f t="shared" si="29"/>
        <v>0.16226805085936236</v>
      </c>
      <c r="AM94" s="217">
        <f t="shared" si="29"/>
        <v>0.13408464177211044</v>
      </c>
      <c r="AN94" s="217">
        <f t="shared" si="29"/>
        <v>0.11554878442527183</v>
      </c>
      <c r="AO94" s="217">
        <f t="shared" si="23"/>
        <v>0.22</v>
      </c>
      <c r="AP94" s="172"/>
      <c r="AQ94" s="173"/>
      <c r="AR94" s="173"/>
      <c r="AS94" s="173"/>
      <c r="AT94" s="173"/>
      <c r="AU94" s="173"/>
      <c r="AV94" s="172"/>
      <c r="AW94" s="174"/>
      <c r="AX94" s="174"/>
      <c r="AY94" s="174"/>
      <c r="AZ94" s="174"/>
      <c r="BA94" s="174"/>
      <c r="BB94" s="174"/>
      <c r="BC94" s="257"/>
      <c r="BD94" s="174"/>
      <c r="BE94" s="174"/>
      <c r="BF94" s="174"/>
      <c r="BG94" s="315">
        <v>91</v>
      </c>
      <c r="BH94" s="315">
        <v>100000000</v>
      </c>
      <c r="BJ94" s="315">
        <v>91</v>
      </c>
      <c r="BK94" s="315">
        <v>50000000</v>
      </c>
    </row>
    <row r="95" spans="1:63" ht="33" customHeight="1">
      <c r="A95" s="166"/>
      <c r="B95" s="166"/>
      <c r="C95" s="166"/>
      <c r="D95" s="166"/>
      <c r="E95" s="166"/>
      <c r="F95" s="166"/>
      <c r="G95" s="166"/>
      <c r="H95" s="167"/>
      <c r="I95" s="168"/>
      <c r="J95" s="168"/>
      <c r="K95" s="168"/>
      <c r="L95" s="168"/>
      <c r="M95" s="168"/>
      <c r="N95" s="168"/>
      <c r="O95" s="172"/>
      <c r="P95" s="170"/>
      <c r="Q95" s="170"/>
      <c r="R95" s="170"/>
      <c r="S95" s="170"/>
      <c r="T95" s="224">
        <f t="shared" si="26"/>
        <v>92</v>
      </c>
      <c r="U95" s="224">
        <f t="shared" si="30"/>
        <v>0.15</v>
      </c>
      <c r="V95" s="217">
        <f t="shared" si="24"/>
        <v>0.11119026473817994</v>
      </c>
      <c r="W95" s="217">
        <f t="shared" si="24"/>
        <v>9.2112731007184756E-2</v>
      </c>
      <c r="X95" s="217">
        <f t="shared" si="24"/>
        <v>7.9515676296965099E-2</v>
      </c>
      <c r="Y95" s="217">
        <f t="shared" si="21"/>
        <v>0.15</v>
      </c>
      <c r="Z95" s="170"/>
      <c r="AA95" s="217">
        <f>'Mortality Table'!$H$4</f>
        <v>0.1</v>
      </c>
      <c r="AB95" s="170"/>
      <c r="AC95" s="224">
        <f t="shared" si="27"/>
        <v>92</v>
      </c>
      <c r="AD95" s="224">
        <v>0.2</v>
      </c>
      <c r="AE95" s="217">
        <f t="shared" si="25"/>
        <v>0.14772255750516639</v>
      </c>
      <c r="AF95" s="217">
        <f t="shared" si="25"/>
        <v>0.12215290126191869</v>
      </c>
      <c r="AG95" s="217">
        <f t="shared" si="25"/>
        <v>0.10531742483359952</v>
      </c>
      <c r="AH95" s="217">
        <f t="shared" si="22"/>
        <v>0.2</v>
      </c>
      <c r="AI95" s="170"/>
      <c r="AJ95" s="224">
        <f t="shared" si="28"/>
        <v>92</v>
      </c>
      <c r="AK95" s="217">
        <v>0.22</v>
      </c>
      <c r="AL95" s="217">
        <f t="shared" si="29"/>
        <v>0.16226805085936236</v>
      </c>
      <c r="AM95" s="217">
        <f t="shared" si="29"/>
        <v>0.13408464177211044</v>
      </c>
      <c r="AN95" s="217">
        <f t="shared" si="29"/>
        <v>0.11554878442527183</v>
      </c>
      <c r="AO95" s="217">
        <f t="shared" si="23"/>
        <v>0.22</v>
      </c>
      <c r="AP95" s="172"/>
      <c r="AQ95" s="173"/>
      <c r="AR95" s="173"/>
      <c r="AS95" s="173"/>
      <c r="AT95" s="173"/>
      <c r="AU95" s="173"/>
      <c r="AV95" s="172"/>
      <c r="AW95" s="174"/>
      <c r="AX95" s="174"/>
      <c r="AY95" s="174"/>
      <c r="AZ95" s="174"/>
      <c r="BA95" s="174"/>
      <c r="BB95" s="174"/>
      <c r="BC95" s="257"/>
      <c r="BD95" s="174"/>
      <c r="BE95" s="174"/>
      <c r="BF95" s="174"/>
      <c r="BG95" s="315">
        <v>92</v>
      </c>
      <c r="BH95" s="315">
        <v>100000000</v>
      </c>
      <c r="BJ95" s="315">
        <v>92</v>
      </c>
      <c r="BK95" s="315">
        <v>50000000</v>
      </c>
    </row>
    <row r="96" spans="1:63" ht="33" customHeight="1">
      <c r="A96" s="166"/>
      <c r="B96" s="166"/>
      <c r="C96" s="166"/>
      <c r="D96" s="166"/>
      <c r="E96" s="166"/>
      <c r="F96" s="166"/>
      <c r="G96" s="166"/>
      <c r="H96" s="167"/>
      <c r="I96" s="168"/>
      <c r="J96" s="168"/>
      <c r="K96" s="168"/>
      <c r="L96" s="168"/>
      <c r="M96" s="168"/>
      <c r="N96" s="168"/>
      <c r="O96" s="172"/>
      <c r="P96" s="170"/>
      <c r="Q96" s="170"/>
      <c r="R96" s="170"/>
      <c r="S96" s="170"/>
      <c r="T96" s="224">
        <f t="shared" si="26"/>
        <v>93</v>
      </c>
      <c r="U96" s="224">
        <f t="shared" si="30"/>
        <v>0.15</v>
      </c>
      <c r="V96" s="217">
        <f t="shared" si="24"/>
        <v>0.11119026473817994</v>
      </c>
      <c r="W96" s="217">
        <f t="shared" si="24"/>
        <v>9.2112731007184756E-2</v>
      </c>
      <c r="X96" s="217">
        <f t="shared" si="24"/>
        <v>7.9515676296965099E-2</v>
      </c>
      <c r="Y96" s="217">
        <f t="shared" si="21"/>
        <v>0.15</v>
      </c>
      <c r="Z96" s="170"/>
      <c r="AA96" s="217">
        <f>'Mortality Table'!$H$4</f>
        <v>0.1</v>
      </c>
      <c r="AB96" s="170"/>
      <c r="AC96" s="224">
        <f t="shared" si="27"/>
        <v>93</v>
      </c>
      <c r="AD96" s="224">
        <v>0.2</v>
      </c>
      <c r="AE96" s="217">
        <f t="shared" si="25"/>
        <v>0.14772255750516639</v>
      </c>
      <c r="AF96" s="217">
        <f t="shared" si="25"/>
        <v>0.12215290126191869</v>
      </c>
      <c r="AG96" s="217">
        <f t="shared" si="25"/>
        <v>0.10531742483359952</v>
      </c>
      <c r="AH96" s="217">
        <f t="shared" si="22"/>
        <v>0.2</v>
      </c>
      <c r="AI96" s="170"/>
      <c r="AJ96" s="224">
        <f t="shared" si="28"/>
        <v>93</v>
      </c>
      <c r="AK96" s="217">
        <v>0.22</v>
      </c>
      <c r="AL96" s="217">
        <f t="shared" si="29"/>
        <v>0.16226805085936236</v>
      </c>
      <c r="AM96" s="217">
        <f t="shared" si="29"/>
        <v>0.13408464177211044</v>
      </c>
      <c r="AN96" s="217">
        <f t="shared" si="29"/>
        <v>0.11554878442527183</v>
      </c>
      <c r="AO96" s="217">
        <f t="shared" si="23"/>
        <v>0.22</v>
      </c>
      <c r="AP96" s="172"/>
      <c r="AQ96" s="173"/>
      <c r="AR96" s="173"/>
      <c r="AS96" s="173"/>
      <c r="AT96" s="173"/>
      <c r="AU96" s="173"/>
      <c r="AV96" s="172"/>
      <c r="AW96" s="174"/>
      <c r="AX96" s="174"/>
      <c r="AY96" s="174"/>
      <c r="AZ96" s="174"/>
      <c r="BA96" s="174"/>
      <c r="BB96" s="174"/>
      <c r="BC96" s="257"/>
      <c r="BD96" s="174"/>
      <c r="BE96" s="174"/>
      <c r="BF96" s="174"/>
      <c r="BG96" s="315">
        <v>93</v>
      </c>
      <c r="BH96" s="315">
        <v>100000000</v>
      </c>
      <c r="BJ96" s="315">
        <v>93</v>
      </c>
      <c r="BK96" s="315">
        <v>50000000</v>
      </c>
    </row>
    <row r="97" spans="1:63" ht="33" customHeight="1">
      <c r="A97" s="166"/>
      <c r="B97" s="166"/>
      <c r="C97" s="166"/>
      <c r="D97" s="166"/>
      <c r="E97" s="166"/>
      <c r="F97" s="166"/>
      <c r="G97" s="166"/>
      <c r="H97" s="167"/>
      <c r="I97" s="168"/>
      <c r="J97" s="168"/>
      <c r="K97" s="168"/>
      <c r="L97" s="168"/>
      <c r="M97" s="168"/>
      <c r="N97" s="168"/>
      <c r="O97" s="172"/>
      <c r="P97" s="170"/>
      <c r="Q97" s="170"/>
      <c r="R97" s="170"/>
      <c r="S97" s="170"/>
      <c r="T97" s="224">
        <f t="shared" si="26"/>
        <v>94</v>
      </c>
      <c r="U97" s="224">
        <f t="shared" si="30"/>
        <v>0.15</v>
      </c>
      <c r="V97" s="217">
        <f t="shared" si="24"/>
        <v>0.11119026473817994</v>
      </c>
      <c r="W97" s="217">
        <f t="shared" si="24"/>
        <v>9.2112731007184756E-2</v>
      </c>
      <c r="X97" s="217">
        <f t="shared" si="24"/>
        <v>7.9515676296965099E-2</v>
      </c>
      <c r="Y97" s="217">
        <f t="shared" si="21"/>
        <v>0.15</v>
      </c>
      <c r="Z97" s="170"/>
      <c r="AA97" s="217">
        <f>'Mortality Table'!$H$4</f>
        <v>0.1</v>
      </c>
      <c r="AB97" s="170"/>
      <c r="AC97" s="224">
        <f t="shared" si="27"/>
        <v>94</v>
      </c>
      <c r="AD97" s="224">
        <v>0.2</v>
      </c>
      <c r="AE97" s="217">
        <f t="shared" si="25"/>
        <v>0.14772255750516639</v>
      </c>
      <c r="AF97" s="217">
        <f t="shared" si="25"/>
        <v>0.12215290126191869</v>
      </c>
      <c r="AG97" s="217">
        <f t="shared" si="25"/>
        <v>0.10531742483359952</v>
      </c>
      <c r="AH97" s="217">
        <f t="shared" si="22"/>
        <v>0.2</v>
      </c>
      <c r="AI97" s="170"/>
      <c r="AJ97" s="224">
        <f t="shared" si="28"/>
        <v>94</v>
      </c>
      <c r="AK97" s="217">
        <v>0.22</v>
      </c>
      <c r="AL97" s="217">
        <f t="shared" si="29"/>
        <v>0.16226805085936236</v>
      </c>
      <c r="AM97" s="217">
        <f t="shared" si="29"/>
        <v>0.13408464177211044</v>
      </c>
      <c r="AN97" s="217">
        <f t="shared" si="29"/>
        <v>0.11554878442527183</v>
      </c>
      <c r="AO97" s="217">
        <f t="shared" si="23"/>
        <v>0.22</v>
      </c>
      <c r="AP97" s="172"/>
      <c r="AQ97" s="173"/>
      <c r="AR97" s="173"/>
      <c r="AS97" s="173"/>
      <c r="AT97" s="173"/>
      <c r="AU97" s="173"/>
      <c r="AV97" s="172"/>
      <c r="AW97" s="174"/>
      <c r="AX97" s="174"/>
      <c r="AY97" s="174"/>
      <c r="AZ97" s="174"/>
      <c r="BA97" s="174"/>
      <c r="BB97" s="174"/>
      <c r="BC97" s="257"/>
      <c r="BD97" s="174"/>
      <c r="BE97" s="174"/>
      <c r="BF97" s="174"/>
      <c r="BG97" s="315">
        <v>94</v>
      </c>
      <c r="BH97" s="315">
        <v>100000000</v>
      </c>
      <c r="BJ97" s="315">
        <v>94</v>
      </c>
      <c r="BK97" s="315">
        <v>50000000</v>
      </c>
    </row>
    <row r="98" spans="1:63" ht="33" customHeight="1">
      <c r="A98" s="166"/>
      <c r="B98" s="166"/>
      <c r="C98" s="166"/>
      <c r="D98" s="166"/>
      <c r="E98" s="166"/>
      <c r="F98" s="166"/>
      <c r="G98" s="166"/>
      <c r="H98" s="167"/>
      <c r="I98" s="168"/>
      <c r="J98" s="168"/>
      <c r="K98" s="168"/>
      <c r="L98" s="168"/>
      <c r="M98" s="168"/>
      <c r="N98" s="168"/>
      <c r="O98" s="172"/>
      <c r="P98" s="170"/>
      <c r="Q98" s="170"/>
      <c r="R98" s="170"/>
      <c r="S98" s="170"/>
      <c r="T98" s="224">
        <f t="shared" si="26"/>
        <v>95</v>
      </c>
      <c r="U98" s="224">
        <f t="shared" si="30"/>
        <v>0.15</v>
      </c>
      <c r="V98" s="217">
        <f t="shared" si="24"/>
        <v>0.11119026473817994</v>
      </c>
      <c r="W98" s="217">
        <f t="shared" si="24"/>
        <v>9.2112731007184756E-2</v>
      </c>
      <c r="X98" s="217">
        <f t="shared" si="24"/>
        <v>7.9515676296965099E-2</v>
      </c>
      <c r="Y98" s="217">
        <f t="shared" si="21"/>
        <v>0.15</v>
      </c>
      <c r="Z98" s="170"/>
      <c r="AA98" s="217">
        <f>'Mortality Table'!$H$4</f>
        <v>0.1</v>
      </c>
      <c r="AB98" s="170"/>
      <c r="AC98" s="224">
        <f t="shared" si="27"/>
        <v>95</v>
      </c>
      <c r="AD98" s="224">
        <v>0.2</v>
      </c>
      <c r="AE98" s="217">
        <f t="shared" si="25"/>
        <v>0.14772255750516639</v>
      </c>
      <c r="AF98" s="217">
        <f t="shared" si="25"/>
        <v>0.12215290126191869</v>
      </c>
      <c r="AG98" s="217">
        <f t="shared" si="25"/>
        <v>0.10531742483359952</v>
      </c>
      <c r="AH98" s="217">
        <f t="shared" si="22"/>
        <v>0.2</v>
      </c>
      <c r="AI98" s="170"/>
      <c r="AJ98" s="224">
        <f t="shared" si="28"/>
        <v>95</v>
      </c>
      <c r="AK98" s="217">
        <v>0.22</v>
      </c>
      <c r="AL98" s="217">
        <f t="shared" si="29"/>
        <v>0.16226805085936236</v>
      </c>
      <c r="AM98" s="217">
        <f t="shared" si="29"/>
        <v>0.13408464177211044</v>
      </c>
      <c r="AN98" s="217">
        <f t="shared" si="29"/>
        <v>0.11554878442527183</v>
      </c>
      <c r="AO98" s="217">
        <f t="shared" si="23"/>
        <v>0.22</v>
      </c>
      <c r="AP98" s="172"/>
      <c r="AQ98" s="173"/>
      <c r="AR98" s="173"/>
      <c r="AS98" s="173"/>
      <c r="AT98" s="173"/>
      <c r="AU98" s="173"/>
      <c r="AV98" s="172"/>
      <c r="AW98" s="174"/>
      <c r="AX98" s="174"/>
      <c r="AY98" s="174"/>
      <c r="AZ98" s="174"/>
      <c r="BA98" s="174"/>
      <c r="BB98" s="174"/>
      <c r="BC98" s="257"/>
      <c r="BD98" s="174"/>
      <c r="BE98" s="174"/>
      <c r="BF98" s="174"/>
      <c r="BG98" s="315">
        <v>95</v>
      </c>
      <c r="BH98" s="315">
        <v>100000000</v>
      </c>
      <c r="BJ98" s="315">
        <v>95</v>
      </c>
      <c r="BK98" s="315">
        <v>50000000</v>
      </c>
    </row>
    <row r="99" spans="1:63" ht="33" customHeight="1">
      <c r="A99" s="166"/>
      <c r="B99" s="166"/>
      <c r="C99" s="166"/>
      <c r="D99" s="166"/>
      <c r="E99" s="166"/>
      <c r="F99" s="166"/>
      <c r="G99" s="166"/>
      <c r="H99" s="167"/>
      <c r="I99" s="168"/>
      <c r="J99" s="168"/>
      <c r="K99" s="168"/>
      <c r="L99" s="168"/>
      <c r="M99" s="168"/>
      <c r="N99" s="168"/>
      <c r="O99" s="172"/>
      <c r="P99" s="170"/>
      <c r="Q99" s="170"/>
      <c r="R99" s="170"/>
      <c r="S99" s="170"/>
      <c r="T99" s="224">
        <f t="shared" si="26"/>
        <v>96</v>
      </c>
      <c r="U99" s="224">
        <f t="shared" si="30"/>
        <v>0.15</v>
      </c>
      <c r="V99" s="217">
        <f t="shared" si="24"/>
        <v>0.11119026473817994</v>
      </c>
      <c r="W99" s="217">
        <f t="shared" si="24"/>
        <v>9.2112731007184756E-2</v>
      </c>
      <c r="X99" s="217">
        <f t="shared" si="24"/>
        <v>7.9515676296965099E-2</v>
      </c>
      <c r="Y99" s="217">
        <f t="shared" si="21"/>
        <v>0.15</v>
      </c>
      <c r="Z99" s="170"/>
      <c r="AA99" s="217">
        <f>'Mortality Table'!$H$4</f>
        <v>0.1</v>
      </c>
      <c r="AB99" s="170"/>
      <c r="AC99" s="224">
        <f t="shared" si="27"/>
        <v>96</v>
      </c>
      <c r="AD99" s="224">
        <v>0.2</v>
      </c>
      <c r="AE99" s="217">
        <f t="shared" si="25"/>
        <v>0.14772255750516639</v>
      </c>
      <c r="AF99" s="217">
        <f t="shared" si="25"/>
        <v>0.12215290126191869</v>
      </c>
      <c r="AG99" s="217">
        <f t="shared" si="25"/>
        <v>0.10531742483359952</v>
      </c>
      <c r="AH99" s="217">
        <f t="shared" si="22"/>
        <v>0.2</v>
      </c>
      <c r="AI99" s="170"/>
      <c r="AJ99" s="224">
        <f t="shared" si="28"/>
        <v>96</v>
      </c>
      <c r="AK99" s="217">
        <v>0.22</v>
      </c>
      <c r="AL99" s="217">
        <f t="shared" si="29"/>
        <v>0.16226805085936236</v>
      </c>
      <c r="AM99" s="217">
        <f t="shared" si="29"/>
        <v>0.13408464177211044</v>
      </c>
      <c r="AN99" s="217">
        <f t="shared" si="29"/>
        <v>0.11554878442527183</v>
      </c>
      <c r="AO99" s="217">
        <f t="shared" si="23"/>
        <v>0.22</v>
      </c>
      <c r="AP99" s="172"/>
      <c r="AQ99" s="173"/>
      <c r="AR99" s="173"/>
      <c r="AS99" s="173"/>
      <c r="AT99" s="173"/>
      <c r="AU99" s="173"/>
      <c r="AV99" s="172"/>
      <c r="AW99" s="174"/>
      <c r="AX99" s="174"/>
      <c r="AY99" s="174"/>
      <c r="AZ99" s="174"/>
      <c r="BA99" s="174"/>
      <c r="BB99" s="174"/>
      <c r="BC99" s="257"/>
      <c r="BD99" s="174"/>
      <c r="BE99" s="174"/>
      <c r="BF99" s="174"/>
      <c r="BG99" s="315">
        <v>96</v>
      </c>
      <c r="BH99" s="315">
        <v>100000000</v>
      </c>
      <c r="BJ99" s="315">
        <v>96</v>
      </c>
      <c r="BK99" s="315">
        <v>50000000</v>
      </c>
    </row>
    <row r="100" spans="1:63" ht="33" customHeight="1">
      <c r="A100" s="166"/>
      <c r="B100" s="166"/>
      <c r="C100" s="166"/>
      <c r="D100" s="166"/>
      <c r="E100" s="166"/>
      <c r="F100" s="166"/>
      <c r="G100" s="166"/>
      <c r="H100" s="167"/>
      <c r="I100" s="168"/>
      <c r="J100" s="168"/>
      <c r="K100" s="168"/>
      <c r="L100" s="168"/>
      <c r="M100" s="168"/>
      <c r="N100" s="168"/>
      <c r="O100" s="172"/>
      <c r="P100" s="170"/>
      <c r="Q100" s="170"/>
      <c r="R100" s="170"/>
      <c r="S100" s="170"/>
      <c r="T100" s="224">
        <f t="shared" si="26"/>
        <v>97</v>
      </c>
      <c r="U100" s="224">
        <f t="shared" si="30"/>
        <v>0.15</v>
      </c>
      <c r="V100" s="217">
        <f t="shared" si="24"/>
        <v>0.11119026473817994</v>
      </c>
      <c r="W100" s="217">
        <f t="shared" si="24"/>
        <v>9.2112731007184756E-2</v>
      </c>
      <c r="X100" s="217">
        <f t="shared" si="24"/>
        <v>7.9515676296965099E-2</v>
      </c>
      <c r="Y100" s="217">
        <f t="shared" ref="Y100:Y109" si="31">LOOKUP($Q$7,$U$3:$X$3,U100:X100)</f>
        <v>0.15</v>
      </c>
      <c r="Z100" s="170"/>
      <c r="AA100" s="217">
        <f>'Mortality Table'!$H$4</f>
        <v>0.1</v>
      </c>
      <c r="AB100" s="170"/>
      <c r="AC100" s="224">
        <f t="shared" si="27"/>
        <v>97</v>
      </c>
      <c r="AD100" s="224">
        <v>0.2</v>
      </c>
      <c r="AE100" s="217">
        <f t="shared" si="25"/>
        <v>0.14772255750516639</v>
      </c>
      <c r="AF100" s="217">
        <f t="shared" si="25"/>
        <v>0.12215290126191869</v>
      </c>
      <c r="AG100" s="217">
        <f t="shared" si="25"/>
        <v>0.10531742483359952</v>
      </c>
      <c r="AH100" s="217">
        <f t="shared" ref="AH100:AH109" si="32">LOOKUP($Q$7,$U$3:$X$3,AD100:AG100)</f>
        <v>0.2</v>
      </c>
      <c r="AI100" s="170"/>
      <c r="AJ100" s="224">
        <f t="shared" si="28"/>
        <v>97</v>
      </c>
      <c r="AK100" s="217">
        <v>0.22</v>
      </c>
      <c r="AL100" s="217">
        <f t="shared" si="29"/>
        <v>0.16226805085936236</v>
      </c>
      <c r="AM100" s="217">
        <f t="shared" si="29"/>
        <v>0.13408464177211044</v>
      </c>
      <c r="AN100" s="217">
        <f t="shared" si="29"/>
        <v>0.11554878442527183</v>
      </c>
      <c r="AO100" s="217">
        <f t="shared" ref="AO100:AO109" si="33">LOOKUP($Q$7,$U$3:$X$3,AK100:AN100)</f>
        <v>0.22</v>
      </c>
      <c r="AP100" s="172"/>
      <c r="AQ100" s="173"/>
      <c r="AR100" s="173"/>
      <c r="AS100" s="173"/>
      <c r="AT100" s="173"/>
      <c r="AU100" s="173"/>
      <c r="AV100" s="172"/>
      <c r="AW100" s="174"/>
      <c r="AX100" s="174"/>
      <c r="AY100" s="174"/>
      <c r="AZ100" s="174"/>
      <c r="BA100" s="174"/>
      <c r="BB100" s="174"/>
      <c r="BC100" s="257"/>
      <c r="BD100" s="174"/>
      <c r="BE100" s="174"/>
      <c r="BF100" s="174"/>
      <c r="BG100" s="315">
        <v>97</v>
      </c>
      <c r="BH100" s="315">
        <v>100000000</v>
      </c>
      <c r="BJ100" s="315">
        <v>97</v>
      </c>
      <c r="BK100" s="315">
        <v>50000000</v>
      </c>
    </row>
    <row r="101" spans="1:63" ht="33" customHeight="1">
      <c r="A101" s="166"/>
      <c r="B101" s="166"/>
      <c r="C101" s="166"/>
      <c r="D101" s="166"/>
      <c r="E101" s="166"/>
      <c r="F101" s="166"/>
      <c r="G101" s="166"/>
      <c r="H101" s="167"/>
      <c r="I101" s="168"/>
      <c r="J101" s="168"/>
      <c r="K101" s="168"/>
      <c r="L101" s="168"/>
      <c r="M101" s="168"/>
      <c r="N101" s="168"/>
      <c r="O101" s="172"/>
      <c r="P101" s="170"/>
      <c r="Q101" s="170"/>
      <c r="R101" s="170"/>
      <c r="S101" s="170"/>
      <c r="T101" s="224">
        <f t="shared" si="26"/>
        <v>98</v>
      </c>
      <c r="U101" s="224">
        <f t="shared" si="30"/>
        <v>0.15</v>
      </c>
      <c r="V101" s="217">
        <f t="shared" si="24"/>
        <v>0.11119026473817994</v>
      </c>
      <c r="W101" s="217">
        <f t="shared" si="24"/>
        <v>9.2112731007184756E-2</v>
      </c>
      <c r="X101" s="217">
        <f t="shared" si="24"/>
        <v>7.9515676296965099E-2</v>
      </c>
      <c r="Y101" s="217">
        <f t="shared" si="31"/>
        <v>0.15</v>
      </c>
      <c r="Z101" s="170"/>
      <c r="AA101" s="217">
        <f>'Mortality Table'!$H$4</f>
        <v>0.1</v>
      </c>
      <c r="AB101" s="170"/>
      <c r="AC101" s="224">
        <f t="shared" si="27"/>
        <v>98</v>
      </c>
      <c r="AD101" s="224">
        <v>0.2</v>
      </c>
      <c r="AE101" s="217">
        <f t="shared" si="25"/>
        <v>0.14772255750516639</v>
      </c>
      <c r="AF101" s="217">
        <f t="shared" si="25"/>
        <v>0.12215290126191869</v>
      </c>
      <c r="AG101" s="217">
        <f t="shared" si="25"/>
        <v>0.10531742483359952</v>
      </c>
      <c r="AH101" s="217">
        <f t="shared" si="32"/>
        <v>0.2</v>
      </c>
      <c r="AI101" s="170"/>
      <c r="AJ101" s="224">
        <f t="shared" si="28"/>
        <v>98</v>
      </c>
      <c r="AK101" s="217">
        <v>0.22</v>
      </c>
      <c r="AL101" s="217">
        <f t="shared" si="29"/>
        <v>0.16226805085936236</v>
      </c>
      <c r="AM101" s="217">
        <f t="shared" si="29"/>
        <v>0.13408464177211044</v>
      </c>
      <c r="AN101" s="217">
        <f t="shared" si="29"/>
        <v>0.11554878442527183</v>
      </c>
      <c r="AO101" s="217">
        <f t="shared" si="33"/>
        <v>0.22</v>
      </c>
      <c r="AP101" s="172"/>
      <c r="AQ101" s="173"/>
      <c r="AR101" s="173"/>
      <c r="AS101" s="173"/>
      <c r="AT101" s="173"/>
      <c r="AU101" s="173"/>
      <c r="AV101" s="172"/>
      <c r="AW101" s="174"/>
      <c r="AX101" s="174"/>
      <c r="AY101" s="174"/>
      <c r="AZ101" s="174"/>
      <c r="BA101" s="174"/>
      <c r="BB101" s="174"/>
      <c r="BC101" s="257"/>
      <c r="BD101" s="174"/>
      <c r="BE101" s="174"/>
      <c r="BF101" s="174"/>
      <c r="BG101" s="315">
        <v>98</v>
      </c>
      <c r="BH101" s="315">
        <v>100000000</v>
      </c>
      <c r="BJ101" s="315">
        <v>98</v>
      </c>
      <c r="BK101" s="315">
        <v>50000000</v>
      </c>
    </row>
    <row r="102" spans="1:63" ht="33" customHeight="1">
      <c r="A102" s="166"/>
      <c r="B102" s="166"/>
      <c r="C102" s="166"/>
      <c r="D102" s="166"/>
      <c r="E102" s="166"/>
      <c r="F102" s="166"/>
      <c r="G102" s="166"/>
      <c r="H102" s="167"/>
      <c r="I102" s="168"/>
      <c r="J102" s="168"/>
      <c r="K102" s="168"/>
      <c r="L102" s="168"/>
      <c r="M102" s="168"/>
      <c r="N102" s="168"/>
      <c r="O102" s="172"/>
      <c r="P102" s="170"/>
      <c r="Q102" s="170"/>
      <c r="R102" s="170"/>
      <c r="S102" s="170"/>
      <c r="T102" s="224">
        <f t="shared" si="26"/>
        <v>99</v>
      </c>
      <c r="U102" s="224">
        <f t="shared" si="30"/>
        <v>0.15</v>
      </c>
      <c r="V102" s="217">
        <f t="shared" si="24"/>
        <v>0.11119026473817994</v>
      </c>
      <c r="W102" s="217">
        <f t="shared" si="24"/>
        <v>9.2112731007184756E-2</v>
      </c>
      <c r="X102" s="217">
        <f t="shared" si="24"/>
        <v>7.9515676296965099E-2</v>
      </c>
      <c r="Y102" s="217">
        <f t="shared" si="31"/>
        <v>0.15</v>
      </c>
      <c r="Z102" s="170"/>
      <c r="AA102" s="217">
        <f>'Mortality Table'!$H$4</f>
        <v>0.1</v>
      </c>
      <c r="AB102" s="170"/>
      <c r="AC102" s="224">
        <f t="shared" si="27"/>
        <v>99</v>
      </c>
      <c r="AD102" s="224">
        <v>0.2</v>
      </c>
      <c r="AE102" s="217">
        <f t="shared" si="25"/>
        <v>0.14772255750516639</v>
      </c>
      <c r="AF102" s="217">
        <f t="shared" si="25"/>
        <v>0.12215290126191869</v>
      </c>
      <c r="AG102" s="217">
        <f t="shared" si="25"/>
        <v>0.10531742483359952</v>
      </c>
      <c r="AH102" s="217">
        <f t="shared" si="32"/>
        <v>0.2</v>
      </c>
      <c r="AI102" s="170"/>
      <c r="AJ102" s="224">
        <f t="shared" si="28"/>
        <v>99</v>
      </c>
      <c r="AK102" s="217">
        <v>0.22</v>
      </c>
      <c r="AL102" s="217">
        <f t="shared" si="29"/>
        <v>0.16226805085936236</v>
      </c>
      <c r="AM102" s="217">
        <f t="shared" si="29"/>
        <v>0.13408464177211044</v>
      </c>
      <c r="AN102" s="217">
        <f t="shared" si="29"/>
        <v>0.11554878442527183</v>
      </c>
      <c r="AO102" s="217">
        <f t="shared" si="33"/>
        <v>0.22</v>
      </c>
      <c r="AP102" s="172"/>
      <c r="AQ102" s="173"/>
      <c r="AR102" s="173"/>
      <c r="AS102" s="173"/>
      <c r="AT102" s="173"/>
      <c r="AU102" s="173"/>
      <c r="AV102" s="172"/>
      <c r="AW102" s="174"/>
      <c r="AX102" s="174"/>
      <c r="AY102" s="174"/>
      <c r="AZ102" s="174"/>
      <c r="BA102" s="174"/>
      <c r="BB102" s="174"/>
      <c r="BC102" s="257"/>
      <c r="BD102" s="174"/>
      <c r="BE102" s="174"/>
      <c r="BF102" s="174"/>
      <c r="BG102" s="315">
        <v>99</v>
      </c>
      <c r="BH102" s="315">
        <v>100000000</v>
      </c>
      <c r="BJ102" s="315">
        <v>99</v>
      </c>
      <c r="BK102" s="315">
        <v>50000000</v>
      </c>
    </row>
    <row r="103" spans="1:63" ht="33" customHeight="1">
      <c r="A103" s="166"/>
      <c r="B103" s="166"/>
      <c r="C103" s="166"/>
      <c r="D103" s="166"/>
      <c r="E103" s="166"/>
      <c r="F103" s="166"/>
      <c r="G103" s="166"/>
      <c r="H103" s="167"/>
      <c r="I103" s="168"/>
      <c r="J103" s="168"/>
      <c r="K103" s="168"/>
      <c r="L103" s="168"/>
      <c r="M103" s="168"/>
      <c r="N103" s="168"/>
      <c r="O103" s="172"/>
      <c r="P103" s="170"/>
      <c r="Q103" s="170"/>
      <c r="R103" s="170"/>
      <c r="S103" s="170"/>
      <c r="T103" s="224">
        <f t="shared" si="26"/>
        <v>100</v>
      </c>
      <c r="U103" s="224">
        <f t="shared" si="30"/>
        <v>0.15</v>
      </c>
      <c r="V103" s="217">
        <f t="shared" si="24"/>
        <v>0.11119026473817994</v>
      </c>
      <c r="W103" s="217">
        <f t="shared" si="24"/>
        <v>9.2112731007184756E-2</v>
      </c>
      <c r="X103" s="217">
        <f t="shared" si="24"/>
        <v>7.9515676296965099E-2</v>
      </c>
      <c r="Y103" s="217">
        <f t="shared" si="31"/>
        <v>0.15</v>
      </c>
      <c r="Z103" s="170"/>
      <c r="AA103" s="217">
        <f>'Mortality Table'!$H$4</f>
        <v>0.1</v>
      </c>
      <c r="AB103" s="170"/>
      <c r="AC103" s="224">
        <f t="shared" si="27"/>
        <v>100</v>
      </c>
      <c r="AD103" s="224">
        <v>0.2</v>
      </c>
      <c r="AE103" s="217">
        <f t="shared" si="25"/>
        <v>0.14772255750516639</v>
      </c>
      <c r="AF103" s="217">
        <f t="shared" si="25"/>
        <v>0.12215290126191869</v>
      </c>
      <c r="AG103" s="217">
        <f t="shared" si="25"/>
        <v>0.10531742483359952</v>
      </c>
      <c r="AH103" s="217">
        <f t="shared" si="32"/>
        <v>0.2</v>
      </c>
      <c r="AI103" s="170"/>
      <c r="AJ103" s="224">
        <f t="shared" si="28"/>
        <v>100</v>
      </c>
      <c r="AK103" s="217">
        <v>0.22</v>
      </c>
      <c r="AL103" s="217">
        <f t="shared" si="29"/>
        <v>0.16226805085936236</v>
      </c>
      <c r="AM103" s="217">
        <f t="shared" si="29"/>
        <v>0.13408464177211044</v>
      </c>
      <c r="AN103" s="217">
        <f t="shared" si="29"/>
        <v>0.11554878442527183</v>
      </c>
      <c r="AO103" s="217">
        <f t="shared" si="33"/>
        <v>0.22</v>
      </c>
      <c r="AP103" s="172"/>
      <c r="AQ103" s="173"/>
      <c r="AR103" s="173"/>
      <c r="AS103" s="173"/>
      <c r="AT103" s="173"/>
      <c r="AU103" s="173"/>
      <c r="AV103" s="172"/>
      <c r="AW103" s="174"/>
      <c r="AX103" s="174"/>
      <c r="AY103" s="174"/>
      <c r="AZ103" s="174"/>
      <c r="BA103" s="174"/>
      <c r="BB103" s="174"/>
      <c r="BC103" s="257"/>
      <c r="BD103" s="174"/>
      <c r="BE103" s="174"/>
      <c r="BF103" s="174"/>
      <c r="BG103" s="315">
        <v>100</v>
      </c>
      <c r="BH103" s="315">
        <v>100000000</v>
      </c>
      <c r="BJ103" s="315">
        <v>100</v>
      </c>
      <c r="BK103" s="315">
        <v>50000000</v>
      </c>
    </row>
    <row r="104" spans="1:63" ht="33" customHeight="1">
      <c r="A104" s="166"/>
      <c r="B104" s="166"/>
      <c r="C104" s="166"/>
      <c r="D104" s="166"/>
      <c r="E104" s="166"/>
      <c r="F104" s="166"/>
      <c r="G104" s="166"/>
      <c r="H104" s="167"/>
      <c r="I104" s="168"/>
      <c r="J104" s="168"/>
      <c r="K104" s="168"/>
      <c r="L104" s="168"/>
      <c r="M104" s="168"/>
      <c r="N104" s="168"/>
      <c r="O104" s="172"/>
      <c r="P104" s="170"/>
      <c r="Q104" s="170"/>
      <c r="R104" s="170"/>
      <c r="S104" s="170"/>
      <c r="T104" s="224">
        <f t="shared" si="26"/>
        <v>101</v>
      </c>
      <c r="U104" s="224">
        <f t="shared" si="30"/>
        <v>0.15</v>
      </c>
      <c r="V104" s="217">
        <f t="shared" si="24"/>
        <v>0.11119026473817994</v>
      </c>
      <c r="W104" s="217">
        <f t="shared" si="24"/>
        <v>9.2112731007184756E-2</v>
      </c>
      <c r="X104" s="217">
        <f t="shared" si="24"/>
        <v>7.9515676296965099E-2</v>
      </c>
      <c r="Y104" s="217">
        <f t="shared" si="31"/>
        <v>0.15</v>
      </c>
      <c r="Z104" s="170"/>
      <c r="AA104" s="217">
        <f>'Mortality Table'!$H$4</f>
        <v>0.1</v>
      </c>
      <c r="AB104" s="170"/>
      <c r="AC104" s="224">
        <f t="shared" si="27"/>
        <v>101</v>
      </c>
      <c r="AD104" s="224">
        <v>0.2</v>
      </c>
      <c r="AE104" s="217">
        <f t="shared" si="25"/>
        <v>0.14772255750516639</v>
      </c>
      <c r="AF104" s="217">
        <f t="shared" si="25"/>
        <v>0.12215290126191869</v>
      </c>
      <c r="AG104" s="217">
        <f t="shared" si="25"/>
        <v>0.10531742483359952</v>
      </c>
      <c r="AH104" s="217">
        <f t="shared" si="32"/>
        <v>0.2</v>
      </c>
      <c r="AI104" s="170"/>
      <c r="AJ104" s="224">
        <f t="shared" si="28"/>
        <v>101</v>
      </c>
      <c r="AK104" s="217">
        <v>0.22</v>
      </c>
      <c r="AL104" s="217">
        <f t="shared" si="29"/>
        <v>0.16226805085936236</v>
      </c>
      <c r="AM104" s="217">
        <f t="shared" si="29"/>
        <v>0.13408464177211044</v>
      </c>
      <c r="AN104" s="217">
        <f t="shared" si="29"/>
        <v>0.11554878442527183</v>
      </c>
      <c r="AO104" s="217">
        <f t="shared" si="33"/>
        <v>0.22</v>
      </c>
      <c r="AP104" s="172"/>
      <c r="AQ104" s="173"/>
      <c r="AR104" s="173"/>
      <c r="AS104" s="173"/>
      <c r="AT104" s="173"/>
      <c r="AU104" s="173"/>
      <c r="AV104" s="172"/>
      <c r="AW104" s="174"/>
      <c r="AX104" s="174"/>
      <c r="AY104" s="174"/>
      <c r="AZ104" s="174"/>
      <c r="BA104" s="174"/>
      <c r="BB104" s="174"/>
      <c r="BC104" s="257"/>
      <c r="BD104" s="174"/>
      <c r="BE104" s="174"/>
      <c r="BF104" s="174"/>
      <c r="BG104" s="315">
        <v>101</v>
      </c>
      <c r="BH104" s="315">
        <v>100000000</v>
      </c>
      <c r="BJ104" s="315">
        <v>101</v>
      </c>
      <c r="BK104" s="315">
        <v>50000000</v>
      </c>
    </row>
    <row r="105" spans="1:63" ht="33" customHeight="1">
      <c r="A105" s="166"/>
      <c r="B105" s="166"/>
      <c r="C105" s="166"/>
      <c r="D105" s="166"/>
      <c r="E105" s="166"/>
      <c r="F105" s="166"/>
      <c r="G105" s="166"/>
      <c r="H105" s="167"/>
      <c r="I105" s="168"/>
      <c r="J105" s="168"/>
      <c r="K105" s="168"/>
      <c r="L105" s="168"/>
      <c r="M105" s="168"/>
      <c r="N105" s="168"/>
      <c r="O105" s="172"/>
      <c r="P105" s="170"/>
      <c r="Q105" s="170"/>
      <c r="R105" s="170"/>
      <c r="S105" s="170"/>
      <c r="T105" s="224">
        <f t="shared" si="26"/>
        <v>102</v>
      </c>
      <c r="U105" s="224">
        <f t="shared" si="30"/>
        <v>0.15</v>
      </c>
      <c r="V105" s="217">
        <f t="shared" si="24"/>
        <v>0.11119026473817994</v>
      </c>
      <c r="W105" s="217">
        <f t="shared" si="24"/>
        <v>9.2112731007184756E-2</v>
      </c>
      <c r="X105" s="217">
        <f t="shared" si="24"/>
        <v>7.9515676296965099E-2</v>
      </c>
      <c r="Y105" s="217">
        <f t="shared" si="31"/>
        <v>0.15</v>
      </c>
      <c r="Z105" s="170"/>
      <c r="AA105" s="217">
        <f>'Mortality Table'!$H$4</f>
        <v>0.1</v>
      </c>
      <c r="AB105" s="170"/>
      <c r="AC105" s="224">
        <f t="shared" si="27"/>
        <v>102</v>
      </c>
      <c r="AD105" s="224">
        <v>0.2</v>
      </c>
      <c r="AE105" s="217">
        <f t="shared" si="25"/>
        <v>0.14772255750516639</v>
      </c>
      <c r="AF105" s="217">
        <f t="shared" si="25"/>
        <v>0.12215290126191869</v>
      </c>
      <c r="AG105" s="217">
        <f t="shared" si="25"/>
        <v>0.10531742483359952</v>
      </c>
      <c r="AH105" s="217">
        <f t="shared" si="32"/>
        <v>0.2</v>
      </c>
      <c r="AI105" s="170"/>
      <c r="AJ105" s="224">
        <f t="shared" si="28"/>
        <v>102</v>
      </c>
      <c r="AK105" s="217">
        <v>0.22</v>
      </c>
      <c r="AL105" s="217">
        <f t="shared" si="29"/>
        <v>0.16226805085936236</v>
      </c>
      <c r="AM105" s="217">
        <f t="shared" si="29"/>
        <v>0.13408464177211044</v>
      </c>
      <c r="AN105" s="217">
        <f t="shared" si="29"/>
        <v>0.11554878442527183</v>
      </c>
      <c r="AO105" s="217">
        <f t="shared" si="33"/>
        <v>0.22</v>
      </c>
      <c r="AP105" s="172"/>
      <c r="AQ105" s="173"/>
      <c r="AR105" s="173"/>
      <c r="AS105" s="173"/>
      <c r="AT105" s="173"/>
      <c r="AU105" s="173"/>
      <c r="AV105" s="172"/>
      <c r="AW105" s="174"/>
      <c r="AX105" s="174"/>
      <c r="AY105" s="174"/>
      <c r="AZ105" s="174"/>
      <c r="BA105" s="174"/>
      <c r="BB105" s="174"/>
      <c r="BC105" s="257"/>
      <c r="BD105" s="174"/>
      <c r="BE105" s="174"/>
      <c r="BF105" s="174"/>
      <c r="BG105" s="315">
        <v>102</v>
      </c>
      <c r="BH105" s="315">
        <v>100000000</v>
      </c>
      <c r="BJ105" s="315">
        <v>102</v>
      </c>
      <c r="BK105" s="315">
        <v>50000000</v>
      </c>
    </row>
    <row r="106" spans="1:63" ht="33" customHeight="1">
      <c r="A106" s="166"/>
      <c r="B106" s="166"/>
      <c r="C106" s="166"/>
      <c r="D106" s="166"/>
      <c r="E106" s="166"/>
      <c r="F106" s="166"/>
      <c r="G106" s="166"/>
      <c r="H106" s="167"/>
      <c r="I106" s="168"/>
      <c r="J106" s="168"/>
      <c r="K106" s="168"/>
      <c r="L106" s="168"/>
      <c r="M106" s="168"/>
      <c r="N106" s="168"/>
      <c r="O106" s="172"/>
      <c r="P106" s="170"/>
      <c r="Q106" s="170"/>
      <c r="R106" s="170"/>
      <c r="S106" s="170"/>
      <c r="T106" s="224">
        <f t="shared" si="26"/>
        <v>103</v>
      </c>
      <c r="U106" s="224">
        <f t="shared" si="30"/>
        <v>0.15</v>
      </c>
      <c r="V106" s="217">
        <f t="shared" si="24"/>
        <v>0.11119026473817994</v>
      </c>
      <c r="W106" s="217">
        <f t="shared" si="24"/>
        <v>9.2112731007184756E-2</v>
      </c>
      <c r="X106" s="217">
        <f t="shared" si="24"/>
        <v>7.9515676296965099E-2</v>
      </c>
      <c r="Y106" s="217">
        <f t="shared" si="31"/>
        <v>0.15</v>
      </c>
      <c r="Z106" s="170"/>
      <c r="AA106" s="217">
        <f>'Mortality Table'!$H$4</f>
        <v>0.1</v>
      </c>
      <c r="AB106" s="170"/>
      <c r="AC106" s="224">
        <f t="shared" si="27"/>
        <v>103</v>
      </c>
      <c r="AD106" s="224">
        <v>0.2</v>
      </c>
      <c r="AE106" s="217">
        <f t="shared" si="25"/>
        <v>0.14772255750516639</v>
      </c>
      <c r="AF106" s="217">
        <f t="shared" si="25"/>
        <v>0.12215290126191869</v>
      </c>
      <c r="AG106" s="217">
        <f t="shared" si="25"/>
        <v>0.10531742483359952</v>
      </c>
      <c r="AH106" s="217">
        <f t="shared" si="32"/>
        <v>0.2</v>
      </c>
      <c r="AI106" s="170"/>
      <c r="AJ106" s="224">
        <f t="shared" si="28"/>
        <v>103</v>
      </c>
      <c r="AK106" s="217">
        <v>0.22</v>
      </c>
      <c r="AL106" s="217">
        <f t="shared" si="29"/>
        <v>0.16226805085936236</v>
      </c>
      <c r="AM106" s="217">
        <f t="shared" si="29"/>
        <v>0.13408464177211044</v>
      </c>
      <c r="AN106" s="217">
        <f t="shared" si="29"/>
        <v>0.11554878442527183</v>
      </c>
      <c r="AO106" s="217">
        <f t="shared" si="33"/>
        <v>0.22</v>
      </c>
      <c r="AP106" s="172"/>
      <c r="AQ106" s="173"/>
      <c r="AR106" s="173"/>
      <c r="AS106" s="173"/>
      <c r="AT106" s="173"/>
      <c r="AU106" s="173"/>
      <c r="AV106" s="172"/>
      <c r="AW106" s="174"/>
      <c r="AX106" s="174"/>
      <c r="AY106" s="174"/>
      <c r="AZ106" s="174"/>
      <c r="BA106" s="174"/>
      <c r="BB106" s="174"/>
      <c r="BC106" s="257"/>
      <c r="BD106" s="174"/>
      <c r="BE106" s="174"/>
      <c r="BF106" s="174"/>
      <c r="BG106" s="315">
        <v>103</v>
      </c>
      <c r="BH106" s="315">
        <v>100000000</v>
      </c>
      <c r="BJ106" s="315">
        <v>103</v>
      </c>
      <c r="BK106" s="315">
        <v>50000000</v>
      </c>
    </row>
    <row r="107" spans="1:63" ht="33" customHeight="1">
      <c r="A107" s="166"/>
      <c r="B107" s="166"/>
      <c r="C107" s="166"/>
      <c r="D107" s="166"/>
      <c r="E107" s="166"/>
      <c r="F107" s="166"/>
      <c r="G107" s="166"/>
      <c r="H107" s="167"/>
      <c r="I107" s="168"/>
      <c r="J107" s="168"/>
      <c r="K107" s="168"/>
      <c r="L107" s="168"/>
      <c r="M107" s="168"/>
      <c r="N107" s="168"/>
      <c r="O107" s="172"/>
      <c r="P107" s="170"/>
      <c r="Q107" s="170"/>
      <c r="R107" s="170"/>
      <c r="S107" s="170"/>
      <c r="T107" s="224">
        <f t="shared" si="26"/>
        <v>104</v>
      </c>
      <c r="U107" s="224">
        <f t="shared" si="30"/>
        <v>0.15</v>
      </c>
      <c r="V107" s="217">
        <f t="shared" si="24"/>
        <v>0.11119026473817994</v>
      </c>
      <c r="W107" s="217">
        <f t="shared" si="24"/>
        <v>9.2112731007184756E-2</v>
      </c>
      <c r="X107" s="217">
        <f t="shared" si="24"/>
        <v>7.9515676296965099E-2</v>
      </c>
      <c r="Y107" s="217">
        <f t="shared" si="31"/>
        <v>0.15</v>
      </c>
      <c r="Z107" s="170"/>
      <c r="AA107" s="217">
        <f>'Mortality Table'!$H$4</f>
        <v>0.1</v>
      </c>
      <c r="AB107" s="170"/>
      <c r="AC107" s="224">
        <f t="shared" si="27"/>
        <v>104</v>
      </c>
      <c r="AD107" s="224">
        <v>0.2</v>
      </c>
      <c r="AE107" s="217">
        <f t="shared" si="25"/>
        <v>0.14772255750516639</v>
      </c>
      <c r="AF107" s="217">
        <f t="shared" si="25"/>
        <v>0.12215290126191869</v>
      </c>
      <c r="AG107" s="217">
        <f t="shared" si="25"/>
        <v>0.10531742483359952</v>
      </c>
      <c r="AH107" s="217">
        <f t="shared" si="32"/>
        <v>0.2</v>
      </c>
      <c r="AI107" s="170"/>
      <c r="AJ107" s="224">
        <f t="shared" si="28"/>
        <v>104</v>
      </c>
      <c r="AK107" s="217">
        <v>0.22</v>
      </c>
      <c r="AL107" s="217">
        <f t="shared" si="29"/>
        <v>0.16226805085936236</v>
      </c>
      <c r="AM107" s="217">
        <f t="shared" si="29"/>
        <v>0.13408464177211044</v>
      </c>
      <c r="AN107" s="217">
        <f t="shared" si="29"/>
        <v>0.11554878442527183</v>
      </c>
      <c r="AO107" s="217">
        <f t="shared" si="33"/>
        <v>0.22</v>
      </c>
      <c r="AP107" s="172"/>
      <c r="AQ107" s="173"/>
      <c r="AR107" s="173"/>
      <c r="AS107" s="173"/>
      <c r="AT107" s="173"/>
      <c r="AU107" s="173"/>
      <c r="AV107" s="172"/>
      <c r="AW107" s="174"/>
      <c r="AX107" s="174"/>
      <c r="AY107" s="174"/>
      <c r="AZ107" s="174"/>
      <c r="BA107" s="174"/>
      <c r="BB107" s="174"/>
      <c r="BC107" s="257"/>
      <c r="BD107" s="174"/>
      <c r="BE107" s="174"/>
      <c r="BF107" s="174"/>
      <c r="BG107" s="315">
        <v>104</v>
      </c>
      <c r="BH107" s="315">
        <v>100000000</v>
      </c>
      <c r="BJ107" s="315">
        <v>104</v>
      </c>
      <c r="BK107" s="315">
        <v>50000000</v>
      </c>
    </row>
    <row r="108" spans="1:63" ht="33" customHeight="1">
      <c r="A108" s="166"/>
      <c r="B108" s="166"/>
      <c r="C108" s="166"/>
      <c r="D108" s="166"/>
      <c r="E108" s="166"/>
      <c r="F108" s="166"/>
      <c r="G108" s="166"/>
      <c r="H108" s="167"/>
      <c r="I108" s="168"/>
      <c r="J108" s="168"/>
      <c r="K108" s="168"/>
      <c r="L108" s="168"/>
      <c r="M108" s="168"/>
      <c r="N108" s="168"/>
      <c r="O108" s="172"/>
      <c r="P108" s="170"/>
      <c r="Q108" s="170"/>
      <c r="R108" s="170"/>
      <c r="S108" s="170"/>
      <c r="T108" s="224">
        <f t="shared" si="26"/>
        <v>105</v>
      </c>
      <c r="U108" s="224">
        <f t="shared" si="30"/>
        <v>0.15</v>
      </c>
      <c r="V108" s="217">
        <f t="shared" si="24"/>
        <v>0.11119026473817994</v>
      </c>
      <c r="W108" s="217">
        <f t="shared" si="24"/>
        <v>9.2112731007184756E-2</v>
      </c>
      <c r="X108" s="217">
        <f t="shared" si="24"/>
        <v>7.9515676296965099E-2</v>
      </c>
      <c r="Y108" s="217">
        <f t="shared" si="31"/>
        <v>0.15</v>
      </c>
      <c r="Z108" s="170"/>
      <c r="AA108" s="217">
        <f>'Mortality Table'!$H$4</f>
        <v>0.1</v>
      </c>
      <c r="AB108" s="170"/>
      <c r="AC108" s="224">
        <f t="shared" si="27"/>
        <v>105</v>
      </c>
      <c r="AD108" s="224">
        <v>0.2</v>
      </c>
      <c r="AE108" s="217">
        <f t="shared" si="25"/>
        <v>0.14772255750516639</v>
      </c>
      <c r="AF108" s="217">
        <f t="shared" si="25"/>
        <v>0.12215290126191869</v>
      </c>
      <c r="AG108" s="217">
        <f t="shared" si="25"/>
        <v>0.10531742483359952</v>
      </c>
      <c r="AH108" s="217">
        <f t="shared" si="32"/>
        <v>0.2</v>
      </c>
      <c r="AI108" s="170"/>
      <c r="AJ108" s="224">
        <f t="shared" si="28"/>
        <v>105</v>
      </c>
      <c r="AK108" s="217">
        <v>0.22</v>
      </c>
      <c r="AL108" s="217">
        <f t="shared" si="29"/>
        <v>0.16226805085936236</v>
      </c>
      <c r="AM108" s="217">
        <f t="shared" si="29"/>
        <v>0.13408464177211044</v>
      </c>
      <c r="AN108" s="217">
        <f t="shared" si="29"/>
        <v>0.11554878442527183</v>
      </c>
      <c r="AO108" s="217">
        <f t="shared" si="33"/>
        <v>0.22</v>
      </c>
      <c r="AP108" s="172"/>
      <c r="AQ108" s="173"/>
      <c r="AR108" s="173"/>
      <c r="AS108" s="173"/>
      <c r="AT108" s="173"/>
      <c r="AU108" s="173"/>
      <c r="AV108" s="172"/>
      <c r="AW108" s="174"/>
      <c r="AX108" s="174"/>
      <c r="AY108" s="174"/>
      <c r="AZ108" s="174"/>
      <c r="BA108" s="174"/>
      <c r="BB108" s="174"/>
      <c r="BC108" s="257"/>
      <c r="BD108" s="174"/>
      <c r="BE108" s="174"/>
      <c r="BF108" s="174"/>
      <c r="BG108" s="315">
        <v>105</v>
      </c>
      <c r="BH108" s="315">
        <v>100000000</v>
      </c>
      <c r="BJ108" s="315">
        <v>105</v>
      </c>
      <c r="BK108" s="315">
        <v>50000000</v>
      </c>
    </row>
    <row r="109" spans="1:63" ht="33" customHeight="1">
      <c r="A109" s="166"/>
      <c r="B109" s="166"/>
      <c r="C109" s="166"/>
      <c r="D109" s="166"/>
      <c r="E109" s="166"/>
      <c r="F109" s="166"/>
      <c r="G109" s="166"/>
      <c r="H109" s="167"/>
      <c r="I109" s="168"/>
      <c r="J109" s="168"/>
      <c r="K109" s="168"/>
      <c r="L109" s="168"/>
      <c r="M109" s="168"/>
      <c r="N109" s="168"/>
      <c r="O109" s="172"/>
      <c r="P109" s="170"/>
      <c r="Q109" s="170"/>
      <c r="R109" s="170"/>
      <c r="S109" s="170"/>
      <c r="T109" s="224">
        <f t="shared" si="26"/>
        <v>106</v>
      </c>
      <c r="U109" s="224">
        <f t="shared" si="30"/>
        <v>0.15</v>
      </c>
      <c r="V109" s="217">
        <f t="shared" si="24"/>
        <v>0.11119026473817994</v>
      </c>
      <c r="W109" s="217">
        <f t="shared" si="24"/>
        <v>9.2112731007184756E-2</v>
      </c>
      <c r="X109" s="217">
        <f t="shared" si="24"/>
        <v>7.9515676296965099E-2</v>
      </c>
      <c r="Y109" s="217">
        <f t="shared" si="31"/>
        <v>0.15</v>
      </c>
      <c r="Z109" s="170"/>
      <c r="AA109" s="217">
        <f>'Mortality Table'!$H$4</f>
        <v>0.1</v>
      </c>
      <c r="AB109" s="170"/>
      <c r="AC109" s="224">
        <f t="shared" si="27"/>
        <v>106</v>
      </c>
      <c r="AD109" s="224">
        <v>0.2</v>
      </c>
      <c r="AE109" s="217">
        <f t="shared" si="25"/>
        <v>0.14772255750516639</v>
      </c>
      <c r="AF109" s="217">
        <f t="shared" si="25"/>
        <v>0.12215290126191869</v>
      </c>
      <c r="AG109" s="217">
        <f t="shared" si="25"/>
        <v>0.10531742483359952</v>
      </c>
      <c r="AH109" s="217">
        <f t="shared" si="32"/>
        <v>0.2</v>
      </c>
      <c r="AI109" s="170"/>
      <c r="AJ109" s="224">
        <f t="shared" si="28"/>
        <v>106</v>
      </c>
      <c r="AK109" s="217">
        <v>0.22</v>
      </c>
      <c r="AL109" s="217">
        <f t="shared" si="29"/>
        <v>0.16226805085936236</v>
      </c>
      <c r="AM109" s="217">
        <f t="shared" si="29"/>
        <v>0.13408464177211044</v>
      </c>
      <c r="AN109" s="217">
        <f t="shared" si="29"/>
        <v>0.11554878442527183</v>
      </c>
      <c r="AO109" s="217">
        <f t="shared" si="33"/>
        <v>0.22</v>
      </c>
      <c r="AP109" s="172"/>
      <c r="AQ109" s="173"/>
      <c r="AR109" s="173"/>
      <c r="AS109" s="173"/>
      <c r="AT109" s="173"/>
      <c r="AU109" s="173"/>
      <c r="AV109" s="172"/>
      <c r="AW109" s="174"/>
      <c r="AX109" s="174"/>
      <c r="AY109" s="174"/>
      <c r="AZ109" s="174"/>
      <c r="BA109" s="174"/>
      <c r="BB109" s="174"/>
      <c r="BC109" s="257"/>
      <c r="BD109" s="174"/>
      <c r="BE109" s="174"/>
      <c r="BF109" s="174"/>
      <c r="BG109" s="315">
        <v>106</v>
      </c>
      <c r="BH109" s="315">
        <v>100000000</v>
      </c>
      <c r="BJ109" s="315">
        <v>106</v>
      </c>
      <c r="BK109" s="315">
        <v>50000000</v>
      </c>
    </row>
    <row r="110" spans="1:63" ht="33" customHeight="1">
      <c r="A110" s="166"/>
      <c r="B110" s="166"/>
      <c r="C110" s="166"/>
      <c r="D110" s="166"/>
      <c r="E110" s="166"/>
      <c r="F110" s="166"/>
      <c r="G110" s="166"/>
      <c r="H110" s="167"/>
      <c r="I110" s="168"/>
      <c r="J110" s="168"/>
      <c r="K110" s="168"/>
      <c r="L110" s="168"/>
      <c r="M110" s="168"/>
      <c r="N110" s="168"/>
      <c r="O110" s="172"/>
      <c r="P110" s="170"/>
      <c r="Q110" s="170"/>
      <c r="R110" s="170"/>
      <c r="S110" s="170"/>
      <c r="T110" s="170"/>
      <c r="U110" s="170"/>
      <c r="V110" s="170"/>
      <c r="W110" s="170"/>
      <c r="X110" s="170"/>
      <c r="Y110" s="170"/>
      <c r="Z110" s="170"/>
      <c r="AA110" s="170"/>
      <c r="AB110" s="170"/>
      <c r="AC110" s="170"/>
      <c r="AD110" s="170"/>
      <c r="AE110" s="170"/>
      <c r="AF110" s="170"/>
      <c r="AG110" s="170"/>
      <c r="AH110" s="170"/>
      <c r="AI110" s="170"/>
      <c r="AJ110" s="170"/>
      <c r="AK110" s="170"/>
      <c r="AL110" s="170"/>
      <c r="AM110" s="170"/>
      <c r="AN110" s="170"/>
      <c r="AO110" s="170"/>
      <c r="AP110" s="172"/>
      <c r="AQ110" s="173"/>
      <c r="AR110" s="173"/>
      <c r="AS110" s="173"/>
      <c r="AT110" s="173"/>
      <c r="AU110" s="173"/>
      <c r="AV110" s="172"/>
      <c r="AW110" s="174"/>
      <c r="AX110" s="174"/>
      <c r="AY110" s="174"/>
      <c r="AZ110" s="174"/>
      <c r="BA110" s="174"/>
      <c r="BB110" s="174"/>
      <c r="BC110" s="257"/>
      <c r="BD110" s="174"/>
      <c r="BE110" s="174"/>
      <c r="BF110" s="174"/>
      <c r="BG110" s="251"/>
      <c r="BH110" s="315"/>
      <c r="BJ110" s="315"/>
      <c r="BK110" s="315"/>
    </row>
    <row r="111" spans="1:63" ht="33" customHeight="1">
      <c r="A111" s="166"/>
      <c r="B111" s="166"/>
      <c r="C111" s="166"/>
      <c r="D111" s="166"/>
      <c r="E111" s="166"/>
      <c r="F111" s="166"/>
      <c r="G111" s="166"/>
      <c r="H111" s="167"/>
      <c r="I111" s="168"/>
      <c r="J111" s="168"/>
      <c r="K111" s="168"/>
      <c r="L111" s="168"/>
      <c r="M111" s="168"/>
      <c r="N111" s="168"/>
      <c r="O111" s="172"/>
      <c r="P111" s="170"/>
      <c r="Q111" s="170"/>
      <c r="R111" s="170"/>
      <c r="S111" s="170"/>
      <c r="T111" s="170"/>
      <c r="U111" s="170"/>
      <c r="V111" s="170"/>
      <c r="W111" s="170"/>
      <c r="X111" s="170"/>
      <c r="Y111" s="170"/>
      <c r="Z111" s="170"/>
      <c r="AA111" s="170"/>
      <c r="AB111" s="170"/>
      <c r="AC111" s="170"/>
      <c r="AD111" s="170"/>
      <c r="AE111" s="170"/>
      <c r="AF111" s="170"/>
      <c r="AG111" s="170"/>
      <c r="AH111" s="170"/>
      <c r="AI111" s="170"/>
      <c r="AJ111" s="170"/>
      <c r="AK111" s="170"/>
      <c r="AL111" s="170"/>
      <c r="AM111" s="170"/>
      <c r="AN111" s="170"/>
      <c r="AO111" s="170"/>
      <c r="AP111" s="172"/>
      <c r="AQ111" s="173"/>
      <c r="AR111" s="173"/>
      <c r="AS111" s="173"/>
      <c r="AT111" s="173"/>
      <c r="AU111" s="173"/>
      <c r="AV111" s="172"/>
      <c r="AW111" s="174"/>
      <c r="AX111" s="174"/>
      <c r="AY111" s="174"/>
      <c r="AZ111" s="174"/>
      <c r="BA111" s="174"/>
      <c r="BB111" s="174"/>
      <c r="BC111" s="174"/>
      <c r="BD111" s="174"/>
      <c r="BE111" s="174"/>
      <c r="BF111" s="174"/>
      <c r="BG111" s="251"/>
      <c r="BH111" s="315"/>
      <c r="BJ111" s="315"/>
      <c r="BK111" s="315"/>
    </row>
  </sheetData>
  <sheetProtection selectLockedCells="1" selectUnlockedCells="1"/>
  <mergeCells count="30">
    <mergeCell ref="AR14:AT14"/>
    <mergeCell ref="A14:B14"/>
    <mergeCell ref="AR1:AT1"/>
    <mergeCell ref="BD2:BE2"/>
    <mergeCell ref="AX1:BA1"/>
    <mergeCell ref="T2:T3"/>
    <mergeCell ref="Y2:Y3"/>
    <mergeCell ref="AJ1:AO1"/>
    <mergeCell ref="AJ2:AJ3"/>
    <mergeCell ref="AO2:AO3"/>
    <mergeCell ref="AC1:AH1"/>
    <mergeCell ref="AC2:AC3"/>
    <mergeCell ref="AH2:AH3"/>
    <mergeCell ref="BC1:BC2"/>
    <mergeCell ref="BG1:BH1"/>
    <mergeCell ref="BJ1:BK1"/>
    <mergeCell ref="B8:C8"/>
    <mergeCell ref="E11:F11"/>
    <mergeCell ref="E12:F12"/>
    <mergeCell ref="A1:F1"/>
    <mergeCell ref="E10:F10"/>
    <mergeCell ref="E9:F9"/>
    <mergeCell ref="E8:F8"/>
    <mergeCell ref="E7:F7"/>
    <mergeCell ref="E6:F6"/>
    <mergeCell ref="K1:M1"/>
    <mergeCell ref="Q1:R1"/>
    <mergeCell ref="T1:Y1"/>
    <mergeCell ref="AA2:AA3"/>
    <mergeCell ref="K2:K7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39997558519241921"/>
  </sheetPr>
  <dimension ref="A1:R1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O5" sqref="O5"/>
    </sheetView>
  </sheetViews>
  <sheetFormatPr defaultRowHeight="15"/>
  <cols>
    <col min="1" max="1" width="7.5703125" customWidth="1"/>
    <col min="2" max="2" width="6.85546875" bestFit="1" customWidth="1"/>
    <col min="3" max="3" width="5.5703125" customWidth="1"/>
    <col min="4" max="4" width="11.85546875" bestFit="1" customWidth="1"/>
    <col min="5" max="5" width="11.85546875" style="11" customWidth="1"/>
    <col min="6" max="6" width="10.42578125" bestFit="1" customWidth="1"/>
    <col min="7" max="7" width="11.85546875" bestFit="1" customWidth="1"/>
    <col min="8" max="8" width="13.140625" bestFit="1" customWidth="1"/>
    <col min="9" max="14" width="12.28515625" bestFit="1" customWidth="1"/>
    <col min="15" max="15" width="11.140625" style="270" customWidth="1"/>
    <col min="16" max="17" width="19.28515625" style="11" bestFit="1" customWidth="1"/>
    <col min="18" max="18" width="20" style="11" bestFit="1" customWidth="1"/>
  </cols>
  <sheetData>
    <row r="1" spans="1:18" s="271" customFormat="1" ht="19.5" thickBot="1">
      <c r="A1" s="272" t="s">
        <v>0</v>
      </c>
      <c r="B1" s="273" t="s">
        <v>214</v>
      </c>
      <c r="C1" s="273" t="s">
        <v>215</v>
      </c>
      <c r="D1" s="273" t="s">
        <v>216</v>
      </c>
      <c r="E1" s="274" t="s">
        <v>217</v>
      </c>
      <c r="F1" s="273" t="s">
        <v>218</v>
      </c>
      <c r="G1" s="275" t="s">
        <v>219</v>
      </c>
      <c r="H1" s="276" t="s">
        <v>3</v>
      </c>
      <c r="I1" s="277" t="s">
        <v>220</v>
      </c>
      <c r="J1" s="278" t="s">
        <v>221</v>
      </c>
      <c r="K1" s="279" t="s">
        <v>1</v>
      </c>
      <c r="L1" s="280" t="s">
        <v>222</v>
      </c>
      <c r="M1" s="281" t="s">
        <v>2</v>
      </c>
      <c r="N1" s="281" t="s">
        <v>223</v>
      </c>
      <c r="O1" s="284" t="s">
        <v>21</v>
      </c>
      <c r="P1" s="282" t="s">
        <v>22</v>
      </c>
      <c r="Q1" s="283" t="s">
        <v>23</v>
      </c>
      <c r="R1" s="281" t="s">
        <v>24</v>
      </c>
    </row>
    <row r="2" spans="1:18" ht="16.5" thickBot="1">
      <c r="A2" s="13">
        <v>0</v>
      </c>
      <c r="B2" s="13">
        <v>100000</v>
      </c>
      <c r="C2" s="13">
        <f>B2-B3</f>
        <v>871</v>
      </c>
      <c r="D2" s="13">
        <f>C2/B2</f>
        <v>8.7100000000000007E-3</v>
      </c>
      <c r="E2" s="12">
        <f t="shared" ref="E2:E33" si="0">1-D2</f>
        <v>0.99129</v>
      </c>
      <c r="F2" s="13">
        <f>SUM(B2:B$108)</f>
        <v>7301518</v>
      </c>
      <c r="G2" s="13">
        <f t="shared" ref="G2:G33" si="1">F2/B2</f>
        <v>73.015180000000001</v>
      </c>
      <c r="H2" s="6">
        <v>0.18</v>
      </c>
      <c r="I2" s="2">
        <f>(B2/((1+$H$2)^A2))</f>
        <v>100000</v>
      </c>
      <c r="J2" s="2">
        <f>(C2/((1+$H$2)^(A2+0.5)))</f>
        <v>801.82049218943973</v>
      </c>
      <c r="K2" s="1">
        <f>(B2/((1+$H$3)^(A2)))</f>
        <v>100000</v>
      </c>
      <c r="L2" s="3">
        <f>(C2/((1+$H$3)^(A2+0.5)))</f>
        <v>812.21168797731332</v>
      </c>
      <c r="M2" s="4">
        <f>B2/((1+$H$4)^(A2))</f>
        <v>100000</v>
      </c>
      <c r="N2" s="5">
        <f t="shared" ref="N2:N33" si="2">C2/((1+$H$4)^(A2+0.5))</f>
        <v>830.46591523291079</v>
      </c>
      <c r="O2" s="269">
        <f>SUM($M2:$M$108)</f>
        <v>1084004.4007058365</v>
      </c>
      <c r="P2" s="2">
        <f t="shared" ref="P2:P33" si="3">J2/I2</f>
        <v>8.0182049218943969E-3</v>
      </c>
      <c r="Q2" s="1">
        <f t="shared" ref="Q2:Q33" si="4">L2/K2</f>
        <v>8.1221168797731332E-3</v>
      </c>
      <c r="R2" s="43">
        <f>N2/M2</f>
        <v>8.3046591523291084E-3</v>
      </c>
    </row>
    <row r="3" spans="1:18" ht="16.5" thickBot="1">
      <c r="A3" s="14">
        <f>A2+1</f>
        <v>1</v>
      </c>
      <c r="B3" s="14">
        <v>99129</v>
      </c>
      <c r="C3" s="13">
        <f t="shared" ref="C3:C66" si="5">B3-B4</f>
        <v>72</v>
      </c>
      <c r="D3" s="14">
        <f t="shared" ref="D3:D66" si="6">C3/B3</f>
        <v>7.2632630209121447E-4</v>
      </c>
      <c r="E3" s="12">
        <f t="shared" si="0"/>
        <v>0.99927367369790876</v>
      </c>
      <c r="F3" s="14">
        <f>SUM(B3:B$108)</f>
        <v>7201518</v>
      </c>
      <c r="G3" s="14">
        <f t="shared" si="1"/>
        <v>72.647943588657199</v>
      </c>
      <c r="H3" s="9">
        <v>0.15</v>
      </c>
      <c r="I3" s="2">
        <f t="shared" ref="I3:I33" si="7">(B3/((1+$H$2)^A3))</f>
        <v>84007.627118644072</v>
      </c>
      <c r="J3" s="2">
        <f t="shared" ref="J3:J33" si="8">(C3/((1+$H$2)^(A3+0.5)))</f>
        <v>56.170654651423128</v>
      </c>
      <c r="K3" s="1">
        <f t="shared" ref="K3:K66" si="9">(B3/((1+$H$3)^(A3)))</f>
        <v>86199.130434782623</v>
      </c>
      <c r="L3" s="3">
        <f>(C3/((1+$H$3)^(A3+0.5)))</f>
        <v>58.382909733306612</v>
      </c>
      <c r="M3" s="8">
        <f t="shared" ref="M3:M33" si="10">B3/((1+$H$4)^(A3))</f>
        <v>90117.272727272721</v>
      </c>
      <c r="N3" s="5">
        <f t="shared" si="2"/>
        <v>62.40846038698421</v>
      </c>
      <c r="O3" s="269">
        <f>SUM($M3:$M$108)</f>
        <v>984004.40070583567</v>
      </c>
      <c r="P3" s="7">
        <f t="shared" si="3"/>
        <v>6.6863755801712201E-4</v>
      </c>
      <c r="Q3" s="44">
        <f t="shared" si="4"/>
        <v>6.7730276905146418E-4</v>
      </c>
      <c r="R3" s="45">
        <f t="shared" ref="R3:R33" si="11">N3/M3</f>
        <v>6.9252495662906549E-4</v>
      </c>
    </row>
    <row r="4" spans="1:18" ht="16.5" thickBot="1">
      <c r="A4" s="14">
        <f t="shared" ref="A4:A67" si="12">A3+1</f>
        <v>2</v>
      </c>
      <c r="B4" s="14">
        <v>99057</v>
      </c>
      <c r="C4" s="13">
        <f t="shared" si="5"/>
        <v>47</v>
      </c>
      <c r="D4" s="14">
        <f t="shared" si="6"/>
        <v>4.7447429257902016E-4</v>
      </c>
      <c r="E4" s="12">
        <f t="shared" si="0"/>
        <v>0.99952552570742093</v>
      </c>
      <c r="F4" s="14">
        <f>SUM(B4:B$108)</f>
        <v>7102389</v>
      </c>
      <c r="G4" s="14">
        <f t="shared" si="1"/>
        <v>71.700021199915199</v>
      </c>
      <c r="H4" s="41">
        <v>0.1</v>
      </c>
      <c r="I4" s="2">
        <f t="shared" si="7"/>
        <v>71141.195058891128</v>
      </c>
      <c r="J4" s="2">
        <f t="shared" si="8"/>
        <v>31.073690779388976</v>
      </c>
      <c r="K4" s="1">
        <f t="shared" si="9"/>
        <v>74901.32325141778</v>
      </c>
      <c r="L4" s="3">
        <f t="shared" ref="L4:L67" si="13">(C4/((1+$H$3)^(A4+0.5)))</f>
        <v>33.140057457311727</v>
      </c>
      <c r="M4" s="8">
        <f t="shared" si="10"/>
        <v>81865.289256198332</v>
      </c>
      <c r="N4" s="5">
        <f t="shared" si="2"/>
        <v>37.035323714498205</v>
      </c>
      <c r="O4" s="269">
        <f>SUM($M4:$M$108)</f>
        <v>893887.12797856308</v>
      </c>
      <c r="P4" s="7">
        <f t="shared" si="3"/>
        <v>4.3678899059350888E-4</v>
      </c>
      <c r="Q4" s="44">
        <f t="shared" si="4"/>
        <v>4.4244955921635777E-4</v>
      </c>
      <c r="R4" s="45">
        <f t="shared" si="11"/>
        <v>4.5239348753286325E-4</v>
      </c>
    </row>
    <row r="5" spans="1:18">
      <c r="A5" s="14">
        <f t="shared" si="12"/>
        <v>3</v>
      </c>
      <c r="B5" s="14">
        <v>99010</v>
      </c>
      <c r="C5" s="14">
        <f t="shared" si="5"/>
        <v>33</v>
      </c>
      <c r="D5" s="14">
        <f t="shared" si="6"/>
        <v>3.332996667003333E-4</v>
      </c>
      <c r="E5" s="12">
        <f t="shared" si="0"/>
        <v>0.99966670033329963</v>
      </c>
      <c r="F5" s="14">
        <f>SUM(B5:B$108)</f>
        <v>7003332</v>
      </c>
      <c r="G5" s="14">
        <f t="shared" si="1"/>
        <v>70.733582466417531</v>
      </c>
      <c r="I5" s="2">
        <f t="shared" si="7"/>
        <v>60260.542703976556</v>
      </c>
      <c r="J5" s="2">
        <f t="shared" si="8"/>
        <v>18.489574390909414</v>
      </c>
      <c r="K5" s="1">
        <f t="shared" si="9"/>
        <v>65100.682173091169</v>
      </c>
      <c r="L5" s="3">
        <f t="shared" si="13"/>
        <v>20.233522591883201</v>
      </c>
      <c r="M5" s="8">
        <f t="shared" si="10"/>
        <v>74387.678437265189</v>
      </c>
      <c r="N5" s="5">
        <f t="shared" si="2"/>
        <v>23.639568328403112</v>
      </c>
      <c r="O5" s="269">
        <f>SUM($M5:$M$108)</f>
        <v>812021.83872236463</v>
      </c>
      <c r="P5" s="7">
        <f t="shared" si="3"/>
        <v>3.0682721331829789E-4</v>
      </c>
      <c r="Q5" s="44">
        <f t="shared" si="4"/>
        <v>3.1080354178295477E-4</v>
      </c>
      <c r="R5" s="45">
        <f t="shared" si="11"/>
        <v>3.177887632067928E-4</v>
      </c>
    </row>
    <row r="6" spans="1:18">
      <c r="A6" s="14">
        <f t="shared" si="12"/>
        <v>4</v>
      </c>
      <c r="B6" s="14">
        <v>98977</v>
      </c>
      <c r="C6" s="14">
        <f t="shared" si="5"/>
        <v>29</v>
      </c>
      <c r="D6" s="14">
        <f t="shared" si="6"/>
        <v>2.9299736302373279E-4</v>
      </c>
      <c r="E6" s="12">
        <f t="shared" si="0"/>
        <v>0.99970700263697632</v>
      </c>
      <c r="F6" s="14">
        <f>SUM(B6:B$108)</f>
        <v>6904322</v>
      </c>
      <c r="G6" s="14">
        <f t="shared" si="1"/>
        <v>69.756832395404999</v>
      </c>
      <c r="H6" s="10"/>
      <c r="I6" s="2">
        <f t="shared" si="7"/>
        <v>51051.235495913686</v>
      </c>
      <c r="J6" s="2">
        <f t="shared" si="8"/>
        <v>13.769842253116927</v>
      </c>
      <c r="K6" s="1">
        <f t="shared" si="9"/>
        <v>56590.420989061662</v>
      </c>
      <c r="L6" s="3">
        <f t="shared" si="13"/>
        <v>15.461716868632751</v>
      </c>
      <c r="M6" s="8">
        <f t="shared" si="10"/>
        <v>67602.622771668583</v>
      </c>
      <c r="N6" s="5">
        <f t="shared" si="2"/>
        <v>18.885605551616806</v>
      </c>
      <c r="O6" s="269">
        <f>SUM($M6:$M$108)</f>
        <v>737634.16028509941</v>
      </c>
      <c r="P6" s="7">
        <f t="shared" si="3"/>
        <v>2.6972593551078918E-4</v>
      </c>
      <c r="Q6" s="44">
        <f t="shared" si="4"/>
        <v>2.7322144982136357E-4</v>
      </c>
      <c r="R6" s="45">
        <f t="shared" si="11"/>
        <v>2.7936202439073901E-4</v>
      </c>
    </row>
    <row r="7" spans="1:18">
      <c r="A7" s="14">
        <f t="shared" si="12"/>
        <v>5</v>
      </c>
      <c r="B7" s="14">
        <v>98948</v>
      </c>
      <c r="C7" s="14">
        <f t="shared" si="5"/>
        <v>27</v>
      </c>
      <c r="D7" s="14">
        <f t="shared" si="6"/>
        <v>2.7287059869830619E-4</v>
      </c>
      <c r="E7" s="12">
        <f t="shared" si="0"/>
        <v>0.99972712940130171</v>
      </c>
      <c r="F7" s="14">
        <f>SUM(B7:B$108)</f>
        <v>6805345</v>
      </c>
      <c r="G7" s="14">
        <f t="shared" si="1"/>
        <v>68.776983870315718</v>
      </c>
      <c r="H7" s="10"/>
      <c r="I7" s="2">
        <f t="shared" si="7"/>
        <v>43251.082727571425</v>
      </c>
      <c r="J7" s="2">
        <f t="shared" si="8"/>
        <v>10.864574542202133</v>
      </c>
      <c r="K7" s="1">
        <f t="shared" si="9"/>
        <v>49194.64360429519</v>
      </c>
      <c r="L7" s="3">
        <f t="shared" si="13"/>
        <v>12.517731797693681</v>
      </c>
      <c r="M7" s="8">
        <f t="shared" si="10"/>
        <v>61438.923074057268</v>
      </c>
      <c r="N7" s="5">
        <f t="shared" si="2"/>
        <v>15.984681814848082</v>
      </c>
      <c r="O7" s="269">
        <f>SUM($M7:$M$108)</f>
        <v>670031.53751343093</v>
      </c>
      <c r="P7" s="7">
        <f t="shared" si="3"/>
        <v>2.5119774713237993E-4</v>
      </c>
      <c r="Q7" s="44">
        <f t="shared" si="4"/>
        <v>2.5445314531358362E-4</v>
      </c>
      <c r="R7" s="45">
        <f t="shared" si="11"/>
        <v>2.6017190756388197E-4</v>
      </c>
    </row>
    <row r="8" spans="1:18">
      <c r="A8" s="14">
        <f t="shared" si="12"/>
        <v>6</v>
      </c>
      <c r="B8" s="14">
        <v>98921</v>
      </c>
      <c r="C8" s="14">
        <f t="shared" si="5"/>
        <v>24</v>
      </c>
      <c r="D8" s="14">
        <f t="shared" si="6"/>
        <v>2.426178465644302E-4</v>
      </c>
      <c r="E8" s="12">
        <f t="shared" si="0"/>
        <v>0.99975738215343557</v>
      </c>
      <c r="F8" s="14">
        <f>SUM(B8:B$108)</f>
        <v>6706397</v>
      </c>
      <c r="G8" s="14">
        <f t="shared" si="1"/>
        <v>67.795483264423126</v>
      </c>
      <c r="H8" s="10"/>
      <c r="I8" s="2">
        <f t="shared" si="7"/>
        <v>36643.458287062036</v>
      </c>
      <c r="J8" s="2">
        <f t="shared" si="8"/>
        <v>8.1842369432784441</v>
      </c>
      <c r="K8" s="1">
        <f t="shared" si="9"/>
        <v>42766.278115167079</v>
      </c>
      <c r="L8" s="3">
        <f t="shared" si="13"/>
        <v>9.6755414861400446</v>
      </c>
      <c r="M8" s="8">
        <f t="shared" si="10"/>
        <v>55838.325634849694</v>
      </c>
      <c r="N8" s="5">
        <f t="shared" si="2"/>
        <v>12.916914597857033</v>
      </c>
      <c r="O8" s="269">
        <f>SUM($M8:$M$108)</f>
        <v>608592.61443937372</v>
      </c>
      <c r="P8" s="7">
        <f t="shared" si="3"/>
        <v>2.2334783139636442E-4</v>
      </c>
      <c r="Q8" s="44">
        <f t="shared" si="4"/>
        <v>2.2624230848624187E-4</v>
      </c>
      <c r="R8" s="45">
        <f t="shared" si="11"/>
        <v>2.3132704018251143E-4</v>
      </c>
    </row>
    <row r="9" spans="1:18">
      <c r="A9" s="14">
        <f t="shared" si="12"/>
        <v>7</v>
      </c>
      <c r="B9" s="14">
        <v>98897</v>
      </c>
      <c r="C9" s="14">
        <f t="shared" si="5"/>
        <v>21</v>
      </c>
      <c r="D9" s="14">
        <f t="shared" si="6"/>
        <v>2.1234213373509813E-4</v>
      </c>
      <c r="E9" s="12">
        <f t="shared" si="0"/>
        <v>0.99978765786626489</v>
      </c>
      <c r="F9" s="14">
        <f>SUM(B9:B$108)</f>
        <v>6607476</v>
      </c>
      <c r="G9" s="14">
        <f t="shared" si="1"/>
        <v>66.811692973497685</v>
      </c>
      <c r="H9" s="10"/>
      <c r="I9" s="2">
        <f t="shared" si="7"/>
        <v>31046.24400857776</v>
      </c>
      <c r="J9" s="2">
        <f t="shared" si="8"/>
        <v>6.0688197672615587</v>
      </c>
      <c r="K9" s="1">
        <f t="shared" si="9"/>
        <v>37179.045437274093</v>
      </c>
      <c r="L9" s="3">
        <f t="shared" si="13"/>
        <v>7.3618250438022086</v>
      </c>
      <c r="M9" s="8">
        <f t="shared" si="10"/>
        <v>50749.798418662176</v>
      </c>
      <c r="N9" s="5">
        <f t="shared" si="2"/>
        <v>10.274818430113548</v>
      </c>
      <c r="O9" s="269">
        <f>SUM($M9:$M$108)</f>
        <v>552754.28880452411</v>
      </c>
      <c r="P9" s="7">
        <f t="shared" si="3"/>
        <v>1.9547677862690268E-4</v>
      </c>
      <c r="Q9" s="44">
        <f t="shared" si="4"/>
        <v>1.9801006069998674E-4</v>
      </c>
      <c r="R9" s="45">
        <f t="shared" si="11"/>
        <v>2.0246028063700049E-4</v>
      </c>
    </row>
    <row r="10" spans="1:18">
      <c r="A10" s="14">
        <f t="shared" si="12"/>
        <v>8</v>
      </c>
      <c r="B10" s="14">
        <v>98876</v>
      </c>
      <c r="C10" s="14">
        <f t="shared" si="5"/>
        <v>21</v>
      </c>
      <c r="D10" s="14">
        <f t="shared" si="6"/>
        <v>2.1238723249322384E-4</v>
      </c>
      <c r="E10" s="12">
        <f t="shared" si="0"/>
        <v>0.99978761276750683</v>
      </c>
      <c r="F10" s="14">
        <f>SUM(B10:B$108)</f>
        <v>6508579</v>
      </c>
      <c r="G10" s="14">
        <f t="shared" si="1"/>
        <v>65.825670536834011</v>
      </c>
      <c r="H10" s="10"/>
      <c r="I10" s="2">
        <f t="shared" si="7"/>
        <v>26304.789477017392</v>
      </c>
      <c r="J10" s="2">
        <f t="shared" si="8"/>
        <v>5.1430675993742021</v>
      </c>
      <c r="K10" s="1">
        <f t="shared" si="9"/>
        <v>32322.739790813663</v>
      </c>
      <c r="L10" s="3">
        <f t="shared" si="13"/>
        <v>6.4015869946106161</v>
      </c>
      <c r="M10" s="8">
        <f t="shared" si="10"/>
        <v>46126.383725617576</v>
      </c>
      <c r="N10" s="5">
        <f t="shared" si="2"/>
        <v>9.3407440273759512</v>
      </c>
      <c r="O10" s="269">
        <f>SUM($M10:$M$108)</f>
        <v>502004.49038586218</v>
      </c>
      <c r="P10" s="7">
        <f t="shared" si="3"/>
        <v>1.9551829539893193E-4</v>
      </c>
      <c r="Q10" s="44">
        <f t="shared" si="4"/>
        <v>1.9805211550878461E-4</v>
      </c>
      <c r="R10" s="45">
        <f t="shared" si="11"/>
        <v>2.0250328061569475E-4</v>
      </c>
    </row>
    <row r="11" spans="1:18">
      <c r="A11" s="14">
        <f t="shared" si="12"/>
        <v>9</v>
      </c>
      <c r="B11" s="14">
        <v>98855</v>
      </c>
      <c r="C11" s="14">
        <f t="shared" si="5"/>
        <v>20</v>
      </c>
      <c r="D11" s="14">
        <f t="shared" si="6"/>
        <v>2.0231652420211422E-4</v>
      </c>
      <c r="E11" s="12">
        <f t="shared" si="0"/>
        <v>0.99979768347579789</v>
      </c>
      <c r="F11" s="14">
        <f>SUM(B11:B$108)</f>
        <v>6409703</v>
      </c>
      <c r="G11" s="14">
        <f t="shared" si="1"/>
        <v>64.839441606393208</v>
      </c>
      <c r="H11" s="10"/>
      <c r="I11" s="2">
        <f t="shared" si="7"/>
        <v>22287.459894558517</v>
      </c>
      <c r="J11" s="2">
        <f t="shared" si="8"/>
        <v>4.1509827275013746</v>
      </c>
      <c r="K11" s="1">
        <f t="shared" si="9"/>
        <v>28100.760742228606</v>
      </c>
      <c r="L11" s="3">
        <f t="shared" si="13"/>
        <v>5.3015213205885026</v>
      </c>
      <c r="M11" s="8">
        <f t="shared" si="10"/>
        <v>41924.170064211969</v>
      </c>
      <c r="N11" s="5">
        <f t="shared" si="2"/>
        <v>8.0872242661263662</v>
      </c>
      <c r="O11" s="269">
        <f>SUM($M11:$M$108)</f>
        <v>455878.10666024452</v>
      </c>
      <c r="P11" s="7">
        <f t="shared" si="3"/>
        <v>1.8624745696187823E-4</v>
      </c>
      <c r="Q11" s="44">
        <f t="shared" si="4"/>
        <v>1.8866113160493928E-4</v>
      </c>
      <c r="R11" s="45">
        <f t="shared" si="11"/>
        <v>1.9290123701291636E-4</v>
      </c>
    </row>
    <row r="12" spans="1:18">
      <c r="A12" s="14">
        <f t="shared" si="12"/>
        <v>10</v>
      </c>
      <c r="B12" s="14">
        <v>98835</v>
      </c>
      <c r="C12" s="14">
        <f t="shared" si="5"/>
        <v>21</v>
      </c>
      <c r="D12" s="14">
        <f t="shared" si="6"/>
        <v>2.1247533768401882E-4</v>
      </c>
      <c r="E12" s="12">
        <f t="shared" si="0"/>
        <v>0.99978752466231602</v>
      </c>
      <c r="F12" s="14">
        <f>SUM(B12:B$108)</f>
        <v>6310848</v>
      </c>
      <c r="G12" s="14">
        <f t="shared" si="1"/>
        <v>63.852359993929277</v>
      </c>
      <c r="H12" s="10"/>
      <c r="I12" s="2">
        <f t="shared" si="7"/>
        <v>18883.856587406237</v>
      </c>
      <c r="J12" s="2">
        <f t="shared" si="8"/>
        <v>3.6936710710817318</v>
      </c>
      <c r="K12" s="1">
        <f t="shared" si="9"/>
        <v>24430.500429554613</v>
      </c>
      <c r="L12" s="3">
        <f t="shared" si="13"/>
        <v>4.8405194666242846</v>
      </c>
      <c r="M12" s="8">
        <f t="shared" si="10"/>
        <v>38105.171010767743</v>
      </c>
      <c r="N12" s="5">
        <f t="shared" si="2"/>
        <v>7.7196231631206205</v>
      </c>
      <c r="O12" s="269">
        <f>SUM($M12:$M$108)</f>
        <v>413953.93659603258</v>
      </c>
      <c r="P12" s="7">
        <f t="shared" si="3"/>
        <v>1.9559940280128288E-4</v>
      </c>
      <c r="Q12" s="44">
        <f t="shared" si="4"/>
        <v>1.9813427402283183E-4</v>
      </c>
      <c r="R12" s="45">
        <f t="shared" si="11"/>
        <v>2.0258728561903613E-4</v>
      </c>
    </row>
    <row r="13" spans="1:18">
      <c r="A13" s="14">
        <f t="shared" si="12"/>
        <v>11</v>
      </c>
      <c r="B13" s="14">
        <v>98814</v>
      </c>
      <c r="C13" s="14">
        <f t="shared" si="5"/>
        <v>21</v>
      </c>
      <c r="D13" s="14">
        <f t="shared" si="6"/>
        <v>2.1252049304754388E-4</v>
      </c>
      <c r="E13" s="12">
        <f t="shared" si="0"/>
        <v>0.99978747950695246</v>
      </c>
      <c r="F13" s="14">
        <f>SUM(B13:B$108)</f>
        <v>6212013</v>
      </c>
      <c r="G13" s="14">
        <f t="shared" si="1"/>
        <v>62.865717408464384</v>
      </c>
      <c r="H13" s="10"/>
      <c r="I13" s="2">
        <f t="shared" si="7"/>
        <v>15999.867994577162</v>
      </c>
      <c r="J13" s="2">
        <f t="shared" si="8"/>
        <v>3.1302297212557049</v>
      </c>
      <c r="K13" s="1">
        <f t="shared" si="9"/>
        <v>21239.399609327003</v>
      </c>
      <c r="L13" s="3">
        <f t="shared" si="13"/>
        <v>4.2091473622819873</v>
      </c>
      <c r="M13" s="8">
        <f t="shared" si="10"/>
        <v>34633.70418335429</v>
      </c>
      <c r="N13" s="5">
        <f t="shared" si="2"/>
        <v>7.0178392392005629</v>
      </c>
      <c r="O13" s="269">
        <f>SUM($M13:$M$108)</f>
        <v>375848.76558526495</v>
      </c>
      <c r="P13" s="7">
        <f t="shared" si="3"/>
        <v>1.9564097168280601E-4</v>
      </c>
      <c r="Q13" s="44">
        <f t="shared" si="4"/>
        <v>1.9817638161643682E-4</v>
      </c>
      <c r="R13" s="45">
        <f t="shared" si="11"/>
        <v>2.0263033956886104E-4</v>
      </c>
    </row>
    <row r="14" spans="1:18">
      <c r="A14" s="14">
        <f t="shared" si="12"/>
        <v>12</v>
      </c>
      <c r="B14" s="14">
        <v>98793</v>
      </c>
      <c r="C14" s="14">
        <f t="shared" si="5"/>
        <v>22</v>
      </c>
      <c r="D14" s="14">
        <f t="shared" si="6"/>
        <v>2.2268784225603028E-4</v>
      </c>
      <c r="E14" s="12">
        <f t="shared" si="0"/>
        <v>0.99977731215774401</v>
      </c>
      <c r="F14" s="14">
        <f>SUM(B14:B$108)</f>
        <v>6113199</v>
      </c>
      <c r="G14" s="14">
        <f t="shared" si="1"/>
        <v>61.878867935987365</v>
      </c>
      <c r="H14" s="10"/>
      <c r="I14" s="2">
        <f t="shared" si="7"/>
        <v>13556.328554866323</v>
      </c>
      <c r="J14" s="2">
        <f t="shared" si="8"/>
        <v>2.7790578639074051</v>
      </c>
      <c r="K14" s="1">
        <f t="shared" si="9"/>
        <v>18465.118088391304</v>
      </c>
      <c r="L14" s="3">
        <f t="shared" si="13"/>
        <v>3.8344199573583326</v>
      </c>
      <c r="M14" s="8">
        <f t="shared" si="10"/>
        <v>31478.494374059253</v>
      </c>
      <c r="N14" s="5">
        <f t="shared" si="2"/>
        <v>6.683656418286251</v>
      </c>
      <c r="O14" s="269">
        <f>SUM($M14:$M$108)</f>
        <v>341215.06140191061</v>
      </c>
      <c r="P14" s="7">
        <f t="shared" si="3"/>
        <v>2.0500077529544717E-4</v>
      </c>
      <c r="Q14" s="44">
        <f t="shared" si="4"/>
        <v>2.0765748364040874E-4</v>
      </c>
      <c r="R14" s="45">
        <f t="shared" si="11"/>
        <v>2.1232452667094864E-4</v>
      </c>
    </row>
    <row r="15" spans="1:18">
      <c r="A15" s="14">
        <f t="shared" si="12"/>
        <v>13</v>
      </c>
      <c r="B15" s="14">
        <v>98771</v>
      </c>
      <c r="C15" s="14">
        <f t="shared" si="5"/>
        <v>26</v>
      </c>
      <c r="D15" s="14">
        <f t="shared" si="6"/>
        <v>2.6323516011784835E-4</v>
      </c>
      <c r="E15" s="12">
        <f t="shared" si="0"/>
        <v>0.99973676483988216</v>
      </c>
      <c r="F15" s="14">
        <f>SUM(B15:B$108)</f>
        <v>6014406</v>
      </c>
      <c r="G15" s="14">
        <f t="shared" si="1"/>
        <v>60.892427939374919</v>
      </c>
      <c r="H15" s="10"/>
      <c r="I15" s="2">
        <f t="shared" si="7"/>
        <v>11485.855699416548</v>
      </c>
      <c r="J15" s="2">
        <f t="shared" si="8"/>
        <v>2.7833399253309921</v>
      </c>
      <c r="K15" s="1">
        <f t="shared" si="9"/>
        <v>16053.048809641041</v>
      </c>
      <c r="L15" s="3">
        <f t="shared" si="13"/>
        <v>3.9405106281152826</v>
      </c>
      <c r="M15" s="8">
        <f t="shared" si="10"/>
        <v>28610.440450972386</v>
      </c>
      <c r="N15" s="5">
        <f t="shared" si="2"/>
        <v>7.1807878874149793</v>
      </c>
      <c r="O15" s="269">
        <f>SUM($M15:$M$108)</f>
        <v>309736.56702785136</v>
      </c>
      <c r="P15" s="7">
        <f t="shared" si="3"/>
        <v>2.4232760694289224E-4</v>
      </c>
      <c r="Q15" s="44">
        <f t="shared" si="4"/>
        <v>2.4546805250780246E-4</v>
      </c>
      <c r="R15" s="45">
        <f t="shared" si="11"/>
        <v>2.5098487734644175E-4</v>
      </c>
    </row>
    <row r="16" spans="1:18">
      <c r="A16" s="14">
        <f t="shared" si="12"/>
        <v>14</v>
      </c>
      <c r="B16" s="14">
        <v>98745</v>
      </c>
      <c r="C16" s="14">
        <f t="shared" si="5"/>
        <v>33</v>
      </c>
      <c r="D16" s="14">
        <f t="shared" si="6"/>
        <v>3.3419413641197021E-4</v>
      </c>
      <c r="E16" s="12">
        <f t="shared" si="0"/>
        <v>0.999665805863588</v>
      </c>
      <c r="F16" s="14">
        <f>SUM(B16:B$108)</f>
        <v>5915635</v>
      </c>
      <c r="G16" s="14">
        <f t="shared" si="1"/>
        <v>59.908197883437133</v>
      </c>
      <c r="H16" s="10"/>
      <c r="I16" s="2">
        <f t="shared" si="7"/>
        <v>9731.2137443664578</v>
      </c>
      <c r="J16" s="2">
        <f t="shared" si="8"/>
        <v>2.9938141308970905</v>
      </c>
      <c r="K16" s="1">
        <f t="shared" si="9"/>
        <v>13955.498332841093</v>
      </c>
      <c r="L16" s="3">
        <f t="shared" si="13"/>
        <v>4.3490585527693764</v>
      </c>
      <c r="M16" s="8">
        <f t="shared" si="10"/>
        <v>26002.644706453844</v>
      </c>
      <c r="N16" s="5">
        <f t="shared" si="2"/>
        <v>8.2855244854788221</v>
      </c>
      <c r="O16" s="269">
        <f>SUM($M16:$M$108)</f>
        <v>281126.12657687895</v>
      </c>
      <c r="P16" s="7">
        <f t="shared" si="3"/>
        <v>3.0765063943130974E-4</v>
      </c>
      <c r="Q16" s="44">
        <f t="shared" si="4"/>
        <v>3.1163763908988157E-4</v>
      </c>
      <c r="R16" s="45">
        <f t="shared" si="11"/>
        <v>3.1864160661405178E-4</v>
      </c>
    </row>
    <row r="17" spans="1:18">
      <c r="A17" s="14">
        <f t="shared" si="12"/>
        <v>15</v>
      </c>
      <c r="B17" s="14">
        <v>98712</v>
      </c>
      <c r="C17" s="14">
        <f t="shared" si="5"/>
        <v>45</v>
      </c>
      <c r="D17" s="14">
        <f t="shared" si="6"/>
        <v>4.5587162654996355E-4</v>
      </c>
      <c r="E17" s="12">
        <f t="shared" si="0"/>
        <v>0.99954412837345008</v>
      </c>
      <c r="F17" s="14">
        <f>SUM(B17:B$108)</f>
        <v>5816890</v>
      </c>
      <c r="G17" s="14">
        <f t="shared" si="1"/>
        <v>58.927891239160388</v>
      </c>
      <c r="H17" s="10"/>
      <c r="I17" s="2">
        <f t="shared" si="7"/>
        <v>8244.0352794855244</v>
      </c>
      <c r="J17" s="2">
        <f t="shared" si="8"/>
        <v>3.4597235719149739</v>
      </c>
      <c r="K17" s="1">
        <f t="shared" si="9"/>
        <v>12131.160423589177</v>
      </c>
      <c r="L17" s="3">
        <f t="shared" si="13"/>
        <v>5.1569864262087455</v>
      </c>
      <c r="M17" s="8">
        <f t="shared" si="10"/>
        <v>23630.867977328857</v>
      </c>
      <c r="N17" s="5">
        <f t="shared" si="2"/>
        <v>10.271311345634903</v>
      </c>
      <c r="O17" s="269">
        <f>SUM($M17:$M$108)</f>
        <v>255123.48187042525</v>
      </c>
      <c r="P17" s="7">
        <f t="shared" si="3"/>
        <v>4.1966384842191998E-4</v>
      </c>
      <c r="Q17" s="44">
        <f t="shared" si="4"/>
        <v>4.2510248369817348E-4</v>
      </c>
      <c r="R17" s="45">
        <f t="shared" si="11"/>
        <v>4.3465654141392791E-4</v>
      </c>
    </row>
    <row r="18" spans="1:18">
      <c r="A18" s="14">
        <f t="shared" si="12"/>
        <v>16</v>
      </c>
      <c r="B18" s="14">
        <v>98667</v>
      </c>
      <c r="C18" s="14">
        <f t="shared" si="5"/>
        <v>61</v>
      </c>
      <c r="D18" s="14">
        <f t="shared" si="6"/>
        <v>6.1824115459069393E-4</v>
      </c>
      <c r="E18" s="12">
        <f t="shared" si="0"/>
        <v>0.99938175884540925</v>
      </c>
      <c r="F18" s="14">
        <f>SUM(B18:B$108)</f>
        <v>5718178</v>
      </c>
      <c r="G18" s="14">
        <f t="shared" si="1"/>
        <v>57.954310965165661</v>
      </c>
      <c r="H18" s="10"/>
      <c r="I18" s="2">
        <f t="shared" si="7"/>
        <v>6983.2856421299421</v>
      </c>
      <c r="J18" s="2">
        <f t="shared" si="8"/>
        <v>3.9744470411829269</v>
      </c>
      <c r="K18" s="1">
        <f t="shared" si="9"/>
        <v>10544.026236308642</v>
      </c>
      <c r="L18" s="3">
        <f t="shared" si="13"/>
        <v>6.0787666086711809</v>
      </c>
      <c r="M18" s="8">
        <f t="shared" si="10"/>
        <v>21472.813941006585</v>
      </c>
      <c r="N18" s="5">
        <f t="shared" si="2"/>
        <v>12.657575597651093</v>
      </c>
      <c r="O18" s="269">
        <f>SUM($M18:$M$108)</f>
        <v>231492.61389309636</v>
      </c>
      <c r="P18" s="7">
        <f t="shared" si="3"/>
        <v>5.6913711465634642E-4</v>
      </c>
      <c r="Q18" s="44">
        <f t="shared" si="4"/>
        <v>5.7651284930786519E-4</v>
      </c>
      <c r="R18" s="45">
        <f t="shared" si="11"/>
        <v>5.8946981203422753E-4</v>
      </c>
    </row>
    <row r="19" spans="1:18">
      <c r="A19" s="14">
        <f t="shared" si="12"/>
        <v>17</v>
      </c>
      <c r="B19" s="14">
        <v>98606</v>
      </c>
      <c r="C19" s="14">
        <f t="shared" si="5"/>
        <v>86</v>
      </c>
      <c r="D19" s="14">
        <f t="shared" si="6"/>
        <v>8.7215788085917697E-4</v>
      </c>
      <c r="E19" s="12">
        <f t="shared" si="0"/>
        <v>0.99912784211914085</v>
      </c>
      <c r="F19" s="14">
        <f>SUM(B19:B$108)</f>
        <v>5619511</v>
      </c>
      <c r="G19" s="14">
        <f t="shared" si="1"/>
        <v>56.989544246800399</v>
      </c>
      <c r="H19" s="10"/>
      <c r="I19" s="2">
        <f t="shared" si="7"/>
        <v>5914.3799047048433</v>
      </c>
      <c r="J19" s="2">
        <f t="shared" si="8"/>
        <v>4.7485752367564844</v>
      </c>
      <c r="K19" s="1">
        <f t="shared" si="9"/>
        <v>9163.0499872645851</v>
      </c>
      <c r="L19" s="3">
        <f t="shared" si="13"/>
        <v>7.4522299122697282</v>
      </c>
      <c r="M19" s="8">
        <f t="shared" si="10"/>
        <v>19508.671421566716</v>
      </c>
      <c r="N19" s="5">
        <f t="shared" si="2"/>
        <v>16.222824163904527</v>
      </c>
      <c r="O19" s="269">
        <f>SUM($M19:$M$108)</f>
        <v>210019.79995208976</v>
      </c>
      <c r="P19" s="7">
        <f t="shared" si="3"/>
        <v>8.0288640791894845E-4</v>
      </c>
      <c r="Q19" s="44">
        <f t="shared" si="4"/>
        <v>8.1329141744586483E-4</v>
      </c>
      <c r="R19" s="45">
        <f t="shared" si="11"/>
        <v>8.3156991131493941E-4</v>
      </c>
    </row>
    <row r="20" spans="1:18">
      <c r="A20" s="14">
        <f t="shared" si="12"/>
        <v>18</v>
      </c>
      <c r="B20" s="14">
        <v>98520</v>
      </c>
      <c r="C20" s="14">
        <f t="shared" si="5"/>
        <v>114</v>
      </c>
      <c r="D20" s="14">
        <f t="shared" si="6"/>
        <v>1.1571254567600488E-3</v>
      </c>
      <c r="E20" s="12">
        <f t="shared" si="0"/>
        <v>0.99884287454323994</v>
      </c>
      <c r="F20" s="14">
        <f>SUM(B20:B$108)</f>
        <v>5520905</v>
      </c>
      <c r="G20" s="14">
        <f t="shared" si="1"/>
        <v>56.038418595209095</v>
      </c>
      <c r="H20" s="10"/>
      <c r="I20" s="2">
        <f t="shared" si="7"/>
        <v>5007.8149420852205</v>
      </c>
      <c r="J20" s="2">
        <f t="shared" si="8"/>
        <v>5.3344262612360991</v>
      </c>
      <c r="K20" s="1">
        <f t="shared" si="9"/>
        <v>7960.9203139178153</v>
      </c>
      <c r="L20" s="3">
        <f t="shared" si="13"/>
        <v>8.5900324570146545</v>
      </c>
      <c r="M20" s="8">
        <f t="shared" si="10"/>
        <v>17719.687981855728</v>
      </c>
      <c r="N20" s="5">
        <f t="shared" si="2"/>
        <v>19.549703537897631</v>
      </c>
      <c r="O20" s="269">
        <f>SUM($M20:$M$108)</f>
        <v>190511.12853052307</v>
      </c>
      <c r="P20" s="7">
        <f t="shared" si="3"/>
        <v>1.0652203252173053E-3</v>
      </c>
      <c r="Q20" s="44">
        <f t="shared" si="4"/>
        <v>1.0790250521660145E-3</v>
      </c>
      <c r="R20" s="45">
        <f t="shared" si="11"/>
        <v>1.1032758340844245E-3</v>
      </c>
    </row>
    <row r="21" spans="1:18">
      <c r="A21" s="14">
        <f t="shared" si="12"/>
        <v>19</v>
      </c>
      <c r="B21" s="14">
        <v>98406</v>
      </c>
      <c r="C21" s="14">
        <f t="shared" si="5"/>
        <v>129</v>
      </c>
      <c r="D21" s="14">
        <f t="shared" si="6"/>
        <v>1.3108956770928602E-3</v>
      </c>
      <c r="E21" s="12">
        <f t="shared" si="0"/>
        <v>0.99868910432290714</v>
      </c>
      <c r="F21" s="14">
        <f>SUM(B21:B$108)</f>
        <v>5422385</v>
      </c>
      <c r="G21" s="14">
        <f t="shared" si="1"/>
        <v>55.102178728939293</v>
      </c>
      <c r="H21" s="10"/>
      <c r="I21" s="2">
        <f t="shared" si="7"/>
        <v>4239.0002304516875</v>
      </c>
      <c r="J21" s="2">
        <f t="shared" si="8"/>
        <v>5.1155291978847517</v>
      </c>
      <c r="K21" s="1">
        <f t="shared" si="9"/>
        <v>6914.5291568376897</v>
      </c>
      <c r="L21" s="3">
        <f t="shared" si="13"/>
        <v>8.4524346831036645</v>
      </c>
      <c r="M21" s="8">
        <f t="shared" si="10"/>
        <v>16090.167345278249</v>
      </c>
      <c r="N21" s="5">
        <f t="shared" si="2"/>
        <v>20.110939046162631</v>
      </c>
      <c r="O21" s="269">
        <f>SUM($M21:$M$108)</f>
        <v>172791.44054866736</v>
      </c>
      <c r="P21" s="7">
        <f t="shared" si="3"/>
        <v>1.2067772870443241E-3</v>
      </c>
      <c r="Q21" s="44">
        <f t="shared" si="4"/>
        <v>1.2224165219905335E-3</v>
      </c>
      <c r="R21" s="45">
        <f t="shared" si="11"/>
        <v>1.2498899865118122E-3</v>
      </c>
    </row>
    <row r="22" spans="1:18">
      <c r="A22" s="14">
        <f t="shared" si="12"/>
        <v>20</v>
      </c>
      <c r="B22" s="14">
        <v>98277</v>
      </c>
      <c r="C22" s="14">
        <f t="shared" si="5"/>
        <v>140</v>
      </c>
      <c r="D22" s="14">
        <f t="shared" si="6"/>
        <v>1.4245449087782493E-3</v>
      </c>
      <c r="E22" s="12">
        <f t="shared" si="0"/>
        <v>0.9985754550912217</v>
      </c>
      <c r="F22" s="14">
        <f>SUM(B22:B$108)</f>
        <v>5323979</v>
      </c>
      <c r="G22" s="14">
        <f t="shared" si="1"/>
        <v>54.173194134945106</v>
      </c>
      <c r="H22" s="10"/>
      <c r="I22" s="2">
        <f t="shared" si="7"/>
        <v>3587.6638503172821</v>
      </c>
      <c r="J22" s="2">
        <f t="shared" si="8"/>
        <v>4.7048619610029254</v>
      </c>
      <c r="K22" s="1">
        <f t="shared" si="9"/>
        <v>6004.7521134407471</v>
      </c>
      <c r="L22" s="3">
        <f t="shared" si="13"/>
        <v>7.9766825455646293</v>
      </c>
      <c r="M22" s="8">
        <f t="shared" si="10"/>
        <v>14608.249831328749</v>
      </c>
      <c r="N22" s="5">
        <f t="shared" si="2"/>
        <v>19.841659383106194</v>
      </c>
      <c r="O22" s="269">
        <f>SUM($M22:$M$108)</f>
        <v>156701.27320338908</v>
      </c>
      <c r="P22" s="7">
        <f t="shared" si="3"/>
        <v>1.3113998850775392E-3</v>
      </c>
      <c r="Q22" s="44">
        <f t="shared" si="4"/>
        <v>1.3283949769899758E-3</v>
      </c>
      <c r="R22" s="45">
        <f t="shared" si="11"/>
        <v>1.3582502772203355E-3</v>
      </c>
    </row>
    <row r="23" spans="1:18">
      <c r="A23" s="14">
        <f t="shared" si="12"/>
        <v>21</v>
      </c>
      <c r="B23" s="14">
        <v>98137</v>
      </c>
      <c r="C23" s="14">
        <f t="shared" si="5"/>
        <v>150</v>
      </c>
      <c r="D23" s="14">
        <f t="shared" si="6"/>
        <v>1.5284754985377584E-3</v>
      </c>
      <c r="E23" s="12">
        <f t="shared" si="0"/>
        <v>0.99847152450146226</v>
      </c>
      <c r="F23" s="14">
        <f>SUM(B23:B$108)</f>
        <v>5225702</v>
      </c>
      <c r="G23" s="14">
        <f t="shared" si="1"/>
        <v>53.249049797731743</v>
      </c>
      <c r="H23" s="10"/>
      <c r="I23" s="2">
        <f t="shared" si="7"/>
        <v>3036.061916987208</v>
      </c>
      <c r="J23" s="2">
        <f t="shared" si="8"/>
        <v>4.2719690929203322</v>
      </c>
      <c r="K23" s="1">
        <f t="shared" si="9"/>
        <v>5214.0852820774517</v>
      </c>
      <c r="L23" s="3">
        <f t="shared" si="13"/>
        <v>7.4316918126378555</v>
      </c>
      <c r="M23" s="8">
        <f t="shared" si="10"/>
        <v>13261.308839459425</v>
      </c>
      <c r="N23" s="5">
        <f t="shared" si="2"/>
        <v>19.326291606921615</v>
      </c>
      <c r="O23" s="269">
        <f>SUM($M23:$M$108)</f>
        <v>142093.02337206039</v>
      </c>
      <c r="P23" s="7">
        <f t="shared" si="3"/>
        <v>1.4070757480333467E-3</v>
      </c>
      <c r="Q23" s="44">
        <f t="shared" si="4"/>
        <v>1.4253107516639699E-3</v>
      </c>
      <c r="R23" s="45">
        <f t="shared" si="11"/>
        <v>1.4573442064342585E-3</v>
      </c>
    </row>
    <row r="24" spans="1:18">
      <c r="A24" s="14">
        <f t="shared" si="12"/>
        <v>22</v>
      </c>
      <c r="B24" s="14">
        <v>97987</v>
      </c>
      <c r="C24" s="14">
        <f t="shared" si="5"/>
        <v>157</v>
      </c>
      <c r="D24" s="14">
        <f t="shared" si="6"/>
        <v>1.6022533601396103E-3</v>
      </c>
      <c r="E24" s="12">
        <f t="shared" si="0"/>
        <v>0.99839774663986036</v>
      </c>
      <c r="F24" s="14">
        <f>SUM(B24:B$108)</f>
        <v>5127565</v>
      </c>
      <c r="G24" s="14">
        <f t="shared" si="1"/>
        <v>52.329033443211856</v>
      </c>
      <c r="H24" s="10"/>
      <c r="I24" s="2">
        <f t="shared" si="7"/>
        <v>2569.0011616398724</v>
      </c>
      <c r="J24" s="2">
        <f t="shared" si="8"/>
        <v>3.7892607208389393</v>
      </c>
      <c r="K24" s="1">
        <f t="shared" si="9"/>
        <v>4527.0571134578349</v>
      </c>
      <c r="L24" s="3">
        <f t="shared" si="13"/>
        <v>6.7639166062848872</v>
      </c>
      <c r="M24" s="8">
        <f t="shared" si="10"/>
        <v>12037.308412563425</v>
      </c>
      <c r="N24" s="5">
        <f t="shared" si="2"/>
        <v>18.389259286586022</v>
      </c>
      <c r="O24" s="269">
        <f>SUM($M24:$M$108)</f>
        <v>128831.71453260086</v>
      </c>
      <c r="P24" s="7">
        <f t="shared" si="3"/>
        <v>1.4749937747868271E-3</v>
      </c>
      <c r="Q24" s="44">
        <f t="shared" si="4"/>
        <v>1.4941089623493849E-3</v>
      </c>
      <c r="R24" s="45">
        <f t="shared" si="11"/>
        <v>1.5276886373861635E-3</v>
      </c>
    </row>
    <row r="25" spans="1:18">
      <c r="A25" s="14">
        <f t="shared" si="12"/>
        <v>23</v>
      </c>
      <c r="B25" s="14">
        <v>97830</v>
      </c>
      <c r="C25" s="14">
        <f t="shared" si="5"/>
        <v>153</v>
      </c>
      <c r="D25" s="14">
        <f t="shared" si="6"/>
        <v>1.5639374425022998E-3</v>
      </c>
      <c r="E25" s="12">
        <f t="shared" si="0"/>
        <v>0.99843606255749773</v>
      </c>
      <c r="F25" s="14">
        <f>SUM(B25:B$108)</f>
        <v>5029578</v>
      </c>
      <c r="G25" s="14">
        <f t="shared" si="1"/>
        <v>51.411407543698253</v>
      </c>
      <c r="H25" s="10"/>
      <c r="I25" s="2">
        <f t="shared" si="7"/>
        <v>2173.6313312681627</v>
      </c>
      <c r="J25" s="2">
        <f t="shared" si="8"/>
        <v>3.12942292069717</v>
      </c>
      <c r="K25" s="1">
        <f t="shared" si="9"/>
        <v>3930.2640182489167</v>
      </c>
      <c r="L25" s="3">
        <f t="shared" si="13"/>
        <v>5.7318152354560405</v>
      </c>
      <c r="M25" s="8">
        <f t="shared" si="10"/>
        <v>10925.474177011234</v>
      </c>
      <c r="N25" s="5">
        <f t="shared" si="2"/>
        <v>16.291584660380202</v>
      </c>
      <c r="O25" s="269">
        <f>SUM($M25:$M$108)</f>
        <v>116794.40612003744</v>
      </c>
      <c r="P25" s="7">
        <f t="shared" si="3"/>
        <v>1.4397211135484366E-3</v>
      </c>
      <c r="Q25" s="44">
        <f t="shared" si="4"/>
        <v>1.4583791849204532E-3</v>
      </c>
      <c r="R25" s="45">
        <f t="shared" si="11"/>
        <v>1.4911558433463726E-3</v>
      </c>
    </row>
    <row r="26" spans="1:18">
      <c r="A26" s="14">
        <f t="shared" si="12"/>
        <v>24</v>
      </c>
      <c r="B26" s="14">
        <v>97677</v>
      </c>
      <c r="C26" s="14">
        <f t="shared" si="5"/>
        <v>153</v>
      </c>
      <c r="D26" s="14">
        <f t="shared" si="6"/>
        <v>1.5663871740532571E-3</v>
      </c>
      <c r="E26" s="12">
        <f t="shared" si="0"/>
        <v>0.99843361282594678</v>
      </c>
      <c r="F26" s="14">
        <f>SUM(B26:B$108)</f>
        <v>4931748</v>
      </c>
      <c r="G26" s="14">
        <f t="shared" si="1"/>
        <v>50.490371325900675</v>
      </c>
      <c r="H26" s="10"/>
      <c r="I26" s="2">
        <f t="shared" si="7"/>
        <v>1839.1795829177936</v>
      </c>
      <c r="J26" s="2">
        <f t="shared" si="8"/>
        <v>2.6520533226247203</v>
      </c>
      <c r="K26" s="1">
        <f t="shared" si="9"/>
        <v>3412.2759401668332</v>
      </c>
      <c r="L26" s="3">
        <f t="shared" si="13"/>
        <v>4.9841871612661226</v>
      </c>
      <c r="M26" s="8">
        <f t="shared" si="10"/>
        <v>9916.7158353351952</v>
      </c>
      <c r="N26" s="5">
        <f t="shared" si="2"/>
        <v>14.810531509436547</v>
      </c>
      <c r="O26" s="269">
        <f>SUM($M26:$M$108)</f>
        <v>105868.93194302621</v>
      </c>
      <c r="P26" s="7">
        <f t="shared" si="3"/>
        <v>1.4419762742349125E-3</v>
      </c>
      <c r="Q26" s="44">
        <f t="shared" si="4"/>
        <v>1.4606635713706189E-3</v>
      </c>
      <c r="R26" s="45">
        <f t="shared" si="11"/>
        <v>1.4934915707339048E-3</v>
      </c>
    </row>
    <row r="27" spans="1:18">
      <c r="A27" s="14">
        <f t="shared" si="12"/>
        <v>25</v>
      </c>
      <c r="B27" s="14">
        <v>97524</v>
      </c>
      <c r="C27" s="14">
        <f t="shared" si="5"/>
        <v>151</v>
      </c>
      <c r="D27" s="14">
        <f t="shared" si="6"/>
        <v>1.548336819654649E-3</v>
      </c>
      <c r="E27" s="12">
        <f t="shared" si="0"/>
        <v>0.99845166318034539</v>
      </c>
      <c r="F27" s="14">
        <f>SUM(B27:B$108)</f>
        <v>4834071</v>
      </c>
      <c r="G27" s="14">
        <f t="shared" si="1"/>
        <v>49.568014027316352</v>
      </c>
      <c r="H27" s="10"/>
      <c r="I27" s="2">
        <f t="shared" si="7"/>
        <v>1556.1853522104498</v>
      </c>
      <c r="J27" s="2">
        <f>(C27/((1+$H$2)^(A27+0.5)))</f>
        <v>2.2181236940087117</v>
      </c>
      <c r="K27" s="1">
        <f t="shared" si="9"/>
        <v>2962.5486912172396</v>
      </c>
      <c r="L27" s="3">
        <f t="shared" si="13"/>
        <v>4.2774212068836865</v>
      </c>
      <c r="M27" s="8">
        <f t="shared" si="10"/>
        <v>9001.0749262199952</v>
      </c>
      <c r="N27" s="5">
        <f t="shared" si="2"/>
        <v>13.288117991235399</v>
      </c>
      <c r="O27" s="269">
        <f>SUM($M27:$M$108)</f>
        <v>95952.216107691027</v>
      </c>
      <c r="P27" s="7">
        <f t="shared" si="3"/>
        <v>1.4253595761314845E-3</v>
      </c>
      <c r="Q27" s="44">
        <f t="shared" si="4"/>
        <v>1.4438315291034752E-3</v>
      </c>
      <c r="R27" s="45">
        <f t="shared" si="11"/>
        <v>1.4762812330922069E-3</v>
      </c>
    </row>
    <row r="28" spans="1:18">
      <c r="A28" s="14">
        <f t="shared" si="12"/>
        <v>26</v>
      </c>
      <c r="B28" s="14">
        <v>97373</v>
      </c>
      <c r="C28" s="14">
        <f t="shared" si="5"/>
        <v>151</v>
      </c>
      <c r="D28" s="14">
        <f t="shared" si="6"/>
        <v>1.5507378842184178E-3</v>
      </c>
      <c r="E28" s="12">
        <f t="shared" si="0"/>
        <v>0.99844926211578156</v>
      </c>
      <c r="F28" s="14">
        <f>SUM(B28:B$108)</f>
        <v>4736547</v>
      </c>
      <c r="G28" s="14">
        <f t="shared" si="1"/>
        <v>48.643330286629762</v>
      </c>
      <c r="H28" s="10"/>
      <c r="I28" s="2">
        <f t="shared" si="7"/>
        <v>1316.7591975689961</v>
      </c>
      <c r="J28" s="2">
        <f t="shared" si="8"/>
        <v>1.8797658423802643</v>
      </c>
      <c r="K28" s="1">
        <f t="shared" si="9"/>
        <v>2572.1405808683548</v>
      </c>
      <c r="L28" s="3">
        <f t="shared" si="13"/>
        <v>3.7194967016379881</v>
      </c>
      <c r="M28" s="8">
        <f t="shared" si="10"/>
        <v>8170.1256640865977</v>
      </c>
      <c r="N28" s="5">
        <f t="shared" si="2"/>
        <v>12.080107264759455</v>
      </c>
      <c r="O28" s="269">
        <f>SUM($M28:$M$108)</f>
        <v>86951.14118147103</v>
      </c>
      <c r="P28" s="7">
        <f t="shared" si="3"/>
        <v>1.4275699352248249E-3</v>
      </c>
      <c r="Q28" s="44">
        <f t="shared" si="4"/>
        <v>1.4460705333540851E-3</v>
      </c>
      <c r="R28" s="45">
        <f t="shared" si="11"/>
        <v>1.478570558328124E-3</v>
      </c>
    </row>
    <row r="29" spans="1:18">
      <c r="A29" s="14">
        <f t="shared" si="12"/>
        <v>27</v>
      </c>
      <c r="B29" s="14">
        <v>97222</v>
      </c>
      <c r="C29" s="14">
        <f t="shared" si="5"/>
        <v>152</v>
      </c>
      <c r="D29" s="14">
        <f t="shared" si="6"/>
        <v>1.5634321449877599E-3</v>
      </c>
      <c r="E29" s="12">
        <f t="shared" si="0"/>
        <v>0.99843656785501222</v>
      </c>
      <c r="F29" s="14">
        <f>SUM(B29:B$108)</f>
        <v>4639174</v>
      </c>
      <c r="G29" s="14">
        <f t="shared" si="1"/>
        <v>47.717327353891093</v>
      </c>
      <c r="H29" s="10"/>
      <c r="I29" s="2">
        <f t="shared" si="7"/>
        <v>1114.1671603363836</v>
      </c>
      <c r="J29" s="2">
        <f t="shared" si="8"/>
        <v>1.6035717142316772</v>
      </c>
      <c r="K29" s="1">
        <f t="shared" si="9"/>
        <v>2233.1755348052757</v>
      </c>
      <c r="L29" s="3">
        <f t="shared" si="13"/>
        <v>3.255764460978833</v>
      </c>
      <c r="M29" s="8">
        <f t="shared" si="10"/>
        <v>7415.8690370004297</v>
      </c>
      <c r="N29" s="5">
        <f t="shared" si="2"/>
        <v>11.054643613747364</v>
      </c>
      <c r="O29" s="269">
        <f>SUM($M29:$M$108)</f>
        <v>78781.01551738441</v>
      </c>
      <c r="P29" s="7">
        <f t="shared" si="3"/>
        <v>1.4392559494820643E-3</v>
      </c>
      <c r="Q29" s="44">
        <f t="shared" si="4"/>
        <v>1.4579079925585532E-3</v>
      </c>
      <c r="R29" s="45">
        <f t="shared" si="11"/>
        <v>1.4906740610698198E-3</v>
      </c>
    </row>
    <row r="30" spans="1:18">
      <c r="A30" s="14">
        <f t="shared" si="12"/>
        <v>28</v>
      </c>
      <c r="B30" s="14">
        <v>97070</v>
      </c>
      <c r="C30" s="14">
        <f t="shared" si="5"/>
        <v>154</v>
      </c>
      <c r="D30" s="14">
        <f t="shared" si="6"/>
        <v>1.5864839806325332E-3</v>
      </c>
      <c r="E30" s="12">
        <f t="shared" si="0"/>
        <v>0.99841351601936745</v>
      </c>
      <c r="F30" s="14">
        <f>SUM(B30:B$108)</f>
        <v>4541952</v>
      </c>
      <c r="G30" s="14">
        <f t="shared" si="1"/>
        <v>46.790481096116203</v>
      </c>
      <c r="H30" s="10"/>
      <c r="I30" s="2">
        <f t="shared" si="7"/>
        <v>942.73325049408822</v>
      </c>
      <c r="J30" s="2">
        <f t="shared" si="8"/>
        <v>1.3768401203817926</v>
      </c>
      <c r="K30" s="1">
        <f t="shared" si="9"/>
        <v>1938.8557533815315</v>
      </c>
      <c r="L30" s="3">
        <f t="shared" si="13"/>
        <v>2.8683508409081249</v>
      </c>
      <c r="M30" s="8">
        <f t="shared" si="10"/>
        <v>6731.1589354226944</v>
      </c>
      <c r="N30" s="5">
        <f t="shared" si="2"/>
        <v>10.181908591609412</v>
      </c>
      <c r="O30" s="269">
        <f>SUM($M30:$M$108)</f>
        <v>71365.146480383992</v>
      </c>
      <c r="P30" s="7">
        <f t="shared" si="3"/>
        <v>1.4604768842726064E-3</v>
      </c>
      <c r="Q30" s="44">
        <f t="shared" si="4"/>
        <v>1.4794039401360693E-3</v>
      </c>
      <c r="R30" s="45">
        <f t="shared" si="11"/>
        <v>1.5126531239705488E-3</v>
      </c>
    </row>
    <row r="31" spans="1:18">
      <c r="A31" s="14">
        <f t="shared" si="12"/>
        <v>29</v>
      </c>
      <c r="B31" s="14">
        <v>96916</v>
      </c>
      <c r="C31" s="14">
        <f t="shared" si="5"/>
        <v>157</v>
      </c>
      <c r="D31" s="14">
        <f t="shared" si="6"/>
        <v>1.6199595526022535E-3</v>
      </c>
      <c r="E31" s="12">
        <f t="shared" si="0"/>
        <v>0.9983800404473977</v>
      </c>
      <c r="F31" s="14">
        <f>SUM(B31:B$108)</f>
        <v>4444882</v>
      </c>
      <c r="G31" s="14">
        <f t="shared" si="1"/>
        <v>45.863242395476497</v>
      </c>
      <c r="H31" s="10"/>
      <c r="I31" s="2">
        <f t="shared" si="7"/>
        <v>797.65899940183874</v>
      </c>
      <c r="J31" s="2">
        <f t="shared" si="8"/>
        <v>1.1895437976003822</v>
      </c>
      <c r="K31" s="1">
        <f t="shared" si="9"/>
        <v>1683.2867737287256</v>
      </c>
      <c r="L31" s="3">
        <f t="shared" si="13"/>
        <v>2.542806787253391</v>
      </c>
      <c r="M31" s="8">
        <f t="shared" si="10"/>
        <v>6109.5273269095951</v>
      </c>
      <c r="N31" s="5">
        <f t="shared" si="2"/>
        <v>9.4365976911610243</v>
      </c>
      <c r="O31" s="269">
        <f>SUM($M31:$M$108)</f>
        <v>64633.987544961266</v>
      </c>
      <c r="P31" s="7">
        <f t="shared" si="3"/>
        <v>1.4912936461475596E-3</v>
      </c>
      <c r="Q31" s="44">
        <f t="shared" si="4"/>
        <v>1.5106200719564281E-3</v>
      </c>
      <c r="R31" s="45">
        <f t="shared" si="11"/>
        <v>1.5445708294972752E-3</v>
      </c>
    </row>
    <row r="32" spans="1:18">
      <c r="A32" s="14">
        <f t="shared" si="12"/>
        <v>30</v>
      </c>
      <c r="B32" s="14">
        <v>96759</v>
      </c>
      <c r="C32" s="14">
        <f t="shared" si="5"/>
        <v>162</v>
      </c>
      <c r="D32" s="14">
        <f t="shared" si="6"/>
        <v>1.6742628592689053E-3</v>
      </c>
      <c r="E32" s="12">
        <f t="shared" si="0"/>
        <v>0.99832573714073114</v>
      </c>
      <c r="F32" s="14">
        <f>SUM(B32:B$108)</f>
        <v>4347966</v>
      </c>
      <c r="G32" s="14">
        <f t="shared" si="1"/>
        <v>44.936036957802372</v>
      </c>
      <c r="H32" s="10"/>
      <c r="I32" s="2">
        <f t="shared" si="7"/>
        <v>674.88713905596489</v>
      </c>
      <c r="J32" s="2">
        <f t="shared" si="8"/>
        <v>1.0401926762995894</v>
      </c>
      <c r="K32" s="1">
        <f t="shared" si="9"/>
        <v>1461.3564497737866</v>
      </c>
      <c r="L32" s="3">
        <f t="shared" si="13"/>
        <v>2.2815546914153941</v>
      </c>
      <c r="M32" s="8">
        <f t="shared" si="10"/>
        <v>5545.1183088677108</v>
      </c>
      <c r="N32" s="5">
        <f t="shared" si="2"/>
        <v>8.851932981865005</v>
      </c>
      <c r="O32" s="269">
        <f>SUM($M32:$M$108)</f>
        <v>58524.460218051667</v>
      </c>
      <c r="P32" s="7">
        <f t="shared" si="3"/>
        <v>1.5412838919328282E-3</v>
      </c>
      <c r="Q32" s="44">
        <f t="shared" si="4"/>
        <v>1.5612581665264294E-3</v>
      </c>
      <c r="R32" s="45">
        <f t="shared" si="11"/>
        <v>1.5963470008762593E-3</v>
      </c>
    </row>
    <row r="33" spans="1:18">
      <c r="A33" s="14">
        <f t="shared" si="12"/>
        <v>31</v>
      </c>
      <c r="B33" s="14">
        <v>96597</v>
      </c>
      <c r="C33" s="14">
        <f t="shared" si="5"/>
        <v>168</v>
      </c>
      <c r="D33" s="14">
        <f t="shared" si="6"/>
        <v>1.7391844467219478E-3</v>
      </c>
      <c r="E33" s="12">
        <f t="shared" si="0"/>
        <v>0.99826081555327806</v>
      </c>
      <c r="F33" s="14">
        <f>SUM(B33:B$108)</f>
        <v>4251207</v>
      </c>
      <c r="G33" s="14">
        <f t="shared" si="1"/>
        <v>44.009720798782574</v>
      </c>
      <c r="H33" s="10"/>
      <c r="I33" s="2">
        <f t="shared" si="7"/>
        <v>570.98067846173331</v>
      </c>
      <c r="J33" s="2">
        <f t="shared" si="8"/>
        <v>0.9141680770994508</v>
      </c>
      <c r="K33" s="1">
        <f t="shared" si="9"/>
        <v>1268.6171782137199</v>
      </c>
      <c r="L33" s="3">
        <f t="shared" si="13"/>
        <v>2.0574406234985849</v>
      </c>
      <c r="M33" s="8">
        <f t="shared" si="10"/>
        <v>5032.5766574844747</v>
      </c>
      <c r="N33" s="5">
        <f t="shared" si="2"/>
        <v>8.3452566832397324</v>
      </c>
      <c r="O33" s="269">
        <f>SUM($M33:$M$108)</f>
        <v>52979.341909183968</v>
      </c>
      <c r="P33" s="7">
        <f t="shared" si="3"/>
        <v>1.6010490574957655E-3</v>
      </c>
      <c r="Q33" s="44">
        <f t="shared" si="4"/>
        <v>1.6217978589849857E-3</v>
      </c>
      <c r="R33" s="45">
        <f t="shared" si="11"/>
        <v>1.6582473057471707E-3</v>
      </c>
    </row>
    <row r="34" spans="1:18">
      <c r="A34" s="14">
        <f t="shared" si="12"/>
        <v>32</v>
      </c>
      <c r="B34" s="14">
        <v>96429</v>
      </c>
      <c r="C34" s="14">
        <f t="shared" si="5"/>
        <v>174</v>
      </c>
      <c r="D34" s="14">
        <f t="shared" si="6"/>
        <v>1.8044364247270012E-3</v>
      </c>
      <c r="E34" s="12">
        <f t="shared" ref="E34:E65" si="14">1-D34</f>
        <v>0.99819556357527295</v>
      </c>
      <c r="F34" s="14">
        <f>SUM(B34:B$108)</f>
        <v>4154610</v>
      </c>
      <c r="G34" s="14">
        <f t="shared" ref="G34:G65" si="15">F34/B34</f>
        <v>43.084652957097965</v>
      </c>
      <c r="H34" s="10"/>
      <c r="I34" s="2">
        <f t="shared" ref="I34:I65" si="16">(B34/((1+$H$2)^A34))</f>
        <v>483.04037097150336</v>
      </c>
      <c r="J34" s="2">
        <f t="shared" ref="J34:J65" si="17">(C34/((1+$H$2)^(A34+0.5)))</f>
        <v>0.80238723474225337</v>
      </c>
      <c r="K34" s="1">
        <f t="shared" si="9"/>
        <v>1101.2267990856753</v>
      </c>
      <c r="L34" s="3">
        <f t="shared" si="13"/>
        <v>1.8529744745794701</v>
      </c>
      <c r="M34" s="8">
        <f t="shared" ref="M34:M65" si="18">B34/((1+$H$4)^(A34))</f>
        <v>4567.1127985771282</v>
      </c>
      <c r="N34" s="5">
        <f t="shared" ref="N34:N65" si="19">C34/((1+$H$4)^(A34+0.5))</f>
        <v>7.8575468770763717</v>
      </c>
      <c r="O34" s="269">
        <f>SUM($M34:$M$108)</f>
        <v>47946.765251699486</v>
      </c>
      <c r="P34" s="7">
        <f t="shared" ref="P34:P65" si="20">J34/I34</f>
        <v>1.6611183722148757E-3</v>
      </c>
      <c r="Q34" s="44">
        <f t="shared" ref="Q34:Q65" si="21">L34/K34</f>
        <v>1.6826456422218878E-3</v>
      </c>
      <c r="R34" s="45">
        <f t="shared" ref="R34:R65" si="22">N34/M34</f>
        <v>1.7204626256492658E-3</v>
      </c>
    </row>
    <row r="35" spans="1:18">
      <c r="A35" s="14">
        <f t="shared" si="12"/>
        <v>33</v>
      </c>
      <c r="B35" s="14">
        <v>96255</v>
      </c>
      <c r="C35" s="14">
        <f t="shared" si="5"/>
        <v>184</v>
      </c>
      <c r="D35" s="14">
        <f t="shared" si="6"/>
        <v>1.9115890083632018E-3</v>
      </c>
      <c r="E35" s="12">
        <f t="shared" si="14"/>
        <v>0.99808841099163681</v>
      </c>
      <c r="F35" s="14">
        <f>SUM(B35:B$108)</f>
        <v>4058181</v>
      </c>
      <c r="G35" s="14">
        <f t="shared" si="15"/>
        <v>42.160729312762975</v>
      </c>
      <c r="H35" s="10"/>
      <c r="I35" s="2">
        <f t="shared" si="16"/>
        <v>408.61758926399051</v>
      </c>
      <c r="J35" s="2">
        <f t="shared" si="17"/>
        <v>0.71906902003007322</v>
      </c>
      <c r="K35" s="1">
        <f t="shared" si="9"/>
        <v>955.86061333697364</v>
      </c>
      <c r="L35" s="3">
        <f t="shared" si="13"/>
        <v>1.7038845743259499</v>
      </c>
      <c r="M35" s="8">
        <f t="shared" si="18"/>
        <v>4144.4288489886712</v>
      </c>
      <c r="N35" s="5">
        <f t="shared" si="19"/>
        <v>7.5537545735739391</v>
      </c>
      <c r="O35" s="269">
        <f>SUM($M35:$M$108)</f>
        <v>43379.652453122348</v>
      </c>
      <c r="P35" s="7">
        <f t="shared" si="20"/>
        <v>1.7597603209525893E-3</v>
      </c>
      <c r="Q35" s="44">
        <f t="shared" si="21"/>
        <v>1.7825659416780175E-3</v>
      </c>
      <c r="R35" s="45">
        <f t="shared" si="22"/>
        <v>1.822628605487392E-3</v>
      </c>
    </row>
    <row r="36" spans="1:18">
      <c r="A36" s="14">
        <f t="shared" si="12"/>
        <v>34</v>
      </c>
      <c r="B36" s="14">
        <v>96071</v>
      </c>
      <c r="C36" s="14">
        <f t="shared" si="5"/>
        <v>193</v>
      </c>
      <c r="D36" s="14">
        <f t="shared" si="6"/>
        <v>2.0089308948590106E-3</v>
      </c>
      <c r="E36" s="12">
        <f t="shared" si="14"/>
        <v>0.99799106910514102</v>
      </c>
      <c r="F36" s="14">
        <f>SUM(B36:B$108)</f>
        <v>3961926</v>
      </c>
      <c r="G36" s="14">
        <f t="shared" si="15"/>
        <v>41.239562406969846</v>
      </c>
      <c r="H36" s="10"/>
      <c r="I36" s="2">
        <f t="shared" si="16"/>
        <v>345.62413590824542</v>
      </c>
      <c r="J36" s="2">
        <f t="shared" si="17"/>
        <v>0.63918718158531751</v>
      </c>
      <c r="K36" s="1">
        <f t="shared" si="9"/>
        <v>829.59426147390548</v>
      </c>
      <c r="L36" s="3">
        <f t="shared" si="13"/>
        <v>1.5541102213842553</v>
      </c>
      <c r="M36" s="8">
        <f t="shared" si="18"/>
        <v>3760.4603675954554</v>
      </c>
      <c r="N36" s="5">
        <f t="shared" si="19"/>
        <v>7.202937908595703</v>
      </c>
      <c r="O36" s="269">
        <f>SUM($M36:$M$108)</f>
        <v>39235.22360413368</v>
      </c>
      <c r="P36" s="7">
        <f t="shared" si="20"/>
        <v>1.8493707909189702E-3</v>
      </c>
      <c r="Q36" s="44">
        <f t="shared" si="21"/>
        <v>1.8733377188785425E-3</v>
      </c>
      <c r="R36" s="45">
        <f t="shared" si="22"/>
        <v>1.9154404526277363E-3</v>
      </c>
    </row>
    <row r="37" spans="1:18">
      <c r="A37" s="14">
        <f t="shared" si="12"/>
        <v>35</v>
      </c>
      <c r="B37" s="14">
        <v>95878</v>
      </c>
      <c r="C37" s="14">
        <f t="shared" si="5"/>
        <v>202</v>
      </c>
      <c r="D37" s="14">
        <f t="shared" si="6"/>
        <v>2.1068441143953774E-3</v>
      </c>
      <c r="E37" s="12">
        <f t="shared" si="14"/>
        <v>0.99789315588560468</v>
      </c>
      <c r="F37" s="14">
        <f>SUM(B37:B$108)</f>
        <v>3865855</v>
      </c>
      <c r="G37" s="14">
        <f t="shared" si="15"/>
        <v>40.320563632950204</v>
      </c>
      <c r="H37" s="10"/>
      <c r="I37" s="2">
        <f t="shared" si="16"/>
        <v>292.31339059628004</v>
      </c>
      <c r="J37" s="2">
        <f t="shared" si="17"/>
        <v>0.56694393027239032</v>
      </c>
      <c r="K37" s="1">
        <f t="shared" si="9"/>
        <v>719.9370990711592</v>
      </c>
      <c r="L37" s="3">
        <f t="shared" si="13"/>
        <v>1.4144188543348488</v>
      </c>
      <c r="M37" s="8">
        <f t="shared" si="18"/>
        <v>3411.7326023491814</v>
      </c>
      <c r="N37" s="5">
        <f t="shared" si="19"/>
        <v>6.8534783680467832</v>
      </c>
      <c r="O37" s="269">
        <f>SUM($M37:$M$108)</f>
        <v>35474.763236538231</v>
      </c>
      <c r="P37" s="7">
        <f t="shared" si="20"/>
        <v>1.9395072155808562E-3</v>
      </c>
      <c r="Q37" s="44">
        <f t="shared" si="21"/>
        <v>1.9646422668864942E-3</v>
      </c>
      <c r="R37" s="45">
        <f t="shared" si="22"/>
        <v>2.0087970444482533E-3</v>
      </c>
    </row>
    <row r="38" spans="1:18">
      <c r="A38" s="14">
        <f t="shared" si="12"/>
        <v>36</v>
      </c>
      <c r="B38" s="14">
        <v>95676</v>
      </c>
      <c r="C38" s="14">
        <f t="shared" si="5"/>
        <v>213</v>
      </c>
      <c r="D38" s="14">
        <f t="shared" si="6"/>
        <v>2.226263639784272E-3</v>
      </c>
      <c r="E38" s="12">
        <f t="shared" si="14"/>
        <v>0.99777373636021571</v>
      </c>
      <c r="F38" s="14">
        <f>SUM(B38:B$108)</f>
        <v>3769977</v>
      </c>
      <c r="G38" s="14">
        <f t="shared" si="15"/>
        <v>39.403580835319204</v>
      </c>
      <c r="H38" s="10"/>
      <c r="I38" s="2">
        <f t="shared" si="16"/>
        <v>247.20129817774855</v>
      </c>
      <c r="J38" s="2">
        <f t="shared" si="17"/>
        <v>0.50662467338487638</v>
      </c>
      <c r="K38" s="1">
        <f t="shared" si="9"/>
        <v>624.71330767934444</v>
      </c>
      <c r="L38" s="3">
        <f t="shared" si="13"/>
        <v>1.2969057941167568</v>
      </c>
      <c r="M38" s="8">
        <f t="shared" si="18"/>
        <v>3095.0405578145737</v>
      </c>
      <c r="N38" s="5">
        <f t="shared" si="19"/>
        <v>6.5697159873715769</v>
      </c>
      <c r="O38" s="269">
        <f>SUM($M38:$M$108)</f>
        <v>32063.030634189086</v>
      </c>
      <c r="P38" s="7">
        <f t="shared" si="20"/>
        <v>2.0494417995353367E-3</v>
      </c>
      <c r="Q38" s="44">
        <f t="shared" si="21"/>
        <v>2.0760015485094137E-3</v>
      </c>
      <c r="R38" s="45">
        <f t="shared" si="22"/>
        <v>2.1226590943320277E-3</v>
      </c>
    </row>
    <row r="39" spans="1:18">
      <c r="A39" s="14">
        <f t="shared" si="12"/>
        <v>37</v>
      </c>
      <c r="B39" s="14">
        <v>95463</v>
      </c>
      <c r="C39" s="14">
        <f t="shared" si="5"/>
        <v>226</v>
      </c>
      <c r="D39" s="14">
        <f t="shared" si="6"/>
        <v>2.3674093627897718E-3</v>
      </c>
      <c r="E39" s="12">
        <f t="shared" si="14"/>
        <v>0.99763259063721021</v>
      </c>
      <c r="F39" s="14">
        <f>SUM(B39:B$108)</f>
        <v>3674301</v>
      </c>
      <c r="G39" s="14">
        <f t="shared" si="15"/>
        <v>38.489268093397442</v>
      </c>
      <c r="H39" s="10"/>
      <c r="I39" s="2">
        <f t="shared" si="16"/>
        <v>209.02623975924408</v>
      </c>
      <c r="J39" s="2">
        <f t="shared" si="17"/>
        <v>0.45554697296483682</v>
      </c>
      <c r="K39" s="1">
        <f t="shared" si="9"/>
        <v>542.0195923105814</v>
      </c>
      <c r="L39" s="3">
        <f t="shared" si="13"/>
        <v>1.1965736251087451</v>
      </c>
      <c r="M39" s="8">
        <f t="shared" si="18"/>
        <v>2807.4092559609576</v>
      </c>
      <c r="N39" s="5">
        <f t="shared" si="19"/>
        <v>6.3369859716004129</v>
      </c>
      <c r="O39" s="269">
        <f>SUM($M39:$M$108)</f>
        <v>28967.990076374517</v>
      </c>
      <c r="P39" s="7">
        <f t="shared" si="20"/>
        <v>2.1793769695591077E-3</v>
      </c>
      <c r="Q39" s="44">
        <f t="shared" si="21"/>
        <v>2.2076206138745983E-3</v>
      </c>
      <c r="R39" s="45">
        <f t="shared" si="22"/>
        <v>2.2572362608497937E-3</v>
      </c>
    </row>
    <row r="40" spans="1:18">
      <c r="A40" s="14">
        <f t="shared" si="12"/>
        <v>38</v>
      </c>
      <c r="B40" s="14">
        <v>95237</v>
      </c>
      <c r="C40" s="14">
        <f t="shared" si="5"/>
        <v>240</v>
      </c>
      <c r="D40" s="14">
        <f t="shared" si="6"/>
        <v>2.5200289803332739E-3</v>
      </c>
      <c r="E40" s="12">
        <f t="shared" si="14"/>
        <v>0.99747997101966668</v>
      </c>
      <c r="F40" s="14">
        <f>SUM(B40:B$108)</f>
        <v>3578838</v>
      </c>
      <c r="G40" s="14">
        <f t="shared" si="15"/>
        <v>37.578231149658222</v>
      </c>
      <c r="H40" s="10"/>
      <c r="I40" s="2">
        <f t="shared" si="16"/>
        <v>176.72151617132988</v>
      </c>
      <c r="J40" s="2">
        <f t="shared" si="17"/>
        <v>0.40997177707949917</v>
      </c>
      <c r="K40" s="1">
        <f t="shared" si="9"/>
        <v>470.20557395906945</v>
      </c>
      <c r="L40" s="3">
        <f t="shared" si="13"/>
        <v>1.1049544825936859</v>
      </c>
      <c r="M40" s="8">
        <f t="shared" si="18"/>
        <v>2546.1481536392839</v>
      </c>
      <c r="N40" s="5">
        <f t="shared" si="19"/>
        <v>6.1177660224621846</v>
      </c>
      <c r="O40" s="269">
        <f>SUM($M40:$M$108)</f>
        <v>26160.580820413561</v>
      </c>
      <c r="P40" s="7">
        <f t="shared" si="20"/>
        <v>2.3198747156630058E-3</v>
      </c>
      <c r="Q40" s="44">
        <f t="shared" si="21"/>
        <v>2.3499391410657122E-3</v>
      </c>
      <c r="R40" s="45">
        <f t="shared" si="22"/>
        <v>2.4027533565624936E-3</v>
      </c>
    </row>
    <row r="41" spans="1:18">
      <c r="A41" s="14">
        <f t="shared" si="12"/>
        <v>39</v>
      </c>
      <c r="B41" s="14">
        <v>94997</v>
      </c>
      <c r="C41" s="14">
        <f t="shared" si="5"/>
        <v>251</v>
      </c>
      <c r="D41" s="14">
        <f t="shared" si="6"/>
        <v>2.6421887006958114E-3</v>
      </c>
      <c r="E41" s="12">
        <f t="shared" si="14"/>
        <v>0.99735781129930423</v>
      </c>
      <c r="F41" s="14">
        <f>SUM(B41:B$108)</f>
        <v>3483601</v>
      </c>
      <c r="G41" s="14">
        <f t="shared" si="15"/>
        <v>36.670642230807289</v>
      </c>
      <c r="H41" s="10"/>
      <c r="I41" s="2">
        <f t="shared" si="16"/>
        <v>149.38658714333027</v>
      </c>
      <c r="J41" s="2">
        <f t="shared" si="17"/>
        <v>0.36335775440308721</v>
      </c>
      <c r="K41" s="1">
        <f t="shared" si="9"/>
        <v>407.8440367704161</v>
      </c>
      <c r="L41" s="3">
        <f t="shared" si="13"/>
        <v>1.0048680258370108</v>
      </c>
      <c r="M41" s="8">
        <f t="shared" si="18"/>
        <v>2308.8470786399007</v>
      </c>
      <c r="N41" s="5">
        <f t="shared" si="19"/>
        <v>5.8165123925682112</v>
      </c>
      <c r="O41" s="269">
        <f>SUM($M41:$M$108)</f>
        <v>23614.432666774275</v>
      </c>
      <c r="P41" s="7">
        <f t="shared" si="20"/>
        <v>2.4323318535583146E-3</v>
      </c>
      <c r="Q41" s="44">
        <f t="shared" si="21"/>
        <v>2.4638536676770684E-3</v>
      </c>
      <c r="R41" s="45">
        <f t="shared" si="22"/>
        <v>2.5192280798408753E-3</v>
      </c>
    </row>
    <row r="42" spans="1:18">
      <c r="A42" s="14">
        <f t="shared" si="12"/>
        <v>40</v>
      </c>
      <c r="B42" s="14">
        <v>94746</v>
      </c>
      <c r="C42" s="14">
        <f t="shared" si="5"/>
        <v>270</v>
      </c>
      <c r="D42" s="14">
        <f t="shared" si="6"/>
        <v>2.8497245266290924E-3</v>
      </c>
      <c r="E42" s="12">
        <f t="shared" si="14"/>
        <v>0.99715027547337087</v>
      </c>
      <c r="F42" s="14">
        <f>SUM(B42:B$108)</f>
        <v>3388604</v>
      </c>
      <c r="G42" s="14">
        <f t="shared" si="15"/>
        <v>35.76514048086463</v>
      </c>
      <c r="H42" s="10"/>
      <c r="I42" s="2">
        <f t="shared" si="16"/>
        <v>126.26430473791922</v>
      </c>
      <c r="J42" s="2">
        <f t="shared" si="17"/>
        <v>0.33123976530769655</v>
      </c>
      <c r="K42" s="1">
        <f t="shared" si="9"/>
        <v>353.709944230274</v>
      </c>
      <c r="L42" s="3">
        <f t="shared" si="13"/>
        <v>0.93994237649746415</v>
      </c>
      <c r="M42" s="8">
        <f t="shared" si="18"/>
        <v>2093.40606270644</v>
      </c>
      <c r="N42" s="5">
        <f t="shared" si="19"/>
        <v>5.6880055993966572</v>
      </c>
      <c r="O42" s="269">
        <f>SUM($M42:$M$108)</f>
        <v>21305.58558813437</v>
      </c>
      <c r="P42" s="7">
        <f t="shared" si="20"/>
        <v>2.6233840672170577E-3</v>
      </c>
      <c r="Q42" s="44">
        <f t="shared" si="21"/>
        <v>2.6573818232419788E-3</v>
      </c>
      <c r="R42" s="45">
        <f t="shared" si="22"/>
        <v>2.7171057257964438E-3</v>
      </c>
    </row>
    <row r="43" spans="1:18">
      <c r="A43" s="14">
        <f t="shared" si="12"/>
        <v>41</v>
      </c>
      <c r="B43" s="14">
        <v>94476</v>
      </c>
      <c r="C43" s="14">
        <f t="shared" si="5"/>
        <v>294</v>
      </c>
      <c r="D43" s="14">
        <f t="shared" si="6"/>
        <v>3.1119014352851519E-3</v>
      </c>
      <c r="E43" s="12">
        <f t="shared" si="14"/>
        <v>0.99688809856471483</v>
      </c>
      <c r="F43" s="14">
        <f>SUM(B43:B$108)</f>
        <v>3293858</v>
      </c>
      <c r="G43" s="14">
        <f t="shared" si="15"/>
        <v>34.864494686481223</v>
      </c>
      <c r="H43" s="10"/>
      <c r="I43" s="2">
        <f t="shared" si="16"/>
        <v>106.69871716260153</v>
      </c>
      <c r="J43" s="2">
        <f t="shared" si="17"/>
        <v>0.3056638135607746</v>
      </c>
      <c r="K43" s="1">
        <f t="shared" si="9"/>
        <v>306.69736376251166</v>
      </c>
      <c r="L43" s="3">
        <f t="shared" si="13"/>
        <v>0.88999374779470053</v>
      </c>
      <c r="M43" s="8">
        <f t="shared" si="18"/>
        <v>1897.673120095774</v>
      </c>
      <c r="N43" s="5">
        <f t="shared" si="19"/>
        <v>5.6305509973825476</v>
      </c>
      <c r="O43" s="269">
        <f>SUM($M43:$M$108)</f>
        <v>19212.179525427928</v>
      </c>
      <c r="P43" s="7">
        <f t="shared" si="20"/>
        <v>2.8647374747248736E-3</v>
      </c>
      <c r="Q43" s="44">
        <f t="shared" si="21"/>
        <v>2.9018630511733357E-3</v>
      </c>
      <c r="R43" s="45">
        <f t="shared" si="22"/>
        <v>2.967081599964054E-3</v>
      </c>
    </row>
    <row r="44" spans="1:18">
      <c r="A44" s="14">
        <f t="shared" si="12"/>
        <v>42</v>
      </c>
      <c r="B44" s="14">
        <v>94182</v>
      </c>
      <c r="C44" s="14">
        <f t="shared" si="5"/>
        <v>314</v>
      </c>
      <c r="D44" s="14">
        <f t="shared" si="6"/>
        <v>3.3339703977405448E-3</v>
      </c>
      <c r="E44" s="12">
        <f t="shared" si="14"/>
        <v>0.99666602960225947</v>
      </c>
      <c r="F44" s="14">
        <f>SUM(B44:B$108)</f>
        <v>3199382</v>
      </c>
      <c r="G44" s="14">
        <f t="shared" si="15"/>
        <v>33.970206621222736</v>
      </c>
      <c r="H44" s="10"/>
      <c r="I44" s="2">
        <f t="shared" si="16"/>
        <v>90.141255314847598</v>
      </c>
      <c r="J44" s="2">
        <f t="shared" si="17"/>
        <v>0.27665870361490613</v>
      </c>
      <c r="K44" s="1">
        <f t="shared" si="9"/>
        <v>265.86343634436605</v>
      </c>
      <c r="L44" s="3">
        <f t="shared" si="13"/>
        <v>0.82655438274929327</v>
      </c>
      <c r="M44" s="8">
        <f t="shared" si="18"/>
        <v>1719.7888621724053</v>
      </c>
      <c r="N44" s="5">
        <f t="shared" si="19"/>
        <v>5.4668924340696385</v>
      </c>
      <c r="O44" s="269">
        <f>SUM($M44:$M$108)</f>
        <v>17314.506405332151</v>
      </c>
      <c r="P44" s="7">
        <f t="shared" si="20"/>
        <v>3.0691685249843235E-3</v>
      </c>
      <c r="Q44" s="44">
        <f t="shared" si="21"/>
        <v>3.1089434264239281E-3</v>
      </c>
      <c r="R44" s="45">
        <f t="shared" si="22"/>
        <v>3.1788160478978577E-3</v>
      </c>
    </row>
    <row r="45" spans="1:18">
      <c r="A45" s="14">
        <f t="shared" si="12"/>
        <v>43</v>
      </c>
      <c r="B45" s="14">
        <v>93868</v>
      </c>
      <c r="C45" s="14">
        <f t="shared" si="5"/>
        <v>353</v>
      </c>
      <c r="D45" s="14">
        <f t="shared" si="6"/>
        <v>3.760599991477394E-3</v>
      </c>
      <c r="E45" s="12">
        <f t="shared" si="14"/>
        <v>0.99623940000852262</v>
      </c>
      <c r="F45" s="14">
        <f>SUM(B45:B$108)</f>
        <v>3105200</v>
      </c>
      <c r="G45" s="14">
        <f t="shared" si="15"/>
        <v>33.080496015681597</v>
      </c>
      <c r="H45" s="10"/>
      <c r="I45" s="2">
        <f t="shared" si="16"/>
        <v>76.136209354248066</v>
      </c>
      <c r="J45" s="2">
        <f t="shared" si="17"/>
        <v>0.26357692533753074</v>
      </c>
      <c r="K45" s="1">
        <f t="shared" si="9"/>
        <v>230.41483088500209</v>
      </c>
      <c r="L45" s="3">
        <f t="shared" si="13"/>
        <v>0.8080135616463594</v>
      </c>
      <c r="M45" s="8">
        <f t="shared" si="18"/>
        <v>1558.2319427414166</v>
      </c>
      <c r="N45" s="5">
        <f t="shared" si="19"/>
        <v>5.58718306087603</v>
      </c>
      <c r="O45" s="269">
        <f>SUM($M45:$M$108)</f>
        <v>15594.717543159735</v>
      </c>
      <c r="P45" s="7">
        <f t="shared" si="20"/>
        <v>3.4619129002227416E-3</v>
      </c>
      <c r="Q45" s="44">
        <f t="shared" si="21"/>
        <v>3.5067775739211489E-3</v>
      </c>
      <c r="R45" s="45">
        <f t="shared" si="22"/>
        <v>3.5855914049909864E-3</v>
      </c>
    </row>
    <row r="46" spans="1:18">
      <c r="A46" s="14">
        <f t="shared" si="12"/>
        <v>44</v>
      </c>
      <c r="B46" s="14">
        <v>93515</v>
      </c>
      <c r="C46" s="14">
        <f t="shared" si="5"/>
        <v>382</v>
      </c>
      <c r="D46" s="14">
        <f t="shared" si="6"/>
        <v>4.0849061647863982E-3</v>
      </c>
      <c r="E46" s="12">
        <f t="shared" si="14"/>
        <v>0.99591509383521359</v>
      </c>
      <c r="F46" s="14">
        <f>SUM(B46:B$108)</f>
        <v>3011332</v>
      </c>
      <c r="G46" s="14">
        <f t="shared" si="15"/>
        <v>32.201593327273699</v>
      </c>
      <c r="H46" s="10"/>
      <c r="I46" s="2">
        <f t="shared" si="16"/>
        <v>64.279569089829963</v>
      </c>
      <c r="J46" s="2">
        <f t="shared" si="17"/>
        <v>0.24172080827516382</v>
      </c>
      <c r="K46" s="1">
        <f t="shared" si="9"/>
        <v>199.60724597733889</v>
      </c>
      <c r="L46" s="3">
        <f t="shared" si="13"/>
        <v>0.76034285145685288</v>
      </c>
      <c r="M46" s="8">
        <f t="shared" si="18"/>
        <v>1411.2473233734759</v>
      </c>
      <c r="N46" s="5">
        <f t="shared" si="19"/>
        <v>5.496533425842502</v>
      </c>
      <c r="O46" s="269">
        <f>SUM($M46:$M$108)</f>
        <v>14036.485600418317</v>
      </c>
      <c r="P46" s="7">
        <f t="shared" si="20"/>
        <v>3.7604609317987456E-3</v>
      </c>
      <c r="Q46" s="44">
        <f t="shared" si="21"/>
        <v>3.809194639873812E-3</v>
      </c>
      <c r="R46" s="45">
        <f t="shared" si="22"/>
        <v>3.8948052087025191E-3</v>
      </c>
    </row>
    <row r="47" spans="1:18">
      <c r="A47" s="14">
        <f t="shared" si="12"/>
        <v>45</v>
      </c>
      <c r="B47" s="14">
        <v>93133</v>
      </c>
      <c r="C47" s="14">
        <f t="shared" si="5"/>
        <v>406</v>
      </c>
      <c r="D47" s="14">
        <f t="shared" si="6"/>
        <v>4.3593570485220062E-3</v>
      </c>
      <c r="E47" s="12">
        <f t="shared" si="14"/>
        <v>0.99564064295147803</v>
      </c>
      <c r="F47" s="14">
        <f>SUM(B47:B$108)</f>
        <v>2917817</v>
      </c>
      <c r="G47" s="14">
        <f t="shared" si="15"/>
        <v>31.329571687801316</v>
      </c>
      <c r="I47" s="2">
        <f t="shared" si="16"/>
        <v>54.251689052360263</v>
      </c>
      <c r="J47" s="2">
        <f t="shared" si="17"/>
        <v>0.21771818297922735</v>
      </c>
      <c r="K47" s="1">
        <f t="shared" si="9"/>
        <v>172.86249487626958</v>
      </c>
      <c r="L47" s="3">
        <f t="shared" si="13"/>
        <v>0.70270702866260482</v>
      </c>
      <c r="M47" s="8">
        <f t="shared" si="18"/>
        <v>1277.7113731656264</v>
      </c>
      <c r="N47" s="5">
        <f t="shared" si="19"/>
        <v>5.310786698933974</v>
      </c>
      <c r="O47" s="269">
        <f>SUM($M47:$M$108)</f>
        <v>12625.238277044842</v>
      </c>
      <c r="P47" s="7">
        <f t="shared" si="20"/>
        <v>4.0131134492255105E-3</v>
      </c>
      <c r="Q47" s="44">
        <f t="shared" si="21"/>
        <v>4.0651214085830707E-3</v>
      </c>
      <c r="R47" s="45">
        <f t="shared" si="22"/>
        <v>4.1564838589298134E-3</v>
      </c>
    </row>
    <row r="48" spans="1:18">
      <c r="A48" s="14">
        <f t="shared" si="12"/>
        <v>46</v>
      </c>
      <c r="B48" s="14">
        <v>92727</v>
      </c>
      <c r="C48" s="14">
        <f t="shared" si="5"/>
        <v>432</v>
      </c>
      <c r="D48" s="14">
        <f t="shared" si="6"/>
        <v>4.6588372318742115E-3</v>
      </c>
      <c r="E48" s="12">
        <f t="shared" si="14"/>
        <v>0.99534116276812579</v>
      </c>
      <c r="F48" s="14">
        <f>SUM(B48:B$108)</f>
        <v>2824684</v>
      </c>
      <c r="G48" s="14">
        <f t="shared" si="15"/>
        <v>30.462368026572626</v>
      </c>
      <c r="H48" s="10"/>
      <c r="I48" s="2">
        <f t="shared" si="16"/>
        <v>45.775581838386131</v>
      </c>
      <c r="J48" s="2">
        <f t="shared" si="17"/>
        <v>0.19632264976001132</v>
      </c>
      <c r="K48" s="1">
        <f t="shared" si="9"/>
        <v>149.65993525287445</v>
      </c>
      <c r="L48" s="3">
        <f t="shared" si="13"/>
        <v>0.65018084468246984</v>
      </c>
      <c r="M48" s="8">
        <f t="shared" si="18"/>
        <v>1156.4921573500365</v>
      </c>
      <c r="N48" s="5">
        <f t="shared" si="19"/>
        <v>5.1371693997749155</v>
      </c>
      <c r="O48" s="269">
        <f>SUM($M48:$M$108)</f>
        <v>11347.526903879216</v>
      </c>
      <c r="P48" s="7">
        <f t="shared" si="20"/>
        <v>4.2888073045830866E-3</v>
      </c>
      <c r="Q48" s="44">
        <f t="shared" si="21"/>
        <v>4.3443881195316912E-3</v>
      </c>
      <c r="R48" s="45">
        <f t="shared" si="22"/>
        <v>4.4420270099765529E-3</v>
      </c>
    </row>
    <row r="49" spans="1:18">
      <c r="A49" s="14">
        <f t="shared" si="12"/>
        <v>47</v>
      </c>
      <c r="B49" s="14">
        <v>92295</v>
      </c>
      <c r="C49" s="14">
        <f t="shared" si="5"/>
        <v>462</v>
      </c>
      <c r="D49" s="14">
        <f t="shared" si="6"/>
        <v>5.0056882821387944E-3</v>
      </c>
      <c r="E49" s="12">
        <f t="shared" si="14"/>
        <v>0.99499431171786124</v>
      </c>
      <c r="F49" s="14">
        <f>SUM(B49:B$108)</f>
        <v>2731957</v>
      </c>
      <c r="G49" s="14">
        <f t="shared" si="15"/>
        <v>29.600270870578036</v>
      </c>
      <c r="H49" s="10"/>
      <c r="I49" s="2">
        <f t="shared" si="16"/>
        <v>38.612136316446403</v>
      </c>
      <c r="J49" s="2">
        <f t="shared" si="17"/>
        <v>0.17792895517326829</v>
      </c>
      <c r="K49" s="1">
        <f t="shared" si="9"/>
        <v>129.53277736904218</v>
      </c>
      <c r="L49" s="3">
        <f t="shared" si="13"/>
        <v>0.60463677585205544</v>
      </c>
      <c r="M49" s="8">
        <f t="shared" si="18"/>
        <v>1046.4584078445487</v>
      </c>
      <c r="N49" s="5">
        <f t="shared" si="19"/>
        <v>4.9944702497811688</v>
      </c>
      <c r="O49" s="269">
        <f>SUM($M49:$M$108)</f>
        <v>10191.034746529178</v>
      </c>
      <c r="P49" s="7">
        <f t="shared" si="20"/>
        <v>4.6081095776480379E-3</v>
      </c>
      <c r="Q49" s="44">
        <f t="shared" si="21"/>
        <v>4.6678283916466168E-3</v>
      </c>
      <c r="R49" s="45">
        <f t="shared" si="22"/>
        <v>4.7727365104443756E-3</v>
      </c>
    </row>
    <row r="50" spans="1:18">
      <c r="A50" s="14">
        <f t="shared" si="12"/>
        <v>48</v>
      </c>
      <c r="B50" s="14">
        <v>91833</v>
      </c>
      <c r="C50" s="14">
        <f t="shared" si="5"/>
        <v>501</v>
      </c>
      <c r="D50" s="14">
        <f t="shared" si="6"/>
        <v>5.4555551925778312E-3</v>
      </c>
      <c r="E50" s="12">
        <f t="shared" si="14"/>
        <v>0.99454444480742221</v>
      </c>
      <c r="F50" s="14">
        <f>SUM(B50:B$108)</f>
        <v>2639662</v>
      </c>
      <c r="G50" s="14">
        <f t="shared" si="15"/>
        <v>28.74415515119837</v>
      </c>
      <c r="H50" s="10"/>
      <c r="I50" s="2">
        <f t="shared" si="16"/>
        <v>32.55835254079561</v>
      </c>
      <c r="J50" s="2">
        <f t="shared" si="17"/>
        <v>0.16351604399040176</v>
      </c>
      <c r="K50" s="1">
        <f t="shared" si="9"/>
        <v>112.07337101148966</v>
      </c>
      <c r="L50" s="3">
        <f t="shared" si="13"/>
        <v>0.57015438490848835</v>
      </c>
      <c r="M50" s="8">
        <f t="shared" si="18"/>
        <v>946.56378477695955</v>
      </c>
      <c r="N50" s="5">
        <f t="shared" si="19"/>
        <v>4.9237103406933551</v>
      </c>
      <c r="O50" s="269">
        <f>SUM($M50:$M$108)</f>
        <v>9144.576338684632</v>
      </c>
      <c r="P50" s="7">
        <f t="shared" si="20"/>
        <v>5.0222456368305551E-3</v>
      </c>
      <c r="Q50" s="44">
        <f t="shared" si="21"/>
        <v>5.0873314486992336E-3</v>
      </c>
      <c r="R50" s="45">
        <f t="shared" si="22"/>
        <v>5.2016677796874909E-3</v>
      </c>
    </row>
    <row r="51" spans="1:18">
      <c r="A51" s="14">
        <f t="shared" si="12"/>
        <v>49</v>
      </c>
      <c r="B51" s="14">
        <v>91332</v>
      </c>
      <c r="C51" s="14">
        <f t="shared" si="5"/>
        <v>554</v>
      </c>
      <c r="D51" s="14">
        <f t="shared" si="6"/>
        <v>6.0657819822187188E-3</v>
      </c>
      <c r="E51" s="12">
        <f t="shared" si="14"/>
        <v>0.99393421801778126</v>
      </c>
      <c r="F51" s="14">
        <f>SUM(B51:B$108)</f>
        <v>2547829</v>
      </c>
      <c r="G51" s="14">
        <f t="shared" si="15"/>
        <v>27.89634520211974</v>
      </c>
      <c r="H51" s="10"/>
      <c r="I51" s="2">
        <f t="shared" si="16"/>
        <v>27.441295467398216</v>
      </c>
      <c r="J51" s="2">
        <f t="shared" si="17"/>
        <v>0.15323232919023394</v>
      </c>
      <c r="K51" s="1">
        <f t="shared" si="9"/>
        <v>96.923433522015841</v>
      </c>
      <c r="L51" s="3">
        <f t="shared" si="13"/>
        <v>0.54823488542793131</v>
      </c>
      <c r="M51" s="8">
        <f t="shared" si="18"/>
        <v>855.81795800528494</v>
      </c>
      <c r="N51" s="5">
        <f t="shared" si="19"/>
        <v>4.9496199033643968</v>
      </c>
      <c r="O51" s="269">
        <f>SUM($M51:$M$108)</f>
        <v>8198.0125539076726</v>
      </c>
      <c r="P51" s="7">
        <f t="shared" si="20"/>
        <v>5.5840049305355306E-3</v>
      </c>
      <c r="Q51" s="44">
        <f t="shared" si="21"/>
        <v>5.6563708641564122E-3</v>
      </c>
      <c r="R51" s="45">
        <f t="shared" si="22"/>
        <v>5.7834961945655173E-3</v>
      </c>
    </row>
    <row r="52" spans="1:18">
      <c r="A52" s="14">
        <f t="shared" si="12"/>
        <v>50</v>
      </c>
      <c r="B52" s="14">
        <v>90778</v>
      </c>
      <c r="C52" s="14">
        <f t="shared" si="5"/>
        <v>607</v>
      </c>
      <c r="D52" s="14">
        <f t="shared" si="6"/>
        <v>6.6866421379629427E-3</v>
      </c>
      <c r="E52" s="12">
        <f t="shared" si="14"/>
        <v>0.99331335786203701</v>
      </c>
      <c r="F52" s="14">
        <f>SUM(B52:B$108)</f>
        <v>2456497</v>
      </c>
      <c r="G52" s="14">
        <f t="shared" si="15"/>
        <v>27.060488224019036</v>
      </c>
      <c r="H52" s="10"/>
      <c r="I52" s="2">
        <f t="shared" si="16"/>
        <v>23.114273348968926</v>
      </c>
      <c r="J52" s="2">
        <f t="shared" si="17"/>
        <v>0.1422811353767241</v>
      </c>
      <c r="K52" s="1">
        <f t="shared" si="9"/>
        <v>83.770014874176724</v>
      </c>
      <c r="L52" s="3">
        <f t="shared" si="13"/>
        <v>0.52233334712722357</v>
      </c>
      <c r="M52" s="8">
        <f t="shared" si="18"/>
        <v>773.29704805050653</v>
      </c>
      <c r="N52" s="5">
        <f t="shared" si="19"/>
        <v>4.9301268154614197</v>
      </c>
      <c r="O52" s="269">
        <f>SUM($M52:$M$108)</f>
        <v>7342.1945959023915</v>
      </c>
      <c r="P52" s="7">
        <f t="shared" si="20"/>
        <v>6.1555530311780682E-3</v>
      </c>
      <c r="Q52" s="44">
        <f t="shared" si="21"/>
        <v>6.235325944632727E-3</v>
      </c>
      <c r="R52" s="45">
        <f t="shared" si="22"/>
        <v>6.3754631262208277E-3</v>
      </c>
    </row>
    <row r="53" spans="1:18">
      <c r="A53" s="14">
        <f t="shared" si="12"/>
        <v>51</v>
      </c>
      <c r="B53" s="14">
        <v>90171</v>
      </c>
      <c r="C53" s="14">
        <f t="shared" si="5"/>
        <v>660</v>
      </c>
      <c r="D53" s="14">
        <f t="shared" si="6"/>
        <v>7.3194264231293878E-3</v>
      </c>
      <c r="E53" s="12">
        <f t="shared" si="14"/>
        <v>0.99268057357687056</v>
      </c>
      <c r="F53" s="14">
        <f>SUM(B53:B$108)</f>
        <v>2365719</v>
      </c>
      <c r="G53" s="14">
        <f t="shared" si="15"/>
        <v>26.235918421665502</v>
      </c>
      <c r="H53" s="10"/>
      <c r="I53" s="2">
        <f t="shared" si="16"/>
        <v>19.457386843055357</v>
      </c>
      <c r="J53" s="2">
        <f t="shared" si="17"/>
        <v>0.13110539377968594</v>
      </c>
      <c r="K53" s="1">
        <f t="shared" si="9"/>
        <v>72.356412837235894</v>
      </c>
      <c r="L53" s="3">
        <f t="shared" si="13"/>
        <v>0.4938614842833145</v>
      </c>
      <c r="M53" s="8">
        <f t="shared" si="18"/>
        <v>698.29662493077228</v>
      </c>
      <c r="N53" s="5">
        <f t="shared" si="19"/>
        <v>4.8732719757444025</v>
      </c>
      <c r="O53" s="269">
        <f>SUM($M53:$M$108)</f>
        <v>6568.8975478518842</v>
      </c>
      <c r="P53" s="7">
        <f t="shared" si="20"/>
        <v>6.7380781827072267E-3</v>
      </c>
      <c r="Q53" s="44">
        <f t="shared" si="21"/>
        <v>6.8254003331293476E-3</v>
      </c>
      <c r="R53" s="45">
        <f t="shared" si="22"/>
        <v>6.9787992691895491E-3</v>
      </c>
    </row>
    <row r="54" spans="1:18">
      <c r="A54" s="14">
        <f t="shared" si="12"/>
        <v>52</v>
      </c>
      <c r="B54" s="14">
        <v>89511</v>
      </c>
      <c r="C54" s="14">
        <f t="shared" si="5"/>
        <v>720</v>
      </c>
      <c r="D54" s="14">
        <f t="shared" si="6"/>
        <v>8.0437041257499075E-3</v>
      </c>
      <c r="E54" s="12">
        <f t="shared" si="14"/>
        <v>0.99195629587425005</v>
      </c>
      <c r="F54" s="14">
        <f>SUM(B54:B$108)</f>
        <v>2275548</v>
      </c>
      <c r="G54" s="14">
        <f t="shared" si="15"/>
        <v>25.421992827697153</v>
      </c>
      <c r="H54" s="10"/>
      <c r="I54" s="2">
        <f t="shared" si="16"/>
        <v>16.368618586162075</v>
      </c>
      <c r="J54" s="2">
        <f t="shared" si="17"/>
        <v>0.12120683554362346</v>
      </c>
      <c r="K54" s="1">
        <f t="shared" si="9"/>
        <v>62.458091649767113</v>
      </c>
      <c r="L54" s="3">
        <f t="shared" si="13"/>
        <v>0.46848520248219572</v>
      </c>
      <c r="M54" s="8">
        <f t="shared" si="18"/>
        <v>630.16863105733808</v>
      </c>
      <c r="N54" s="5">
        <f t="shared" si="19"/>
        <v>4.832997000738251</v>
      </c>
      <c r="O54" s="269">
        <f>SUM($M54:$M$108)</f>
        <v>5870.6009229211122</v>
      </c>
      <c r="P54" s="7">
        <f t="shared" si="20"/>
        <v>7.4048298520493928E-3</v>
      </c>
      <c r="Q54" s="44">
        <f t="shared" si="21"/>
        <v>7.500792773324232E-3</v>
      </c>
      <c r="R54" s="45">
        <f t="shared" si="22"/>
        <v>7.6693709628629612E-3</v>
      </c>
    </row>
    <row r="55" spans="1:18">
      <c r="A55" s="14">
        <f t="shared" si="12"/>
        <v>53</v>
      </c>
      <c r="B55" s="14">
        <v>88791</v>
      </c>
      <c r="C55" s="14">
        <f t="shared" si="5"/>
        <v>780</v>
      </c>
      <c r="D55" s="14">
        <f t="shared" si="6"/>
        <v>8.7846741223772673E-3</v>
      </c>
      <c r="E55" s="12">
        <f t="shared" si="14"/>
        <v>0.99121532587762273</v>
      </c>
      <c r="F55" s="14">
        <f>SUM(B55:B$108)</f>
        <v>2186037</v>
      </c>
      <c r="G55" s="14">
        <f t="shared" si="15"/>
        <v>24.620029056999019</v>
      </c>
      <c r="H55" s="10"/>
      <c r="I55" s="2">
        <f t="shared" si="16"/>
        <v>13.760130729921814</v>
      </c>
      <c r="J55" s="2">
        <f t="shared" si="17"/>
        <v>0.1112774620103887</v>
      </c>
      <c r="K55" s="1">
        <f t="shared" si="9"/>
        <v>53.874519339371673</v>
      </c>
      <c r="L55" s="3">
        <f t="shared" si="13"/>
        <v>0.44132664001945948</v>
      </c>
      <c r="M55" s="8">
        <f t="shared" si="18"/>
        <v>568.27249185434903</v>
      </c>
      <c r="N55" s="5">
        <f t="shared" si="19"/>
        <v>4.7597697734543338</v>
      </c>
      <c r="O55" s="269">
        <f>SUM($M55:$M$108)</f>
        <v>5240.4322918637736</v>
      </c>
      <c r="P55" s="7">
        <f t="shared" si="20"/>
        <v>8.0869480235687408E-3</v>
      </c>
      <c r="Q55" s="44">
        <f t="shared" si="21"/>
        <v>8.1917508579410474E-3</v>
      </c>
      <c r="R55" s="45">
        <f t="shared" si="22"/>
        <v>8.3758581344005757E-3</v>
      </c>
    </row>
    <row r="56" spans="1:18">
      <c r="A56" s="14">
        <f t="shared" si="12"/>
        <v>54</v>
      </c>
      <c r="B56" s="14">
        <v>88011</v>
      </c>
      <c r="C56" s="14">
        <f t="shared" si="5"/>
        <v>846</v>
      </c>
      <c r="D56" s="14">
        <f t="shared" si="6"/>
        <v>9.6124348092852026E-3</v>
      </c>
      <c r="E56" s="12">
        <f t="shared" si="14"/>
        <v>0.9903875651907148</v>
      </c>
      <c r="F56" s="14">
        <f>SUM(B56:B$108)</f>
        <v>2097246</v>
      </c>
      <c r="G56" s="14">
        <f t="shared" si="15"/>
        <v>23.829362238811058</v>
      </c>
      <c r="H56" s="10"/>
      <c r="I56" s="2">
        <f t="shared" si="16"/>
        <v>11.558688530150965</v>
      </c>
      <c r="J56" s="2">
        <f t="shared" si="17"/>
        <v>0.1022824129300184</v>
      </c>
      <c r="K56" s="1">
        <f t="shared" si="9"/>
        <v>46.435868907370072</v>
      </c>
      <c r="L56" s="3">
        <f t="shared" si="13"/>
        <v>0.41623448991801876</v>
      </c>
      <c r="M56" s="8">
        <f t="shared" si="18"/>
        <v>512.07309381881566</v>
      </c>
      <c r="N56" s="5">
        <f t="shared" si="19"/>
        <v>4.6931995668325959</v>
      </c>
      <c r="O56" s="269">
        <f>SUM($M56:$M$108)</f>
        <v>4672.1598000094245</v>
      </c>
      <c r="P56" s="7">
        <f t="shared" si="20"/>
        <v>8.8489635016302769E-3</v>
      </c>
      <c r="Q56" s="44">
        <f t="shared" si="21"/>
        <v>8.9636416785550035E-3</v>
      </c>
      <c r="R56" s="45">
        <f t="shared" si="22"/>
        <v>9.165096982215527E-3</v>
      </c>
    </row>
    <row r="57" spans="1:18">
      <c r="A57" s="14">
        <f t="shared" si="12"/>
        <v>55</v>
      </c>
      <c r="B57" s="14">
        <v>87165</v>
      </c>
      <c r="C57" s="14">
        <f t="shared" si="5"/>
        <v>924</v>
      </c>
      <c r="D57" s="14">
        <f t="shared" si="6"/>
        <v>1.0600585097229392E-2</v>
      </c>
      <c r="E57" s="12">
        <f t="shared" si="14"/>
        <v>0.98939941490277061</v>
      </c>
      <c r="F57" s="14">
        <f>SUM(B57:B$108)</f>
        <v>2009235</v>
      </c>
      <c r="G57" s="14">
        <f t="shared" si="15"/>
        <v>23.050937876441232</v>
      </c>
      <c r="H57" s="10"/>
      <c r="I57" s="2">
        <f t="shared" si="16"/>
        <v>9.7013401611644561</v>
      </c>
      <c r="J57" s="2">
        <f t="shared" si="17"/>
        <v>9.4671785017567123E-2</v>
      </c>
      <c r="K57" s="1">
        <f t="shared" si="9"/>
        <v>39.990875777987362</v>
      </c>
      <c r="L57" s="3">
        <f t="shared" si="13"/>
        <v>0.39531366911732907</v>
      </c>
      <c r="M57" s="8">
        <f t="shared" si="18"/>
        <v>461.04620416990298</v>
      </c>
      <c r="N57" s="5">
        <f t="shared" si="19"/>
        <v>4.6599144635217264</v>
      </c>
      <c r="O57" s="269">
        <f>SUM($M57:$M$108)</f>
        <v>4160.0867061906092</v>
      </c>
      <c r="P57" s="7">
        <f t="shared" si="20"/>
        <v>9.7586295753806073E-3</v>
      </c>
      <c r="Q57" s="44">
        <f t="shared" si="21"/>
        <v>9.8850965733270121E-3</v>
      </c>
      <c r="R57" s="45">
        <f t="shared" si="22"/>
        <v>1.0107261314322573E-2</v>
      </c>
    </row>
    <row r="58" spans="1:18">
      <c r="A58" s="14">
        <f t="shared" si="12"/>
        <v>56</v>
      </c>
      <c r="B58" s="14">
        <v>86241</v>
      </c>
      <c r="C58" s="14">
        <f t="shared" si="5"/>
        <v>985</v>
      </c>
      <c r="D58" s="14">
        <f t="shared" si="6"/>
        <v>1.142148166185457E-2</v>
      </c>
      <c r="E58" s="12">
        <f t="shared" si="14"/>
        <v>0.98857851833814547</v>
      </c>
      <c r="F58" s="14">
        <f>SUM(B58:B$108)</f>
        <v>1922070</v>
      </c>
      <c r="G58" s="14">
        <f t="shared" si="15"/>
        <v>22.287195185584583</v>
      </c>
      <c r="H58" s="10"/>
      <c r="I58" s="2">
        <f t="shared" si="16"/>
        <v>8.1343222705329339</v>
      </c>
      <c r="J58" s="2">
        <f t="shared" si="17"/>
        <v>8.5526917090674032E-2</v>
      </c>
      <c r="K58" s="1">
        <f t="shared" si="9"/>
        <v>34.406042692339199</v>
      </c>
      <c r="L58" s="3">
        <f t="shared" si="13"/>
        <v>0.36644453611948929</v>
      </c>
      <c r="M58" s="8">
        <f t="shared" si="18"/>
        <v>414.68985877167762</v>
      </c>
      <c r="N58" s="5">
        <f t="shared" si="19"/>
        <v>4.5159540993397291</v>
      </c>
      <c r="O58" s="269">
        <f>SUM($M58:$M$108)</f>
        <v>3699.0405020207054</v>
      </c>
      <c r="P58" s="7">
        <f t="shared" si="20"/>
        <v>1.0514326116694488E-2</v>
      </c>
      <c r="Q58" s="44">
        <f t="shared" si="21"/>
        <v>1.0650586566907949E-2</v>
      </c>
      <c r="R58" s="45">
        <f t="shared" si="22"/>
        <v>1.0889955478332904E-2</v>
      </c>
    </row>
    <row r="59" spans="1:18">
      <c r="A59" s="14">
        <f t="shared" si="12"/>
        <v>57</v>
      </c>
      <c r="B59" s="14">
        <v>85256</v>
      </c>
      <c r="C59" s="14">
        <f t="shared" si="5"/>
        <v>1045</v>
      </c>
      <c r="D59" s="14">
        <f t="shared" si="6"/>
        <v>1.2257201839166745E-2</v>
      </c>
      <c r="E59" s="12">
        <f t="shared" si="14"/>
        <v>0.98774279816083321</v>
      </c>
      <c r="F59" s="14">
        <f>SUM(B59:B$108)</f>
        <v>1835829</v>
      </c>
      <c r="G59" s="14">
        <f t="shared" si="15"/>
        <v>21.533135497794877</v>
      </c>
      <c r="H59" s="10"/>
      <c r="I59" s="2">
        <f t="shared" si="16"/>
        <v>6.8147595405834132</v>
      </c>
      <c r="J59" s="2">
        <f t="shared" si="17"/>
        <v>7.6895490286289503E-2</v>
      </c>
      <c r="K59" s="1">
        <f t="shared" si="9"/>
        <v>29.576586701453625</v>
      </c>
      <c r="L59" s="3">
        <f t="shared" si="13"/>
        <v>0.33805741800473749</v>
      </c>
      <c r="M59" s="8">
        <f t="shared" si="18"/>
        <v>372.68498741305433</v>
      </c>
      <c r="N59" s="5">
        <f t="shared" si="19"/>
        <v>4.355488725251516</v>
      </c>
      <c r="O59" s="269">
        <f>SUM($M59:$M$108)</f>
        <v>3284.3506432490276</v>
      </c>
      <c r="P59" s="7">
        <f t="shared" si="20"/>
        <v>1.1283668899593553E-2</v>
      </c>
      <c r="Q59" s="44">
        <f t="shared" si="21"/>
        <v>1.1429899650595E-2</v>
      </c>
      <c r="R59" s="45">
        <f t="shared" si="22"/>
        <v>1.1686783402477759E-2</v>
      </c>
    </row>
    <row r="60" spans="1:18">
      <c r="A60" s="14">
        <f t="shared" si="12"/>
        <v>58</v>
      </c>
      <c r="B60" s="14">
        <v>84211</v>
      </c>
      <c r="C60" s="14">
        <f t="shared" si="5"/>
        <v>1128</v>
      </c>
      <c r="D60" s="14">
        <f t="shared" si="6"/>
        <v>1.3394924653548823E-2</v>
      </c>
      <c r="E60" s="12">
        <f t="shared" si="14"/>
        <v>0.98660507534645114</v>
      </c>
      <c r="F60" s="14">
        <f>SUM(B60:B$108)</f>
        <v>1750573</v>
      </c>
      <c r="G60" s="14">
        <f t="shared" si="15"/>
        <v>20.787937442851884</v>
      </c>
      <c r="H60" s="10"/>
      <c r="I60" s="2">
        <f t="shared" si="16"/>
        <v>5.7044319130585555</v>
      </c>
      <c r="J60" s="2">
        <f t="shared" si="17"/>
        <v>7.0341507617334084E-2</v>
      </c>
      <c r="K60" s="1">
        <f t="shared" si="9"/>
        <v>25.403530876991557</v>
      </c>
      <c r="L60" s="3">
        <f t="shared" si="13"/>
        <v>0.31731122738451734</v>
      </c>
      <c r="M60" s="8">
        <f t="shared" si="18"/>
        <v>334.65173845445929</v>
      </c>
      <c r="N60" s="5">
        <f t="shared" si="19"/>
        <v>4.2740246038135803</v>
      </c>
      <c r="O60" s="269">
        <f>SUM($M60:$M$108)</f>
        <v>2911.6656558359732</v>
      </c>
      <c r="P60" s="7">
        <f t="shared" si="20"/>
        <v>1.2331027644717553E-2</v>
      </c>
      <c r="Q60" s="44">
        <f t="shared" si="21"/>
        <v>1.2490831645450985E-2</v>
      </c>
      <c r="R60" s="45">
        <f t="shared" si="22"/>
        <v>1.277155954292228E-2</v>
      </c>
    </row>
    <row r="61" spans="1:18">
      <c r="A61" s="14">
        <f t="shared" si="12"/>
        <v>59</v>
      </c>
      <c r="B61" s="14">
        <v>83083</v>
      </c>
      <c r="C61" s="14">
        <f t="shared" si="5"/>
        <v>1199</v>
      </c>
      <c r="D61" s="14">
        <f t="shared" si="6"/>
        <v>1.4431351780749372E-2</v>
      </c>
      <c r="E61" s="12">
        <f t="shared" si="14"/>
        <v>0.98556864821925061</v>
      </c>
      <c r="F61" s="14">
        <f>SUM(B61:B$108)</f>
        <v>1666362</v>
      </c>
      <c r="G61" s="14">
        <f t="shared" si="15"/>
        <v>20.056594008401238</v>
      </c>
      <c r="H61" s="10"/>
      <c r="I61" s="2">
        <f t="shared" si="16"/>
        <v>4.7695097266032507</v>
      </c>
      <c r="J61" s="2">
        <f t="shared" si="17"/>
        <v>6.3363586092967522E-2</v>
      </c>
      <c r="K61" s="1">
        <f t="shared" si="9"/>
        <v>21.794132604313184</v>
      </c>
      <c r="L61" s="3">
        <f t="shared" si="13"/>
        <v>0.29329028803117174</v>
      </c>
      <c r="M61" s="8">
        <f t="shared" si="18"/>
        <v>300.15373057516598</v>
      </c>
      <c r="N61" s="5">
        <f t="shared" si="19"/>
        <v>4.1300415054581556</v>
      </c>
      <c r="O61" s="269">
        <f>SUM($M61:$M$108)</f>
        <v>2577.0139173815141</v>
      </c>
      <c r="P61" s="7">
        <f t="shared" si="20"/>
        <v>1.3285136151319646E-2</v>
      </c>
      <c r="Q61" s="44">
        <f t="shared" si="21"/>
        <v>1.3457304924956174E-2</v>
      </c>
      <c r="R61" s="45">
        <f t="shared" si="22"/>
        <v>1.3759754035187279E-2</v>
      </c>
    </row>
    <row r="62" spans="1:18">
      <c r="A62" s="14">
        <f t="shared" si="12"/>
        <v>60</v>
      </c>
      <c r="B62" s="14">
        <v>81884</v>
      </c>
      <c r="C62" s="14">
        <f t="shared" si="5"/>
        <v>1282</v>
      </c>
      <c r="D62" s="14">
        <f t="shared" si="6"/>
        <v>1.5656294269942847E-2</v>
      </c>
      <c r="E62" s="12">
        <f t="shared" si="14"/>
        <v>0.98434370573005714</v>
      </c>
      <c r="F62" s="14">
        <f>SUM(B62:B$108)</f>
        <v>1583279</v>
      </c>
      <c r="G62" s="14">
        <f t="shared" si="15"/>
        <v>19.335633334961653</v>
      </c>
      <c r="H62" s="10"/>
      <c r="I62" s="2">
        <f t="shared" si="16"/>
        <v>3.9836264863702837</v>
      </c>
      <c r="J62" s="2">
        <f t="shared" si="17"/>
        <v>5.7415160494751594E-2</v>
      </c>
      <c r="K62" s="1">
        <f t="shared" si="9"/>
        <v>18.677925052125254</v>
      </c>
      <c r="L62" s="3">
        <f t="shared" si="13"/>
        <v>0.27268966838739722</v>
      </c>
      <c r="M62" s="8">
        <f t="shared" si="18"/>
        <v>268.92918772811959</v>
      </c>
      <c r="N62" s="5">
        <f t="shared" si="19"/>
        <v>4.0144917810276404</v>
      </c>
      <c r="O62" s="269">
        <f>SUM($M62:$M$108)</f>
        <v>2276.8601868063479</v>
      </c>
      <c r="P62" s="7">
        <f t="shared" si="20"/>
        <v>1.4412787115256362E-2</v>
      </c>
      <c r="Q62" s="44">
        <f t="shared" si="21"/>
        <v>1.4599569685946964E-2</v>
      </c>
      <c r="R62" s="45">
        <f t="shared" si="22"/>
        <v>1.4927690872610627E-2</v>
      </c>
    </row>
    <row r="63" spans="1:18">
      <c r="A63" s="14">
        <f t="shared" si="12"/>
        <v>61</v>
      </c>
      <c r="B63" s="14">
        <v>80602</v>
      </c>
      <c r="C63" s="14">
        <f t="shared" si="5"/>
        <v>1359</v>
      </c>
      <c r="D63" s="14">
        <f t="shared" si="6"/>
        <v>1.6860623805860897E-2</v>
      </c>
      <c r="E63" s="12">
        <f t="shared" si="14"/>
        <v>0.98313937619413916</v>
      </c>
      <c r="F63" s="14">
        <f>SUM(B63:B$108)</f>
        <v>1501395</v>
      </c>
      <c r="G63" s="14">
        <f t="shared" si="15"/>
        <v>18.627267313466167</v>
      </c>
      <c r="H63" s="10"/>
      <c r="I63" s="2">
        <f t="shared" si="16"/>
        <v>3.3230997100323156</v>
      </c>
      <c r="J63" s="2">
        <f t="shared" si="17"/>
        <v>5.1579366926919903E-2</v>
      </c>
      <c r="K63" s="1">
        <f t="shared" si="9"/>
        <v>15.98738953144108</v>
      </c>
      <c r="L63" s="3">
        <f t="shared" si="13"/>
        <v>0.25136353478835555</v>
      </c>
      <c r="M63" s="8">
        <f t="shared" si="18"/>
        <v>240.65341202479217</v>
      </c>
      <c r="N63" s="5">
        <f t="shared" si="19"/>
        <v>3.8687380019972801</v>
      </c>
      <c r="O63" s="269">
        <f>SUM($M63:$M$108)</f>
        <v>2007.9309990782281</v>
      </c>
      <c r="P63" s="7">
        <f t="shared" si="20"/>
        <v>1.5521462317607773E-2</v>
      </c>
      <c r="Q63" s="44">
        <f t="shared" si="21"/>
        <v>1.5722612768896364E-2</v>
      </c>
      <c r="R63" s="45">
        <f t="shared" si="22"/>
        <v>1.6075974030232001E-2</v>
      </c>
    </row>
    <row r="64" spans="1:18">
      <c r="A64" s="14">
        <f t="shared" si="12"/>
        <v>62</v>
      </c>
      <c r="B64" s="14">
        <v>79243</v>
      </c>
      <c r="C64" s="14">
        <f t="shared" si="5"/>
        <v>1436</v>
      </c>
      <c r="D64" s="14">
        <f t="shared" si="6"/>
        <v>1.812147445200207E-2</v>
      </c>
      <c r="E64" s="12">
        <f t="shared" si="14"/>
        <v>0.98187852554799793</v>
      </c>
      <c r="F64" s="14">
        <f>SUM(B64:B$108)</f>
        <v>1420793</v>
      </c>
      <c r="G64" s="14">
        <f t="shared" si="15"/>
        <v>17.929571066214052</v>
      </c>
      <c r="H64" s="10"/>
      <c r="I64" s="2">
        <f t="shared" si="16"/>
        <v>2.7687035389424537</v>
      </c>
      <c r="J64" s="2">
        <f t="shared" si="17"/>
        <v>4.6187981508747117E-2</v>
      </c>
      <c r="K64" s="1">
        <f t="shared" si="9"/>
        <v>13.667680148620603</v>
      </c>
      <c r="L64" s="3">
        <f t="shared" si="13"/>
        <v>0.23096140765657511</v>
      </c>
      <c r="M64" s="8">
        <f t="shared" si="18"/>
        <v>215.08713216095026</v>
      </c>
      <c r="N64" s="5">
        <f t="shared" si="19"/>
        <v>3.7163072920383264</v>
      </c>
      <c r="O64" s="269">
        <f>SUM($M64:$M$108)</f>
        <v>1767.2775870534358</v>
      </c>
      <c r="P64" s="7">
        <f t="shared" si="20"/>
        <v>1.6682169419406052E-2</v>
      </c>
      <c r="Q64" s="44">
        <f t="shared" si="21"/>
        <v>1.6898362058895902E-2</v>
      </c>
      <c r="R64" s="45">
        <f t="shared" si="22"/>
        <v>1.7278147951953742E-2</v>
      </c>
    </row>
    <row r="65" spans="1:18">
      <c r="A65" s="14">
        <f t="shared" si="12"/>
        <v>63</v>
      </c>
      <c r="B65" s="14">
        <v>77807</v>
      </c>
      <c r="C65" s="14">
        <f t="shared" si="5"/>
        <v>1512</v>
      </c>
      <c r="D65" s="14">
        <f t="shared" si="6"/>
        <v>1.9432698857429279E-2</v>
      </c>
      <c r="E65" s="12">
        <f t="shared" si="14"/>
        <v>0.98056730114257074</v>
      </c>
      <c r="F65" s="14">
        <f>SUM(B65:B$108)</f>
        <v>1341550</v>
      </c>
      <c r="G65" s="14">
        <f t="shared" si="15"/>
        <v>17.242021926047784</v>
      </c>
      <c r="H65" s="10"/>
      <c r="I65" s="2">
        <f t="shared" si="16"/>
        <v>2.3038394478782545</v>
      </c>
      <c r="J65" s="2">
        <f t="shared" si="17"/>
        <v>4.1213958288811657E-2</v>
      </c>
      <c r="K65" s="1">
        <f t="shared" si="9"/>
        <v>11.669566636512386</v>
      </c>
      <c r="L65" s="3">
        <f t="shared" si="13"/>
        <v>0.21146521035287755</v>
      </c>
      <c r="M65" s="8">
        <f t="shared" si="18"/>
        <v>191.99039653685566</v>
      </c>
      <c r="N65" s="5">
        <f t="shared" si="19"/>
        <v>3.5572655264383073</v>
      </c>
      <c r="O65" s="269">
        <f>SUM($M65:$M$108)</f>
        <v>1552.1904548924856</v>
      </c>
      <c r="P65" s="7">
        <f t="shared" si="20"/>
        <v>1.7889249325411149E-2</v>
      </c>
      <c r="Q65" s="44">
        <f t="shared" si="21"/>
        <v>1.8121085121638836E-2</v>
      </c>
      <c r="R65" s="45">
        <f t="shared" si="22"/>
        <v>1.8528351368634382E-2</v>
      </c>
    </row>
    <row r="66" spans="1:18">
      <c r="A66" s="14">
        <f t="shared" si="12"/>
        <v>64</v>
      </c>
      <c r="B66" s="14">
        <v>76295</v>
      </c>
      <c r="C66" s="14">
        <f t="shared" si="5"/>
        <v>1575</v>
      </c>
      <c r="D66" s="14">
        <f t="shared" si="6"/>
        <v>2.0643554623500884E-2</v>
      </c>
      <c r="E66" s="12">
        <f t="shared" ref="E66:E97" si="23">1-D66</f>
        <v>0.97935644537649913</v>
      </c>
      <c r="F66" s="14">
        <f>SUM(B66:B$108)</f>
        <v>1263743</v>
      </c>
      <c r="G66" s="14">
        <f t="shared" ref="G66:G97" si="24">F66/B66</f>
        <v>16.563903270201191</v>
      </c>
      <c r="H66" s="10"/>
      <c r="I66" s="2">
        <f t="shared" ref="I66:I97" si="25">(B66/((1+$H$2)^A66))</f>
        <v>1.9144657878574327</v>
      </c>
      <c r="J66" s="2">
        <f t="shared" ref="J66:J97" si="26">(C66/((1+$H$2)^(A66+0.5)))</f>
        <v>3.6382378432919929E-2</v>
      </c>
      <c r="K66" s="1">
        <f t="shared" si="9"/>
        <v>9.9502569237115992</v>
      </c>
      <c r="L66" s="3">
        <f t="shared" si="13"/>
        <v>0.19154457459499766</v>
      </c>
      <c r="M66" s="8">
        <f t="shared" ref="M66:M97" si="27">B66/((1+$H$4)^(A66))</f>
        <v>171.14500452494227</v>
      </c>
      <c r="N66" s="5">
        <f t="shared" ref="N66:N97" si="28">C66/((1+$H$4)^(A66+0.5))</f>
        <v>3.3686226576120308</v>
      </c>
      <c r="O66" s="269">
        <f>SUM($M66:$M$108)</f>
        <v>1360.2000583556298</v>
      </c>
      <c r="P66" s="7">
        <f t="shared" ref="P66:P97" si="29">J66/I66</f>
        <v>1.9003932409592514E-2</v>
      </c>
      <c r="Q66" s="44">
        <f t="shared" ref="Q66:Q97" si="30">L66/K66</f>
        <v>1.9250213945586098E-2</v>
      </c>
      <c r="R66" s="45">
        <f t="shared" ref="R66:R97" si="31">N66/M66</f>
        <v>1.9682857042555957E-2</v>
      </c>
    </row>
    <row r="67" spans="1:18">
      <c r="A67" s="14">
        <f t="shared" si="12"/>
        <v>65</v>
      </c>
      <c r="B67" s="14">
        <v>74720</v>
      </c>
      <c r="C67" s="14">
        <f t="shared" ref="C67:C108" si="32">B67-B68</f>
        <v>1645</v>
      </c>
      <c r="D67" s="14">
        <f t="shared" ref="D67:D108" si="33">C67/B67</f>
        <v>2.2015524625267666E-2</v>
      </c>
      <c r="E67" s="12">
        <f t="shared" si="23"/>
        <v>0.97798447537473232</v>
      </c>
      <c r="F67" s="14">
        <f>SUM(B67:B$108)</f>
        <v>1187448</v>
      </c>
      <c r="G67" s="14">
        <f t="shared" si="24"/>
        <v>15.891970021413277</v>
      </c>
      <c r="H67" s="10"/>
      <c r="I67" s="2">
        <f t="shared" si="25"/>
        <v>1.5889359396533682</v>
      </c>
      <c r="J67" s="2">
        <f t="shared" si="26"/>
        <v>3.2202858499947938E-2</v>
      </c>
      <c r="K67" s="1">
        <f t="shared" ref="K67:K108" si="34">(B67/((1+$H$3)^(A67)))</f>
        <v>8.4737810881644275</v>
      </c>
      <c r="L67" s="3">
        <f t="shared" si="13"/>
        <v>0.17396318852106088</v>
      </c>
      <c r="M67" s="8">
        <f t="shared" si="27"/>
        <v>152.37451206862937</v>
      </c>
      <c r="N67" s="5">
        <f t="shared" si="28"/>
        <v>3.1984902001568782</v>
      </c>
      <c r="O67" s="269">
        <f>SUM($M67:$M$108)</f>
        <v>1189.0550538306875</v>
      </c>
      <c r="P67" s="7">
        <f t="shared" si="29"/>
        <v>2.0266933169736913E-2</v>
      </c>
      <c r="Q67" s="44">
        <f t="shared" si="30"/>
        <v>2.0529582568995113E-2</v>
      </c>
      <c r="R67" s="45">
        <f t="shared" si="31"/>
        <v>2.0990979112807794E-2</v>
      </c>
    </row>
    <row r="68" spans="1:18">
      <c r="A68" s="14">
        <f t="shared" ref="A68:A108" si="35">A67+1</f>
        <v>66</v>
      </c>
      <c r="B68" s="14">
        <v>73075</v>
      </c>
      <c r="C68" s="14">
        <f t="shared" si="32"/>
        <v>1709</v>
      </c>
      <c r="D68" s="14">
        <f t="shared" si="33"/>
        <v>2.33869312350325E-2</v>
      </c>
      <c r="E68" s="12">
        <f t="shared" si="23"/>
        <v>0.97661306876496745</v>
      </c>
      <c r="F68" s="14">
        <f>SUM(B68:B$108)</f>
        <v>1112728</v>
      </c>
      <c r="G68" s="14">
        <f t="shared" si="24"/>
        <v>15.227204926445433</v>
      </c>
      <c r="H68" s="10"/>
      <c r="I68" s="2">
        <f t="shared" si="25"/>
        <v>1.316910746903353</v>
      </c>
      <c r="J68" s="2">
        <f t="shared" si="26"/>
        <v>2.8352318364026109E-2</v>
      </c>
      <c r="K68" s="1">
        <f t="shared" si="34"/>
        <v>7.2062837843033183</v>
      </c>
      <c r="L68" s="3">
        <f t="shared" ref="L68:L108" si="36">(C68/((1+$H$3)^(A68+0.5)))</f>
        <v>0.1571577053957938</v>
      </c>
      <c r="M68" s="8">
        <f t="shared" si="27"/>
        <v>135.47264295083573</v>
      </c>
      <c r="N68" s="5">
        <f t="shared" si="28"/>
        <v>3.0208454004244847</v>
      </c>
      <c r="O68" s="269">
        <f>SUM($M68:$M$108)</f>
        <v>1036.6805417620578</v>
      </c>
      <c r="P68" s="7">
        <f t="shared" si="29"/>
        <v>2.1529415285504436E-2</v>
      </c>
      <c r="Q68" s="44">
        <f t="shared" si="30"/>
        <v>2.180842582665336E-2</v>
      </c>
      <c r="R68" s="45">
        <f t="shared" si="31"/>
        <v>2.2298564009862694E-2</v>
      </c>
    </row>
    <row r="69" spans="1:18">
      <c r="A69" s="14">
        <f t="shared" si="35"/>
        <v>67</v>
      </c>
      <c r="B69" s="14">
        <v>71366</v>
      </c>
      <c r="C69" s="14">
        <f t="shared" si="32"/>
        <v>1807</v>
      </c>
      <c r="D69" s="14">
        <f t="shared" si="33"/>
        <v>2.5320180478098815E-2</v>
      </c>
      <c r="E69" s="12">
        <f t="shared" si="23"/>
        <v>0.97467981952190119</v>
      </c>
      <c r="F69" s="14">
        <f>SUM(B69:B$108)</f>
        <v>1039653</v>
      </c>
      <c r="G69" s="14">
        <f t="shared" si="24"/>
        <v>14.567903483451504</v>
      </c>
      <c r="H69" s="10"/>
      <c r="I69" s="2">
        <f t="shared" si="25"/>
        <v>1.089925632053262</v>
      </c>
      <c r="J69" s="2">
        <f t="shared" si="26"/>
        <v>2.5405202409871538E-2</v>
      </c>
      <c r="K69" s="1">
        <f t="shared" si="34"/>
        <v>6.119783409547555</v>
      </c>
      <c r="L69" s="3">
        <f t="shared" si="36"/>
        <v>0.14449536909466468</v>
      </c>
      <c r="M69" s="8">
        <f t="shared" si="27"/>
        <v>120.27668505992399</v>
      </c>
      <c r="N69" s="5">
        <f t="shared" si="28"/>
        <v>2.9037010684435578</v>
      </c>
      <c r="O69" s="269">
        <f>SUM($M69:$M$108)</f>
        <v>901.20789881122266</v>
      </c>
      <c r="P69" s="7">
        <f t="shared" si="29"/>
        <v>2.3309115468742411E-2</v>
      </c>
      <c r="Q69" s="44">
        <f t="shared" si="30"/>
        <v>2.3611190041339623E-2</v>
      </c>
      <c r="R69" s="45">
        <f t="shared" si="31"/>
        <v>2.4141844838813792E-2</v>
      </c>
    </row>
    <row r="70" spans="1:18">
      <c r="A70" s="14">
        <f t="shared" si="35"/>
        <v>68</v>
      </c>
      <c r="B70" s="14">
        <v>69559</v>
      </c>
      <c r="C70" s="14">
        <f t="shared" si="32"/>
        <v>1904</v>
      </c>
      <c r="D70" s="14">
        <f t="shared" si="33"/>
        <v>2.7372446412398107E-2</v>
      </c>
      <c r="E70" s="12">
        <f t="shared" si="23"/>
        <v>0.97262755358760189</v>
      </c>
      <c r="F70" s="14">
        <f>SUM(B70:B$108)</f>
        <v>968287</v>
      </c>
      <c r="G70" s="14">
        <f t="shared" si="24"/>
        <v>13.920369758047125</v>
      </c>
      <c r="H70" s="10"/>
      <c r="I70" s="2">
        <f t="shared" si="25"/>
        <v>0.90027840537454873</v>
      </c>
      <c r="J70" s="2">
        <f t="shared" si="26"/>
        <v>2.2685556821586229E-2</v>
      </c>
      <c r="K70" s="1">
        <f t="shared" si="34"/>
        <v>5.1868081644616844</v>
      </c>
      <c r="L70" s="3">
        <f t="shared" si="36"/>
        <v>0.13239295626007164</v>
      </c>
      <c r="M70" s="8">
        <f t="shared" si="27"/>
        <v>106.57387062445389</v>
      </c>
      <c r="N70" s="5">
        <f t="shared" si="28"/>
        <v>2.781429206779964</v>
      </c>
      <c r="O70" s="269">
        <f>SUM($M70:$M$108)</f>
        <v>780.93121375129874</v>
      </c>
      <c r="P70" s="7">
        <f t="shared" si="29"/>
        <v>2.5198379397035751E-2</v>
      </c>
      <c r="Q70" s="44">
        <f t="shared" si="30"/>
        <v>2.5524937892861536E-2</v>
      </c>
      <c r="R70" s="45">
        <f t="shared" si="31"/>
        <v>2.6098603630351318E-2</v>
      </c>
    </row>
    <row r="71" spans="1:18">
      <c r="A71" s="14">
        <f t="shared" si="35"/>
        <v>69</v>
      </c>
      <c r="B71" s="14">
        <v>67655</v>
      </c>
      <c r="C71" s="14">
        <f t="shared" si="32"/>
        <v>2006</v>
      </c>
      <c r="D71" s="14">
        <f t="shared" si="33"/>
        <v>2.9650432340551328E-2</v>
      </c>
      <c r="E71" s="12">
        <f t="shared" si="23"/>
        <v>0.97034956765944869</v>
      </c>
      <c r="F71" s="14">
        <f>SUM(B71:B$108)</f>
        <v>898728</v>
      </c>
      <c r="G71" s="14">
        <f t="shared" si="24"/>
        <v>13.28398492350898</v>
      </c>
      <c r="H71" s="10"/>
      <c r="I71" s="2">
        <f t="shared" si="25"/>
        <v>0.74206405336202952</v>
      </c>
      <c r="J71" s="2">
        <f t="shared" si="26"/>
        <v>2.0254961447844833E-2</v>
      </c>
      <c r="K71" s="1">
        <f t="shared" si="34"/>
        <v>4.3868109008074496</v>
      </c>
      <c r="L71" s="3">
        <f t="shared" si="36"/>
        <v>0.12129168353018979</v>
      </c>
      <c r="M71" s="8">
        <f t="shared" si="27"/>
        <v>94.233348238021961</v>
      </c>
      <c r="N71" s="5">
        <f t="shared" si="28"/>
        <v>2.6640312207795089</v>
      </c>
      <c r="O71" s="269">
        <f>SUM($M71:$M$108)</f>
        <v>674.35734312684497</v>
      </c>
      <c r="P71" s="7">
        <f t="shared" si="29"/>
        <v>2.7295435422423135E-2</v>
      </c>
      <c r="Q71" s="44">
        <f t="shared" si="30"/>
        <v>2.7649170723968174E-2</v>
      </c>
      <c r="R71" s="45">
        <f t="shared" si="31"/>
        <v>2.8270577991673294E-2</v>
      </c>
    </row>
    <row r="72" spans="1:18">
      <c r="A72" s="14">
        <f t="shared" si="35"/>
        <v>70</v>
      </c>
      <c r="B72" s="14">
        <v>65649</v>
      </c>
      <c r="C72" s="14">
        <f t="shared" si="32"/>
        <v>2106</v>
      </c>
      <c r="D72" s="14">
        <f t="shared" si="33"/>
        <v>3.2079696568112236E-2</v>
      </c>
      <c r="E72" s="12">
        <f t="shared" si="23"/>
        <v>0.96792030343188773</v>
      </c>
      <c r="F72" s="14">
        <f>SUM(B72:B$108)</f>
        <v>831073</v>
      </c>
      <c r="G72" s="14">
        <f t="shared" si="24"/>
        <v>12.659339822388764</v>
      </c>
      <c r="H72" s="10"/>
      <c r="I72" s="2">
        <f t="shared" si="25"/>
        <v>0.6102216384368333</v>
      </c>
      <c r="J72" s="2">
        <f t="shared" si="26"/>
        <v>1.8020915562279794E-2</v>
      </c>
      <c r="K72" s="1">
        <f t="shared" si="34"/>
        <v>3.7015130965237097</v>
      </c>
      <c r="L72" s="3">
        <f t="shared" si="36"/>
        <v>0.11072880728015067</v>
      </c>
      <c r="M72" s="8">
        <f t="shared" si="27"/>
        <v>83.126626110788067</v>
      </c>
      <c r="N72" s="5">
        <f t="shared" si="28"/>
        <v>2.542576702148847</v>
      </c>
      <c r="O72" s="269">
        <f>SUM($M72:$M$108)</f>
        <v>580.12399488882306</v>
      </c>
      <c r="P72" s="7">
        <f t="shared" si="29"/>
        <v>2.9531754410484112E-2</v>
      </c>
      <c r="Q72" s="44">
        <f t="shared" si="30"/>
        <v>2.9914471296654886E-2</v>
      </c>
      <c r="R72" s="45">
        <f t="shared" si="31"/>
        <v>3.0586790552045207E-2</v>
      </c>
    </row>
    <row r="73" spans="1:18">
      <c r="A73" s="14">
        <f t="shared" si="35"/>
        <v>71</v>
      </c>
      <c r="B73" s="14">
        <v>63543</v>
      </c>
      <c r="C73" s="14">
        <f t="shared" si="32"/>
        <v>2258</v>
      </c>
      <c r="D73" s="14">
        <f t="shared" si="33"/>
        <v>3.553499205262578E-2</v>
      </c>
      <c r="E73" s="12">
        <f t="shared" si="23"/>
        <v>0.96446500794737422</v>
      </c>
      <c r="F73" s="14">
        <f>SUM(B73:B$108)</f>
        <v>765424</v>
      </c>
      <c r="G73" s="14">
        <f t="shared" si="24"/>
        <v>12.045764285601877</v>
      </c>
      <c r="H73" s="10"/>
      <c r="I73" s="2">
        <f t="shared" si="25"/>
        <v>0.50054738426820622</v>
      </c>
      <c r="J73" s="2">
        <f t="shared" si="26"/>
        <v>1.6374212234466393E-2</v>
      </c>
      <c r="K73" s="1">
        <f t="shared" si="34"/>
        <v>3.1154518952559442</v>
      </c>
      <c r="L73" s="3">
        <f t="shared" si="36"/>
        <v>0.10323533045897043</v>
      </c>
      <c r="M73" s="8">
        <f t="shared" si="27"/>
        <v>73.145408334930053</v>
      </c>
      <c r="N73" s="5">
        <f t="shared" si="28"/>
        <v>2.4782604651006208</v>
      </c>
      <c r="O73" s="269">
        <f>SUM($M73:$M$108)</f>
        <v>496.99736877803485</v>
      </c>
      <c r="P73" s="7">
        <f t="shared" si="29"/>
        <v>3.2712611730865961E-2</v>
      </c>
      <c r="Q73" s="44">
        <f t="shared" si="30"/>
        <v>3.3136550949854841E-2</v>
      </c>
      <c r="R73" s="45">
        <f t="shared" si="31"/>
        <v>3.3881285531318112E-2</v>
      </c>
    </row>
    <row r="74" spans="1:18">
      <c r="A74" s="14">
        <f t="shared" si="35"/>
        <v>72</v>
      </c>
      <c r="B74" s="14">
        <v>61285</v>
      </c>
      <c r="C74" s="14">
        <f t="shared" si="32"/>
        <v>2374</v>
      </c>
      <c r="D74" s="14">
        <f t="shared" si="33"/>
        <v>3.8737048217345194E-2</v>
      </c>
      <c r="E74" s="12">
        <f t="shared" si="23"/>
        <v>0.96126295178265475</v>
      </c>
      <c r="F74" s="14">
        <f>SUM(B74:B$108)</f>
        <v>701881</v>
      </c>
      <c r="G74" s="14">
        <f t="shared" si="24"/>
        <v>11.45273721138941</v>
      </c>
      <c r="H74" s="10"/>
      <c r="I74" s="2">
        <f t="shared" si="25"/>
        <v>0.40911901436124831</v>
      </c>
      <c r="J74" s="2">
        <f t="shared" si="26"/>
        <v>1.4589324527714361E-2</v>
      </c>
      <c r="K74" s="1">
        <f t="shared" si="34"/>
        <v>2.6128211625371187</v>
      </c>
      <c r="L74" s="3">
        <f t="shared" si="36"/>
        <v>9.4381589906263968E-2</v>
      </c>
      <c r="M74" s="8">
        <f t="shared" si="27"/>
        <v>64.132897119147501</v>
      </c>
      <c r="N74" s="5">
        <f t="shared" si="28"/>
        <v>2.3687053483166411</v>
      </c>
      <c r="O74" s="269">
        <f>SUM($M74:$M$108)</f>
        <v>423.85196044310476</v>
      </c>
      <c r="P74" s="7">
        <f t="shared" si="29"/>
        <v>3.5660343361191525E-2</v>
      </c>
      <c r="Q74" s="44">
        <f t="shared" si="30"/>
        <v>3.6122483719711204E-2</v>
      </c>
      <c r="R74" s="45">
        <f t="shared" si="31"/>
        <v>3.6934326293041282E-2</v>
      </c>
    </row>
    <row r="75" spans="1:18">
      <c r="A75" s="14">
        <f t="shared" si="35"/>
        <v>73</v>
      </c>
      <c r="B75" s="14">
        <v>58911</v>
      </c>
      <c r="C75" s="14">
        <f t="shared" si="32"/>
        <v>2495</v>
      </c>
      <c r="D75" s="14">
        <f t="shared" si="33"/>
        <v>4.2352022542479335E-2</v>
      </c>
      <c r="E75" s="12">
        <f t="shared" si="23"/>
        <v>0.95764797745752062</v>
      </c>
      <c r="F75" s="14">
        <f>SUM(B75:B$108)</f>
        <v>640596</v>
      </c>
      <c r="G75" s="14">
        <f t="shared" si="24"/>
        <v>10.873962417884606</v>
      </c>
      <c r="H75" s="10"/>
      <c r="I75" s="2">
        <f t="shared" si="25"/>
        <v>0.33328046726720667</v>
      </c>
      <c r="J75" s="2">
        <f t="shared" si="26"/>
        <v>1.2994004503822236E-2</v>
      </c>
      <c r="K75" s="1">
        <f t="shared" si="34"/>
        <v>2.1840071158092336</v>
      </c>
      <c r="L75" s="3">
        <f t="shared" si="36"/>
        <v>8.6254007844448366E-2</v>
      </c>
      <c r="M75" s="8">
        <f t="shared" si="27"/>
        <v>56.044161810113671</v>
      </c>
      <c r="N75" s="5">
        <f t="shared" si="28"/>
        <v>2.263123169200437</v>
      </c>
      <c r="O75" s="269">
        <f>SUM($M75:$M$108)</f>
        <v>359.71906332395724</v>
      </c>
      <c r="P75" s="7">
        <f t="shared" si="29"/>
        <v>3.8988196969264116E-2</v>
      </c>
      <c r="Q75" s="44">
        <f t="shared" si="30"/>
        <v>3.9493464659564048E-2</v>
      </c>
      <c r="R75" s="45">
        <f t="shared" si="31"/>
        <v>4.0381069073140034E-2</v>
      </c>
    </row>
    <row r="76" spans="1:18">
      <c r="A76" s="14">
        <f t="shared" si="35"/>
        <v>74</v>
      </c>
      <c r="B76" s="14">
        <v>56416</v>
      </c>
      <c r="C76" s="14">
        <f t="shared" si="32"/>
        <v>2598</v>
      </c>
      <c r="D76" s="14">
        <f t="shared" si="33"/>
        <v>4.6050765740215542E-2</v>
      </c>
      <c r="E76" s="12">
        <f t="shared" si="23"/>
        <v>0.95394923425978451</v>
      </c>
      <c r="F76" s="14">
        <f>SUM(B76:B$108)</f>
        <v>581685</v>
      </c>
      <c r="G76" s="14">
        <f t="shared" si="24"/>
        <v>10.310638825865002</v>
      </c>
      <c r="H76" s="10"/>
      <c r="I76" s="2">
        <f t="shared" si="25"/>
        <v>0.27047912322418471</v>
      </c>
      <c r="J76" s="2">
        <f t="shared" si="26"/>
        <v>1.1466466390723889E-2</v>
      </c>
      <c r="K76" s="1">
        <f t="shared" si="34"/>
        <v>1.8187043453978662</v>
      </c>
      <c r="L76" s="3">
        <f t="shared" si="36"/>
        <v>7.8099821340028616E-2</v>
      </c>
      <c r="M76" s="8">
        <f t="shared" si="27"/>
        <v>48.791434732506708</v>
      </c>
      <c r="N76" s="5">
        <f t="shared" si="28"/>
        <v>2.142318817118869</v>
      </c>
      <c r="O76" s="269">
        <f>SUM($M76:$M$108)</f>
        <v>303.67490151384357</v>
      </c>
      <c r="P76" s="7">
        <f t="shared" si="29"/>
        <v>4.2393166075224184E-2</v>
      </c>
      <c r="Q76" s="44">
        <f t="shared" si="30"/>
        <v>4.2942560475899241E-2</v>
      </c>
      <c r="R76" s="45">
        <f t="shared" si="31"/>
        <v>4.3907682339408123E-2</v>
      </c>
    </row>
    <row r="77" spans="1:18">
      <c r="A77" s="14">
        <f t="shared" si="35"/>
        <v>75</v>
      </c>
      <c r="B77" s="14">
        <v>53818</v>
      </c>
      <c r="C77" s="14">
        <f t="shared" si="32"/>
        <v>2732</v>
      </c>
      <c r="D77" s="14">
        <f t="shared" si="33"/>
        <v>5.0763685012449364E-2</v>
      </c>
      <c r="E77" s="12">
        <f t="shared" si="23"/>
        <v>0.94923631498755068</v>
      </c>
      <c r="F77" s="14">
        <f>SUM(B77:B$108)</f>
        <v>525269</v>
      </c>
      <c r="G77" s="14">
        <f t="shared" si="24"/>
        <v>9.76009885168531</v>
      </c>
      <c r="H77" s="10"/>
      <c r="I77" s="2">
        <f t="shared" si="25"/>
        <v>0.2186638580364143</v>
      </c>
      <c r="J77" s="2">
        <f t="shared" si="26"/>
        <v>1.0218546919878928E-2</v>
      </c>
      <c r="K77" s="1">
        <f t="shared" si="34"/>
        <v>1.508653580554119</v>
      </c>
      <c r="L77" s="3">
        <f t="shared" si="36"/>
        <v>7.1415708371308395E-2</v>
      </c>
      <c r="M77" s="8">
        <f t="shared" si="27"/>
        <v>42.313228910464566</v>
      </c>
      <c r="N77" s="5">
        <f t="shared" si="28"/>
        <v>2.0480142096608387</v>
      </c>
      <c r="O77" s="269">
        <f>SUM($M77:$M$108)</f>
        <v>254.88346678133698</v>
      </c>
      <c r="P77" s="7">
        <f t="shared" si="29"/>
        <v>4.673175993344645E-2</v>
      </c>
      <c r="Q77" s="44">
        <f t="shared" si="30"/>
        <v>4.7337380358105703E-2</v>
      </c>
      <c r="R77" s="45">
        <f t="shared" si="31"/>
        <v>4.84012745516176E-2</v>
      </c>
    </row>
    <row r="78" spans="1:18">
      <c r="A78" s="14">
        <f t="shared" si="35"/>
        <v>76</v>
      </c>
      <c r="B78" s="14">
        <v>51086</v>
      </c>
      <c r="C78" s="14">
        <f t="shared" si="32"/>
        <v>2835</v>
      </c>
      <c r="D78" s="14">
        <f t="shared" si="33"/>
        <v>5.5494656070156211E-2</v>
      </c>
      <c r="E78" s="12">
        <f t="shared" si="23"/>
        <v>0.94450534392984375</v>
      </c>
      <c r="F78" s="14">
        <f>SUM(B78:B$108)</f>
        <v>471451</v>
      </c>
      <c r="G78" s="14">
        <f t="shared" si="24"/>
        <v>9.2285753435383473</v>
      </c>
      <c r="H78" s="10"/>
      <c r="I78" s="2">
        <f t="shared" si="25"/>
        <v>0.17590141934190412</v>
      </c>
      <c r="J78" s="2">
        <f t="shared" si="26"/>
        <v>8.9862708507633289E-3</v>
      </c>
      <c r="K78" s="1">
        <f t="shared" si="34"/>
        <v>1.2452771873025794</v>
      </c>
      <c r="L78" s="3">
        <f t="shared" si="36"/>
        <v>6.4441891028282877E-2</v>
      </c>
      <c r="M78" s="8">
        <f t="shared" si="27"/>
        <v>36.513866805630975</v>
      </c>
      <c r="N78" s="5">
        <f t="shared" si="28"/>
        <v>1.9320245855146008</v>
      </c>
      <c r="O78" s="269">
        <f>SUM($M78:$M$108)</f>
        <v>212.5702378708724</v>
      </c>
      <c r="P78" s="7">
        <f t="shared" si="29"/>
        <v>5.1086971807182996E-2</v>
      </c>
      <c r="Q78" s="44">
        <f t="shared" si="30"/>
        <v>5.1749033617063032E-2</v>
      </c>
      <c r="R78" s="45">
        <f t="shared" si="31"/>
        <v>5.2912078465944729E-2</v>
      </c>
    </row>
    <row r="79" spans="1:18">
      <c r="A79" s="14">
        <f t="shared" si="35"/>
        <v>77</v>
      </c>
      <c r="B79" s="14">
        <v>48251</v>
      </c>
      <c r="C79" s="14">
        <f t="shared" si="32"/>
        <v>2967</v>
      </c>
      <c r="D79" s="14">
        <f t="shared" si="33"/>
        <v>6.1490953555366726E-2</v>
      </c>
      <c r="E79" s="12">
        <f t="shared" si="23"/>
        <v>0.93850904644463329</v>
      </c>
      <c r="F79" s="14">
        <f>SUM(B79:B$108)</f>
        <v>420365</v>
      </c>
      <c r="G79" s="14">
        <f t="shared" si="24"/>
        <v>8.7120474187063479</v>
      </c>
      <c r="H79" s="10"/>
      <c r="I79" s="2">
        <f t="shared" si="25"/>
        <v>0.14079646658751935</v>
      </c>
      <c r="J79" s="2">
        <f t="shared" si="26"/>
        <v>7.9700671432202733E-3</v>
      </c>
      <c r="K79" s="1">
        <f t="shared" si="34"/>
        <v>1.0227573548532269</v>
      </c>
      <c r="L79" s="3">
        <f t="shared" si="36"/>
        <v>5.8645530459601428E-2</v>
      </c>
      <c r="M79" s="8">
        <f t="shared" si="27"/>
        <v>31.352311204964536</v>
      </c>
      <c r="N79" s="5">
        <f t="shared" si="28"/>
        <v>1.8381648052659358</v>
      </c>
      <c r="O79" s="269">
        <f>SUM($M79:$M$108)</f>
        <v>176.05637106524142</v>
      </c>
      <c r="P79" s="7">
        <f t="shared" si="29"/>
        <v>5.6607011073435319E-2</v>
      </c>
      <c r="Q79" s="44">
        <f t="shared" si="30"/>
        <v>5.7340609853661219E-2</v>
      </c>
      <c r="R79" s="45">
        <f t="shared" si="31"/>
        <v>5.8629323792080391E-2</v>
      </c>
    </row>
    <row r="80" spans="1:18">
      <c r="A80" s="14">
        <f t="shared" si="35"/>
        <v>78</v>
      </c>
      <c r="B80" s="14">
        <v>45284</v>
      </c>
      <c r="C80" s="14">
        <f t="shared" si="32"/>
        <v>3081</v>
      </c>
      <c r="D80" s="14">
        <f t="shared" si="33"/>
        <v>6.8037275859023055E-2</v>
      </c>
      <c r="E80" s="12">
        <f t="shared" si="23"/>
        <v>0.93196272414097692</v>
      </c>
      <c r="F80" s="14">
        <f>SUM(B80:B$108)</f>
        <v>372114</v>
      </c>
      <c r="G80" s="14">
        <f t="shared" si="24"/>
        <v>8.2173394576450836</v>
      </c>
      <c r="H80" s="10"/>
      <c r="I80" s="2">
        <f t="shared" si="25"/>
        <v>0.11198199796595461</v>
      </c>
      <c r="J80" s="2">
        <f t="shared" si="26"/>
        <v>7.0138120649922272E-3</v>
      </c>
      <c r="K80" s="1">
        <f t="shared" si="34"/>
        <v>0.83466698247611959</v>
      </c>
      <c r="L80" s="3">
        <f t="shared" si="36"/>
        <v>5.2955519217488575E-2</v>
      </c>
      <c r="M80" s="8">
        <f t="shared" si="27"/>
        <v>26.749479720733323</v>
      </c>
      <c r="N80" s="5">
        <f t="shared" si="28"/>
        <v>1.7352654242192447</v>
      </c>
      <c r="O80" s="269">
        <f>SUM($M80:$M$108)</f>
        <v>144.70405986027691</v>
      </c>
      <c r="P80" s="7">
        <f t="shared" si="29"/>
        <v>6.2633389226763092E-2</v>
      </c>
      <c r="Q80" s="44">
        <f t="shared" si="30"/>
        <v>6.3445086878111498E-2</v>
      </c>
      <c r="R80" s="45">
        <f t="shared" si="31"/>
        <v>6.4870997205760728E-2</v>
      </c>
    </row>
    <row r="81" spans="1:18">
      <c r="A81" s="14">
        <f t="shared" si="35"/>
        <v>79</v>
      </c>
      <c r="B81" s="14">
        <v>42203</v>
      </c>
      <c r="C81" s="14">
        <f t="shared" si="32"/>
        <v>3162</v>
      </c>
      <c r="D81" s="14">
        <f t="shared" si="33"/>
        <v>7.4923583631495386E-2</v>
      </c>
      <c r="E81" s="12">
        <f t="shared" si="23"/>
        <v>0.92507641636850457</v>
      </c>
      <c r="F81" s="14">
        <f>SUM(B81:B$108)</f>
        <v>326830</v>
      </c>
      <c r="G81" s="14">
        <f t="shared" si="24"/>
        <v>7.7442361917399234</v>
      </c>
      <c r="H81" s="10"/>
      <c r="I81" s="2">
        <f t="shared" si="25"/>
        <v>8.8443260914491867E-2</v>
      </c>
      <c r="J81" s="2">
        <f t="shared" si="26"/>
        <v>6.1001748687982112E-3</v>
      </c>
      <c r="K81" s="1">
        <f t="shared" si="34"/>
        <v>0.67641609977302053</v>
      </c>
      <c r="L81" s="3">
        <f t="shared" si="36"/>
        <v>4.72588944204166E-2</v>
      </c>
      <c r="M81" s="8">
        <f t="shared" si="27"/>
        <v>22.663198172625862</v>
      </c>
      <c r="N81" s="5">
        <f t="shared" si="28"/>
        <v>1.6189871267832912</v>
      </c>
      <c r="O81" s="269">
        <f>SUM($M81:$M$108)</f>
        <v>117.95458013954351</v>
      </c>
      <c r="P81" s="7">
        <f t="shared" si="29"/>
        <v>6.8972749373137007E-2</v>
      </c>
      <c r="Q81" s="44">
        <f t="shared" si="30"/>
        <v>6.9866601986964663E-2</v>
      </c>
      <c r="R81" s="45">
        <f t="shared" si="31"/>
        <v>7.1436834044844244E-2</v>
      </c>
    </row>
    <row r="82" spans="1:18">
      <c r="A82" s="14">
        <f t="shared" si="35"/>
        <v>80</v>
      </c>
      <c r="B82" s="14">
        <v>39041</v>
      </c>
      <c r="C82" s="14">
        <f t="shared" si="32"/>
        <v>3217</v>
      </c>
      <c r="D82" s="14">
        <f t="shared" si="33"/>
        <v>8.2400553264516785E-2</v>
      </c>
      <c r="E82" s="12">
        <f t="shared" si="23"/>
        <v>0.91759944673548322</v>
      </c>
      <c r="F82" s="14">
        <f>SUM(B82:B$108)</f>
        <v>284627</v>
      </c>
      <c r="G82" s="14">
        <f t="shared" si="24"/>
        <v>7.2904638713147714</v>
      </c>
      <c r="H82" s="10"/>
      <c r="I82" s="2">
        <f t="shared" si="25"/>
        <v>6.9336249880273537E-2</v>
      </c>
      <c r="J82" s="2">
        <f t="shared" si="26"/>
        <v>5.2595607138058494E-3</v>
      </c>
      <c r="K82" s="1">
        <f t="shared" si="34"/>
        <v>0.54411876656694513</v>
      </c>
      <c r="L82" s="3">
        <f t="shared" si="36"/>
        <v>4.1809494087528563E-2</v>
      </c>
      <c r="M82" s="8">
        <f t="shared" si="27"/>
        <v>19.059263771801792</v>
      </c>
      <c r="N82" s="5">
        <f t="shared" si="28"/>
        <v>1.497407160848095</v>
      </c>
      <c r="O82" s="269">
        <f>SUM($M82:$M$108)</f>
        <v>95.291381966917641</v>
      </c>
      <c r="P82" s="7">
        <f t="shared" si="29"/>
        <v>7.5855857836092999E-2</v>
      </c>
      <c r="Q82" s="44">
        <f t="shared" si="30"/>
        <v>7.6838912120823846E-2</v>
      </c>
      <c r="R82" s="45">
        <f t="shared" si="31"/>
        <v>7.8565844870855453E-2</v>
      </c>
    </row>
    <row r="83" spans="1:18">
      <c r="A83" s="14">
        <f t="shared" si="35"/>
        <v>81</v>
      </c>
      <c r="B83" s="14">
        <v>35824</v>
      </c>
      <c r="C83" s="14">
        <f t="shared" si="32"/>
        <v>3306</v>
      </c>
      <c r="D83" s="14">
        <f t="shared" si="33"/>
        <v>9.2284502009825811E-2</v>
      </c>
      <c r="E83" s="12">
        <f t="shared" si="23"/>
        <v>0.90771549799017415</v>
      </c>
      <c r="F83" s="14">
        <f>SUM(B83:B$108)</f>
        <v>245586</v>
      </c>
      <c r="G83" s="14">
        <f t="shared" si="24"/>
        <v>6.8553483698079498</v>
      </c>
      <c r="H83" s="10"/>
      <c r="I83" s="2">
        <f t="shared" si="25"/>
        <v>5.3917715702417129E-2</v>
      </c>
      <c r="J83" s="2">
        <f t="shared" si="26"/>
        <v>4.5805671458939408E-3</v>
      </c>
      <c r="K83" s="1">
        <f t="shared" si="34"/>
        <v>0.43415919926975866</v>
      </c>
      <c r="L83" s="3">
        <f t="shared" si="36"/>
        <v>3.7361891974258855E-2</v>
      </c>
      <c r="M83" s="8">
        <f t="shared" si="27"/>
        <v>15.898881720173604</v>
      </c>
      <c r="N83" s="5">
        <f t="shared" si="28"/>
        <v>1.3989397444722078</v>
      </c>
      <c r="O83" s="269">
        <f>SUM($M83:$M$108)</f>
        <v>76.232118195115859</v>
      </c>
      <c r="P83" s="7">
        <f t="shared" si="29"/>
        <v>8.4954770175632535E-2</v>
      </c>
      <c r="Q83" s="44">
        <f t="shared" si="30"/>
        <v>8.6055741850225256E-2</v>
      </c>
      <c r="R83" s="45">
        <f t="shared" si="31"/>
        <v>8.7989820233528498E-2</v>
      </c>
    </row>
    <row r="84" spans="1:18">
      <c r="A84" s="14">
        <f t="shared" si="35"/>
        <v>82</v>
      </c>
      <c r="B84" s="14">
        <v>32518</v>
      </c>
      <c r="C84" s="14">
        <f t="shared" si="32"/>
        <v>3298</v>
      </c>
      <c r="D84" s="14">
        <f t="shared" si="33"/>
        <v>0.10142075158373824</v>
      </c>
      <c r="E84" s="12">
        <f t="shared" si="23"/>
        <v>0.8985792484162618</v>
      </c>
      <c r="F84" s="14">
        <f>SUM(B84:B$108)</f>
        <v>209762</v>
      </c>
      <c r="G84" s="14">
        <f t="shared" si="24"/>
        <v>6.4506427209545478</v>
      </c>
      <c r="H84" s="10"/>
      <c r="I84" s="2">
        <f t="shared" si="25"/>
        <v>4.1476225558739151E-2</v>
      </c>
      <c r="J84" s="2">
        <f t="shared" si="26"/>
        <v>3.8724431304044534E-3</v>
      </c>
      <c r="K84" s="1">
        <f t="shared" si="34"/>
        <v>0.34268959458449066</v>
      </c>
      <c r="L84" s="3">
        <f t="shared" si="36"/>
        <v>3.2409984410717234E-2</v>
      </c>
      <c r="M84" s="8">
        <f t="shared" si="27"/>
        <v>13.119692125558418</v>
      </c>
      <c r="N84" s="5">
        <f t="shared" si="28"/>
        <v>1.268685936663186</v>
      </c>
      <c r="O84" s="269">
        <f>SUM($M84:$M$108)</f>
        <v>60.333236474942254</v>
      </c>
      <c r="P84" s="7">
        <f t="shared" si="29"/>
        <v>9.3365369636160628E-2</v>
      </c>
      <c r="Q84" s="44">
        <f t="shared" si="30"/>
        <v>9.4575338507182194E-2</v>
      </c>
      <c r="R84" s="45">
        <f t="shared" si="31"/>
        <v>9.6700892408264988E-2</v>
      </c>
    </row>
    <row r="85" spans="1:18">
      <c r="A85" s="14">
        <f t="shared" si="35"/>
        <v>83</v>
      </c>
      <c r="B85" s="14">
        <v>29220</v>
      </c>
      <c r="C85" s="14">
        <f t="shared" si="32"/>
        <v>3258</v>
      </c>
      <c r="D85" s="14">
        <f t="shared" si="33"/>
        <v>0.11149897330595483</v>
      </c>
      <c r="E85" s="12">
        <f t="shared" si="23"/>
        <v>0.88850102669404518</v>
      </c>
      <c r="F85" s="14">
        <f>SUM(B85:B$108)</f>
        <v>177244</v>
      </c>
      <c r="G85" s="14">
        <f t="shared" si="24"/>
        <v>6.0658453114305271</v>
      </c>
      <c r="H85" s="10"/>
      <c r="I85" s="2">
        <f t="shared" si="25"/>
        <v>3.1584470838741677E-2</v>
      </c>
      <c r="J85" s="2">
        <f t="shared" si="26"/>
        <v>3.2419287803747833E-3</v>
      </c>
      <c r="K85" s="1">
        <f t="shared" si="34"/>
        <v>0.26776848551461313</v>
      </c>
      <c r="L85" s="3">
        <f t="shared" si="36"/>
        <v>2.7840780765712208E-2</v>
      </c>
      <c r="M85" s="8">
        <f t="shared" si="27"/>
        <v>10.717348263306388</v>
      </c>
      <c r="N85" s="5">
        <f t="shared" si="28"/>
        <v>1.1393623633189978</v>
      </c>
      <c r="O85" s="269">
        <f>SUM($M85:$M$108)</f>
        <v>47.213544349383838</v>
      </c>
      <c r="P85" s="7">
        <f t="shared" si="29"/>
        <v>0.10264312474718483</v>
      </c>
      <c r="Q85" s="44">
        <f t="shared" si="30"/>
        <v>0.10397332872166105</v>
      </c>
      <c r="R85" s="45">
        <f t="shared" si="31"/>
        <v>0.10631009978652083</v>
      </c>
    </row>
    <row r="86" spans="1:18">
      <c r="A86" s="14">
        <f t="shared" si="35"/>
        <v>84</v>
      </c>
      <c r="B86" s="14">
        <v>25962</v>
      </c>
      <c r="C86" s="14">
        <f t="shared" si="32"/>
        <v>3182</v>
      </c>
      <c r="D86" s="14">
        <f t="shared" si="33"/>
        <v>0.12256374701486789</v>
      </c>
      <c r="E86" s="12">
        <f t="shared" si="23"/>
        <v>0.87743625298513206</v>
      </c>
      <c r="F86" s="14">
        <f>SUM(B86:B$108)</f>
        <v>148024</v>
      </c>
      <c r="G86" s="14">
        <f t="shared" si="24"/>
        <v>5.7015638240505355</v>
      </c>
      <c r="H86" s="10"/>
      <c r="I86" s="2">
        <f t="shared" si="25"/>
        <v>2.3782063362550947E-2</v>
      </c>
      <c r="J86" s="2">
        <f t="shared" si="26"/>
        <v>2.6833082007139018E-3</v>
      </c>
      <c r="K86" s="1">
        <f t="shared" si="34"/>
        <v>0.20688049938786376</v>
      </c>
      <c r="L86" s="3">
        <f t="shared" si="36"/>
        <v>2.3644637786984866E-2</v>
      </c>
      <c r="M86" s="8">
        <f t="shared" si="27"/>
        <v>8.6567044867139717</v>
      </c>
      <c r="N86" s="5">
        <f t="shared" si="28"/>
        <v>1.0116220325021064</v>
      </c>
      <c r="O86" s="269">
        <f>SUM($M86:$M$108)</f>
        <v>36.496196086077447</v>
      </c>
      <c r="P86" s="7">
        <f t="shared" si="29"/>
        <v>0.11282907457639878</v>
      </c>
      <c r="Q86" s="44">
        <f t="shared" si="30"/>
        <v>0.11429128340731341</v>
      </c>
      <c r="R86" s="45">
        <f t="shared" si="31"/>
        <v>0.11685994757643754</v>
      </c>
    </row>
    <row r="87" spans="1:18">
      <c r="A87" s="14">
        <f t="shared" si="35"/>
        <v>85</v>
      </c>
      <c r="B87" s="14">
        <v>22780</v>
      </c>
      <c r="C87" s="14">
        <f t="shared" si="32"/>
        <v>3055</v>
      </c>
      <c r="D87" s="14">
        <f t="shared" si="33"/>
        <v>0.13410886742756803</v>
      </c>
      <c r="E87" s="12">
        <f t="shared" si="23"/>
        <v>0.865891132572432</v>
      </c>
      <c r="F87" s="14">
        <f>SUM(B87:B$108)</f>
        <v>122062</v>
      </c>
      <c r="G87" s="14">
        <f t="shared" si="24"/>
        <v>5.358296751536435</v>
      </c>
      <c r="H87" s="10"/>
      <c r="I87" s="2">
        <f t="shared" si="25"/>
        <v>1.7684105563637031E-2</v>
      </c>
      <c r="J87" s="2">
        <f t="shared" si="26"/>
        <v>2.183230500266589E-3</v>
      </c>
      <c r="K87" s="1">
        <f t="shared" si="34"/>
        <v>0.15784734799876532</v>
      </c>
      <c r="L87" s="3">
        <f t="shared" si="36"/>
        <v>1.9739941638903302E-2</v>
      </c>
      <c r="M87" s="8">
        <f t="shared" si="27"/>
        <v>6.905187589110807</v>
      </c>
      <c r="N87" s="5">
        <f t="shared" si="28"/>
        <v>0.88295106259469103</v>
      </c>
      <c r="O87" s="269">
        <f>SUM($M87:$M$108)</f>
        <v>27.839491599363466</v>
      </c>
      <c r="P87" s="7">
        <f t="shared" si="29"/>
        <v>0.12345721938891045</v>
      </c>
      <c r="Q87" s="44">
        <f t="shared" si="30"/>
        <v>0.12505716370386982</v>
      </c>
      <c r="R87" s="45">
        <f t="shared" si="31"/>
        <v>0.12786778797828288</v>
      </c>
    </row>
    <row r="88" spans="1:18">
      <c r="A88" s="14">
        <f t="shared" si="35"/>
        <v>86</v>
      </c>
      <c r="B88" s="14">
        <v>19725</v>
      </c>
      <c r="C88" s="14">
        <f t="shared" si="32"/>
        <v>2882</v>
      </c>
      <c r="D88" s="14">
        <f t="shared" si="33"/>
        <v>0.14610899873257288</v>
      </c>
      <c r="E88" s="12">
        <f t="shared" si="23"/>
        <v>0.85389100126742712</v>
      </c>
      <c r="F88" s="14">
        <f>SUM(B88:B$108)</f>
        <v>99282</v>
      </c>
      <c r="G88" s="14">
        <f t="shared" si="24"/>
        <v>5.0333079847908744</v>
      </c>
      <c r="H88" s="10"/>
      <c r="I88" s="2">
        <f t="shared" si="25"/>
        <v>1.2976703555108571E-2</v>
      </c>
      <c r="J88" s="2">
        <f t="shared" si="26"/>
        <v>1.7454215933225068E-3</v>
      </c>
      <c r="K88" s="1">
        <f t="shared" si="34"/>
        <v>0.1188509729845267</v>
      </c>
      <c r="L88" s="3">
        <f t="shared" si="36"/>
        <v>1.6193129382571489E-2</v>
      </c>
      <c r="M88" s="8">
        <f t="shared" si="27"/>
        <v>5.4355824565093247</v>
      </c>
      <c r="N88" s="5">
        <f t="shared" si="28"/>
        <v>0.75722807986844143</v>
      </c>
      <c r="O88" s="269">
        <f>SUM($M88:$M$108)</f>
        <v>20.93430401025266</v>
      </c>
      <c r="P88" s="7">
        <f t="shared" si="29"/>
        <v>0.1345042356797449</v>
      </c>
      <c r="Q88" s="44">
        <f t="shared" si="30"/>
        <v>0.13624734384530185</v>
      </c>
      <c r="R88" s="45">
        <f t="shared" si="31"/>
        <v>0.13930946424363977</v>
      </c>
    </row>
    <row r="89" spans="1:18">
      <c r="A89" s="14">
        <f t="shared" si="35"/>
        <v>87</v>
      </c>
      <c r="B89" s="14">
        <v>16843</v>
      </c>
      <c r="C89" s="14">
        <f t="shared" si="32"/>
        <v>2710</v>
      </c>
      <c r="D89" s="14">
        <f t="shared" si="33"/>
        <v>0.16089770230956479</v>
      </c>
      <c r="E89" s="12">
        <f t="shared" si="23"/>
        <v>0.83910229769043521</v>
      </c>
      <c r="F89" s="14">
        <f>SUM(B89:B$108)</f>
        <v>79557</v>
      </c>
      <c r="G89" s="14">
        <f t="shared" si="24"/>
        <v>4.7234459419343349</v>
      </c>
      <c r="H89" s="10"/>
      <c r="I89" s="2">
        <f t="shared" si="25"/>
        <v>9.3904155862900313E-3</v>
      </c>
      <c r="J89" s="2">
        <f t="shared" si="26"/>
        <v>1.3908927762923576E-3</v>
      </c>
      <c r="K89" s="1">
        <f t="shared" si="34"/>
        <v>8.824850115075257E-2</v>
      </c>
      <c r="L89" s="3">
        <f t="shared" si="36"/>
        <v>1.3240618117481432E-2</v>
      </c>
      <c r="M89" s="8">
        <f t="shared" si="27"/>
        <v>4.2194499511458252</v>
      </c>
      <c r="N89" s="5">
        <f t="shared" si="28"/>
        <v>0.64730556319584842</v>
      </c>
      <c r="O89" s="269">
        <f>SUM($M89:$M$108)</f>
        <v>15.498721553743339</v>
      </c>
      <c r="P89" s="7">
        <f t="shared" si="29"/>
        <v>0.148118340824346</v>
      </c>
      <c r="Q89" s="44">
        <f t="shared" si="30"/>
        <v>0.15003788103848739</v>
      </c>
      <c r="R89" s="45">
        <f t="shared" si="31"/>
        <v>0.15340993984774423</v>
      </c>
    </row>
    <row r="90" spans="1:18">
      <c r="A90" s="14">
        <f t="shared" si="35"/>
        <v>88</v>
      </c>
      <c r="B90" s="14">
        <v>14133</v>
      </c>
      <c r="C90" s="14">
        <f t="shared" si="32"/>
        <v>2508</v>
      </c>
      <c r="D90" s="14">
        <f t="shared" si="33"/>
        <v>0.17745701549564849</v>
      </c>
      <c r="E90" s="12">
        <f t="shared" si="23"/>
        <v>0.82254298450435148</v>
      </c>
      <c r="F90" s="14">
        <f>SUM(B90:B$108)</f>
        <v>62714</v>
      </c>
      <c r="G90" s="14">
        <f t="shared" si="24"/>
        <v>4.4374159767919057</v>
      </c>
      <c r="H90" s="10"/>
      <c r="I90" s="2">
        <f t="shared" si="25"/>
        <v>6.6775587243424082E-3</v>
      </c>
      <c r="J90" s="2">
        <f t="shared" si="26"/>
        <v>1.0908621811686879E-3</v>
      </c>
      <c r="K90" s="1">
        <f t="shared" si="34"/>
        <v>6.4390887028985655E-2</v>
      </c>
      <c r="L90" s="3">
        <f t="shared" si="36"/>
        <v>1.0655373091173903E-2</v>
      </c>
      <c r="M90" s="8">
        <f t="shared" si="27"/>
        <v>3.2186819536329607</v>
      </c>
      <c r="N90" s="5">
        <f t="shared" si="28"/>
        <v>0.5445965623935547</v>
      </c>
      <c r="O90" s="269">
        <f>SUM($M90:$M$108)</f>
        <v>11.279271602597515</v>
      </c>
      <c r="P90" s="7">
        <f t="shared" si="29"/>
        <v>0.16336242423328351</v>
      </c>
      <c r="Q90" s="44">
        <f t="shared" si="30"/>
        <v>0.16547952020566778</v>
      </c>
      <c r="R90" s="45">
        <f t="shared" si="31"/>
        <v>0.16919862547427611</v>
      </c>
    </row>
    <row r="91" spans="1:18">
      <c r="A91" s="14">
        <f t="shared" si="35"/>
        <v>89</v>
      </c>
      <c r="B91" s="14">
        <v>11625</v>
      </c>
      <c r="C91" s="14">
        <f t="shared" si="32"/>
        <v>2236</v>
      </c>
      <c r="D91" s="14">
        <f t="shared" si="33"/>
        <v>0.19234408602150538</v>
      </c>
      <c r="E91" s="12">
        <f t="shared" si="23"/>
        <v>0.80765591397849468</v>
      </c>
      <c r="F91" s="14">
        <f>SUM(B91:B$108)</f>
        <v>48581</v>
      </c>
      <c r="G91" s="14">
        <f t="shared" si="24"/>
        <v>4.1790107526881721</v>
      </c>
      <c r="H91" s="10"/>
      <c r="I91" s="2">
        <f t="shared" si="25"/>
        <v>4.6547280358675211E-3</v>
      </c>
      <c r="J91" s="2">
        <f t="shared" si="26"/>
        <v>8.241991177699796E-4</v>
      </c>
      <c r="K91" s="1">
        <f t="shared" si="34"/>
        <v>4.6055889036264695E-2</v>
      </c>
      <c r="L91" s="3">
        <f t="shared" si="36"/>
        <v>8.260666469684777E-3</v>
      </c>
      <c r="M91" s="8">
        <f t="shared" si="27"/>
        <v>2.4068220548286834</v>
      </c>
      <c r="N91" s="5">
        <f t="shared" si="28"/>
        <v>0.44139405303464813</v>
      </c>
      <c r="O91" s="269">
        <f>SUM($M91:$M$108)</f>
        <v>8.0605896489645552</v>
      </c>
      <c r="P91" s="7">
        <f t="shared" si="29"/>
        <v>0.17706708349424977</v>
      </c>
      <c r="Q91" s="44">
        <f t="shared" si="30"/>
        <v>0.17936178505164185</v>
      </c>
      <c r="R91" s="45">
        <f t="shared" si="31"/>
        <v>0.18339289028414124</v>
      </c>
    </row>
    <row r="92" spans="1:18">
      <c r="A92" s="14">
        <f t="shared" si="35"/>
        <v>90</v>
      </c>
      <c r="B92" s="14">
        <v>9389</v>
      </c>
      <c r="C92" s="14">
        <f t="shared" si="32"/>
        <v>1951</v>
      </c>
      <c r="D92" s="14">
        <f t="shared" si="33"/>
        <v>0.20779635743955693</v>
      </c>
      <c r="E92" s="12">
        <f t="shared" si="23"/>
        <v>0.79220364256044307</v>
      </c>
      <c r="F92" s="14">
        <f>SUM(B92:B$108)</f>
        <v>36956</v>
      </c>
      <c r="G92" s="14">
        <f t="shared" si="24"/>
        <v>3.936095430823304</v>
      </c>
      <c r="H92" s="10"/>
      <c r="I92" s="2">
        <f t="shared" si="25"/>
        <v>3.1859479882456834E-3</v>
      </c>
      <c r="J92" s="2">
        <f t="shared" si="26"/>
        <v>6.0944652935372983E-4</v>
      </c>
      <c r="K92" s="1">
        <f t="shared" si="34"/>
        <v>3.2345487959718686E-2</v>
      </c>
      <c r="L92" s="3">
        <f t="shared" si="36"/>
        <v>6.2676208611476322E-3</v>
      </c>
      <c r="M92" s="8">
        <f t="shared" si="27"/>
        <v>1.7671673331602351</v>
      </c>
      <c r="N92" s="5">
        <f t="shared" si="28"/>
        <v>0.35012188870978994</v>
      </c>
      <c r="O92" s="269">
        <f>SUM($M92:$M$108)</f>
        <v>5.6537675941358723</v>
      </c>
      <c r="P92" s="7">
        <f t="shared" si="29"/>
        <v>0.19129205235058361</v>
      </c>
      <c r="Q92" s="44">
        <f t="shared" si="30"/>
        <v>0.19377110244720955</v>
      </c>
      <c r="R92" s="45">
        <f t="shared" si="31"/>
        <v>0.19812605300012254</v>
      </c>
    </row>
    <row r="93" spans="1:18">
      <c r="A93" s="14">
        <f t="shared" si="35"/>
        <v>91</v>
      </c>
      <c r="B93" s="14">
        <v>7438</v>
      </c>
      <c r="C93" s="14">
        <f t="shared" si="32"/>
        <v>1675</v>
      </c>
      <c r="D93" s="14">
        <f t="shared" si="33"/>
        <v>0.22519494487765529</v>
      </c>
      <c r="E93" s="12">
        <f t="shared" si="23"/>
        <v>0.77480505512234465</v>
      </c>
      <c r="F93" s="14">
        <f>SUM(B93:B$108)</f>
        <v>27567</v>
      </c>
      <c r="G93" s="14">
        <f t="shared" si="24"/>
        <v>3.7062382360849693</v>
      </c>
      <c r="H93" s="10"/>
      <c r="I93" s="2">
        <f t="shared" si="25"/>
        <v>2.1389149163528352E-3</v>
      </c>
      <c r="J93" s="2">
        <f t="shared" si="26"/>
        <v>4.4341577837853617E-4</v>
      </c>
      <c r="K93" s="1">
        <f t="shared" si="34"/>
        <v>2.2281924680073135E-2</v>
      </c>
      <c r="L93" s="3">
        <f t="shared" si="36"/>
        <v>4.6791009927672671E-3</v>
      </c>
      <c r="M93" s="8">
        <f t="shared" si="27"/>
        <v>1.2726876348576022</v>
      </c>
      <c r="N93" s="5">
        <f t="shared" si="28"/>
        <v>0.27326506853776505</v>
      </c>
      <c r="O93" s="269">
        <f>SUM($M93:$M$108)</f>
        <v>3.8866002609756358</v>
      </c>
      <c r="P93" s="7">
        <f t="shared" si="29"/>
        <v>0.20730875033338181</v>
      </c>
      <c r="Q93" s="44">
        <f t="shared" si="30"/>
        <v>0.20999536888982559</v>
      </c>
      <c r="R93" s="45">
        <f t="shared" si="31"/>
        <v>0.21471495522806741</v>
      </c>
    </row>
    <row r="94" spans="1:18">
      <c r="A94" s="14">
        <f t="shared" si="35"/>
        <v>92</v>
      </c>
      <c r="B94" s="14">
        <v>5763</v>
      </c>
      <c r="C94" s="14">
        <f t="shared" si="32"/>
        <v>1413</v>
      </c>
      <c r="D94" s="14">
        <f t="shared" si="33"/>
        <v>0.24518479958355024</v>
      </c>
      <c r="E94" s="12">
        <f t="shared" si="23"/>
        <v>0.75481520041644978</v>
      </c>
      <c r="F94" s="14">
        <f>SUM(B94:B$108)</f>
        <v>20129</v>
      </c>
      <c r="G94" s="14">
        <f t="shared" si="24"/>
        <v>3.4927988894672914</v>
      </c>
      <c r="H94" s="10"/>
      <c r="I94" s="2">
        <f t="shared" si="25"/>
        <v>1.4044424488701391E-3</v>
      </c>
      <c r="J94" s="2">
        <f t="shared" si="26"/>
        <v>3.1699797361440482E-4</v>
      </c>
      <c r="K94" s="1">
        <f t="shared" si="34"/>
        <v>1.5012302504326957E-2</v>
      </c>
      <c r="L94" s="3">
        <f t="shared" si="36"/>
        <v>3.4323528632213595E-3</v>
      </c>
      <c r="M94" s="8">
        <f t="shared" si="27"/>
        <v>0.89644073916306444</v>
      </c>
      <c r="N94" s="5">
        <f t="shared" si="28"/>
        <v>0.2095650159261126</v>
      </c>
      <c r="O94" s="269">
        <f>SUM($M94:$M$108)</f>
        <v>2.6139126261180339</v>
      </c>
      <c r="P94" s="7">
        <f t="shared" si="29"/>
        <v>0.22571090319110387</v>
      </c>
      <c r="Q94" s="44">
        <f t="shared" si="30"/>
        <v>0.22863600451909769</v>
      </c>
      <c r="R94" s="45">
        <f t="shared" si="31"/>
        <v>0.23377453385459346</v>
      </c>
    </row>
    <row r="95" spans="1:18">
      <c r="A95" s="14">
        <f t="shared" si="35"/>
        <v>93</v>
      </c>
      <c r="B95" s="14">
        <v>4350</v>
      </c>
      <c r="C95" s="14">
        <f t="shared" si="32"/>
        <v>1139</v>
      </c>
      <c r="D95" s="14">
        <f t="shared" si="33"/>
        <v>0.26183908045977011</v>
      </c>
      <c r="E95" s="12">
        <f t="shared" si="23"/>
        <v>0.73816091954022989</v>
      </c>
      <c r="F95" s="14">
        <f>SUM(B95:B$108)</f>
        <v>14366</v>
      </c>
      <c r="G95" s="14">
        <f t="shared" si="24"/>
        <v>3.3025287356321837</v>
      </c>
      <c r="H95" s="10"/>
      <c r="I95" s="2">
        <f t="shared" si="25"/>
        <v>8.9838517670956248E-4</v>
      </c>
      <c r="J95" s="2">
        <f t="shared" si="26"/>
        <v>2.1654892940060661E-4</v>
      </c>
      <c r="K95" s="1">
        <f t="shared" si="34"/>
        <v>9.8534905421877577E-3</v>
      </c>
      <c r="L95" s="3">
        <f t="shared" si="36"/>
        <v>2.4058893573396926E-3</v>
      </c>
      <c r="M95" s="8">
        <f t="shared" si="27"/>
        <v>0.61513372381167164</v>
      </c>
      <c r="N95" s="5">
        <f t="shared" si="28"/>
        <v>0.15357045174023165</v>
      </c>
      <c r="O95" s="269">
        <f>SUM($M95:$M$108)</f>
        <v>1.717471886954969</v>
      </c>
      <c r="P95" s="7">
        <f t="shared" si="29"/>
        <v>0.24104241144510152</v>
      </c>
      <c r="Q95" s="44">
        <f t="shared" si="30"/>
        <v>0.24416620151395771</v>
      </c>
      <c r="R95" s="45">
        <f t="shared" si="31"/>
        <v>0.24965376762085725</v>
      </c>
    </row>
    <row r="96" spans="1:18">
      <c r="A96" s="14">
        <f t="shared" si="35"/>
        <v>94</v>
      </c>
      <c r="B96" s="14">
        <v>3211</v>
      </c>
      <c r="C96" s="14">
        <f t="shared" si="32"/>
        <v>896</v>
      </c>
      <c r="D96" s="14">
        <f t="shared" si="33"/>
        <v>0.27904079725942071</v>
      </c>
      <c r="E96" s="12">
        <f t="shared" si="23"/>
        <v>0.72095920274057934</v>
      </c>
      <c r="F96" s="14">
        <f>SUM(B96:B$108)</f>
        <v>10016</v>
      </c>
      <c r="G96" s="14">
        <f t="shared" si="24"/>
        <v>3.1192774836499533</v>
      </c>
      <c r="H96" s="10"/>
      <c r="I96" s="2">
        <f t="shared" si="25"/>
        <v>5.6199392215359534E-4</v>
      </c>
      <c r="J96" s="2">
        <f t="shared" si="26"/>
        <v>1.443638046628349E-4</v>
      </c>
      <c r="K96" s="1">
        <f t="shared" si="34"/>
        <v>6.3247492515671943E-3</v>
      </c>
      <c r="L96" s="3">
        <f t="shared" si="36"/>
        <v>1.6457433020394419E-3</v>
      </c>
      <c r="M96" s="8">
        <f t="shared" si="27"/>
        <v>0.41278879564457205</v>
      </c>
      <c r="N96" s="5">
        <f t="shared" si="28"/>
        <v>0.10982450695127101</v>
      </c>
      <c r="O96" s="269">
        <f>SUM($M96:$M$108)</f>
        <v>1.1023381631432978</v>
      </c>
      <c r="P96" s="7">
        <f t="shared" si="29"/>
        <v>0.2568778753151349</v>
      </c>
      <c r="Q96" s="44">
        <f t="shared" si="30"/>
        <v>0.26020688513961993</v>
      </c>
      <c r="R96" s="45">
        <f t="shared" si="31"/>
        <v>0.26605496106012133</v>
      </c>
    </row>
    <row r="97" spans="1:18">
      <c r="A97" s="14">
        <f t="shared" si="35"/>
        <v>95</v>
      </c>
      <c r="B97" s="14">
        <v>2315</v>
      </c>
      <c r="C97" s="14">
        <f t="shared" si="32"/>
        <v>680</v>
      </c>
      <c r="D97" s="14">
        <f t="shared" si="33"/>
        <v>0.29373650107991361</v>
      </c>
      <c r="E97" s="12">
        <f t="shared" si="23"/>
        <v>0.70626349892008644</v>
      </c>
      <c r="F97" s="14">
        <f>SUM(B97:B$108)</f>
        <v>6805</v>
      </c>
      <c r="G97" s="14">
        <f t="shared" si="24"/>
        <v>2.9395248380129591</v>
      </c>
      <c r="H97" s="10"/>
      <c r="I97" s="2">
        <f t="shared" si="25"/>
        <v>3.4336838140754848E-4</v>
      </c>
      <c r="J97" s="2">
        <f t="shared" si="26"/>
        <v>9.2848996643015881E-5</v>
      </c>
      <c r="K97" s="1">
        <f t="shared" si="34"/>
        <v>3.965118415603445E-3</v>
      </c>
      <c r="L97" s="3">
        <f t="shared" si="36"/>
        <v>1.0860883592651591E-3</v>
      </c>
      <c r="M97" s="8">
        <f t="shared" si="27"/>
        <v>0.27054898273468597</v>
      </c>
      <c r="N97" s="5">
        <f t="shared" si="28"/>
        <v>7.5771778334886727E-2</v>
      </c>
      <c r="O97" s="269">
        <f>SUM($M97:$M$108)</f>
        <v>0.68954936749872553</v>
      </c>
      <c r="P97" s="7">
        <f t="shared" si="29"/>
        <v>0.2704063672444324</v>
      </c>
      <c r="Q97" s="44">
        <f t="shared" si="30"/>
        <v>0.27391069961270476</v>
      </c>
      <c r="R97" s="45">
        <f t="shared" si="31"/>
        <v>0.28006676487559506</v>
      </c>
    </row>
    <row r="98" spans="1:18">
      <c r="A98" s="14">
        <f t="shared" si="35"/>
        <v>96</v>
      </c>
      <c r="B98" s="14">
        <v>1635</v>
      </c>
      <c r="C98" s="14">
        <f t="shared" si="32"/>
        <v>520</v>
      </c>
      <c r="D98" s="14">
        <f t="shared" si="33"/>
        <v>0.31804281345565749</v>
      </c>
      <c r="E98" s="12">
        <f t="shared" ref="E98:E108" si="37">1-D98</f>
        <v>0.68195718654434256</v>
      </c>
      <c r="F98" s="14">
        <f>SUM(B98:B$108)</f>
        <v>4490</v>
      </c>
      <c r="G98" s="14">
        <f t="shared" ref="G98:G108" si="38">F98/B98</f>
        <v>2.7461773700305812</v>
      </c>
      <c r="H98" s="10"/>
      <c r="I98" s="2">
        <f t="shared" ref="I98:I108" si="39">(B98/((1+$H$2)^A98))</f>
        <v>2.0551572412832374E-4</v>
      </c>
      <c r="J98" s="2">
        <f t="shared" ref="J98:J108" si="40">(C98/((1+$H$2)^(A98+0.5)))</f>
        <v>6.0171333816510747E-5</v>
      </c>
      <c r="K98" s="1">
        <f t="shared" si="34"/>
        <v>2.4351464398578771E-3</v>
      </c>
      <c r="L98" s="3">
        <f t="shared" si="36"/>
        <v>7.2220709311749797E-4</v>
      </c>
      <c r="M98" s="8">
        <f t="shared" ref="M98:M108" si="41">B98/((1+$H$4)^(A98))</f>
        <v>0.17370806470497213</v>
      </c>
      <c r="N98" s="5">
        <f t="shared" ref="N98:N108" si="42">C98/((1+$H$4)^(A98+0.5))</f>
        <v>5.2675567826391795E-2</v>
      </c>
      <c r="O98" s="269">
        <f>SUM($M98:$M$108)</f>
        <v>0.41900038476403945</v>
      </c>
      <c r="P98" s="7">
        <f t="shared" ref="P98:P108" si="43">J98/I98</f>
        <v>0.29278214147224985</v>
      </c>
      <c r="Q98" s="44">
        <f t="shared" ref="Q98:Q108" si="44">L98/K98</f>
        <v>0.29657645277367722</v>
      </c>
      <c r="R98" s="45">
        <f t="shared" ref="R98:R108" si="45">N98/M98</f>
        <v>0.30324192440838377</v>
      </c>
    </row>
    <row r="99" spans="1:18">
      <c r="A99" s="14">
        <f t="shared" si="35"/>
        <v>97</v>
      </c>
      <c r="B99" s="14">
        <v>1115</v>
      </c>
      <c r="C99" s="14">
        <f t="shared" si="32"/>
        <v>375</v>
      </c>
      <c r="D99" s="14">
        <f t="shared" si="33"/>
        <v>0.33632286995515698</v>
      </c>
      <c r="E99" s="12">
        <f t="shared" si="37"/>
        <v>0.66367713004484297</v>
      </c>
      <c r="F99" s="14">
        <f>SUM(B99:B$108)</f>
        <v>2855</v>
      </c>
      <c r="G99" s="14">
        <f t="shared" si="38"/>
        <v>2.5605381165919283</v>
      </c>
      <c r="H99" s="10"/>
      <c r="I99" s="2">
        <f t="shared" si="39"/>
        <v>1.1877366526879229E-4</v>
      </c>
      <c r="J99" s="2">
        <f t="shared" si="40"/>
        <v>3.6773549838969285E-5</v>
      </c>
      <c r="K99" s="1">
        <f t="shared" si="34"/>
        <v>1.4440570564773479E-3</v>
      </c>
      <c r="L99" s="3">
        <f t="shared" si="36"/>
        <v>4.5288906340980203E-4</v>
      </c>
      <c r="M99" s="8">
        <f t="shared" si="41"/>
        <v>0.10769223916933218</v>
      </c>
      <c r="N99" s="5">
        <f t="shared" si="42"/>
        <v>3.4533807578491164E-2</v>
      </c>
      <c r="O99" s="269">
        <f>SUM($M99:$M$108)</f>
        <v>0.24529232005906734</v>
      </c>
      <c r="P99" s="7">
        <f t="shared" si="43"/>
        <v>0.30961029749943664</v>
      </c>
      <c r="Q99" s="44">
        <f t="shared" si="44"/>
        <v>0.31362269335436488</v>
      </c>
      <c r="R99" s="45">
        <f t="shared" si="45"/>
        <v>0.32067127440995258</v>
      </c>
    </row>
    <row r="100" spans="1:18">
      <c r="A100" s="14">
        <f t="shared" si="35"/>
        <v>98</v>
      </c>
      <c r="B100" s="14">
        <v>740</v>
      </c>
      <c r="C100" s="14">
        <f t="shared" si="32"/>
        <v>287</v>
      </c>
      <c r="D100" s="14">
        <f t="shared" si="33"/>
        <v>0.38783783783783782</v>
      </c>
      <c r="E100" s="12">
        <f t="shared" si="37"/>
        <v>0.61216216216216224</v>
      </c>
      <c r="F100" s="14">
        <f>SUM(B100:B$108)</f>
        <v>1740</v>
      </c>
      <c r="G100" s="14">
        <f t="shared" si="38"/>
        <v>2.3513513513513513</v>
      </c>
      <c r="H100" s="10"/>
      <c r="I100" s="2">
        <f t="shared" si="39"/>
        <v>6.6802851941100784E-5</v>
      </c>
      <c r="J100" s="2">
        <f t="shared" si="40"/>
        <v>2.385086735318462E-5</v>
      </c>
      <c r="K100" s="1">
        <f t="shared" si="34"/>
        <v>8.3338055901207827E-4</v>
      </c>
      <c r="L100" s="3">
        <f t="shared" si="36"/>
        <v>3.0140095350403041E-4</v>
      </c>
      <c r="M100" s="8">
        <f t="shared" si="41"/>
        <v>6.4975342018186555E-2</v>
      </c>
      <c r="N100" s="5">
        <f t="shared" si="42"/>
        <v>2.4027158242489587E-2</v>
      </c>
      <c r="O100" s="269">
        <f>SUM($M100:$M$108)</f>
        <v>0.13760008088973516</v>
      </c>
      <c r="P100" s="7">
        <f t="shared" si="43"/>
        <v>0.35703366937408038</v>
      </c>
      <c r="Q100" s="44">
        <f t="shared" si="44"/>
        <v>0.36166064860130986</v>
      </c>
      <c r="R100" s="45">
        <f t="shared" si="45"/>
        <v>0.3697888690722767</v>
      </c>
    </row>
    <row r="101" spans="1:18">
      <c r="A101" s="14">
        <f t="shared" si="35"/>
        <v>99</v>
      </c>
      <c r="B101" s="14">
        <v>453</v>
      </c>
      <c r="C101" s="14">
        <f t="shared" si="32"/>
        <v>190</v>
      </c>
      <c r="D101" s="14">
        <f t="shared" si="33"/>
        <v>0.41942604856512139</v>
      </c>
      <c r="E101" s="12">
        <f t="shared" si="37"/>
        <v>0.58057395143487867</v>
      </c>
      <c r="F101" s="14">
        <f>SUM(B101:B$108)</f>
        <v>1000</v>
      </c>
      <c r="G101" s="14">
        <f t="shared" si="38"/>
        <v>2.2075055187637971</v>
      </c>
      <c r="H101" s="10"/>
      <c r="I101" s="2">
        <f t="shared" si="39"/>
        <v>3.4656083290561908E-5</v>
      </c>
      <c r="J101" s="2">
        <f t="shared" si="40"/>
        <v>1.3381163400180316E-5</v>
      </c>
      <c r="K101" s="1">
        <f t="shared" si="34"/>
        <v>4.4362090861630035E-4</v>
      </c>
      <c r="L101" s="3">
        <f t="shared" si="36"/>
        <v>1.7350759329121598E-4</v>
      </c>
      <c r="M101" s="8">
        <f t="shared" si="41"/>
        <v>3.6159496233708233E-2</v>
      </c>
      <c r="N101" s="5">
        <f t="shared" si="42"/>
        <v>1.4460437333142281E-2</v>
      </c>
      <c r="O101" s="269">
        <f>SUM($M101:$M$108)</f>
        <v>7.2624738871548619E-2</v>
      </c>
      <c r="P101" s="7">
        <f t="shared" si="43"/>
        <v>0.3861129743944402</v>
      </c>
      <c r="Q101" s="44">
        <f t="shared" si="44"/>
        <v>0.39111680698821022</v>
      </c>
      <c r="R101" s="45">
        <f t="shared" si="45"/>
        <v>0.39990704626194767</v>
      </c>
    </row>
    <row r="102" spans="1:18">
      <c r="A102" s="14">
        <f t="shared" si="35"/>
        <v>100</v>
      </c>
      <c r="B102" s="14">
        <v>263</v>
      </c>
      <c r="C102" s="14">
        <f t="shared" si="32"/>
        <v>118</v>
      </c>
      <c r="D102" s="14">
        <f t="shared" si="33"/>
        <v>0.44866920152091255</v>
      </c>
      <c r="E102" s="12">
        <f t="shared" si="37"/>
        <v>0.55133079847908739</v>
      </c>
      <c r="F102" s="14">
        <f>SUM(B102:B$108)</f>
        <v>547</v>
      </c>
      <c r="G102" s="14">
        <f t="shared" si="38"/>
        <v>2.0798479087452471</v>
      </c>
      <c r="H102" s="10"/>
      <c r="I102" s="2">
        <f t="shared" si="39"/>
        <v>1.7051202726489658E-5</v>
      </c>
      <c r="J102" s="2">
        <f t="shared" si="40"/>
        <v>7.0427175790422787E-6</v>
      </c>
      <c r="K102" s="1">
        <f t="shared" si="34"/>
        <v>2.2396064682999705E-4</v>
      </c>
      <c r="L102" s="3">
        <f t="shared" si="36"/>
        <v>9.3702041228208136E-5</v>
      </c>
      <c r="M102" s="8">
        <f t="shared" si="41"/>
        <v>1.9084783282089637E-2</v>
      </c>
      <c r="N102" s="5">
        <f t="shared" si="42"/>
        <v>8.1642660541186157E-3</v>
      </c>
      <c r="O102" s="269">
        <f>SUM($M102:$M$108)</f>
        <v>3.64652426378404E-2</v>
      </c>
      <c r="P102" s="7">
        <f t="shared" si="43"/>
        <v>0.41303347875286023</v>
      </c>
      <c r="Q102" s="44">
        <f t="shared" si="44"/>
        <v>0.41838618772759223</v>
      </c>
      <c r="R102" s="45">
        <f t="shared" si="45"/>
        <v>0.42778929859688147</v>
      </c>
    </row>
    <row r="103" spans="1:18">
      <c r="A103" s="14">
        <f t="shared" si="35"/>
        <v>101</v>
      </c>
      <c r="B103" s="14">
        <v>145</v>
      </c>
      <c r="C103" s="14">
        <f t="shared" si="32"/>
        <v>69</v>
      </c>
      <c r="D103" s="14">
        <f t="shared" si="33"/>
        <v>0.47586206896551725</v>
      </c>
      <c r="E103" s="12">
        <f t="shared" si="37"/>
        <v>0.5241379310344827</v>
      </c>
      <c r="F103" s="14">
        <f>SUM(B103:B$108)</f>
        <v>284</v>
      </c>
      <c r="G103" s="14">
        <f t="shared" si="38"/>
        <v>1.9586206896551723</v>
      </c>
      <c r="H103" s="10"/>
      <c r="I103" s="2">
        <f t="shared" si="39"/>
        <v>7.9668247578172356E-6</v>
      </c>
      <c r="J103" s="2">
        <f t="shared" si="40"/>
        <v>3.4899993748485899E-6</v>
      </c>
      <c r="K103" s="1">
        <f t="shared" si="34"/>
        <v>1.0737078456058712E-4</v>
      </c>
      <c r="L103" s="3">
        <f t="shared" si="36"/>
        <v>4.7645105709258345E-5</v>
      </c>
      <c r="M103" s="8">
        <f t="shared" si="41"/>
        <v>9.5654807324680163E-3</v>
      </c>
      <c r="N103" s="5">
        <f t="shared" si="42"/>
        <v>4.340018164361973E-3</v>
      </c>
      <c r="O103" s="269">
        <f>SUM($M103:$M$108)</f>
        <v>1.7380459355750753E-2</v>
      </c>
      <c r="P103" s="7">
        <f t="shared" si="43"/>
        <v>0.43806654231023728</v>
      </c>
      <c r="Q103" s="44">
        <f t="shared" si="44"/>
        <v>0.44374366736952725</v>
      </c>
      <c r="R103" s="45">
        <f t="shared" si="45"/>
        <v>0.45371668039962615</v>
      </c>
    </row>
    <row r="104" spans="1:18">
      <c r="A104" s="14">
        <f t="shared" si="35"/>
        <v>102</v>
      </c>
      <c r="B104" s="14">
        <v>76</v>
      </c>
      <c r="C104" s="14">
        <f t="shared" si="32"/>
        <v>39</v>
      </c>
      <c r="D104" s="14">
        <f t="shared" si="33"/>
        <v>0.51315789473684215</v>
      </c>
      <c r="E104" s="12">
        <f t="shared" si="37"/>
        <v>0.48684210526315785</v>
      </c>
      <c r="F104" s="14">
        <f>SUM(B104:B$108)</f>
        <v>139</v>
      </c>
      <c r="G104" s="14">
        <f t="shared" si="38"/>
        <v>1.8289473684210527</v>
      </c>
      <c r="H104" s="10"/>
      <c r="I104" s="2">
        <f t="shared" si="39"/>
        <v>3.5387415639632368E-6</v>
      </c>
      <c r="J104" s="2">
        <f t="shared" si="40"/>
        <v>1.6717019850048532E-6</v>
      </c>
      <c r="K104" s="1">
        <f t="shared" si="34"/>
        <v>4.8936609454900277E-5</v>
      </c>
      <c r="L104" s="3">
        <f t="shared" si="36"/>
        <v>2.3417254223832106E-5</v>
      </c>
      <c r="M104" s="8">
        <f t="shared" si="41"/>
        <v>4.5578466186054489E-3</v>
      </c>
      <c r="N104" s="5">
        <f t="shared" si="42"/>
        <v>2.2300488591583279E-3</v>
      </c>
      <c r="O104" s="269">
        <f>SUM($M104:$M$108)</f>
        <v>7.8149786232827381E-3</v>
      </c>
      <c r="P104" s="7">
        <f t="shared" si="43"/>
        <v>0.47240013286887772</v>
      </c>
      <c r="Q104" s="44">
        <f t="shared" si="44"/>
        <v>0.47852220422858116</v>
      </c>
      <c r="R104" s="45">
        <f t="shared" si="45"/>
        <v>0.48927685500760654</v>
      </c>
    </row>
    <row r="105" spans="1:18">
      <c r="A105" s="14">
        <f t="shared" si="35"/>
        <v>103</v>
      </c>
      <c r="B105" s="14">
        <v>37</v>
      </c>
      <c r="C105" s="14">
        <f t="shared" si="32"/>
        <v>20</v>
      </c>
      <c r="D105" s="14">
        <f t="shared" si="33"/>
        <v>0.54054054054054057</v>
      </c>
      <c r="E105" s="12">
        <f t="shared" si="37"/>
        <v>0.45945945945945943</v>
      </c>
      <c r="F105" s="14">
        <f>SUM(B105:B$108)</f>
        <v>63</v>
      </c>
      <c r="G105" s="14">
        <f t="shared" si="38"/>
        <v>1.7027027027027026</v>
      </c>
      <c r="H105" s="10"/>
      <c r="I105" s="2">
        <f t="shared" si="39"/>
        <v>1.4600071126966968E-6</v>
      </c>
      <c r="J105" s="2">
        <f t="shared" si="40"/>
        <v>7.2651107562140327E-7</v>
      </c>
      <c r="K105" s="1">
        <f t="shared" si="34"/>
        <v>2.0716871279534451E-5</v>
      </c>
      <c r="L105" s="3">
        <f t="shared" si="36"/>
        <v>1.0442476799925125E-5</v>
      </c>
      <c r="M105" s="8">
        <f t="shared" si="41"/>
        <v>2.0172287666076747E-3</v>
      </c>
      <c r="N105" s="5">
        <f t="shared" si="42"/>
        <v>1.0396498177894296E-3</v>
      </c>
      <c r="O105" s="269">
        <f>SUM($M105:$M$108)</f>
        <v>3.2571320046772896E-3</v>
      </c>
      <c r="P105" s="7">
        <f t="shared" si="43"/>
        <v>0.49760790156666129</v>
      </c>
      <c r="Q105" s="44">
        <f t="shared" si="44"/>
        <v>0.50405665310287084</v>
      </c>
      <c r="R105" s="45">
        <f t="shared" si="45"/>
        <v>0.51538518337599548</v>
      </c>
    </row>
    <row r="106" spans="1:18">
      <c r="A106" s="14">
        <f t="shared" si="35"/>
        <v>104</v>
      </c>
      <c r="B106" s="14">
        <v>17</v>
      </c>
      <c r="C106" s="14">
        <f t="shared" si="32"/>
        <v>10</v>
      </c>
      <c r="D106" s="14">
        <f t="shared" si="33"/>
        <v>0.58823529411764708</v>
      </c>
      <c r="E106" s="12">
        <f t="shared" si="37"/>
        <v>0.41176470588235292</v>
      </c>
      <c r="F106" s="14">
        <f>SUM(B106:B$108)</f>
        <v>26</v>
      </c>
      <c r="G106" s="14">
        <f t="shared" si="38"/>
        <v>1.5294117647058822</v>
      </c>
      <c r="H106" s="10"/>
      <c r="I106" s="2">
        <f t="shared" si="39"/>
        <v>5.6848650746321226E-7</v>
      </c>
      <c r="J106" s="2">
        <f t="shared" si="40"/>
        <v>3.0784367611076441E-7</v>
      </c>
      <c r="K106" s="1">
        <f t="shared" si="34"/>
        <v>8.2770108519879117E-6</v>
      </c>
      <c r="L106" s="3">
        <f t="shared" si="36"/>
        <v>4.5402073043152779E-6</v>
      </c>
      <c r="M106" s="8">
        <f t="shared" si="41"/>
        <v>8.4257712610148576E-4</v>
      </c>
      <c r="N106" s="5">
        <f t="shared" si="42"/>
        <v>4.7256809899519489E-4</v>
      </c>
      <c r="O106" s="269">
        <f>SUM($M106:$M$108)</f>
        <v>1.2399032380696149E-3</v>
      </c>
      <c r="P106" s="7">
        <f t="shared" si="43"/>
        <v>0.54151448111666134</v>
      </c>
      <c r="Q106" s="44">
        <f t="shared" si="44"/>
        <v>0.54853224014136026</v>
      </c>
      <c r="R106" s="45">
        <f t="shared" si="45"/>
        <v>0.56086034661505346</v>
      </c>
    </row>
    <row r="107" spans="1:18">
      <c r="A107" s="14">
        <f t="shared" si="35"/>
        <v>105</v>
      </c>
      <c r="B107" s="14">
        <v>7</v>
      </c>
      <c r="C107" s="14">
        <f t="shared" si="32"/>
        <v>5</v>
      </c>
      <c r="D107" s="14">
        <f t="shared" si="33"/>
        <v>0.7142857142857143</v>
      </c>
      <c r="E107" s="12">
        <f t="shared" si="37"/>
        <v>0.2857142857142857</v>
      </c>
      <c r="F107" s="14">
        <f>SUM(B107:B$108)</f>
        <v>9</v>
      </c>
      <c r="G107" s="14">
        <f t="shared" si="38"/>
        <v>1.2857142857142858</v>
      </c>
      <c r="H107" s="10"/>
      <c r="I107" s="2">
        <f t="shared" si="39"/>
        <v>1.9837515215565736E-7</v>
      </c>
      <c r="J107" s="2">
        <f t="shared" si="40"/>
        <v>1.3044223564015455E-7</v>
      </c>
      <c r="K107" s="1">
        <f t="shared" si="34"/>
        <v>2.9636355991772573E-6</v>
      </c>
      <c r="L107" s="3">
        <f t="shared" si="36"/>
        <v>1.9740031757892499E-6</v>
      </c>
      <c r="M107" s="8">
        <f t="shared" si="41"/>
        <v>3.1540320228397865E-4</v>
      </c>
      <c r="N107" s="5">
        <f t="shared" si="42"/>
        <v>2.1480368136145243E-4</v>
      </c>
      <c r="O107" s="269">
        <f>SUM($M107:$M$108)</f>
        <v>3.9732611196812893E-4</v>
      </c>
      <c r="P107" s="7">
        <f t="shared" si="43"/>
        <v>0.65755329849880362</v>
      </c>
      <c r="Q107" s="44">
        <f t="shared" si="44"/>
        <v>0.66607486302879415</v>
      </c>
      <c r="R107" s="45">
        <f t="shared" si="45"/>
        <v>0.68104470660399408</v>
      </c>
    </row>
    <row r="108" spans="1:18">
      <c r="A108" s="14">
        <f t="shared" si="35"/>
        <v>106</v>
      </c>
      <c r="B108" s="14">
        <v>2</v>
      </c>
      <c r="C108" s="14">
        <f t="shared" si="32"/>
        <v>2</v>
      </c>
      <c r="D108" s="14">
        <f t="shared" si="33"/>
        <v>1</v>
      </c>
      <c r="E108" s="12">
        <f t="shared" si="37"/>
        <v>0</v>
      </c>
      <c r="F108" s="14">
        <f>SUM(B108:B$108)</f>
        <v>2</v>
      </c>
      <c r="G108" s="14">
        <f t="shared" si="38"/>
        <v>1</v>
      </c>
      <c r="H108" s="10"/>
      <c r="I108" s="2">
        <f t="shared" si="39"/>
        <v>4.8032724492895244E-8</v>
      </c>
      <c r="J108" s="2">
        <f t="shared" si="40"/>
        <v>4.4217706996662593E-8</v>
      </c>
      <c r="K108" s="1">
        <f t="shared" si="34"/>
        <v>7.3630698116205166E-7</v>
      </c>
      <c r="L108" s="3">
        <f t="shared" si="36"/>
        <v>6.8660980027452126E-7</v>
      </c>
      <c r="M108" s="8">
        <f t="shared" si="41"/>
        <v>8.1922909684150279E-5</v>
      </c>
      <c r="N108" s="5">
        <f t="shared" si="42"/>
        <v>7.8110429585982641E-5</v>
      </c>
      <c r="O108" s="269">
        <f>SUM($M108:$M$108)</f>
        <v>8.1922909684150279E-5</v>
      </c>
      <c r="P108" s="7">
        <f t="shared" si="43"/>
        <v>0.92057461789832573</v>
      </c>
      <c r="Q108" s="44">
        <f t="shared" si="44"/>
        <v>0.93250480824031101</v>
      </c>
      <c r="R108" s="45">
        <f t="shared" si="45"/>
        <v>0.95346258924559113</v>
      </c>
    </row>
  </sheetData>
  <sheetProtection selectLockedCells="1" selectUnlockedCells="1"/>
  <pageMargins left="0.7" right="0.7" top="0.75" bottom="0.75" header="0.3" footer="0.3"/>
  <pageSetup orientation="portrait" r:id="rId1"/>
  <ignoredErrors>
    <ignoredError sqref="F3:F14 F15:F31 F32:F108" formulaRange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10"/>
  <sheetViews>
    <sheetView zoomScaleNormal="100" workbookViewId="0">
      <selection activeCell="DH37" sqref="DH37"/>
    </sheetView>
  </sheetViews>
  <sheetFormatPr defaultRowHeight="15"/>
  <cols>
    <col min="1" max="1" width="9.140625" style="288"/>
    <col min="2" max="2" width="12.7109375" style="288" hidden="1" customWidth="1"/>
    <col min="3" max="3" width="9.140625" style="288" hidden="1" customWidth="1"/>
    <col min="4" max="109" width="0" style="288" hidden="1" customWidth="1"/>
    <col min="110" max="110" width="9.140625" style="288"/>
    <col min="111" max="111" width="17.28515625" style="314" bestFit="1" customWidth="1"/>
    <col min="112" max="112" width="11.85546875" style="290" bestFit="1" customWidth="1"/>
    <col min="113" max="113" width="11.85546875" customWidth="1"/>
    <col min="114" max="114" width="14.140625" style="288" bestFit="1" customWidth="1"/>
    <col min="115" max="115" width="10.28515625" style="288" bestFit="1" customWidth="1"/>
    <col min="116" max="116" width="16.5703125" style="288" bestFit="1" customWidth="1"/>
    <col min="117" max="117" width="9.140625" style="288"/>
    <col min="118" max="118" width="14.140625" style="288" bestFit="1" customWidth="1"/>
    <col min="119" max="119" width="10.28515625" style="288" bestFit="1" customWidth="1"/>
    <col min="120" max="120" width="16.5703125" style="288" bestFit="1" customWidth="1"/>
    <col min="121" max="121" width="9.140625" style="288"/>
    <col min="122" max="122" width="14.140625" style="288" bestFit="1" customWidth="1"/>
    <col min="123" max="123" width="10.28515625" style="288" bestFit="1" customWidth="1"/>
    <col min="124" max="124" width="16.5703125" style="288" bestFit="1" customWidth="1"/>
    <col min="125" max="16384" width="9.140625" style="288"/>
  </cols>
  <sheetData>
    <row r="1" spans="1:124" ht="12.75" customHeight="1">
      <c r="A1" s="288">
        <f>RiskLoadingPercentage</f>
        <v>25</v>
      </c>
      <c r="C1" s="288">
        <v>0</v>
      </c>
      <c r="D1" s="288">
        <v>1</v>
      </c>
      <c r="E1" s="288">
        <v>2</v>
      </c>
      <c r="F1" s="288">
        <v>3</v>
      </c>
      <c r="G1" s="288">
        <v>4</v>
      </c>
      <c r="H1" s="288">
        <v>5</v>
      </c>
      <c r="I1" s="288">
        <v>6</v>
      </c>
      <c r="J1" s="288">
        <v>7</v>
      </c>
      <c r="K1" s="288">
        <v>8</v>
      </c>
      <c r="L1" s="288">
        <v>9</v>
      </c>
      <c r="M1" s="288">
        <v>10</v>
      </c>
      <c r="N1" s="288">
        <v>11</v>
      </c>
      <c r="O1" s="288">
        <v>12</v>
      </c>
      <c r="P1" s="288">
        <v>13</v>
      </c>
      <c r="Q1" s="288">
        <v>14</v>
      </c>
      <c r="R1" s="288">
        <v>15</v>
      </c>
      <c r="S1" s="288">
        <v>16</v>
      </c>
      <c r="T1" s="288">
        <v>17</v>
      </c>
      <c r="U1" s="288">
        <v>18</v>
      </c>
      <c r="V1" s="288">
        <v>19</v>
      </c>
      <c r="W1" s="288">
        <v>20</v>
      </c>
      <c r="X1" s="288">
        <v>21</v>
      </c>
      <c r="Y1" s="288">
        <v>22</v>
      </c>
      <c r="Z1" s="288">
        <v>23</v>
      </c>
      <c r="AA1" s="288">
        <v>24</v>
      </c>
      <c r="AB1" s="288">
        <v>25</v>
      </c>
      <c r="AC1" s="288">
        <v>26</v>
      </c>
      <c r="AD1" s="288">
        <v>27</v>
      </c>
      <c r="AE1" s="288">
        <v>28</v>
      </c>
      <c r="AF1" s="288">
        <v>29</v>
      </c>
      <c r="AG1" s="288">
        <v>30</v>
      </c>
      <c r="AH1" s="288">
        <v>31</v>
      </c>
      <c r="AI1" s="288">
        <v>32</v>
      </c>
      <c r="AJ1" s="288">
        <v>33</v>
      </c>
      <c r="AK1" s="288">
        <v>34</v>
      </c>
      <c r="AL1" s="288">
        <v>35</v>
      </c>
      <c r="AM1" s="288">
        <v>36</v>
      </c>
      <c r="AN1" s="288">
        <v>37</v>
      </c>
      <c r="AO1" s="288">
        <v>38</v>
      </c>
      <c r="AP1" s="288">
        <v>39</v>
      </c>
      <c r="AQ1" s="288">
        <v>40</v>
      </c>
      <c r="AR1" s="288">
        <v>41</v>
      </c>
      <c r="AS1" s="288">
        <v>42</v>
      </c>
      <c r="AT1" s="288">
        <v>43</v>
      </c>
      <c r="AU1" s="288">
        <v>44</v>
      </c>
      <c r="AV1" s="288">
        <v>45</v>
      </c>
      <c r="AW1" s="288">
        <v>46</v>
      </c>
      <c r="AX1" s="288">
        <v>47</v>
      </c>
      <c r="AY1" s="288">
        <v>48</v>
      </c>
      <c r="AZ1" s="288">
        <v>49</v>
      </c>
      <c r="BA1" s="288">
        <v>50</v>
      </c>
      <c r="BB1" s="288">
        <v>51</v>
      </c>
      <c r="BC1" s="288">
        <v>52</v>
      </c>
      <c r="BD1" s="288">
        <v>53</v>
      </c>
      <c r="BE1" s="288">
        <v>54</v>
      </c>
      <c r="BF1" s="288">
        <v>55</v>
      </c>
      <c r="BG1" s="288">
        <v>56</v>
      </c>
      <c r="BH1" s="288">
        <v>57</v>
      </c>
      <c r="BI1" s="288">
        <v>58</v>
      </c>
      <c r="BJ1" s="288">
        <v>59</v>
      </c>
      <c r="BK1" s="288">
        <v>60</v>
      </c>
      <c r="BL1" s="288">
        <v>61</v>
      </c>
      <c r="BM1" s="288">
        <v>62</v>
      </c>
      <c r="BN1" s="288">
        <v>63</v>
      </c>
      <c r="BO1" s="288">
        <v>64</v>
      </c>
      <c r="BP1" s="288">
        <v>65</v>
      </c>
      <c r="BQ1" s="288">
        <v>66</v>
      </c>
      <c r="BR1" s="288">
        <v>67</v>
      </c>
      <c r="BS1" s="288">
        <v>68</v>
      </c>
      <c r="BT1" s="288">
        <v>69</v>
      </c>
      <c r="BU1" s="288">
        <v>70</v>
      </c>
      <c r="BV1" s="288">
        <v>71</v>
      </c>
      <c r="BW1" s="288">
        <v>72</v>
      </c>
      <c r="BX1" s="288">
        <v>73</v>
      </c>
      <c r="BY1" s="288">
        <v>74</v>
      </c>
      <c r="BZ1" s="288">
        <v>75</v>
      </c>
      <c r="CA1" s="288">
        <v>76</v>
      </c>
      <c r="CB1" s="288">
        <v>77</v>
      </c>
      <c r="CC1" s="288">
        <v>78</v>
      </c>
      <c r="CD1" s="288">
        <v>79</v>
      </c>
      <c r="CE1" s="288">
        <v>80</v>
      </c>
      <c r="CF1" s="288">
        <v>81</v>
      </c>
      <c r="CG1" s="288">
        <v>82</v>
      </c>
      <c r="CH1" s="288">
        <v>83</v>
      </c>
      <c r="CI1" s="288">
        <v>84</v>
      </c>
      <c r="CJ1" s="288">
        <v>85</v>
      </c>
      <c r="CK1" s="288">
        <v>86</v>
      </c>
      <c r="CL1" s="288">
        <v>87</v>
      </c>
      <c r="CM1" s="288">
        <v>88</v>
      </c>
      <c r="CN1" s="288">
        <v>89</v>
      </c>
      <c r="CO1" s="288">
        <v>90</v>
      </c>
      <c r="CP1" s="288">
        <v>91</v>
      </c>
      <c r="CQ1" s="288">
        <v>92</v>
      </c>
      <c r="CR1" s="288">
        <v>93</v>
      </c>
      <c r="CS1" s="288">
        <v>94</v>
      </c>
      <c r="CT1" s="288">
        <v>95</v>
      </c>
      <c r="CU1" s="288">
        <v>96</v>
      </c>
      <c r="CV1" s="288">
        <v>97</v>
      </c>
      <c r="CW1" s="288">
        <v>98</v>
      </c>
      <c r="CX1" s="288">
        <v>99</v>
      </c>
      <c r="CY1" s="288">
        <v>100</v>
      </c>
      <c r="CZ1" s="288">
        <v>101</v>
      </c>
      <c r="DA1" s="288">
        <v>102</v>
      </c>
      <c r="DB1" s="288">
        <v>103</v>
      </c>
      <c r="DC1" s="288">
        <v>104</v>
      </c>
      <c r="DD1" s="288">
        <v>105</v>
      </c>
      <c r="DE1" s="288">
        <v>106</v>
      </c>
      <c r="DG1" s="567" t="s">
        <v>240</v>
      </c>
      <c r="DH1" s="566" t="s">
        <v>226</v>
      </c>
      <c r="DJ1" s="292" t="s">
        <v>227</v>
      </c>
      <c r="DK1" s="293" t="s">
        <v>228</v>
      </c>
      <c r="DL1" s="294" t="s">
        <v>229</v>
      </c>
      <c r="DN1" s="292" t="s">
        <v>227</v>
      </c>
      <c r="DO1" s="293" t="s">
        <v>228</v>
      </c>
      <c r="DP1" s="294" t="s">
        <v>229</v>
      </c>
      <c r="DR1" s="292" t="s">
        <v>227</v>
      </c>
      <c r="DS1" s="293" t="s">
        <v>228</v>
      </c>
      <c r="DT1" s="294" t="s">
        <v>229</v>
      </c>
    </row>
    <row r="2" spans="1:124" ht="12.75" customHeight="1">
      <c r="C2" s="288">
        <f>(1+$A$1/100)*B3</f>
        <v>1.0887500000000001E-2</v>
      </c>
      <c r="D2" s="288">
        <f>(1+$A$1/100)*B4</f>
        <v>9.0790787761401803E-4</v>
      </c>
      <c r="E2" s="288">
        <f>(1+$A$1/100)*B5</f>
        <v>5.9309286572377514E-4</v>
      </c>
      <c r="F2" s="288">
        <f>(1+$A$1/100)*B6</f>
        <v>4.1662458337541665E-4</v>
      </c>
      <c r="G2" s="288">
        <f>(1+$A$1/100)*B7</f>
        <v>3.6624670377966598E-4</v>
      </c>
      <c r="H2" s="288">
        <f>(1+$A$1/100)*B8</f>
        <v>3.4108824837288272E-4</v>
      </c>
      <c r="I2" s="288">
        <f>(1+$A$1/100)*B9</f>
        <v>3.0327230820553774E-4</v>
      </c>
      <c r="J2" s="288">
        <f>(1+$A$1/100)*B10</f>
        <v>2.6542766716887266E-4</v>
      </c>
      <c r="K2" s="288">
        <f>(1+$A$1/100)*B11</f>
        <v>2.654840406165298E-4</v>
      </c>
      <c r="L2" s="288">
        <f>(1+$A$1/100)*$B12</f>
        <v>2.5289565525264278E-4</v>
      </c>
      <c r="M2" s="288">
        <f>(1+$A$1/100)*$B13</f>
        <v>2.6559417210502356E-4</v>
      </c>
      <c r="N2" s="288">
        <f>(1+$A$1/100)*$B14</f>
        <v>2.6565061630942985E-4</v>
      </c>
      <c r="O2" s="288">
        <f>(1+$A$1/100)*$B15</f>
        <v>2.7835980282003782E-4</v>
      </c>
      <c r="P2" s="288">
        <f>(1+$A$1/100)*$B16</f>
        <v>3.2904395014731044E-4</v>
      </c>
      <c r="Q2" s="288">
        <f>(1+$A$1/100)*$B17</f>
        <v>4.1774267051496275E-4</v>
      </c>
      <c r="R2" s="288">
        <f>(1+$A$1/100)*$B18</f>
        <v>5.6983953318745441E-4</v>
      </c>
      <c r="S2" s="288">
        <f>(1+$A$1/100)*$B19</f>
        <v>7.7280144323836739E-4</v>
      </c>
      <c r="T2" s="288">
        <f>(1+$A$1/100)*$B20</f>
        <v>1.0901973510739713E-3</v>
      </c>
      <c r="U2" s="288">
        <f>(1+$A$1/100)*$B21</f>
        <v>1.4464068209500609E-3</v>
      </c>
      <c r="V2" s="288">
        <f>(1+$A$1/100)*$B22</f>
        <v>1.6386195963660752E-3</v>
      </c>
      <c r="W2" s="288">
        <f>(1+$A$1/100)*$B23</f>
        <v>1.7806811359728117E-3</v>
      </c>
      <c r="X2" s="288">
        <f>(1+$A$1/100)*$B24</f>
        <v>1.9105943731721981E-3</v>
      </c>
      <c r="Y2" s="288">
        <f>(1+$A$1/100)*$B25</f>
        <v>2.0028167001745127E-3</v>
      </c>
      <c r="Z2" s="288">
        <f>(1+$A$1/100)*$B26</f>
        <v>1.9549218031278746E-3</v>
      </c>
      <c r="AA2" s="288">
        <f>(1+$A$1/100)*$B27</f>
        <v>1.9579839675665715E-3</v>
      </c>
      <c r="AB2" s="288">
        <f>(1+$A$1/100)*$B28</f>
        <v>1.9354210245683112E-3</v>
      </c>
      <c r="AC2" s="288">
        <f>(1+$A$1/100)*$B29</f>
        <v>1.9384223552730223E-3</v>
      </c>
      <c r="AD2" s="288">
        <f>(1+$A$1/100)*$B30</f>
        <v>1.9542901812347E-3</v>
      </c>
      <c r="AE2" s="288">
        <f>(1+$A$1/100)*$B31</f>
        <v>1.9831049757906664E-3</v>
      </c>
      <c r="AF2" s="288">
        <f>(1+$A$1/100)*$B32</f>
        <v>2.0249494407528169E-3</v>
      </c>
      <c r="AG2" s="288">
        <f>(1+$A$1/100)*$B33</f>
        <v>2.0928285740861316E-3</v>
      </c>
      <c r="AH2" s="288">
        <f>(1+$A$1/100)*$B34</f>
        <v>2.1739805584024348E-3</v>
      </c>
      <c r="AI2" s="288">
        <f>(1+$A$1/100)*$B35</f>
        <v>2.2555455309087513E-3</v>
      </c>
      <c r="AJ2" s="288">
        <f>(1+$A$1/100)*$B36</f>
        <v>2.3894862604540022E-3</v>
      </c>
      <c r="AK2" s="288">
        <f>(1+$A$1/100)*$B37</f>
        <v>2.5111636185737632E-3</v>
      </c>
      <c r="AL2" s="288">
        <f>(1+$A$1/100)*$B38</f>
        <v>2.6335551429942216E-3</v>
      </c>
      <c r="AM2" s="288">
        <f>(1+$A$1/100)*$B39</f>
        <v>2.7828295497303399E-3</v>
      </c>
      <c r="AN2" s="288">
        <f>(1+$A$1/100)*$B40</f>
        <v>2.9592617034872146E-3</v>
      </c>
      <c r="AO2" s="288">
        <f>(1+$A$1/100)*$B41</f>
        <v>3.1500362254165922E-3</v>
      </c>
      <c r="AP2" s="288">
        <f>(1+$A$1/100)*$B42</f>
        <v>3.3027358758697641E-3</v>
      </c>
      <c r="AQ2" s="288">
        <f>(1+$A$1/100)*$B43</f>
        <v>3.5621556582863655E-3</v>
      </c>
      <c r="AR2" s="288">
        <f>(1+$A$1/100)*$B44</f>
        <v>3.8898767941064399E-3</v>
      </c>
      <c r="AS2" s="288">
        <f>(1+$A$1/100)*$B45</f>
        <v>4.1674629971756808E-3</v>
      </c>
      <c r="AT2" s="288">
        <f>(1+$A$1/100)*$B46</f>
        <v>4.7007499893467423E-3</v>
      </c>
      <c r="AU2" s="288">
        <f>(1+$A$1/100)*$B47</f>
        <v>5.106132705982998E-3</v>
      </c>
      <c r="AV2" s="288">
        <f>(1+$A$1/100)*$B48</f>
        <v>5.449196310652508E-3</v>
      </c>
      <c r="AW2" s="288">
        <f>(1+$A$1/100)*$B49</f>
        <v>5.8235465398427649E-3</v>
      </c>
      <c r="AX2" s="288">
        <f>(1+$A$1/100)*$B50</f>
        <v>6.2571103526734926E-3</v>
      </c>
      <c r="AY2" s="288">
        <f>(1+$A$1/100)*$B51</f>
        <v>6.8194439907222886E-3</v>
      </c>
      <c r="AZ2" s="288">
        <f>(1+$A$1/100)*$B52</f>
        <v>7.5822274777733985E-3</v>
      </c>
      <c r="BA2" s="288">
        <f>(1+$A$1/100)*$B53</f>
        <v>8.3583026724536776E-3</v>
      </c>
      <c r="BB2" s="288">
        <f>(1+$A$1/100)*$B54</f>
        <v>9.1492830289117352E-3</v>
      </c>
      <c r="BC2" s="288">
        <f>(1+$A$1/100)*$B55</f>
        <v>1.0054630157187385E-2</v>
      </c>
      <c r="BD2" s="288">
        <f>(1+$A$1/100)*$B56</f>
        <v>1.0980842652971584E-2</v>
      </c>
      <c r="BE2" s="288">
        <f>(1+$A$1/100)*$B57</f>
        <v>1.2015543511606504E-2</v>
      </c>
      <c r="BF2" s="288">
        <f>(1+$A$1/100)*$B58</f>
        <v>1.3250731371536741E-2</v>
      </c>
      <c r="BG2" s="288">
        <f>(1+$A$1/100)*$B59</f>
        <v>1.4276852077318212E-2</v>
      </c>
      <c r="BH2" s="288">
        <f>(1+$A$1/100)*$B60</f>
        <v>1.5321502298958432E-2</v>
      </c>
      <c r="BI2" s="288">
        <f>(1+$A$1/100)*$B61</f>
        <v>1.6743655816936029E-2</v>
      </c>
      <c r="BJ2" s="288">
        <f>(1+$A$1/100)*$B62</f>
        <v>1.8039189725936714E-2</v>
      </c>
      <c r="BK2" s="288">
        <f>(1+$A$1/100)*$B63</f>
        <v>1.9570367837428559E-2</v>
      </c>
      <c r="BL2" s="288">
        <f>(1+$A$1/100)*$B64</f>
        <v>2.1075779757326121E-2</v>
      </c>
      <c r="BM2" s="288">
        <f>(1+$A$1/100)*$B65</f>
        <v>2.2651843065002588E-2</v>
      </c>
      <c r="BN2" s="288">
        <f>(1+$A$1/100)*$B66</f>
        <v>2.4290873571786598E-2</v>
      </c>
      <c r="BO2" s="288">
        <f>(1+$A$1/100)*$B67</f>
        <v>2.5804443279376105E-2</v>
      </c>
      <c r="BP2" s="288">
        <f>(1+$A$1/100)*$B68</f>
        <v>2.7519405781584582E-2</v>
      </c>
      <c r="BQ2" s="288">
        <f>(1+$A$1/100)*$B69</f>
        <v>2.9233664043790623E-2</v>
      </c>
      <c r="BR2" s="288">
        <f>(1+$A$1/100)*$B70</f>
        <v>3.1650225597623517E-2</v>
      </c>
      <c r="BS2" s="288">
        <f>(1+$A$1/100)*$B71</f>
        <v>3.4215558015497631E-2</v>
      </c>
      <c r="BT2" s="288">
        <f>(1+$A$1/100)*$B72</f>
        <v>3.7063040425689156E-2</v>
      </c>
      <c r="BU2" s="288">
        <f>(1+$A$1/100)*$B73</f>
        <v>4.0099620710140296E-2</v>
      </c>
      <c r="BV2" s="288">
        <f>(1+$A$1/100)*$B74</f>
        <v>4.4418740065782225E-2</v>
      </c>
      <c r="BW2" s="288">
        <f>(1+$A$1/100)*$B75</f>
        <v>4.8421310271681492E-2</v>
      </c>
      <c r="BX2" s="288">
        <f>(1+$A$1/100)*$B76</f>
        <v>5.2940028178099167E-2</v>
      </c>
      <c r="BY2" s="288">
        <f>(1+$A$1/100)*$B77</f>
        <v>5.7563457175269429E-2</v>
      </c>
      <c r="BZ2" s="288">
        <f>(1+$A$1/100)*$B78</f>
        <v>6.3454606265561708E-2</v>
      </c>
      <c r="CA2" s="288">
        <f>(1+$A$1/100)*$B79</f>
        <v>6.9368320087695265E-2</v>
      </c>
      <c r="CB2" s="288">
        <f>(1+$A$1/100)*$B80</f>
        <v>7.6863691944208404E-2</v>
      </c>
      <c r="CC2" s="288">
        <f>(1+$A$1/100)*$B81</f>
        <v>8.5046594823778826E-2</v>
      </c>
      <c r="CD2" s="288">
        <f>(1+$A$1/100)*$B82</f>
        <v>9.3654479539369229E-2</v>
      </c>
      <c r="CE2" s="288">
        <f>(1+$A$1/100)*$B83</f>
        <v>0.10300069158064598</v>
      </c>
      <c r="CF2" s="288">
        <f>(1+$A$1/100)*$B84</f>
        <v>0.11535562751228226</v>
      </c>
      <c r="CG2" s="288">
        <f>(1+$A$1/100)*$B85</f>
        <v>0.12677593947967281</v>
      </c>
      <c r="CH2" s="288">
        <f>(1+$A$1/100)*$B86</f>
        <v>0.13937371663244355</v>
      </c>
      <c r="CI2" s="288">
        <f>(1+$A$1/100)*$B87</f>
        <v>0.15320468376858487</v>
      </c>
      <c r="CJ2" s="288">
        <f>(1+$A$1/100)*$B88</f>
        <v>0.16763608428446003</v>
      </c>
      <c r="CK2" s="288">
        <f>(1+$A$1/100)*$B89</f>
        <v>0.1826362484157161</v>
      </c>
      <c r="CL2" s="288">
        <f>(1+$A$1/100)*$B90</f>
        <v>0.20112212788695599</v>
      </c>
      <c r="CM2" s="288">
        <f>(1+$A$1/100)*$B91</f>
        <v>0.22182126936956062</v>
      </c>
      <c r="CN2" s="288">
        <f>(1+$A$1/100)*$B92</f>
        <v>0.24043010752688171</v>
      </c>
      <c r="CO2" s="288">
        <f>(1+$A$1/100)*$B93</f>
        <v>0.25974544679944617</v>
      </c>
      <c r="CP2" s="288">
        <f>(1+$A$1/100)*$B94</f>
        <v>0.28149368109706913</v>
      </c>
      <c r="CQ2" s="288">
        <f>(1+$A$1/100)*$B95</f>
        <v>0.3064809994794378</v>
      </c>
      <c r="CR2" s="288">
        <f>(1+$A$1/100)*$B96</f>
        <v>0.32729885057471264</v>
      </c>
      <c r="CS2" s="288">
        <f>(1+$A$1/100)*$B97</f>
        <v>0.34880099657427588</v>
      </c>
      <c r="CT2" s="288">
        <f>(1+$A$1/100)*$B98</f>
        <v>0.367170626349892</v>
      </c>
      <c r="CU2" s="288">
        <f>(1+$A$1/100)*$B99</f>
        <v>0.39755351681957185</v>
      </c>
      <c r="CV2" s="288">
        <f>(1+$A$1/100)*$B100</f>
        <v>0.42040358744394624</v>
      </c>
      <c r="CW2" s="288">
        <f>(1+$A$1/100)*$B101</f>
        <v>0.48479729729729726</v>
      </c>
      <c r="CX2" s="288">
        <f>(1+$A$1/100)*$B102</f>
        <v>0.52428256070640178</v>
      </c>
      <c r="CY2" s="288">
        <f>(1+$A$1/100)*$B103</f>
        <v>0.56083650190114065</v>
      </c>
      <c r="CZ2" s="288">
        <f>(1+$A$1/100)*$B104</f>
        <v>0.59482758620689657</v>
      </c>
      <c r="DA2" s="288">
        <f>(1+$A$1/100)*$B105</f>
        <v>0.64144736842105265</v>
      </c>
      <c r="DB2" s="288">
        <f>(1+$A$1/100)*$B106</f>
        <v>0.67567567567567566</v>
      </c>
      <c r="DC2" s="288">
        <f>(1+$A$1/100)*$B107</f>
        <v>0.73529411764705888</v>
      </c>
      <c r="DD2" s="288">
        <f>(1+$A$1/100)*$B108</f>
        <v>0.8928571428571429</v>
      </c>
      <c r="DE2" s="288">
        <f>(1+$A$1/100)*$B109</f>
        <v>1.25</v>
      </c>
      <c r="DG2" s="567"/>
      <c r="DH2" s="566"/>
      <c r="DJ2" s="560">
        <v>0.18</v>
      </c>
      <c r="DK2" s="561"/>
      <c r="DL2" s="561"/>
      <c r="DN2" s="562">
        <v>0.15</v>
      </c>
      <c r="DO2" s="563"/>
      <c r="DP2" s="563"/>
      <c r="DR2" s="564">
        <v>0.1</v>
      </c>
      <c r="DS2" s="565"/>
      <c r="DT2" s="565"/>
    </row>
    <row r="3" spans="1:124">
      <c r="A3" s="288">
        <v>0</v>
      </c>
      <c r="B3" s="288">
        <v>8.7100000000000007E-3</v>
      </c>
      <c r="C3" s="288">
        <f>IF(C$2&gt;$B3,(IF(C$2&lt;=$B4,(IF(AVERAGE($B3,$B4)&gt;C$2,$A3,$A4)),0)),0)</f>
        <v>0</v>
      </c>
      <c r="D3" s="288">
        <f t="shared" ref="D3:BO6" si="0">IF(D$2&gt;$B3,(IF(D$2&lt;=$B4,(IF(AVERAGE($B3,$B4)&gt;D$2,$A3,$A4)),0)),0)</f>
        <v>0</v>
      </c>
      <c r="E3" s="288">
        <f t="shared" si="0"/>
        <v>0</v>
      </c>
      <c r="F3" s="288">
        <f t="shared" si="0"/>
        <v>0</v>
      </c>
      <c r="G3" s="288">
        <f t="shared" si="0"/>
        <v>0</v>
      </c>
      <c r="H3" s="288">
        <f t="shared" si="0"/>
        <v>0</v>
      </c>
      <c r="I3" s="288">
        <f t="shared" si="0"/>
        <v>0</v>
      </c>
      <c r="J3" s="288">
        <f t="shared" si="0"/>
        <v>0</v>
      </c>
      <c r="K3" s="288">
        <f t="shared" si="0"/>
        <v>0</v>
      </c>
      <c r="L3" s="288">
        <f t="shared" si="0"/>
        <v>0</v>
      </c>
      <c r="M3" s="288">
        <f t="shared" si="0"/>
        <v>0</v>
      </c>
      <c r="N3" s="288">
        <f t="shared" si="0"/>
        <v>0</v>
      </c>
      <c r="O3" s="288">
        <f t="shared" si="0"/>
        <v>0</v>
      </c>
      <c r="P3" s="288">
        <f t="shared" si="0"/>
        <v>0</v>
      </c>
      <c r="Q3" s="288">
        <f t="shared" si="0"/>
        <v>0</v>
      </c>
      <c r="R3" s="288">
        <f t="shared" si="0"/>
        <v>0</v>
      </c>
      <c r="S3" s="288">
        <f t="shared" si="0"/>
        <v>0</v>
      </c>
      <c r="T3" s="288">
        <f t="shared" si="0"/>
        <v>0</v>
      </c>
      <c r="U3" s="288">
        <f t="shared" si="0"/>
        <v>0</v>
      </c>
      <c r="V3" s="288">
        <f t="shared" si="0"/>
        <v>0</v>
      </c>
      <c r="W3" s="288">
        <f t="shared" si="0"/>
        <v>0</v>
      </c>
      <c r="X3" s="288">
        <f t="shared" si="0"/>
        <v>0</v>
      </c>
      <c r="Y3" s="288">
        <f t="shared" si="0"/>
        <v>0</v>
      </c>
      <c r="Z3" s="288">
        <f t="shared" si="0"/>
        <v>0</v>
      </c>
      <c r="AA3" s="288">
        <f t="shared" si="0"/>
        <v>0</v>
      </c>
      <c r="AB3" s="288">
        <f t="shared" si="0"/>
        <v>0</v>
      </c>
      <c r="AC3" s="288">
        <f t="shared" si="0"/>
        <v>0</v>
      </c>
      <c r="AD3" s="288">
        <f t="shared" si="0"/>
        <v>0</v>
      </c>
      <c r="AE3" s="288">
        <f t="shared" si="0"/>
        <v>0</v>
      </c>
      <c r="AF3" s="288">
        <f t="shared" si="0"/>
        <v>0</v>
      </c>
      <c r="AG3" s="288">
        <f t="shared" si="0"/>
        <v>0</v>
      </c>
      <c r="AH3" s="288">
        <f t="shared" si="0"/>
        <v>0</v>
      </c>
      <c r="AI3" s="288">
        <f t="shared" si="0"/>
        <v>0</v>
      </c>
      <c r="AJ3" s="288">
        <f t="shared" si="0"/>
        <v>0</v>
      </c>
      <c r="AK3" s="288">
        <f t="shared" si="0"/>
        <v>0</v>
      </c>
      <c r="AL3" s="288">
        <f t="shared" si="0"/>
        <v>0</v>
      </c>
      <c r="AM3" s="288">
        <f t="shared" si="0"/>
        <v>0</v>
      </c>
      <c r="AN3" s="288">
        <f t="shared" si="0"/>
        <v>0</v>
      </c>
      <c r="AO3" s="288">
        <f t="shared" si="0"/>
        <v>0</v>
      </c>
      <c r="AP3" s="288">
        <f t="shared" si="0"/>
        <v>0</v>
      </c>
      <c r="AQ3" s="288">
        <f t="shared" si="0"/>
        <v>0</v>
      </c>
      <c r="AR3" s="288">
        <f t="shared" si="0"/>
        <v>0</v>
      </c>
      <c r="AS3" s="288">
        <f t="shared" si="0"/>
        <v>0</v>
      </c>
      <c r="AT3" s="288">
        <f t="shared" si="0"/>
        <v>0</v>
      </c>
      <c r="AU3" s="288">
        <f t="shared" si="0"/>
        <v>0</v>
      </c>
      <c r="AV3" s="288">
        <f t="shared" si="0"/>
        <v>0</v>
      </c>
      <c r="AW3" s="288">
        <f t="shared" si="0"/>
        <v>0</v>
      </c>
      <c r="AX3" s="288">
        <f t="shared" si="0"/>
        <v>0</v>
      </c>
      <c r="AY3" s="288">
        <f t="shared" si="0"/>
        <v>0</v>
      </c>
      <c r="AZ3" s="288">
        <f t="shared" si="0"/>
        <v>0</v>
      </c>
      <c r="BA3" s="288">
        <f t="shared" si="0"/>
        <v>0</v>
      </c>
      <c r="BB3" s="288">
        <f t="shared" si="0"/>
        <v>0</v>
      </c>
      <c r="BC3" s="288">
        <f t="shared" si="0"/>
        <v>0</v>
      </c>
      <c r="BD3" s="288">
        <f t="shared" si="0"/>
        <v>0</v>
      </c>
      <c r="BE3" s="288">
        <f t="shared" si="0"/>
        <v>0</v>
      </c>
      <c r="BF3" s="288">
        <f t="shared" si="0"/>
        <v>0</v>
      </c>
      <c r="BG3" s="288">
        <f t="shared" si="0"/>
        <v>0</v>
      </c>
      <c r="BH3" s="288">
        <f t="shared" si="0"/>
        <v>0</v>
      </c>
      <c r="BI3" s="288">
        <f t="shared" si="0"/>
        <v>0</v>
      </c>
      <c r="BJ3" s="288">
        <f t="shared" si="0"/>
        <v>0</v>
      </c>
      <c r="BK3" s="288">
        <f t="shared" si="0"/>
        <v>0</v>
      </c>
      <c r="BL3" s="288">
        <f t="shared" si="0"/>
        <v>0</v>
      </c>
      <c r="BM3" s="288">
        <f t="shared" si="0"/>
        <v>0</v>
      </c>
      <c r="BN3" s="288">
        <f t="shared" si="0"/>
        <v>0</v>
      </c>
      <c r="BO3" s="288">
        <f t="shared" si="0"/>
        <v>0</v>
      </c>
      <c r="BP3" s="288">
        <f t="shared" ref="BP3:DE9" si="1">IF(BP$2&gt;$B3,(IF(BP$2&lt;=$B4,(IF(AVERAGE($B3,$B4)&gt;BP$2,$A3,$A4)),0)),0)</f>
        <v>0</v>
      </c>
      <c r="BQ3" s="288">
        <f t="shared" si="1"/>
        <v>0</v>
      </c>
      <c r="BR3" s="288">
        <f t="shared" si="1"/>
        <v>0</v>
      </c>
      <c r="BS3" s="288">
        <f t="shared" si="1"/>
        <v>0</v>
      </c>
      <c r="BT3" s="288">
        <f t="shared" si="1"/>
        <v>0</v>
      </c>
      <c r="BU3" s="288">
        <f t="shared" si="1"/>
        <v>0</v>
      </c>
      <c r="BV3" s="288">
        <f t="shared" si="1"/>
        <v>0</v>
      </c>
      <c r="BW3" s="288">
        <f t="shared" si="1"/>
        <v>0</v>
      </c>
      <c r="BX3" s="288">
        <f t="shared" si="1"/>
        <v>0</v>
      </c>
      <c r="BY3" s="288">
        <f t="shared" si="1"/>
        <v>0</v>
      </c>
      <c r="BZ3" s="288">
        <f t="shared" si="1"/>
        <v>0</v>
      </c>
      <c r="CA3" s="288">
        <f t="shared" si="1"/>
        <v>0</v>
      </c>
      <c r="CB3" s="288">
        <f t="shared" si="1"/>
        <v>0</v>
      </c>
      <c r="CC3" s="288">
        <f t="shared" si="1"/>
        <v>0</v>
      </c>
      <c r="CD3" s="288">
        <f t="shared" si="1"/>
        <v>0</v>
      </c>
      <c r="CE3" s="288">
        <f t="shared" si="1"/>
        <v>0</v>
      </c>
      <c r="CF3" s="288">
        <f t="shared" si="1"/>
        <v>0</v>
      </c>
      <c r="CG3" s="288">
        <f t="shared" si="1"/>
        <v>0</v>
      </c>
      <c r="CH3" s="288">
        <f t="shared" si="1"/>
        <v>0</v>
      </c>
      <c r="CI3" s="288">
        <f t="shared" si="1"/>
        <v>0</v>
      </c>
      <c r="CJ3" s="288">
        <f t="shared" si="1"/>
        <v>0</v>
      </c>
      <c r="CK3" s="288">
        <f t="shared" si="1"/>
        <v>0</v>
      </c>
      <c r="CL3" s="288">
        <f t="shared" si="1"/>
        <v>0</v>
      </c>
      <c r="CM3" s="288">
        <f t="shared" si="1"/>
        <v>0</v>
      </c>
      <c r="CN3" s="288">
        <f t="shared" si="1"/>
        <v>0</v>
      </c>
      <c r="CO3" s="288">
        <f t="shared" si="1"/>
        <v>0</v>
      </c>
      <c r="CP3" s="288">
        <f t="shared" si="1"/>
        <v>0</v>
      </c>
      <c r="CQ3" s="288">
        <f t="shared" si="1"/>
        <v>0</v>
      </c>
      <c r="CR3" s="288">
        <f t="shared" si="1"/>
        <v>0</v>
      </c>
      <c r="CS3" s="288">
        <f t="shared" si="1"/>
        <v>0</v>
      </c>
      <c r="CT3" s="288">
        <f t="shared" si="1"/>
        <v>0</v>
      </c>
      <c r="CU3" s="288">
        <f t="shared" si="1"/>
        <v>0</v>
      </c>
      <c r="CV3" s="288">
        <f t="shared" si="1"/>
        <v>0</v>
      </c>
      <c r="CW3" s="288">
        <f t="shared" si="1"/>
        <v>0</v>
      </c>
      <c r="CX3" s="288">
        <f t="shared" si="1"/>
        <v>0</v>
      </c>
      <c r="CY3" s="288">
        <f t="shared" si="1"/>
        <v>0</v>
      </c>
      <c r="CZ3" s="288">
        <f t="shared" si="1"/>
        <v>0</v>
      </c>
      <c r="DA3" s="288">
        <f t="shared" si="1"/>
        <v>0</v>
      </c>
      <c r="DB3" s="288">
        <f t="shared" si="1"/>
        <v>0</v>
      </c>
      <c r="DC3" s="288">
        <f t="shared" si="1"/>
        <v>0</v>
      </c>
      <c r="DD3" s="288">
        <f t="shared" si="1"/>
        <v>0</v>
      </c>
      <c r="DE3" s="288">
        <f t="shared" si="1"/>
        <v>0</v>
      </c>
      <c r="DG3" s="314">
        <f>IF(A$1=0,A3,DH3)</f>
        <v>55</v>
      </c>
      <c r="DH3" s="289">
        <f>MAX(C$3:C$109)</f>
        <v>55</v>
      </c>
      <c r="DJ3" s="288">
        <f>LOOKUP(DH3, 'Mortality Table'!A:A,('Mortality Table'!J:J/'Mortality Table'!I:I))</f>
        <v>9.7586295753806073E-3</v>
      </c>
      <c r="DK3" s="288">
        <f>LOOKUP(A3, 'Mortality Table'!A:A,('Mortality Table'!J:J/'Mortality Table'!I:I))</f>
        <v>8.0182049218943969E-3</v>
      </c>
      <c r="DL3" s="288">
        <f>IF(A$1=0,0,ABS(DK3-DJ3))</f>
        <v>1.7404246534862104E-3</v>
      </c>
      <c r="DN3" s="288">
        <f>LOOKUP(DH3, 'Mortality Table'!A:A,('Mortality Table'!L:L/'Mortality Table'!K:K))</f>
        <v>9.8850965733270121E-3</v>
      </c>
      <c r="DO3" s="288">
        <f>LOOKUP(A3, 'Mortality Table'!A:A,('Mortality Table'!L:L/'Mortality Table'!K:K))</f>
        <v>8.1221168797731332E-3</v>
      </c>
      <c r="DP3" s="288">
        <f>IF(A$1=0,0,ABS(DO3-DN3))</f>
        <v>1.7629796935538788E-3</v>
      </c>
      <c r="DR3" s="288">
        <f>LOOKUP(DH3, 'Mortality Table'!A:A,('Mortality Table'!N:N/'Mortality Table'!M:M))</f>
        <v>1.0107261314322573E-2</v>
      </c>
      <c r="DS3" s="288">
        <f>LOOKUP(A3, 'Mortality Table'!A:A,('Mortality Table'!N:N/'Mortality Table'!M:M))</f>
        <v>8.3046591523291084E-3</v>
      </c>
      <c r="DT3" s="288">
        <f>IF(A$1=0,0,ABS(DS3-DR3))</f>
        <v>1.8026021619934642E-3</v>
      </c>
    </row>
    <row r="4" spans="1:124">
      <c r="A4" s="288">
        <v>1</v>
      </c>
      <c r="B4" s="288">
        <v>7.2632630209121447E-4</v>
      </c>
      <c r="C4" s="288">
        <f t="shared" ref="C4:R22" si="2">IF(C$2&gt;$B4,(IF(C$2&lt;=$B5,(IF(AVERAGE($B4,$B5)&gt;C$2,$A4,$A5)),0)),0)</f>
        <v>0</v>
      </c>
      <c r="D4" s="288">
        <f t="shared" si="0"/>
        <v>0</v>
      </c>
      <c r="E4" s="288">
        <f t="shared" si="0"/>
        <v>0</v>
      </c>
      <c r="F4" s="288">
        <f t="shared" si="0"/>
        <v>0</v>
      </c>
      <c r="G4" s="288">
        <f t="shared" si="0"/>
        <v>0</v>
      </c>
      <c r="H4" s="288">
        <f t="shared" si="0"/>
        <v>0</v>
      </c>
      <c r="I4" s="288">
        <f t="shared" si="0"/>
        <v>0</v>
      </c>
      <c r="J4" s="288">
        <f t="shared" si="0"/>
        <v>0</v>
      </c>
      <c r="K4" s="288">
        <f t="shared" si="0"/>
        <v>0</v>
      </c>
      <c r="L4" s="288">
        <f t="shared" si="0"/>
        <v>0</v>
      </c>
      <c r="M4" s="288">
        <f t="shared" si="0"/>
        <v>0</v>
      </c>
      <c r="N4" s="288">
        <f t="shared" si="0"/>
        <v>0</v>
      </c>
      <c r="O4" s="288">
        <f t="shared" si="0"/>
        <v>0</v>
      </c>
      <c r="P4" s="288">
        <f t="shared" si="0"/>
        <v>0</v>
      </c>
      <c r="Q4" s="288">
        <f t="shared" si="0"/>
        <v>0</v>
      </c>
      <c r="R4" s="288">
        <f t="shared" si="0"/>
        <v>0</v>
      </c>
      <c r="S4" s="288">
        <f t="shared" si="0"/>
        <v>0</v>
      </c>
      <c r="T4" s="288">
        <f t="shared" si="0"/>
        <v>0</v>
      </c>
      <c r="U4" s="288">
        <f t="shared" si="0"/>
        <v>0</v>
      </c>
      <c r="V4" s="288">
        <f t="shared" si="0"/>
        <v>0</v>
      </c>
      <c r="W4" s="288">
        <f t="shared" si="0"/>
        <v>0</v>
      </c>
      <c r="X4" s="288">
        <f t="shared" si="0"/>
        <v>0</v>
      </c>
      <c r="Y4" s="288">
        <f t="shared" si="0"/>
        <v>0</v>
      </c>
      <c r="Z4" s="288">
        <f t="shared" si="0"/>
        <v>0</v>
      </c>
      <c r="AA4" s="288">
        <f t="shared" si="0"/>
        <v>0</v>
      </c>
      <c r="AB4" s="288">
        <f t="shared" si="0"/>
        <v>0</v>
      </c>
      <c r="AC4" s="288">
        <f t="shared" si="0"/>
        <v>0</v>
      </c>
      <c r="AD4" s="288">
        <f t="shared" si="0"/>
        <v>0</v>
      </c>
      <c r="AE4" s="288">
        <f t="shared" si="0"/>
        <v>0</v>
      </c>
      <c r="AF4" s="288">
        <f t="shared" si="0"/>
        <v>0</v>
      </c>
      <c r="AG4" s="288">
        <f t="shared" si="0"/>
        <v>0</v>
      </c>
      <c r="AH4" s="288">
        <f t="shared" si="0"/>
        <v>0</v>
      </c>
      <c r="AI4" s="288">
        <f t="shared" si="0"/>
        <v>0</v>
      </c>
      <c r="AJ4" s="288">
        <f t="shared" si="0"/>
        <v>0</v>
      </c>
      <c r="AK4" s="288">
        <f t="shared" si="0"/>
        <v>0</v>
      </c>
      <c r="AL4" s="288">
        <f t="shared" si="0"/>
        <v>0</v>
      </c>
      <c r="AM4" s="288">
        <f t="shared" si="0"/>
        <v>0</v>
      </c>
      <c r="AN4" s="288">
        <f t="shared" si="0"/>
        <v>0</v>
      </c>
      <c r="AO4" s="288">
        <f t="shared" si="0"/>
        <v>0</v>
      </c>
      <c r="AP4" s="288">
        <f t="shared" si="0"/>
        <v>0</v>
      </c>
      <c r="AQ4" s="288">
        <f t="shared" si="0"/>
        <v>0</v>
      </c>
      <c r="AR4" s="288">
        <f t="shared" si="0"/>
        <v>0</v>
      </c>
      <c r="AS4" s="288">
        <f t="shared" si="0"/>
        <v>0</v>
      </c>
      <c r="AT4" s="288">
        <f t="shared" si="0"/>
        <v>0</v>
      </c>
      <c r="AU4" s="288">
        <f t="shared" si="0"/>
        <v>0</v>
      </c>
      <c r="AV4" s="288">
        <f t="shared" si="0"/>
        <v>0</v>
      </c>
      <c r="AW4" s="288">
        <f t="shared" si="0"/>
        <v>0</v>
      </c>
      <c r="AX4" s="288">
        <f t="shared" si="0"/>
        <v>0</v>
      </c>
      <c r="AY4" s="288">
        <f t="shared" si="0"/>
        <v>0</v>
      </c>
      <c r="AZ4" s="288">
        <f t="shared" si="0"/>
        <v>0</v>
      </c>
      <c r="BA4" s="288">
        <f t="shared" si="0"/>
        <v>0</v>
      </c>
      <c r="BB4" s="288">
        <f t="shared" si="0"/>
        <v>0</v>
      </c>
      <c r="BC4" s="288">
        <f t="shared" si="0"/>
        <v>0</v>
      </c>
      <c r="BD4" s="288">
        <f t="shared" si="0"/>
        <v>0</v>
      </c>
      <c r="BE4" s="288">
        <f t="shared" si="0"/>
        <v>0</v>
      </c>
      <c r="BF4" s="288">
        <f t="shared" si="0"/>
        <v>0</v>
      </c>
      <c r="BG4" s="288">
        <f t="shared" si="0"/>
        <v>0</v>
      </c>
      <c r="BH4" s="288">
        <f t="shared" si="0"/>
        <v>0</v>
      </c>
      <c r="BI4" s="288">
        <f t="shared" si="0"/>
        <v>0</v>
      </c>
      <c r="BJ4" s="288">
        <f t="shared" si="0"/>
        <v>0</v>
      </c>
      <c r="BK4" s="288">
        <f t="shared" si="0"/>
        <v>0</v>
      </c>
      <c r="BL4" s="288">
        <f t="shared" si="0"/>
        <v>0</v>
      </c>
      <c r="BM4" s="288">
        <f t="shared" si="0"/>
        <v>0</v>
      </c>
      <c r="BN4" s="288">
        <f t="shared" si="0"/>
        <v>0</v>
      </c>
      <c r="BO4" s="288">
        <f t="shared" si="0"/>
        <v>0</v>
      </c>
      <c r="BP4" s="288">
        <f t="shared" si="1"/>
        <v>0</v>
      </c>
      <c r="BQ4" s="288">
        <f t="shared" si="1"/>
        <v>0</v>
      </c>
      <c r="BR4" s="288">
        <f t="shared" si="1"/>
        <v>0</v>
      </c>
      <c r="BS4" s="288">
        <f t="shared" si="1"/>
        <v>0</v>
      </c>
      <c r="BT4" s="288">
        <f t="shared" si="1"/>
        <v>0</v>
      </c>
      <c r="BU4" s="288">
        <f t="shared" si="1"/>
        <v>0</v>
      </c>
      <c r="BV4" s="288">
        <f t="shared" si="1"/>
        <v>0</v>
      </c>
      <c r="BW4" s="288">
        <f t="shared" si="1"/>
        <v>0</v>
      </c>
      <c r="BX4" s="288">
        <f t="shared" si="1"/>
        <v>0</v>
      </c>
      <c r="BY4" s="288">
        <f t="shared" si="1"/>
        <v>0</v>
      </c>
      <c r="BZ4" s="288">
        <f t="shared" si="1"/>
        <v>0</v>
      </c>
      <c r="CA4" s="288">
        <f t="shared" si="1"/>
        <v>0</v>
      </c>
      <c r="CB4" s="288">
        <f t="shared" si="1"/>
        <v>0</v>
      </c>
      <c r="CC4" s="288">
        <f t="shared" si="1"/>
        <v>0</v>
      </c>
      <c r="CD4" s="288">
        <f t="shared" si="1"/>
        <v>0</v>
      </c>
      <c r="CE4" s="288">
        <f t="shared" si="1"/>
        <v>0</v>
      </c>
      <c r="CF4" s="288">
        <f t="shared" si="1"/>
        <v>0</v>
      </c>
      <c r="CG4" s="288">
        <f t="shared" si="1"/>
        <v>0</v>
      </c>
      <c r="CH4" s="288">
        <f t="shared" si="1"/>
        <v>0</v>
      </c>
      <c r="CI4" s="288">
        <f t="shared" si="1"/>
        <v>0</v>
      </c>
      <c r="CJ4" s="288">
        <f t="shared" si="1"/>
        <v>0</v>
      </c>
      <c r="CK4" s="288">
        <f t="shared" si="1"/>
        <v>0</v>
      </c>
      <c r="CL4" s="288">
        <f t="shared" si="1"/>
        <v>0</v>
      </c>
      <c r="CM4" s="288">
        <f t="shared" si="1"/>
        <v>0</v>
      </c>
      <c r="CN4" s="288">
        <f t="shared" si="1"/>
        <v>0</v>
      </c>
      <c r="CO4" s="288">
        <f t="shared" si="1"/>
        <v>0</v>
      </c>
      <c r="CP4" s="288">
        <f t="shared" si="1"/>
        <v>0</v>
      </c>
      <c r="CQ4" s="288">
        <f t="shared" si="1"/>
        <v>0</v>
      </c>
      <c r="CR4" s="288">
        <f t="shared" si="1"/>
        <v>0</v>
      </c>
      <c r="CS4" s="288">
        <f t="shared" si="1"/>
        <v>0</v>
      </c>
      <c r="CT4" s="288">
        <f t="shared" si="1"/>
        <v>0</v>
      </c>
      <c r="CU4" s="288">
        <f t="shared" si="1"/>
        <v>0</v>
      </c>
      <c r="CV4" s="288">
        <f t="shared" si="1"/>
        <v>0</v>
      </c>
      <c r="CW4" s="288">
        <f t="shared" si="1"/>
        <v>0</v>
      </c>
      <c r="CX4" s="288">
        <f t="shared" si="1"/>
        <v>0</v>
      </c>
      <c r="CY4" s="288">
        <f t="shared" si="1"/>
        <v>0</v>
      </c>
      <c r="CZ4" s="288">
        <f t="shared" si="1"/>
        <v>0</v>
      </c>
      <c r="DA4" s="288">
        <f t="shared" si="1"/>
        <v>0</v>
      </c>
      <c r="DB4" s="288">
        <f t="shared" si="1"/>
        <v>0</v>
      </c>
      <c r="DC4" s="288">
        <f t="shared" si="1"/>
        <v>0</v>
      </c>
      <c r="DD4" s="288">
        <f t="shared" si="1"/>
        <v>0</v>
      </c>
      <c r="DE4" s="288">
        <f t="shared" si="1"/>
        <v>0</v>
      </c>
      <c r="DG4" s="314">
        <f t="shared" ref="DG4:DG67" si="3">IF(A$1=0,A4,DH4)</f>
        <v>17</v>
      </c>
      <c r="DH4" s="289">
        <f>MAX(D$3:D$109)</f>
        <v>17</v>
      </c>
      <c r="DJ4" s="288">
        <f>LOOKUP(DH4, 'Mortality Table'!A:A,('Mortality Table'!J:J/'Mortality Table'!I:I))</f>
        <v>8.0288640791894845E-4</v>
      </c>
      <c r="DK4" s="288">
        <f>LOOKUP(A4, 'Mortality Table'!A:A,('Mortality Table'!J:J/'Mortality Table'!I:I))</f>
        <v>6.6863755801712201E-4</v>
      </c>
      <c r="DL4" s="288">
        <f t="shared" ref="DL4:DL67" si="4">IF(A$1=0,0,ABS(DK4-DJ4))</f>
        <v>1.3424884990182644E-4</v>
      </c>
      <c r="DN4" s="288">
        <f>LOOKUP(DH4, 'Mortality Table'!A:A,('Mortality Table'!L:L/'Mortality Table'!K:K))</f>
        <v>8.1329141744586483E-4</v>
      </c>
      <c r="DO4" s="288">
        <f>LOOKUP(A4, 'Mortality Table'!A:A,('Mortality Table'!L:L/'Mortality Table'!K:K))</f>
        <v>6.7730276905146418E-4</v>
      </c>
      <c r="DP4" s="288">
        <f t="shared" ref="DP4:DP67" si="5">IF(A$1=0,0,ABS(DO4-DN4))</f>
        <v>1.3598864839440064E-4</v>
      </c>
      <c r="DR4" s="288">
        <f>LOOKUP(DH4, 'Mortality Table'!A:A,('Mortality Table'!N:N/'Mortality Table'!M:M))</f>
        <v>8.3156991131493941E-4</v>
      </c>
      <c r="DS4" s="288">
        <f>LOOKUP(A4, 'Mortality Table'!A:A,('Mortality Table'!N:N/'Mortality Table'!M:M))</f>
        <v>6.9252495662906549E-4</v>
      </c>
      <c r="DT4" s="288">
        <f t="shared" ref="DT4:DT67" si="6">IF(A$1=0,0,ABS(DS4-DR4))</f>
        <v>1.3904495468587393E-4</v>
      </c>
    </row>
    <row r="5" spans="1:124">
      <c r="A5" s="288">
        <v>2</v>
      </c>
      <c r="B5" s="288">
        <v>4.7447429257902016E-4</v>
      </c>
      <c r="C5" s="288">
        <f t="shared" si="2"/>
        <v>0</v>
      </c>
      <c r="D5" s="288">
        <f t="shared" si="0"/>
        <v>0</v>
      </c>
      <c r="E5" s="288">
        <f t="shared" si="0"/>
        <v>0</v>
      </c>
      <c r="F5" s="288">
        <f t="shared" si="0"/>
        <v>0</v>
      </c>
      <c r="G5" s="288">
        <f t="shared" si="0"/>
        <v>0</v>
      </c>
      <c r="H5" s="288">
        <f t="shared" si="0"/>
        <v>0</v>
      </c>
      <c r="I5" s="288">
        <f t="shared" si="0"/>
        <v>0</v>
      </c>
      <c r="J5" s="288">
        <f t="shared" si="0"/>
        <v>0</v>
      </c>
      <c r="K5" s="288">
        <f t="shared" si="0"/>
        <v>0</v>
      </c>
      <c r="L5" s="288">
        <f t="shared" si="0"/>
        <v>0</v>
      </c>
      <c r="M5" s="288">
        <f t="shared" si="0"/>
        <v>0</v>
      </c>
      <c r="N5" s="288">
        <f t="shared" si="0"/>
        <v>0</v>
      </c>
      <c r="O5" s="288">
        <f t="shared" si="0"/>
        <v>0</v>
      </c>
      <c r="P5" s="288">
        <f t="shared" si="0"/>
        <v>0</v>
      </c>
      <c r="Q5" s="288">
        <f t="shared" si="0"/>
        <v>0</v>
      </c>
      <c r="R5" s="288">
        <f t="shared" si="0"/>
        <v>0</v>
      </c>
      <c r="S5" s="288">
        <f t="shared" si="0"/>
        <v>0</v>
      </c>
      <c r="T5" s="288">
        <f t="shared" si="0"/>
        <v>0</v>
      </c>
      <c r="U5" s="288">
        <f t="shared" si="0"/>
        <v>0</v>
      </c>
      <c r="V5" s="288">
        <f t="shared" si="0"/>
        <v>0</v>
      </c>
      <c r="W5" s="288">
        <f t="shared" si="0"/>
        <v>0</v>
      </c>
      <c r="X5" s="288">
        <f t="shared" si="0"/>
        <v>0</v>
      </c>
      <c r="Y5" s="288">
        <f t="shared" si="0"/>
        <v>0</v>
      </c>
      <c r="Z5" s="288">
        <f t="shared" si="0"/>
        <v>0</v>
      </c>
      <c r="AA5" s="288">
        <f t="shared" si="0"/>
        <v>0</v>
      </c>
      <c r="AB5" s="288">
        <f t="shared" si="0"/>
        <v>0</v>
      </c>
      <c r="AC5" s="288">
        <f t="shared" si="0"/>
        <v>0</v>
      </c>
      <c r="AD5" s="288">
        <f t="shared" si="0"/>
        <v>0</v>
      </c>
      <c r="AE5" s="288">
        <f t="shared" si="0"/>
        <v>0</v>
      </c>
      <c r="AF5" s="288">
        <f t="shared" si="0"/>
        <v>0</v>
      </c>
      <c r="AG5" s="288">
        <f t="shared" si="0"/>
        <v>0</v>
      </c>
      <c r="AH5" s="288">
        <f t="shared" si="0"/>
        <v>0</v>
      </c>
      <c r="AI5" s="288">
        <f t="shared" si="0"/>
        <v>0</v>
      </c>
      <c r="AJ5" s="288">
        <f t="shared" si="0"/>
        <v>0</v>
      </c>
      <c r="AK5" s="288">
        <f t="shared" si="0"/>
        <v>0</v>
      </c>
      <c r="AL5" s="288">
        <f t="shared" si="0"/>
        <v>0</v>
      </c>
      <c r="AM5" s="288">
        <f t="shared" si="0"/>
        <v>0</v>
      </c>
      <c r="AN5" s="288">
        <f t="shared" si="0"/>
        <v>0</v>
      </c>
      <c r="AO5" s="288">
        <f t="shared" si="0"/>
        <v>0</v>
      </c>
      <c r="AP5" s="288">
        <f t="shared" si="0"/>
        <v>0</v>
      </c>
      <c r="AQ5" s="288">
        <f t="shared" si="0"/>
        <v>0</v>
      </c>
      <c r="AR5" s="288">
        <f t="shared" si="0"/>
        <v>0</v>
      </c>
      <c r="AS5" s="288">
        <f t="shared" si="0"/>
        <v>0</v>
      </c>
      <c r="AT5" s="288">
        <f t="shared" si="0"/>
        <v>0</v>
      </c>
      <c r="AU5" s="288">
        <f t="shared" si="0"/>
        <v>0</v>
      </c>
      <c r="AV5" s="288">
        <f t="shared" si="0"/>
        <v>0</v>
      </c>
      <c r="AW5" s="288">
        <f t="shared" si="0"/>
        <v>0</v>
      </c>
      <c r="AX5" s="288">
        <f t="shared" si="0"/>
        <v>0</v>
      </c>
      <c r="AY5" s="288">
        <f t="shared" si="0"/>
        <v>0</v>
      </c>
      <c r="AZ5" s="288">
        <f t="shared" si="0"/>
        <v>0</v>
      </c>
      <c r="BA5" s="288">
        <f t="shared" si="0"/>
        <v>0</v>
      </c>
      <c r="BB5" s="288">
        <f t="shared" si="0"/>
        <v>0</v>
      </c>
      <c r="BC5" s="288">
        <f t="shared" si="0"/>
        <v>0</v>
      </c>
      <c r="BD5" s="288">
        <f t="shared" si="0"/>
        <v>0</v>
      </c>
      <c r="BE5" s="288">
        <f t="shared" si="0"/>
        <v>0</v>
      </c>
      <c r="BF5" s="288">
        <f t="shared" si="0"/>
        <v>0</v>
      </c>
      <c r="BG5" s="288">
        <f t="shared" si="0"/>
        <v>0</v>
      </c>
      <c r="BH5" s="288">
        <f t="shared" si="0"/>
        <v>0</v>
      </c>
      <c r="BI5" s="288">
        <f t="shared" si="0"/>
        <v>0</v>
      </c>
      <c r="BJ5" s="288">
        <f t="shared" si="0"/>
        <v>0</v>
      </c>
      <c r="BK5" s="288">
        <f t="shared" si="0"/>
        <v>0</v>
      </c>
      <c r="BL5" s="288">
        <f t="shared" si="0"/>
        <v>0</v>
      </c>
      <c r="BM5" s="288">
        <f t="shared" si="0"/>
        <v>0</v>
      </c>
      <c r="BN5" s="288">
        <f t="shared" si="0"/>
        <v>0</v>
      </c>
      <c r="BO5" s="288">
        <f t="shared" si="0"/>
        <v>0</v>
      </c>
      <c r="BP5" s="288">
        <f t="shared" si="1"/>
        <v>0</v>
      </c>
      <c r="BQ5" s="288">
        <f t="shared" si="1"/>
        <v>0</v>
      </c>
      <c r="BR5" s="288">
        <f t="shared" si="1"/>
        <v>0</v>
      </c>
      <c r="BS5" s="288">
        <f t="shared" si="1"/>
        <v>0</v>
      </c>
      <c r="BT5" s="288">
        <f t="shared" si="1"/>
        <v>0</v>
      </c>
      <c r="BU5" s="288">
        <f t="shared" si="1"/>
        <v>0</v>
      </c>
      <c r="BV5" s="288">
        <f t="shared" si="1"/>
        <v>0</v>
      </c>
      <c r="BW5" s="288">
        <f t="shared" si="1"/>
        <v>0</v>
      </c>
      <c r="BX5" s="288">
        <f t="shared" si="1"/>
        <v>0</v>
      </c>
      <c r="BY5" s="288">
        <f t="shared" si="1"/>
        <v>0</v>
      </c>
      <c r="BZ5" s="288">
        <f t="shared" si="1"/>
        <v>0</v>
      </c>
      <c r="CA5" s="288">
        <f t="shared" si="1"/>
        <v>0</v>
      </c>
      <c r="CB5" s="288">
        <f t="shared" si="1"/>
        <v>0</v>
      </c>
      <c r="CC5" s="288">
        <f t="shared" si="1"/>
        <v>0</v>
      </c>
      <c r="CD5" s="288">
        <f t="shared" si="1"/>
        <v>0</v>
      </c>
      <c r="CE5" s="288">
        <f t="shared" si="1"/>
        <v>0</v>
      </c>
      <c r="CF5" s="288">
        <f t="shared" si="1"/>
        <v>0</v>
      </c>
      <c r="CG5" s="288">
        <f t="shared" si="1"/>
        <v>0</v>
      </c>
      <c r="CH5" s="288">
        <f t="shared" si="1"/>
        <v>0</v>
      </c>
      <c r="CI5" s="288">
        <f t="shared" si="1"/>
        <v>0</v>
      </c>
      <c r="CJ5" s="288">
        <f t="shared" si="1"/>
        <v>0</v>
      </c>
      <c r="CK5" s="288">
        <f t="shared" si="1"/>
        <v>0</v>
      </c>
      <c r="CL5" s="288">
        <f t="shared" si="1"/>
        <v>0</v>
      </c>
      <c r="CM5" s="288">
        <f t="shared" si="1"/>
        <v>0</v>
      </c>
      <c r="CN5" s="288">
        <f t="shared" si="1"/>
        <v>0</v>
      </c>
      <c r="CO5" s="288">
        <f t="shared" si="1"/>
        <v>0</v>
      </c>
      <c r="CP5" s="288">
        <f t="shared" si="1"/>
        <v>0</v>
      </c>
      <c r="CQ5" s="288">
        <f t="shared" si="1"/>
        <v>0</v>
      </c>
      <c r="CR5" s="288">
        <f t="shared" si="1"/>
        <v>0</v>
      </c>
      <c r="CS5" s="288">
        <f t="shared" si="1"/>
        <v>0</v>
      </c>
      <c r="CT5" s="288">
        <f t="shared" si="1"/>
        <v>0</v>
      </c>
      <c r="CU5" s="288">
        <f t="shared" si="1"/>
        <v>0</v>
      </c>
      <c r="CV5" s="288">
        <f t="shared" si="1"/>
        <v>0</v>
      </c>
      <c r="CW5" s="288">
        <f t="shared" si="1"/>
        <v>0</v>
      </c>
      <c r="CX5" s="288">
        <f t="shared" si="1"/>
        <v>0</v>
      </c>
      <c r="CY5" s="288">
        <f t="shared" si="1"/>
        <v>0</v>
      </c>
      <c r="CZ5" s="288">
        <f t="shared" si="1"/>
        <v>0</v>
      </c>
      <c r="DA5" s="288">
        <f t="shared" si="1"/>
        <v>0</v>
      </c>
      <c r="DB5" s="288">
        <f t="shared" si="1"/>
        <v>0</v>
      </c>
      <c r="DC5" s="288">
        <f t="shared" si="1"/>
        <v>0</v>
      </c>
      <c r="DD5" s="288">
        <f t="shared" si="1"/>
        <v>0</v>
      </c>
      <c r="DE5" s="288">
        <f t="shared" si="1"/>
        <v>0</v>
      </c>
      <c r="DG5" s="314">
        <f t="shared" si="3"/>
        <v>16</v>
      </c>
      <c r="DH5" s="289">
        <f>MAX(E$3:E$109)</f>
        <v>16</v>
      </c>
      <c r="DJ5" s="288">
        <f>LOOKUP(DH5, 'Mortality Table'!A:A,('Mortality Table'!J:J/'Mortality Table'!I:I))</f>
        <v>5.6913711465634642E-4</v>
      </c>
      <c r="DK5" s="288">
        <f>LOOKUP(A5, 'Mortality Table'!A:A,('Mortality Table'!J:J/'Mortality Table'!I:I))</f>
        <v>4.3678899059350888E-4</v>
      </c>
      <c r="DL5" s="288">
        <f t="shared" si="4"/>
        <v>1.3234812406283755E-4</v>
      </c>
      <c r="DN5" s="288">
        <f>LOOKUP(DH5, 'Mortality Table'!A:A,('Mortality Table'!L:L/'Mortality Table'!K:K))</f>
        <v>5.7651284930786519E-4</v>
      </c>
      <c r="DO5" s="288">
        <f>LOOKUP(A5, 'Mortality Table'!A:A,('Mortality Table'!L:L/'Mortality Table'!K:K))</f>
        <v>4.4244955921635777E-4</v>
      </c>
      <c r="DP5" s="288">
        <f t="shared" si="5"/>
        <v>1.3406329009150742E-4</v>
      </c>
      <c r="DR5" s="288">
        <f>LOOKUP(DH5, 'Mortality Table'!A:A,('Mortality Table'!N:N/'Mortality Table'!M:M))</f>
        <v>5.8946981203422753E-4</v>
      </c>
      <c r="DS5" s="288">
        <f>LOOKUP(A5, 'Mortality Table'!A:A,('Mortality Table'!N:N/'Mortality Table'!M:M))</f>
        <v>4.5239348753286325E-4</v>
      </c>
      <c r="DT5" s="288">
        <f t="shared" si="6"/>
        <v>1.3707632450136428E-4</v>
      </c>
    </row>
    <row r="6" spans="1:124">
      <c r="A6" s="288">
        <v>3</v>
      </c>
      <c r="B6" s="288">
        <v>3.332996667003333E-4</v>
      </c>
      <c r="C6" s="288">
        <f t="shared" si="2"/>
        <v>0</v>
      </c>
      <c r="D6" s="288">
        <f t="shared" si="0"/>
        <v>0</v>
      </c>
      <c r="E6" s="288">
        <f t="shared" si="0"/>
        <v>0</v>
      </c>
      <c r="F6" s="288">
        <f t="shared" si="0"/>
        <v>0</v>
      </c>
      <c r="G6" s="288">
        <f t="shared" si="0"/>
        <v>0</v>
      </c>
      <c r="H6" s="288">
        <f t="shared" si="0"/>
        <v>0</v>
      </c>
      <c r="I6" s="288">
        <f t="shared" si="0"/>
        <v>0</v>
      </c>
      <c r="J6" s="288">
        <f t="shared" si="0"/>
        <v>0</v>
      </c>
      <c r="K6" s="288">
        <f t="shared" si="0"/>
        <v>0</v>
      </c>
      <c r="L6" s="288">
        <f t="shared" si="0"/>
        <v>0</v>
      </c>
      <c r="M6" s="288">
        <f t="shared" si="0"/>
        <v>0</v>
      </c>
      <c r="N6" s="288">
        <f t="shared" si="0"/>
        <v>0</v>
      </c>
      <c r="O6" s="288">
        <f t="shared" si="0"/>
        <v>0</v>
      </c>
      <c r="P6" s="288">
        <f t="shared" si="0"/>
        <v>0</v>
      </c>
      <c r="Q6" s="288">
        <f t="shared" si="0"/>
        <v>0</v>
      </c>
      <c r="R6" s="288">
        <f t="shared" si="0"/>
        <v>0</v>
      </c>
      <c r="S6" s="288">
        <f t="shared" si="0"/>
        <v>0</v>
      </c>
      <c r="T6" s="288">
        <f t="shared" si="0"/>
        <v>0</v>
      </c>
      <c r="U6" s="288">
        <f t="shared" si="0"/>
        <v>0</v>
      </c>
      <c r="V6" s="288">
        <f t="shared" si="0"/>
        <v>0</v>
      </c>
      <c r="W6" s="288">
        <f t="shared" si="0"/>
        <v>0</v>
      </c>
      <c r="X6" s="288">
        <f t="shared" si="0"/>
        <v>0</v>
      </c>
      <c r="Y6" s="288">
        <f t="shared" si="0"/>
        <v>0</v>
      </c>
      <c r="Z6" s="288">
        <f t="shared" si="0"/>
        <v>0</v>
      </c>
      <c r="AA6" s="288">
        <f t="shared" si="0"/>
        <v>0</v>
      </c>
      <c r="AB6" s="288">
        <f t="shared" si="0"/>
        <v>0</v>
      </c>
      <c r="AC6" s="288">
        <f t="shared" si="0"/>
        <v>0</v>
      </c>
      <c r="AD6" s="288">
        <f t="shared" si="0"/>
        <v>0</v>
      </c>
      <c r="AE6" s="288">
        <f t="shared" si="0"/>
        <v>0</v>
      </c>
      <c r="AF6" s="288">
        <f t="shared" si="0"/>
        <v>0</v>
      </c>
      <c r="AG6" s="288">
        <f t="shared" si="0"/>
        <v>0</v>
      </c>
      <c r="AH6" s="288">
        <f t="shared" si="0"/>
        <v>0</v>
      </c>
      <c r="AI6" s="288">
        <f t="shared" si="0"/>
        <v>0</v>
      </c>
      <c r="AJ6" s="288">
        <f t="shared" si="0"/>
        <v>0</v>
      </c>
      <c r="AK6" s="288">
        <f t="shared" si="0"/>
        <v>0</v>
      </c>
      <c r="AL6" s="288">
        <f t="shared" si="0"/>
        <v>0</v>
      </c>
      <c r="AM6" s="288">
        <f t="shared" si="0"/>
        <v>0</v>
      </c>
      <c r="AN6" s="288">
        <f t="shared" si="0"/>
        <v>0</v>
      </c>
      <c r="AO6" s="288">
        <f t="shared" si="0"/>
        <v>0</v>
      </c>
      <c r="AP6" s="288">
        <f t="shared" si="0"/>
        <v>0</v>
      </c>
      <c r="AQ6" s="288">
        <f t="shared" si="0"/>
        <v>0</v>
      </c>
      <c r="AR6" s="288">
        <f t="shared" si="0"/>
        <v>0</v>
      </c>
      <c r="AS6" s="288">
        <f t="shared" si="0"/>
        <v>0</v>
      </c>
      <c r="AT6" s="288">
        <f t="shared" si="0"/>
        <v>0</v>
      </c>
      <c r="AU6" s="288">
        <f t="shared" si="0"/>
        <v>0</v>
      </c>
      <c r="AV6" s="288">
        <f t="shared" si="0"/>
        <v>0</v>
      </c>
      <c r="AW6" s="288">
        <f t="shared" si="0"/>
        <v>0</v>
      </c>
      <c r="AX6" s="288">
        <f t="shared" si="0"/>
        <v>0</v>
      </c>
      <c r="AY6" s="288">
        <f t="shared" si="0"/>
        <v>0</v>
      </c>
      <c r="AZ6" s="288">
        <f t="shared" si="0"/>
        <v>0</v>
      </c>
      <c r="BA6" s="288">
        <f t="shared" si="0"/>
        <v>0</v>
      </c>
      <c r="BB6" s="288">
        <f t="shared" si="0"/>
        <v>0</v>
      </c>
      <c r="BC6" s="288">
        <f t="shared" si="0"/>
        <v>0</v>
      </c>
      <c r="BD6" s="288">
        <f t="shared" si="0"/>
        <v>0</v>
      </c>
      <c r="BE6" s="288">
        <f t="shared" si="0"/>
        <v>0</v>
      </c>
      <c r="BF6" s="288">
        <f t="shared" si="0"/>
        <v>0</v>
      </c>
      <c r="BG6" s="288">
        <f t="shared" si="0"/>
        <v>0</v>
      </c>
      <c r="BH6" s="288">
        <f t="shared" si="0"/>
        <v>0</v>
      </c>
      <c r="BI6" s="288">
        <f t="shared" si="0"/>
        <v>0</v>
      </c>
      <c r="BJ6" s="288">
        <f t="shared" si="0"/>
        <v>0</v>
      </c>
      <c r="BK6" s="288">
        <f t="shared" si="0"/>
        <v>0</v>
      </c>
      <c r="BL6" s="288">
        <f t="shared" si="0"/>
        <v>0</v>
      </c>
      <c r="BM6" s="288">
        <f t="shared" si="0"/>
        <v>0</v>
      </c>
      <c r="BN6" s="288">
        <f t="shared" si="0"/>
        <v>0</v>
      </c>
      <c r="BO6" s="288">
        <f t="shared" ref="BO6:CD36" si="7">IF(BO$2&gt;$B6,(IF(BO$2&lt;=$B7,(IF(AVERAGE($B6,$B7)&gt;BO$2,$A6,$A7)),0)),0)</f>
        <v>0</v>
      </c>
      <c r="BP6" s="288">
        <f t="shared" si="1"/>
        <v>0</v>
      </c>
      <c r="BQ6" s="288">
        <f t="shared" si="1"/>
        <v>0</v>
      </c>
      <c r="BR6" s="288">
        <f t="shared" si="1"/>
        <v>0</v>
      </c>
      <c r="BS6" s="288">
        <f t="shared" si="1"/>
        <v>0</v>
      </c>
      <c r="BT6" s="288">
        <f t="shared" si="1"/>
        <v>0</v>
      </c>
      <c r="BU6" s="288">
        <f t="shared" si="1"/>
        <v>0</v>
      </c>
      <c r="BV6" s="288">
        <f t="shared" si="1"/>
        <v>0</v>
      </c>
      <c r="BW6" s="288">
        <f t="shared" si="1"/>
        <v>0</v>
      </c>
      <c r="BX6" s="288">
        <f t="shared" si="1"/>
        <v>0</v>
      </c>
      <c r="BY6" s="288">
        <f t="shared" si="1"/>
        <v>0</v>
      </c>
      <c r="BZ6" s="288">
        <f t="shared" si="1"/>
        <v>0</v>
      </c>
      <c r="CA6" s="288">
        <f t="shared" si="1"/>
        <v>0</v>
      </c>
      <c r="CB6" s="288">
        <f t="shared" si="1"/>
        <v>0</v>
      </c>
      <c r="CC6" s="288">
        <f t="shared" si="1"/>
        <v>0</v>
      </c>
      <c r="CD6" s="288">
        <f t="shared" si="1"/>
        <v>0</v>
      </c>
      <c r="CE6" s="288">
        <f t="shared" si="1"/>
        <v>0</v>
      </c>
      <c r="CF6" s="288">
        <f t="shared" si="1"/>
        <v>0</v>
      </c>
      <c r="CG6" s="288">
        <f t="shared" si="1"/>
        <v>0</v>
      </c>
      <c r="CH6" s="288">
        <f t="shared" si="1"/>
        <v>0</v>
      </c>
      <c r="CI6" s="288">
        <f t="shared" si="1"/>
        <v>0</v>
      </c>
      <c r="CJ6" s="288">
        <f t="shared" si="1"/>
        <v>0</v>
      </c>
      <c r="CK6" s="288">
        <f t="shared" si="1"/>
        <v>0</v>
      </c>
      <c r="CL6" s="288">
        <f t="shared" si="1"/>
        <v>0</v>
      </c>
      <c r="CM6" s="288">
        <f t="shared" si="1"/>
        <v>0</v>
      </c>
      <c r="CN6" s="288">
        <f t="shared" si="1"/>
        <v>0</v>
      </c>
      <c r="CO6" s="288">
        <f t="shared" si="1"/>
        <v>0</v>
      </c>
      <c r="CP6" s="288">
        <f t="shared" si="1"/>
        <v>0</v>
      </c>
      <c r="CQ6" s="288">
        <f t="shared" si="1"/>
        <v>0</v>
      </c>
      <c r="CR6" s="288">
        <f t="shared" si="1"/>
        <v>0</v>
      </c>
      <c r="CS6" s="288">
        <f t="shared" si="1"/>
        <v>0</v>
      </c>
      <c r="CT6" s="288">
        <f t="shared" si="1"/>
        <v>0</v>
      </c>
      <c r="CU6" s="288">
        <f t="shared" si="1"/>
        <v>0</v>
      </c>
      <c r="CV6" s="288">
        <f t="shared" si="1"/>
        <v>0</v>
      </c>
      <c r="CW6" s="288">
        <f t="shared" si="1"/>
        <v>0</v>
      </c>
      <c r="CX6" s="288">
        <f t="shared" si="1"/>
        <v>0</v>
      </c>
      <c r="CY6" s="288">
        <f t="shared" si="1"/>
        <v>0</v>
      </c>
      <c r="CZ6" s="288">
        <f t="shared" si="1"/>
        <v>0</v>
      </c>
      <c r="DA6" s="288">
        <f t="shared" si="1"/>
        <v>0</v>
      </c>
      <c r="DB6" s="288">
        <f t="shared" si="1"/>
        <v>0</v>
      </c>
      <c r="DC6" s="288">
        <f t="shared" si="1"/>
        <v>0</v>
      </c>
      <c r="DD6" s="288">
        <f t="shared" si="1"/>
        <v>0</v>
      </c>
      <c r="DE6" s="288">
        <f t="shared" si="1"/>
        <v>0</v>
      </c>
      <c r="DG6" s="314">
        <f t="shared" si="3"/>
        <v>15</v>
      </c>
      <c r="DH6" s="289">
        <f>MAX(F$3:F$109)</f>
        <v>15</v>
      </c>
      <c r="DJ6" s="288">
        <f>LOOKUP(DH6, 'Mortality Table'!A:A,('Mortality Table'!J:J/'Mortality Table'!I:I))</f>
        <v>4.1966384842191998E-4</v>
      </c>
      <c r="DK6" s="288">
        <f>LOOKUP(A6, 'Mortality Table'!A:A,('Mortality Table'!J:J/'Mortality Table'!I:I))</f>
        <v>3.0682721331829789E-4</v>
      </c>
      <c r="DL6" s="288">
        <f t="shared" si="4"/>
        <v>1.1283663510362209E-4</v>
      </c>
      <c r="DN6" s="288">
        <f>LOOKUP(DH6, 'Mortality Table'!A:A,('Mortality Table'!L:L/'Mortality Table'!K:K))</f>
        <v>4.2510248369817348E-4</v>
      </c>
      <c r="DO6" s="288">
        <f>LOOKUP(A6, 'Mortality Table'!A:A,('Mortality Table'!L:L/'Mortality Table'!K:K))</f>
        <v>3.1080354178295477E-4</v>
      </c>
      <c r="DP6" s="288">
        <f t="shared" si="5"/>
        <v>1.1429894191521871E-4</v>
      </c>
      <c r="DR6" s="288">
        <f>LOOKUP(DH6, 'Mortality Table'!A:A,('Mortality Table'!N:N/'Mortality Table'!M:M))</f>
        <v>4.3465654141392791E-4</v>
      </c>
      <c r="DS6" s="288">
        <f>LOOKUP(A6, 'Mortality Table'!A:A,('Mortality Table'!N:N/'Mortality Table'!M:M))</f>
        <v>3.177887632067928E-4</v>
      </c>
      <c r="DT6" s="288">
        <f t="shared" si="6"/>
        <v>1.1686777820713512E-4</v>
      </c>
    </row>
    <row r="7" spans="1:124">
      <c r="A7" s="288">
        <v>4</v>
      </c>
      <c r="B7" s="288">
        <v>2.9299736302373279E-4</v>
      </c>
      <c r="C7" s="288">
        <f t="shared" si="2"/>
        <v>0</v>
      </c>
      <c r="D7" s="288">
        <f t="shared" si="2"/>
        <v>0</v>
      </c>
      <c r="E7" s="288">
        <f t="shared" si="2"/>
        <v>0</v>
      </c>
      <c r="F7" s="288">
        <f t="shared" si="2"/>
        <v>0</v>
      </c>
      <c r="G7" s="288">
        <f t="shared" si="2"/>
        <v>0</v>
      </c>
      <c r="H7" s="288">
        <f t="shared" si="2"/>
        <v>0</v>
      </c>
      <c r="I7" s="288">
        <f t="shared" si="2"/>
        <v>0</v>
      </c>
      <c r="J7" s="288">
        <f t="shared" si="2"/>
        <v>0</v>
      </c>
      <c r="K7" s="288">
        <f t="shared" si="2"/>
        <v>0</v>
      </c>
      <c r="L7" s="288">
        <f t="shared" si="2"/>
        <v>0</v>
      </c>
      <c r="M7" s="288">
        <f t="shared" si="2"/>
        <v>0</v>
      </c>
      <c r="N7" s="288">
        <f t="shared" si="2"/>
        <v>0</v>
      </c>
      <c r="O7" s="288">
        <f t="shared" si="2"/>
        <v>0</v>
      </c>
      <c r="P7" s="288">
        <f t="shared" si="2"/>
        <v>0</v>
      </c>
      <c r="Q7" s="288">
        <f t="shared" si="2"/>
        <v>0</v>
      </c>
      <c r="R7" s="288">
        <f t="shared" si="2"/>
        <v>0</v>
      </c>
      <c r="S7" s="288">
        <f t="shared" ref="S7:AH22" si="8">IF(S$2&gt;$B7,(IF(S$2&lt;=$B8,(IF(AVERAGE($B7,$B8)&gt;S$2,$A7,$A8)),0)),0)</f>
        <v>0</v>
      </c>
      <c r="T7" s="288">
        <f t="shared" si="8"/>
        <v>0</v>
      </c>
      <c r="U7" s="288">
        <f t="shared" si="8"/>
        <v>0</v>
      </c>
      <c r="V7" s="288">
        <f t="shared" si="8"/>
        <v>0</v>
      </c>
      <c r="W7" s="288">
        <f t="shared" si="8"/>
        <v>0</v>
      </c>
      <c r="X7" s="288">
        <f t="shared" si="8"/>
        <v>0</v>
      </c>
      <c r="Y7" s="288">
        <f t="shared" si="8"/>
        <v>0</v>
      </c>
      <c r="Z7" s="288">
        <f t="shared" si="8"/>
        <v>0</v>
      </c>
      <c r="AA7" s="288">
        <f t="shared" si="8"/>
        <v>0</v>
      </c>
      <c r="AB7" s="288">
        <f t="shared" si="8"/>
        <v>0</v>
      </c>
      <c r="AC7" s="288">
        <f t="shared" si="8"/>
        <v>0</v>
      </c>
      <c r="AD7" s="288">
        <f t="shared" si="8"/>
        <v>0</v>
      </c>
      <c r="AE7" s="288">
        <f t="shared" si="8"/>
        <v>0</v>
      </c>
      <c r="AF7" s="288">
        <f t="shared" si="8"/>
        <v>0</v>
      </c>
      <c r="AG7" s="288">
        <f t="shared" si="8"/>
        <v>0</v>
      </c>
      <c r="AH7" s="288">
        <f t="shared" si="8"/>
        <v>0</v>
      </c>
      <c r="AI7" s="288">
        <f t="shared" ref="AI7:AX22" si="9">IF(AI$2&gt;$B7,(IF(AI$2&lt;=$B8,(IF(AVERAGE($B7,$B8)&gt;AI$2,$A7,$A8)),0)),0)</f>
        <v>0</v>
      </c>
      <c r="AJ7" s="288">
        <f t="shared" si="9"/>
        <v>0</v>
      </c>
      <c r="AK7" s="288">
        <f t="shared" si="9"/>
        <v>0</v>
      </c>
      <c r="AL7" s="288">
        <f t="shared" si="9"/>
        <v>0</v>
      </c>
      <c r="AM7" s="288">
        <f t="shared" si="9"/>
        <v>0</v>
      </c>
      <c r="AN7" s="288">
        <f t="shared" si="9"/>
        <v>0</v>
      </c>
      <c r="AO7" s="288">
        <f t="shared" si="9"/>
        <v>0</v>
      </c>
      <c r="AP7" s="288">
        <f t="shared" si="9"/>
        <v>0</v>
      </c>
      <c r="AQ7" s="288">
        <f t="shared" si="9"/>
        <v>0</v>
      </c>
      <c r="AR7" s="288">
        <f t="shared" si="9"/>
        <v>0</v>
      </c>
      <c r="AS7" s="288">
        <f t="shared" si="9"/>
        <v>0</v>
      </c>
      <c r="AT7" s="288">
        <f t="shared" si="9"/>
        <v>0</v>
      </c>
      <c r="AU7" s="288">
        <f t="shared" si="9"/>
        <v>0</v>
      </c>
      <c r="AV7" s="288">
        <f t="shared" si="9"/>
        <v>0</v>
      </c>
      <c r="AW7" s="288">
        <f t="shared" si="9"/>
        <v>0</v>
      </c>
      <c r="AX7" s="288">
        <f t="shared" si="9"/>
        <v>0</v>
      </c>
      <c r="AY7" s="288">
        <f t="shared" ref="AY7:BN22" si="10">IF(AY$2&gt;$B7,(IF(AY$2&lt;=$B8,(IF(AVERAGE($B7,$B8)&gt;AY$2,$A7,$A8)),0)),0)</f>
        <v>0</v>
      </c>
      <c r="AZ7" s="288">
        <f t="shared" si="10"/>
        <v>0</v>
      </c>
      <c r="BA7" s="288">
        <f t="shared" si="10"/>
        <v>0</v>
      </c>
      <c r="BB7" s="288">
        <f t="shared" si="10"/>
        <v>0</v>
      </c>
      <c r="BC7" s="288">
        <f t="shared" si="10"/>
        <v>0</v>
      </c>
      <c r="BD7" s="288">
        <f t="shared" si="10"/>
        <v>0</v>
      </c>
      <c r="BE7" s="288">
        <f t="shared" si="10"/>
        <v>0</v>
      </c>
      <c r="BF7" s="288">
        <f t="shared" si="10"/>
        <v>0</v>
      </c>
      <c r="BG7" s="288">
        <f t="shared" si="10"/>
        <v>0</v>
      </c>
      <c r="BH7" s="288">
        <f t="shared" si="10"/>
        <v>0</v>
      </c>
      <c r="BI7" s="288">
        <f t="shared" si="10"/>
        <v>0</v>
      </c>
      <c r="BJ7" s="288">
        <f t="shared" si="10"/>
        <v>0</v>
      </c>
      <c r="BK7" s="288">
        <f t="shared" si="10"/>
        <v>0</v>
      </c>
      <c r="BL7" s="288">
        <f t="shared" si="10"/>
        <v>0</v>
      </c>
      <c r="BM7" s="288">
        <f t="shared" si="10"/>
        <v>0</v>
      </c>
      <c r="BN7" s="288">
        <f t="shared" si="10"/>
        <v>0</v>
      </c>
      <c r="BO7" s="288">
        <f t="shared" si="7"/>
        <v>0</v>
      </c>
      <c r="BP7" s="288">
        <f t="shared" si="1"/>
        <v>0</v>
      </c>
      <c r="BQ7" s="288">
        <f t="shared" si="1"/>
        <v>0</v>
      </c>
      <c r="BR7" s="288">
        <f t="shared" si="1"/>
        <v>0</v>
      </c>
      <c r="BS7" s="288">
        <f t="shared" si="1"/>
        <v>0</v>
      </c>
      <c r="BT7" s="288">
        <f t="shared" si="1"/>
        <v>0</v>
      </c>
      <c r="BU7" s="288">
        <f t="shared" si="1"/>
        <v>0</v>
      </c>
      <c r="BV7" s="288">
        <f t="shared" si="1"/>
        <v>0</v>
      </c>
      <c r="BW7" s="288">
        <f t="shared" si="1"/>
        <v>0</v>
      </c>
      <c r="BX7" s="288">
        <f t="shared" si="1"/>
        <v>0</v>
      </c>
      <c r="BY7" s="288">
        <f t="shared" si="1"/>
        <v>0</v>
      </c>
      <c r="BZ7" s="288">
        <f t="shared" si="1"/>
        <v>0</v>
      </c>
      <c r="CA7" s="288">
        <f t="shared" si="1"/>
        <v>0</v>
      </c>
      <c r="CB7" s="288">
        <f t="shared" si="1"/>
        <v>0</v>
      </c>
      <c r="CC7" s="288">
        <f t="shared" si="1"/>
        <v>0</v>
      </c>
      <c r="CD7" s="288">
        <f t="shared" si="1"/>
        <v>0</v>
      </c>
      <c r="CE7" s="288">
        <f t="shared" si="1"/>
        <v>0</v>
      </c>
      <c r="CF7" s="288">
        <f t="shared" si="1"/>
        <v>0</v>
      </c>
      <c r="CG7" s="288">
        <f t="shared" si="1"/>
        <v>0</v>
      </c>
      <c r="CH7" s="288">
        <f t="shared" si="1"/>
        <v>0</v>
      </c>
      <c r="CI7" s="288">
        <f t="shared" si="1"/>
        <v>0</v>
      </c>
      <c r="CJ7" s="288">
        <f t="shared" si="1"/>
        <v>0</v>
      </c>
      <c r="CK7" s="288">
        <f t="shared" si="1"/>
        <v>0</v>
      </c>
      <c r="CL7" s="288">
        <f t="shared" si="1"/>
        <v>0</v>
      </c>
      <c r="CM7" s="288">
        <f t="shared" si="1"/>
        <v>0</v>
      </c>
      <c r="CN7" s="288">
        <f t="shared" si="1"/>
        <v>0</v>
      </c>
      <c r="CO7" s="288">
        <f t="shared" si="1"/>
        <v>0</v>
      </c>
      <c r="CP7" s="288">
        <f t="shared" si="1"/>
        <v>0</v>
      </c>
      <c r="CQ7" s="288">
        <f t="shared" si="1"/>
        <v>0</v>
      </c>
      <c r="CR7" s="288">
        <f t="shared" si="1"/>
        <v>0</v>
      </c>
      <c r="CS7" s="288">
        <f t="shared" si="1"/>
        <v>0</v>
      </c>
      <c r="CT7" s="288">
        <f t="shared" si="1"/>
        <v>0</v>
      </c>
      <c r="CU7" s="288">
        <f t="shared" si="1"/>
        <v>0</v>
      </c>
      <c r="CV7" s="288">
        <f t="shared" si="1"/>
        <v>0</v>
      </c>
      <c r="CW7" s="288">
        <f t="shared" si="1"/>
        <v>0</v>
      </c>
      <c r="CX7" s="288">
        <f t="shared" si="1"/>
        <v>0</v>
      </c>
      <c r="CY7" s="288">
        <f t="shared" si="1"/>
        <v>0</v>
      </c>
      <c r="CZ7" s="288">
        <f t="shared" si="1"/>
        <v>0</v>
      </c>
      <c r="DA7" s="288">
        <f t="shared" si="1"/>
        <v>0</v>
      </c>
      <c r="DB7" s="288">
        <f t="shared" si="1"/>
        <v>0</v>
      </c>
      <c r="DC7" s="288">
        <f t="shared" si="1"/>
        <v>0</v>
      </c>
      <c r="DD7" s="288">
        <f t="shared" si="1"/>
        <v>0</v>
      </c>
      <c r="DE7" s="288">
        <f t="shared" si="1"/>
        <v>0</v>
      </c>
      <c r="DG7" s="314">
        <f t="shared" si="3"/>
        <v>14</v>
      </c>
      <c r="DH7" s="289">
        <f>MAX(G$3:G$109)</f>
        <v>14</v>
      </c>
      <c r="DJ7" s="288">
        <f>LOOKUP(DH7, 'Mortality Table'!A:A,('Mortality Table'!J:J/'Mortality Table'!I:I))</f>
        <v>3.0765063943130974E-4</v>
      </c>
      <c r="DK7" s="288">
        <f>LOOKUP(A7, 'Mortality Table'!A:A,('Mortality Table'!J:J/'Mortality Table'!I:I))</f>
        <v>2.6972593551078918E-4</v>
      </c>
      <c r="DL7" s="288">
        <f t="shared" si="4"/>
        <v>3.7924703920520558E-5</v>
      </c>
      <c r="DN7" s="288">
        <f>LOOKUP(DH7, 'Mortality Table'!A:A,('Mortality Table'!L:L/'Mortality Table'!K:K))</f>
        <v>3.1163763908988157E-4</v>
      </c>
      <c r="DO7" s="288">
        <f>LOOKUP(A7, 'Mortality Table'!A:A,('Mortality Table'!L:L/'Mortality Table'!K:K))</f>
        <v>2.7322144982136357E-4</v>
      </c>
      <c r="DP7" s="288">
        <f t="shared" si="5"/>
        <v>3.8416189268518006E-5</v>
      </c>
      <c r="DR7" s="288">
        <f>LOOKUP(DH7, 'Mortality Table'!A:A,('Mortality Table'!N:N/'Mortality Table'!M:M))</f>
        <v>3.1864160661405178E-4</v>
      </c>
      <c r="DS7" s="288">
        <f>LOOKUP(A7, 'Mortality Table'!A:A,('Mortality Table'!N:N/'Mortality Table'!M:M))</f>
        <v>2.7936202439073901E-4</v>
      </c>
      <c r="DT7" s="288">
        <f t="shared" si="6"/>
        <v>3.9279582223312776E-5</v>
      </c>
    </row>
    <row r="8" spans="1:124">
      <c r="A8" s="288">
        <v>5</v>
      </c>
      <c r="B8" s="288">
        <v>2.7287059869830619E-4</v>
      </c>
      <c r="C8" s="288">
        <f t="shared" si="2"/>
        <v>0</v>
      </c>
      <c r="D8" s="288">
        <f t="shared" si="2"/>
        <v>0</v>
      </c>
      <c r="E8" s="288">
        <f t="shared" si="2"/>
        <v>0</v>
      </c>
      <c r="F8" s="288">
        <f t="shared" si="2"/>
        <v>0</v>
      </c>
      <c r="G8" s="288">
        <f t="shared" si="2"/>
        <v>0</v>
      </c>
      <c r="H8" s="288">
        <f t="shared" si="2"/>
        <v>0</v>
      </c>
      <c r="I8" s="288">
        <f t="shared" si="2"/>
        <v>0</v>
      </c>
      <c r="J8" s="288">
        <f t="shared" si="2"/>
        <v>0</v>
      </c>
      <c r="K8" s="288">
        <f t="shared" si="2"/>
        <v>0</v>
      </c>
      <c r="L8" s="288">
        <f t="shared" si="2"/>
        <v>0</v>
      </c>
      <c r="M8" s="288">
        <f t="shared" si="2"/>
        <v>0</v>
      </c>
      <c r="N8" s="288">
        <f t="shared" si="2"/>
        <v>0</v>
      </c>
      <c r="O8" s="288">
        <f t="shared" si="2"/>
        <v>0</v>
      </c>
      <c r="P8" s="288">
        <f t="shared" si="2"/>
        <v>0</v>
      </c>
      <c r="Q8" s="288">
        <f t="shared" si="2"/>
        <v>0</v>
      </c>
      <c r="R8" s="288">
        <f t="shared" si="2"/>
        <v>0</v>
      </c>
      <c r="S8" s="288">
        <f t="shared" si="8"/>
        <v>0</v>
      </c>
      <c r="T8" s="288">
        <f t="shared" si="8"/>
        <v>0</v>
      </c>
      <c r="U8" s="288">
        <f t="shared" si="8"/>
        <v>0</v>
      </c>
      <c r="V8" s="288">
        <f t="shared" si="8"/>
        <v>0</v>
      </c>
      <c r="W8" s="288">
        <f t="shared" si="8"/>
        <v>0</v>
      </c>
      <c r="X8" s="288">
        <f t="shared" si="8"/>
        <v>0</v>
      </c>
      <c r="Y8" s="288">
        <f t="shared" si="8"/>
        <v>0</v>
      </c>
      <c r="Z8" s="288">
        <f t="shared" si="8"/>
        <v>0</v>
      </c>
      <c r="AA8" s="288">
        <f t="shared" si="8"/>
        <v>0</v>
      </c>
      <c r="AB8" s="288">
        <f t="shared" si="8"/>
        <v>0</v>
      </c>
      <c r="AC8" s="288">
        <f t="shared" si="8"/>
        <v>0</v>
      </c>
      <c r="AD8" s="288">
        <f t="shared" si="8"/>
        <v>0</v>
      </c>
      <c r="AE8" s="288">
        <f t="shared" si="8"/>
        <v>0</v>
      </c>
      <c r="AF8" s="288">
        <f t="shared" si="8"/>
        <v>0</v>
      </c>
      <c r="AG8" s="288">
        <f t="shared" si="8"/>
        <v>0</v>
      </c>
      <c r="AH8" s="288">
        <f t="shared" si="8"/>
        <v>0</v>
      </c>
      <c r="AI8" s="288">
        <f t="shared" si="9"/>
        <v>0</v>
      </c>
      <c r="AJ8" s="288">
        <f t="shared" si="9"/>
        <v>0</v>
      </c>
      <c r="AK8" s="288">
        <f t="shared" si="9"/>
        <v>0</v>
      </c>
      <c r="AL8" s="288">
        <f t="shared" si="9"/>
        <v>0</v>
      </c>
      <c r="AM8" s="288">
        <f t="shared" si="9"/>
        <v>0</v>
      </c>
      <c r="AN8" s="288">
        <f t="shared" si="9"/>
        <v>0</v>
      </c>
      <c r="AO8" s="288">
        <f t="shared" si="9"/>
        <v>0</v>
      </c>
      <c r="AP8" s="288">
        <f t="shared" si="9"/>
        <v>0</v>
      </c>
      <c r="AQ8" s="288">
        <f t="shared" si="9"/>
        <v>0</v>
      </c>
      <c r="AR8" s="288">
        <f t="shared" si="9"/>
        <v>0</v>
      </c>
      <c r="AS8" s="288">
        <f t="shared" si="9"/>
        <v>0</v>
      </c>
      <c r="AT8" s="288">
        <f t="shared" si="9"/>
        <v>0</v>
      </c>
      <c r="AU8" s="288">
        <f t="shared" si="9"/>
        <v>0</v>
      </c>
      <c r="AV8" s="288">
        <f t="shared" si="9"/>
        <v>0</v>
      </c>
      <c r="AW8" s="288">
        <f t="shared" si="9"/>
        <v>0</v>
      </c>
      <c r="AX8" s="288">
        <f t="shared" si="9"/>
        <v>0</v>
      </c>
      <c r="AY8" s="288">
        <f t="shared" si="10"/>
        <v>0</v>
      </c>
      <c r="AZ8" s="288">
        <f t="shared" si="10"/>
        <v>0</v>
      </c>
      <c r="BA8" s="288">
        <f t="shared" si="10"/>
        <v>0</v>
      </c>
      <c r="BB8" s="288">
        <f t="shared" si="10"/>
        <v>0</v>
      </c>
      <c r="BC8" s="288">
        <f t="shared" si="10"/>
        <v>0</v>
      </c>
      <c r="BD8" s="288">
        <f t="shared" si="10"/>
        <v>0</v>
      </c>
      <c r="BE8" s="288">
        <f t="shared" si="10"/>
        <v>0</v>
      </c>
      <c r="BF8" s="288">
        <f t="shared" si="10"/>
        <v>0</v>
      </c>
      <c r="BG8" s="288">
        <f t="shared" si="10"/>
        <v>0</v>
      </c>
      <c r="BH8" s="288">
        <f t="shared" si="10"/>
        <v>0</v>
      </c>
      <c r="BI8" s="288">
        <f t="shared" si="10"/>
        <v>0</v>
      </c>
      <c r="BJ8" s="288">
        <f t="shared" si="10"/>
        <v>0</v>
      </c>
      <c r="BK8" s="288">
        <f t="shared" si="10"/>
        <v>0</v>
      </c>
      <c r="BL8" s="288">
        <f t="shared" si="10"/>
        <v>0</v>
      </c>
      <c r="BM8" s="288">
        <f t="shared" si="10"/>
        <v>0</v>
      </c>
      <c r="BN8" s="288">
        <f t="shared" si="10"/>
        <v>0</v>
      </c>
      <c r="BO8" s="288">
        <f t="shared" si="7"/>
        <v>0</v>
      </c>
      <c r="BP8" s="288">
        <f t="shared" si="1"/>
        <v>0</v>
      </c>
      <c r="BQ8" s="288">
        <f t="shared" si="1"/>
        <v>0</v>
      </c>
      <c r="BR8" s="288">
        <f t="shared" si="1"/>
        <v>0</v>
      </c>
      <c r="BS8" s="288">
        <f t="shared" si="1"/>
        <v>0</v>
      </c>
      <c r="BT8" s="288">
        <f t="shared" si="1"/>
        <v>0</v>
      </c>
      <c r="BU8" s="288">
        <f t="shared" si="1"/>
        <v>0</v>
      </c>
      <c r="BV8" s="288">
        <f t="shared" si="1"/>
        <v>0</v>
      </c>
      <c r="BW8" s="288">
        <f t="shared" si="1"/>
        <v>0</v>
      </c>
      <c r="BX8" s="288">
        <f t="shared" si="1"/>
        <v>0</v>
      </c>
      <c r="BY8" s="288">
        <f t="shared" si="1"/>
        <v>0</v>
      </c>
      <c r="BZ8" s="288">
        <f t="shared" si="1"/>
        <v>0</v>
      </c>
      <c r="CA8" s="288">
        <f t="shared" si="1"/>
        <v>0</v>
      </c>
      <c r="CB8" s="288">
        <f t="shared" si="1"/>
        <v>0</v>
      </c>
      <c r="CC8" s="288">
        <f t="shared" si="1"/>
        <v>0</v>
      </c>
      <c r="CD8" s="288">
        <f t="shared" si="1"/>
        <v>0</v>
      </c>
      <c r="CE8" s="288">
        <f t="shared" si="1"/>
        <v>0</v>
      </c>
      <c r="CF8" s="288">
        <f t="shared" si="1"/>
        <v>0</v>
      </c>
      <c r="CG8" s="288">
        <f t="shared" si="1"/>
        <v>0</v>
      </c>
      <c r="CH8" s="288">
        <f t="shared" si="1"/>
        <v>0</v>
      </c>
      <c r="CI8" s="288">
        <f t="shared" si="1"/>
        <v>0</v>
      </c>
      <c r="CJ8" s="288">
        <f t="shared" si="1"/>
        <v>0</v>
      </c>
      <c r="CK8" s="288">
        <f t="shared" si="1"/>
        <v>0</v>
      </c>
      <c r="CL8" s="288">
        <f t="shared" si="1"/>
        <v>0</v>
      </c>
      <c r="CM8" s="288">
        <f t="shared" si="1"/>
        <v>0</v>
      </c>
      <c r="CN8" s="288">
        <f t="shared" si="1"/>
        <v>0</v>
      </c>
      <c r="CO8" s="288">
        <f t="shared" si="1"/>
        <v>0</v>
      </c>
      <c r="CP8" s="288">
        <f t="shared" si="1"/>
        <v>0</v>
      </c>
      <c r="CQ8" s="288">
        <f t="shared" si="1"/>
        <v>0</v>
      </c>
      <c r="CR8" s="288">
        <f t="shared" si="1"/>
        <v>0</v>
      </c>
      <c r="CS8" s="288">
        <f t="shared" si="1"/>
        <v>0</v>
      </c>
      <c r="CT8" s="288">
        <f t="shared" si="1"/>
        <v>0</v>
      </c>
      <c r="CU8" s="288">
        <f t="shared" si="1"/>
        <v>0</v>
      </c>
      <c r="CV8" s="288">
        <f t="shared" si="1"/>
        <v>0</v>
      </c>
      <c r="CW8" s="288">
        <f t="shared" si="1"/>
        <v>0</v>
      </c>
      <c r="CX8" s="288">
        <f t="shared" si="1"/>
        <v>0</v>
      </c>
      <c r="CY8" s="288">
        <f t="shared" si="1"/>
        <v>0</v>
      </c>
      <c r="CZ8" s="288">
        <f t="shared" si="1"/>
        <v>0</v>
      </c>
      <c r="DA8" s="288">
        <f t="shared" si="1"/>
        <v>0</v>
      </c>
      <c r="DB8" s="288">
        <f t="shared" si="1"/>
        <v>0</v>
      </c>
      <c r="DC8" s="288">
        <f t="shared" si="1"/>
        <v>0</v>
      </c>
      <c r="DD8" s="288">
        <f t="shared" si="1"/>
        <v>0</v>
      </c>
      <c r="DE8" s="288">
        <f t="shared" si="1"/>
        <v>0</v>
      </c>
      <c r="DG8" s="314">
        <f t="shared" si="3"/>
        <v>14</v>
      </c>
      <c r="DH8" s="289">
        <f>MAX(H$3:H$109)</f>
        <v>14</v>
      </c>
      <c r="DJ8" s="288">
        <f>LOOKUP(DH8, 'Mortality Table'!A:A,('Mortality Table'!J:J/'Mortality Table'!I:I))</f>
        <v>3.0765063943130974E-4</v>
      </c>
      <c r="DK8" s="288">
        <f>LOOKUP(A8, 'Mortality Table'!A:A,('Mortality Table'!J:J/'Mortality Table'!I:I))</f>
        <v>2.5119774713237993E-4</v>
      </c>
      <c r="DL8" s="288">
        <f t="shared" si="4"/>
        <v>5.6452892298929807E-5</v>
      </c>
      <c r="DN8" s="288">
        <f>LOOKUP(DH8, 'Mortality Table'!A:A,('Mortality Table'!L:L/'Mortality Table'!K:K))</f>
        <v>3.1163763908988157E-4</v>
      </c>
      <c r="DO8" s="288">
        <f>LOOKUP(A8, 'Mortality Table'!A:A,('Mortality Table'!L:L/'Mortality Table'!K:K))</f>
        <v>2.5445314531358362E-4</v>
      </c>
      <c r="DP8" s="288">
        <f t="shared" si="5"/>
        <v>5.7184493776297953E-5</v>
      </c>
      <c r="DR8" s="288">
        <f>LOOKUP(DH8, 'Mortality Table'!A:A,('Mortality Table'!N:N/'Mortality Table'!M:M))</f>
        <v>3.1864160661405178E-4</v>
      </c>
      <c r="DS8" s="288">
        <f>LOOKUP(A8, 'Mortality Table'!A:A,('Mortality Table'!N:N/'Mortality Table'!M:M))</f>
        <v>2.6017190756388197E-4</v>
      </c>
      <c r="DT8" s="288">
        <f t="shared" si="6"/>
        <v>5.8469699050169813E-5</v>
      </c>
    </row>
    <row r="9" spans="1:124">
      <c r="A9" s="288">
        <v>6</v>
      </c>
      <c r="B9" s="288">
        <v>2.426178465644302E-4</v>
      </c>
      <c r="C9" s="288">
        <f t="shared" si="2"/>
        <v>0</v>
      </c>
      <c r="D9" s="288">
        <f t="shared" si="2"/>
        <v>0</v>
      </c>
      <c r="E9" s="288">
        <f t="shared" si="2"/>
        <v>0</v>
      </c>
      <c r="F9" s="288">
        <f t="shared" si="2"/>
        <v>0</v>
      </c>
      <c r="G9" s="288">
        <f t="shared" si="2"/>
        <v>0</v>
      </c>
      <c r="H9" s="288">
        <f t="shared" si="2"/>
        <v>0</v>
      </c>
      <c r="I9" s="288">
        <f t="shared" si="2"/>
        <v>0</v>
      </c>
      <c r="J9" s="288">
        <f t="shared" si="2"/>
        <v>0</v>
      </c>
      <c r="K9" s="288">
        <f t="shared" si="2"/>
        <v>0</v>
      </c>
      <c r="L9" s="288">
        <f t="shared" si="2"/>
        <v>0</v>
      </c>
      <c r="M9" s="288">
        <f t="shared" si="2"/>
        <v>0</v>
      </c>
      <c r="N9" s="288">
        <f t="shared" si="2"/>
        <v>0</v>
      </c>
      <c r="O9" s="288">
        <f t="shared" si="2"/>
        <v>0</v>
      </c>
      <c r="P9" s="288">
        <f t="shared" si="2"/>
        <v>0</v>
      </c>
      <c r="Q9" s="288">
        <f t="shared" si="2"/>
        <v>0</v>
      </c>
      <c r="R9" s="288">
        <f t="shared" si="2"/>
        <v>0</v>
      </c>
      <c r="S9" s="288">
        <f t="shared" si="8"/>
        <v>0</v>
      </c>
      <c r="T9" s="288">
        <f t="shared" si="8"/>
        <v>0</v>
      </c>
      <c r="U9" s="288">
        <f t="shared" si="8"/>
        <v>0</v>
      </c>
      <c r="V9" s="288">
        <f t="shared" si="8"/>
        <v>0</v>
      </c>
      <c r="W9" s="288">
        <f t="shared" si="8"/>
        <v>0</v>
      </c>
      <c r="X9" s="288">
        <f t="shared" si="8"/>
        <v>0</v>
      </c>
      <c r="Y9" s="288">
        <f t="shared" si="8"/>
        <v>0</v>
      </c>
      <c r="Z9" s="288">
        <f t="shared" si="8"/>
        <v>0</v>
      </c>
      <c r="AA9" s="288">
        <f t="shared" si="8"/>
        <v>0</v>
      </c>
      <c r="AB9" s="288">
        <f t="shared" si="8"/>
        <v>0</v>
      </c>
      <c r="AC9" s="288">
        <f t="shared" si="8"/>
        <v>0</v>
      </c>
      <c r="AD9" s="288">
        <f t="shared" si="8"/>
        <v>0</v>
      </c>
      <c r="AE9" s="288">
        <f t="shared" si="8"/>
        <v>0</v>
      </c>
      <c r="AF9" s="288">
        <f t="shared" si="8"/>
        <v>0</v>
      </c>
      <c r="AG9" s="288">
        <f t="shared" si="8"/>
        <v>0</v>
      </c>
      <c r="AH9" s="288">
        <f t="shared" si="8"/>
        <v>0</v>
      </c>
      <c r="AI9" s="288">
        <f t="shared" si="9"/>
        <v>0</v>
      </c>
      <c r="AJ9" s="288">
        <f t="shared" si="9"/>
        <v>0</v>
      </c>
      <c r="AK9" s="288">
        <f t="shared" si="9"/>
        <v>0</v>
      </c>
      <c r="AL9" s="288">
        <f t="shared" si="9"/>
        <v>0</v>
      </c>
      <c r="AM9" s="288">
        <f t="shared" si="9"/>
        <v>0</v>
      </c>
      <c r="AN9" s="288">
        <f t="shared" si="9"/>
        <v>0</v>
      </c>
      <c r="AO9" s="288">
        <f t="shared" si="9"/>
        <v>0</v>
      </c>
      <c r="AP9" s="288">
        <f t="shared" si="9"/>
        <v>0</v>
      </c>
      <c r="AQ9" s="288">
        <f t="shared" si="9"/>
        <v>0</v>
      </c>
      <c r="AR9" s="288">
        <f t="shared" si="9"/>
        <v>0</v>
      </c>
      <c r="AS9" s="288">
        <f t="shared" si="9"/>
        <v>0</v>
      </c>
      <c r="AT9" s="288">
        <f t="shared" si="9"/>
        <v>0</v>
      </c>
      <c r="AU9" s="288">
        <f t="shared" si="9"/>
        <v>0</v>
      </c>
      <c r="AV9" s="288">
        <f t="shared" si="9"/>
        <v>0</v>
      </c>
      <c r="AW9" s="288">
        <f t="shared" si="9"/>
        <v>0</v>
      </c>
      <c r="AX9" s="288">
        <f t="shared" si="9"/>
        <v>0</v>
      </c>
      <c r="AY9" s="288">
        <f t="shared" si="10"/>
        <v>0</v>
      </c>
      <c r="AZ9" s="288">
        <f t="shared" si="10"/>
        <v>0</v>
      </c>
      <c r="BA9" s="288">
        <f t="shared" si="10"/>
        <v>0</v>
      </c>
      <c r="BB9" s="288">
        <f t="shared" si="10"/>
        <v>0</v>
      </c>
      <c r="BC9" s="288">
        <f t="shared" si="10"/>
        <v>0</v>
      </c>
      <c r="BD9" s="288">
        <f t="shared" si="10"/>
        <v>0</v>
      </c>
      <c r="BE9" s="288">
        <f t="shared" si="10"/>
        <v>0</v>
      </c>
      <c r="BF9" s="288">
        <f t="shared" si="10"/>
        <v>0</v>
      </c>
      <c r="BG9" s="288">
        <f t="shared" si="10"/>
        <v>0</v>
      </c>
      <c r="BH9" s="288">
        <f t="shared" si="10"/>
        <v>0</v>
      </c>
      <c r="BI9" s="288">
        <f t="shared" si="10"/>
        <v>0</v>
      </c>
      <c r="BJ9" s="288">
        <f t="shared" si="10"/>
        <v>0</v>
      </c>
      <c r="BK9" s="288">
        <f t="shared" si="10"/>
        <v>0</v>
      </c>
      <c r="BL9" s="288">
        <f t="shared" si="10"/>
        <v>0</v>
      </c>
      <c r="BM9" s="288">
        <f t="shared" si="10"/>
        <v>0</v>
      </c>
      <c r="BN9" s="288">
        <f t="shared" si="10"/>
        <v>0</v>
      </c>
      <c r="BO9" s="288">
        <f t="shared" si="7"/>
        <v>0</v>
      </c>
      <c r="BP9" s="288">
        <f t="shared" si="1"/>
        <v>0</v>
      </c>
      <c r="BQ9" s="288">
        <f t="shared" si="1"/>
        <v>0</v>
      </c>
      <c r="BR9" s="288">
        <f t="shared" si="1"/>
        <v>0</v>
      </c>
      <c r="BS9" s="288">
        <f t="shared" ref="BS9:CH24" si="11">IF(BS$2&gt;$B9,(IF(BS$2&lt;=$B10,(IF(AVERAGE($B9,$B10)&gt;BS$2,$A9,$A10)),0)),0)</f>
        <v>0</v>
      </c>
      <c r="BT9" s="288">
        <f t="shared" si="11"/>
        <v>0</v>
      </c>
      <c r="BU9" s="288">
        <f t="shared" si="11"/>
        <v>0</v>
      </c>
      <c r="BV9" s="288">
        <f t="shared" si="11"/>
        <v>0</v>
      </c>
      <c r="BW9" s="288">
        <f t="shared" si="11"/>
        <v>0</v>
      </c>
      <c r="BX9" s="288">
        <f t="shared" si="11"/>
        <v>0</v>
      </c>
      <c r="BY9" s="288">
        <f t="shared" si="11"/>
        <v>0</v>
      </c>
      <c r="BZ9" s="288">
        <f t="shared" si="11"/>
        <v>0</v>
      </c>
      <c r="CA9" s="288">
        <f t="shared" si="11"/>
        <v>0</v>
      </c>
      <c r="CB9" s="288">
        <f t="shared" si="11"/>
        <v>0</v>
      </c>
      <c r="CC9" s="288">
        <f t="shared" si="11"/>
        <v>0</v>
      </c>
      <c r="CD9" s="288">
        <f t="shared" si="11"/>
        <v>0</v>
      </c>
      <c r="CE9" s="288">
        <f t="shared" si="11"/>
        <v>0</v>
      </c>
      <c r="CF9" s="288">
        <f t="shared" si="11"/>
        <v>0</v>
      </c>
      <c r="CG9" s="288">
        <f t="shared" si="11"/>
        <v>0</v>
      </c>
      <c r="CH9" s="288">
        <f t="shared" si="11"/>
        <v>0</v>
      </c>
      <c r="CI9" s="288">
        <f t="shared" ref="CI9:CX24" si="12">IF(CI$2&gt;$B9,(IF(CI$2&lt;=$B10,(IF(AVERAGE($B9,$B10)&gt;CI$2,$A9,$A10)),0)),0)</f>
        <v>0</v>
      </c>
      <c r="CJ9" s="288">
        <f t="shared" si="12"/>
        <v>0</v>
      </c>
      <c r="CK9" s="288">
        <f t="shared" si="12"/>
        <v>0</v>
      </c>
      <c r="CL9" s="288">
        <f t="shared" si="12"/>
        <v>0</v>
      </c>
      <c r="CM9" s="288">
        <f t="shared" si="12"/>
        <v>0</v>
      </c>
      <c r="CN9" s="288">
        <f t="shared" si="12"/>
        <v>0</v>
      </c>
      <c r="CO9" s="288">
        <f t="shared" si="12"/>
        <v>0</v>
      </c>
      <c r="CP9" s="288">
        <f t="shared" si="12"/>
        <v>0</v>
      </c>
      <c r="CQ9" s="288">
        <f t="shared" si="12"/>
        <v>0</v>
      </c>
      <c r="CR9" s="288">
        <f t="shared" si="12"/>
        <v>0</v>
      </c>
      <c r="CS9" s="288">
        <f t="shared" si="12"/>
        <v>0</v>
      </c>
      <c r="CT9" s="288">
        <f t="shared" si="12"/>
        <v>0</v>
      </c>
      <c r="CU9" s="288">
        <f t="shared" si="12"/>
        <v>0</v>
      </c>
      <c r="CV9" s="288">
        <f t="shared" si="12"/>
        <v>0</v>
      </c>
      <c r="CW9" s="288">
        <f t="shared" si="12"/>
        <v>0</v>
      </c>
      <c r="CX9" s="288">
        <f t="shared" si="12"/>
        <v>0</v>
      </c>
      <c r="CY9" s="288">
        <f t="shared" ref="CY9:DE45" si="13">IF(CY$2&gt;$B9,(IF(CY$2&lt;=$B10,(IF(AVERAGE($B9,$B10)&gt;CY$2,$A9,$A10)),0)),0)</f>
        <v>0</v>
      </c>
      <c r="CZ9" s="288">
        <f t="shared" si="13"/>
        <v>0</v>
      </c>
      <c r="DA9" s="288">
        <f t="shared" si="13"/>
        <v>0</v>
      </c>
      <c r="DB9" s="288">
        <f t="shared" si="13"/>
        <v>0</v>
      </c>
      <c r="DC9" s="288">
        <f t="shared" si="13"/>
        <v>0</v>
      </c>
      <c r="DD9" s="288">
        <f t="shared" si="13"/>
        <v>0</v>
      </c>
      <c r="DE9" s="288">
        <f t="shared" si="13"/>
        <v>0</v>
      </c>
      <c r="DG9" s="314">
        <f t="shared" si="3"/>
        <v>14</v>
      </c>
      <c r="DH9" s="289">
        <f>MAX(I$3:I$109)</f>
        <v>14</v>
      </c>
      <c r="DJ9" s="288">
        <f>LOOKUP(DH9, 'Mortality Table'!A:A,('Mortality Table'!J:J/'Mortality Table'!I:I))</f>
        <v>3.0765063943130974E-4</v>
      </c>
      <c r="DK9" s="288">
        <f>LOOKUP(A9, 'Mortality Table'!A:A,('Mortality Table'!J:J/'Mortality Table'!I:I))</f>
        <v>2.2334783139636442E-4</v>
      </c>
      <c r="DL9" s="288">
        <f t="shared" si="4"/>
        <v>8.4302808034945317E-5</v>
      </c>
      <c r="DN9" s="288">
        <f>LOOKUP(DH9, 'Mortality Table'!A:A,('Mortality Table'!L:L/'Mortality Table'!K:K))</f>
        <v>3.1163763908988157E-4</v>
      </c>
      <c r="DO9" s="288">
        <f>LOOKUP(A9, 'Mortality Table'!A:A,('Mortality Table'!L:L/'Mortality Table'!K:K))</f>
        <v>2.2624230848624187E-4</v>
      </c>
      <c r="DP9" s="288">
        <f t="shared" si="5"/>
        <v>8.5395330603639698E-5</v>
      </c>
      <c r="DR9" s="288">
        <f>LOOKUP(DH9, 'Mortality Table'!A:A,('Mortality Table'!N:N/'Mortality Table'!M:M))</f>
        <v>3.1864160661405178E-4</v>
      </c>
      <c r="DS9" s="288">
        <f>LOOKUP(A9, 'Mortality Table'!A:A,('Mortality Table'!N:N/'Mortality Table'!M:M))</f>
        <v>2.3132704018251143E-4</v>
      </c>
      <c r="DT9" s="288">
        <f t="shared" si="6"/>
        <v>8.7314566431540355E-5</v>
      </c>
    </row>
    <row r="10" spans="1:124">
      <c r="A10" s="288">
        <v>7</v>
      </c>
      <c r="B10" s="288">
        <v>2.1234213373509813E-4</v>
      </c>
      <c r="C10" s="288">
        <f t="shared" si="2"/>
        <v>0</v>
      </c>
      <c r="D10" s="288">
        <f t="shared" si="2"/>
        <v>0</v>
      </c>
      <c r="E10" s="288">
        <f t="shared" si="2"/>
        <v>0</v>
      </c>
      <c r="F10" s="288">
        <f t="shared" si="2"/>
        <v>0</v>
      </c>
      <c r="G10" s="288">
        <f t="shared" si="2"/>
        <v>0</v>
      </c>
      <c r="H10" s="288">
        <f t="shared" si="2"/>
        <v>0</v>
      </c>
      <c r="I10" s="288">
        <f t="shared" si="2"/>
        <v>0</v>
      </c>
      <c r="J10" s="288">
        <f t="shared" si="2"/>
        <v>0</v>
      </c>
      <c r="K10" s="288">
        <f t="shared" si="2"/>
        <v>0</v>
      </c>
      <c r="L10" s="288">
        <f t="shared" si="2"/>
        <v>0</v>
      </c>
      <c r="M10" s="288">
        <f t="shared" si="2"/>
        <v>0</v>
      </c>
      <c r="N10" s="288">
        <f t="shared" si="2"/>
        <v>0</v>
      </c>
      <c r="O10" s="288">
        <f t="shared" si="2"/>
        <v>0</v>
      </c>
      <c r="P10" s="288">
        <f t="shared" si="2"/>
        <v>0</v>
      </c>
      <c r="Q10" s="288">
        <f t="shared" si="2"/>
        <v>0</v>
      </c>
      <c r="R10" s="288">
        <f t="shared" si="2"/>
        <v>0</v>
      </c>
      <c r="S10" s="288">
        <f t="shared" si="8"/>
        <v>0</v>
      </c>
      <c r="T10" s="288">
        <f t="shared" si="8"/>
        <v>0</v>
      </c>
      <c r="U10" s="288">
        <f t="shared" si="8"/>
        <v>0</v>
      </c>
      <c r="V10" s="288">
        <f t="shared" si="8"/>
        <v>0</v>
      </c>
      <c r="W10" s="288">
        <f t="shared" si="8"/>
        <v>0</v>
      </c>
      <c r="X10" s="288">
        <f t="shared" si="8"/>
        <v>0</v>
      </c>
      <c r="Y10" s="288">
        <f t="shared" si="8"/>
        <v>0</v>
      </c>
      <c r="Z10" s="288">
        <f t="shared" si="8"/>
        <v>0</v>
      </c>
      <c r="AA10" s="288">
        <f t="shared" si="8"/>
        <v>0</v>
      </c>
      <c r="AB10" s="288">
        <f t="shared" si="8"/>
        <v>0</v>
      </c>
      <c r="AC10" s="288">
        <f t="shared" si="8"/>
        <v>0</v>
      </c>
      <c r="AD10" s="288">
        <f t="shared" si="8"/>
        <v>0</v>
      </c>
      <c r="AE10" s="288">
        <f t="shared" si="8"/>
        <v>0</v>
      </c>
      <c r="AF10" s="288">
        <f t="shared" si="8"/>
        <v>0</v>
      </c>
      <c r="AG10" s="288">
        <f t="shared" si="8"/>
        <v>0</v>
      </c>
      <c r="AH10" s="288">
        <f t="shared" si="8"/>
        <v>0</v>
      </c>
      <c r="AI10" s="288">
        <f t="shared" si="9"/>
        <v>0</v>
      </c>
      <c r="AJ10" s="288">
        <f t="shared" si="9"/>
        <v>0</v>
      </c>
      <c r="AK10" s="288">
        <f t="shared" si="9"/>
        <v>0</v>
      </c>
      <c r="AL10" s="288">
        <f t="shared" si="9"/>
        <v>0</v>
      </c>
      <c r="AM10" s="288">
        <f t="shared" si="9"/>
        <v>0</v>
      </c>
      <c r="AN10" s="288">
        <f t="shared" si="9"/>
        <v>0</v>
      </c>
      <c r="AO10" s="288">
        <f t="shared" si="9"/>
        <v>0</v>
      </c>
      <c r="AP10" s="288">
        <f t="shared" si="9"/>
        <v>0</v>
      </c>
      <c r="AQ10" s="288">
        <f t="shared" si="9"/>
        <v>0</v>
      </c>
      <c r="AR10" s="288">
        <f t="shared" si="9"/>
        <v>0</v>
      </c>
      <c r="AS10" s="288">
        <f t="shared" si="9"/>
        <v>0</v>
      </c>
      <c r="AT10" s="288">
        <f t="shared" si="9"/>
        <v>0</v>
      </c>
      <c r="AU10" s="288">
        <f t="shared" si="9"/>
        <v>0</v>
      </c>
      <c r="AV10" s="288">
        <f t="shared" si="9"/>
        <v>0</v>
      </c>
      <c r="AW10" s="288">
        <f t="shared" si="9"/>
        <v>0</v>
      </c>
      <c r="AX10" s="288">
        <f t="shared" si="9"/>
        <v>0</v>
      </c>
      <c r="AY10" s="288">
        <f t="shared" si="10"/>
        <v>0</v>
      </c>
      <c r="AZ10" s="288">
        <f t="shared" si="10"/>
        <v>0</v>
      </c>
      <c r="BA10" s="288">
        <f t="shared" si="10"/>
        <v>0</v>
      </c>
      <c r="BB10" s="288">
        <f t="shared" si="10"/>
        <v>0</v>
      </c>
      <c r="BC10" s="288">
        <f t="shared" si="10"/>
        <v>0</v>
      </c>
      <c r="BD10" s="288">
        <f t="shared" si="10"/>
        <v>0</v>
      </c>
      <c r="BE10" s="288">
        <f t="shared" si="10"/>
        <v>0</v>
      </c>
      <c r="BF10" s="288">
        <f t="shared" si="10"/>
        <v>0</v>
      </c>
      <c r="BG10" s="288">
        <f t="shared" si="10"/>
        <v>0</v>
      </c>
      <c r="BH10" s="288">
        <f t="shared" si="10"/>
        <v>0</v>
      </c>
      <c r="BI10" s="288">
        <f t="shared" si="10"/>
        <v>0</v>
      </c>
      <c r="BJ10" s="288">
        <f t="shared" si="10"/>
        <v>0</v>
      </c>
      <c r="BK10" s="288">
        <f t="shared" si="10"/>
        <v>0</v>
      </c>
      <c r="BL10" s="288">
        <f t="shared" si="10"/>
        <v>0</v>
      </c>
      <c r="BM10" s="288">
        <f t="shared" si="10"/>
        <v>0</v>
      </c>
      <c r="BN10" s="288">
        <f t="shared" si="10"/>
        <v>0</v>
      </c>
      <c r="BO10" s="288">
        <f t="shared" si="7"/>
        <v>0</v>
      </c>
      <c r="BP10" s="288">
        <f t="shared" si="7"/>
        <v>0</v>
      </c>
      <c r="BQ10" s="288">
        <f t="shared" si="7"/>
        <v>0</v>
      </c>
      <c r="BR10" s="288">
        <f t="shared" si="7"/>
        <v>0</v>
      </c>
      <c r="BS10" s="288">
        <f t="shared" si="11"/>
        <v>0</v>
      </c>
      <c r="BT10" s="288">
        <f t="shared" si="11"/>
        <v>0</v>
      </c>
      <c r="BU10" s="288">
        <f t="shared" si="11"/>
        <v>0</v>
      </c>
      <c r="BV10" s="288">
        <f t="shared" si="11"/>
        <v>0</v>
      </c>
      <c r="BW10" s="288">
        <f t="shared" si="11"/>
        <v>0</v>
      </c>
      <c r="BX10" s="288">
        <f t="shared" si="11"/>
        <v>0</v>
      </c>
      <c r="BY10" s="288">
        <f t="shared" si="11"/>
        <v>0</v>
      </c>
      <c r="BZ10" s="288">
        <f t="shared" si="11"/>
        <v>0</v>
      </c>
      <c r="CA10" s="288">
        <f t="shared" si="11"/>
        <v>0</v>
      </c>
      <c r="CB10" s="288">
        <f t="shared" si="11"/>
        <v>0</v>
      </c>
      <c r="CC10" s="288">
        <f t="shared" si="11"/>
        <v>0</v>
      </c>
      <c r="CD10" s="288">
        <f t="shared" si="11"/>
        <v>0</v>
      </c>
      <c r="CE10" s="288">
        <f t="shared" si="11"/>
        <v>0</v>
      </c>
      <c r="CF10" s="288">
        <f t="shared" si="11"/>
        <v>0</v>
      </c>
      <c r="CG10" s="288">
        <f t="shared" si="11"/>
        <v>0</v>
      </c>
      <c r="CH10" s="288">
        <f t="shared" si="11"/>
        <v>0</v>
      </c>
      <c r="CI10" s="288">
        <f t="shared" si="12"/>
        <v>0</v>
      </c>
      <c r="CJ10" s="288">
        <f t="shared" si="12"/>
        <v>0</v>
      </c>
      <c r="CK10" s="288">
        <f t="shared" si="12"/>
        <v>0</v>
      </c>
      <c r="CL10" s="288">
        <f t="shared" si="12"/>
        <v>0</v>
      </c>
      <c r="CM10" s="288">
        <f t="shared" si="12"/>
        <v>0</v>
      </c>
      <c r="CN10" s="288">
        <f t="shared" si="12"/>
        <v>0</v>
      </c>
      <c r="CO10" s="288">
        <f t="shared" si="12"/>
        <v>0</v>
      </c>
      <c r="CP10" s="288">
        <f t="shared" si="12"/>
        <v>0</v>
      </c>
      <c r="CQ10" s="288">
        <f t="shared" si="12"/>
        <v>0</v>
      </c>
      <c r="CR10" s="288">
        <f t="shared" si="12"/>
        <v>0</v>
      </c>
      <c r="CS10" s="288">
        <f t="shared" si="12"/>
        <v>0</v>
      </c>
      <c r="CT10" s="288">
        <f t="shared" si="12"/>
        <v>0</v>
      </c>
      <c r="CU10" s="288">
        <f t="shared" si="12"/>
        <v>0</v>
      </c>
      <c r="CV10" s="288">
        <f t="shared" si="12"/>
        <v>0</v>
      </c>
      <c r="CW10" s="288">
        <f t="shared" si="12"/>
        <v>0</v>
      </c>
      <c r="CX10" s="288">
        <f t="shared" si="12"/>
        <v>0</v>
      </c>
      <c r="CY10" s="288">
        <f t="shared" si="13"/>
        <v>0</v>
      </c>
      <c r="CZ10" s="288">
        <f t="shared" si="13"/>
        <v>0</v>
      </c>
      <c r="DA10" s="288">
        <f t="shared" si="13"/>
        <v>0</v>
      </c>
      <c r="DB10" s="288">
        <f t="shared" si="13"/>
        <v>0</v>
      </c>
      <c r="DC10" s="288">
        <f t="shared" si="13"/>
        <v>0</v>
      </c>
      <c r="DD10" s="288">
        <f t="shared" si="13"/>
        <v>0</v>
      </c>
      <c r="DE10" s="288">
        <f t="shared" si="13"/>
        <v>0</v>
      </c>
      <c r="DG10" s="314">
        <f t="shared" si="3"/>
        <v>13</v>
      </c>
      <c r="DH10" s="289">
        <f>MAX(J$3:J$109)</f>
        <v>13</v>
      </c>
      <c r="DJ10" s="288">
        <f>LOOKUP(DH10, 'Mortality Table'!A:A,('Mortality Table'!J:J/'Mortality Table'!I:I))</f>
        <v>2.4232760694289224E-4</v>
      </c>
      <c r="DK10" s="288">
        <f>LOOKUP(A10, 'Mortality Table'!A:A,('Mortality Table'!J:J/'Mortality Table'!I:I))</f>
        <v>1.9547677862690268E-4</v>
      </c>
      <c r="DL10" s="288">
        <f t="shared" si="4"/>
        <v>4.6850828315989556E-5</v>
      </c>
      <c r="DN10" s="288">
        <f>LOOKUP(DH10, 'Mortality Table'!A:A,('Mortality Table'!L:L/'Mortality Table'!K:K))</f>
        <v>2.4546805250780246E-4</v>
      </c>
      <c r="DO10" s="288">
        <f>LOOKUP(A10, 'Mortality Table'!A:A,('Mortality Table'!L:L/'Mortality Table'!K:K))</f>
        <v>1.9801006069998674E-4</v>
      </c>
      <c r="DP10" s="288">
        <f t="shared" si="5"/>
        <v>4.7457991807815716E-5</v>
      </c>
      <c r="DR10" s="288">
        <f>LOOKUP(DH10, 'Mortality Table'!A:A,('Mortality Table'!N:N/'Mortality Table'!M:M))</f>
        <v>2.5098487734644175E-4</v>
      </c>
      <c r="DS10" s="288">
        <f>LOOKUP(A10, 'Mortality Table'!A:A,('Mortality Table'!N:N/'Mortality Table'!M:M))</f>
        <v>2.0246028063700049E-4</v>
      </c>
      <c r="DT10" s="288">
        <f t="shared" si="6"/>
        <v>4.8524596709441256E-5</v>
      </c>
    </row>
    <row r="11" spans="1:124">
      <c r="A11" s="288">
        <v>8</v>
      </c>
      <c r="B11" s="288">
        <v>2.1238723249322384E-4</v>
      </c>
      <c r="C11" s="288">
        <f t="shared" si="2"/>
        <v>0</v>
      </c>
      <c r="D11" s="288">
        <f t="shared" si="2"/>
        <v>0</v>
      </c>
      <c r="E11" s="288">
        <f t="shared" si="2"/>
        <v>0</v>
      </c>
      <c r="F11" s="288">
        <f t="shared" si="2"/>
        <v>0</v>
      </c>
      <c r="G11" s="288">
        <f t="shared" si="2"/>
        <v>0</v>
      </c>
      <c r="H11" s="288">
        <f t="shared" si="2"/>
        <v>0</v>
      </c>
      <c r="I11" s="288">
        <f t="shared" si="2"/>
        <v>0</v>
      </c>
      <c r="J11" s="288">
        <f t="shared" si="2"/>
        <v>0</v>
      </c>
      <c r="K11" s="288">
        <f t="shared" si="2"/>
        <v>0</v>
      </c>
      <c r="L11" s="288">
        <f t="shared" si="2"/>
        <v>0</v>
      </c>
      <c r="M11" s="288">
        <f t="shared" si="2"/>
        <v>0</v>
      </c>
      <c r="N11" s="288">
        <f t="shared" si="2"/>
        <v>0</v>
      </c>
      <c r="O11" s="288">
        <f t="shared" si="2"/>
        <v>0</v>
      </c>
      <c r="P11" s="288">
        <f t="shared" si="2"/>
        <v>0</v>
      </c>
      <c r="Q11" s="288">
        <f t="shared" si="2"/>
        <v>0</v>
      </c>
      <c r="R11" s="288">
        <f t="shared" si="2"/>
        <v>0</v>
      </c>
      <c r="S11" s="288">
        <f t="shared" si="8"/>
        <v>0</v>
      </c>
      <c r="T11" s="288">
        <f t="shared" si="8"/>
        <v>0</v>
      </c>
      <c r="U11" s="288">
        <f t="shared" si="8"/>
        <v>0</v>
      </c>
      <c r="V11" s="288">
        <f t="shared" si="8"/>
        <v>0</v>
      </c>
      <c r="W11" s="288">
        <f t="shared" si="8"/>
        <v>0</v>
      </c>
      <c r="X11" s="288">
        <f t="shared" si="8"/>
        <v>0</v>
      </c>
      <c r="Y11" s="288">
        <f t="shared" si="8"/>
        <v>0</v>
      </c>
      <c r="Z11" s="288">
        <f t="shared" si="8"/>
        <v>0</v>
      </c>
      <c r="AA11" s="288">
        <f t="shared" si="8"/>
        <v>0</v>
      </c>
      <c r="AB11" s="288">
        <f t="shared" si="8"/>
        <v>0</v>
      </c>
      <c r="AC11" s="288">
        <f t="shared" si="8"/>
        <v>0</v>
      </c>
      <c r="AD11" s="288">
        <f t="shared" si="8"/>
        <v>0</v>
      </c>
      <c r="AE11" s="288">
        <f t="shared" si="8"/>
        <v>0</v>
      </c>
      <c r="AF11" s="288">
        <f t="shared" si="8"/>
        <v>0</v>
      </c>
      <c r="AG11" s="288">
        <f t="shared" si="8"/>
        <v>0</v>
      </c>
      <c r="AH11" s="288">
        <f t="shared" si="8"/>
        <v>0</v>
      </c>
      <c r="AI11" s="288">
        <f t="shared" si="9"/>
        <v>0</v>
      </c>
      <c r="AJ11" s="288">
        <f t="shared" si="9"/>
        <v>0</v>
      </c>
      <c r="AK11" s="288">
        <f t="shared" si="9"/>
        <v>0</v>
      </c>
      <c r="AL11" s="288">
        <f t="shared" si="9"/>
        <v>0</v>
      </c>
      <c r="AM11" s="288">
        <f t="shared" si="9"/>
        <v>0</v>
      </c>
      <c r="AN11" s="288">
        <f t="shared" si="9"/>
        <v>0</v>
      </c>
      <c r="AO11" s="288">
        <f t="shared" si="9"/>
        <v>0</v>
      </c>
      <c r="AP11" s="288">
        <f t="shared" si="9"/>
        <v>0</v>
      </c>
      <c r="AQ11" s="288">
        <f t="shared" si="9"/>
        <v>0</v>
      </c>
      <c r="AR11" s="288">
        <f t="shared" si="9"/>
        <v>0</v>
      </c>
      <c r="AS11" s="288">
        <f t="shared" si="9"/>
        <v>0</v>
      </c>
      <c r="AT11" s="288">
        <f t="shared" si="9"/>
        <v>0</v>
      </c>
      <c r="AU11" s="288">
        <f t="shared" si="9"/>
        <v>0</v>
      </c>
      <c r="AV11" s="288">
        <f t="shared" si="9"/>
        <v>0</v>
      </c>
      <c r="AW11" s="288">
        <f t="shared" si="9"/>
        <v>0</v>
      </c>
      <c r="AX11" s="288">
        <f t="shared" si="9"/>
        <v>0</v>
      </c>
      <c r="AY11" s="288">
        <f t="shared" si="10"/>
        <v>0</v>
      </c>
      <c r="AZ11" s="288">
        <f t="shared" si="10"/>
        <v>0</v>
      </c>
      <c r="BA11" s="288">
        <f t="shared" si="10"/>
        <v>0</v>
      </c>
      <c r="BB11" s="288">
        <f t="shared" si="10"/>
        <v>0</v>
      </c>
      <c r="BC11" s="288">
        <f t="shared" si="10"/>
        <v>0</v>
      </c>
      <c r="BD11" s="288">
        <f t="shared" si="10"/>
        <v>0</v>
      </c>
      <c r="BE11" s="288">
        <f t="shared" si="10"/>
        <v>0</v>
      </c>
      <c r="BF11" s="288">
        <f t="shared" si="10"/>
        <v>0</v>
      </c>
      <c r="BG11" s="288">
        <f t="shared" si="10"/>
        <v>0</v>
      </c>
      <c r="BH11" s="288">
        <f t="shared" si="10"/>
        <v>0</v>
      </c>
      <c r="BI11" s="288">
        <f t="shared" si="10"/>
        <v>0</v>
      </c>
      <c r="BJ11" s="288">
        <f t="shared" si="10"/>
        <v>0</v>
      </c>
      <c r="BK11" s="288">
        <f t="shared" si="10"/>
        <v>0</v>
      </c>
      <c r="BL11" s="288">
        <f t="shared" si="10"/>
        <v>0</v>
      </c>
      <c r="BM11" s="288">
        <f t="shared" si="10"/>
        <v>0</v>
      </c>
      <c r="BN11" s="288">
        <f t="shared" si="10"/>
        <v>0</v>
      </c>
      <c r="BO11" s="288">
        <f t="shared" si="7"/>
        <v>0</v>
      </c>
      <c r="BP11" s="288">
        <f t="shared" si="7"/>
        <v>0</v>
      </c>
      <c r="BQ11" s="288">
        <f t="shared" si="7"/>
        <v>0</v>
      </c>
      <c r="BR11" s="288">
        <f t="shared" si="7"/>
        <v>0</v>
      </c>
      <c r="BS11" s="288">
        <f t="shared" si="11"/>
        <v>0</v>
      </c>
      <c r="BT11" s="288">
        <f t="shared" si="11"/>
        <v>0</v>
      </c>
      <c r="BU11" s="288">
        <f t="shared" si="11"/>
        <v>0</v>
      </c>
      <c r="BV11" s="288">
        <f t="shared" si="11"/>
        <v>0</v>
      </c>
      <c r="BW11" s="288">
        <f t="shared" si="11"/>
        <v>0</v>
      </c>
      <c r="BX11" s="288">
        <f t="shared" si="11"/>
        <v>0</v>
      </c>
      <c r="BY11" s="288">
        <f t="shared" si="11"/>
        <v>0</v>
      </c>
      <c r="BZ11" s="288">
        <f t="shared" si="11"/>
        <v>0</v>
      </c>
      <c r="CA11" s="288">
        <f t="shared" si="11"/>
        <v>0</v>
      </c>
      <c r="CB11" s="288">
        <f t="shared" si="11"/>
        <v>0</v>
      </c>
      <c r="CC11" s="288">
        <f t="shared" si="11"/>
        <v>0</v>
      </c>
      <c r="CD11" s="288">
        <f t="shared" si="11"/>
        <v>0</v>
      </c>
      <c r="CE11" s="288">
        <f t="shared" si="11"/>
        <v>0</v>
      </c>
      <c r="CF11" s="288">
        <f t="shared" si="11"/>
        <v>0</v>
      </c>
      <c r="CG11" s="288">
        <f t="shared" si="11"/>
        <v>0</v>
      </c>
      <c r="CH11" s="288">
        <f t="shared" si="11"/>
        <v>0</v>
      </c>
      <c r="CI11" s="288">
        <f t="shared" si="12"/>
        <v>0</v>
      </c>
      <c r="CJ11" s="288">
        <f t="shared" si="12"/>
        <v>0</v>
      </c>
      <c r="CK11" s="288">
        <f t="shared" si="12"/>
        <v>0</v>
      </c>
      <c r="CL11" s="288">
        <f t="shared" si="12"/>
        <v>0</v>
      </c>
      <c r="CM11" s="288">
        <f t="shared" si="12"/>
        <v>0</v>
      </c>
      <c r="CN11" s="288">
        <f t="shared" si="12"/>
        <v>0</v>
      </c>
      <c r="CO11" s="288">
        <f t="shared" si="12"/>
        <v>0</v>
      </c>
      <c r="CP11" s="288">
        <f t="shared" si="12"/>
        <v>0</v>
      </c>
      <c r="CQ11" s="288">
        <f t="shared" si="12"/>
        <v>0</v>
      </c>
      <c r="CR11" s="288">
        <f t="shared" si="12"/>
        <v>0</v>
      </c>
      <c r="CS11" s="288">
        <f t="shared" si="12"/>
        <v>0</v>
      </c>
      <c r="CT11" s="288">
        <f t="shared" si="12"/>
        <v>0</v>
      </c>
      <c r="CU11" s="288">
        <f t="shared" si="12"/>
        <v>0</v>
      </c>
      <c r="CV11" s="288">
        <f t="shared" si="12"/>
        <v>0</v>
      </c>
      <c r="CW11" s="288">
        <f t="shared" si="12"/>
        <v>0</v>
      </c>
      <c r="CX11" s="288">
        <f t="shared" si="12"/>
        <v>0</v>
      </c>
      <c r="CY11" s="288">
        <f t="shared" si="13"/>
        <v>0</v>
      </c>
      <c r="CZ11" s="288">
        <f t="shared" si="13"/>
        <v>0</v>
      </c>
      <c r="DA11" s="288">
        <f t="shared" si="13"/>
        <v>0</v>
      </c>
      <c r="DB11" s="288">
        <f t="shared" si="13"/>
        <v>0</v>
      </c>
      <c r="DC11" s="288">
        <f t="shared" si="13"/>
        <v>0</v>
      </c>
      <c r="DD11" s="288">
        <f t="shared" si="13"/>
        <v>0</v>
      </c>
      <c r="DE11" s="288">
        <f t="shared" si="13"/>
        <v>0</v>
      </c>
      <c r="DG11" s="314">
        <f t="shared" si="3"/>
        <v>13</v>
      </c>
      <c r="DH11" s="289">
        <f>MAX(K$3:K$109)</f>
        <v>13</v>
      </c>
      <c r="DJ11" s="288">
        <f>LOOKUP(DH11, 'Mortality Table'!A:A,('Mortality Table'!J:J/'Mortality Table'!I:I))</f>
        <v>2.4232760694289224E-4</v>
      </c>
      <c r="DK11" s="288">
        <f>LOOKUP(A11, 'Mortality Table'!A:A,('Mortality Table'!J:J/'Mortality Table'!I:I))</f>
        <v>1.9551829539893193E-4</v>
      </c>
      <c r="DL11" s="288">
        <f t="shared" si="4"/>
        <v>4.6809311543960313E-5</v>
      </c>
      <c r="DN11" s="288">
        <f>LOOKUP(DH11, 'Mortality Table'!A:A,('Mortality Table'!L:L/'Mortality Table'!K:K))</f>
        <v>2.4546805250780246E-4</v>
      </c>
      <c r="DO11" s="288">
        <f>LOOKUP(A11, 'Mortality Table'!A:A,('Mortality Table'!L:L/'Mortality Table'!K:K))</f>
        <v>1.9805211550878461E-4</v>
      </c>
      <c r="DP11" s="288">
        <f t="shared" si="5"/>
        <v>4.7415936999017851E-5</v>
      </c>
      <c r="DR11" s="288">
        <f>LOOKUP(DH11, 'Mortality Table'!A:A,('Mortality Table'!N:N/'Mortality Table'!M:M))</f>
        <v>2.5098487734644175E-4</v>
      </c>
      <c r="DS11" s="288">
        <f>LOOKUP(A11, 'Mortality Table'!A:A,('Mortality Table'!N:N/'Mortality Table'!M:M))</f>
        <v>2.0250328061569475E-4</v>
      </c>
      <c r="DT11" s="288">
        <f t="shared" si="6"/>
        <v>4.8481596730746995E-5</v>
      </c>
    </row>
    <row r="12" spans="1:124">
      <c r="A12" s="288">
        <v>9</v>
      </c>
      <c r="B12" s="288">
        <v>2.0231652420211422E-4</v>
      </c>
      <c r="C12" s="288">
        <f t="shared" si="2"/>
        <v>0</v>
      </c>
      <c r="D12" s="288">
        <f t="shared" si="2"/>
        <v>0</v>
      </c>
      <c r="E12" s="288">
        <f t="shared" si="2"/>
        <v>0</v>
      </c>
      <c r="F12" s="288">
        <f t="shared" si="2"/>
        <v>0</v>
      </c>
      <c r="G12" s="288">
        <f t="shared" si="2"/>
        <v>0</v>
      </c>
      <c r="H12" s="288">
        <f t="shared" si="2"/>
        <v>0</v>
      </c>
      <c r="I12" s="288">
        <f t="shared" si="2"/>
        <v>0</v>
      </c>
      <c r="J12" s="288">
        <f t="shared" si="2"/>
        <v>0</v>
      </c>
      <c r="K12" s="288">
        <f t="shared" si="2"/>
        <v>0</v>
      </c>
      <c r="L12" s="288">
        <f t="shared" si="2"/>
        <v>0</v>
      </c>
      <c r="M12" s="288">
        <f t="shared" si="2"/>
        <v>0</v>
      </c>
      <c r="N12" s="288">
        <f t="shared" si="2"/>
        <v>0</v>
      </c>
      <c r="O12" s="288">
        <f t="shared" si="2"/>
        <v>0</v>
      </c>
      <c r="P12" s="288">
        <f t="shared" si="2"/>
        <v>0</v>
      </c>
      <c r="Q12" s="288">
        <f t="shared" si="2"/>
        <v>0</v>
      </c>
      <c r="R12" s="288">
        <f t="shared" si="2"/>
        <v>0</v>
      </c>
      <c r="S12" s="288">
        <f t="shared" si="8"/>
        <v>0</v>
      </c>
      <c r="T12" s="288">
        <f t="shared" si="8"/>
        <v>0</v>
      </c>
      <c r="U12" s="288">
        <f t="shared" si="8"/>
        <v>0</v>
      </c>
      <c r="V12" s="288">
        <f t="shared" si="8"/>
        <v>0</v>
      </c>
      <c r="W12" s="288">
        <f t="shared" si="8"/>
        <v>0</v>
      </c>
      <c r="X12" s="288">
        <f t="shared" si="8"/>
        <v>0</v>
      </c>
      <c r="Y12" s="288">
        <f t="shared" si="8"/>
        <v>0</v>
      </c>
      <c r="Z12" s="288">
        <f t="shared" si="8"/>
        <v>0</v>
      </c>
      <c r="AA12" s="288">
        <f t="shared" si="8"/>
        <v>0</v>
      </c>
      <c r="AB12" s="288">
        <f t="shared" si="8"/>
        <v>0</v>
      </c>
      <c r="AC12" s="288">
        <f t="shared" si="8"/>
        <v>0</v>
      </c>
      <c r="AD12" s="288">
        <f t="shared" si="8"/>
        <v>0</v>
      </c>
      <c r="AE12" s="288">
        <f t="shared" si="8"/>
        <v>0</v>
      </c>
      <c r="AF12" s="288">
        <f t="shared" si="8"/>
        <v>0</v>
      </c>
      <c r="AG12" s="288">
        <f t="shared" si="8"/>
        <v>0</v>
      </c>
      <c r="AH12" s="288">
        <f t="shared" si="8"/>
        <v>0</v>
      </c>
      <c r="AI12" s="288">
        <f t="shared" si="9"/>
        <v>0</v>
      </c>
      <c r="AJ12" s="288">
        <f t="shared" si="9"/>
        <v>0</v>
      </c>
      <c r="AK12" s="288">
        <f t="shared" si="9"/>
        <v>0</v>
      </c>
      <c r="AL12" s="288">
        <f t="shared" si="9"/>
        <v>0</v>
      </c>
      <c r="AM12" s="288">
        <f t="shared" si="9"/>
        <v>0</v>
      </c>
      <c r="AN12" s="288">
        <f t="shared" si="9"/>
        <v>0</v>
      </c>
      <c r="AO12" s="288">
        <f t="shared" si="9"/>
        <v>0</v>
      </c>
      <c r="AP12" s="288">
        <f t="shared" si="9"/>
        <v>0</v>
      </c>
      <c r="AQ12" s="288">
        <f t="shared" si="9"/>
        <v>0</v>
      </c>
      <c r="AR12" s="288">
        <f t="shared" si="9"/>
        <v>0</v>
      </c>
      <c r="AS12" s="288">
        <f t="shared" si="9"/>
        <v>0</v>
      </c>
      <c r="AT12" s="288">
        <f t="shared" si="9"/>
        <v>0</v>
      </c>
      <c r="AU12" s="288">
        <f t="shared" si="9"/>
        <v>0</v>
      </c>
      <c r="AV12" s="288">
        <f t="shared" si="9"/>
        <v>0</v>
      </c>
      <c r="AW12" s="288">
        <f t="shared" si="9"/>
        <v>0</v>
      </c>
      <c r="AX12" s="288">
        <f t="shared" si="9"/>
        <v>0</v>
      </c>
      <c r="AY12" s="288">
        <f t="shared" si="10"/>
        <v>0</v>
      </c>
      <c r="AZ12" s="288">
        <f t="shared" si="10"/>
        <v>0</v>
      </c>
      <c r="BA12" s="288">
        <f t="shared" si="10"/>
        <v>0</v>
      </c>
      <c r="BB12" s="288">
        <f t="shared" si="10"/>
        <v>0</v>
      </c>
      <c r="BC12" s="288">
        <f t="shared" si="10"/>
        <v>0</v>
      </c>
      <c r="BD12" s="288">
        <f t="shared" si="10"/>
        <v>0</v>
      </c>
      <c r="BE12" s="288">
        <f t="shared" si="10"/>
        <v>0</v>
      </c>
      <c r="BF12" s="288">
        <f t="shared" si="10"/>
        <v>0</v>
      </c>
      <c r="BG12" s="288">
        <f t="shared" si="10"/>
        <v>0</v>
      </c>
      <c r="BH12" s="288">
        <f t="shared" si="10"/>
        <v>0</v>
      </c>
      <c r="BI12" s="288">
        <f t="shared" si="10"/>
        <v>0</v>
      </c>
      <c r="BJ12" s="288">
        <f t="shared" si="10"/>
        <v>0</v>
      </c>
      <c r="BK12" s="288">
        <f t="shared" si="10"/>
        <v>0</v>
      </c>
      <c r="BL12" s="288">
        <f t="shared" si="10"/>
        <v>0</v>
      </c>
      <c r="BM12" s="288">
        <f t="shared" si="10"/>
        <v>0</v>
      </c>
      <c r="BN12" s="288">
        <f t="shared" si="10"/>
        <v>0</v>
      </c>
      <c r="BO12" s="288">
        <f t="shared" si="7"/>
        <v>0</v>
      </c>
      <c r="BP12" s="288">
        <f t="shared" si="7"/>
        <v>0</v>
      </c>
      <c r="BQ12" s="288">
        <f t="shared" si="7"/>
        <v>0</v>
      </c>
      <c r="BR12" s="288">
        <f t="shared" si="7"/>
        <v>0</v>
      </c>
      <c r="BS12" s="288">
        <f t="shared" si="11"/>
        <v>0</v>
      </c>
      <c r="BT12" s="288">
        <f t="shared" si="11"/>
        <v>0</v>
      </c>
      <c r="BU12" s="288">
        <f t="shared" si="11"/>
        <v>0</v>
      </c>
      <c r="BV12" s="288">
        <f t="shared" si="11"/>
        <v>0</v>
      </c>
      <c r="BW12" s="288">
        <f t="shared" si="11"/>
        <v>0</v>
      </c>
      <c r="BX12" s="288">
        <f t="shared" si="11"/>
        <v>0</v>
      </c>
      <c r="BY12" s="288">
        <f t="shared" si="11"/>
        <v>0</v>
      </c>
      <c r="BZ12" s="288">
        <f t="shared" si="11"/>
        <v>0</v>
      </c>
      <c r="CA12" s="288">
        <f t="shared" si="11"/>
        <v>0</v>
      </c>
      <c r="CB12" s="288">
        <f t="shared" si="11"/>
        <v>0</v>
      </c>
      <c r="CC12" s="288">
        <f t="shared" si="11"/>
        <v>0</v>
      </c>
      <c r="CD12" s="288">
        <f t="shared" si="11"/>
        <v>0</v>
      </c>
      <c r="CE12" s="288">
        <f t="shared" si="11"/>
        <v>0</v>
      </c>
      <c r="CF12" s="288">
        <f t="shared" si="11"/>
        <v>0</v>
      </c>
      <c r="CG12" s="288">
        <f t="shared" si="11"/>
        <v>0</v>
      </c>
      <c r="CH12" s="288">
        <f t="shared" si="11"/>
        <v>0</v>
      </c>
      <c r="CI12" s="288">
        <f t="shared" si="12"/>
        <v>0</v>
      </c>
      <c r="CJ12" s="288">
        <f t="shared" si="12"/>
        <v>0</v>
      </c>
      <c r="CK12" s="288">
        <f t="shared" si="12"/>
        <v>0</v>
      </c>
      <c r="CL12" s="288">
        <f t="shared" si="12"/>
        <v>0</v>
      </c>
      <c r="CM12" s="288">
        <f t="shared" si="12"/>
        <v>0</v>
      </c>
      <c r="CN12" s="288">
        <f t="shared" si="12"/>
        <v>0</v>
      </c>
      <c r="CO12" s="288">
        <f t="shared" si="12"/>
        <v>0</v>
      </c>
      <c r="CP12" s="288">
        <f t="shared" si="12"/>
        <v>0</v>
      </c>
      <c r="CQ12" s="288">
        <f t="shared" si="12"/>
        <v>0</v>
      </c>
      <c r="CR12" s="288">
        <f t="shared" si="12"/>
        <v>0</v>
      </c>
      <c r="CS12" s="288">
        <f t="shared" si="12"/>
        <v>0</v>
      </c>
      <c r="CT12" s="288">
        <f t="shared" si="12"/>
        <v>0</v>
      </c>
      <c r="CU12" s="288">
        <f t="shared" si="12"/>
        <v>0</v>
      </c>
      <c r="CV12" s="288">
        <f t="shared" si="12"/>
        <v>0</v>
      </c>
      <c r="CW12" s="288">
        <f t="shared" si="12"/>
        <v>0</v>
      </c>
      <c r="CX12" s="288">
        <f t="shared" si="12"/>
        <v>0</v>
      </c>
      <c r="CY12" s="288">
        <f t="shared" si="13"/>
        <v>0</v>
      </c>
      <c r="CZ12" s="288">
        <f t="shared" si="13"/>
        <v>0</v>
      </c>
      <c r="DA12" s="288">
        <f t="shared" si="13"/>
        <v>0</v>
      </c>
      <c r="DB12" s="288">
        <f t="shared" si="13"/>
        <v>0</v>
      </c>
      <c r="DC12" s="288">
        <f t="shared" si="13"/>
        <v>0</v>
      </c>
      <c r="DD12" s="288">
        <f t="shared" si="13"/>
        <v>0</v>
      </c>
      <c r="DE12" s="288">
        <f t="shared" si="13"/>
        <v>0</v>
      </c>
      <c r="DG12" s="314">
        <f t="shared" si="3"/>
        <v>13</v>
      </c>
      <c r="DH12" s="289">
        <f>MAX(L$3:L$109)</f>
        <v>13</v>
      </c>
      <c r="DJ12" s="288">
        <f>LOOKUP(DH12, 'Mortality Table'!A:A,('Mortality Table'!J:J/'Mortality Table'!I:I))</f>
        <v>2.4232760694289224E-4</v>
      </c>
      <c r="DK12" s="288">
        <f>LOOKUP(A12, 'Mortality Table'!A:A,('Mortality Table'!J:J/'Mortality Table'!I:I))</f>
        <v>1.8624745696187823E-4</v>
      </c>
      <c r="DL12" s="288">
        <f t="shared" si="4"/>
        <v>5.6080149981014009E-5</v>
      </c>
      <c r="DN12" s="288">
        <f>LOOKUP(DH12, 'Mortality Table'!A:A,('Mortality Table'!L:L/'Mortality Table'!K:K))</f>
        <v>2.4546805250780246E-4</v>
      </c>
      <c r="DO12" s="288">
        <f>LOOKUP(A12, 'Mortality Table'!A:A,('Mortality Table'!L:L/'Mortality Table'!K:K))</f>
        <v>1.8866113160493928E-4</v>
      </c>
      <c r="DP12" s="288">
        <f t="shared" si="5"/>
        <v>5.6806920902863174E-5</v>
      </c>
      <c r="DR12" s="288">
        <f>LOOKUP(DH12, 'Mortality Table'!A:A,('Mortality Table'!N:N/'Mortality Table'!M:M))</f>
        <v>2.5098487734644175E-4</v>
      </c>
      <c r="DS12" s="288">
        <f>LOOKUP(A12, 'Mortality Table'!A:A,('Mortality Table'!N:N/'Mortality Table'!M:M))</f>
        <v>1.9290123701291636E-4</v>
      </c>
      <c r="DT12" s="288">
        <f t="shared" si="6"/>
        <v>5.8083640333525386E-5</v>
      </c>
    </row>
    <row r="13" spans="1:124">
      <c r="A13" s="288">
        <v>10</v>
      </c>
      <c r="B13" s="288">
        <v>2.1247533768401882E-4</v>
      </c>
      <c r="C13" s="288">
        <f t="shared" si="2"/>
        <v>0</v>
      </c>
      <c r="D13" s="288">
        <f t="shared" si="2"/>
        <v>0</v>
      </c>
      <c r="E13" s="288">
        <f t="shared" si="2"/>
        <v>0</v>
      </c>
      <c r="F13" s="288">
        <f t="shared" si="2"/>
        <v>0</v>
      </c>
      <c r="G13" s="288">
        <f t="shared" si="2"/>
        <v>0</v>
      </c>
      <c r="H13" s="288">
        <f t="shared" si="2"/>
        <v>0</v>
      </c>
      <c r="I13" s="288">
        <f t="shared" si="2"/>
        <v>0</v>
      </c>
      <c r="J13" s="288">
        <f t="shared" si="2"/>
        <v>0</v>
      </c>
      <c r="K13" s="288">
        <f t="shared" si="2"/>
        <v>0</v>
      </c>
      <c r="L13" s="288">
        <f t="shared" si="2"/>
        <v>0</v>
      </c>
      <c r="M13" s="288">
        <f t="shared" si="2"/>
        <v>0</v>
      </c>
      <c r="N13" s="288">
        <f t="shared" si="2"/>
        <v>0</v>
      </c>
      <c r="O13" s="288">
        <f t="shared" si="2"/>
        <v>0</v>
      </c>
      <c r="P13" s="288">
        <f t="shared" si="2"/>
        <v>0</v>
      </c>
      <c r="Q13" s="288">
        <f t="shared" si="2"/>
        <v>0</v>
      </c>
      <c r="R13" s="288">
        <f t="shared" si="2"/>
        <v>0</v>
      </c>
      <c r="S13" s="288">
        <f t="shared" si="8"/>
        <v>0</v>
      </c>
      <c r="T13" s="288">
        <f t="shared" si="8"/>
        <v>0</v>
      </c>
      <c r="U13" s="288">
        <f t="shared" si="8"/>
        <v>0</v>
      </c>
      <c r="V13" s="288">
        <f t="shared" si="8"/>
        <v>0</v>
      </c>
      <c r="W13" s="288">
        <f t="shared" si="8"/>
        <v>0</v>
      </c>
      <c r="X13" s="288">
        <f t="shared" si="8"/>
        <v>0</v>
      </c>
      <c r="Y13" s="288">
        <f t="shared" si="8"/>
        <v>0</v>
      </c>
      <c r="Z13" s="288">
        <f t="shared" si="8"/>
        <v>0</v>
      </c>
      <c r="AA13" s="288">
        <f t="shared" si="8"/>
        <v>0</v>
      </c>
      <c r="AB13" s="288">
        <f t="shared" si="8"/>
        <v>0</v>
      </c>
      <c r="AC13" s="288">
        <f t="shared" si="8"/>
        <v>0</v>
      </c>
      <c r="AD13" s="288">
        <f t="shared" si="8"/>
        <v>0</v>
      </c>
      <c r="AE13" s="288">
        <f t="shared" si="8"/>
        <v>0</v>
      </c>
      <c r="AF13" s="288">
        <f t="shared" si="8"/>
        <v>0</v>
      </c>
      <c r="AG13" s="288">
        <f t="shared" si="8"/>
        <v>0</v>
      </c>
      <c r="AH13" s="288">
        <f t="shared" si="8"/>
        <v>0</v>
      </c>
      <c r="AI13" s="288">
        <f t="shared" si="9"/>
        <v>0</v>
      </c>
      <c r="AJ13" s="288">
        <f t="shared" si="9"/>
        <v>0</v>
      </c>
      <c r="AK13" s="288">
        <f t="shared" si="9"/>
        <v>0</v>
      </c>
      <c r="AL13" s="288">
        <f t="shared" si="9"/>
        <v>0</v>
      </c>
      <c r="AM13" s="288">
        <f t="shared" si="9"/>
        <v>0</v>
      </c>
      <c r="AN13" s="288">
        <f t="shared" si="9"/>
        <v>0</v>
      </c>
      <c r="AO13" s="288">
        <f t="shared" si="9"/>
        <v>0</v>
      </c>
      <c r="AP13" s="288">
        <f t="shared" si="9"/>
        <v>0</v>
      </c>
      <c r="AQ13" s="288">
        <f t="shared" si="9"/>
        <v>0</v>
      </c>
      <c r="AR13" s="288">
        <f t="shared" si="9"/>
        <v>0</v>
      </c>
      <c r="AS13" s="288">
        <f t="shared" si="9"/>
        <v>0</v>
      </c>
      <c r="AT13" s="288">
        <f t="shared" si="9"/>
        <v>0</v>
      </c>
      <c r="AU13" s="288">
        <f t="shared" si="9"/>
        <v>0</v>
      </c>
      <c r="AV13" s="288">
        <f t="shared" si="9"/>
        <v>0</v>
      </c>
      <c r="AW13" s="288">
        <f t="shared" si="9"/>
        <v>0</v>
      </c>
      <c r="AX13" s="288">
        <f t="shared" si="9"/>
        <v>0</v>
      </c>
      <c r="AY13" s="288">
        <f t="shared" si="10"/>
        <v>0</v>
      </c>
      <c r="AZ13" s="288">
        <f t="shared" si="10"/>
        <v>0</v>
      </c>
      <c r="BA13" s="288">
        <f t="shared" si="10"/>
        <v>0</v>
      </c>
      <c r="BB13" s="288">
        <f t="shared" si="10"/>
        <v>0</v>
      </c>
      <c r="BC13" s="288">
        <f t="shared" si="10"/>
        <v>0</v>
      </c>
      <c r="BD13" s="288">
        <f t="shared" si="10"/>
        <v>0</v>
      </c>
      <c r="BE13" s="288">
        <f t="shared" si="10"/>
        <v>0</v>
      </c>
      <c r="BF13" s="288">
        <f t="shared" si="10"/>
        <v>0</v>
      </c>
      <c r="BG13" s="288">
        <f t="shared" si="10"/>
        <v>0</v>
      </c>
      <c r="BH13" s="288">
        <f t="shared" si="10"/>
        <v>0</v>
      </c>
      <c r="BI13" s="288">
        <f t="shared" si="10"/>
        <v>0</v>
      </c>
      <c r="BJ13" s="288">
        <f t="shared" si="10"/>
        <v>0</v>
      </c>
      <c r="BK13" s="288">
        <f t="shared" si="10"/>
        <v>0</v>
      </c>
      <c r="BL13" s="288">
        <f t="shared" si="10"/>
        <v>0</v>
      </c>
      <c r="BM13" s="288">
        <f t="shared" si="10"/>
        <v>0</v>
      </c>
      <c r="BN13" s="288">
        <f t="shared" si="10"/>
        <v>0</v>
      </c>
      <c r="BO13" s="288">
        <f t="shared" si="7"/>
        <v>0</v>
      </c>
      <c r="BP13" s="288">
        <f t="shared" si="7"/>
        <v>0</v>
      </c>
      <c r="BQ13" s="288">
        <f t="shared" si="7"/>
        <v>0</v>
      </c>
      <c r="BR13" s="288">
        <f t="shared" si="7"/>
        <v>0</v>
      </c>
      <c r="BS13" s="288">
        <f t="shared" si="11"/>
        <v>0</v>
      </c>
      <c r="BT13" s="288">
        <f t="shared" si="11"/>
        <v>0</v>
      </c>
      <c r="BU13" s="288">
        <f t="shared" si="11"/>
        <v>0</v>
      </c>
      <c r="BV13" s="288">
        <f t="shared" si="11"/>
        <v>0</v>
      </c>
      <c r="BW13" s="288">
        <f t="shared" si="11"/>
        <v>0</v>
      </c>
      <c r="BX13" s="288">
        <f t="shared" si="11"/>
        <v>0</v>
      </c>
      <c r="BY13" s="288">
        <f t="shared" si="11"/>
        <v>0</v>
      </c>
      <c r="BZ13" s="288">
        <f t="shared" si="11"/>
        <v>0</v>
      </c>
      <c r="CA13" s="288">
        <f t="shared" si="11"/>
        <v>0</v>
      </c>
      <c r="CB13" s="288">
        <f t="shared" si="11"/>
        <v>0</v>
      </c>
      <c r="CC13" s="288">
        <f t="shared" si="11"/>
        <v>0</v>
      </c>
      <c r="CD13" s="288">
        <f t="shared" si="11"/>
        <v>0</v>
      </c>
      <c r="CE13" s="288">
        <f t="shared" si="11"/>
        <v>0</v>
      </c>
      <c r="CF13" s="288">
        <f t="shared" si="11"/>
        <v>0</v>
      </c>
      <c r="CG13" s="288">
        <f t="shared" si="11"/>
        <v>0</v>
      </c>
      <c r="CH13" s="288">
        <f t="shared" si="11"/>
        <v>0</v>
      </c>
      <c r="CI13" s="288">
        <f t="shared" si="12"/>
        <v>0</v>
      </c>
      <c r="CJ13" s="288">
        <f t="shared" si="12"/>
        <v>0</v>
      </c>
      <c r="CK13" s="288">
        <f t="shared" si="12"/>
        <v>0</v>
      </c>
      <c r="CL13" s="288">
        <f t="shared" si="12"/>
        <v>0</v>
      </c>
      <c r="CM13" s="288">
        <f t="shared" si="12"/>
        <v>0</v>
      </c>
      <c r="CN13" s="288">
        <f t="shared" si="12"/>
        <v>0</v>
      </c>
      <c r="CO13" s="288">
        <f t="shared" si="12"/>
        <v>0</v>
      </c>
      <c r="CP13" s="288">
        <f t="shared" si="12"/>
        <v>0</v>
      </c>
      <c r="CQ13" s="288">
        <f t="shared" si="12"/>
        <v>0</v>
      </c>
      <c r="CR13" s="288">
        <f t="shared" si="12"/>
        <v>0</v>
      </c>
      <c r="CS13" s="288">
        <f t="shared" si="12"/>
        <v>0</v>
      </c>
      <c r="CT13" s="288">
        <f t="shared" si="12"/>
        <v>0</v>
      </c>
      <c r="CU13" s="288">
        <f t="shared" si="12"/>
        <v>0</v>
      </c>
      <c r="CV13" s="288">
        <f t="shared" si="12"/>
        <v>0</v>
      </c>
      <c r="CW13" s="288">
        <f t="shared" si="12"/>
        <v>0</v>
      </c>
      <c r="CX13" s="288">
        <f t="shared" si="12"/>
        <v>0</v>
      </c>
      <c r="CY13" s="288">
        <f t="shared" si="13"/>
        <v>0</v>
      </c>
      <c r="CZ13" s="288">
        <f t="shared" si="13"/>
        <v>0</v>
      </c>
      <c r="DA13" s="288">
        <f t="shared" si="13"/>
        <v>0</v>
      </c>
      <c r="DB13" s="288">
        <f t="shared" si="13"/>
        <v>0</v>
      </c>
      <c r="DC13" s="288">
        <f t="shared" si="13"/>
        <v>0</v>
      </c>
      <c r="DD13" s="288">
        <f t="shared" si="13"/>
        <v>0</v>
      </c>
      <c r="DE13" s="288">
        <f t="shared" si="13"/>
        <v>0</v>
      </c>
      <c r="DG13" s="314">
        <f t="shared" si="3"/>
        <v>13</v>
      </c>
      <c r="DH13" s="289">
        <f>MAX(M$3:M$109)</f>
        <v>13</v>
      </c>
      <c r="DJ13" s="288">
        <f>LOOKUP(DH13, 'Mortality Table'!A:A,('Mortality Table'!J:J/'Mortality Table'!I:I))</f>
        <v>2.4232760694289224E-4</v>
      </c>
      <c r="DK13" s="288">
        <f>LOOKUP(A13, 'Mortality Table'!A:A,('Mortality Table'!J:J/'Mortality Table'!I:I))</f>
        <v>1.9559940280128288E-4</v>
      </c>
      <c r="DL13" s="288">
        <f t="shared" si="4"/>
        <v>4.6728204141609355E-5</v>
      </c>
      <c r="DN13" s="288">
        <f>LOOKUP(DH13, 'Mortality Table'!A:A,('Mortality Table'!L:L/'Mortality Table'!K:K))</f>
        <v>2.4546805250780246E-4</v>
      </c>
      <c r="DO13" s="288">
        <f>LOOKUP(A13, 'Mortality Table'!A:A,('Mortality Table'!L:L/'Mortality Table'!K:K))</f>
        <v>1.9813427402283183E-4</v>
      </c>
      <c r="DP13" s="288">
        <f t="shared" si="5"/>
        <v>4.7333778484970622E-5</v>
      </c>
      <c r="DR13" s="288">
        <f>LOOKUP(DH13, 'Mortality Table'!A:A,('Mortality Table'!N:N/'Mortality Table'!M:M))</f>
        <v>2.5098487734644175E-4</v>
      </c>
      <c r="DS13" s="288">
        <f>LOOKUP(A13, 'Mortality Table'!A:A,('Mortality Table'!N:N/'Mortality Table'!M:M))</f>
        <v>2.0258728561903613E-4</v>
      </c>
      <c r="DT13" s="288">
        <f t="shared" si="6"/>
        <v>4.8397591727405618E-5</v>
      </c>
    </row>
    <row r="14" spans="1:124">
      <c r="A14" s="288">
        <v>11</v>
      </c>
      <c r="B14" s="288">
        <v>2.1252049304754388E-4</v>
      </c>
      <c r="C14" s="288">
        <f t="shared" si="2"/>
        <v>0</v>
      </c>
      <c r="D14" s="288">
        <f t="shared" si="2"/>
        <v>0</v>
      </c>
      <c r="E14" s="288">
        <f t="shared" si="2"/>
        <v>0</v>
      </c>
      <c r="F14" s="288">
        <f t="shared" si="2"/>
        <v>0</v>
      </c>
      <c r="G14" s="288">
        <f t="shared" si="2"/>
        <v>0</v>
      </c>
      <c r="H14" s="288">
        <f t="shared" si="2"/>
        <v>0</v>
      </c>
      <c r="I14" s="288">
        <f t="shared" si="2"/>
        <v>0</v>
      </c>
      <c r="J14" s="288">
        <f t="shared" si="2"/>
        <v>0</v>
      </c>
      <c r="K14" s="288">
        <f t="shared" si="2"/>
        <v>0</v>
      </c>
      <c r="L14" s="288">
        <f t="shared" si="2"/>
        <v>0</v>
      </c>
      <c r="M14" s="288">
        <f t="shared" si="2"/>
        <v>0</v>
      </c>
      <c r="N14" s="288">
        <f t="shared" si="2"/>
        <v>0</v>
      </c>
      <c r="O14" s="288">
        <f t="shared" si="2"/>
        <v>0</v>
      </c>
      <c r="P14" s="288">
        <f t="shared" si="2"/>
        <v>0</v>
      </c>
      <c r="Q14" s="288">
        <f t="shared" si="2"/>
        <v>0</v>
      </c>
      <c r="R14" s="288">
        <f t="shared" si="2"/>
        <v>0</v>
      </c>
      <c r="S14" s="288">
        <f t="shared" si="8"/>
        <v>0</v>
      </c>
      <c r="T14" s="288">
        <f t="shared" si="8"/>
        <v>0</v>
      </c>
      <c r="U14" s="288">
        <f t="shared" si="8"/>
        <v>0</v>
      </c>
      <c r="V14" s="288">
        <f t="shared" si="8"/>
        <v>0</v>
      </c>
      <c r="W14" s="288">
        <f t="shared" si="8"/>
        <v>0</v>
      </c>
      <c r="X14" s="288">
        <f t="shared" si="8"/>
        <v>0</v>
      </c>
      <c r="Y14" s="288">
        <f t="shared" si="8"/>
        <v>0</v>
      </c>
      <c r="Z14" s="288">
        <f t="shared" si="8"/>
        <v>0</v>
      </c>
      <c r="AA14" s="288">
        <f t="shared" si="8"/>
        <v>0</v>
      </c>
      <c r="AB14" s="288">
        <f t="shared" si="8"/>
        <v>0</v>
      </c>
      <c r="AC14" s="288">
        <f t="shared" si="8"/>
        <v>0</v>
      </c>
      <c r="AD14" s="288">
        <f t="shared" si="8"/>
        <v>0</v>
      </c>
      <c r="AE14" s="288">
        <f t="shared" si="8"/>
        <v>0</v>
      </c>
      <c r="AF14" s="288">
        <f t="shared" si="8"/>
        <v>0</v>
      </c>
      <c r="AG14" s="288">
        <f t="shared" si="8"/>
        <v>0</v>
      </c>
      <c r="AH14" s="288">
        <f t="shared" si="8"/>
        <v>0</v>
      </c>
      <c r="AI14" s="288">
        <f t="shared" si="9"/>
        <v>0</v>
      </c>
      <c r="AJ14" s="288">
        <f t="shared" si="9"/>
        <v>0</v>
      </c>
      <c r="AK14" s="288">
        <f t="shared" si="9"/>
        <v>0</v>
      </c>
      <c r="AL14" s="288">
        <f t="shared" si="9"/>
        <v>0</v>
      </c>
      <c r="AM14" s="288">
        <f t="shared" si="9"/>
        <v>0</v>
      </c>
      <c r="AN14" s="288">
        <f t="shared" si="9"/>
        <v>0</v>
      </c>
      <c r="AO14" s="288">
        <f t="shared" si="9"/>
        <v>0</v>
      </c>
      <c r="AP14" s="288">
        <f t="shared" si="9"/>
        <v>0</v>
      </c>
      <c r="AQ14" s="288">
        <f t="shared" si="9"/>
        <v>0</v>
      </c>
      <c r="AR14" s="288">
        <f t="shared" si="9"/>
        <v>0</v>
      </c>
      <c r="AS14" s="288">
        <f t="shared" si="9"/>
        <v>0</v>
      </c>
      <c r="AT14" s="288">
        <f t="shared" si="9"/>
        <v>0</v>
      </c>
      <c r="AU14" s="288">
        <f t="shared" si="9"/>
        <v>0</v>
      </c>
      <c r="AV14" s="288">
        <f t="shared" si="9"/>
        <v>0</v>
      </c>
      <c r="AW14" s="288">
        <f t="shared" si="9"/>
        <v>0</v>
      </c>
      <c r="AX14" s="288">
        <f t="shared" si="9"/>
        <v>0</v>
      </c>
      <c r="AY14" s="288">
        <f t="shared" si="10"/>
        <v>0</v>
      </c>
      <c r="AZ14" s="288">
        <f t="shared" si="10"/>
        <v>0</v>
      </c>
      <c r="BA14" s="288">
        <f t="shared" si="10"/>
        <v>0</v>
      </c>
      <c r="BB14" s="288">
        <f t="shared" si="10"/>
        <v>0</v>
      </c>
      <c r="BC14" s="288">
        <f t="shared" si="10"/>
        <v>0</v>
      </c>
      <c r="BD14" s="288">
        <f t="shared" si="10"/>
        <v>0</v>
      </c>
      <c r="BE14" s="288">
        <f t="shared" si="10"/>
        <v>0</v>
      </c>
      <c r="BF14" s="288">
        <f t="shared" si="10"/>
        <v>0</v>
      </c>
      <c r="BG14" s="288">
        <f t="shared" si="10"/>
        <v>0</v>
      </c>
      <c r="BH14" s="288">
        <f t="shared" si="10"/>
        <v>0</v>
      </c>
      <c r="BI14" s="288">
        <f t="shared" si="10"/>
        <v>0</v>
      </c>
      <c r="BJ14" s="288">
        <f t="shared" si="10"/>
        <v>0</v>
      </c>
      <c r="BK14" s="288">
        <f t="shared" si="10"/>
        <v>0</v>
      </c>
      <c r="BL14" s="288">
        <f t="shared" si="10"/>
        <v>0</v>
      </c>
      <c r="BM14" s="288">
        <f t="shared" si="10"/>
        <v>0</v>
      </c>
      <c r="BN14" s="288">
        <f t="shared" si="10"/>
        <v>0</v>
      </c>
      <c r="BO14" s="288">
        <f t="shared" si="7"/>
        <v>0</v>
      </c>
      <c r="BP14" s="288">
        <f t="shared" si="7"/>
        <v>0</v>
      </c>
      <c r="BQ14" s="288">
        <f t="shared" si="7"/>
        <v>0</v>
      </c>
      <c r="BR14" s="288">
        <f t="shared" si="7"/>
        <v>0</v>
      </c>
      <c r="BS14" s="288">
        <f t="shared" si="11"/>
        <v>0</v>
      </c>
      <c r="BT14" s="288">
        <f t="shared" si="11"/>
        <v>0</v>
      </c>
      <c r="BU14" s="288">
        <f t="shared" si="11"/>
        <v>0</v>
      </c>
      <c r="BV14" s="288">
        <f t="shared" si="11"/>
        <v>0</v>
      </c>
      <c r="BW14" s="288">
        <f t="shared" si="11"/>
        <v>0</v>
      </c>
      <c r="BX14" s="288">
        <f t="shared" si="11"/>
        <v>0</v>
      </c>
      <c r="BY14" s="288">
        <f t="shared" si="11"/>
        <v>0</v>
      </c>
      <c r="BZ14" s="288">
        <f t="shared" si="11"/>
        <v>0</v>
      </c>
      <c r="CA14" s="288">
        <f t="shared" si="11"/>
        <v>0</v>
      </c>
      <c r="CB14" s="288">
        <f t="shared" si="11"/>
        <v>0</v>
      </c>
      <c r="CC14" s="288">
        <f t="shared" si="11"/>
        <v>0</v>
      </c>
      <c r="CD14" s="288">
        <f t="shared" si="11"/>
        <v>0</v>
      </c>
      <c r="CE14" s="288">
        <f t="shared" si="11"/>
        <v>0</v>
      </c>
      <c r="CF14" s="288">
        <f t="shared" si="11"/>
        <v>0</v>
      </c>
      <c r="CG14" s="288">
        <f t="shared" si="11"/>
        <v>0</v>
      </c>
      <c r="CH14" s="288">
        <f t="shared" si="11"/>
        <v>0</v>
      </c>
      <c r="CI14" s="288">
        <f t="shared" si="12"/>
        <v>0</v>
      </c>
      <c r="CJ14" s="288">
        <f t="shared" si="12"/>
        <v>0</v>
      </c>
      <c r="CK14" s="288">
        <f t="shared" si="12"/>
        <v>0</v>
      </c>
      <c r="CL14" s="288">
        <f t="shared" si="12"/>
        <v>0</v>
      </c>
      <c r="CM14" s="288">
        <f t="shared" si="12"/>
        <v>0</v>
      </c>
      <c r="CN14" s="288">
        <f t="shared" si="12"/>
        <v>0</v>
      </c>
      <c r="CO14" s="288">
        <f t="shared" si="12"/>
        <v>0</v>
      </c>
      <c r="CP14" s="288">
        <f t="shared" si="12"/>
        <v>0</v>
      </c>
      <c r="CQ14" s="288">
        <f t="shared" si="12"/>
        <v>0</v>
      </c>
      <c r="CR14" s="288">
        <f t="shared" si="12"/>
        <v>0</v>
      </c>
      <c r="CS14" s="288">
        <f t="shared" si="12"/>
        <v>0</v>
      </c>
      <c r="CT14" s="288">
        <f t="shared" si="12"/>
        <v>0</v>
      </c>
      <c r="CU14" s="288">
        <f t="shared" si="12"/>
        <v>0</v>
      </c>
      <c r="CV14" s="288">
        <f t="shared" si="12"/>
        <v>0</v>
      </c>
      <c r="CW14" s="288">
        <f t="shared" si="12"/>
        <v>0</v>
      </c>
      <c r="CX14" s="288">
        <f t="shared" si="12"/>
        <v>0</v>
      </c>
      <c r="CY14" s="288">
        <f t="shared" si="13"/>
        <v>0</v>
      </c>
      <c r="CZ14" s="288">
        <f t="shared" si="13"/>
        <v>0</v>
      </c>
      <c r="DA14" s="288">
        <f t="shared" si="13"/>
        <v>0</v>
      </c>
      <c r="DB14" s="288">
        <f t="shared" si="13"/>
        <v>0</v>
      </c>
      <c r="DC14" s="288">
        <f t="shared" si="13"/>
        <v>0</v>
      </c>
      <c r="DD14" s="288">
        <f t="shared" si="13"/>
        <v>0</v>
      </c>
      <c r="DE14" s="288">
        <f t="shared" si="13"/>
        <v>0</v>
      </c>
      <c r="DG14" s="314">
        <f t="shared" si="3"/>
        <v>13</v>
      </c>
      <c r="DH14" s="289">
        <f>MAX(N$3:N$109)</f>
        <v>13</v>
      </c>
      <c r="DJ14" s="288">
        <f>LOOKUP(DH14, 'Mortality Table'!A:A,('Mortality Table'!J:J/'Mortality Table'!I:I))</f>
        <v>2.4232760694289224E-4</v>
      </c>
      <c r="DK14" s="288">
        <f>LOOKUP(A14, 'Mortality Table'!A:A,('Mortality Table'!J:J/'Mortality Table'!I:I))</f>
        <v>1.9564097168280601E-4</v>
      </c>
      <c r="DL14" s="288">
        <f t="shared" si="4"/>
        <v>4.6686635260086227E-5</v>
      </c>
      <c r="DN14" s="288">
        <f>LOOKUP(DH14, 'Mortality Table'!A:A,('Mortality Table'!L:L/'Mortality Table'!K:K))</f>
        <v>2.4546805250780246E-4</v>
      </c>
      <c r="DO14" s="288">
        <f>LOOKUP(A14, 'Mortality Table'!A:A,('Mortality Table'!L:L/'Mortality Table'!K:K))</f>
        <v>1.9817638161643682E-4</v>
      </c>
      <c r="DP14" s="288">
        <f t="shared" si="5"/>
        <v>4.7291670891365633E-5</v>
      </c>
      <c r="DR14" s="288">
        <f>LOOKUP(DH14, 'Mortality Table'!A:A,('Mortality Table'!N:N/'Mortality Table'!M:M))</f>
        <v>2.5098487734644175E-4</v>
      </c>
      <c r="DS14" s="288">
        <f>LOOKUP(A14, 'Mortality Table'!A:A,('Mortality Table'!N:N/'Mortality Table'!M:M))</f>
        <v>2.0263033956886104E-4</v>
      </c>
      <c r="DT14" s="288">
        <f t="shared" si="6"/>
        <v>4.8354537777580705E-5</v>
      </c>
    </row>
    <row r="15" spans="1:124">
      <c r="A15" s="288">
        <v>12</v>
      </c>
      <c r="B15" s="288">
        <v>2.2268784225603028E-4</v>
      </c>
      <c r="C15" s="288">
        <f t="shared" si="2"/>
        <v>0</v>
      </c>
      <c r="D15" s="288">
        <f t="shared" si="2"/>
        <v>0</v>
      </c>
      <c r="E15" s="288">
        <f t="shared" si="2"/>
        <v>0</v>
      </c>
      <c r="F15" s="288">
        <f t="shared" si="2"/>
        <v>0</v>
      </c>
      <c r="G15" s="288">
        <f t="shared" si="2"/>
        <v>0</v>
      </c>
      <c r="H15" s="288">
        <f t="shared" si="2"/>
        <v>0</v>
      </c>
      <c r="I15" s="288">
        <f t="shared" si="2"/>
        <v>0</v>
      </c>
      <c r="J15" s="288">
        <f t="shared" si="2"/>
        <v>0</v>
      </c>
      <c r="K15" s="288">
        <f t="shared" si="2"/>
        <v>0</v>
      </c>
      <c r="L15" s="288">
        <f t="shared" si="2"/>
        <v>13</v>
      </c>
      <c r="M15" s="288">
        <f t="shared" si="2"/>
        <v>0</v>
      </c>
      <c r="N15" s="288">
        <f t="shared" si="2"/>
        <v>0</v>
      </c>
      <c r="O15" s="288">
        <f t="shared" si="2"/>
        <v>0</v>
      </c>
      <c r="P15" s="288">
        <f t="shared" si="2"/>
        <v>0</v>
      </c>
      <c r="Q15" s="288">
        <f t="shared" si="2"/>
        <v>0</v>
      </c>
      <c r="R15" s="288">
        <f t="shared" si="2"/>
        <v>0</v>
      </c>
      <c r="S15" s="288">
        <f t="shared" si="8"/>
        <v>0</v>
      </c>
      <c r="T15" s="288">
        <f t="shared" si="8"/>
        <v>0</v>
      </c>
      <c r="U15" s="288">
        <f t="shared" si="8"/>
        <v>0</v>
      </c>
      <c r="V15" s="288">
        <f t="shared" si="8"/>
        <v>0</v>
      </c>
      <c r="W15" s="288">
        <f t="shared" si="8"/>
        <v>0</v>
      </c>
      <c r="X15" s="288">
        <f t="shared" si="8"/>
        <v>0</v>
      </c>
      <c r="Y15" s="288">
        <f t="shared" si="8"/>
        <v>0</v>
      </c>
      <c r="Z15" s="288">
        <f t="shared" si="8"/>
        <v>0</v>
      </c>
      <c r="AA15" s="288">
        <f t="shared" si="8"/>
        <v>0</v>
      </c>
      <c r="AB15" s="288">
        <f t="shared" si="8"/>
        <v>0</v>
      </c>
      <c r="AC15" s="288">
        <f t="shared" si="8"/>
        <v>0</v>
      </c>
      <c r="AD15" s="288">
        <f t="shared" si="8"/>
        <v>0</v>
      </c>
      <c r="AE15" s="288">
        <f t="shared" si="8"/>
        <v>0</v>
      </c>
      <c r="AF15" s="288">
        <f t="shared" si="8"/>
        <v>0</v>
      </c>
      <c r="AG15" s="288">
        <f t="shared" si="8"/>
        <v>0</v>
      </c>
      <c r="AH15" s="288">
        <f t="shared" si="8"/>
        <v>0</v>
      </c>
      <c r="AI15" s="288">
        <f t="shared" si="9"/>
        <v>0</v>
      </c>
      <c r="AJ15" s="288">
        <f t="shared" si="9"/>
        <v>0</v>
      </c>
      <c r="AK15" s="288">
        <f t="shared" si="9"/>
        <v>0</v>
      </c>
      <c r="AL15" s="288">
        <f t="shared" si="9"/>
        <v>0</v>
      </c>
      <c r="AM15" s="288">
        <f t="shared" si="9"/>
        <v>0</v>
      </c>
      <c r="AN15" s="288">
        <f t="shared" si="9"/>
        <v>0</v>
      </c>
      <c r="AO15" s="288">
        <f t="shared" si="9"/>
        <v>0</v>
      </c>
      <c r="AP15" s="288">
        <f t="shared" si="9"/>
        <v>0</v>
      </c>
      <c r="AQ15" s="288">
        <f t="shared" si="9"/>
        <v>0</v>
      </c>
      <c r="AR15" s="288">
        <f t="shared" si="9"/>
        <v>0</v>
      </c>
      <c r="AS15" s="288">
        <f t="shared" si="9"/>
        <v>0</v>
      </c>
      <c r="AT15" s="288">
        <f t="shared" si="9"/>
        <v>0</v>
      </c>
      <c r="AU15" s="288">
        <f t="shared" si="9"/>
        <v>0</v>
      </c>
      <c r="AV15" s="288">
        <f t="shared" si="9"/>
        <v>0</v>
      </c>
      <c r="AW15" s="288">
        <f t="shared" si="9"/>
        <v>0</v>
      </c>
      <c r="AX15" s="288">
        <f t="shared" si="9"/>
        <v>0</v>
      </c>
      <c r="AY15" s="288">
        <f t="shared" si="10"/>
        <v>0</v>
      </c>
      <c r="AZ15" s="288">
        <f t="shared" si="10"/>
        <v>0</v>
      </c>
      <c r="BA15" s="288">
        <f t="shared" si="10"/>
        <v>0</v>
      </c>
      <c r="BB15" s="288">
        <f t="shared" si="10"/>
        <v>0</v>
      </c>
      <c r="BC15" s="288">
        <f t="shared" si="10"/>
        <v>0</v>
      </c>
      <c r="BD15" s="288">
        <f t="shared" si="10"/>
        <v>0</v>
      </c>
      <c r="BE15" s="288">
        <f t="shared" si="10"/>
        <v>0</v>
      </c>
      <c r="BF15" s="288">
        <f t="shared" si="10"/>
        <v>0</v>
      </c>
      <c r="BG15" s="288">
        <f t="shared" si="10"/>
        <v>0</v>
      </c>
      <c r="BH15" s="288">
        <f t="shared" si="10"/>
        <v>0</v>
      </c>
      <c r="BI15" s="288">
        <f t="shared" si="10"/>
        <v>0</v>
      </c>
      <c r="BJ15" s="288">
        <f t="shared" si="10"/>
        <v>0</v>
      </c>
      <c r="BK15" s="288">
        <f t="shared" si="10"/>
        <v>0</v>
      </c>
      <c r="BL15" s="288">
        <f t="shared" si="10"/>
        <v>0</v>
      </c>
      <c r="BM15" s="288">
        <f t="shared" si="10"/>
        <v>0</v>
      </c>
      <c r="BN15" s="288">
        <f t="shared" si="10"/>
        <v>0</v>
      </c>
      <c r="BO15" s="288">
        <f t="shared" si="7"/>
        <v>0</v>
      </c>
      <c r="BP15" s="288">
        <f t="shared" si="7"/>
        <v>0</v>
      </c>
      <c r="BQ15" s="288">
        <f t="shared" si="7"/>
        <v>0</v>
      </c>
      <c r="BR15" s="288">
        <f t="shared" si="7"/>
        <v>0</v>
      </c>
      <c r="BS15" s="288">
        <f t="shared" si="11"/>
        <v>0</v>
      </c>
      <c r="BT15" s="288">
        <f t="shared" si="11"/>
        <v>0</v>
      </c>
      <c r="BU15" s="288">
        <f t="shared" si="11"/>
        <v>0</v>
      </c>
      <c r="BV15" s="288">
        <f t="shared" si="11"/>
        <v>0</v>
      </c>
      <c r="BW15" s="288">
        <f t="shared" si="11"/>
        <v>0</v>
      </c>
      <c r="BX15" s="288">
        <f t="shared" si="11"/>
        <v>0</v>
      </c>
      <c r="BY15" s="288">
        <f t="shared" si="11"/>
        <v>0</v>
      </c>
      <c r="BZ15" s="288">
        <f t="shared" si="11"/>
        <v>0</v>
      </c>
      <c r="CA15" s="288">
        <f t="shared" si="11"/>
        <v>0</v>
      </c>
      <c r="CB15" s="288">
        <f t="shared" si="11"/>
        <v>0</v>
      </c>
      <c r="CC15" s="288">
        <f t="shared" si="11"/>
        <v>0</v>
      </c>
      <c r="CD15" s="288">
        <f t="shared" si="11"/>
        <v>0</v>
      </c>
      <c r="CE15" s="288">
        <f t="shared" si="11"/>
        <v>0</v>
      </c>
      <c r="CF15" s="288">
        <f t="shared" si="11"/>
        <v>0</v>
      </c>
      <c r="CG15" s="288">
        <f t="shared" si="11"/>
        <v>0</v>
      </c>
      <c r="CH15" s="288">
        <f t="shared" si="11"/>
        <v>0</v>
      </c>
      <c r="CI15" s="288">
        <f t="shared" si="12"/>
        <v>0</v>
      </c>
      <c r="CJ15" s="288">
        <f t="shared" si="12"/>
        <v>0</v>
      </c>
      <c r="CK15" s="288">
        <f t="shared" si="12"/>
        <v>0</v>
      </c>
      <c r="CL15" s="288">
        <f t="shared" si="12"/>
        <v>0</v>
      </c>
      <c r="CM15" s="288">
        <f t="shared" si="12"/>
        <v>0</v>
      </c>
      <c r="CN15" s="288">
        <f t="shared" si="12"/>
        <v>0</v>
      </c>
      <c r="CO15" s="288">
        <f t="shared" si="12"/>
        <v>0</v>
      </c>
      <c r="CP15" s="288">
        <f t="shared" si="12"/>
        <v>0</v>
      </c>
      <c r="CQ15" s="288">
        <f t="shared" si="12"/>
        <v>0</v>
      </c>
      <c r="CR15" s="288">
        <f t="shared" si="12"/>
        <v>0</v>
      </c>
      <c r="CS15" s="288">
        <f t="shared" si="12"/>
        <v>0</v>
      </c>
      <c r="CT15" s="288">
        <f t="shared" si="12"/>
        <v>0</v>
      </c>
      <c r="CU15" s="288">
        <f t="shared" si="12"/>
        <v>0</v>
      </c>
      <c r="CV15" s="288">
        <f t="shared" si="12"/>
        <v>0</v>
      </c>
      <c r="CW15" s="288">
        <f t="shared" si="12"/>
        <v>0</v>
      </c>
      <c r="CX15" s="288">
        <f t="shared" si="12"/>
        <v>0</v>
      </c>
      <c r="CY15" s="288">
        <f t="shared" si="13"/>
        <v>0</v>
      </c>
      <c r="CZ15" s="288">
        <f t="shared" si="13"/>
        <v>0</v>
      </c>
      <c r="DA15" s="288">
        <f t="shared" si="13"/>
        <v>0</v>
      </c>
      <c r="DB15" s="288">
        <f t="shared" si="13"/>
        <v>0</v>
      </c>
      <c r="DC15" s="288">
        <f t="shared" si="13"/>
        <v>0</v>
      </c>
      <c r="DD15" s="288">
        <f t="shared" si="13"/>
        <v>0</v>
      </c>
      <c r="DE15" s="288">
        <f t="shared" si="13"/>
        <v>0</v>
      </c>
      <c r="DG15" s="314">
        <f t="shared" si="3"/>
        <v>13</v>
      </c>
      <c r="DH15" s="289">
        <f>MAX(O$3:O$109)</f>
        <v>13</v>
      </c>
      <c r="DJ15" s="288">
        <f>LOOKUP(DH15, 'Mortality Table'!A:A,('Mortality Table'!J:J/'Mortality Table'!I:I))</f>
        <v>2.4232760694289224E-4</v>
      </c>
      <c r="DK15" s="288">
        <f>LOOKUP(A15, 'Mortality Table'!A:A,('Mortality Table'!J:J/'Mortality Table'!I:I))</f>
        <v>2.0500077529544717E-4</v>
      </c>
      <c r="DL15" s="288">
        <f t="shared" si="4"/>
        <v>3.7326831647445071E-5</v>
      </c>
      <c r="DN15" s="288">
        <f>LOOKUP(DH15, 'Mortality Table'!A:A,('Mortality Table'!L:L/'Mortality Table'!K:K))</f>
        <v>2.4546805250780246E-4</v>
      </c>
      <c r="DO15" s="288">
        <f>LOOKUP(A15, 'Mortality Table'!A:A,('Mortality Table'!L:L/'Mortality Table'!K:K))</f>
        <v>2.0765748364040874E-4</v>
      </c>
      <c r="DP15" s="288">
        <f t="shared" si="5"/>
        <v>3.7810568867393721E-5</v>
      </c>
      <c r="DR15" s="288">
        <f>LOOKUP(DH15, 'Mortality Table'!A:A,('Mortality Table'!N:N/'Mortality Table'!M:M))</f>
        <v>2.5098487734644175E-4</v>
      </c>
      <c r="DS15" s="288">
        <f>LOOKUP(A15, 'Mortality Table'!A:A,('Mortality Table'!N:N/'Mortality Table'!M:M))</f>
        <v>2.1232452667094864E-4</v>
      </c>
      <c r="DT15" s="288">
        <f t="shared" si="6"/>
        <v>3.8660350675493105E-5</v>
      </c>
    </row>
    <row r="16" spans="1:124">
      <c r="A16" s="288">
        <v>13</v>
      </c>
      <c r="B16" s="288">
        <v>2.6323516011784835E-4</v>
      </c>
      <c r="C16" s="288">
        <f t="shared" si="2"/>
        <v>0</v>
      </c>
      <c r="D16" s="288">
        <f t="shared" si="2"/>
        <v>0</v>
      </c>
      <c r="E16" s="288">
        <f t="shared" si="2"/>
        <v>0</v>
      </c>
      <c r="F16" s="288">
        <f t="shared" si="2"/>
        <v>0</v>
      </c>
      <c r="G16" s="288">
        <f t="shared" si="2"/>
        <v>0</v>
      </c>
      <c r="H16" s="288">
        <f t="shared" si="2"/>
        <v>0</v>
      </c>
      <c r="I16" s="288">
        <f t="shared" si="2"/>
        <v>14</v>
      </c>
      <c r="J16" s="288">
        <f t="shared" si="2"/>
        <v>13</v>
      </c>
      <c r="K16" s="288">
        <f t="shared" si="2"/>
        <v>13</v>
      </c>
      <c r="L16" s="288">
        <f t="shared" si="2"/>
        <v>0</v>
      </c>
      <c r="M16" s="288">
        <f t="shared" si="2"/>
        <v>13</v>
      </c>
      <c r="N16" s="288">
        <f t="shared" si="2"/>
        <v>13</v>
      </c>
      <c r="O16" s="288">
        <f t="shared" si="2"/>
        <v>13</v>
      </c>
      <c r="P16" s="288">
        <f t="shared" si="2"/>
        <v>14</v>
      </c>
      <c r="Q16" s="288">
        <f t="shared" si="2"/>
        <v>0</v>
      </c>
      <c r="R16" s="288">
        <f t="shared" si="2"/>
        <v>0</v>
      </c>
      <c r="S16" s="288">
        <f t="shared" si="8"/>
        <v>0</v>
      </c>
      <c r="T16" s="288">
        <f t="shared" si="8"/>
        <v>0</v>
      </c>
      <c r="U16" s="288">
        <f t="shared" si="8"/>
        <v>0</v>
      </c>
      <c r="V16" s="288">
        <f t="shared" si="8"/>
        <v>0</v>
      </c>
      <c r="W16" s="288">
        <f t="shared" si="8"/>
        <v>0</v>
      </c>
      <c r="X16" s="288">
        <f t="shared" si="8"/>
        <v>0</v>
      </c>
      <c r="Y16" s="288">
        <f t="shared" si="8"/>
        <v>0</v>
      </c>
      <c r="Z16" s="288">
        <f t="shared" si="8"/>
        <v>0</v>
      </c>
      <c r="AA16" s="288">
        <f t="shared" si="8"/>
        <v>0</v>
      </c>
      <c r="AB16" s="288">
        <f t="shared" si="8"/>
        <v>0</v>
      </c>
      <c r="AC16" s="288">
        <f t="shared" si="8"/>
        <v>0</v>
      </c>
      <c r="AD16" s="288">
        <f t="shared" si="8"/>
        <v>0</v>
      </c>
      <c r="AE16" s="288">
        <f t="shared" si="8"/>
        <v>0</v>
      </c>
      <c r="AF16" s="288">
        <f t="shared" si="8"/>
        <v>0</v>
      </c>
      <c r="AG16" s="288">
        <f t="shared" si="8"/>
        <v>0</v>
      </c>
      <c r="AH16" s="288">
        <f t="shared" si="8"/>
        <v>0</v>
      </c>
      <c r="AI16" s="288">
        <f t="shared" si="9"/>
        <v>0</v>
      </c>
      <c r="AJ16" s="288">
        <f t="shared" si="9"/>
        <v>0</v>
      </c>
      <c r="AK16" s="288">
        <f t="shared" si="9"/>
        <v>0</v>
      </c>
      <c r="AL16" s="288">
        <f t="shared" si="9"/>
        <v>0</v>
      </c>
      <c r="AM16" s="288">
        <f t="shared" si="9"/>
        <v>0</v>
      </c>
      <c r="AN16" s="288">
        <f t="shared" si="9"/>
        <v>0</v>
      </c>
      <c r="AO16" s="288">
        <f t="shared" si="9"/>
        <v>0</v>
      </c>
      <c r="AP16" s="288">
        <f t="shared" si="9"/>
        <v>0</v>
      </c>
      <c r="AQ16" s="288">
        <f t="shared" si="9"/>
        <v>0</v>
      </c>
      <c r="AR16" s="288">
        <f t="shared" si="9"/>
        <v>0</v>
      </c>
      <c r="AS16" s="288">
        <f t="shared" si="9"/>
        <v>0</v>
      </c>
      <c r="AT16" s="288">
        <f t="shared" si="9"/>
        <v>0</v>
      </c>
      <c r="AU16" s="288">
        <f t="shared" si="9"/>
        <v>0</v>
      </c>
      <c r="AV16" s="288">
        <f t="shared" si="9"/>
        <v>0</v>
      </c>
      <c r="AW16" s="288">
        <f t="shared" si="9"/>
        <v>0</v>
      </c>
      <c r="AX16" s="288">
        <f t="shared" si="9"/>
        <v>0</v>
      </c>
      <c r="AY16" s="288">
        <f t="shared" si="10"/>
        <v>0</v>
      </c>
      <c r="AZ16" s="288">
        <f t="shared" si="10"/>
        <v>0</v>
      </c>
      <c r="BA16" s="288">
        <f t="shared" si="10"/>
        <v>0</v>
      </c>
      <c r="BB16" s="288">
        <f t="shared" si="10"/>
        <v>0</v>
      </c>
      <c r="BC16" s="288">
        <f t="shared" si="10"/>
        <v>0</v>
      </c>
      <c r="BD16" s="288">
        <f t="shared" si="10"/>
        <v>0</v>
      </c>
      <c r="BE16" s="288">
        <f t="shared" si="10"/>
        <v>0</v>
      </c>
      <c r="BF16" s="288">
        <f t="shared" si="10"/>
        <v>0</v>
      </c>
      <c r="BG16" s="288">
        <f t="shared" si="10"/>
        <v>0</v>
      </c>
      <c r="BH16" s="288">
        <f t="shared" si="10"/>
        <v>0</v>
      </c>
      <c r="BI16" s="288">
        <f t="shared" si="10"/>
        <v>0</v>
      </c>
      <c r="BJ16" s="288">
        <f t="shared" si="10"/>
        <v>0</v>
      </c>
      <c r="BK16" s="288">
        <f t="shared" si="10"/>
        <v>0</v>
      </c>
      <c r="BL16" s="288">
        <f t="shared" si="10"/>
        <v>0</v>
      </c>
      <c r="BM16" s="288">
        <f t="shared" si="10"/>
        <v>0</v>
      </c>
      <c r="BN16" s="288">
        <f t="shared" si="10"/>
        <v>0</v>
      </c>
      <c r="BO16" s="288">
        <f t="shared" si="7"/>
        <v>0</v>
      </c>
      <c r="BP16" s="288">
        <f t="shared" si="7"/>
        <v>0</v>
      </c>
      <c r="BQ16" s="288">
        <f t="shared" si="7"/>
        <v>0</v>
      </c>
      <c r="BR16" s="288">
        <f t="shared" si="7"/>
        <v>0</v>
      </c>
      <c r="BS16" s="288">
        <f t="shared" si="11"/>
        <v>0</v>
      </c>
      <c r="BT16" s="288">
        <f t="shared" si="11"/>
        <v>0</v>
      </c>
      <c r="BU16" s="288">
        <f t="shared" si="11"/>
        <v>0</v>
      </c>
      <c r="BV16" s="288">
        <f t="shared" si="11"/>
        <v>0</v>
      </c>
      <c r="BW16" s="288">
        <f t="shared" si="11"/>
        <v>0</v>
      </c>
      <c r="BX16" s="288">
        <f t="shared" si="11"/>
        <v>0</v>
      </c>
      <c r="BY16" s="288">
        <f t="shared" si="11"/>
        <v>0</v>
      </c>
      <c r="BZ16" s="288">
        <f t="shared" si="11"/>
        <v>0</v>
      </c>
      <c r="CA16" s="288">
        <f t="shared" si="11"/>
        <v>0</v>
      </c>
      <c r="CB16" s="288">
        <f t="shared" si="11"/>
        <v>0</v>
      </c>
      <c r="CC16" s="288">
        <f t="shared" si="11"/>
        <v>0</v>
      </c>
      <c r="CD16" s="288">
        <f t="shared" si="11"/>
        <v>0</v>
      </c>
      <c r="CE16" s="288">
        <f t="shared" si="11"/>
        <v>0</v>
      </c>
      <c r="CF16" s="288">
        <f t="shared" si="11"/>
        <v>0</v>
      </c>
      <c r="CG16" s="288">
        <f t="shared" si="11"/>
        <v>0</v>
      </c>
      <c r="CH16" s="288">
        <f t="shared" si="11"/>
        <v>0</v>
      </c>
      <c r="CI16" s="288">
        <f t="shared" si="12"/>
        <v>0</v>
      </c>
      <c r="CJ16" s="288">
        <f t="shared" si="12"/>
        <v>0</v>
      </c>
      <c r="CK16" s="288">
        <f t="shared" si="12"/>
        <v>0</v>
      </c>
      <c r="CL16" s="288">
        <f t="shared" si="12"/>
        <v>0</v>
      </c>
      <c r="CM16" s="288">
        <f t="shared" si="12"/>
        <v>0</v>
      </c>
      <c r="CN16" s="288">
        <f t="shared" si="12"/>
        <v>0</v>
      </c>
      <c r="CO16" s="288">
        <f t="shared" si="12"/>
        <v>0</v>
      </c>
      <c r="CP16" s="288">
        <f t="shared" si="12"/>
        <v>0</v>
      </c>
      <c r="CQ16" s="288">
        <f t="shared" si="12"/>
        <v>0</v>
      </c>
      <c r="CR16" s="288">
        <f t="shared" si="12"/>
        <v>0</v>
      </c>
      <c r="CS16" s="288">
        <f t="shared" si="12"/>
        <v>0</v>
      </c>
      <c r="CT16" s="288">
        <f t="shared" si="12"/>
        <v>0</v>
      </c>
      <c r="CU16" s="288">
        <f t="shared" si="12"/>
        <v>0</v>
      </c>
      <c r="CV16" s="288">
        <f t="shared" si="12"/>
        <v>0</v>
      </c>
      <c r="CW16" s="288">
        <f t="shared" si="12"/>
        <v>0</v>
      </c>
      <c r="CX16" s="288">
        <f t="shared" si="12"/>
        <v>0</v>
      </c>
      <c r="CY16" s="288">
        <f t="shared" si="13"/>
        <v>0</v>
      </c>
      <c r="CZ16" s="288">
        <f t="shared" si="13"/>
        <v>0</v>
      </c>
      <c r="DA16" s="288">
        <f t="shared" si="13"/>
        <v>0</v>
      </c>
      <c r="DB16" s="288">
        <f t="shared" si="13"/>
        <v>0</v>
      </c>
      <c r="DC16" s="288">
        <f t="shared" si="13"/>
        <v>0</v>
      </c>
      <c r="DD16" s="288">
        <f t="shared" si="13"/>
        <v>0</v>
      </c>
      <c r="DE16" s="288">
        <f t="shared" si="13"/>
        <v>0</v>
      </c>
      <c r="DG16" s="314">
        <f t="shared" si="3"/>
        <v>14</v>
      </c>
      <c r="DH16" s="289">
        <f>MAX(P$3:P$109)</f>
        <v>14</v>
      </c>
      <c r="DJ16" s="288">
        <f>LOOKUP(DH16, 'Mortality Table'!A:A,('Mortality Table'!J:J/'Mortality Table'!I:I))</f>
        <v>3.0765063943130974E-4</v>
      </c>
      <c r="DK16" s="288">
        <f>LOOKUP(A16, 'Mortality Table'!A:A,('Mortality Table'!J:J/'Mortality Table'!I:I))</f>
        <v>2.4232760694289224E-4</v>
      </c>
      <c r="DL16" s="288">
        <f t="shared" si="4"/>
        <v>6.5323032488417499E-5</v>
      </c>
      <c r="DN16" s="288">
        <f>LOOKUP(DH16, 'Mortality Table'!A:A,('Mortality Table'!L:L/'Mortality Table'!K:K))</f>
        <v>3.1163763908988157E-4</v>
      </c>
      <c r="DO16" s="288">
        <f>LOOKUP(A16, 'Mortality Table'!A:A,('Mortality Table'!L:L/'Mortality Table'!K:K))</f>
        <v>2.4546805250780246E-4</v>
      </c>
      <c r="DP16" s="288">
        <f t="shared" si="5"/>
        <v>6.6169586582079116E-5</v>
      </c>
      <c r="DR16" s="288">
        <f>LOOKUP(DH16, 'Mortality Table'!A:A,('Mortality Table'!N:N/'Mortality Table'!M:M))</f>
        <v>3.1864160661405178E-4</v>
      </c>
      <c r="DS16" s="288">
        <f>LOOKUP(A16, 'Mortality Table'!A:A,('Mortality Table'!N:N/'Mortality Table'!M:M))</f>
        <v>2.5098487734644175E-4</v>
      </c>
      <c r="DT16" s="288">
        <f t="shared" si="6"/>
        <v>6.7656729267610036E-5</v>
      </c>
    </row>
    <row r="17" spans="1:124">
      <c r="A17" s="288">
        <v>14</v>
      </c>
      <c r="B17" s="288">
        <v>3.3419413641197021E-4</v>
      </c>
      <c r="C17" s="288">
        <f t="shared" si="2"/>
        <v>0</v>
      </c>
      <c r="D17" s="288">
        <f t="shared" si="2"/>
        <v>0</v>
      </c>
      <c r="E17" s="288">
        <f t="shared" si="2"/>
        <v>0</v>
      </c>
      <c r="F17" s="288">
        <f t="shared" si="2"/>
        <v>15</v>
      </c>
      <c r="G17" s="288">
        <f t="shared" si="2"/>
        <v>14</v>
      </c>
      <c r="H17" s="288">
        <f t="shared" si="2"/>
        <v>14</v>
      </c>
      <c r="I17" s="288">
        <f t="shared" si="2"/>
        <v>0</v>
      </c>
      <c r="J17" s="288">
        <f t="shared" si="2"/>
        <v>0</v>
      </c>
      <c r="K17" s="288">
        <f t="shared" si="2"/>
        <v>0</v>
      </c>
      <c r="L17" s="288">
        <f t="shared" si="2"/>
        <v>0</v>
      </c>
      <c r="M17" s="288">
        <f t="shared" si="2"/>
        <v>0</v>
      </c>
      <c r="N17" s="288">
        <f t="shared" si="2"/>
        <v>0</v>
      </c>
      <c r="O17" s="288">
        <f t="shared" si="2"/>
        <v>0</v>
      </c>
      <c r="P17" s="288">
        <f t="shared" si="2"/>
        <v>0</v>
      </c>
      <c r="Q17" s="288">
        <f t="shared" si="2"/>
        <v>15</v>
      </c>
      <c r="R17" s="288">
        <f t="shared" si="2"/>
        <v>0</v>
      </c>
      <c r="S17" s="288">
        <f t="shared" si="8"/>
        <v>0</v>
      </c>
      <c r="T17" s="288">
        <f t="shared" si="8"/>
        <v>0</v>
      </c>
      <c r="U17" s="288">
        <f t="shared" si="8"/>
        <v>0</v>
      </c>
      <c r="V17" s="288">
        <f t="shared" si="8"/>
        <v>0</v>
      </c>
      <c r="W17" s="288">
        <f t="shared" si="8"/>
        <v>0</v>
      </c>
      <c r="X17" s="288">
        <f t="shared" si="8"/>
        <v>0</v>
      </c>
      <c r="Y17" s="288">
        <f t="shared" si="8"/>
        <v>0</v>
      </c>
      <c r="Z17" s="288">
        <f t="shared" si="8"/>
        <v>0</v>
      </c>
      <c r="AA17" s="288">
        <f t="shared" si="8"/>
        <v>0</v>
      </c>
      <c r="AB17" s="288">
        <f t="shared" si="8"/>
        <v>0</v>
      </c>
      <c r="AC17" s="288">
        <f t="shared" si="8"/>
        <v>0</v>
      </c>
      <c r="AD17" s="288">
        <f t="shared" si="8"/>
        <v>0</v>
      </c>
      <c r="AE17" s="288">
        <f t="shared" si="8"/>
        <v>0</v>
      </c>
      <c r="AF17" s="288">
        <f t="shared" si="8"/>
        <v>0</v>
      </c>
      <c r="AG17" s="288">
        <f t="shared" si="8"/>
        <v>0</v>
      </c>
      <c r="AH17" s="288">
        <f t="shared" si="8"/>
        <v>0</v>
      </c>
      <c r="AI17" s="288">
        <f t="shared" si="9"/>
        <v>0</v>
      </c>
      <c r="AJ17" s="288">
        <f t="shared" si="9"/>
        <v>0</v>
      </c>
      <c r="AK17" s="288">
        <f t="shared" si="9"/>
        <v>0</v>
      </c>
      <c r="AL17" s="288">
        <f t="shared" si="9"/>
        <v>0</v>
      </c>
      <c r="AM17" s="288">
        <f t="shared" si="9"/>
        <v>0</v>
      </c>
      <c r="AN17" s="288">
        <f t="shared" si="9"/>
        <v>0</v>
      </c>
      <c r="AO17" s="288">
        <f t="shared" si="9"/>
        <v>0</v>
      </c>
      <c r="AP17" s="288">
        <f t="shared" si="9"/>
        <v>0</v>
      </c>
      <c r="AQ17" s="288">
        <f t="shared" si="9"/>
        <v>0</v>
      </c>
      <c r="AR17" s="288">
        <f t="shared" si="9"/>
        <v>0</v>
      </c>
      <c r="AS17" s="288">
        <f t="shared" si="9"/>
        <v>0</v>
      </c>
      <c r="AT17" s="288">
        <f t="shared" si="9"/>
        <v>0</v>
      </c>
      <c r="AU17" s="288">
        <f t="shared" si="9"/>
        <v>0</v>
      </c>
      <c r="AV17" s="288">
        <f t="shared" si="9"/>
        <v>0</v>
      </c>
      <c r="AW17" s="288">
        <f t="shared" si="9"/>
        <v>0</v>
      </c>
      <c r="AX17" s="288">
        <f t="shared" si="9"/>
        <v>0</v>
      </c>
      <c r="AY17" s="288">
        <f t="shared" si="10"/>
        <v>0</v>
      </c>
      <c r="AZ17" s="288">
        <f t="shared" si="10"/>
        <v>0</v>
      </c>
      <c r="BA17" s="288">
        <f t="shared" si="10"/>
        <v>0</v>
      </c>
      <c r="BB17" s="288">
        <f t="shared" si="10"/>
        <v>0</v>
      </c>
      <c r="BC17" s="288">
        <f t="shared" si="10"/>
        <v>0</v>
      </c>
      <c r="BD17" s="288">
        <f t="shared" si="10"/>
        <v>0</v>
      </c>
      <c r="BE17" s="288">
        <f t="shared" si="10"/>
        <v>0</v>
      </c>
      <c r="BF17" s="288">
        <f t="shared" si="10"/>
        <v>0</v>
      </c>
      <c r="BG17" s="288">
        <f t="shared" si="10"/>
        <v>0</v>
      </c>
      <c r="BH17" s="288">
        <f t="shared" si="10"/>
        <v>0</v>
      </c>
      <c r="BI17" s="288">
        <f t="shared" si="10"/>
        <v>0</v>
      </c>
      <c r="BJ17" s="288">
        <f t="shared" si="10"/>
        <v>0</v>
      </c>
      <c r="BK17" s="288">
        <f t="shared" si="10"/>
        <v>0</v>
      </c>
      <c r="BL17" s="288">
        <f t="shared" si="10"/>
        <v>0</v>
      </c>
      <c r="BM17" s="288">
        <f t="shared" si="10"/>
        <v>0</v>
      </c>
      <c r="BN17" s="288">
        <f t="shared" si="10"/>
        <v>0</v>
      </c>
      <c r="BO17" s="288">
        <f t="shared" si="7"/>
        <v>0</v>
      </c>
      <c r="BP17" s="288">
        <f t="shared" si="7"/>
        <v>0</v>
      </c>
      <c r="BQ17" s="288">
        <f t="shared" si="7"/>
        <v>0</v>
      </c>
      <c r="BR17" s="288">
        <f t="shared" si="7"/>
        <v>0</v>
      </c>
      <c r="BS17" s="288">
        <f t="shared" si="11"/>
        <v>0</v>
      </c>
      <c r="BT17" s="288">
        <f t="shared" si="11"/>
        <v>0</v>
      </c>
      <c r="BU17" s="288">
        <f t="shared" si="11"/>
        <v>0</v>
      </c>
      <c r="BV17" s="288">
        <f t="shared" si="11"/>
        <v>0</v>
      </c>
      <c r="BW17" s="288">
        <f t="shared" si="11"/>
        <v>0</v>
      </c>
      <c r="BX17" s="288">
        <f t="shared" si="11"/>
        <v>0</v>
      </c>
      <c r="BY17" s="288">
        <f t="shared" si="11"/>
        <v>0</v>
      </c>
      <c r="BZ17" s="288">
        <f t="shared" si="11"/>
        <v>0</v>
      </c>
      <c r="CA17" s="288">
        <f t="shared" si="11"/>
        <v>0</v>
      </c>
      <c r="CB17" s="288">
        <f t="shared" si="11"/>
        <v>0</v>
      </c>
      <c r="CC17" s="288">
        <f t="shared" si="11"/>
        <v>0</v>
      </c>
      <c r="CD17" s="288">
        <f t="shared" si="11"/>
        <v>0</v>
      </c>
      <c r="CE17" s="288">
        <f t="shared" si="11"/>
        <v>0</v>
      </c>
      <c r="CF17" s="288">
        <f t="shared" si="11"/>
        <v>0</v>
      </c>
      <c r="CG17" s="288">
        <f t="shared" si="11"/>
        <v>0</v>
      </c>
      <c r="CH17" s="288">
        <f t="shared" si="11"/>
        <v>0</v>
      </c>
      <c r="CI17" s="288">
        <f t="shared" si="12"/>
        <v>0</v>
      </c>
      <c r="CJ17" s="288">
        <f t="shared" si="12"/>
        <v>0</v>
      </c>
      <c r="CK17" s="288">
        <f t="shared" si="12"/>
        <v>0</v>
      </c>
      <c r="CL17" s="288">
        <f t="shared" si="12"/>
        <v>0</v>
      </c>
      <c r="CM17" s="288">
        <f t="shared" si="12"/>
        <v>0</v>
      </c>
      <c r="CN17" s="288">
        <f t="shared" si="12"/>
        <v>0</v>
      </c>
      <c r="CO17" s="288">
        <f t="shared" si="12"/>
        <v>0</v>
      </c>
      <c r="CP17" s="288">
        <f t="shared" si="12"/>
        <v>0</v>
      </c>
      <c r="CQ17" s="288">
        <f t="shared" si="12"/>
        <v>0</v>
      </c>
      <c r="CR17" s="288">
        <f t="shared" si="12"/>
        <v>0</v>
      </c>
      <c r="CS17" s="288">
        <f t="shared" si="12"/>
        <v>0</v>
      </c>
      <c r="CT17" s="288">
        <f t="shared" si="12"/>
        <v>0</v>
      </c>
      <c r="CU17" s="288">
        <f t="shared" si="12"/>
        <v>0</v>
      </c>
      <c r="CV17" s="288">
        <f t="shared" si="12"/>
        <v>0</v>
      </c>
      <c r="CW17" s="288">
        <f t="shared" si="12"/>
        <v>0</v>
      </c>
      <c r="CX17" s="288">
        <f t="shared" si="12"/>
        <v>0</v>
      </c>
      <c r="CY17" s="288">
        <f t="shared" si="13"/>
        <v>0</v>
      </c>
      <c r="CZ17" s="288">
        <f t="shared" si="13"/>
        <v>0</v>
      </c>
      <c r="DA17" s="288">
        <f t="shared" si="13"/>
        <v>0</v>
      </c>
      <c r="DB17" s="288">
        <f t="shared" si="13"/>
        <v>0</v>
      </c>
      <c r="DC17" s="288">
        <f t="shared" si="13"/>
        <v>0</v>
      </c>
      <c r="DD17" s="288">
        <f t="shared" si="13"/>
        <v>0</v>
      </c>
      <c r="DE17" s="288">
        <f t="shared" si="13"/>
        <v>0</v>
      </c>
      <c r="DG17" s="314">
        <f t="shared" si="3"/>
        <v>15</v>
      </c>
      <c r="DH17" s="289">
        <f>MAX(Q$3:Q$109)</f>
        <v>15</v>
      </c>
      <c r="DJ17" s="288">
        <f>LOOKUP(DH17, 'Mortality Table'!A:A,('Mortality Table'!J:J/'Mortality Table'!I:I))</f>
        <v>4.1966384842191998E-4</v>
      </c>
      <c r="DK17" s="288">
        <f>LOOKUP(A17, 'Mortality Table'!A:A,('Mortality Table'!J:J/'Mortality Table'!I:I))</f>
        <v>3.0765063943130974E-4</v>
      </c>
      <c r="DL17" s="288">
        <f t="shared" si="4"/>
        <v>1.1201320899061024E-4</v>
      </c>
      <c r="DN17" s="288">
        <f>LOOKUP(DH17, 'Mortality Table'!A:A,('Mortality Table'!L:L/'Mortality Table'!K:K))</f>
        <v>4.2510248369817348E-4</v>
      </c>
      <c r="DO17" s="288">
        <f>LOOKUP(A17, 'Mortality Table'!A:A,('Mortality Table'!L:L/'Mortality Table'!K:K))</f>
        <v>3.1163763908988157E-4</v>
      </c>
      <c r="DP17" s="288">
        <f t="shared" si="5"/>
        <v>1.1346484460829191E-4</v>
      </c>
      <c r="DR17" s="288">
        <f>LOOKUP(DH17, 'Mortality Table'!A:A,('Mortality Table'!N:N/'Mortality Table'!M:M))</f>
        <v>4.3465654141392791E-4</v>
      </c>
      <c r="DS17" s="288">
        <f>LOOKUP(A17, 'Mortality Table'!A:A,('Mortality Table'!N:N/'Mortality Table'!M:M))</f>
        <v>3.1864160661405178E-4</v>
      </c>
      <c r="DT17" s="288">
        <f t="shared" si="6"/>
        <v>1.1601493479987613E-4</v>
      </c>
    </row>
    <row r="18" spans="1:124">
      <c r="A18" s="288">
        <v>15</v>
      </c>
      <c r="B18" s="288">
        <v>4.5587162654996355E-4</v>
      </c>
      <c r="C18" s="288">
        <f t="shared" si="2"/>
        <v>0</v>
      </c>
      <c r="D18" s="288">
        <f t="shared" si="2"/>
        <v>0</v>
      </c>
      <c r="E18" s="288">
        <f t="shared" si="2"/>
        <v>16</v>
      </c>
      <c r="F18" s="288">
        <f t="shared" si="2"/>
        <v>0</v>
      </c>
      <c r="G18" s="288">
        <f t="shared" si="2"/>
        <v>0</v>
      </c>
      <c r="H18" s="288">
        <f t="shared" si="2"/>
        <v>0</v>
      </c>
      <c r="I18" s="288">
        <f t="shared" si="2"/>
        <v>0</v>
      </c>
      <c r="J18" s="288">
        <f t="shared" si="2"/>
        <v>0</v>
      </c>
      <c r="K18" s="288">
        <f t="shared" si="2"/>
        <v>0</v>
      </c>
      <c r="L18" s="288">
        <f t="shared" si="2"/>
        <v>0</v>
      </c>
      <c r="M18" s="288">
        <f t="shared" si="2"/>
        <v>0</v>
      </c>
      <c r="N18" s="288">
        <f t="shared" si="2"/>
        <v>0</v>
      </c>
      <c r="O18" s="288">
        <f t="shared" si="2"/>
        <v>0</v>
      </c>
      <c r="P18" s="288">
        <f t="shared" si="2"/>
        <v>0</v>
      </c>
      <c r="Q18" s="288">
        <f t="shared" si="2"/>
        <v>0</v>
      </c>
      <c r="R18" s="288">
        <f t="shared" si="2"/>
        <v>16</v>
      </c>
      <c r="S18" s="288">
        <f t="shared" si="8"/>
        <v>0</v>
      </c>
      <c r="T18" s="288">
        <f t="shared" si="8"/>
        <v>0</v>
      </c>
      <c r="U18" s="288">
        <f t="shared" si="8"/>
        <v>0</v>
      </c>
      <c r="V18" s="288">
        <f t="shared" si="8"/>
        <v>0</v>
      </c>
      <c r="W18" s="288">
        <f t="shared" si="8"/>
        <v>0</v>
      </c>
      <c r="X18" s="288">
        <f t="shared" si="8"/>
        <v>0</v>
      </c>
      <c r="Y18" s="288">
        <f t="shared" si="8"/>
        <v>0</v>
      </c>
      <c r="Z18" s="288">
        <f t="shared" si="8"/>
        <v>0</v>
      </c>
      <c r="AA18" s="288">
        <f t="shared" si="8"/>
        <v>0</v>
      </c>
      <c r="AB18" s="288">
        <f t="shared" si="8"/>
        <v>0</v>
      </c>
      <c r="AC18" s="288">
        <f t="shared" si="8"/>
        <v>0</v>
      </c>
      <c r="AD18" s="288">
        <f t="shared" si="8"/>
        <v>0</v>
      </c>
      <c r="AE18" s="288">
        <f t="shared" si="8"/>
        <v>0</v>
      </c>
      <c r="AF18" s="288">
        <f t="shared" si="8"/>
        <v>0</v>
      </c>
      <c r="AG18" s="288">
        <f t="shared" si="8"/>
        <v>0</v>
      </c>
      <c r="AH18" s="288">
        <f t="shared" si="8"/>
        <v>0</v>
      </c>
      <c r="AI18" s="288">
        <f t="shared" si="9"/>
        <v>0</v>
      </c>
      <c r="AJ18" s="288">
        <f t="shared" si="9"/>
        <v>0</v>
      </c>
      <c r="AK18" s="288">
        <f t="shared" si="9"/>
        <v>0</v>
      </c>
      <c r="AL18" s="288">
        <f t="shared" si="9"/>
        <v>0</v>
      </c>
      <c r="AM18" s="288">
        <f t="shared" si="9"/>
        <v>0</v>
      </c>
      <c r="AN18" s="288">
        <f t="shared" si="9"/>
        <v>0</v>
      </c>
      <c r="AO18" s="288">
        <f t="shared" si="9"/>
        <v>0</v>
      </c>
      <c r="AP18" s="288">
        <f t="shared" si="9"/>
        <v>0</v>
      </c>
      <c r="AQ18" s="288">
        <f t="shared" si="9"/>
        <v>0</v>
      </c>
      <c r="AR18" s="288">
        <f t="shared" si="9"/>
        <v>0</v>
      </c>
      <c r="AS18" s="288">
        <f t="shared" si="9"/>
        <v>0</v>
      </c>
      <c r="AT18" s="288">
        <f t="shared" si="9"/>
        <v>0</v>
      </c>
      <c r="AU18" s="288">
        <f t="shared" si="9"/>
        <v>0</v>
      </c>
      <c r="AV18" s="288">
        <f t="shared" si="9"/>
        <v>0</v>
      </c>
      <c r="AW18" s="288">
        <f t="shared" si="9"/>
        <v>0</v>
      </c>
      <c r="AX18" s="288">
        <f t="shared" si="9"/>
        <v>0</v>
      </c>
      <c r="AY18" s="288">
        <f t="shared" si="10"/>
        <v>0</v>
      </c>
      <c r="AZ18" s="288">
        <f t="shared" si="10"/>
        <v>0</v>
      </c>
      <c r="BA18" s="288">
        <f t="shared" si="10"/>
        <v>0</v>
      </c>
      <c r="BB18" s="288">
        <f t="shared" si="10"/>
        <v>0</v>
      </c>
      <c r="BC18" s="288">
        <f t="shared" si="10"/>
        <v>0</v>
      </c>
      <c r="BD18" s="288">
        <f t="shared" si="10"/>
        <v>0</v>
      </c>
      <c r="BE18" s="288">
        <f t="shared" si="10"/>
        <v>0</v>
      </c>
      <c r="BF18" s="288">
        <f t="shared" si="10"/>
        <v>0</v>
      </c>
      <c r="BG18" s="288">
        <f t="shared" si="10"/>
        <v>0</v>
      </c>
      <c r="BH18" s="288">
        <f t="shared" si="10"/>
        <v>0</v>
      </c>
      <c r="BI18" s="288">
        <f t="shared" si="10"/>
        <v>0</v>
      </c>
      <c r="BJ18" s="288">
        <f t="shared" si="10"/>
        <v>0</v>
      </c>
      <c r="BK18" s="288">
        <f t="shared" si="10"/>
        <v>0</v>
      </c>
      <c r="BL18" s="288">
        <f t="shared" si="10"/>
        <v>0</v>
      </c>
      <c r="BM18" s="288">
        <f t="shared" si="10"/>
        <v>0</v>
      </c>
      <c r="BN18" s="288">
        <f t="shared" si="10"/>
        <v>0</v>
      </c>
      <c r="BO18" s="288">
        <f t="shared" si="7"/>
        <v>0</v>
      </c>
      <c r="BP18" s="288">
        <f t="shared" si="7"/>
        <v>0</v>
      </c>
      <c r="BQ18" s="288">
        <f t="shared" si="7"/>
        <v>0</v>
      </c>
      <c r="BR18" s="288">
        <f t="shared" si="7"/>
        <v>0</v>
      </c>
      <c r="BS18" s="288">
        <f t="shared" si="11"/>
        <v>0</v>
      </c>
      <c r="BT18" s="288">
        <f t="shared" si="11"/>
        <v>0</v>
      </c>
      <c r="BU18" s="288">
        <f t="shared" si="11"/>
        <v>0</v>
      </c>
      <c r="BV18" s="288">
        <f t="shared" si="11"/>
        <v>0</v>
      </c>
      <c r="BW18" s="288">
        <f t="shared" si="11"/>
        <v>0</v>
      </c>
      <c r="BX18" s="288">
        <f t="shared" si="11"/>
        <v>0</v>
      </c>
      <c r="BY18" s="288">
        <f t="shared" si="11"/>
        <v>0</v>
      </c>
      <c r="BZ18" s="288">
        <f t="shared" si="11"/>
        <v>0</v>
      </c>
      <c r="CA18" s="288">
        <f t="shared" si="11"/>
        <v>0</v>
      </c>
      <c r="CB18" s="288">
        <f t="shared" si="11"/>
        <v>0</v>
      </c>
      <c r="CC18" s="288">
        <f t="shared" si="11"/>
        <v>0</v>
      </c>
      <c r="CD18" s="288">
        <f t="shared" si="11"/>
        <v>0</v>
      </c>
      <c r="CE18" s="288">
        <f t="shared" si="11"/>
        <v>0</v>
      </c>
      <c r="CF18" s="288">
        <f t="shared" si="11"/>
        <v>0</v>
      </c>
      <c r="CG18" s="288">
        <f t="shared" si="11"/>
        <v>0</v>
      </c>
      <c r="CH18" s="288">
        <f t="shared" si="11"/>
        <v>0</v>
      </c>
      <c r="CI18" s="288">
        <f t="shared" si="12"/>
        <v>0</v>
      </c>
      <c r="CJ18" s="288">
        <f t="shared" si="12"/>
        <v>0</v>
      </c>
      <c r="CK18" s="288">
        <f t="shared" si="12"/>
        <v>0</v>
      </c>
      <c r="CL18" s="288">
        <f t="shared" si="12"/>
        <v>0</v>
      </c>
      <c r="CM18" s="288">
        <f t="shared" si="12"/>
        <v>0</v>
      </c>
      <c r="CN18" s="288">
        <f t="shared" si="12"/>
        <v>0</v>
      </c>
      <c r="CO18" s="288">
        <f t="shared" si="12"/>
        <v>0</v>
      </c>
      <c r="CP18" s="288">
        <f t="shared" si="12"/>
        <v>0</v>
      </c>
      <c r="CQ18" s="288">
        <f t="shared" si="12"/>
        <v>0</v>
      </c>
      <c r="CR18" s="288">
        <f t="shared" si="12"/>
        <v>0</v>
      </c>
      <c r="CS18" s="288">
        <f t="shared" si="12"/>
        <v>0</v>
      </c>
      <c r="CT18" s="288">
        <f t="shared" si="12"/>
        <v>0</v>
      </c>
      <c r="CU18" s="288">
        <f t="shared" si="12"/>
        <v>0</v>
      </c>
      <c r="CV18" s="288">
        <f t="shared" si="12"/>
        <v>0</v>
      </c>
      <c r="CW18" s="288">
        <f t="shared" si="12"/>
        <v>0</v>
      </c>
      <c r="CX18" s="288">
        <f t="shared" si="12"/>
        <v>0</v>
      </c>
      <c r="CY18" s="288">
        <f t="shared" si="13"/>
        <v>0</v>
      </c>
      <c r="CZ18" s="288">
        <f t="shared" si="13"/>
        <v>0</v>
      </c>
      <c r="DA18" s="288">
        <f t="shared" si="13"/>
        <v>0</v>
      </c>
      <c r="DB18" s="288">
        <f t="shared" si="13"/>
        <v>0</v>
      </c>
      <c r="DC18" s="288">
        <f t="shared" si="13"/>
        <v>0</v>
      </c>
      <c r="DD18" s="288">
        <f t="shared" si="13"/>
        <v>0</v>
      </c>
      <c r="DE18" s="288">
        <f t="shared" si="13"/>
        <v>0</v>
      </c>
      <c r="DG18" s="314">
        <f t="shared" si="3"/>
        <v>16</v>
      </c>
      <c r="DH18" s="289">
        <f>MAX(R$3:R$109)</f>
        <v>16</v>
      </c>
      <c r="DJ18" s="288">
        <f>LOOKUP(DH18, 'Mortality Table'!A:A,('Mortality Table'!J:J/'Mortality Table'!I:I))</f>
        <v>5.6913711465634642E-4</v>
      </c>
      <c r="DK18" s="288">
        <f>LOOKUP(A18, 'Mortality Table'!A:A,('Mortality Table'!J:J/'Mortality Table'!I:I))</f>
        <v>4.1966384842191998E-4</v>
      </c>
      <c r="DL18" s="288">
        <f t="shared" si="4"/>
        <v>1.4947326623442644E-4</v>
      </c>
      <c r="DN18" s="288">
        <f>LOOKUP(DH18, 'Mortality Table'!A:A,('Mortality Table'!L:L/'Mortality Table'!K:K))</f>
        <v>5.7651284930786519E-4</v>
      </c>
      <c r="DO18" s="288">
        <f>LOOKUP(A18, 'Mortality Table'!A:A,('Mortality Table'!L:L/'Mortality Table'!K:K))</f>
        <v>4.2510248369817348E-4</v>
      </c>
      <c r="DP18" s="288">
        <f t="shared" si="5"/>
        <v>1.5141036560969171E-4</v>
      </c>
      <c r="DR18" s="288">
        <f>LOOKUP(DH18, 'Mortality Table'!A:A,('Mortality Table'!N:N/'Mortality Table'!M:M))</f>
        <v>5.8946981203422753E-4</v>
      </c>
      <c r="DS18" s="288">
        <f>LOOKUP(A18, 'Mortality Table'!A:A,('Mortality Table'!N:N/'Mortality Table'!M:M))</f>
        <v>4.3465654141392791E-4</v>
      </c>
      <c r="DT18" s="288">
        <f t="shared" si="6"/>
        <v>1.5481327062029962E-4</v>
      </c>
    </row>
    <row r="19" spans="1:124">
      <c r="A19" s="288">
        <v>16</v>
      </c>
      <c r="B19" s="288">
        <v>6.1824115459069393E-4</v>
      </c>
      <c r="C19" s="288">
        <f t="shared" si="2"/>
        <v>0</v>
      </c>
      <c r="D19" s="288">
        <f t="shared" si="2"/>
        <v>0</v>
      </c>
      <c r="E19" s="288">
        <f t="shared" si="2"/>
        <v>0</v>
      </c>
      <c r="F19" s="288">
        <f t="shared" si="2"/>
        <v>0</v>
      </c>
      <c r="G19" s="288">
        <f t="shared" si="2"/>
        <v>0</v>
      </c>
      <c r="H19" s="288">
        <f t="shared" si="2"/>
        <v>0</v>
      </c>
      <c r="I19" s="288">
        <f t="shared" si="2"/>
        <v>0</v>
      </c>
      <c r="J19" s="288">
        <f t="shared" si="2"/>
        <v>0</v>
      </c>
      <c r="K19" s="288">
        <f t="shared" si="2"/>
        <v>0</v>
      </c>
      <c r="L19" s="288">
        <f t="shared" si="2"/>
        <v>0</v>
      </c>
      <c r="M19" s="288">
        <f t="shared" si="2"/>
        <v>0</v>
      </c>
      <c r="N19" s="288">
        <f t="shared" si="2"/>
        <v>0</v>
      </c>
      <c r="O19" s="288">
        <f t="shared" si="2"/>
        <v>0</v>
      </c>
      <c r="P19" s="288">
        <f t="shared" si="2"/>
        <v>0</v>
      </c>
      <c r="Q19" s="288">
        <f t="shared" si="2"/>
        <v>0</v>
      </c>
      <c r="R19" s="288">
        <f t="shared" si="2"/>
        <v>0</v>
      </c>
      <c r="S19" s="288">
        <f t="shared" si="8"/>
        <v>17</v>
      </c>
      <c r="T19" s="288">
        <f t="shared" si="8"/>
        <v>0</v>
      </c>
      <c r="U19" s="288">
        <f t="shared" si="8"/>
        <v>0</v>
      </c>
      <c r="V19" s="288">
        <f t="shared" si="8"/>
        <v>0</v>
      </c>
      <c r="W19" s="288">
        <f t="shared" si="8"/>
        <v>0</v>
      </c>
      <c r="X19" s="288">
        <f t="shared" si="8"/>
        <v>0</v>
      </c>
      <c r="Y19" s="288">
        <f t="shared" si="8"/>
        <v>0</v>
      </c>
      <c r="Z19" s="288">
        <f t="shared" si="8"/>
        <v>0</v>
      </c>
      <c r="AA19" s="288">
        <f t="shared" si="8"/>
        <v>0</v>
      </c>
      <c r="AB19" s="288">
        <f t="shared" si="8"/>
        <v>0</v>
      </c>
      <c r="AC19" s="288">
        <f t="shared" si="8"/>
        <v>0</v>
      </c>
      <c r="AD19" s="288">
        <f t="shared" si="8"/>
        <v>0</v>
      </c>
      <c r="AE19" s="288">
        <f t="shared" si="8"/>
        <v>0</v>
      </c>
      <c r="AF19" s="288">
        <f t="shared" si="8"/>
        <v>0</v>
      </c>
      <c r="AG19" s="288">
        <f t="shared" si="8"/>
        <v>0</v>
      </c>
      <c r="AH19" s="288">
        <f t="shared" si="8"/>
        <v>0</v>
      </c>
      <c r="AI19" s="288">
        <f t="shared" si="9"/>
        <v>0</v>
      </c>
      <c r="AJ19" s="288">
        <f t="shared" si="9"/>
        <v>0</v>
      </c>
      <c r="AK19" s="288">
        <f t="shared" si="9"/>
        <v>0</v>
      </c>
      <c r="AL19" s="288">
        <f t="shared" si="9"/>
        <v>0</v>
      </c>
      <c r="AM19" s="288">
        <f t="shared" si="9"/>
        <v>0</v>
      </c>
      <c r="AN19" s="288">
        <f t="shared" si="9"/>
        <v>0</v>
      </c>
      <c r="AO19" s="288">
        <f t="shared" si="9"/>
        <v>0</v>
      </c>
      <c r="AP19" s="288">
        <f t="shared" si="9"/>
        <v>0</v>
      </c>
      <c r="AQ19" s="288">
        <f t="shared" si="9"/>
        <v>0</v>
      </c>
      <c r="AR19" s="288">
        <f t="shared" si="9"/>
        <v>0</v>
      </c>
      <c r="AS19" s="288">
        <f t="shared" si="9"/>
        <v>0</v>
      </c>
      <c r="AT19" s="288">
        <f t="shared" si="9"/>
        <v>0</v>
      </c>
      <c r="AU19" s="288">
        <f t="shared" si="9"/>
        <v>0</v>
      </c>
      <c r="AV19" s="288">
        <f t="shared" si="9"/>
        <v>0</v>
      </c>
      <c r="AW19" s="288">
        <f t="shared" si="9"/>
        <v>0</v>
      </c>
      <c r="AX19" s="288">
        <f t="shared" si="9"/>
        <v>0</v>
      </c>
      <c r="AY19" s="288">
        <f t="shared" si="10"/>
        <v>0</v>
      </c>
      <c r="AZ19" s="288">
        <f t="shared" si="10"/>
        <v>0</v>
      </c>
      <c r="BA19" s="288">
        <f t="shared" si="10"/>
        <v>0</v>
      </c>
      <c r="BB19" s="288">
        <f t="shared" si="10"/>
        <v>0</v>
      </c>
      <c r="BC19" s="288">
        <f t="shared" si="10"/>
        <v>0</v>
      </c>
      <c r="BD19" s="288">
        <f t="shared" si="10"/>
        <v>0</v>
      </c>
      <c r="BE19" s="288">
        <f t="shared" si="10"/>
        <v>0</v>
      </c>
      <c r="BF19" s="288">
        <f t="shared" si="10"/>
        <v>0</v>
      </c>
      <c r="BG19" s="288">
        <f t="shared" si="10"/>
        <v>0</v>
      </c>
      <c r="BH19" s="288">
        <f t="shared" si="10"/>
        <v>0</v>
      </c>
      <c r="BI19" s="288">
        <f t="shared" si="10"/>
        <v>0</v>
      </c>
      <c r="BJ19" s="288">
        <f t="shared" si="10"/>
        <v>0</v>
      </c>
      <c r="BK19" s="288">
        <f t="shared" si="10"/>
        <v>0</v>
      </c>
      <c r="BL19" s="288">
        <f t="shared" si="10"/>
        <v>0</v>
      </c>
      <c r="BM19" s="288">
        <f t="shared" si="10"/>
        <v>0</v>
      </c>
      <c r="BN19" s="288">
        <f t="shared" si="10"/>
        <v>0</v>
      </c>
      <c r="BO19" s="288">
        <f t="shared" si="7"/>
        <v>0</v>
      </c>
      <c r="BP19" s="288">
        <f t="shared" si="7"/>
        <v>0</v>
      </c>
      <c r="BQ19" s="288">
        <f t="shared" si="7"/>
        <v>0</v>
      </c>
      <c r="BR19" s="288">
        <f t="shared" si="7"/>
        <v>0</v>
      </c>
      <c r="BS19" s="288">
        <f t="shared" si="11"/>
        <v>0</v>
      </c>
      <c r="BT19" s="288">
        <f t="shared" si="11"/>
        <v>0</v>
      </c>
      <c r="BU19" s="288">
        <f t="shared" si="11"/>
        <v>0</v>
      </c>
      <c r="BV19" s="288">
        <f t="shared" si="11"/>
        <v>0</v>
      </c>
      <c r="BW19" s="288">
        <f t="shared" si="11"/>
        <v>0</v>
      </c>
      <c r="BX19" s="288">
        <f t="shared" si="11"/>
        <v>0</v>
      </c>
      <c r="BY19" s="288">
        <f t="shared" si="11"/>
        <v>0</v>
      </c>
      <c r="BZ19" s="288">
        <f t="shared" si="11"/>
        <v>0</v>
      </c>
      <c r="CA19" s="288">
        <f t="shared" si="11"/>
        <v>0</v>
      </c>
      <c r="CB19" s="288">
        <f t="shared" si="11"/>
        <v>0</v>
      </c>
      <c r="CC19" s="288">
        <f t="shared" si="11"/>
        <v>0</v>
      </c>
      <c r="CD19" s="288">
        <f t="shared" si="11"/>
        <v>0</v>
      </c>
      <c r="CE19" s="288">
        <f t="shared" si="11"/>
        <v>0</v>
      </c>
      <c r="CF19" s="288">
        <f t="shared" si="11"/>
        <v>0</v>
      </c>
      <c r="CG19" s="288">
        <f t="shared" si="11"/>
        <v>0</v>
      </c>
      <c r="CH19" s="288">
        <f t="shared" si="11"/>
        <v>0</v>
      </c>
      <c r="CI19" s="288">
        <f t="shared" si="12"/>
        <v>0</v>
      </c>
      <c r="CJ19" s="288">
        <f t="shared" si="12"/>
        <v>0</v>
      </c>
      <c r="CK19" s="288">
        <f t="shared" si="12"/>
        <v>0</v>
      </c>
      <c r="CL19" s="288">
        <f t="shared" si="12"/>
        <v>0</v>
      </c>
      <c r="CM19" s="288">
        <f t="shared" si="12"/>
        <v>0</v>
      </c>
      <c r="CN19" s="288">
        <f t="shared" si="12"/>
        <v>0</v>
      </c>
      <c r="CO19" s="288">
        <f t="shared" si="12"/>
        <v>0</v>
      </c>
      <c r="CP19" s="288">
        <f t="shared" si="12"/>
        <v>0</v>
      </c>
      <c r="CQ19" s="288">
        <f t="shared" si="12"/>
        <v>0</v>
      </c>
      <c r="CR19" s="288">
        <f t="shared" si="12"/>
        <v>0</v>
      </c>
      <c r="CS19" s="288">
        <f t="shared" si="12"/>
        <v>0</v>
      </c>
      <c r="CT19" s="288">
        <f t="shared" si="12"/>
        <v>0</v>
      </c>
      <c r="CU19" s="288">
        <f t="shared" si="12"/>
        <v>0</v>
      </c>
      <c r="CV19" s="288">
        <f t="shared" si="12"/>
        <v>0</v>
      </c>
      <c r="CW19" s="288">
        <f t="shared" si="12"/>
        <v>0</v>
      </c>
      <c r="CX19" s="288">
        <f t="shared" si="12"/>
        <v>0</v>
      </c>
      <c r="CY19" s="288">
        <f t="shared" si="13"/>
        <v>0</v>
      </c>
      <c r="CZ19" s="288">
        <f t="shared" si="13"/>
        <v>0</v>
      </c>
      <c r="DA19" s="288">
        <f t="shared" si="13"/>
        <v>0</v>
      </c>
      <c r="DB19" s="288">
        <f t="shared" si="13"/>
        <v>0</v>
      </c>
      <c r="DC19" s="288">
        <f t="shared" si="13"/>
        <v>0</v>
      </c>
      <c r="DD19" s="288">
        <f t="shared" si="13"/>
        <v>0</v>
      </c>
      <c r="DE19" s="288">
        <f t="shared" si="13"/>
        <v>0</v>
      </c>
      <c r="DG19" s="314">
        <f t="shared" si="3"/>
        <v>17</v>
      </c>
      <c r="DH19" s="289">
        <f>MAX(S$3:S$109)</f>
        <v>17</v>
      </c>
      <c r="DJ19" s="288">
        <f>LOOKUP(DH19, 'Mortality Table'!A:A,('Mortality Table'!J:J/'Mortality Table'!I:I))</f>
        <v>8.0288640791894845E-4</v>
      </c>
      <c r="DK19" s="288">
        <f>LOOKUP(A19, 'Mortality Table'!A:A,('Mortality Table'!J:J/'Mortality Table'!I:I))</f>
        <v>5.6913711465634642E-4</v>
      </c>
      <c r="DL19" s="288">
        <f t="shared" si="4"/>
        <v>2.3374929326260203E-4</v>
      </c>
      <c r="DN19" s="288">
        <f>LOOKUP(DH19, 'Mortality Table'!A:A,('Mortality Table'!L:L/'Mortality Table'!K:K))</f>
        <v>8.1329141744586483E-4</v>
      </c>
      <c r="DO19" s="288">
        <f>LOOKUP(A19, 'Mortality Table'!A:A,('Mortality Table'!L:L/'Mortality Table'!K:K))</f>
        <v>5.7651284930786519E-4</v>
      </c>
      <c r="DP19" s="288">
        <f t="shared" si="5"/>
        <v>2.3677856813799963E-4</v>
      </c>
      <c r="DR19" s="288">
        <f>LOOKUP(DH19, 'Mortality Table'!A:A,('Mortality Table'!N:N/'Mortality Table'!M:M))</f>
        <v>8.3156991131493941E-4</v>
      </c>
      <c r="DS19" s="288">
        <f>LOOKUP(A19, 'Mortality Table'!A:A,('Mortality Table'!N:N/'Mortality Table'!M:M))</f>
        <v>5.8946981203422753E-4</v>
      </c>
      <c r="DT19" s="288">
        <f t="shared" si="6"/>
        <v>2.4210009928071188E-4</v>
      </c>
    </row>
    <row r="20" spans="1:124">
      <c r="A20" s="288">
        <v>17</v>
      </c>
      <c r="B20" s="288">
        <v>8.7215788085917697E-4</v>
      </c>
      <c r="C20" s="288">
        <f t="shared" si="2"/>
        <v>0</v>
      </c>
      <c r="D20" s="288">
        <f t="shared" si="2"/>
        <v>17</v>
      </c>
      <c r="E20" s="288">
        <f t="shared" si="2"/>
        <v>0</v>
      </c>
      <c r="F20" s="288">
        <f t="shared" si="2"/>
        <v>0</v>
      </c>
      <c r="G20" s="288">
        <f t="shared" si="2"/>
        <v>0</v>
      </c>
      <c r="H20" s="288">
        <f t="shared" si="2"/>
        <v>0</v>
      </c>
      <c r="I20" s="288">
        <f t="shared" si="2"/>
        <v>0</v>
      </c>
      <c r="J20" s="288">
        <f t="shared" si="2"/>
        <v>0</v>
      </c>
      <c r="K20" s="288">
        <f t="shared" si="2"/>
        <v>0</v>
      </c>
      <c r="L20" s="288">
        <f t="shared" si="2"/>
        <v>0</v>
      </c>
      <c r="M20" s="288">
        <f t="shared" si="2"/>
        <v>0</v>
      </c>
      <c r="N20" s="288">
        <f t="shared" si="2"/>
        <v>0</v>
      </c>
      <c r="O20" s="288">
        <f t="shared" si="2"/>
        <v>0</v>
      </c>
      <c r="P20" s="288">
        <f t="shared" si="2"/>
        <v>0</v>
      </c>
      <c r="Q20" s="288">
        <f t="shared" si="2"/>
        <v>0</v>
      </c>
      <c r="R20" s="288">
        <f t="shared" si="2"/>
        <v>0</v>
      </c>
      <c r="S20" s="288">
        <f t="shared" si="8"/>
        <v>0</v>
      </c>
      <c r="T20" s="288">
        <f t="shared" si="8"/>
        <v>18</v>
      </c>
      <c r="U20" s="288">
        <f t="shared" si="8"/>
        <v>0</v>
      </c>
      <c r="V20" s="288">
        <f t="shared" si="8"/>
        <v>0</v>
      </c>
      <c r="W20" s="288">
        <f t="shared" si="8"/>
        <v>0</v>
      </c>
      <c r="X20" s="288">
        <f t="shared" si="8"/>
        <v>0</v>
      </c>
      <c r="Y20" s="288">
        <f t="shared" si="8"/>
        <v>0</v>
      </c>
      <c r="Z20" s="288">
        <f t="shared" si="8"/>
        <v>0</v>
      </c>
      <c r="AA20" s="288">
        <f t="shared" si="8"/>
        <v>0</v>
      </c>
      <c r="AB20" s="288">
        <f t="shared" si="8"/>
        <v>0</v>
      </c>
      <c r="AC20" s="288">
        <f t="shared" si="8"/>
        <v>0</v>
      </c>
      <c r="AD20" s="288">
        <f t="shared" si="8"/>
        <v>0</v>
      </c>
      <c r="AE20" s="288">
        <f t="shared" si="8"/>
        <v>0</v>
      </c>
      <c r="AF20" s="288">
        <f t="shared" si="8"/>
        <v>0</v>
      </c>
      <c r="AG20" s="288">
        <f t="shared" si="8"/>
        <v>0</v>
      </c>
      <c r="AH20" s="288">
        <f t="shared" si="8"/>
        <v>0</v>
      </c>
      <c r="AI20" s="288">
        <f t="shared" si="9"/>
        <v>0</v>
      </c>
      <c r="AJ20" s="288">
        <f t="shared" si="9"/>
        <v>0</v>
      </c>
      <c r="AK20" s="288">
        <f t="shared" si="9"/>
        <v>0</v>
      </c>
      <c r="AL20" s="288">
        <f t="shared" si="9"/>
        <v>0</v>
      </c>
      <c r="AM20" s="288">
        <f t="shared" si="9"/>
        <v>0</v>
      </c>
      <c r="AN20" s="288">
        <f t="shared" si="9"/>
        <v>0</v>
      </c>
      <c r="AO20" s="288">
        <f t="shared" si="9"/>
        <v>0</v>
      </c>
      <c r="AP20" s="288">
        <f t="shared" si="9"/>
        <v>0</v>
      </c>
      <c r="AQ20" s="288">
        <f t="shared" si="9"/>
        <v>0</v>
      </c>
      <c r="AR20" s="288">
        <f t="shared" si="9"/>
        <v>0</v>
      </c>
      <c r="AS20" s="288">
        <f t="shared" si="9"/>
        <v>0</v>
      </c>
      <c r="AT20" s="288">
        <f t="shared" si="9"/>
        <v>0</v>
      </c>
      <c r="AU20" s="288">
        <f t="shared" si="9"/>
        <v>0</v>
      </c>
      <c r="AV20" s="288">
        <f t="shared" si="9"/>
        <v>0</v>
      </c>
      <c r="AW20" s="288">
        <f t="shared" si="9"/>
        <v>0</v>
      </c>
      <c r="AX20" s="288">
        <f t="shared" si="9"/>
        <v>0</v>
      </c>
      <c r="AY20" s="288">
        <f t="shared" si="10"/>
        <v>0</v>
      </c>
      <c r="AZ20" s="288">
        <f t="shared" si="10"/>
        <v>0</v>
      </c>
      <c r="BA20" s="288">
        <f t="shared" si="10"/>
        <v>0</v>
      </c>
      <c r="BB20" s="288">
        <f t="shared" si="10"/>
        <v>0</v>
      </c>
      <c r="BC20" s="288">
        <f t="shared" si="10"/>
        <v>0</v>
      </c>
      <c r="BD20" s="288">
        <f t="shared" si="10"/>
        <v>0</v>
      </c>
      <c r="BE20" s="288">
        <f t="shared" si="10"/>
        <v>0</v>
      </c>
      <c r="BF20" s="288">
        <f t="shared" si="10"/>
        <v>0</v>
      </c>
      <c r="BG20" s="288">
        <f t="shared" si="10"/>
        <v>0</v>
      </c>
      <c r="BH20" s="288">
        <f t="shared" si="10"/>
        <v>0</v>
      </c>
      <c r="BI20" s="288">
        <f t="shared" si="10"/>
        <v>0</v>
      </c>
      <c r="BJ20" s="288">
        <f t="shared" si="10"/>
        <v>0</v>
      </c>
      <c r="BK20" s="288">
        <f t="shared" si="10"/>
        <v>0</v>
      </c>
      <c r="BL20" s="288">
        <f t="shared" si="10"/>
        <v>0</v>
      </c>
      <c r="BM20" s="288">
        <f t="shared" si="10"/>
        <v>0</v>
      </c>
      <c r="BN20" s="288">
        <f t="shared" si="10"/>
        <v>0</v>
      </c>
      <c r="BO20" s="288">
        <f t="shared" si="7"/>
        <v>0</v>
      </c>
      <c r="BP20" s="288">
        <f t="shared" si="7"/>
        <v>0</v>
      </c>
      <c r="BQ20" s="288">
        <f t="shared" si="7"/>
        <v>0</v>
      </c>
      <c r="BR20" s="288">
        <f t="shared" si="7"/>
        <v>0</v>
      </c>
      <c r="BS20" s="288">
        <f t="shared" si="11"/>
        <v>0</v>
      </c>
      <c r="BT20" s="288">
        <f t="shared" si="11"/>
        <v>0</v>
      </c>
      <c r="BU20" s="288">
        <f t="shared" si="11"/>
        <v>0</v>
      </c>
      <c r="BV20" s="288">
        <f t="shared" si="11"/>
        <v>0</v>
      </c>
      <c r="BW20" s="288">
        <f t="shared" si="11"/>
        <v>0</v>
      </c>
      <c r="BX20" s="288">
        <f t="shared" si="11"/>
        <v>0</v>
      </c>
      <c r="BY20" s="288">
        <f t="shared" si="11"/>
        <v>0</v>
      </c>
      <c r="BZ20" s="288">
        <f t="shared" si="11"/>
        <v>0</v>
      </c>
      <c r="CA20" s="288">
        <f t="shared" si="11"/>
        <v>0</v>
      </c>
      <c r="CB20" s="288">
        <f t="shared" si="11"/>
        <v>0</v>
      </c>
      <c r="CC20" s="288">
        <f t="shared" si="11"/>
        <v>0</v>
      </c>
      <c r="CD20" s="288">
        <f t="shared" si="11"/>
        <v>0</v>
      </c>
      <c r="CE20" s="288">
        <f t="shared" si="11"/>
        <v>0</v>
      </c>
      <c r="CF20" s="288">
        <f t="shared" si="11"/>
        <v>0</v>
      </c>
      <c r="CG20" s="288">
        <f t="shared" si="11"/>
        <v>0</v>
      </c>
      <c r="CH20" s="288">
        <f t="shared" si="11"/>
        <v>0</v>
      </c>
      <c r="CI20" s="288">
        <f t="shared" si="12"/>
        <v>0</v>
      </c>
      <c r="CJ20" s="288">
        <f t="shared" si="12"/>
        <v>0</v>
      </c>
      <c r="CK20" s="288">
        <f t="shared" si="12"/>
        <v>0</v>
      </c>
      <c r="CL20" s="288">
        <f t="shared" si="12"/>
        <v>0</v>
      </c>
      <c r="CM20" s="288">
        <f t="shared" si="12"/>
        <v>0</v>
      </c>
      <c r="CN20" s="288">
        <f t="shared" si="12"/>
        <v>0</v>
      </c>
      <c r="CO20" s="288">
        <f t="shared" si="12"/>
        <v>0</v>
      </c>
      <c r="CP20" s="288">
        <f t="shared" si="12"/>
        <v>0</v>
      </c>
      <c r="CQ20" s="288">
        <f t="shared" si="12"/>
        <v>0</v>
      </c>
      <c r="CR20" s="288">
        <f t="shared" si="12"/>
        <v>0</v>
      </c>
      <c r="CS20" s="288">
        <f t="shared" si="12"/>
        <v>0</v>
      </c>
      <c r="CT20" s="288">
        <f t="shared" si="12"/>
        <v>0</v>
      </c>
      <c r="CU20" s="288">
        <f t="shared" si="12"/>
        <v>0</v>
      </c>
      <c r="CV20" s="288">
        <f t="shared" si="12"/>
        <v>0</v>
      </c>
      <c r="CW20" s="288">
        <f t="shared" si="12"/>
        <v>0</v>
      </c>
      <c r="CX20" s="288">
        <f t="shared" si="12"/>
        <v>0</v>
      </c>
      <c r="CY20" s="288">
        <f t="shared" si="13"/>
        <v>0</v>
      </c>
      <c r="CZ20" s="288">
        <f t="shared" si="13"/>
        <v>0</v>
      </c>
      <c r="DA20" s="288">
        <f t="shared" si="13"/>
        <v>0</v>
      </c>
      <c r="DB20" s="288">
        <f t="shared" si="13"/>
        <v>0</v>
      </c>
      <c r="DC20" s="288">
        <f t="shared" si="13"/>
        <v>0</v>
      </c>
      <c r="DD20" s="288">
        <f t="shared" si="13"/>
        <v>0</v>
      </c>
      <c r="DE20" s="288">
        <f t="shared" si="13"/>
        <v>0</v>
      </c>
      <c r="DG20" s="314">
        <f t="shared" si="3"/>
        <v>18</v>
      </c>
      <c r="DH20" s="289">
        <f>MAX(T$3:T$109)</f>
        <v>18</v>
      </c>
      <c r="DJ20" s="288">
        <f>LOOKUP(DH20, 'Mortality Table'!A:A,('Mortality Table'!J:J/'Mortality Table'!I:I))</f>
        <v>1.0652203252173053E-3</v>
      </c>
      <c r="DK20" s="288">
        <f>LOOKUP(A20, 'Mortality Table'!A:A,('Mortality Table'!J:J/'Mortality Table'!I:I))</f>
        <v>8.0288640791894845E-4</v>
      </c>
      <c r="DL20" s="288">
        <f t="shared" si="4"/>
        <v>2.6233391729835686E-4</v>
      </c>
      <c r="DN20" s="288">
        <f>LOOKUP(DH20, 'Mortality Table'!A:A,('Mortality Table'!L:L/'Mortality Table'!K:K))</f>
        <v>1.0790250521660145E-3</v>
      </c>
      <c r="DO20" s="288">
        <f>LOOKUP(A20, 'Mortality Table'!A:A,('Mortality Table'!L:L/'Mortality Table'!K:K))</f>
        <v>8.1329141744586483E-4</v>
      </c>
      <c r="DP20" s="288">
        <f t="shared" si="5"/>
        <v>2.6573363472014969E-4</v>
      </c>
      <c r="DR20" s="288">
        <f>LOOKUP(DH20, 'Mortality Table'!A:A,('Mortality Table'!N:N/'Mortality Table'!M:M))</f>
        <v>1.1032758340844245E-3</v>
      </c>
      <c r="DS20" s="288">
        <f>LOOKUP(A20, 'Mortality Table'!A:A,('Mortality Table'!N:N/'Mortality Table'!M:M))</f>
        <v>8.3156991131493941E-4</v>
      </c>
      <c r="DT20" s="288">
        <f t="shared" si="6"/>
        <v>2.7170592276948508E-4</v>
      </c>
    </row>
    <row r="21" spans="1:124">
      <c r="A21" s="288">
        <v>18</v>
      </c>
      <c r="B21" s="288">
        <v>1.1571254567600488E-3</v>
      </c>
      <c r="C21" s="288">
        <f t="shared" si="2"/>
        <v>0</v>
      </c>
      <c r="D21" s="288">
        <f t="shared" si="2"/>
        <v>0</v>
      </c>
      <c r="E21" s="288">
        <f t="shared" si="2"/>
        <v>0</v>
      </c>
      <c r="F21" s="288">
        <f t="shared" si="2"/>
        <v>0</v>
      </c>
      <c r="G21" s="288">
        <f t="shared" si="2"/>
        <v>0</v>
      </c>
      <c r="H21" s="288">
        <f t="shared" si="2"/>
        <v>0</v>
      </c>
      <c r="I21" s="288">
        <f t="shared" si="2"/>
        <v>0</v>
      </c>
      <c r="J21" s="288">
        <f t="shared" si="2"/>
        <v>0</v>
      </c>
      <c r="K21" s="288">
        <f t="shared" si="2"/>
        <v>0</v>
      </c>
      <c r="L21" s="288">
        <f t="shared" si="2"/>
        <v>0</v>
      </c>
      <c r="M21" s="288">
        <f t="shared" si="2"/>
        <v>0</v>
      </c>
      <c r="N21" s="288">
        <f t="shared" si="2"/>
        <v>0</v>
      </c>
      <c r="O21" s="288">
        <f t="shared" si="2"/>
        <v>0</v>
      </c>
      <c r="P21" s="288">
        <f t="shared" si="2"/>
        <v>0</v>
      </c>
      <c r="Q21" s="288">
        <f t="shared" si="2"/>
        <v>0</v>
      </c>
      <c r="R21" s="288">
        <f t="shared" si="2"/>
        <v>0</v>
      </c>
      <c r="S21" s="288">
        <f t="shared" si="8"/>
        <v>0</v>
      </c>
      <c r="T21" s="288">
        <f t="shared" si="8"/>
        <v>0</v>
      </c>
      <c r="U21" s="288">
        <f t="shared" si="8"/>
        <v>0</v>
      </c>
      <c r="V21" s="288">
        <f t="shared" si="8"/>
        <v>0</v>
      </c>
      <c r="W21" s="288">
        <f t="shared" si="8"/>
        <v>0</v>
      </c>
      <c r="X21" s="288">
        <f t="shared" si="8"/>
        <v>0</v>
      </c>
      <c r="Y21" s="288">
        <f t="shared" si="8"/>
        <v>0</v>
      </c>
      <c r="Z21" s="288">
        <f t="shared" si="8"/>
        <v>0</v>
      </c>
      <c r="AA21" s="288">
        <f t="shared" si="8"/>
        <v>0</v>
      </c>
      <c r="AB21" s="288">
        <f t="shared" si="8"/>
        <v>0</v>
      </c>
      <c r="AC21" s="288">
        <f t="shared" si="8"/>
        <v>0</v>
      </c>
      <c r="AD21" s="288">
        <f t="shared" si="8"/>
        <v>0</v>
      </c>
      <c r="AE21" s="288">
        <f t="shared" si="8"/>
        <v>0</v>
      </c>
      <c r="AF21" s="288">
        <f t="shared" si="8"/>
        <v>0</v>
      </c>
      <c r="AG21" s="288">
        <f t="shared" si="8"/>
        <v>0</v>
      </c>
      <c r="AH21" s="288">
        <f t="shared" si="8"/>
        <v>0</v>
      </c>
      <c r="AI21" s="288">
        <f t="shared" si="9"/>
        <v>0</v>
      </c>
      <c r="AJ21" s="288">
        <f t="shared" si="9"/>
        <v>0</v>
      </c>
      <c r="AK21" s="288">
        <f t="shared" si="9"/>
        <v>0</v>
      </c>
      <c r="AL21" s="288">
        <f t="shared" si="9"/>
        <v>0</v>
      </c>
      <c r="AM21" s="288">
        <f t="shared" si="9"/>
        <v>0</v>
      </c>
      <c r="AN21" s="288">
        <f t="shared" si="9"/>
        <v>0</v>
      </c>
      <c r="AO21" s="288">
        <f t="shared" si="9"/>
        <v>0</v>
      </c>
      <c r="AP21" s="288">
        <f t="shared" si="9"/>
        <v>0</v>
      </c>
      <c r="AQ21" s="288">
        <f t="shared" si="9"/>
        <v>0</v>
      </c>
      <c r="AR21" s="288">
        <f t="shared" si="9"/>
        <v>0</v>
      </c>
      <c r="AS21" s="288">
        <f t="shared" si="9"/>
        <v>0</v>
      </c>
      <c r="AT21" s="288">
        <f t="shared" si="9"/>
        <v>0</v>
      </c>
      <c r="AU21" s="288">
        <f t="shared" si="9"/>
        <v>0</v>
      </c>
      <c r="AV21" s="288">
        <f t="shared" si="9"/>
        <v>0</v>
      </c>
      <c r="AW21" s="288">
        <f t="shared" si="9"/>
        <v>0</v>
      </c>
      <c r="AX21" s="288">
        <f t="shared" si="9"/>
        <v>0</v>
      </c>
      <c r="AY21" s="288">
        <f t="shared" si="10"/>
        <v>0</v>
      </c>
      <c r="AZ21" s="288">
        <f t="shared" si="10"/>
        <v>0</v>
      </c>
      <c r="BA21" s="288">
        <f t="shared" si="10"/>
        <v>0</v>
      </c>
      <c r="BB21" s="288">
        <f t="shared" si="10"/>
        <v>0</v>
      </c>
      <c r="BC21" s="288">
        <f t="shared" si="10"/>
        <v>0</v>
      </c>
      <c r="BD21" s="288">
        <f t="shared" si="10"/>
        <v>0</v>
      </c>
      <c r="BE21" s="288">
        <f t="shared" si="10"/>
        <v>0</v>
      </c>
      <c r="BF21" s="288">
        <f t="shared" si="10"/>
        <v>0</v>
      </c>
      <c r="BG21" s="288">
        <f t="shared" si="10"/>
        <v>0</v>
      </c>
      <c r="BH21" s="288">
        <f t="shared" si="10"/>
        <v>0</v>
      </c>
      <c r="BI21" s="288">
        <f t="shared" si="10"/>
        <v>0</v>
      </c>
      <c r="BJ21" s="288">
        <f t="shared" si="10"/>
        <v>0</v>
      </c>
      <c r="BK21" s="288">
        <f t="shared" si="10"/>
        <v>0</v>
      </c>
      <c r="BL21" s="288">
        <f t="shared" si="10"/>
        <v>0</v>
      </c>
      <c r="BM21" s="288">
        <f t="shared" si="10"/>
        <v>0</v>
      </c>
      <c r="BN21" s="288">
        <f t="shared" si="10"/>
        <v>0</v>
      </c>
      <c r="BO21" s="288">
        <f t="shared" si="7"/>
        <v>0</v>
      </c>
      <c r="BP21" s="288">
        <f t="shared" si="7"/>
        <v>0</v>
      </c>
      <c r="BQ21" s="288">
        <f t="shared" si="7"/>
        <v>0</v>
      </c>
      <c r="BR21" s="288">
        <f t="shared" si="7"/>
        <v>0</v>
      </c>
      <c r="BS21" s="288">
        <f t="shared" si="11"/>
        <v>0</v>
      </c>
      <c r="BT21" s="288">
        <f t="shared" si="11"/>
        <v>0</v>
      </c>
      <c r="BU21" s="288">
        <f t="shared" si="11"/>
        <v>0</v>
      </c>
      <c r="BV21" s="288">
        <f t="shared" si="11"/>
        <v>0</v>
      </c>
      <c r="BW21" s="288">
        <f t="shared" si="11"/>
        <v>0</v>
      </c>
      <c r="BX21" s="288">
        <f t="shared" si="11"/>
        <v>0</v>
      </c>
      <c r="BY21" s="288">
        <f t="shared" si="11"/>
        <v>0</v>
      </c>
      <c r="BZ21" s="288">
        <f t="shared" si="11"/>
        <v>0</v>
      </c>
      <c r="CA21" s="288">
        <f t="shared" si="11"/>
        <v>0</v>
      </c>
      <c r="CB21" s="288">
        <f t="shared" si="11"/>
        <v>0</v>
      </c>
      <c r="CC21" s="288">
        <f t="shared" si="11"/>
        <v>0</v>
      </c>
      <c r="CD21" s="288">
        <f t="shared" si="11"/>
        <v>0</v>
      </c>
      <c r="CE21" s="288">
        <f t="shared" si="11"/>
        <v>0</v>
      </c>
      <c r="CF21" s="288">
        <f t="shared" si="11"/>
        <v>0</v>
      </c>
      <c r="CG21" s="288">
        <f t="shared" si="11"/>
        <v>0</v>
      </c>
      <c r="CH21" s="288">
        <f t="shared" si="11"/>
        <v>0</v>
      </c>
      <c r="CI21" s="288">
        <f t="shared" si="12"/>
        <v>0</v>
      </c>
      <c r="CJ21" s="288">
        <f t="shared" si="12"/>
        <v>0</v>
      </c>
      <c r="CK21" s="288">
        <f t="shared" si="12"/>
        <v>0</v>
      </c>
      <c r="CL21" s="288">
        <f t="shared" si="12"/>
        <v>0</v>
      </c>
      <c r="CM21" s="288">
        <f t="shared" si="12"/>
        <v>0</v>
      </c>
      <c r="CN21" s="288">
        <f t="shared" si="12"/>
        <v>0</v>
      </c>
      <c r="CO21" s="288">
        <f t="shared" si="12"/>
        <v>0</v>
      </c>
      <c r="CP21" s="288">
        <f t="shared" si="12"/>
        <v>0</v>
      </c>
      <c r="CQ21" s="288">
        <f t="shared" si="12"/>
        <v>0</v>
      </c>
      <c r="CR21" s="288">
        <f t="shared" si="12"/>
        <v>0</v>
      </c>
      <c r="CS21" s="288">
        <f t="shared" si="12"/>
        <v>0</v>
      </c>
      <c r="CT21" s="288">
        <f t="shared" si="12"/>
        <v>0</v>
      </c>
      <c r="CU21" s="288">
        <f t="shared" si="12"/>
        <v>0</v>
      </c>
      <c r="CV21" s="288">
        <f t="shared" si="12"/>
        <v>0</v>
      </c>
      <c r="CW21" s="288">
        <f t="shared" si="12"/>
        <v>0</v>
      </c>
      <c r="CX21" s="288">
        <f t="shared" si="12"/>
        <v>0</v>
      </c>
      <c r="CY21" s="288">
        <f t="shared" si="13"/>
        <v>0</v>
      </c>
      <c r="CZ21" s="288">
        <f t="shared" si="13"/>
        <v>0</v>
      </c>
      <c r="DA21" s="288">
        <f t="shared" si="13"/>
        <v>0</v>
      </c>
      <c r="DB21" s="288">
        <f t="shared" si="13"/>
        <v>0</v>
      </c>
      <c r="DC21" s="288">
        <f t="shared" si="13"/>
        <v>0</v>
      </c>
      <c r="DD21" s="288">
        <f t="shared" si="13"/>
        <v>0</v>
      </c>
      <c r="DE21" s="288">
        <f t="shared" si="13"/>
        <v>0</v>
      </c>
      <c r="DG21" s="314">
        <f t="shared" si="3"/>
        <v>20</v>
      </c>
      <c r="DH21" s="289">
        <f>MAX(U$3:U$109)</f>
        <v>20</v>
      </c>
      <c r="DJ21" s="288">
        <f>LOOKUP(DH21, 'Mortality Table'!A:A,('Mortality Table'!J:J/'Mortality Table'!I:I))</f>
        <v>1.3113998850775392E-3</v>
      </c>
      <c r="DK21" s="288">
        <f>LOOKUP(A21, 'Mortality Table'!A:A,('Mortality Table'!J:J/'Mortality Table'!I:I))</f>
        <v>1.0652203252173053E-3</v>
      </c>
      <c r="DL21" s="288">
        <f t="shared" si="4"/>
        <v>2.4617955986023393E-4</v>
      </c>
      <c r="DN21" s="288">
        <f>LOOKUP(DH21, 'Mortality Table'!A:A,('Mortality Table'!L:L/'Mortality Table'!K:K))</f>
        <v>1.3283949769899758E-3</v>
      </c>
      <c r="DO21" s="288">
        <f>LOOKUP(A21, 'Mortality Table'!A:A,('Mortality Table'!L:L/'Mortality Table'!K:K))</f>
        <v>1.0790250521660145E-3</v>
      </c>
      <c r="DP21" s="288">
        <f t="shared" si="5"/>
        <v>2.4936992482396127E-4</v>
      </c>
      <c r="DR21" s="288">
        <f>LOOKUP(DH21, 'Mortality Table'!A:A,('Mortality Table'!N:N/'Mortality Table'!M:M))</f>
        <v>1.3582502772203355E-3</v>
      </c>
      <c r="DS21" s="288">
        <f>LOOKUP(A21, 'Mortality Table'!A:A,('Mortality Table'!N:N/'Mortality Table'!M:M))</f>
        <v>1.1032758340844245E-3</v>
      </c>
      <c r="DT21" s="288">
        <f t="shared" si="6"/>
        <v>2.5497444313591104E-4</v>
      </c>
    </row>
    <row r="22" spans="1:124">
      <c r="A22" s="288">
        <v>19</v>
      </c>
      <c r="B22" s="288">
        <v>1.3108956770928602E-3</v>
      </c>
      <c r="C22" s="288">
        <f t="shared" si="2"/>
        <v>0</v>
      </c>
      <c r="D22" s="288">
        <f t="shared" si="2"/>
        <v>0</v>
      </c>
      <c r="E22" s="288">
        <f t="shared" si="2"/>
        <v>0</v>
      </c>
      <c r="F22" s="288">
        <f t="shared" si="2"/>
        <v>0</v>
      </c>
      <c r="G22" s="288">
        <f t="shared" si="2"/>
        <v>0</v>
      </c>
      <c r="H22" s="288">
        <f t="shared" si="2"/>
        <v>0</v>
      </c>
      <c r="I22" s="288">
        <f t="shared" si="2"/>
        <v>0</v>
      </c>
      <c r="J22" s="288">
        <f t="shared" si="2"/>
        <v>0</v>
      </c>
      <c r="K22" s="288">
        <f t="shared" si="2"/>
        <v>0</v>
      </c>
      <c r="L22" s="288">
        <f t="shared" si="2"/>
        <v>0</v>
      </c>
      <c r="M22" s="288">
        <f t="shared" si="2"/>
        <v>0</v>
      </c>
      <c r="N22" s="288">
        <f t="shared" si="2"/>
        <v>0</v>
      </c>
      <c r="O22" s="288">
        <f t="shared" ref="O22:AD38" si="14">IF(O$2&gt;$B22,(IF(O$2&lt;=$B23,(IF(AVERAGE($B22,$B23)&gt;O$2,$A22,$A23)),0)),0)</f>
        <v>0</v>
      </c>
      <c r="P22" s="288">
        <f t="shared" si="14"/>
        <v>0</v>
      </c>
      <c r="Q22" s="288">
        <f t="shared" si="14"/>
        <v>0</v>
      </c>
      <c r="R22" s="288">
        <f t="shared" si="14"/>
        <v>0</v>
      </c>
      <c r="S22" s="288">
        <f t="shared" si="8"/>
        <v>0</v>
      </c>
      <c r="T22" s="288">
        <f t="shared" si="8"/>
        <v>0</v>
      </c>
      <c r="U22" s="288">
        <f t="shared" si="8"/>
        <v>0</v>
      </c>
      <c r="V22" s="288">
        <f t="shared" si="8"/>
        <v>0</v>
      </c>
      <c r="W22" s="288">
        <f t="shared" si="8"/>
        <v>0</v>
      </c>
      <c r="X22" s="288">
        <f t="shared" si="8"/>
        <v>0</v>
      </c>
      <c r="Y22" s="288">
        <f t="shared" si="8"/>
        <v>0</v>
      </c>
      <c r="Z22" s="288">
        <f t="shared" si="8"/>
        <v>0</v>
      </c>
      <c r="AA22" s="288">
        <f t="shared" si="8"/>
        <v>0</v>
      </c>
      <c r="AB22" s="288">
        <f t="shared" si="8"/>
        <v>0</v>
      </c>
      <c r="AC22" s="288">
        <f t="shared" si="8"/>
        <v>0</v>
      </c>
      <c r="AD22" s="288">
        <f t="shared" si="8"/>
        <v>0</v>
      </c>
      <c r="AE22" s="288">
        <f t="shared" si="8"/>
        <v>0</v>
      </c>
      <c r="AF22" s="288">
        <f t="shared" si="8"/>
        <v>0</v>
      </c>
      <c r="AG22" s="288">
        <f t="shared" si="8"/>
        <v>0</v>
      </c>
      <c r="AH22" s="288">
        <f t="shared" ref="AH22:AW38" si="15">IF(AH$2&gt;$B22,(IF(AH$2&lt;=$B23,(IF(AVERAGE($B22,$B23)&gt;AH$2,$A22,$A23)),0)),0)</f>
        <v>0</v>
      </c>
      <c r="AI22" s="288">
        <f t="shared" si="9"/>
        <v>0</v>
      </c>
      <c r="AJ22" s="288">
        <f t="shared" si="9"/>
        <v>0</v>
      </c>
      <c r="AK22" s="288">
        <f t="shared" si="9"/>
        <v>0</v>
      </c>
      <c r="AL22" s="288">
        <f t="shared" si="9"/>
        <v>0</v>
      </c>
      <c r="AM22" s="288">
        <f t="shared" si="9"/>
        <v>0</v>
      </c>
      <c r="AN22" s="288">
        <f t="shared" si="9"/>
        <v>0</v>
      </c>
      <c r="AO22" s="288">
        <f t="shared" si="9"/>
        <v>0</v>
      </c>
      <c r="AP22" s="288">
        <f t="shared" si="9"/>
        <v>0</v>
      </c>
      <c r="AQ22" s="288">
        <f t="shared" si="9"/>
        <v>0</v>
      </c>
      <c r="AR22" s="288">
        <f t="shared" si="9"/>
        <v>0</v>
      </c>
      <c r="AS22" s="288">
        <f t="shared" si="9"/>
        <v>0</v>
      </c>
      <c r="AT22" s="288">
        <f t="shared" si="9"/>
        <v>0</v>
      </c>
      <c r="AU22" s="288">
        <f t="shared" si="9"/>
        <v>0</v>
      </c>
      <c r="AV22" s="288">
        <f t="shared" si="9"/>
        <v>0</v>
      </c>
      <c r="AW22" s="288">
        <f t="shared" si="9"/>
        <v>0</v>
      </c>
      <c r="AX22" s="288">
        <f t="shared" ref="AX22:BM38" si="16">IF(AX$2&gt;$B22,(IF(AX$2&lt;=$B23,(IF(AVERAGE($B22,$B23)&gt;AX$2,$A22,$A23)),0)),0)</f>
        <v>0</v>
      </c>
      <c r="AY22" s="288">
        <f t="shared" si="10"/>
        <v>0</v>
      </c>
      <c r="AZ22" s="288">
        <f t="shared" si="10"/>
        <v>0</v>
      </c>
      <c r="BA22" s="288">
        <f t="shared" si="10"/>
        <v>0</v>
      </c>
      <c r="BB22" s="288">
        <f t="shared" si="10"/>
        <v>0</v>
      </c>
      <c r="BC22" s="288">
        <f t="shared" si="10"/>
        <v>0</v>
      </c>
      <c r="BD22" s="288">
        <f t="shared" si="10"/>
        <v>0</v>
      </c>
      <c r="BE22" s="288">
        <f t="shared" si="10"/>
        <v>0</v>
      </c>
      <c r="BF22" s="288">
        <f t="shared" si="10"/>
        <v>0</v>
      </c>
      <c r="BG22" s="288">
        <f t="shared" si="10"/>
        <v>0</v>
      </c>
      <c r="BH22" s="288">
        <f t="shared" si="10"/>
        <v>0</v>
      </c>
      <c r="BI22" s="288">
        <f t="shared" si="10"/>
        <v>0</v>
      </c>
      <c r="BJ22" s="288">
        <f t="shared" si="10"/>
        <v>0</v>
      </c>
      <c r="BK22" s="288">
        <f t="shared" si="10"/>
        <v>0</v>
      </c>
      <c r="BL22" s="288">
        <f t="shared" si="10"/>
        <v>0</v>
      </c>
      <c r="BM22" s="288">
        <f t="shared" si="10"/>
        <v>0</v>
      </c>
      <c r="BN22" s="288">
        <f t="shared" ref="BN22:CC51" si="17">IF(BN$2&gt;$B22,(IF(BN$2&lt;=$B23,(IF(AVERAGE($B22,$B23)&gt;BN$2,$A22,$A23)),0)),0)</f>
        <v>0</v>
      </c>
      <c r="BO22" s="288">
        <f t="shared" si="7"/>
        <v>0</v>
      </c>
      <c r="BP22" s="288">
        <f t="shared" si="7"/>
        <v>0</v>
      </c>
      <c r="BQ22" s="288">
        <f t="shared" si="7"/>
        <v>0</v>
      </c>
      <c r="BR22" s="288">
        <f t="shared" si="7"/>
        <v>0</v>
      </c>
      <c r="BS22" s="288">
        <f t="shared" si="11"/>
        <v>0</v>
      </c>
      <c r="BT22" s="288">
        <f t="shared" si="11"/>
        <v>0</v>
      </c>
      <c r="BU22" s="288">
        <f t="shared" si="11"/>
        <v>0</v>
      </c>
      <c r="BV22" s="288">
        <f t="shared" si="11"/>
        <v>0</v>
      </c>
      <c r="BW22" s="288">
        <f t="shared" si="11"/>
        <v>0</v>
      </c>
      <c r="BX22" s="288">
        <f t="shared" si="11"/>
        <v>0</v>
      </c>
      <c r="BY22" s="288">
        <f t="shared" si="11"/>
        <v>0</v>
      </c>
      <c r="BZ22" s="288">
        <f t="shared" si="11"/>
        <v>0</v>
      </c>
      <c r="CA22" s="288">
        <f t="shared" si="11"/>
        <v>0</v>
      </c>
      <c r="CB22" s="288">
        <f t="shared" si="11"/>
        <v>0</v>
      </c>
      <c r="CC22" s="288">
        <f t="shared" si="11"/>
        <v>0</v>
      </c>
      <c r="CD22" s="288">
        <f t="shared" si="11"/>
        <v>0</v>
      </c>
      <c r="CE22" s="288">
        <f t="shared" si="11"/>
        <v>0</v>
      </c>
      <c r="CF22" s="288">
        <f t="shared" si="11"/>
        <v>0</v>
      </c>
      <c r="CG22" s="288">
        <f t="shared" si="11"/>
        <v>0</v>
      </c>
      <c r="CH22" s="288">
        <f t="shared" si="11"/>
        <v>0</v>
      </c>
      <c r="CI22" s="288">
        <f t="shared" si="12"/>
        <v>0</v>
      </c>
      <c r="CJ22" s="288">
        <f t="shared" si="12"/>
        <v>0</v>
      </c>
      <c r="CK22" s="288">
        <f t="shared" si="12"/>
        <v>0</v>
      </c>
      <c r="CL22" s="288">
        <f t="shared" si="12"/>
        <v>0</v>
      </c>
      <c r="CM22" s="288">
        <f t="shared" si="12"/>
        <v>0</v>
      </c>
      <c r="CN22" s="288">
        <f t="shared" si="12"/>
        <v>0</v>
      </c>
      <c r="CO22" s="288">
        <f t="shared" si="12"/>
        <v>0</v>
      </c>
      <c r="CP22" s="288">
        <f t="shared" si="12"/>
        <v>0</v>
      </c>
      <c r="CQ22" s="288">
        <f t="shared" si="12"/>
        <v>0</v>
      </c>
      <c r="CR22" s="288">
        <f t="shared" si="12"/>
        <v>0</v>
      </c>
      <c r="CS22" s="288">
        <f t="shared" si="12"/>
        <v>0</v>
      </c>
      <c r="CT22" s="288">
        <f t="shared" si="12"/>
        <v>0</v>
      </c>
      <c r="CU22" s="288">
        <f t="shared" si="12"/>
        <v>0</v>
      </c>
      <c r="CV22" s="288">
        <f t="shared" si="12"/>
        <v>0</v>
      </c>
      <c r="CW22" s="288">
        <f t="shared" si="12"/>
        <v>0</v>
      </c>
      <c r="CX22" s="288">
        <f t="shared" si="12"/>
        <v>0</v>
      </c>
      <c r="CY22" s="288">
        <f t="shared" si="13"/>
        <v>0</v>
      </c>
      <c r="CZ22" s="288">
        <f t="shared" si="13"/>
        <v>0</v>
      </c>
      <c r="DA22" s="288">
        <f t="shared" si="13"/>
        <v>0</v>
      </c>
      <c r="DB22" s="288">
        <f t="shared" si="13"/>
        <v>0</v>
      </c>
      <c r="DC22" s="288">
        <f t="shared" si="13"/>
        <v>0</v>
      </c>
      <c r="DD22" s="288">
        <f t="shared" si="13"/>
        <v>0</v>
      </c>
      <c r="DE22" s="288">
        <f t="shared" si="13"/>
        <v>0</v>
      </c>
      <c r="DG22" s="314">
        <f t="shared" si="3"/>
        <v>29</v>
      </c>
      <c r="DH22" s="289">
        <f>MAX(V$3:V$109)</f>
        <v>29</v>
      </c>
      <c r="DJ22" s="288">
        <f>LOOKUP(DH22, 'Mortality Table'!A:A,('Mortality Table'!J:J/'Mortality Table'!I:I))</f>
        <v>1.4912936461475596E-3</v>
      </c>
      <c r="DK22" s="288">
        <f>LOOKUP(A22, 'Mortality Table'!A:A,('Mortality Table'!J:J/'Mortality Table'!I:I))</f>
        <v>1.2067772870443241E-3</v>
      </c>
      <c r="DL22" s="288">
        <f t="shared" si="4"/>
        <v>2.8451635910323549E-4</v>
      </c>
      <c r="DN22" s="288">
        <f>LOOKUP(DH22, 'Mortality Table'!A:A,('Mortality Table'!L:L/'Mortality Table'!K:K))</f>
        <v>1.5106200719564281E-3</v>
      </c>
      <c r="DO22" s="288">
        <f>LOOKUP(A22, 'Mortality Table'!A:A,('Mortality Table'!L:L/'Mortality Table'!K:K))</f>
        <v>1.2224165219905335E-3</v>
      </c>
      <c r="DP22" s="288">
        <f t="shared" si="5"/>
        <v>2.8820354996589455E-4</v>
      </c>
      <c r="DR22" s="288">
        <f>LOOKUP(DH22, 'Mortality Table'!A:A,('Mortality Table'!N:N/'Mortality Table'!M:M))</f>
        <v>1.5445708294972752E-3</v>
      </c>
      <c r="DS22" s="288">
        <f>LOOKUP(A22, 'Mortality Table'!A:A,('Mortality Table'!N:N/'Mortality Table'!M:M))</f>
        <v>1.2498899865118122E-3</v>
      </c>
      <c r="DT22" s="288">
        <f t="shared" si="6"/>
        <v>2.9468084298546297E-4</v>
      </c>
    </row>
    <row r="23" spans="1:124">
      <c r="A23" s="288">
        <v>20</v>
      </c>
      <c r="B23" s="288">
        <v>1.4245449087782493E-3</v>
      </c>
      <c r="C23" s="288">
        <f t="shared" ref="C23:R42" si="18">IF(C$2&gt;$B23,(IF(C$2&lt;=$B24,(IF(AVERAGE($B23,$B24)&gt;C$2,$A23,$A24)),0)),0)</f>
        <v>0</v>
      </c>
      <c r="D23" s="288">
        <f t="shared" si="18"/>
        <v>0</v>
      </c>
      <c r="E23" s="288">
        <f t="shared" si="18"/>
        <v>0</v>
      </c>
      <c r="F23" s="288">
        <f t="shared" si="18"/>
        <v>0</v>
      </c>
      <c r="G23" s="288">
        <f t="shared" si="18"/>
        <v>0</v>
      </c>
      <c r="H23" s="288">
        <f t="shared" si="18"/>
        <v>0</v>
      </c>
      <c r="I23" s="288">
        <f t="shared" si="18"/>
        <v>0</v>
      </c>
      <c r="J23" s="288">
        <f t="shared" si="18"/>
        <v>0</v>
      </c>
      <c r="K23" s="288">
        <f t="shared" si="18"/>
        <v>0</v>
      </c>
      <c r="L23" s="288">
        <f t="shared" si="18"/>
        <v>0</v>
      </c>
      <c r="M23" s="288">
        <f t="shared" si="18"/>
        <v>0</v>
      </c>
      <c r="N23" s="288">
        <f t="shared" si="18"/>
        <v>0</v>
      </c>
      <c r="O23" s="288">
        <f t="shared" si="14"/>
        <v>0</v>
      </c>
      <c r="P23" s="288">
        <f t="shared" si="14"/>
        <v>0</v>
      </c>
      <c r="Q23" s="288">
        <f t="shared" si="14"/>
        <v>0</v>
      </c>
      <c r="R23" s="288">
        <f t="shared" si="14"/>
        <v>0</v>
      </c>
      <c r="S23" s="288">
        <f t="shared" si="14"/>
        <v>0</v>
      </c>
      <c r="T23" s="288">
        <f t="shared" si="14"/>
        <v>0</v>
      </c>
      <c r="U23" s="288">
        <f t="shared" si="14"/>
        <v>20</v>
      </c>
      <c r="V23" s="288">
        <f t="shared" si="14"/>
        <v>0</v>
      </c>
      <c r="W23" s="288">
        <f t="shared" si="14"/>
        <v>0</v>
      </c>
      <c r="X23" s="288">
        <f t="shared" si="14"/>
        <v>0</v>
      </c>
      <c r="Y23" s="288">
        <f t="shared" si="14"/>
        <v>0</v>
      </c>
      <c r="Z23" s="288">
        <f t="shared" si="14"/>
        <v>0</v>
      </c>
      <c r="AA23" s="288">
        <f t="shared" si="14"/>
        <v>0</v>
      </c>
      <c r="AB23" s="288">
        <f t="shared" si="14"/>
        <v>0</v>
      </c>
      <c r="AC23" s="288">
        <f t="shared" si="14"/>
        <v>0</v>
      </c>
      <c r="AD23" s="288">
        <f t="shared" si="14"/>
        <v>0</v>
      </c>
      <c r="AE23" s="288">
        <f t="shared" ref="AE23:AT51" si="19">IF(AE$2&gt;$B23,(IF(AE$2&lt;=$B24,(IF(AVERAGE($B23,$B24)&gt;AE$2,$A23,$A24)),0)),0)</f>
        <v>0</v>
      </c>
      <c r="AF23" s="288">
        <f t="shared" si="19"/>
        <v>0</v>
      </c>
      <c r="AG23" s="288">
        <f t="shared" si="19"/>
        <v>0</v>
      </c>
      <c r="AH23" s="288">
        <f t="shared" si="15"/>
        <v>0</v>
      </c>
      <c r="AI23" s="288">
        <f t="shared" si="15"/>
        <v>0</v>
      </c>
      <c r="AJ23" s="288">
        <f t="shared" si="15"/>
        <v>0</v>
      </c>
      <c r="AK23" s="288">
        <f t="shared" si="15"/>
        <v>0</v>
      </c>
      <c r="AL23" s="288">
        <f t="shared" si="15"/>
        <v>0</v>
      </c>
      <c r="AM23" s="288">
        <f t="shared" si="15"/>
        <v>0</v>
      </c>
      <c r="AN23" s="288">
        <f t="shared" si="15"/>
        <v>0</v>
      </c>
      <c r="AO23" s="288">
        <f t="shared" si="15"/>
        <v>0</v>
      </c>
      <c r="AP23" s="288">
        <f t="shared" si="15"/>
        <v>0</v>
      </c>
      <c r="AQ23" s="288">
        <f t="shared" si="15"/>
        <v>0</v>
      </c>
      <c r="AR23" s="288">
        <f t="shared" si="15"/>
        <v>0</v>
      </c>
      <c r="AS23" s="288">
        <f t="shared" si="15"/>
        <v>0</v>
      </c>
      <c r="AT23" s="288">
        <f t="shared" si="15"/>
        <v>0</v>
      </c>
      <c r="AU23" s="288">
        <f t="shared" si="15"/>
        <v>0</v>
      </c>
      <c r="AV23" s="288">
        <f t="shared" si="15"/>
        <v>0</v>
      </c>
      <c r="AW23" s="288">
        <f t="shared" si="15"/>
        <v>0</v>
      </c>
      <c r="AX23" s="288">
        <f t="shared" si="16"/>
        <v>0</v>
      </c>
      <c r="AY23" s="288">
        <f t="shared" si="16"/>
        <v>0</v>
      </c>
      <c r="AZ23" s="288">
        <f t="shared" si="16"/>
        <v>0</v>
      </c>
      <c r="BA23" s="288">
        <f t="shared" si="16"/>
        <v>0</v>
      </c>
      <c r="BB23" s="288">
        <f t="shared" si="16"/>
        <v>0</v>
      </c>
      <c r="BC23" s="288">
        <f t="shared" si="16"/>
        <v>0</v>
      </c>
      <c r="BD23" s="288">
        <f t="shared" si="16"/>
        <v>0</v>
      </c>
      <c r="BE23" s="288">
        <f t="shared" si="16"/>
        <v>0</v>
      </c>
      <c r="BF23" s="288">
        <f t="shared" si="16"/>
        <v>0</v>
      </c>
      <c r="BG23" s="288">
        <f t="shared" si="16"/>
        <v>0</v>
      </c>
      <c r="BH23" s="288">
        <f t="shared" si="16"/>
        <v>0</v>
      </c>
      <c r="BI23" s="288">
        <f t="shared" si="16"/>
        <v>0</v>
      </c>
      <c r="BJ23" s="288">
        <f t="shared" si="16"/>
        <v>0</v>
      </c>
      <c r="BK23" s="288">
        <f t="shared" si="16"/>
        <v>0</v>
      </c>
      <c r="BL23" s="288">
        <f t="shared" si="16"/>
        <v>0</v>
      </c>
      <c r="BM23" s="288">
        <f t="shared" si="16"/>
        <v>0</v>
      </c>
      <c r="BN23" s="288">
        <f t="shared" si="17"/>
        <v>0</v>
      </c>
      <c r="BO23" s="288">
        <f t="shared" si="7"/>
        <v>0</v>
      </c>
      <c r="BP23" s="288">
        <f t="shared" si="7"/>
        <v>0</v>
      </c>
      <c r="BQ23" s="288">
        <f t="shared" si="7"/>
        <v>0</v>
      </c>
      <c r="BR23" s="288">
        <f t="shared" si="7"/>
        <v>0</v>
      </c>
      <c r="BS23" s="288">
        <f t="shared" si="11"/>
        <v>0</v>
      </c>
      <c r="BT23" s="288">
        <f t="shared" si="11"/>
        <v>0</v>
      </c>
      <c r="BU23" s="288">
        <f t="shared" si="11"/>
        <v>0</v>
      </c>
      <c r="BV23" s="288">
        <f t="shared" si="11"/>
        <v>0</v>
      </c>
      <c r="BW23" s="288">
        <f t="shared" si="11"/>
        <v>0</v>
      </c>
      <c r="BX23" s="288">
        <f t="shared" si="11"/>
        <v>0</v>
      </c>
      <c r="BY23" s="288">
        <f t="shared" si="11"/>
        <v>0</v>
      </c>
      <c r="BZ23" s="288">
        <f t="shared" si="11"/>
        <v>0</v>
      </c>
      <c r="CA23" s="288">
        <f t="shared" si="11"/>
        <v>0</v>
      </c>
      <c r="CB23" s="288">
        <f t="shared" si="11"/>
        <v>0</v>
      </c>
      <c r="CC23" s="288">
        <f t="shared" si="11"/>
        <v>0</v>
      </c>
      <c r="CD23" s="288">
        <f t="shared" si="11"/>
        <v>0</v>
      </c>
      <c r="CE23" s="288">
        <f t="shared" si="11"/>
        <v>0</v>
      </c>
      <c r="CF23" s="288">
        <f t="shared" si="11"/>
        <v>0</v>
      </c>
      <c r="CG23" s="288">
        <f t="shared" si="11"/>
        <v>0</v>
      </c>
      <c r="CH23" s="288">
        <f t="shared" si="11"/>
        <v>0</v>
      </c>
      <c r="CI23" s="288">
        <f t="shared" si="12"/>
        <v>0</v>
      </c>
      <c r="CJ23" s="288">
        <f t="shared" si="12"/>
        <v>0</v>
      </c>
      <c r="CK23" s="288">
        <f t="shared" si="12"/>
        <v>0</v>
      </c>
      <c r="CL23" s="288">
        <f t="shared" si="12"/>
        <v>0</v>
      </c>
      <c r="CM23" s="288">
        <f t="shared" si="12"/>
        <v>0</v>
      </c>
      <c r="CN23" s="288">
        <f t="shared" si="12"/>
        <v>0</v>
      </c>
      <c r="CO23" s="288">
        <f t="shared" si="12"/>
        <v>0</v>
      </c>
      <c r="CP23" s="288">
        <f t="shared" si="12"/>
        <v>0</v>
      </c>
      <c r="CQ23" s="288">
        <f t="shared" si="12"/>
        <v>0</v>
      </c>
      <c r="CR23" s="288">
        <f t="shared" si="12"/>
        <v>0</v>
      </c>
      <c r="CS23" s="288">
        <f t="shared" si="12"/>
        <v>0</v>
      </c>
      <c r="CT23" s="288">
        <f t="shared" si="12"/>
        <v>0</v>
      </c>
      <c r="CU23" s="288">
        <f t="shared" si="12"/>
        <v>0</v>
      </c>
      <c r="CV23" s="288">
        <f t="shared" si="12"/>
        <v>0</v>
      </c>
      <c r="CW23" s="288">
        <f t="shared" si="12"/>
        <v>0</v>
      </c>
      <c r="CX23" s="288">
        <f t="shared" si="12"/>
        <v>0</v>
      </c>
      <c r="CY23" s="288">
        <f t="shared" si="13"/>
        <v>0</v>
      </c>
      <c r="CZ23" s="288">
        <f t="shared" si="13"/>
        <v>0</v>
      </c>
      <c r="DA23" s="288">
        <f t="shared" si="13"/>
        <v>0</v>
      </c>
      <c r="DB23" s="288">
        <f t="shared" si="13"/>
        <v>0</v>
      </c>
      <c r="DC23" s="288">
        <f t="shared" si="13"/>
        <v>0</v>
      </c>
      <c r="DD23" s="288">
        <f t="shared" si="13"/>
        <v>0</v>
      </c>
      <c r="DE23" s="288">
        <f t="shared" si="13"/>
        <v>0</v>
      </c>
      <c r="DG23" s="314">
        <f t="shared" si="3"/>
        <v>32</v>
      </c>
      <c r="DH23" s="289">
        <f>MAX(W$3:W$109)</f>
        <v>32</v>
      </c>
      <c r="DJ23" s="288">
        <f>LOOKUP(DH23, 'Mortality Table'!A:A,('Mortality Table'!J:J/'Mortality Table'!I:I))</f>
        <v>1.6611183722148757E-3</v>
      </c>
      <c r="DK23" s="288">
        <f>LOOKUP(A23, 'Mortality Table'!A:A,('Mortality Table'!J:J/'Mortality Table'!I:I))</f>
        <v>1.3113998850775392E-3</v>
      </c>
      <c r="DL23" s="288">
        <f t="shared" si="4"/>
        <v>3.4971848713733649E-4</v>
      </c>
      <c r="DN23" s="288">
        <f>LOOKUP(DH23, 'Mortality Table'!A:A,('Mortality Table'!L:L/'Mortality Table'!K:K))</f>
        <v>1.6826456422218878E-3</v>
      </c>
      <c r="DO23" s="288">
        <f>LOOKUP(A23, 'Mortality Table'!A:A,('Mortality Table'!L:L/'Mortality Table'!K:K))</f>
        <v>1.3283949769899758E-3</v>
      </c>
      <c r="DP23" s="288">
        <f t="shared" si="5"/>
        <v>3.5425066523191205E-4</v>
      </c>
      <c r="DR23" s="288">
        <f>LOOKUP(DH23, 'Mortality Table'!A:A,('Mortality Table'!N:N/'Mortality Table'!M:M))</f>
        <v>1.7204626256492658E-3</v>
      </c>
      <c r="DS23" s="288">
        <f>LOOKUP(A23, 'Mortality Table'!A:A,('Mortality Table'!N:N/'Mortality Table'!M:M))</f>
        <v>1.3582502772203355E-3</v>
      </c>
      <c r="DT23" s="288">
        <f t="shared" si="6"/>
        <v>3.6221234842893023E-4</v>
      </c>
    </row>
    <row r="24" spans="1:124">
      <c r="A24" s="288">
        <v>21</v>
      </c>
      <c r="B24" s="288">
        <v>1.5284754985377584E-3</v>
      </c>
      <c r="C24" s="288">
        <f t="shared" si="18"/>
        <v>0</v>
      </c>
      <c r="D24" s="288">
        <f t="shared" si="18"/>
        <v>0</v>
      </c>
      <c r="E24" s="288">
        <f t="shared" si="18"/>
        <v>0</v>
      </c>
      <c r="F24" s="288">
        <f t="shared" si="18"/>
        <v>0</v>
      </c>
      <c r="G24" s="288">
        <f t="shared" si="18"/>
        <v>0</v>
      </c>
      <c r="H24" s="288">
        <f t="shared" si="18"/>
        <v>0</v>
      </c>
      <c r="I24" s="288">
        <f t="shared" si="18"/>
        <v>0</v>
      </c>
      <c r="J24" s="288">
        <f t="shared" si="18"/>
        <v>0</v>
      </c>
      <c r="K24" s="288">
        <f t="shared" si="18"/>
        <v>0</v>
      </c>
      <c r="L24" s="288">
        <f t="shared" si="18"/>
        <v>0</v>
      </c>
      <c r="M24" s="288">
        <f t="shared" si="18"/>
        <v>0</v>
      </c>
      <c r="N24" s="288">
        <f t="shared" si="18"/>
        <v>0</v>
      </c>
      <c r="O24" s="288">
        <f t="shared" si="14"/>
        <v>0</v>
      </c>
      <c r="P24" s="288">
        <f t="shared" si="14"/>
        <v>0</v>
      </c>
      <c r="Q24" s="288">
        <f t="shared" si="14"/>
        <v>0</v>
      </c>
      <c r="R24" s="288">
        <f t="shared" si="14"/>
        <v>0</v>
      </c>
      <c r="S24" s="288">
        <f t="shared" si="14"/>
        <v>0</v>
      </c>
      <c r="T24" s="288">
        <f t="shared" si="14"/>
        <v>0</v>
      </c>
      <c r="U24" s="288">
        <f t="shared" si="14"/>
        <v>0</v>
      </c>
      <c r="V24" s="288">
        <f t="shared" si="14"/>
        <v>0</v>
      </c>
      <c r="W24" s="288">
        <f t="shared" si="14"/>
        <v>0</v>
      </c>
      <c r="X24" s="288">
        <f t="shared" si="14"/>
        <v>0</v>
      </c>
      <c r="Y24" s="288">
        <f t="shared" si="14"/>
        <v>0</v>
      </c>
      <c r="Z24" s="288">
        <f t="shared" si="14"/>
        <v>0</v>
      </c>
      <c r="AA24" s="288">
        <f t="shared" si="14"/>
        <v>0</v>
      </c>
      <c r="AB24" s="288">
        <f t="shared" si="14"/>
        <v>0</v>
      </c>
      <c r="AC24" s="288">
        <f t="shared" si="14"/>
        <v>0</v>
      </c>
      <c r="AD24" s="288">
        <f t="shared" si="14"/>
        <v>0</v>
      </c>
      <c r="AE24" s="288">
        <f t="shared" si="19"/>
        <v>0</v>
      </c>
      <c r="AF24" s="288">
        <f t="shared" si="19"/>
        <v>0</v>
      </c>
      <c r="AG24" s="288">
        <f t="shared" si="19"/>
        <v>0</v>
      </c>
      <c r="AH24" s="288">
        <f t="shared" si="15"/>
        <v>0</v>
      </c>
      <c r="AI24" s="288">
        <f t="shared" si="15"/>
        <v>0</v>
      </c>
      <c r="AJ24" s="288">
        <f t="shared" si="15"/>
        <v>0</v>
      </c>
      <c r="AK24" s="288">
        <f t="shared" si="15"/>
        <v>0</v>
      </c>
      <c r="AL24" s="288">
        <f t="shared" si="15"/>
        <v>0</v>
      </c>
      <c r="AM24" s="288">
        <f t="shared" si="15"/>
        <v>0</v>
      </c>
      <c r="AN24" s="288">
        <f t="shared" si="15"/>
        <v>0</v>
      </c>
      <c r="AO24" s="288">
        <f t="shared" si="15"/>
        <v>0</v>
      </c>
      <c r="AP24" s="288">
        <f t="shared" si="15"/>
        <v>0</v>
      </c>
      <c r="AQ24" s="288">
        <f t="shared" si="15"/>
        <v>0</v>
      </c>
      <c r="AR24" s="288">
        <f t="shared" si="15"/>
        <v>0</v>
      </c>
      <c r="AS24" s="288">
        <f t="shared" si="15"/>
        <v>0</v>
      </c>
      <c r="AT24" s="288">
        <f t="shared" si="15"/>
        <v>0</v>
      </c>
      <c r="AU24" s="288">
        <f t="shared" si="15"/>
        <v>0</v>
      </c>
      <c r="AV24" s="288">
        <f t="shared" si="15"/>
        <v>0</v>
      </c>
      <c r="AW24" s="288">
        <f t="shared" si="15"/>
        <v>0</v>
      </c>
      <c r="AX24" s="288">
        <f t="shared" si="16"/>
        <v>0</v>
      </c>
      <c r="AY24" s="288">
        <f t="shared" si="16"/>
        <v>0</v>
      </c>
      <c r="AZ24" s="288">
        <f t="shared" si="16"/>
        <v>0</v>
      </c>
      <c r="BA24" s="288">
        <f t="shared" si="16"/>
        <v>0</v>
      </c>
      <c r="BB24" s="288">
        <f t="shared" si="16"/>
        <v>0</v>
      </c>
      <c r="BC24" s="288">
        <f t="shared" si="16"/>
        <v>0</v>
      </c>
      <c r="BD24" s="288">
        <f t="shared" si="16"/>
        <v>0</v>
      </c>
      <c r="BE24" s="288">
        <f t="shared" si="16"/>
        <v>0</v>
      </c>
      <c r="BF24" s="288">
        <f t="shared" si="16"/>
        <v>0</v>
      </c>
      <c r="BG24" s="288">
        <f t="shared" si="16"/>
        <v>0</v>
      </c>
      <c r="BH24" s="288">
        <f t="shared" si="16"/>
        <v>0</v>
      </c>
      <c r="BI24" s="288">
        <f t="shared" si="16"/>
        <v>0</v>
      </c>
      <c r="BJ24" s="288">
        <f t="shared" si="16"/>
        <v>0</v>
      </c>
      <c r="BK24" s="288">
        <f t="shared" si="16"/>
        <v>0</v>
      </c>
      <c r="BL24" s="288">
        <f t="shared" si="16"/>
        <v>0</v>
      </c>
      <c r="BM24" s="288">
        <f t="shared" si="16"/>
        <v>0</v>
      </c>
      <c r="BN24" s="288">
        <f t="shared" si="17"/>
        <v>0</v>
      </c>
      <c r="BO24" s="288">
        <f t="shared" si="7"/>
        <v>0</v>
      </c>
      <c r="BP24" s="288">
        <f t="shared" si="7"/>
        <v>0</v>
      </c>
      <c r="BQ24" s="288">
        <f t="shared" si="7"/>
        <v>0</v>
      </c>
      <c r="BR24" s="288">
        <f t="shared" si="7"/>
        <v>0</v>
      </c>
      <c r="BS24" s="288">
        <f t="shared" si="11"/>
        <v>0</v>
      </c>
      <c r="BT24" s="288">
        <f t="shared" si="11"/>
        <v>0</v>
      </c>
      <c r="BU24" s="288">
        <f t="shared" si="11"/>
        <v>0</v>
      </c>
      <c r="BV24" s="288">
        <f t="shared" si="11"/>
        <v>0</v>
      </c>
      <c r="BW24" s="288">
        <f t="shared" si="11"/>
        <v>0</v>
      </c>
      <c r="BX24" s="288">
        <f t="shared" si="11"/>
        <v>0</v>
      </c>
      <c r="BY24" s="288">
        <f t="shared" si="11"/>
        <v>0</v>
      </c>
      <c r="BZ24" s="288">
        <f t="shared" si="11"/>
        <v>0</v>
      </c>
      <c r="CA24" s="288">
        <f t="shared" si="11"/>
        <v>0</v>
      </c>
      <c r="CB24" s="288">
        <f t="shared" si="11"/>
        <v>0</v>
      </c>
      <c r="CC24" s="288">
        <f t="shared" si="11"/>
        <v>0</v>
      </c>
      <c r="CD24" s="288">
        <f t="shared" si="11"/>
        <v>0</v>
      </c>
      <c r="CE24" s="288">
        <f t="shared" si="11"/>
        <v>0</v>
      </c>
      <c r="CF24" s="288">
        <f t="shared" si="11"/>
        <v>0</v>
      </c>
      <c r="CG24" s="288">
        <f t="shared" si="11"/>
        <v>0</v>
      </c>
      <c r="CH24" s="288">
        <f t="shared" ref="CH24:CW40" si="20">IF(CH$2&gt;$B24,(IF(CH$2&lt;=$B25,(IF(AVERAGE($B24,$B25)&gt;CH$2,$A24,$A25)),0)),0)</f>
        <v>0</v>
      </c>
      <c r="CI24" s="288">
        <f t="shared" si="12"/>
        <v>0</v>
      </c>
      <c r="CJ24" s="288">
        <f t="shared" si="12"/>
        <v>0</v>
      </c>
      <c r="CK24" s="288">
        <f t="shared" si="12"/>
        <v>0</v>
      </c>
      <c r="CL24" s="288">
        <f t="shared" si="12"/>
        <v>0</v>
      </c>
      <c r="CM24" s="288">
        <f t="shared" si="12"/>
        <v>0</v>
      </c>
      <c r="CN24" s="288">
        <f t="shared" si="12"/>
        <v>0</v>
      </c>
      <c r="CO24" s="288">
        <f t="shared" si="12"/>
        <v>0</v>
      </c>
      <c r="CP24" s="288">
        <f t="shared" si="12"/>
        <v>0</v>
      </c>
      <c r="CQ24" s="288">
        <f t="shared" si="12"/>
        <v>0</v>
      </c>
      <c r="CR24" s="288">
        <f t="shared" si="12"/>
        <v>0</v>
      </c>
      <c r="CS24" s="288">
        <f t="shared" si="12"/>
        <v>0</v>
      </c>
      <c r="CT24" s="288">
        <f t="shared" si="12"/>
        <v>0</v>
      </c>
      <c r="CU24" s="288">
        <f t="shared" si="12"/>
        <v>0</v>
      </c>
      <c r="CV24" s="288">
        <f t="shared" si="12"/>
        <v>0</v>
      </c>
      <c r="CW24" s="288">
        <f t="shared" si="12"/>
        <v>0</v>
      </c>
      <c r="CX24" s="288">
        <f t="shared" ref="CX24:DA87" si="21">IF(CX$2&gt;$B24,(IF(CX$2&lt;=$B25,(IF(AVERAGE($B24,$B25)&gt;CX$2,$A24,$A25)),0)),0)</f>
        <v>0</v>
      </c>
      <c r="CY24" s="288">
        <f t="shared" si="13"/>
        <v>0</v>
      </c>
      <c r="CZ24" s="288">
        <f t="shared" si="13"/>
        <v>0</v>
      </c>
      <c r="DA24" s="288">
        <f t="shared" si="13"/>
        <v>0</v>
      </c>
      <c r="DB24" s="288">
        <f t="shared" si="13"/>
        <v>0</v>
      </c>
      <c r="DC24" s="288">
        <f t="shared" si="13"/>
        <v>0</v>
      </c>
      <c r="DD24" s="288">
        <f t="shared" si="13"/>
        <v>0</v>
      </c>
      <c r="DE24" s="288">
        <f t="shared" si="13"/>
        <v>0</v>
      </c>
      <c r="DG24" s="314">
        <f t="shared" si="3"/>
        <v>33</v>
      </c>
      <c r="DH24" s="289">
        <f>MAX(X$3:X$109)</f>
        <v>33</v>
      </c>
      <c r="DJ24" s="288">
        <f>LOOKUP(DH24, 'Mortality Table'!A:A,('Mortality Table'!J:J/'Mortality Table'!I:I))</f>
        <v>1.7597603209525893E-3</v>
      </c>
      <c r="DK24" s="288">
        <f>LOOKUP(A24, 'Mortality Table'!A:A,('Mortality Table'!J:J/'Mortality Table'!I:I))</f>
        <v>1.4070757480333467E-3</v>
      </c>
      <c r="DL24" s="288">
        <f t="shared" si="4"/>
        <v>3.5268457291924267E-4</v>
      </c>
      <c r="DN24" s="288">
        <f>LOOKUP(DH24, 'Mortality Table'!A:A,('Mortality Table'!L:L/'Mortality Table'!K:K))</f>
        <v>1.7825659416780175E-3</v>
      </c>
      <c r="DO24" s="288">
        <f>LOOKUP(A24, 'Mortality Table'!A:A,('Mortality Table'!L:L/'Mortality Table'!K:K))</f>
        <v>1.4253107516639699E-3</v>
      </c>
      <c r="DP24" s="288">
        <f t="shared" si="5"/>
        <v>3.5725519001404758E-4</v>
      </c>
      <c r="DR24" s="288">
        <f>LOOKUP(DH24, 'Mortality Table'!A:A,('Mortality Table'!N:N/'Mortality Table'!M:M))</f>
        <v>1.822628605487392E-3</v>
      </c>
      <c r="DS24" s="288">
        <f>LOOKUP(A24, 'Mortality Table'!A:A,('Mortality Table'!N:N/'Mortality Table'!M:M))</f>
        <v>1.4573442064342585E-3</v>
      </c>
      <c r="DT24" s="288">
        <f t="shared" si="6"/>
        <v>3.6528439905313343E-4</v>
      </c>
    </row>
    <row r="25" spans="1:124">
      <c r="A25" s="288">
        <v>22</v>
      </c>
      <c r="B25" s="288">
        <v>1.6022533601396103E-3</v>
      </c>
      <c r="C25" s="288">
        <f t="shared" si="18"/>
        <v>0</v>
      </c>
      <c r="D25" s="288">
        <f t="shared" si="18"/>
        <v>0</v>
      </c>
      <c r="E25" s="288">
        <f t="shared" si="18"/>
        <v>0</v>
      </c>
      <c r="F25" s="288">
        <f t="shared" si="18"/>
        <v>0</v>
      </c>
      <c r="G25" s="288">
        <f t="shared" si="18"/>
        <v>0</v>
      </c>
      <c r="H25" s="288">
        <f t="shared" si="18"/>
        <v>0</v>
      </c>
      <c r="I25" s="288">
        <f t="shared" si="18"/>
        <v>0</v>
      </c>
      <c r="J25" s="288">
        <f t="shared" si="18"/>
        <v>0</v>
      </c>
      <c r="K25" s="288">
        <f t="shared" si="18"/>
        <v>0</v>
      </c>
      <c r="L25" s="288">
        <f t="shared" si="18"/>
        <v>0</v>
      </c>
      <c r="M25" s="288">
        <f t="shared" si="18"/>
        <v>0</v>
      </c>
      <c r="N25" s="288">
        <f t="shared" si="18"/>
        <v>0</v>
      </c>
      <c r="O25" s="288">
        <f t="shared" si="14"/>
        <v>0</v>
      </c>
      <c r="P25" s="288">
        <f t="shared" si="14"/>
        <v>0</v>
      </c>
      <c r="Q25" s="288">
        <f t="shared" si="14"/>
        <v>0</v>
      </c>
      <c r="R25" s="288">
        <f t="shared" si="14"/>
        <v>0</v>
      </c>
      <c r="S25" s="288">
        <f t="shared" si="14"/>
        <v>0</v>
      </c>
      <c r="T25" s="288">
        <f t="shared" si="14"/>
        <v>0</v>
      </c>
      <c r="U25" s="288">
        <f t="shared" si="14"/>
        <v>0</v>
      </c>
      <c r="V25" s="288">
        <f t="shared" si="14"/>
        <v>0</v>
      </c>
      <c r="W25" s="288">
        <f t="shared" si="14"/>
        <v>0</v>
      </c>
      <c r="X25" s="288">
        <f t="shared" si="14"/>
        <v>0</v>
      </c>
      <c r="Y25" s="288">
        <f t="shared" si="14"/>
        <v>0</v>
      </c>
      <c r="Z25" s="288">
        <f t="shared" si="14"/>
        <v>0</v>
      </c>
      <c r="AA25" s="288">
        <f t="shared" si="14"/>
        <v>0</v>
      </c>
      <c r="AB25" s="288">
        <f t="shared" si="14"/>
        <v>0</v>
      </c>
      <c r="AC25" s="288">
        <f t="shared" si="14"/>
        <v>0</v>
      </c>
      <c r="AD25" s="288">
        <f t="shared" si="14"/>
        <v>0</v>
      </c>
      <c r="AE25" s="288">
        <f t="shared" si="19"/>
        <v>0</v>
      </c>
      <c r="AF25" s="288">
        <f t="shared" si="19"/>
        <v>0</v>
      </c>
      <c r="AG25" s="288">
        <f t="shared" si="19"/>
        <v>0</v>
      </c>
      <c r="AH25" s="288">
        <f t="shared" si="15"/>
        <v>0</v>
      </c>
      <c r="AI25" s="288">
        <f t="shared" si="15"/>
        <v>0</v>
      </c>
      <c r="AJ25" s="288">
        <f t="shared" si="15"/>
        <v>0</v>
      </c>
      <c r="AK25" s="288">
        <f t="shared" si="15"/>
        <v>0</v>
      </c>
      <c r="AL25" s="288">
        <f t="shared" si="15"/>
        <v>0</v>
      </c>
      <c r="AM25" s="288">
        <f t="shared" si="15"/>
        <v>0</v>
      </c>
      <c r="AN25" s="288">
        <f t="shared" si="15"/>
        <v>0</v>
      </c>
      <c r="AO25" s="288">
        <f t="shared" si="15"/>
        <v>0</v>
      </c>
      <c r="AP25" s="288">
        <f t="shared" si="15"/>
        <v>0</v>
      </c>
      <c r="AQ25" s="288">
        <f t="shared" si="15"/>
        <v>0</v>
      </c>
      <c r="AR25" s="288">
        <f t="shared" si="15"/>
        <v>0</v>
      </c>
      <c r="AS25" s="288">
        <f t="shared" si="15"/>
        <v>0</v>
      </c>
      <c r="AT25" s="288">
        <f t="shared" si="15"/>
        <v>0</v>
      </c>
      <c r="AU25" s="288">
        <f t="shared" si="15"/>
        <v>0</v>
      </c>
      <c r="AV25" s="288">
        <f t="shared" si="15"/>
        <v>0</v>
      </c>
      <c r="AW25" s="288">
        <f t="shared" si="15"/>
        <v>0</v>
      </c>
      <c r="AX25" s="288">
        <f t="shared" si="16"/>
        <v>0</v>
      </c>
      <c r="AY25" s="288">
        <f t="shared" si="16"/>
        <v>0</v>
      </c>
      <c r="AZ25" s="288">
        <f t="shared" si="16"/>
        <v>0</v>
      </c>
      <c r="BA25" s="288">
        <f t="shared" si="16"/>
        <v>0</v>
      </c>
      <c r="BB25" s="288">
        <f t="shared" si="16"/>
        <v>0</v>
      </c>
      <c r="BC25" s="288">
        <f t="shared" si="16"/>
        <v>0</v>
      </c>
      <c r="BD25" s="288">
        <f t="shared" si="16"/>
        <v>0</v>
      </c>
      <c r="BE25" s="288">
        <f t="shared" si="16"/>
        <v>0</v>
      </c>
      <c r="BF25" s="288">
        <f t="shared" si="16"/>
        <v>0</v>
      </c>
      <c r="BG25" s="288">
        <f t="shared" si="16"/>
        <v>0</v>
      </c>
      <c r="BH25" s="288">
        <f t="shared" si="16"/>
        <v>0</v>
      </c>
      <c r="BI25" s="288">
        <f t="shared" si="16"/>
        <v>0</v>
      </c>
      <c r="BJ25" s="288">
        <f t="shared" si="16"/>
        <v>0</v>
      </c>
      <c r="BK25" s="288">
        <f t="shared" si="16"/>
        <v>0</v>
      </c>
      <c r="BL25" s="288">
        <f t="shared" si="16"/>
        <v>0</v>
      </c>
      <c r="BM25" s="288">
        <f t="shared" si="16"/>
        <v>0</v>
      </c>
      <c r="BN25" s="288">
        <f t="shared" si="17"/>
        <v>0</v>
      </c>
      <c r="BO25" s="288">
        <f t="shared" si="7"/>
        <v>0</v>
      </c>
      <c r="BP25" s="288">
        <f t="shared" si="7"/>
        <v>0</v>
      </c>
      <c r="BQ25" s="288">
        <f t="shared" si="7"/>
        <v>0</v>
      </c>
      <c r="BR25" s="288">
        <f t="shared" si="7"/>
        <v>0</v>
      </c>
      <c r="BS25" s="288">
        <f t="shared" si="7"/>
        <v>0</v>
      </c>
      <c r="BT25" s="288">
        <f t="shared" si="7"/>
        <v>0</v>
      </c>
      <c r="BU25" s="288">
        <f t="shared" si="7"/>
        <v>0</v>
      </c>
      <c r="BV25" s="288">
        <f t="shared" si="7"/>
        <v>0</v>
      </c>
      <c r="BW25" s="288">
        <f t="shared" si="7"/>
        <v>0</v>
      </c>
      <c r="BX25" s="288">
        <f t="shared" si="7"/>
        <v>0</v>
      </c>
      <c r="BY25" s="288">
        <f t="shared" si="7"/>
        <v>0</v>
      </c>
      <c r="BZ25" s="288">
        <f t="shared" si="7"/>
        <v>0</v>
      </c>
      <c r="CA25" s="288">
        <f t="shared" si="7"/>
        <v>0</v>
      </c>
      <c r="CB25" s="288">
        <f t="shared" si="7"/>
        <v>0</v>
      </c>
      <c r="CC25" s="288">
        <f t="shared" si="7"/>
        <v>0</v>
      </c>
      <c r="CD25" s="288">
        <f t="shared" si="7"/>
        <v>0</v>
      </c>
      <c r="CE25" s="288">
        <f t="shared" ref="CE25:CT53" si="22">IF(CE$2&gt;$B25,(IF(CE$2&lt;=$B26,(IF(AVERAGE($B25,$B26)&gt;CE$2,$A25,$A26)),0)),0)</f>
        <v>0</v>
      </c>
      <c r="CF25" s="288">
        <f t="shared" si="22"/>
        <v>0</v>
      </c>
      <c r="CG25" s="288">
        <f t="shared" si="22"/>
        <v>0</v>
      </c>
      <c r="CH25" s="288">
        <f t="shared" si="20"/>
        <v>0</v>
      </c>
      <c r="CI25" s="288">
        <f t="shared" si="20"/>
        <v>0</v>
      </c>
      <c r="CJ25" s="288">
        <f t="shared" si="20"/>
        <v>0</v>
      </c>
      <c r="CK25" s="288">
        <f t="shared" si="20"/>
        <v>0</v>
      </c>
      <c r="CL25" s="288">
        <f t="shared" si="20"/>
        <v>0</v>
      </c>
      <c r="CM25" s="288">
        <f t="shared" si="20"/>
        <v>0</v>
      </c>
      <c r="CN25" s="288">
        <f t="shared" si="20"/>
        <v>0</v>
      </c>
      <c r="CO25" s="288">
        <f t="shared" si="20"/>
        <v>0</v>
      </c>
      <c r="CP25" s="288">
        <f t="shared" si="20"/>
        <v>0</v>
      </c>
      <c r="CQ25" s="288">
        <f t="shared" si="20"/>
        <v>0</v>
      </c>
      <c r="CR25" s="288">
        <f t="shared" si="20"/>
        <v>0</v>
      </c>
      <c r="CS25" s="288">
        <f t="shared" si="20"/>
        <v>0</v>
      </c>
      <c r="CT25" s="288">
        <f t="shared" si="20"/>
        <v>0</v>
      </c>
      <c r="CU25" s="288">
        <f t="shared" si="20"/>
        <v>0</v>
      </c>
      <c r="CV25" s="288">
        <f t="shared" si="20"/>
        <v>0</v>
      </c>
      <c r="CW25" s="288">
        <f t="shared" si="20"/>
        <v>0</v>
      </c>
      <c r="CX25" s="288">
        <f t="shared" si="21"/>
        <v>0</v>
      </c>
      <c r="CY25" s="288">
        <f t="shared" si="13"/>
        <v>0</v>
      </c>
      <c r="CZ25" s="288">
        <f t="shared" si="13"/>
        <v>0</v>
      </c>
      <c r="DA25" s="288">
        <f t="shared" si="13"/>
        <v>0</v>
      </c>
      <c r="DB25" s="288">
        <f t="shared" si="13"/>
        <v>0</v>
      </c>
      <c r="DC25" s="288">
        <f t="shared" si="13"/>
        <v>0</v>
      </c>
      <c r="DD25" s="288">
        <f t="shared" si="13"/>
        <v>0</v>
      </c>
      <c r="DE25" s="288">
        <f t="shared" si="13"/>
        <v>0</v>
      </c>
      <c r="DG25" s="314">
        <f t="shared" si="3"/>
        <v>34</v>
      </c>
      <c r="DH25" s="289">
        <f>MAX(Y$3:Y$109)</f>
        <v>34</v>
      </c>
      <c r="DJ25" s="288">
        <f>LOOKUP(DH25, 'Mortality Table'!A:A,('Mortality Table'!J:J/'Mortality Table'!I:I))</f>
        <v>1.8493707909189702E-3</v>
      </c>
      <c r="DK25" s="288">
        <f>LOOKUP(A25, 'Mortality Table'!A:A,('Mortality Table'!J:J/'Mortality Table'!I:I))</f>
        <v>1.4749937747868271E-3</v>
      </c>
      <c r="DL25" s="288">
        <f t="shared" si="4"/>
        <v>3.743770161321431E-4</v>
      </c>
      <c r="DN25" s="288">
        <f>LOOKUP(DH25, 'Mortality Table'!A:A,('Mortality Table'!L:L/'Mortality Table'!K:K))</f>
        <v>1.8733377188785425E-3</v>
      </c>
      <c r="DO25" s="288">
        <f>LOOKUP(A25, 'Mortality Table'!A:A,('Mortality Table'!L:L/'Mortality Table'!K:K))</f>
        <v>1.4941089623493849E-3</v>
      </c>
      <c r="DP25" s="288">
        <f t="shared" si="5"/>
        <v>3.7922875652915758E-4</v>
      </c>
      <c r="DR25" s="288">
        <f>LOOKUP(DH25, 'Mortality Table'!A:A,('Mortality Table'!N:N/'Mortality Table'!M:M))</f>
        <v>1.9154404526277363E-3</v>
      </c>
      <c r="DS25" s="288">
        <f>LOOKUP(A25, 'Mortality Table'!A:A,('Mortality Table'!N:N/'Mortality Table'!M:M))</f>
        <v>1.5276886373861635E-3</v>
      </c>
      <c r="DT25" s="288">
        <f t="shared" si="6"/>
        <v>3.877518152415728E-4</v>
      </c>
    </row>
    <row r="26" spans="1:124">
      <c r="A26" s="288">
        <v>23</v>
      </c>
      <c r="B26" s="288">
        <v>1.5639374425022998E-3</v>
      </c>
      <c r="C26" s="288">
        <f t="shared" si="18"/>
        <v>0</v>
      </c>
      <c r="D26" s="288">
        <f t="shared" si="18"/>
        <v>0</v>
      </c>
      <c r="E26" s="288">
        <f t="shared" si="18"/>
        <v>0</v>
      </c>
      <c r="F26" s="288">
        <f t="shared" si="18"/>
        <v>0</v>
      </c>
      <c r="G26" s="288">
        <f t="shared" si="18"/>
        <v>0</v>
      </c>
      <c r="H26" s="288">
        <f t="shared" si="18"/>
        <v>0</v>
      </c>
      <c r="I26" s="288">
        <f t="shared" si="18"/>
        <v>0</v>
      </c>
      <c r="J26" s="288">
        <f t="shared" si="18"/>
        <v>0</v>
      </c>
      <c r="K26" s="288">
        <f t="shared" si="18"/>
        <v>0</v>
      </c>
      <c r="L26" s="288">
        <f t="shared" si="18"/>
        <v>0</v>
      </c>
      <c r="M26" s="288">
        <f t="shared" si="18"/>
        <v>0</v>
      </c>
      <c r="N26" s="288">
        <f t="shared" si="18"/>
        <v>0</v>
      </c>
      <c r="O26" s="288">
        <f t="shared" si="14"/>
        <v>0</v>
      </c>
      <c r="P26" s="288">
        <f t="shared" si="14"/>
        <v>0</v>
      </c>
      <c r="Q26" s="288">
        <f t="shared" si="14"/>
        <v>0</v>
      </c>
      <c r="R26" s="288">
        <f t="shared" si="14"/>
        <v>0</v>
      </c>
      <c r="S26" s="288">
        <f t="shared" si="14"/>
        <v>0</v>
      </c>
      <c r="T26" s="288">
        <f t="shared" si="14"/>
        <v>0</v>
      </c>
      <c r="U26" s="288">
        <f t="shared" si="14"/>
        <v>0</v>
      </c>
      <c r="V26" s="288">
        <f t="shared" si="14"/>
        <v>0</v>
      </c>
      <c r="W26" s="288">
        <f t="shared" si="14"/>
        <v>0</v>
      </c>
      <c r="X26" s="288">
        <f t="shared" si="14"/>
        <v>0</v>
      </c>
      <c r="Y26" s="288">
        <f t="shared" si="14"/>
        <v>0</v>
      </c>
      <c r="Z26" s="288">
        <f t="shared" si="14"/>
        <v>0</v>
      </c>
      <c r="AA26" s="288">
        <f t="shared" si="14"/>
        <v>0</v>
      </c>
      <c r="AB26" s="288">
        <f t="shared" si="14"/>
        <v>0</v>
      </c>
      <c r="AC26" s="288">
        <f t="shared" si="14"/>
        <v>0</v>
      </c>
      <c r="AD26" s="288">
        <f t="shared" si="14"/>
        <v>0</v>
      </c>
      <c r="AE26" s="288">
        <f t="shared" si="19"/>
        <v>0</v>
      </c>
      <c r="AF26" s="288">
        <f t="shared" si="19"/>
        <v>0</v>
      </c>
      <c r="AG26" s="288">
        <f t="shared" si="19"/>
        <v>0</v>
      </c>
      <c r="AH26" s="288">
        <f t="shared" si="15"/>
        <v>0</v>
      </c>
      <c r="AI26" s="288">
        <f t="shared" si="15"/>
        <v>0</v>
      </c>
      <c r="AJ26" s="288">
        <f t="shared" si="15"/>
        <v>0</v>
      </c>
      <c r="AK26" s="288">
        <f t="shared" si="15"/>
        <v>0</v>
      </c>
      <c r="AL26" s="288">
        <f t="shared" si="15"/>
        <v>0</v>
      </c>
      <c r="AM26" s="288">
        <f t="shared" si="15"/>
        <v>0</v>
      </c>
      <c r="AN26" s="288">
        <f t="shared" si="15"/>
        <v>0</v>
      </c>
      <c r="AO26" s="288">
        <f t="shared" si="15"/>
        <v>0</v>
      </c>
      <c r="AP26" s="288">
        <f t="shared" si="15"/>
        <v>0</v>
      </c>
      <c r="AQ26" s="288">
        <f t="shared" si="15"/>
        <v>0</v>
      </c>
      <c r="AR26" s="288">
        <f t="shared" si="15"/>
        <v>0</v>
      </c>
      <c r="AS26" s="288">
        <f t="shared" si="15"/>
        <v>0</v>
      </c>
      <c r="AT26" s="288">
        <f t="shared" si="15"/>
        <v>0</v>
      </c>
      <c r="AU26" s="288">
        <f t="shared" si="15"/>
        <v>0</v>
      </c>
      <c r="AV26" s="288">
        <f t="shared" si="15"/>
        <v>0</v>
      </c>
      <c r="AW26" s="288">
        <f t="shared" si="15"/>
        <v>0</v>
      </c>
      <c r="AX26" s="288">
        <f t="shared" si="16"/>
        <v>0</v>
      </c>
      <c r="AY26" s="288">
        <f t="shared" si="16"/>
        <v>0</v>
      </c>
      <c r="AZ26" s="288">
        <f t="shared" si="16"/>
        <v>0</v>
      </c>
      <c r="BA26" s="288">
        <f t="shared" si="16"/>
        <v>0</v>
      </c>
      <c r="BB26" s="288">
        <f t="shared" si="16"/>
        <v>0</v>
      </c>
      <c r="BC26" s="288">
        <f t="shared" si="16"/>
        <v>0</v>
      </c>
      <c r="BD26" s="288">
        <f t="shared" si="16"/>
        <v>0</v>
      </c>
      <c r="BE26" s="288">
        <f t="shared" si="16"/>
        <v>0</v>
      </c>
      <c r="BF26" s="288">
        <f t="shared" si="16"/>
        <v>0</v>
      </c>
      <c r="BG26" s="288">
        <f t="shared" si="16"/>
        <v>0</v>
      </c>
      <c r="BH26" s="288">
        <f t="shared" si="16"/>
        <v>0</v>
      </c>
      <c r="BI26" s="288">
        <f t="shared" si="16"/>
        <v>0</v>
      </c>
      <c r="BJ26" s="288">
        <f t="shared" si="16"/>
        <v>0</v>
      </c>
      <c r="BK26" s="288">
        <f t="shared" si="16"/>
        <v>0</v>
      </c>
      <c r="BL26" s="288">
        <f t="shared" si="16"/>
        <v>0</v>
      </c>
      <c r="BM26" s="288">
        <f t="shared" si="16"/>
        <v>0</v>
      </c>
      <c r="BN26" s="288">
        <f t="shared" si="17"/>
        <v>0</v>
      </c>
      <c r="BO26" s="288">
        <f t="shared" si="7"/>
        <v>0</v>
      </c>
      <c r="BP26" s="288">
        <f t="shared" si="7"/>
        <v>0</v>
      </c>
      <c r="BQ26" s="288">
        <f t="shared" si="7"/>
        <v>0</v>
      </c>
      <c r="BR26" s="288">
        <f t="shared" si="7"/>
        <v>0</v>
      </c>
      <c r="BS26" s="288">
        <f t="shared" si="7"/>
        <v>0</v>
      </c>
      <c r="BT26" s="288">
        <f t="shared" si="7"/>
        <v>0</v>
      </c>
      <c r="BU26" s="288">
        <f t="shared" si="7"/>
        <v>0</v>
      </c>
      <c r="BV26" s="288">
        <f t="shared" si="7"/>
        <v>0</v>
      </c>
      <c r="BW26" s="288">
        <f t="shared" si="7"/>
        <v>0</v>
      </c>
      <c r="BX26" s="288">
        <f t="shared" si="7"/>
        <v>0</v>
      </c>
      <c r="BY26" s="288">
        <f t="shared" si="7"/>
        <v>0</v>
      </c>
      <c r="BZ26" s="288">
        <f t="shared" si="7"/>
        <v>0</v>
      </c>
      <c r="CA26" s="288">
        <f t="shared" si="7"/>
        <v>0</v>
      </c>
      <c r="CB26" s="288">
        <f t="shared" si="7"/>
        <v>0</v>
      </c>
      <c r="CC26" s="288">
        <f t="shared" si="7"/>
        <v>0</v>
      </c>
      <c r="CD26" s="288">
        <f t="shared" si="7"/>
        <v>0</v>
      </c>
      <c r="CE26" s="288">
        <f t="shared" si="22"/>
        <v>0</v>
      </c>
      <c r="CF26" s="288">
        <f t="shared" si="22"/>
        <v>0</v>
      </c>
      <c r="CG26" s="288">
        <f t="shared" si="22"/>
        <v>0</v>
      </c>
      <c r="CH26" s="288">
        <f t="shared" si="20"/>
        <v>0</v>
      </c>
      <c r="CI26" s="288">
        <f t="shared" si="20"/>
        <v>0</v>
      </c>
      <c r="CJ26" s="288">
        <f t="shared" si="20"/>
        <v>0</v>
      </c>
      <c r="CK26" s="288">
        <f t="shared" si="20"/>
        <v>0</v>
      </c>
      <c r="CL26" s="288">
        <f t="shared" si="20"/>
        <v>0</v>
      </c>
      <c r="CM26" s="288">
        <f t="shared" si="20"/>
        <v>0</v>
      </c>
      <c r="CN26" s="288">
        <f t="shared" si="20"/>
        <v>0</v>
      </c>
      <c r="CO26" s="288">
        <f t="shared" si="20"/>
        <v>0</v>
      </c>
      <c r="CP26" s="288">
        <f t="shared" si="20"/>
        <v>0</v>
      </c>
      <c r="CQ26" s="288">
        <f t="shared" si="20"/>
        <v>0</v>
      </c>
      <c r="CR26" s="288">
        <f t="shared" si="20"/>
        <v>0</v>
      </c>
      <c r="CS26" s="288">
        <f t="shared" si="20"/>
        <v>0</v>
      </c>
      <c r="CT26" s="288">
        <f t="shared" si="20"/>
        <v>0</v>
      </c>
      <c r="CU26" s="288">
        <f t="shared" si="20"/>
        <v>0</v>
      </c>
      <c r="CV26" s="288">
        <f t="shared" si="20"/>
        <v>0</v>
      </c>
      <c r="CW26" s="288">
        <f t="shared" si="20"/>
        <v>0</v>
      </c>
      <c r="CX26" s="288">
        <f t="shared" si="21"/>
        <v>0</v>
      </c>
      <c r="CY26" s="288">
        <f t="shared" si="13"/>
        <v>0</v>
      </c>
      <c r="CZ26" s="288">
        <f t="shared" si="13"/>
        <v>0</v>
      </c>
      <c r="DA26" s="288">
        <f t="shared" si="13"/>
        <v>0</v>
      </c>
      <c r="DB26" s="288">
        <f t="shared" si="13"/>
        <v>0</v>
      </c>
      <c r="DC26" s="288">
        <f t="shared" si="13"/>
        <v>0</v>
      </c>
      <c r="DD26" s="288">
        <f t="shared" si="13"/>
        <v>0</v>
      </c>
      <c r="DE26" s="288">
        <f t="shared" si="13"/>
        <v>0</v>
      </c>
      <c r="DG26" s="314">
        <f t="shared" si="3"/>
        <v>33</v>
      </c>
      <c r="DH26" s="289">
        <f>MAX(Z$3:Z$109)</f>
        <v>33</v>
      </c>
      <c r="DJ26" s="288">
        <f>LOOKUP(DH26, 'Mortality Table'!A:A,('Mortality Table'!J:J/'Mortality Table'!I:I))</f>
        <v>1.7597603209525893E-3</v>
      </c>
      <c r="DK26" s="288">
        <f>LOOKUP(A26, 'Mortality Table'!A:A,('Mortality Table'!J:J/'Mortality Table'!I:I))</f>
        <v>1.4397211135484366E-3</v>
      </c>
      <c r="DL26" s="288">
        <f t="shared" si="4"/>
        <v>3.2003920740415271E-4</v>
      </c>
      <c r="DN26" s="288">
        <f>LOOKUP(DH26, 'Mortality Table'!A:A,('Mortality Table'!L:L/'Mortality Table'!K:K))</f>
        <v>1.7825659416780175E-3</v>
      </c>
      <c r="DO26" s="288">
        <f>LOOKUP(A26, 'Mortality Table'!A:A,('Mortality Table'!L:L/'Mortality Table'!K:K))</f>
        <v>1.4583791849204532E-3</v>
      </c>
      <c r="DP26" s="288">
        <f t="shared" si="5"/>
        <v>3.2418675675756434E-4</v>
      </c>
      <c r="DR26" s="288">
        <f>LOOKUP(DH26, 'Mortality Table'!A:A,('Mortality Table'!N:N/'Mortality Table'!M:M))</f>
        <v>1.822628605487392E-3</v>
      </c>
      <c r="DS26" s="288">
        <f>LOOKUP(A26, 'Mortality Table'!A:A,('Mortality Table'!N:N/'Mortality Table'!M:M))</f>
        <v>1.4911558433463726E-3</v>
      </c>
      <c r="DT26" s="288">
        <f t="shared" si="6"/>
        <v>3.3147276214101932E-4</v>
      </c>
    </row>
    <row r="27" spans="1:124">
      <c r="A27" s="288">
        <v>24</v>
      </c>
      <c r="B27" s="288">
        <v>1.5663871740532571E-3</v>
      </c>
      <c r="C27" s="288">
        <f t="shared" si="18"/>
        <v>0</v>
      </c>
      <c r="D27" s="288">
        <f t="shared" si="18"/>
        <v>0</v>
      </c>
      <c r="E27" s="288">
        <f t="shared" si="18"/>
        <v>0</v>
      </c>
      <c r="F27" s="288">
        <f t="shared" si="18"/>
        <v>0</v>
      </c>
      <c r="G27" s="288">
        <f t="shared" si="18"/>
        <v>0</v>
      </c>
      <c r="H27" s="288">
        <f t="shared" si="18"/>
        <v>0</v>
      </c>
      <c r="I27" s="288">
        <f t="shared" si="18"/>
        <v>0</v>
      </c>
      <c r="J27" s="288">
        <f t="shared" si="18"/>
        <v>0</v>
      </c>
      <c r="K27" s="288">
        <f t="shared" si="18"/>
        <v>0</v>
      </c>
      <c r="L27" s="288">
        <f t="shared" si="18"/>
        <v>0</v>
      </c>
      <c r="M27" s="288">
        <f t="shared" si="18"/>
        <v>0</v>
      </c>
      <c r="N27" s="288">
        <f t="shared" si="18"/>
        <v>0</v>
      </c>
      <c r="O27" s="288">
        <f t="shared" si="14"/>
        <v>0</v>
      </c>
      <c r="P27" s="288">
        <f t="shared" si="14"/>
        <v>0</v>
      </c>
      <c r="Q27" s="288">
        <f t="shared" si="14"/>
        <v>0</v>
      </c>
      <c r="R27" s="288">
        <f t="shared" si="14"/>
        <v>0</v>
      </c>
      <c r="S27" s="288">
        <f t="shared" si="14"/>
        <v>0</v>
      </c>
      <c r="T27" s="288">
        <f t="shared" si="14"/>
        <v>0</v>
      </c>
      <c r="U27" s="288">
        <f t="shared" si="14"/>
        <v>0</v>
      </c>
      <c r="V27" s="288">
        <f t="shared" si="14"/>
        <v>0</v>
      </c>
      <c r="W27" s="288">
        <f t="shared" si="14"/>
        <v>0</v>
      </c>
      <c r="X27" s="288">
        <f t="shared" si="14"/>
        <v>0</v>
      </c>
      <c r="Y27" s="288">
        <f t="shared" si="14"/>
        <v>0</v>
      </c>
      <c r="Z27" s="288">
        <f t="shared" si="14"/>
        <v>0</v>
      </c>
      <c r="AA27" s="288">
        <f t="shared" si="14"/>
        <v>0</v>
      </c>
      <c r="AB27" s="288">
        <f t="shared" si="14"/>
        <v>0</v>
      </c>
      <c r="AC27" s="288">
        <f t="shared" si="14"/>
        <v>0</v>
      </c>
      <c r="AD27" s="288">
        <f t="shared" si="14"/>
        <v>0</v>
      </c>
      <c r="AE27" s="288">
        <f t="shared" si="19"/>
        <v>0</v>
      </c>
      <c r="AF27" s="288">
        <f t="shared" si="19"/>
        <v>0</v>
      </c>
      <c r="AG27" s="288">
        <f t="shared" si="19"/>
        <v>0</v>
      </c>
      <c r="AH27" s="288">
        <f t="shared" si="15"/>
        <v>0</v>
      </c>
      <c r="AI27" s="288">
        <f t="shared" si="15"/>
        <v>0</v>
      </c>
      <c r="AJ27" s="288">
        <f t="shared" si="15"/>
        <v>0</v>
      </c>
      <c r="AK27" s="288">
        <f t="shared" si="15"/>
        <v>0</v>
      </c>
      <c r="AL27" s="288">
        <f t="shared" si="15"/>
        <v>0</v>
      </c>
      <c r="AM27" s="288">
        <f t="shared" si="15"/>
        <v>0</v>
      </c>
      <c r="AN27" s="288">
        <f t="shared" si="15"/>
        <v>0</v>
      </c>
      <c r="AO27" s="288">
        <f t="shared" si="15"/>
        <v>0</v>
      </c>
      <c r="AP27" s="288">
        <f t="shared" si="15"/>
        <v>0</v>
      </c>
      <c r="AQ27" s="288">
        <f t="shared" si="15"/>
        <v>0</v>
      </c>
      <c r="AR27" s="288">
        <f t="shared" si="15"/>
        <v>0</v>
      </c>
      <c r="AS27" s="288">
        <f t="shared" si="15"/>
        <v>0</v>
      </c>
      <c r="AT27" s="288">
        <f t="shared" si="15"/>
        <v>0</v>
      </c>
      <c r="AU27" s="288">
        <f t="shared" si="15"/>
        <v>0</v>
      </c>
      <c r="AV27" s="288">
        <f t="shared" si="15"/>
        <v>0</v>
      </c>
      <c r="AW27" s="288">
        <f t="shared" si="15"/>
        <v>0</v>
      </c>
      <c r="AX27" s="288">
        <f t="shared" si="16"/>
        <v>0</v>
      </c>
      <c r="AY27" s="288">
        <f t="shared" si="16"/>
        <v>0</v>
      </c>
      <c r="AZ27" s="288">
        <f t="shared" si="16"/>
        <v>0</v>
      </c>
      <c r="BA27" s="288">
        <f t="shared" si="16"/>
        <v>0</v>
      </c>
      <c r="BB27" s="288">
        <f t="shared" si="16"/>
        <v>0</v>
      </c>
      <c r="BC27" s="288">
        <f t="shared" si="16"/>
        <v>0</v>
      </c>
      <c r="BD27" s="288">
        <f t="shared" si="16"/>
        <v>0</v>
      </c>
      <c r="BE27" s="288">
        <f t="shared" si="16"/>
        <v>0</v>
      </c>
      <c r="BF27" s="288">
        <f t="shared" si="16"/>
        <v>0</v>
      </c>
      <c r="BG27" s="288">
        <f t="shared" si="16"/>
        <v>0</v>
      </c>
      <c r="BH27" s="288">
        <f t="shared" si="16"/>
        <v>0</v>
      </c>
      <c r="BI27" s="288">
        <f t="shared" si="16"/>
        <v>0</v>
      </c>
      <c r="BJ27" s="288">
        <f t="shared" si="16"/>
        <v>0</v>
      </c>
      <c r="BK27" s="288">
        <f t="shared" si="16"/>
        <v>0</v>
      </c>
      <c r="BL27" s="288">
        <f t="shared" si="16"/>
        <v>0</v>
      </c>
      <c r="BM27" s="288">
        <f t="shared" si="16"/>
        <v>0</v>
      </c>
      <c r="BN27" s="288">
        <f t="shared" si="17"/>
        <v>0</v>
      </c>
      <c r="BO27" s="288">
        <f t="shared" si="7"/>
        <v>0</v>
      </c>
      <c r="BP27" s="288">
        <f t="shared" si="7"/>
        <v>0</v>
      </c>
      <c r="BQ27" s="288">
        <f t="shared" si="7"/>
        <v>0</v>
      </c>
      <c r="BR27" s="288">
        <f t="shared" si="7"/>
        <v>0</v>
      </c>
      <c r="BS27" s="288">
        <f t="shared" si="7"/>
        <v>0</v>
      </c>
      <c r="BT27" s="288">
        <f t="shared" si="7"/>
        <v>0</v>
      </c>
      <c r="BU27" s="288">
        <f t="shared" si="7"/>
        <v>0</v>
      </c>
      <c r="BV27" s="288">
        <f t="shared" si="7"/>
        <v>0</v>
      </c>
      <c r="BW27" s="288">
        <f t="shared" si="7"/>
        <v>0</v>
      </c>
      <c r="BX27" s="288">
        <f t="shared" si="7"/>
        <v>0</v>
      </c>
      <c r="BY27" s="288">
        <f t="shared" si="7"/>
        <v>0</v>
      </c>
      <c r="BZ27" s="288">
        <f t="shared" si="7"/>
        <v>0</v>
      </c>
      <c r="CA27" s="288">
        <f t="shared" si="7"/>
        <v>0</v>
      </c>
      <c r="CB27" s="288">
        <f t="shared" si="7"/>
        <v>0</v>
      </c>
      <c r="CC27" s="288">
        <f t="shared" si="7"/>
        <v>0</v>
      </c>
      <c r="CD27" s="288">
        <f t="shared" si="7"/>
        <v>0</v>
      </c>
      <c r="CE27" s="288">
        <f t="shared" si="22"/>
        <v>0</v>
      </c>
      <c r="CF27" s="288">
        <f t="shared" si="22"/>
        <v>0</v>
      </c>
      <c r="CG27" s="288">
        <f t="shared" si="22"/>
        <v>0</v>
      </c>
      <c r="CH27" s="288">
        <f t="shared" si="20"/>
        <v>0</v>
      </c>
      <c r="CI27" s="288">
        <f t="shared" si="20"/>
        <v>0</v>
      </c>
      <c r="CJ27" s="288">
        <f t="shared" si="20"/>
        <v>0</v>
      </c>
      <c r="CK27" s="288">
        <f t="shared" si="20"/>
        <v>0</v>
      </c>
      <c r="CL27" s="288">
        <f t="shared" si="20"/>
        <v>0</v>
      </c>
      <c r="CM27" s="288">
        <f t="shared" si="20"/>
        <v>0</v>
      </c>
      <c r="CN27" s="288">
        <f t="shared" si="20"/>
        <v>0</v>
      </c>
      <c r="CO27" s="288">
        <f t="shared" si="20"/>
        <v>0</v>
      </c>
      <c r="CP27" s="288">
        <f t="shared" si="20"/>
        <v>0</v>
      </c>
      <c r="CQ27" s="288">
        <f t="shared" si="20"/>
        <v>0</v>
      </c>
      <c r="CR27" s="288">
        <f t="shared" si="20"/>
        <v>0</v>
      </c>
      <c r="CS27" s="288">
        <f t="shared" si="20"/>
        <v>0</v>
      </c>
      <c r="CT27" s="288">
        <f t="shared" si="20"/>
        <v>0</v>
      </c>
      <c r="CU27" s="288">
        <f t="shared" si="20"/>
        <v>0</v>
      </c>
      <c r="CV27" s="288">
        <f t="shared" si="20"/>
        <v>0</v>
      </c>
      <c r="CW27" s="288">
        <f t="shared" si="20"/>
        <v>0</v>
      </c>
      <c r="CX27" s="288">
        <f t="shared" si="21"/>
        <v>0</v>
      </c>
      <c r="CY27" s="288">
        <f t="shared" si="13"/>
        <v>0</v>
      </c>
      <c r="CZ27" s="288">
        <f t="shared" si="13"/>
        <v>0</v>
      </c>
      <c r="DA27" s="288">
        <f t="shared" si="13"/>
        <v>0</v>
      </c>
      <c r="DB27" s="288">
        <f t="shared" si="13"/>
        <v>0</v>
      </c>
      <c r="DC27" s="288">
        <f t="shared" si="13"/>
        <v>0</v>
      </c>
      <c r="DD27" s="288">
        <f t="shared" si="13"/>
        <v>0</v>
      </c>
      <c r="DE27" s="288">
        <f t="shared" si="13"/>
        <v>0</v>
      </c>
      <c r="DG27" s="314">
        <f t="shared" si="3"/>
        <v>33</v>
      </c>
      <c r="DH27" s="289">
        <f>MAX(AA$3:AA$109)</f>
        <v>33</v>
      </c>
      <c r="DJ27" s="288">
        <f>LOOKUP(DH27, 'Mortality Table'!A:A,('Mortality Table'!J:J/'Mortality Table'!I:I))</f>
        <v>1.7597603209525893E-3</v>
      </c>
      <c r="DK27" s="288">
        <f>LOOKUP(A27, 'Mortality Table'!A:A,('Mortality Table'!J:J/'Mortality Table'!I:I))</f>
        <v>1.4419762742349125E-3</v>
      </c>
      <c r="DL27" s="288">
        <f t="shared" si="4"/>
        <v>3.1778404671767681E-4</v>
      </c>
      <c r="DN27" s="288">
        <f>LOOKUP(DH27, 'Mortality Table'!A:A,('Mortality Table'!L:L/'Mortality Table'!K:K))</f>
        <v>1.7825659416780175E-3</v>
      </c>
      <c r="DO27" s="288">
        <f>LOOKUP(A27, 'Mortality Table'!A:A,('Mortality Table'!L:L/'Mortality Table'!K:K))</f>
        <v>1.4606635713706189E-3</v>
      </c>
      <c r="DP27" s="288">
        <f t="shared" si="5"/>
        <v>3.2190237030739867E-4</v>
      </c>
      <c r="DR27" s="288">
        <f>LOOKUP(DH27, 'Mortality Table'!A:A,('Mortality Table'!N:N/'Mortality Table'!M:M))</f>
        <v>1.822628605487392E-3</v>
      </c>
      <c r="DS27" s="288">
        <f>LOOKUP(A27, 'Mortality Table'!A:A,('Mortality Table'!N:N/'Mortality Table'!M:M))</f>
        <v>1.4934915707339048E-3</v>
      </c>
      <c r="DT27" s="288">
        <f t="shared" si="6"/>
        <v>3.2913703475348716E-4</v>
      </c>
    </row>
    <row r="28" spans="1:124">
      <c r="A28" s="288">
        <v>25</v>
      </c>
      <c r="B28" s="288">
        <v>1.548336819654649E-3</v>
      </c>
      <c r="C28" s="288">
        <f t="shared" si="18"/>
        <v>0</v>
      </c>
      <c r="D28" s="288">
        <f t="shared" si="18"/>
        <v>0</v>
      </c>
      <c r="E28" s="288">
        <f t="shared" si="18"/>
        <v>0</v>
      </c>
      <c r="F28" s="288">
        <f t="shared" si="18"/>
        <v>0</v>
      </c>
      <c r="G28" s="288">
        <f t="shared" si="18"/>
        <v>0</v>
      </c>
      <c r="H28" s="288">
        <f t="shared" si="18"/>
        <v>0</v>
      </c>
      <c r="I28" s="288">
        <f t="shared" si="18"/>
        <v>0</v>
      </c>
      <c r="J28" s="288">
        <f t="shared" si="18"/>
        <v>0</v>
      </c>
      <c r="K28" s="288">
        <f t="shared" si="18"/>
        <v>0</v>
      </c>
      <c r="L28" s="288">
        <f t="shared" si="18"/>
        <v>0</v>
      </c>
      <c r="M28" s="288">
        <f t="shared" si="18"/>
        <v>0</v>
      </c>
      <c r="N28" s="288">
        <f t="shared" si="18"/>
        <v>0</v>
      </c>
      <c r="O28" s="288">
        <f t="shared" si="14"/>
        <v>0</v>
      </c>
      <c r="P28" s="288">
        <f t="shared" si="14"/>
        <v>0</v>
      </c>
      <c r="Q28" s="288">
        <f t="shared" si="14"/>
        <v>0</v>
      </c>
      <c r="R28" s="288">
        <f t="shared" si="14"/>
        <v>0</v>
      </c>
      <c r="S28" s="288">
        <f t="shared" si="14"/>
        <v>0</v>
      </c>
      <c r="T28" s="288">
        <f t="shared" si="14"/>
        <v>0</v>
      </c>
      <c r="U28" s="288">
        <f t="shared" si="14"/>
        <v>0</v>
      </c>
      <c r="V28" s="288">
        <f t="shared" si="14"/>
        <v>0</v>
      </c>
      <c r="W28" s="288">
        <f t="shared" si="14"/>
        <v>0</v>
      </c>
      <c r="X28" s="288">
        <f t="shared" si="14"/>
        <v>0</v>
      </c>
      <c r="Y28" s="288">
        <f t="shared" si="14"/>
        <v>0</v>
      </c>
      <c r="Z28" s="288">
        <f t="shared" si="14"/>
        <v>0</v>
      </c>
      <c r="AA28" s="288">
        <f t="shared" si="14"/>
        <v>0</v>
      </c>
      <c r="AB28" s="288">
        <f t="shared" si="14"/>
        <v>0</v>
      </c>
      <c r="AC28" s="288">
        <f t="shared" si="14"/>
        <v>0</v>
      </c>
      <c r="AD28" s="288">
        <f t="shared" si="14"/>
        <v>0</v>
      </c>
      <c r="AE28" s="288">
        <f t="shared" si="19"/>
        <v>0</v>
      </c>
      <c r="AF28" s="288">
        <f t="shared" si="19"/>
        <v>0</v>
      </c>
      <c r="AG28" s="288">
        <f t="shared" si="19"/>
        <v>0</v>
      </c>
      <c r="AH28" s="288">
        <f t="shared" si="15"/>
        <v>0</v>
      </c>
      <c r="AI28" s="288">
        <f t="shared" si="15"/>
        <v>0</v>
      </c>
      <c r="AJ28" s="288">
        <f t="shared" si="15"/>
        <v>0</v>
      </c>
      <c r="AK28" s="288">
        <f t="shared" si="15"/>
        <v>0</v>
      </c>
      <c r="AL28" s="288">
        <f t="shared" si="15"/>
        <v>0</v>
      </c>
      <c r="AM28" s="288">
        <f t="shared" si="15"/>
        <v>0</v>
      </c>
      <c r="AN28" s="288">
        <f t="shared" si="15"/>
        <v>0</v>
      </c>
      <c r="AO28" s="288">
        <f t="shared" si="15"/>
        <v>0</v>
      </c>
      <c r="AP28" s="288">
        <f t="shared" si="15"/>
        <v>0</v>
      </c>
      <c r="AQ28" s="288">
        <f t="shared" si="15"/>
        <v>0</v>
      </c>
      <c r="AR28" s="288">
        <f t="shared" si="15"/>
        <v>0</v>
      </c>
      <c r="AS28" s="288">
        <f t="shared" si="15"/>
        <v>0</v>
      </c>
      <c r="AT28" s="288">
        <f t="shared" si="15"/>
        <v>0</v>
      </c>
      <c r="AU28" s="288">
        <f t="shared" si="15"/>
        <v>0</v>
      </c>
      <c r="AV28" s="288">
        <f t="shared" si="15"/>
        <v>0</v>
      </c>
      <c r="AW28" s="288">
        <f t="shared" si="15"/>
        <v>0</v>
      </c>
      <c r="AX28" s="288">
        <f t="shared" si="16"/>
        <v>0</v>
      </c>
      <c r="AY28" s="288">
        <f t="shared" si="16"/>
        <v>0</v>
      </c>
      <c r="AZ28" s="288">
        <f t="shared" si="16"/>
        <v>0</v>
      </c>
      <c r="BA28" s="288">
        <f t="shared" si="16"/>
        <v>0</v>
      </c>
      <c r="BB28" s="288">
        <f t="shared" si="16"/>
        <v>0</v>
      </c>
      <c r="BC28" s="288">
        <f t="shared" si="16"/>
        <v>0</v>
      </c>
      <c r="BD28" s="288">
        <f t="shared" si="16"/>
        <v>0</v>
      </c>
      <c r="BE28" s="288">
        <f t="shared" si="16"/>
        <v>0</v>
      </c>
      <c r="BF28" s="288">
        <f t="shared" si="16"/>
        <v>0</v>
      </c>
      <c r="BG28" s="288">
        <f t="shared" si="16"/>
        <v>0</v>
      </c>
      <c r="BH28" s="288">
        <f t="shared" si="16"/>
        <v>0</v>
      </c>
      <c r="BI28" s="288">
        <f t="shared" si="16"/>
        <v>0</v>
      </c>
      <c r="BJ28" s="288">
        <f t="shared" si="16"/>
        <v>0</v>
      </c>
      <c r="BK28" s="288">
        <f t="shared" si="16"/>
        <v>0</v>
      </c>
      <c r="BL28" s="288">
        <f t="shared" si="16"/>
        <v>0</v>
      </c>
      <c r="BM28" s="288">
        <f t="shared" si="16"/>
        <v>0</v>
      </c>
      <c r="BN28" s="288">
        <f t="shared" si="17"/>
        <v>0</v>
      </c>
      <c r="BO28" s="288">
        <f t="shared" si="7"/>
        <v>0</v>
      </c>
      <c r="BP28" s="288">
        <f t="shared" si="7"/>
        <v>0</v>
      </c>
      <c r="BQ28" s="288">
        <f t="shared" si="7"/>
        <v>0</v>
      </c>
      <c r="BR28" s="288">
        <f t="shared" si="7"/>
        <v>0</v>
      </c>
      <c r="BS28" s="288">
        <f t="shared" si="7"/>
        <v>0</v>
      </c>
      <c r="BT28" s="288">
        <f t="shared" si="7"/>
        <v>0</v>
      </c>
      <c r="BU28" s="288">
        <f t="shared" si="7"/>
        <v>0</v>
      </c>
      <c r="BV28" s="288">
        <f t="shared" si="7"/>
        <v>0</v>
      </c>
      <c r="BW28" s="288">
        <f t="shared" si="7"/>
        <v>0</v>
      </c>
      <c r="BX28" s="288">
        <f t="shared" si="7"/>
        <v>0</v>
      </c>
      <c r="BY28" s="288">
        <f t="shared" si="7"/>
        <v>0</v>
      </c>
      <c r="BZ28" s="288">
        <f t="shared" si="7"/>
        <v>0</v>
      </c>
      <c r="CA28" s="288">
        <f t="shared" si="7"/>
        <v>0</v>
      </c>
      <c r="CB28" s="288">
        <f t="shared" si="7"/>
        <v>0</v>
      </c>
      <c r="CC28" s="288">
        <f t="shared" si="7"/>
        <v>0</v>
      </c>
      <c r="CD28" s="288">
        <f t="shared" si="7"/>
        <v>0</v>
      </c>
      <c r="CE28" s="288">
        <f t="shared" si="22"/>
        <v>0</v>
      </c>
      <c r="CF28" s="288">
        <f t="shared" si="22"/>
        <v>0</v>
      </c>
      <c r="CG28" s="288">
        <f t="shared" si="22"/>
        <v>0</v>
      </c>
      <c r="CH28" s="288">
        <f t="shared" si="20"/>
        <v>0</v>
      </c>
      <c r="CI28" s="288">
        <f t="shared" si="20"/>
        <v>0</v>
      </c>
      <c r="CJ28" s="288">
        <f t="shared" si="20"/>
        <v>0</v>
      </c>
      <c r="CK28" s="288">
        <f t="shared" si="20"/>
        <v>0</v>
      </c>
      <c r="CL28" s="288">
        <f t="shared" si="20"/>
        <v>0</v>
      </c>
      <c r="CM28" s="288">
        <f t="shared" si="20"/>
        <v>0</v>
      </c>
      <c r="CN28" s="288">
        <f t="shared" si="20"/>
        <v>0</v>
      </c>
      <c r="CO28" s="288">
        <f t="shared" si="20"/>
        <v>0</v>
      </c>
      <c r="CP28" s="288">
        <f t="shared" si="20"/>
        <v>0</v>
      </c>
      <c r="CQ28" s="288">
        <f t="shared" si="20"/>
        <v>0</v>
      </c>
      <c r="CR28" s="288">
        <f t="shared" si="20"/>
        <v>0</v>
      </c>
      <c r="CS28" s="288">
        <f t="shared" si="20"/>
        <v>0</v>
      </c>
      <c r="CT28" s="288">
        <f t="shared" si="20"/>
        <v>0</v>
      </c>
      <c r="CU28" s="288">
        <f t="shared" si="20"/>
        <v>0</v>
      </c>
      <c r="CV28" s="288">
        <f t="shared" si="20"/>
        <v>0</v>
      </c>
      <c r="CW28" s="288">
        <f t="shared" si="20"/>
        <v>0</v>
      </c>
      <c r="CX28" s="288">
        <f t="shared" si="21"/>
        <v>0</v>
      </c>
      <c r="CY28" s="288">
        <f t="shared" si="13"/>
        <v>0</v>
      </c>
      <c r="CZ28" s="288">
        <f t="shared" si="13"/>
        <v>0</v>
      </c>
      <c r="DA28" s="288">
        <f t="shared" si="13"/>
        <v>0</v>
      </c>
      <c r="DB28" s="288">
        <f t="shared" si="13"/>
        <v>0</v>
      </c>
      <c r="DC28" s="288">
        <f t="shared" si="13"/>
        <v>0</v>
      </c>
      <c r="DD28" s="288">
        <f t="shared" si="13"/>
        <v>0</v>
      </c>
      <c r="DE28" s="288">
        <f t="shared" si="13"/>
        <v>0</v>
      </c>
      <c r="DG28" s="314">
        <f t="shared" si="3"/>
        <v>33</v>
      </c>
      <c r="DH28" s="289">
        <f>MAX(AB$3:AB$109)</f>
        <v>33</v>
      </c>
      <c r="DJ28" s="288">
        <f>LOOKUP(DH28, 'Mortality Table'!A:A,('Mortality Table'!J:J/'Mortality Table'!I:I))</f>
        <v>1.7597603209525893E-3</v>
      </c>
      <c r="DK28" s="288">
        <f>LOOKUP(A28, 'Mortality Table'!A:A,('Mortality Table'!J:J/'Mortality Table'!I:I))</f>
        <v>1.4253595761314845E-3</v>
      </c>
      <c r="DL28" s="288">
        <f t="shared" si="4"/>
        <v>3.3440074482110485E-4</v>
      </c>
      <c r="DN28" s="288">
        <f>LOOKUP(DH28, 'Mortality Table'!A:A,('Mortality Table'!L:L/'Mortality Table'!K:K))</f>
        <v>1.7825659416780175E-3</v>
      </c>
      <c r="DO28" s="288">
        <f>LOOKUP(A28, 'Mortality Table'!A:A,('Mortality Table'!L:L/'Mortality Table'!K:K))</f>
        <v>1.4438315291034752E-3</v>
      </c>
      <c r="DP28" s="288">
        <f t="shared" si="5"/>
        <v>3.3873441257454228E-4</v>
      </c>
      <c r="DR28" s="288">
        <f>LOOKUP(DH28, 'Mortality Table'!A:A,('Mortality Table'!N:N/'Mortality Table'!M:M))</f>
        <v>1.822628605487392E-3</v>
      </c>
      <c r="DS28" s="288">
        <f>LOOKUP(A28, 'Mortality Table'!A:A,('Mortality Table'!N:N/'Mortality Table'!M:M))</f>
        <v>1.4762812330922069E-3</v>
      </c>
      <c r="DT28" s="288">
        <f t="shared" si="6"/>
        <v>3.4634737239518511E-4</v>
      </c>
    </row>
    <row r="29" spans="1:124">
      <c r="A29" s="288">
        <v>26</v>
      </c>
      <c r="B29" s="288">
        <v>1.5507378842184178E-3</v>
      </c>
      <c r="C29" s="288">
        <f t="shared" si="18"/>
        <v>0</v>
      </c>
      <c r="D29" s="288">
        <f t="shared" si="18"/>
        <v>0</v>
      </c>
      <c r="E29" s="288">
        <f t="shared" si="18"/>
        <v>0</v>
      </c>
      <c r="F29" s="288">
        <f t="shared" si="18"/>
        <v>0</v>
      </c>
      <c r="G29" s="288">
        <f t="shared" si="18"/>
        <v>0</v>
      </c>
      <c r="H29" s="288">
        <f t="shared" si="18"/>
        <v>0</v>
      </c>
      <c r="I29" s="288">
        <f t="shared" si="18"/>
        <v>0</v>
      </c>
      <c r="J29" s="288">
        <f t="shared" si="18"/>
        <v>0</v>
      </c>
      <c r="K29" s="288">
        <f t="shared" si="18"/>
        <v>0</v>
      </c>
      <c r="L29" s="288">
        <f t="shared" si="18"/>
        <v>0</v>
      </c>
      <c r="M29" s="288">
        <f t="shared" si="18"/>
        <v>0</v>
      </c>
      <c r="N29" s="288">
        <f t="shared" si="18"/>
        <v>0</v>
      </c>
      <c r="O29" s="288">
        <f t="shared" si="14"/>
        <v>0</v>
      </c>
      <c r="P29" s="288">
        <f t="shared" si="14"/>
        <v>0</v>
      </c>
      <c r="Q29" s="288">
        <f t="shared" si="14"/>
        <v>0</v>
      </c>
      <c r="R29" s="288">
        <f t="shared" si="14"/>
        <v>0</v>
      </c>
      <c r="S29" s="288">
        <f t="shared" si="14"/>
        <v>0</v>
      </c>
      <c r="T29" s="288">
        <f t="shared" si="14"/>
        <v>0</v>
      </c>
      <c r="U29" s="288">
        <f t="shared" si="14"/>
        <v>0</v>
      </c>
      <c r="V29" s="288">
        <f t="shared" si="14"/>
        <v>0</v>
      </c>
      <c r="W29" s="288">
        <f t="shared" si="14"/>
        <v>0</v>
      </c>
      <c r="X29" s="288">
        <f t="shared" si="14"/>
        <v>0</v>
      </c>
      <c r="Y29" s="288">
        <f t="shared" si="14"/>
        <v>0</v>
      </c>
      <c r="Z29" s="288">
        <f t="shared" si="14"/>
        <v>0</v>
      </c>
      <c r="AA29" s="288">
        <f t="shared" si="14"/>
        <v>0</v>
      </c>
      <c r="AB29" s="288">
        <f t="shared" si="14"/>
        <v>0</v>
      </c>
      <c r="AC29" s="288">
        <f t="shared" si="14"/>
        <v>0</v>
      </c>
      <c r="AD29" s="288">
        <f t="shared" si="14"/>
        <v>0</v>
      </c>
      <c r="AE29" s="288">
        <f t="shared" si="19"/>
        <v>0</v>
      </c>
      <c r="AF29" s="288">
        <f t="shared" si="19"/>
        <v>0</v>
      </c>
      <c r="AG29" s="288">
        <f t="shared" si="19"/>
        <v>0</v>
      </c>
      <c r="AH29" s="288">
        <f t="shared" si="15"/>
        <v>0</v>
      </c>
      <c r="AI29" s="288">
        <f t="shared" si="15"/>
        <v>0</v>
      </c>
      <c r="AJ29" s="288">
        <f t="shared" si="15"/>
        <v>0</v>
      </c>
      <c r="AK29" s="288">
        <f t="shared" si="15"/>
        <v>0</v>
      </c>
      <c r="AL29" s="288">
        <f t="shared" si="15"/>
        <v>0</v>
      </c>
      <c r="AM29" s="288">
        <f t="shared" si="15"/>
        <v>0</v>
      </c>
      <c r="AN29" s="288">
        <f t="shared" si="15"/>
        <v>0</v>
      </c>
      <c r="AO29" s="288">
        <f t="shared" si="15"/>
        <v>0</v>
      </c>
      <c r="AP29" s="288">
        <f t="shared" si="15"/>
        <v>0</v>
      </c>
      <c r="AQ29" s="288">
        <f t="shared" si="15"/>
        <v>0</v>
      </c>
      <c r="AR29" s="288">
        <f t="shared" si="15"/>
        <v>0</v>
      </c>
      <c r="AS29" s="288">
        <f t="shared" si="15"/>
        <v>0</v>
      </c>
      <c r="AT29" s="288">
        <f t="shared" si="15"/>
        <v>0</v>
      </c>
      <c r="AU29" s="288">
        <f t="shared" si="15"/>
        <v>0</v>
      </c>
      <c r="AV29" s="288">
        <f t="shared" si="15"/>
        <v>0</v>
      </c>
      <c r="AW29" s="288">
        <f t="shared" si="15"/>
        <v>0</v>
      </c>
      <c r="AX29" s="288">
        <f t="shared" si="16"/>
        <v>0</v>
      </c>
      <c r="AY29" s="288">
        <f t="shared" si="16"/>
        <v>0</v>
      </c>
      <c r="AZ29" s="288">
        <f t="shared" si="16"/>
        <v>0</v>
      </c>
      <c r="BA29" s="288">
        <f t="shared" si="16"/>
        <v>0</v>
      </c>
      <c r="BB29" s="288">
        <f t="shared" si="16"/>
        <v>0</v>
      </c>
      <c r="BC29" s="288">
        <f t="shared" si="16"/>
        <v>0</v>
      </c>
      <c r="BD29" s="288">
        <f t="shared" si="16"/>
        <v>0</v>
      </c>
      <c r="BE29" s="288">
        <f t="shared" si="16"/>
        <v>0</v>
      </c>
      <c r="BF29" s="288">
        <f t="shared" si="16"/>
        <v>0</v>
      </c>
      <c r="BG29" s="288">
        <f t="shared" si="16"/>
        <v>0</v>
      </c>
      <c r="BH29" s="288">
        <f t="shared" si="16"/>
        <v>0</v>
      </c>
      <c r="BI29" s="288">
        <f t="shared" si="16"/>
        <v>0</v>
      </c>
      <c r="BJ29" s="288">
        <f t="shared" si="16"/>
        <v>0</v>
      </c>
      <c r="BK29" s="288">
        <f t="shared" si="16"/>
        <v>0</v>
      </c>
      <c r="BL29" s="288">
        <f t="shared" si="16"/>
        <v>0</v>
      </c>
      <c r="BM29" s="288">
        <f t="shared" si="16"/>
        <v>0</v>
      </c>
      <c r="BN29" s="288">
        <f t="shared" si="17"/>
        <v>0</v>
      </c>
      <c r="BO29" s="288">
        <f t="shared" si="7"/>
        <v>0</v>
      </c>
      <c r="BP29" s="288">
        <f t="shared" si="7"/>
        <v>0</v>
      </c>
      <c r="BQ29" s="288">
        <f t="shared" si="7"/>
        <v>0</v>
      </c>
      <c r="BR29" s="288">
        <f t="shared" si="7"/>
        <v>0</v>
      </c>
      <c r="BS29" s="288">
        <f t="shared" si="7"/>
        <v>0</v>
      </c>
      <c r="BT29" s="288">
        <f t="shared" si="7"/>
        <v>0</v>
      </c>
      <c r="BU29" s="288">
        <f t="shared" si="7"/>
        <v>0</v>
      </c>
      <c r="BV29" s="288">
        <f t="shared" si="7"/>
        <v>0</v>
      </c>
      <c r="BW29" s="288">
        <f t="shared" si="7"/>
        <v>0</v>
      </c>
      <c r="BX29" s="288">
        <f t="shared" si="7"/>
        <v>0</v>
      </c>
      <c r="BY29" s="288">
        <f t="shared" si="7"/>
        <v>0</v>
      </c>
      <c r="BZ29" s="288">
        <f t="shared" si="7"/>
        <v>0</v>
      </c>
      <c r="CA29" s="288">
        <f t="shared" si="7"/>
        <v>0</v>
      </c>
      <c r="CB29" s="288">
        <f t="shared" si="7"/>
        <v>0</v>
      </c>
      <c r="CC29" s="288">
        <f t="shared" si="7"/>
        <v>0</v>
      </c>
      <c r="CD29" s="288">
        <f t="shared" si="7"/>
        <v>0</v>
      </c>
      <c r="CE29" s="288">
        <f t="shared" si="22"/>
        <v>0</v>
      </c>
      <c r="CF29" s="288">
        <f t="shared" si="22"/>
        <v>0</v>
      </c>
      <c r="CG29" s="288">
        <f t="shared" si="22"/>
        <v>0</v>
      </c>
      <c r="CH29" s="288">
        <f t="shared" si="20"/>
        <v>0</v>
      </c>
      <c r="CI29" s="288">
        <f t="shared" si="20"/>
        <v>0</v>
      </c>
      <c r="CJ29" s="288">
        <f t="shared" si="20"/>
        <v>0</v>
      </c>
      <c r="CK29" s="288">
        <f t="shared" si="20"/>
        <v>0</v>
      </c>
      <c r="CL29" s="288">
        <f t="shared" si="20"/>
        <v>0</v>
      </c>
      <c r="CM29" s="288">
        <f t="shared" si="20"/>
        <v>0</v>
      </c>
      <c r="CN29" s="288">
        <f t="shared" si="20"/>
        <v>0</v>
      </c>
      <c r="CO29" s="288">
        <f t="shared" si="20"/>
        <v>0</v>
      </c>
      <c r="CP29" s="288">
        <f t="shared" si="20"/>
        <v>0</v>
      </c>
      <c r="CQ29" s="288">
        <f t="shared" si="20"/>
        <v>0</v>
      </c>
      <c r="CR29" s="288">
        <f t="shared" si="20"/>
        <v>0</v>
      </c>
      <c r="CS29" s="288">
        <f t="shared" si="20"/>
        <v>0</v>
      </c>
      <c r="CT29" s="288">
        <f t="shared" si="20"/>
        <v>0</v>
      </c>
      <c r="CU29" s="288">
        <f t="shared" si="20"/>
        <v>0</v>
      </c>
      <c r="CV29" s="288">
        <f t="shared" si="20"/>
        <v>0</v>
      </c>
      <c r="CW29" s="288">
        <f t="shared" si="20"/>
        <v>0</v>
      </c>
      <c r="CX29" s="288">
        <f t="shared" si="21"/>
        <v>0</v>
      </c>
      <c r="CY29" s="288">
        <f t="shared" si="13"/>
        <v>0</v>
      </c>
      <c r="CZ29" s="288">
        <f t="shared" si="13"/>
        <v>0</v>
      </c>
      <c r="DA29" s="288">
        <f t="shared" si="13"/>
        <v>0</v>
      </c>
      <c r="DB29" s="288">
        <f t="shared" si="13"/>
        <v>0</v>
      </c>
      <c r="DC29" s="288">
        <f t="shared" si="13"/>
        <v>0</v>
      </c>
      <c r="DD29" s="288">
        <f t="shared" si="13"/>
        <v>0</v>
      </c>
      <c r="DE29" s="288">
        <f t="shared" si="13"/>
        <v>0</v>
      </c>
      <c r="DG29" s="314">
        <f t="shared" si="3"/>
        <v>33</v>
      </c>
      <c r="DH29" s="289">
        <f>MAX(AC$3:AC$109)</f>
        <v>33</v>
      </c>
      <c r="DJ29" s="288">
        <f>LOOKUP(DH29, 'Mortality Table'!A:A,('Mortality Table'!J:J/'Mortality Table'!I:I))</f>
        <v>1.7597603209525893E-3</v>
      </c>
      <c r="DK29" s="288">
        <f>LOOKUP(A29, 'Mortality Table'!A:A,('Mortality Table'!J:J/'Mortality Table'!I:I))</f>
        <v>1.4275699352248249E-3</v>
      </c>
      <c r="DL29" s="288">
        <f t="shared" si="4"/>
        <v>3.321903857277644E-4</v>
      </c>
      <c r="DN29" s="288">
        <f>LOOKUP(DH29, 'Mortality Table'!A:A,('Mortality Table'!L:L/'Mortality Table'!K:K))</f>
        <v>1.7825659416780175E-3</v>
      </c>
      <c r="DO29" s="288">
        <f>LOOKUP(A29, 'Mortality Table'!A:A,('Mortality Table'!L:L/'Mortality Table'!K:K))</f>
        <v>1.4460705333540851E-3</v>
      </c>
      <c r="DP29" s="288">
        <f t="shared" si="5"/>
        <v>3.3649540832393241E-4</v>
      </c>
      <c r="DR29" s="288">
        <f>LOOKUP(DH29, 'Mortality Table'!A:A,('Mortality Table'!N:N/'Mortality Table'!M:M))</f>
        <v>1.822628605487392E-3</v>
      </c>
      <c r="DS29" s="288">
        <f>LOOKUP(A29, 'Mortality Table'!A:A,('Mortality Table'!N:N/'Mortality Table'!M:M))</f>
        <v>1.478570558328124E-3</v>
      </c>
      <c r="DT29" s="288">
        <f t="shared" si="6"/>
        <v>3.4405804715926798E-4</v>
      </c>
    </row>
    <row r="30" spans="1:124">
      <c r="A30" s="288">
        <v>27</v>
      </c>
      <c r="B30" s="288">
        <v>1.5634321449877599E-3</v>
      </c>
      <c r="C30" s="288">
        <f t="shared" si="18"/>
        <v>0</v>
      </c>
      <c r="D30" s="288">
        <f t="shared" si="18"/>
        <v>0</v>
      </c>
      <c r="E30" s="288">
        <f t="shared" si="18"/>
        <v>0</v>
      </c>
      <c r="F30" s="288">
        <f t="shared" si="18"/>
        <v>0</v>
      </c>
      <c r="G30" s="288">
        <f t="shared" si="18"/>
        <v>0</v>
      </c>
      <c r="H30" s="288">
        <f t="shared" si="18"/>
        <v>0</v>
      </c>
      <c r="I30" s="288">
        <f t="shared" si="18"/>
        <v>0</v>
      </c>
      <c r="J30" s="288">
        <f t="shared" si="18"/>
        <v>0</v>
      </c>
      <c r="K30" s="288">
        <f t="shared" si="18"/>
        <v>0</v>
      </c>
      <c r="L30" s="288">
        <f t="shared" si="18"/>
        <v>0</v>
      </c>
      <c r="M30" s="288">
        <f t="shared" si="18"/>
        <v>0</v>
      </c>
      <c r="N30" s="288">
        <f t="shared" si="18"/>
        <v>0</v>
      </c>
      <c r="O30" s="288">
        <f t="shared" si="14"/>
        <v>0</v>
      </c>
      <c r="P30" s="288">
        <f t="shared" si="14"/>
        <v>0</v>
      </c>
      <c r="Q30" s="288">
        <f t="shared" si="14"/>
        <v>0</v>
      </c>
      <c r="R30" s="288">
        <f t="shared" si="14"/>
        <v>0</v>
      </c>
      <c r="S30" s="288">
        <f t="shared" si="14"/>
        <v>0</v>
      </c>
      <c r="T30" s="288">
        <f t="shared" si="14"/>
        <v>0</v>
      </c>
      <c r="U30" s="288">
        <f t="shared" si="14"/>
        <v>0</v>
      </c>
      <c r="V30" s="288">
        <f t="shared" si="14"/>
        <v>0</v>
      </c>
      <c r="W30" s="288">
        <f t="shared" si="14"/>
        <v>0</v>
      </c>
      <c r="X30" s="288">
        <f t="shared" si="14"/>
        <v>0</v>
      </c>
      <c r="Y30" s="288">
        <f t="shared" si="14"/>
        <v>0</v>
      </c>
      <c r="Z30" s="288">
        <f t="shared" si="14"/>
        <v>0</v>
      </c>
      <c r="AA30" s="288">
        <f t="shared" si="14"/>
        <v>0</v>
      </c>
      <c r="AB30" s="288">
        <f t="shared" si="14"/>
        <v>0</v>
      </c>
      <c r="AC30" s="288">
        <f t="shared" si="14"/>
        <v>0</v>
      </c>
      <c r="AD30" s="288">
        <f t="shared" si="14"/>
        <v>0</v>
      </c>
      <c r="AE30" s="288">
        <f t="shared" si="19"/>
        <v>0</v>
      </c>
      <c r="AF30" s="288">
        <f t="shared" si="19"/>
        <v>0</v>
      </c>
      <c r="AG30" s="288">
        <f t="shared" si="19"/>
        <v>0</v>
      </c>
      <c r="AH30" s="288">
        <f t="shared" si="15"/>
        <v>0</v>
      </c>
      <c r="AI30" s="288">
        <f t="shared" si="15"/>
        <v>0</v>
      </c>
      <c r="AJ30" s="288">
        <f t="shared" si="15"/>
        <v>0</v>
      </c>
      <c r="AK30" s="288">
        <f t="shared" si="15"/>
        <v>0</v>
      </c>
      <c r="AL30" s="288">
        <f t="shared" si="15"/>
        <v>0</v>
      </c>
      <c r="AM30" s="288">
        <f t="shared" si="15"/>
        <v>0</v>
      </c>
      <c r="AN30" s="288">
        <f t="shared" si="15"/>
        <v>0</v>
      </c>
      <c r="AO30" s="288">
        <f t="shared" si="15"/>
        <v>0</v>
      </c>
      <c r="AP30" s="288">
        <f t="shared" si="15"/>
        <v>0</v>
      </c>
      <c r="AQ30" s="288">
        <f t="shared" si="15"/>
        <v>0</v>
      </c>
      <c r="AR30" s="288">
        <f t="shared" si="15"/>
        <v>0</v>
      </c>
      <c r="AS30" s="288">
        <f t="shared" si="15"/>
        <v>0</v>
      </c>
      <c r="AT30" s="288">
        <f t="shared" si="15"/>
        <v>0</v>
      </c>
      <c r="AU30" s="288">
        <f t="shared" si="15"/>
        <v>0</v>
      </c>
      <c r="AV30" s="288">
        <f t="shared" si="15"/>
        <v>0</v>
      </c>
      <c r="AW30" s="288">
        <f t="shared" si="15"/>
        <v>0</v>
      </c>
      <c r="AX30" s="288">
        <f t="shared" si="16"/>
        <v>0</v>
      </c>
      <c r="AY30" s="288">
        <f t="shared" si="16"/>
        <v>0</v>
      </c>
      <c r="AZ30" s="288">
        <f t="shared" si="16"/>
        <v>0</v>
      </c>
      <c r="BA30" s="288">
        <f t="shared" si="16"/>
        <v>0</v>
      </c>
      <c r="BB30" s="288">
        <f t="shared" si="16"/>
        <v>0</v>
      </c>
      <c r="BC30" s="288">
        <f t="shared" si="16"/>
        <v>0</v>
      </c>
      <c r="BD30" s="288">
        <f t="shared" si="16"/>
        <v>0</v>
      </c>
      <c r="BE30" s="288">
        <f t="shared" si="16"/>
        <v>0</v>
      </c>
      <c r="BF30" s="288">
        <f t="shared" si="16"/>
        <v>0</v>
      </c>
      <c r="BG30" s="288">
        <f t="shared" si="16"/>
        <v>0</v>
      </c>
      <c r="BH30" s="288">
        <f t="shared" si="16"/>
        <v>0</v>
      </c>
      <c r="BI30" s="288">
        <f t="shared" si="16"/>
        <v>0</v>
      </c>
      <c r="BJ30" s="288">
        <f t="shared" si="16"/>
        <v>0</v>
      </c>
      <c r="BK30" s="288">
        <f t="shared" si="16"/>
        <v>0</v>
      </c>
      <c r="BL30" s="288">
        <f t="shared" si="16"/>
        <v>0</v>
      </c>
      <c r="BM30" s="288">
        <f t="shared" si="16"/>
        <v>0</v>
      </c>
      <c r="BN30" s="288">
        <f t="shared" si="17"/>
        <v>0</v>
      </c>
      <c r="BO30" s="288">
        <f t="shared" si="7"/>
        <v>0</v>
      </c>
      <c r="BP30" s="288">
        <f t="shared" si="7"/>
        <v>0</v>
      </c>
      <c r="BQ30" s="288">
        <f t="shared" si="7"/>
        <v>0</v>
      </c>
      <c r="BR30" s="288">
        <f t="shared" si="7"/>
        <v>0</v>
      </c>
      <c r="BS30" s="288">
        <f t="shared" si="7"/>
        <v>0</v>
      </c>
      <c r="BT30" s="288">
        <f t="shared" si="7"/>
        <v>0</v>
      </c>
      <c r="BU30" s="288">
        <f t="shared" si="7"/>
        <v>0</v>
      </c>
      <c r="BV30" s="288">
        <f t="shared" si="7"/>
        <v>0</v>
      </c>
      <c r="BW30" s="288">
        <f t="shared" si="7"/>
        <v>0</v>
      </c>
      <c r="BX30" s="288">
        <f t="shared" si="7"/>
        <v>0</v>
      </c>
      <c r="BY30" s="288">
        <f t="shared" si="7"/>
        <v>0</v>
      </c>
      <c r="BZ30" s="288">
        <f t="shared" si="7"/>
        <v>0</v>
      </c>
      <c r="CA30" s="288">
        <f t="shared" si="7"/>
        <v>0</v>
      </c>
      <c r="CB30" s="288">
        <f t="shared" si="7"/>
        <v>0</v>
      </c>
      <c r="CC30" s="288">
        <f t="shared" si="7"/>
        <v>0</v>
      </c>
      <c r="CD30" s="288">
        <f t="shared" si="7"/>
        <v>0</v>
      </c>
      <c r="CE30" s="288">
        <f t="shared" si="22"/>
        <v>0</v>
      </c>
      <c r="CF30" s="288">
        <f t="shared" si="22"/>
        <v>0</v>
      </c>
      <c r="CG30" s="288">
        <f t="shared" si="22"/>
        <v>0</v>
      </c>
      <c r="CH30" s="288">
        <f t="shared" si="20"/>
        <v>0</v>
      </c>
      <c r="CI30" s="288">
        <f t="shared" si="20"/>
        <v>0</v>
      </c>
      <c r="CJ30" s="288">
        <f t="shared" si="20"/>
        <v>0</v>
      </c>
      <c r="CK30" s="288">
        <f t="shared" si="20"/>
        <v>0</v>
      </c>
      <c r="CL30" s="288">
        <f t="shared" si="20"/>
        <v>0</v>
      </c>
      <c r="CM30" s="288">
        <f t="shared" si="20"/>
        <v>0</v>
      </c>
      <c r="CN30" s="288">
        <f t="shared" si="20"/>
        <v>0</v>
      </c>
      <c r="CO30" s="288">
        <f t="shared" si="20"/>
        <v>0</v>
      </c>
      <c r="CP30" s="288">
        <f t="shared" si="20"/>
        <v>0</v>
      </c>
      <c r="CQ30" s="288">
        <f t="shared" si="20"/>
        <v>0</v>
      </c>
      <c r="CR30" s="288">
        <f t="shared" si="20"/>
        <v>0</v>
      </c>
      <c r="CS30" s="288">
        <f t="shared" si="20"/>
        <v>0</v>
      </c>
      <c r="CT30" s="288">
        <f t="shared" si="20"/>
        <v>0</v>
      </c>
      <c r="CU30" s="288">
        <f t="shared" si="20"/>
        <v>0</v>
      </c>
      <c r="CV30" s="288">
        <f t="shared" si="20"/>
        <v>0</v>
      </c>
      <c r="CW30" s="288">
        <f t="shared" si="20"/>
        <v>0</v>
      </c>
      <c r="CX30" s="288">
        <f t="shared" si="21"/>
        <v>0</v>
      </c>
      <c r="CY30" s="288">
        <f t="shared" si="13"/>
        <v>0</v>
      </c>
      <c r="CZ30" s="288">
        <f t="shared" si="13"/>
        <v>0</v>
      </c>
      <c r="DA30" s="288">
        <f t="shared" si="13"/>
        <v>0</v>
      </c>
      <c r="DB30" s="288">
        <f t="shared" si="13"/>
        <v>0</v>
      </c>
      <c r="DC30" s="288">
        <f t="shared" si="13"/>
        <v>0</v>
      </c>
      <c r="DD30" s="288">
        <f t="shared" si="13"/>
        <v>0</v>
      </c>
      <c r="DE30" s="288">
        <f t="shared" si="13"/>
        <v>0</v>
      </c>
      <c r="DG30" s="314">
        <f t="shared" si="3"/>
        <v>33</v>
      </c>
      <c r="DH30" s="289">
        <f>MAX(AD$3:AD$109)</f>
        <v>33</v>
      </c>
      <c r="DJ30" s="288">
        <f>LOOKUP(DH30, 'Mortality Table'!A:A,('Mortality Table'!J:J/'Mortality Table'!I:I))</f>
        <v>1.7597603209525893E-3</v>
      </c>
      <c r="DK30" s="288">
        <f>LOOKUP(A30, 'Mortality Table'!A:A,('Mortality Table'!J:J/'Mortality Table'!I:I))</f>
        <v>1.4392559494820643E-3</v>
      </c>
      <c r="DL30" s="288">
        <f t="shared" si="4"/>
        <v>3.2050437147052501E-4</v>
      </c>
      <c r="DN30" s="288">
        <f>LOOKUP(DH30, 'Mortality Table'!A:A,('Mortality Table'!L:L/'Mortality Table'!K:K))</f>
        <v>1.7825659416780175E-3</v>
      </c>
      <c r="DO30" s="288">
        <f>LOOKUP(A30, 'Mortality Table'!A:A,('Mortality Table'!L:L/'Mortality Table'!K:K))</f>
        <v>1.4579079925585532E-3</v>
      </c>
      <c r="DP30" s="288">
        <f t="shared" si="5"/>
        <v>3.2465794911946434E-4</v>
      </c>
      <c r="DR30" s="288">
        <f>LOOKUP(DH30, 'Mortality Table'!A:A,('Mortality Table'!N:N/'Mortality Table'!M:M))</f>
        <v>1.822628605487392E-3</v>
      </c>
      <c r="DS30" s="288">
        <f>LOOKUP(A30, 'Mortality Table'!A:A,('Mortality Table'!N:N/'Mortality Table'!M:M))</f>
        <v>1.4906740610698198E-3</v>
      </c>
      <c r="DT30" s="288">
        <f t="shared" si="6"/>
        <v>3.3195454441757219E-4</v>
      </c>
    </row>
    <row r="31" spans="1:124">
      <c r="A31" s="288">
        <v>28</v>
      </c>
      <c r="B31" s="288">
        <v>1.5864839806325332E-3</v>
      </c>
      <c r="C31" s="288">
        <f t="shared" si="18"/>
        <v>0</v>
      </c>
      <c r="D31" s="288">
        <f t="shared" si="18"/>
        <v>0</v>
      </c>
      <c r="E31" s="288">
        <f t="shared" si="18"/>
        <v>0</v>
      </c>
      <c r="F31" s="288">
        <f t="shared" si="18"/>
        <v>0</v>
      </c>
      <c r="G31" s="288">
        <f t="shared" si="18"/>
        <v>0</v>
      </c>
      <c r="H31" s="288">
        <f t="shared" si="18"/>
        <v>0</v>
      </c>
      <c r="I31" s="288">
        <f t="shared" si="18"/>
        <v>0</v>
      </c>
      <c r="J31" s="288">
        <f t="shared" si="18"/>
        <v>0</v>
      </c>
      <c r="K31" s="288">
        <f t="shared" si="18"/>
        <v>0</v>
      </c>
      <c r="L31" s="288">
        <f t="shared" si="18"/>
        <v>0</v>
      </c>
      <c r="M31" s="288">
        <f t="shared" si="18"/>
        <v>0</v>
      </c>
      <c r="N31" s="288">
        <f t="shared" si="18"/>
        <v>0</v>
      </c>
      <c r="O31" s="288">
        <f t="shared" si="14"/>
        <v>0</v>
      </c>
      <c r="P31" s="288">
        <f t="shared" si="14"/>
        <v>0</v>
      </c>
      <c r="Q31" s="288">
        <f t="shared" si="14"/>
        <v>0</v>
      </c>
      <c r="R31" s="288">
        <f t="shared" si="14"/>
        <v>0</v>
      </c>
      <c r="S31" s="288">
        <f t="shared" si="14"/>
        <v>0</v>
      </c>
      <c r="T31" s="288">
        <f t="shared" si="14"/>
        <v>0</v>
      </c>
      <c r="U31" s="288">
        <f t="shared" si="14"/>
        <v>0</v>
      </c>
      <c r="V31" s="288">
        <f t="shared" si="14"/>
        <v>0</v>
      </c>
      <c r="W31" s="288">
        <f t="shared" si="14"/>
        <v>0</v>
      </c>
      <c r="X31" s="288">
        <f t="shared" si="14"/>
        <v>0</v>
      </c>
      <c r="Y31" s="288">
        <f t="shared" si="14"/>
        <v>0</v>
      </c>
      <c r="Z31" s="288">
        <f t="shared" si="14"/>
        <v>0</v>
      </c>
      <c r="AA31" s="288">
        <f t="shared" si="14"/>
        <v>0</v>
      </c>
      <c r="AB31" s="288">
        <f t="shared" si="14"/>
        <v>0</v>
      </c>
      <c r="AC31" s="288">
        <f t="shared" si="14"/>
        <v>0</v>
      </c>
      <c r="AD31" s="288">
        <f t="shared" si="14"/>
        <v>0</v>
      </c>
      <c r="AE31" s="288">
        <f t="shared" si="19"/>
        <v>0</v>
      </c>
      <c r="AF31" s="288">
        <f t="shared" si="19"/>
        <v>0</v>
      </c>
      <c r="AG31" s="288">
        <f t="shared" si="19"/>
        <v>0</v>
      </c>
      <c r="AH31" s="288">
        <f t="shared" si="15"/>
        <v>0</v>
      </c>
      <c r="AI31" s="288">
        <f t="shared" si="15"/>
        <v>0</v>
      </c>
      <c r="AJ31" s="288">
        <f t="shared" si="15"/>
        <v>0</v>
      </c>
      <c r="AK31" s="288">
        <f t="shared" si="15"/>
        <v>0</v>
      </c>
      <c r="AL31" s="288">
        <f t="shared" si="15"/>
        <v>0</v>
      </c>
      <c r="AM31" s="288">
        <f t="shared" si="15"/>
        <v>0</v>
      </c>
      <c r="AN31" s="288">
        <f t="shared" si="15"/>
        <v>0</v>
      </c>
      <c r="AO31" s="288">
        <f t="shared" si="15"/>
        <v>0</v>
      </c>
      <c r="AP31" s="288">
        <f t="shared" si="15"/>
        <v>0</v>
      </c>
      <c r="AQ31" s="288">
        <f t="shared" si="15"/>
        <v>0</v>
      </c>
      <c r="AR31" s="288">
        <f t="shared" si="15"/>
        <v>0</v>
      </c>
      <c r="AS31" s="288">
        <f t="shared" si="15"/>
        <v>0</v>
      </c>
      <c r="AT31" s="288">
        <f t="shared" si="15"/>
        <v>0</v>
      </c>
      <c r="AU31" s="288">
        <f t="shared" si="15"/>
        <v>0</v>
      </c>
      <c r="AV31" s="288">
        <f t="shared" si="15"/>
        <v>0</v>
      </c>
      <c r="AW31" s="288">
        <f t="shared" si="15"/>
        <v>0</v>
      </c>
      <c r="AX31" s="288">
        <f t="shared" si="16"/>
        <v>0</v>
      </c>
      <c r="AY31" s="288">
        <f t="shared" si="16"/>
        <v>0</v>
      </c>
      <c r="AZ31" s="288">
        <f t="shared" si="16"/>
        <v>0</v>
      </c>
      <c r="BA31" s="288">
        <f t="shared" si="16"/>
        <v>0</v>
      </c>
      <c r="BB31" s="288">
        <f t="shared" si="16"/>
        <v>0</v>
      </c>
      <c r="BC31" s="288">
        <f t="shared" si="16"/>
        <v>0</v>
      </c>
      <c r="BD31" s="288">
        <f t="shared" si="16"/>
        <v>0</v>
      </c>
      <c r="BE31" s="288">
        <f t="shared" si="16"/>
        <v>0</v>
      </c>
      <c r="BF31" s="288">
        <f t="shared" si="16"/>
        <v>0</v>
      </c>
      <c r="BG31" s="288">
        <f t="shared" si="16"/>
        <v>0</v>
      </c>
      <c r="BH31" s="288">
        <f t="shared" si="16"/>
        <v>0</v>
      </c>
      <c r="BI31" s="288">
        <f t="shared" si="16"/>
        <v>0</v>
      </c>
      <c r="BJ31" s="288">
        <f t="shared" si="16"/>
        <v>0</v>
      </c>
      <c r="BK31" s="288">
        <f t="shared" si="16"/>
        <v>0</v>
      </c>
      <c r="BL31" s="288">
        <f t="shared" si="16"/>
        <v>0</v>
      </c>
      <c r="BM31" s="288">
        <f t="shared" si="16"/>
        <v>0</v>
      </c>
      <c r="BN31" s="288">
        <f t="shared" si="17"/>
        <v>0</v>
      </c>
      <c r="BO31" s="288">
        <f t="shared" si="7"/>
        <v>0</v>
      </c>
      <c r="BP31" s="288">
        <f t="shared" si="7"/>
        <v>0</v>
      </c>
      <c r="BQ31" s="288">
        <f t="shared" si="7"/>
        <v>0</v>
      </c>
      <c r="BR31" s="288">
        <f t="shared" si="7"/>
        <v>0</v>
      </c>
      <c r="BS31" s="288">
        <f t="shared" si="7"/>
        <v>0</v>
      </c>
      <c r="BT31" s="288">
        <f t="shared" si="7"/>
        <v>0</v>
      </c>
      <c r="BU31" s="288">
        <f t="shared" si="7"/>
        <v>0</v>
      </c>
      <c r="BV31" s="288">
        <f t="shared" si="7"/>
        <v>0</v>
      </c>
      <c r="BW31" s="288">
        <f t="shared" si="7"/>
        <v>0</v>
      </c>
      <c r="BX31" s="288">
        <f t="shared" si="7"/>
        <v>0</v>
      </c>
      <c r="BY31" s="288">
        <f t="shared" si="7"/>
        <v>0</v>
      </c>
      <c r="BZ31" s="288">
        <f t="shared" si="7"/>
        <v>0</v>
      </c>
      <c r="CA31" s="288">
        <f t="shared" si="7"/>
        <v>0</v>
      </c>
      <c r="CB31" s="288">
        <f t="shared" si="7"/>
        <v>0</v>
      </c>
      <c r="CC31" s="288">
        <f t="shared" si="7"/>
        <v>0</v>
      </c>
      <c r="CD31" s="288">
        <f t="shared" si="7"/>
        <v>0</v>
      </c>
      <c r="CE31" s="288">
        <f t="shared" si="22"/>
        <v>0</v>
      </c>
      <c r="CF31" s="288">
        <f t="shared" si="22"/>
        <v>0</v>
      </c>
      <c r="CG31" s="288">
        <f t="shared" si="22"/>
        <v>0</v>
      </c>
      <c r="CH31" s="288">
        <f t="shared" si="20"/>
        <v>0</v>
      </c>
      <c r="CI31" s="288">
        <f t="shared" si="20"/>
        <v>0</v>
      </c>
      <c r="CJ31" s="288">
        <f t="shared" si="20"/>
        <v>0</v>
      </c>
      <c r="CK31" s="288">
        <f t="shared" si="20"/>
        <v>0</v>
      </c>
      <c r="CL31" s="288">
        <f t="shared" si="20"/>
        <v>0</v>
      </c>
      <c r="CM31" s="288">
        <f t="shared" si="20"/>
        <v>0</v>
      </c>
      <c r="CN31" s="288">
        <f t="shared" si="20"/>
        <v>0</v>
      </c>
      <c r="CO31" s="288">
        <f t="shared" si="20"/>
        <v>0</v>
      </c>
      <c r="CP31" s="288">
        <f t="shared" si="20"/>
        <v>0</v>
      </c>
      <c r="CQ31" s="288">
        <f t="shared" si="20"/>
        <v>0</v>
      </c>
      <c r="CR31" s="288">
        <f t="shared" si="20"/>
        <v>0</v>
      </c>
      <c r="CS31" s="288">
        <f t="shared" si="20"/>
        <v>0</v>
      </c>
      <c r="CT31" s="288">
        <f t="shared" si="20"/>
        <v>0</v>
      </c>
      <c r="CU31" s="288">
        <f t="shared" si="20"/>
        <v>0</v>
      </c>
      <c r="CV31" s="288">
        <f t="shared" si="20"/>
        <v>0</v>
      </c>
      <c r="CW31" s="288">
        <f t="shared" si="20"/>
        <v>0</v>
      </c>
      <c r="CX31" s="288">
        <f t="shared" si="21"/>
        <v>0</v>
      </c>
      <c r="CY31" s="288">
        <f t="shared" si="13"/>
        <v>0</v>
      </c>
      <c r="CZ31" s="288">
        <f t="shared" si="13"/>
        <v>0</v>
      </c>
      <c r="DA31" s="288">
        <f t="shared" si="13"/>
        <v>0</v>
      </c>
      <c r="DB31" s="288">
        <f t="shared" si="13"/>
        <v>0</v>
      </c>
      <c r="DC31" s="288">
        <f t="shared" si="13"/>
        <v>0</v>
      </c>
      <c r="DD31" s="288">
        <f t="shared" si="13"/>
        <v>0</v>
      </c>
      <c r="DE31" s="288">
        <f t="shared" si="13"/>
        <v>0</v>
      </c>
      <c r="DG31" s="314">
        <f t="shared" si="3"/>
        <v>34</v>
      </c>
      <c r="DH31" s="289">
        <f>MAX(AE$3:AE$109)</f>
        <v>34</v>
      </c>
      <c r="DJ31" s="288">
        <f>LOOKUP(DH31, 'Mortality Table'!A:A,('Mortality Table'!J:J/'Mortality Table'!I:I))</f>
        <v>1.8493707909189702E-3</v>
      </c>
      <c r="DK31" s="288">
        <f>LOOKUP(A31, 'Mortality Table'!A:A,('Mortality Table'!J:J/'Mortality Table'!I:I))</f>
        <v>1.4604768842726064E-3</v>
      </c>
      <c r="DL31" s="288">
        <f t="shared" si="4"/>
        <v>3.8889390664636385E-4</v>
      </c>
      <c r="DN31" s="288">
        <f>LOOKUP(DH31, 'Mortality Table'!A:A,('Mortality Table'!L:L/'Mortality Table'!K:K))</f>
        <v>1.8733377188785425E-3</v>
      </c>
      <c r="DO31" s="288">
        <f>LOOKUP(A31, 'Mortality Table'!A:A,('Mortality Table'!L:L/'Mortality Table'!K:K))</f>
        <v>1.4794039401360693E-3</v>
      </c>
      <c r="DP31" s="288">
        <f t="shared" si="5"/>
        <v>3.9393377874247324E-4</v>
      </c>
      <c r="DR31" s="288">
        <f>LOOKUP(DH31, 'Mortality Table'!A:A,('Mortality Table'!N:N/'Mortality Table'!M:M))</f>
        <v>1.9154404526277363E-3</v>
      </c>
      <c r="DS31" s="288">
        <f>LOOKUP(A31, 'Mortality Table'!A:A,('Mortality Table'!N:N/'Mortality Table'!M:M))</f>
        <v>1.5126531239705488E-3</v>
      </c>
      <c r="DT31" s="288">
        <f t="shared" si="6"/>
        <v>4.0278732865718756E-4</v>
      </c>
    </row>
    <row r="32" spans="1:124">
      <c r="A32" s="288">
        <v>29</v>
      </c>
      <c r="B32" s="288">
        <v>1.6199595526022535E-3</v>
      </c>
      <c r="C32" s="288">
        <f t="shared" si="18"/>
        <v>0</v>
      </c>
      <c r="D32" s="288">
        <f t="shared" si="18"/>
        <v>0</v>
      </c>
      <c r="E32" s="288">
        <f t="shared" si="18"/>
        <v>0</v>
      </c>
      <c r="F32" s="288">
        <f t="shared" si="18"/>
        <v>0</v>
      </c>
      <c r="G32" s="288">
        <f t="shared" si="18"/>
        <v>0</v>
      </c>
      <c r="H32" s="288">
        <f t="shared" si="18"/>
        <v>0</v>
      </c>
      <c r="I32" s="288">
        <f t="shared" si="18"/>
        <v>0</v>
      </c>
      <c r="J32" s="288">
        <f t="shared" si="18"/>
        <v>0</v>
      </c>
      <c r="K32" s="288">
        <f t="shared" si="18"/>
        <v>0</v>
      </c>
      <c r="L32" s="288">
        <f t="shared" si="18"/>
        <v>0</v>
      </c>
      <c r="M32" s="288">
        <f t="shared" si="18"/>
        <v>0</v>
      </c>
      <c r="N32" s="288">
        <f t="shared" si="18"/>
        <v>0</v>
      </c>
      <c r="O32" s="288">
        <f t="shared" si="14"/>
        <v>0</v>
      </c>
      <c r="P32" s="288">
        <f t="shared" si="14"/>
        <v>0</v>
      </c>
      <c r="Q32" s="288">
        <f t="shared" si="14"/>
        <v>0</v>
      </c>
      <c r="R32" s="288">
        <f t="shared" si="14"/>
        <v>0</v>
      </c>
      <c r="S32" s="288">
        <f t="shared" si="14"/>
        <v>0</v>
      </c>
      <c r="T32" s="288">
        <f t="shared" si="14"/>
        <v>0</v>
      </c>
      <c r="U32" s="288">
        <f t="shared" si="14"/>
        <v>0</v>
      </c>
      <c r="V32" s="288">
        <f t="shared" si="14"/>
        <v>29</v>
      </c>
      <c r="W32" s="288">
        <f t="shared" si="14"/>
        <v>0</v>
      </c>
      <c r="X32" s="288">
        <f t="shared" si="14"/>
        <v>0</v>
      </c>
      <c r="Y32" s="288">
        <f t="shared" si="14"/>
        <v>0</v>
      </c>
      <c r="Z32" s="288">
        <f t="shared" si="14"/>
        <v>0</v>
      </c>
      <c r="AA32" s="288">
        <f t="shared" si="14"/>
        <v>0</v>
      </c>
      <c r="AB32" s="288">
        <f t="shared" si="14"/>
        <v>0</v>
      </c>
      <c r="AC32" s="288">
        <f t="shared" si="14"/>
        <v>0</v>
      </c>
      <c r="AD32" s="288">
        <f t="shared" si="14"/>
        <v>0</v>
      </c>
      <c r="AE32" s="288">
        <f t="shared" si="19"/>
        <v>0</v>
      </c>
      <c r="AF32" s="288">
        <f t="shared" si="19"/>
        <v>0</v>
      </c>
      <c r="AG32" s="288">
        <f t="shared" si="19"/>
        <v>0</v>
      </c>
      <c r="AH32" s="288">
        <f t="shared" si="15"/>
        <v>0</v>
      </c>
      <c r="AI32" s="288">
        <f t="shared" si="15"/>
        <v>0</v>
      </c>
      <c r="AJ32" s="288">
        <f t="shared" si="15"/>
        <v>0</v>
      </c>
      <c r="AK32" s="288">
        <f t="shared" si="15"/>
        <v>0</v>
      </c>
      <c r="AL32" s="288">
        <f t="shared" si="15"/>
        <v>0</v>
      </c>
      <c r="AM32" s="288">
        <f t="shared" si="15"/>
        <v>0</v>
      </c>
      <c r="AN32" s="288">
        <f t="shared" si="15"/>
        <v>0</v>
      </c>
      <c r="AO32" s="288">
        <f t="shared" si="15"/>
        <v>0</v>
      </c>
      <c r="AP32" s="288">
        <f t="shared" si="15"/>
        <v>0</v>
      </c>
      <c r="AQ32" s="288">
        <f t="shared" si="15"/>
        <v>0</v>
      </c>
      <c r="AR32" s="288">
        <f t="shared" si="15"/>
        <v>0</v>
      </c>
      <c r="AS32" s="288">
        <f t="shared" si="15"/>
        <v>0</v>
      </c>
      <c r="AT32" s="288">
        <f t="shared" si="15"/>
        <v>0</v>
      </c>
      <c r="AU32" s="288">
        <f t="shared" si="15"/>
        <v>0</v>
      </c>
      <c r="AV32" s="288">
        <f t="shared" si="15"/>
        <v>0</v>
      </c>
      <c r="AW32" s="288">
        <f t="shared" si="15"/>
        <v>0</v>
      </c>
      <c r="AX32" s="288">
        <f t="shared" si="16"/>
        <v>0</v>
      </c>
      <c r="AY32" s="288">
        <f t="shared" si="16"/>
        <v>0</v>
      </c>
      <c r="AZ32" s="288">
        <f t="shared" si="16"/>
        <v>0</v>
      </c>
      <c r="BA32" s="288">
        <f t="shared" si="16"/>
        <v>0</v>
      </c>
      <c r="BB32" s="288">
        <f t="shared" si="16"/>
        <v>0</v>
      </c>
      <c r="BC32" s="288">
        <f t="shared" si="16"/>
        <v>0</v>
      </c>
      <c r="BD32" s="288">
        <f t="shared" si="16"/>
        <v>0</v>
      </c>
      <c r="BE32" s="288">
        <f t="shared" si="16"/>
        <v>0</v>
      </c>
      <c r="BF32" s="288">
        <f t="shared" si="16"/>
        <v>0</v>
      </c>
      <c r="BG32" s="288">
        <f t="shared" si="16"/>
        <v>0</v>
      </c>
      <c r="BH32" s="288">
        <f t="shared" si="16"/>
        <v>0</v>
      </c>
      <c r="BI32" s="288">
        <f t="shared" si="16"/>
        <v>0</v>
      </c>
      <c r="BJ32" s="288">
        <f t="shared" si="16"/>
        <v>0</v>
      </c>
      <c r="BK32" s="288">
        <f t="shared" si="16"/>
        <v>0</v>
      </c>
      <c r="BL32" s="288">
        <f t="shared" si="16"/>
        <v>0</v>
      </c>
      <c r="BM32" s="288">
        <f t="shared" si="16"/>
        <v>0</v>
      </c>
      <c r="BN32" s="288">
        <f t="shared" si="17"/>
        <v>0</v>
      </c>
      <c r="BO32" s="288">
        <f t="shared" si="7"/>
        <v>0</v>
      </c>
      <c r="BP32" s="288">
        <f t="shared" si="7"/>
        <v>0</v>
      </c>
      <c r="BQ32" s="288">
        <f t="shared" si="7"/>
        <v>0</v>
      </c>
      <c r="BR32" s="288">
        <f t="shared" si="7"/>
        <v>0</v>
      </c>
      <c r="BS32" s="288">
        <f t="shared" si="7"/>
        <v>0</v>
      </c>
      <c r="BT32" s="288">
        <f t="shared" si="7"/>
        <v>0</v>
      </c>
      <c r="BU32" s="288">
        <f t="shared" si="7"/>
        <v>0</v>
      </c>
      <c r="BV32" s="288">
        <f t="shared" si="7"/>
        <v>0</v>
      </c>
      <c r="BW32" s="288">
        <f t="shared" si="7"/>
        <v>0</v>
      </c>
      <c r="BX32" s="288">
        <f t="shared" si="7"/>
        <v>0</v>
      </c>
      <c r="BY32" s="288">
        <f t="shared" si="7"/>
        <v>0</v>
      </c>
      <c r="BZ32" s="288">
        <f t="shared" si="7"/>
        <v>0</v>
      </c>
      <c r="CA32" s="288">
        <f t="shared" si="7"/>
        <v>0</v>
      </c>
      <c r="CB32" s="288">
        <f t="shared" si="7"/>
        <v>0</v>
      </c>
      <c r="CC32" s="288">
        <f t="shared" si="7"/>
        <v>0</v>
      </c>
      <c r="CD32" s="288">
        <f t="shared" si="7"/>
        <v>0</v>
      </c>
      <c r="CE32" s="288">
        <f t="shared" si="22"/>
        <v>0</v>
      </c>
      <c r="CF32" s="288">
        <f t="shared" si="22"/>
        <v>0</v>
      </c>
      <c r="CG32" s="288">
        <f t="shared" si="22"/>
        <v>0</v>
      </c>
      <c r="CH32" s="288">
        <f t="shared" si="20"/>
        <v>0</v>
      </c>
      <c r="CI32" s="288">
        <f t="shared" si="20"/>
        <v>0</v>
      </c>
      <c r="CJ32" s="288">
        <f t="shared" si="20"/>
        <v>0</v>
      </c>
      <c r="CK32" s="288">
        <f t="shared" si="20"/>
        <v>0</v>
      </c>
      <c r="CL32" s="288">
        <f t="shared" si="20"/>
        <v>0</v>
      </c>
      <c r="CM32" s="288">
        <f t="shared" si="20"/>
        <v>0</v>
      </c>
      <c r="CN32" s="288">
        <f t="shared" si="20"/>
        <v>0</v>
      </c>
      <c r="CO32" s="288">
        <f t="shared" si="20"/>
        <v>0</v>
      </c>
      <c r="CP32" s="288">
        <f t="shared" si="20"/>
        <v>0</v>
      </c>
      <c r="CQ32" s="288">
        <f t="shared" si="20"/>
        <v>0</v>
      </c>
      <c r="CR32" s="288">
        <f t="shared" si="20"/>
        <v>0</v>
      </c>
      <c r="CS32" s="288">
        <f t="shared" si="20"/>
        <v>0</v>
      </c>
      <c r="CT32" s="288">
        <f t="shared" si="20"/>
        <v>0</v>
      </c>
      <c r="CU32" s="288">
        <f t="shared" si="20"/>
        <v>0</v>
      </c>
      <c r="CV32" s="288">
        <f t="shared" si="20"/>
        <v>0</v>
      </c>
      <c r="CW32" s="288">
        <f t="shared" si="20"/>
        <v>0</v>
      </c>
      <c r="CX32" s="288">
        <f t="shared" si="21"/>
        <v>0</v>
      </c>
      <c r="CY32" s="288">
        <f t="shared" si="13"/>
        <v>0</v>
      </c>
      <c r="CZ32" s="288">
        <f t="shared" si="13"/>
        <v>0</v>
      </c>
      <c r="DA32" s="288">
        <f t="shared" si="13"/>
        <v>0</v>
      </c>
      <c r="DB32" s="288">
        <f t="shared" si="13"/>
        <v>0</v>
      </c>
      <c r="DC32" s="288">
        <f t="shared" si="13"/>
        <v>0</v>
      </c>
      <c r="DD32" s="288">
        <f t="shared" si="13"/>
        <v>0</v>
      </c>
      <c r="DE32" s="288">
        <f t="shared" si="13"/>
        <v>0</v>
      </c>
      <c r="DG32" s="314">
        <f t="shared" si="3"/>
        <v>34</v>
      </c>
      <c r="DH32" s="289">
        <f>MAX(AF$3:AF$109)</f>
        <v>34</v>
      </c>
      <c r="DJ32" s="288">
        <f>LOOKUP(DH32, 'Mortality Table'!A:A,('Mortality Table'!J:J/'Mortality Table'!I:I))</f>
        <v>1.8493707909189702E-3</v>
      </c>
      <c r="DK32" s="288">
        <f>LOOKUP(A32, 'Mortality Table'!A:A,('Mortality Table'!J:J/'Mortality Table'!I:I))</f>
        <v>1.4912936461475596E-3</v>
      </c>
      <c r="DL32" s="288">
        <f t="shared" si="4"/>
        <v>3.5807714477141062E-4</v>
      </c>
      <c r="DN32" s="288">
        <f>LOOKUP(DH32, 'Mortality Table'!A:A,('Mortality Table'!L:L/'Mortality Table'!K:K))</f>
        <v>1.8733377188785425E-3</v>
      </c>
      <c r="DO32" s="288">
        <f>LOOKUP(A32, 'Mortality Table'!A:A,('Mortality Table'!L:L/'Mortality Table'!K:K))</f>
        <v>1.5106200719564281E-3</v>
      </c>
      <c r="DP32" s="288">
        <f t="shared" si="5"/>
        <v>3.6271764692211443E-4</v>
      </c>
      <c r="DR32" s="288">
        <f>LOOKUP(DH32, 'Mortality Table'!A:A,('Mortality Table'!N:N/'Mortality Table'!M:M))</f>
        <v>1.9154404526277363E-3</v>
      </c>
      <c r="DS32" s="288">
        <f>LOOKUP(A32, 'Mortality Table'!A:A,('Mortality Table'!N:N/'Mortality Table'!M:M))</f>
        <v>1.5445708294972752E-3</v>
      </c>
      <c r="DT32" s="288">
        <f t="shared" si="6"/>
        <v>3.7086962313046109E-4</v>
      </c>
    </row>
    <row r="33" spans="1:124">
      <c r="A33" s="288">
        <v>30</v>
      </c>
      <c r="B33" s="288">
        <v>1.6742628592689053E-3</v>
      </c>
      <c r="C33" s="288">
        <f t="shared" si="18"/>
        <v>0</v>
      </c>
      <c r="D33" s="288">
        <f t="shared" si="18"/>
        <v>0</v>
      </c>
      <c r="E33" s="288">
        <f t="shared" si="18"/>
        <v>0</v>
      </c>
      <c r="F33" s="288">
        <f t="shared" si="18"/>
        <v>0</v>
      </c>
      <c r="G33" s="288">
        <f t="shared" si="18"/>
        <v>0</v>
      </c>
      <c r="H33" s="288">
        <f t="shared" si="18"/>
        <v>0</v>
      </c>
      <c r="I33" s="288">
        <f t="shared" si="18"/>
        <v>0</v>
      </c>
      <c r="J33" s="288">
        <f t="shared" si="18"/>
        <v>0</v>
      </c>
      <c r="K33" s="288">
        <f t="shared" si="18"/>
        <v>0</v>
      </c>
      <c r="L33" s="288">
        <f t="shared" si="18"/>
        <v>0</v>
      </c>
      <c r="M33" s="288">
        <f t="shared" si="18"/>
        <v>0</v>
      </c>
      <c r="N33" s="288">
        <f t="shared" si="18"/>
        <v>0</v>
      </c>
      <c r="O33" s="288">
        <f t="shared" si="14"/>
        <v>0</v>
      </c>
      <c r="P33" s="288">
        <f t="shared" si="14"/>
        <v>0</v>
      </c>
      <c r="Q33" s="288">
        <f t="shared" si="14"/>
        <v>0</v>
      </c>
      <c r="R33" s="288">
        <f t="shared" si="14"/>
        <v>0</v>
      </c>
      <c r="S33" s="288">
        <f t="shared" si="14"/>
        <v>0</v>
      </c>
      <c r="T33" s="288">
        <f t="shared" si="14"/>
        <v>0</v>
      </c>
      <c r="U33" s="288">
        <f t="shared" si="14"/>
        <v>0</v>
      </c>
      <c r="V33" s="288">
        <f t="shared" si="14"/>
        <v>0</v>
      </c>
      <c r="W33" s="288">
        <f t="shared" si="14"/>
        <v>0</v>
      </c>
      <c r="X33" s="288">
        <f t="shared" si="14"/>
        <v>0</v>
      </c>
      <c r="Y33" s="288">
        <f t="shared" si="14"/>
        <v>0</v>
      </c>
      <c r="Z33" s="288">
        <f t="shared" si="14"/>
        <v>0</v>
      </c>
      <c r="AA33" s="288">
        <f t="shared" si="14"/>
        <v>0</v>
      </c>
      <c r="AB33" s="288">
        <f t="shared" si="14"/>
        <v>0</v>
      </c>
      <c r="AC33" s="288">
        <f t="shared" si="14"/>
        <v>0</v>
      </c>
      <c r="AD33" s="288">
        <f t="shared" si="14"/>
        <v>0</v>
      </c>
      <c r="AE33" s="288">
        <f t="shared" si="19"/>
        <v>0</v>
      </c>
      <c r="AF33" s="288">
        <f t="shared" si="19"/>
        <v>0</v>
      </c>
      <c r="AG33" s="288">
        <f t="shared" si="19"/>
        <v>0</v>
      </c>
      <c r="AH33" s="288">
        <f t="shared" si="15"/>
        <v>0</v>
      </c>
      <c r="AI33" s="288">
        <f t="shared" si="15"/>
        <v>0</v>
      </c>
      <c r="AJ33" s="288">
        <f t="shared" si="15"/>
        <v>0</v>
      </c>
      <c r="AK33" s="288">
        <f t="shared" si="15"/>
        <v>0</v>
      </c>
      <c r="AL33" s="288">
        <f t="shared" si="15"/>
        <v>0</v>
      </c>
      <c r="AM33" s="288">
        <f t="shared" si="15"/>
        <v>0</v>
      </c>
      <c r="AN33" s="288">
        <f t="shared" si="15"/>
        <v>0</v>
      </c>
      <c r="AO33" s="288">
        <f t="shared" si="15"/>
        <v>0</v>
      </c>
      <c r="AP33" s="288">
        <f t="shared" si="15"/>
        <v>0</v>
      </c>
      <c r="AQ33" s="288">
        <f t="shared" si="15"/>
        <v>0</v>
      </c>
      <c r="AR33" s="288">
        <f t="shared" si="15"/>
        <v>0</v>
      </c>
      <c r="AS33" s="288">
        <f t="shared" si="15"/>
        <v>0</v>
      </c>
      <c r="AT33" s="288">
        <f t="shared" si="15"/>
        <v>0</v>
      </c>
      <c r="AU33" s="288">
        <f t="shared" si="15"/>
        <v>0</v>
      </c>
      <c r="AV33" s="288">
        <f t="shared" si="15"/>
        <v>0</v>
      </c>
      <c r="AW33" s="288">
        <f t="shared" si="15"/>
        <v>0</v>
      </c>
      <c r="AX33" s="288">
        <f t="shared" si="16"/>
        <v>0</v>
      </c>
      <c r="AY33" s="288">
        <f t="shared" si="16"/>
        <v>0</v>
      </c>
      <c r="AZ33" s="288">
        <f t="shared" si="16"/>
        <v>0</v>
      </c>
      <c r="BA33" s="288">
        <f t="shared" si="16"/>
        <v>0</v>
      </c>
      <c r="BB33" s="288">
        <f t="shared" si="16"/>
        <v>0</v>
      </c>
      <c r="BC33" s="288">
        <f t="shared" si="16"/>
        <v>0</v>
      </c>
      <c r="BD33" s="288">
        <f t="shared" si="16"/>
        <v>0</v>
      </c>
      <c r="BE33" s="288">
        <f t="shared" si="16"/>
        <v>0</v>
      </c>
      <c r="BF33" s="288">
        <f t="shared" si="16"/>
        <v>0</v>
      </c>
      <c r="BG33" s="288">
        <f t="shared" si="16"/>
        <v>0</v>
      </c>
      <c r="BH33" s="288">
        <f t="shared" si="16"/>
        <v>0</v>
      </c>
      <c r="BI33" s="288">
        <f t="shared" si="16"/>
        <v>0</v>
      </c>
      <c r="BJ33" s="288">
        <f t="shared" si="16"/>
        <v>0</v>
      </c>
      <c r="BK33" s="288">
        <f t="shared" si="16"/>
        <v>0</v>
      </c>
      <c r="BL33" s="288">
        <f t="shared" si="16"/>
        <v>0</v>
      </c>
      <c r="BM33" s="288">
        <f t="shared" si="16"/>
        <v>0</v>
      </c>
      <c r="BN33" s="288">
        <f t="shared" si="17"/>
        <v>0</v>
      </c>
      <c r="BO33" s="288">
        <f t="shared" si="7"/>
        <v>0</v>
      </c>
      <c r="BP33" s="288">
        <f t="shared" si="7"/>
        <v>0</v>
      </c>
      <c r="BQ33" s="288">
        <f t="shared" si="7"/>
        <v>0</v>
      </c>
      <c r="BR33" s="288">
        <f t="shared" si="7"/>
        <v>0</v>
      </c>
      <c r="BS33" s="288">
        <f t="shared" si="7"/>
        <v>0</v>
      </c>
      <c r="BT33" s="288">
        <f t="shared" si="7"/>
        <v>0</v>
      </c>
      <c r="BU33" s="288">
        <f t="shared" si="7"/>
        <v>0</v>
      </c>
      <c r="BV33" s="288">
        <f t="shared" si="7"/>
        <v>0</v>
      </c>
      <c r="BW33" s="288">
        <f t="shared" si="7"/>
        <v>0</v>
      </c>
      <c r="BX33" s="288">
        <f t="shared" si="7"/>
        <v>0</v>
      </c>
      <c r="BY33" s="288">
        <f t="shared" si="7"/>
        <v>0</v>
      </c>
      <c r="BZ33" s="288">
        <f t="shared" si="7"/>
        <v>0</v>
      </c>
      <c r="CA33" s="288">
        <f t="shared" si="7"/>
        <v>0</v>
      </c>
      <c r="CB33" s="288">
        <f t="shared" si="7"/>
        <v>0</v>
      </c>
      <c r="CC33" s="288">
        <f t="shared" si="7"/>
        <v>0</v>
      </c>
      <c r="CD33" s="288">
        <f t="shared" si="7"/>
        <v>0</v>
      </c>
      <c r="CE33" s="288">
        <f t="shared" si="22"/>
        <v>0</v>
      </c>
      <c r="CF33" s="288">
        <f t="shared" si="22"/>
        <v>0</v>
      </c>
      <c r="CG33" s="288">
        <f t="shared" si="22"/>
        <v>0</v>
      </c>
      <c r="CH33" s="288">
        <f t="shared" si="20"/>
        <v>0</v>
      </c>
      <c r="CI33" s="288">
        <f t="shared" si="20"/>
        <v>0</v>
      </c>
      <c r="CJ33" s="288">
        <f t="shared" si="20"/>
        <v>0</v>
      </c>
      <c r="CK33" s="288">
        <f t="shared" si="20"/>
        <v>0</v>
      </c>
      <c r="CL33" s="288">
        <f t="shared" si="20"/>
        <v>0</v>
      </c>
      <c r="CM33" s="288">
        <f t="shared" si="20"/>
        <v>0</v>
      </c>
      <c r="CN33" s="288">
        <f t="shared" si="20"/>
        <v>0</v>
      </c>
      <c r="CO33" s="288">
        <f t="shared" si="20"/>
        <v>0</v>
      </c>
      <c r="CP33" s="288">
        <f t="shared" si="20"/>
        <v>0</v>
      </c>
      <c r="CQ33" s="288">
        <f t="shared" si="20"/>
        <v>0</v>
      </c>
      <c r="CR33" s="288">
        <f t="shared" si="20"/>
        <v>0</v>
      </c>
      <c r="CS33" s="288">
        <f t="shared" si="20"/>
        <v>0</v>
      </c>
      <c r="CT33" s="288">
        <f t="shared" si="20"/>
        <v>0</v>
      </c>
      <c r="CU33" s="288">
        <f t="shared" si="20"/>
        <v>0</v>
      </c>
      <c r="CV33" s="288">
        <f t="shared" si="20"/>
        <v>0</v>
      </c>
      <c r="CW33" s="288">
        <f t="shared" si="20"/>
        <v>0</v>
      </c>
      <c r="CX33" s="288">
        <f t="shared" si="21"/>
        <v>0</v>
      </c>
      <c r="CY33" s="288">
        <f t="shared" si="13"/>
        <v>0</v>
      </c>
      <c r="CZ33" s="288">
        <f t="shared" si="13"/>
        <v>0</v>
      </c>
      <c r="DA33" s="288">
        <f t="shared" si="13"/>
        <v>0</v>
      </c>
      <c r="DB33" s="288">
        <f t="shared" si="13"/>
        <v>0</v>
      </c>
      <c r="DC33" s="288">
        <f t="shared" si="13"/>
        <v>0</v>
      </c>
      <c r="DD33" s="288">
        <f t="shared" si="13"/>
        <v>0</v>
      </c>
      <c r="DE33" s="288">
        <f t="shared" si="13"/>
        <v>0</v>
      </c>
      <c r="DG33" s="314">
        <f t="shared" si="3"/>
        <v>35</v>
      </c>
      <c r="DH33" s="289">
        <f>MAX(AG$3:AG$109)</f>
        <v>35</v>
      </c>
      <c r="DJ33" s="288">
        <f>LOOKUP(DH33, 'Mortality Table'!A:A,('Mortality Table'!J:J/'Mortality Table'!I:I))</f>
        <v>1.9395072155808562E-3</v>
      </c>
      <c r="DK33" s="288">
        <f>LOOKUP(A33, 'Mortality Table'!A:A,('Mortality Table'!J:J/'Mortality Table'!I:I))</f>
        <v>1.5412838919328282E-3</v>
      </c>
      <c r="DL33" s="288">
        <f t="shared" si="4"/>
        <v>3.9822332364802793E-4</v>
      </c>
      <c r="DN33" s="288">
        <f>LOOKUP(DH33, 'Mortality Table'!A:A,('Mortality Table'!L:L/'Mortality Table'!K:K))</f>
        <v>1.9646422668864942E-3</v>
      </c>
      <c r="DO33" s="288">
        <f>LOOKUP(A33, 'Mortality Table'!A:A,('Mortality Table'!L:L/'Mortality Table'!K:K))</f>
        <v>1.5612581665264294E-3</v>
      </c>
      <c r="DP33" s="288">
        <f t="shared" si="5"/>
        <v>4.0338410036006478E-4</v>
      </c>
      <c r="DR33" s="288">
        <f>LOOKUP(DH33, 'Mortality Table'!A:A,('Mortality Table'!N:N/'Mortality Table'!M:M))</f>
        <v>2.0087970444482533E-3</v>
      </c>
      <c r="DS33" s="288">
        <f>LOOKUP(A33, 'Mortality Table'!A:A,('Mortality Table'!N:N/'Mortality Table'!M:M))</f>
        <v>1.5963470008762593E-3</v>
      </c>
      <c r="DT33" s="288">
        <f t="shared" si="6"/>
        <v>4.1245004357199407E-4</v>
      </c>
    </row>
    <row r="34" spans="1:124">
      <c r="A34" s="288">
        <v>31</v>
      </c>
      <c r="B34" s="288">
        <v>1.7391844467219478E-3</v>
      </c>
      <c r="C34" s="288">
        <f t="shared" si="18"/>
        <v>0</v>
      </c>
      <c r="D34" s="288">
        <f t="shared" si="18"/>
        <v>0</v>
      </c>
      <c r="E34" s="288">
        <f t="shared" si="18"/>
        <v>0</v>
      </c>
      <c r="F34" s="288">
        <f t="shared" si="18"/>
        <v>0</v>
      </c>
      <c r="G34" s="288">
        <f t="shared" si="18"/>
        <v>0</v>
      </c>
      <c r="H34" s="288">
        <f t="shared" si="18"/>
        <v>0</v>
      </c>
      <c r="I34" s="288">
        <f t="shared" si="18"/>
        <v>0</v>
      </c>
      <c r="J34" s="288">
        <f t="shared" si="18"/>
        <v>0</v>
      </c>
      <c r="K34" s="288">
        <f t="shared" si="18"/>
        <v>0</v>
      </c>
      <c r="L34" s="288">
        <f t="shared" si="18"/>
        <v>0</v>
      </c>
      <c r="M34" s="288">
        <f t="shared" si="18"/>
        <v>0</v>
      </c>
      <c r="N34" s="288">
        <f t="shared" si="18"/>
        <v>0</v>
      </c>
      <c r="O34" s="288">
        <f t="shared" si="14"/>
        <v>0</v>
      </c>
      <c r="P34" s="288">
        <f t="shared" si="14"/>
        <v>0</v>
      </c>
      <c r="Q34" s="288">
        <f t="shared" si="14"/>
        <v>0</v>
      </c>
      <c r="R34" s="288">
        <f t="shared" si="14"/>
        <v>0</v>
      </c>
      <c r="S34" s="288">
        <f t="shared" si="14"/>
        <v>0</v>
      </c>
      <c r="T34" s="288">
        <f t="shared" si="14"/>
        <v>0</v>
      </c>
      <c r="U34" s="288">
        <f t="shared" si="14"/>
        <v>0</v>
      </c>
      <c r="V34" s="288">
        <f t="shared" si="14"/>
        <v>0</v>
      </c>
      <c r="W34" s="288">
        <f t="shared" si="14"/>
        <v>32</v>
      </c>
      <c r="X34" s="288">
        <f t="shared" si="14"/>
        <v>0</v>
      </c>
      <c r="Y34" s="288">
        <f t="shared" si="14"/>
        <v>0</v>
      </c>
      <c r="Z34" s="288">
        <f t="shared" si="14"/>
        <v>0</v>
      </c>
      <c r="AA34" s="288">
        <f t="shared" si="14"/>
        <v>0</v>
      </c>
      <c r="AB34" s="288">
        <f t="shared" si="14"/>
        <v>0</v>
      </c>
      <c r="AC34" s="288">
        <f t="shared" si="14"/>
        <v>0</v>
      </c>
      <c r="AD34" s="288">
        <f t="shared" si="14"/>
        <v>0</v>
      </c>
      <c r="AE34" s="288">
        <f t="shared" si="19"/>
        <v>0</v>
      </c>
      <c r="AF34" s="288">
        <f t="shared" si="19"/>
        <v>0</v>
      </c>
      <c r="AG34" s="288">
        <f t="shared" si="19"/>
        <v>0</v>
      </c>
      <c r="AH34" s="288">
        <f t="shared" si="15"/>
        <v>0</v>
      </c>
      <c r="AI34" s="288">
        <f t="shared" si="15"/>
        <v>0</v>
      </c>
      <c r="AJ34" s="288">
        <f t="shared" si="15"/>
        <v>0</v>
      </c>
      <c r="AK34" s="288">
        <f t="shared" si="15"/>
        <v>0</v>
      </c>
      <c r="AL34" s="288">
        <f t="shared" si="15"/>
        <v>0</v>
      </c>
      <c r="AM34" s="288">
        <f t="shared" si="15"/>
        <v>0</v>
      </c>
      <c r="AN34" s="288">
        <f t="shared" si="15"/>
        <v>0</v>
      </c>
      <c r="AO34" s="288">
        <f t="shared" si="15"/>
        <v>0</v>
      </c>
      <c r="AP34" s="288">
        <f t="shared" si="15"/>
        <v>0</v>
      </c>
      <c r="AQ34" s="288">
        <f t="shared" si="15"/>
        <v>0</v>
      </c>
      <c r="AR34" s="288">
        <f t="shared" si="15"/>
        <v>0</v>
      </c>
      <c r="AS34" s="288">
        <f t="shared" si="15"/>
        <v>0</v>
      </c>
      <c r="AT34" s="288">
        <f t="shared" si="15"/>
        <v>0</v>
      </c>
      <c r="AU34" s="288">
        <f t="shared" si="15"/>
        <v>0</v>
      </c>
      <c r="AV34" s="288">
        <f t="shared" si="15"/>
        <v>0</v>
      </c>
      <c r="AW34" s="288">
        <f t="shared" si="15"/>
        <v>0</v>
      </c>
      <c r="AX34" s="288">
        <f t="shared" si="16"/>
        <v>0</v>
      </c>
      <c r="AY34" s="288">
        <f t="shared" si="16"/>
        <v>0</v>
      </c>
      <c r="AZ34" s="288">
        <f t="shared" si="16"/>
        <v>0</v>
      </c>
      <c r="BA34" s="288">
        <f t="shared" si="16"/>
        <v>0</v>
      </c>
      <c r="BB34" s="288">
        <f t="shared" si="16"/>
        <v>0</v>
      </c>
      <c r="BC34" s="288">
        <f t="shared" si="16"/>
        <v>0</v>
      </c>
      <c r="BD34" s="288">
        <f t="shared" si="16"/>
        <v>0</v>
      </c>
      <c r="BE34" s="288">
        <f t="shared" si="16"/>
        <v>0</v>
      </c>
      <c r="BF34" s="288">
        <f t="shared" si="16"/>
        <v>0</v>
      </c>
      <c r="BG34" s="288">
        <f t="shared" si="16"/>
        <v>0</v>
      </c>
      <c r="BH34" s="288">
        <f t="shared" si="16"/>
        <v>0</v>
      </c>
      <c r="BI34" s="288">
        <f t="shared" si="16"/>
        <v>0</v>
      </c>
      <c r="BJ34" s="288">
        <f t="shared" si="16"/>
        <v>0</v>
      </c>
      <c r="BK34" s="288">
        <f t="shared" si="16"/>
        <v>0</v>
      </c>
      <c r="BL34" s="288">
        <f t="shared" si="16"/>
        <v>0</v>
      </c>
      <c r="BM34" s="288">
        <f t="shared" si="16"/>
        <v>0</v>
      </c>
      <c r="BN34" s="288">
        <f t="shared" si="17"/>
        <v>0</v>
      </c>
      <c r="BO34" s="288">
        <f t="shared" si="7"/>
        <v>0</v>
      </c>
      <c r="BP34" s="288">
        <f t="shared" si="7"/>
        <v>0</v>
      </c>
      <c r="BQ34" s="288">
        <f t="shared" si="7"/>
        <v>0</v>
      </c>
      <c r="BR34" s="288">
        <f t="shared" si="7"/>
        <v>0</v>
      </c>
      <c r="BS34" s="288">
        <f t="shared" si="7"/>
        <v>0</v>
      </c>
      <c r="BT34" s="288">
        <f t="shared" si="7"/>
        <v>0</v>
      </c>
      <c r="BU34" s="288">
        <f t="shared" si="7"/>
        <v>0</v>
      </c>
      <c r="BV34" s="288">
        <f t="shared" si="7"/>
        <v>0</v>
      </c>
      <c r="BW34" s="288">
        <f t="shared" si="7"/>
        <v>0</v>
      </c>
      <c r="BX34" s="288">
        <f t="shared" si="7"/>
        <v>0</v>
      </c>
      <c r="BY34" s="288">
        <f t="shared" si="7"/>
        <v>0</v>
      </c>
      <c r="BZ34" s="288">
        <f t="shared" si="7"/>
        <v>0</v>
      </c>
      <c r="CA34" s="288">
        <f t="shared" si="7"/>
        <v>0</v>
      </c>
      <c r="CB34" s="288">
        <f t="shared" si="7"/>
        <v>0</v>
      </c>
      <c r="CC34" s="288">
        <f t="shared" si="7"/>
        <v>0</v>
      </c>
      <c r="CD34" s="288">
        <f t="shared" si="7"/>
        <v>0</v>
      </c>
      <c r="CE34" s="288">
        <f t="shared" si="22"/>
        <v>0</v>
      </c>
      <c r="CF34" s="288">
        <f t="shared" si="22"/>
        <v>0</v>
      </c>
      <c r="CG34" s="288">
        <f t="shared" si="22"/>
        <v>0</v>
      </c>
      <c r="CH34" s="288">
        <f t="shared" si="20"/>
        <v>0</v>
      </c>
      <c r="CI34" s="288">
        <f t="shared" si="20"/>
        <v>0</v>
      </c>
      <c r="CJ34" s="288">
        <f t="shared" si="20"/>
        <v>0</v>
      </c>
      <c r="CK34" s="288">
        <f t="shared" si="20"/>
        <v>0</v>
      </c>
      <c r="CL34" s="288">
        <f t="shared" si="20"/>
        <v>0</v>
      </c>
      <c r="CM34" s="288">
        <f t="shared" si="20"/>
        <v>0</v>
      </c>
      <c r="CN34" s="288">
        <f t="shared" si="20"/>
        <v>0</v>
      </c>
      <c r="CO34" s="288">
        <f t="shared" si="20"/>
        <v>0</v>
      </c>
      <c r="CP34" s="288">
        <f t="shared" si="20"/>
        <v>0</v>
      </c>
      <c r="CQ34" s="288">
        <f t="shared" si="20"/>
        <v>0</v>
      </c>
      <c r="CR34" s="288">
        <f t="shared" si="20"/>
        <v>0</v>
      </c>
      <c r="CS34" s="288">
        <f t="shared" si="20"/>
        <v>0</v>
      </c>
      <c r="CT34" s="288">
        <f t="shared" si="20"/>
        <v>0</v>
      </c>
      <c r="CU34" s="288">
        <f t="shared" si="20"/>
        <v>0</v>
      </c>
      <c r="CV34" s="288">
        <f t="shared" si="20"/>
        <v>0</v>
      </c>
      <c r="CW34" s="288">
        <f t="shared" si="20"/>
        <v>0</v>
      </c>
      <c r="CX34" s="288">
        <f t="shared" si="21"/>
        <v>0</v>
      </c>
      <c r="CY34" s="288">
        <f t="shared" si="13"/>
        <v>0</v>
      </c>
      <c r="CZ34" s="288">
        <f t="shared" si="13"/>
        <v>0</v>
      </c>
      <c r="DA34" s="288">
        <f t="shared" si="13"/>
        <v>0</v>
      </c>
      <c r="DB34" s="288">
        <f t="shared" si="13"/>
        <v>0</v>
      </c>
      <c r="DC34" s="288">
        <f t="shared" si="13"/>
        <v>0</v>
      </c>
      <c r="DD34" s="288">
        <f t="shared" si="13"/>
        <v>0</v>
      </c>
      <c r="DE34" s="288">
        <f t="shared" si="13"/>
        <v>0</v>
      </c>
      <c r="DG34" s="314">
        <f t="shared" si="3"/>
        <v>36</v>
      </c>
      <c r="DH34" s="289">
        <f>MAX(AH$3:AH$109)</f>
        <v>36</v>
      </c>
      <c r="DJ34" s="288">
        <f>LOOKUP(DH34, 'Mortality Table'!A:A,('Mortality Table'!J:J/'Mortality Table'!I:I))</f>
        <v>2.0494417995353367E-3</v>
      </c>
      <c r="DK34" s="288">
        <f>LOOKUP(A34, 'Mortality Table'!A:A,('Mortality Table'!J:J/'Mortality Table'!I:I))</f>
        <v>1.6010490574957655E-3</v>
      </c>
      <c r="DL34" s="288">
        <f t="shared" si="4"/>
        <v>4.4839274203957121E-4</v>
      </c>
      <c r="DN34" s="288">
        <f>LOOKUP(DH34, 'Mortality Table'!A:A,('Mortality Table'!L:L/'Mortality Table'!K:K))</f>
        <v>2.0760015485094137E-3</v>
      </c>
      <c r="DO34" s="288">
        <f>LOOKUP(A34, 'Mortality Table'!A:A,('Mortality Table'!L:L/'Mortality Table'!K:K))</f>
        <v>1.6217978589849857E-3</v>
      </c>
      <c r="DP34" s="288">
        <f t="shared" si="5"/>
        <v>4.5420368952442803E-4</v>
      </c>
      <c r="DR34" s="288">
        <f>LOOKUP(DH34, 'Mortality Table'!A:A,('Mortality Table'!N:N/'Mortality Table'!M:M))</f>
        <v>2.1226590943320277E-3</v>
      </c>
      <c r="DS34" s="288">
        <f>LOOKUP(A34, 'Mortality Table'!A:A,('Mortality Table'!N:N/'Mortality Table'!M:M))</f>
        <v>1.6582473057471707E-3</v>
      </c>
      <c r="DT34" s="288">
        <f t="shared" si="6"/>
        <v>4.64411788584857E-4</v>
      </c>
    </row>
    <row r="35" spans="1:124">
      <c r="A35" s="288">
        <v>32</v>
      </c>
      <c r="B35" s="288">
        <v>1.8044364247270012E-3</v>
      </c>
      <c r="C35" s="288">
        <f t="shared" si="18"/>
        <v>0</v>
      </c>
      <c r="D35" s="288">
        <f t="shared" si="18"/>
        <v>0</v>
      </c>
      <c r="E35" s="288">
        <f t="shared" si="18"/>
        <v>0</v>
      </c>
      <c r="F35" s="288">
        <f t="shared" si="18"/>
        <v>0</v>
      </c>
      <c r="G35" s="288">
        <f t="shared" si="18"/>
        <v>0</v>
      </c>
      <c r="H35" s="288">
        <f t="shared" si="18"/>
        <v>0</v>
      </c>
      <c r="I35" s="288">
        <f t="shared" si="18"/>
        <v>0</v>
      </c>
      <c r="J35" s="288">
        <f t="shared" si="18"/>
        <v>0</v>
      </c>
      <c r="K35" s="288">
        <f t="shared" si="18"/>
        <v>0</v>
      </c>
      <c r="L35" s="288">
        <f t="shared" si="18"/>
        <v>0</v>
      </c>
      <c r="M35" s="288">
        <f t="shared" si="18"/>
        <v>0</v>
      </c>
      <c r="N35" s="288">
        <f t="shared" si="18"/>
        <v>0</v>
      </c>
      <c r="O35" s="288">
        <f t="shared" si="14"/>
        <v>0</v>
      </c>
      <c r="P35" s="288">
        <f t="shared" si="14"/>
        <v>0</v>
      </c>
      <c r="Q35" s="288">
        <f t="shared" si="14"/>
        <v>0</v>
      </c>
      <c r="R35" s="288">
        <f t="shared" si="14"/>
        <v>0</v>
      </c>
      <c r="S35" s="288">
        <f t="shared" si="14"/>
        <v>0</v>
      </c>
      <c r="T35" s="288">
        <f t="shared" si="14"/>
        <v>0</v>
      </c>
      <c r="U35" s="288">
        <f t="shared" si="14"/>
        <v>0</v>
      </c>
      <c r="V35" s="288">
        <f t="shared" si="14"/>
        <v>0</v>
      </c>
      <c r="W35" s="288">
        <f t="shared" si="14"/>
        <v>0</v>
      </c>
      <c r="X35" s="288">
        <f t="shared" si="14"/>
        <v>33</v>
      </c>
      <c r="Y35" s="288">
        <f t="shared" si="14"/>
        <v>0</v>
      </c>
      <c r="Z35" s="288">
        <f t="shared" si="14"/>
        <v>0</v>
      </c>
      <c r="AA35" s="288">
        <f t="shared" si="14"/>
        <v>0</v>
      </c>
      <c r="AB35" s="288">
        <f t="shared" si="14"/>
        <v>0</v>
      </c>
      <c r="AC35" s="288">
        <f t="shared" si="14"/>
        <v>0</v>
      </c>
      <c r="AD35" s="288">
        <f t="shared" si="14"/>
        <v>0</v>
      </c>
      <c r="AE35" s="288">
        <f t="shared" si="19"/>
        <v>0</v>
      </c>
      <c r="AF35" s="288">
        <f t="shared" si="19"/>
        <v>0</v>
      </c>
      <c r="AG35" s="288">
        <f t="shared" si="19"/>
        <v>0</v>
      </c>
      <c r="AH35" s="288">
        <f t="shared" si="15"/>
        <v>0</v>
      </c>
      <c r="AI35" s="288">
        <f t="shared" si="15"/>
        <v>0</v>
      </c>
      <c r="AJ35" s="288">
        <f t="shared" si="15"/>
        <v>0</v>
      </c>
      <c r="AK35" s="288">
        <f t="shared" si="15"/>
        <v>0</v>
      </c>
      <c r="AL35" s="288">
        <f t="shared" si="15"/>
        <v>0</v>
      </c>
      <c r="AM35" s="288">
        <f t="shared" si="15"/>
        <v>0</v>
      </c>
      <c r="AN35" s="288">
        <f t="shared" si="15"/>
        <v>0</v>
      </c>
      <c r="AO35" s="288">
        <f t="shared" si="15"/>
        <v>0</v>
      </c>
      <c r="AP35" s="288">
        <f t="shared" si="15"/>
        <v>0</v>
      </c>
      <c r="AQ35" s="288">
        <f t="shared" si="15"/>
        <v>0</v>
      </c>
      <c r="AR35" s="288">
        <f t="shared" si="15"/>
        <v>0</v>
      </c>
      <c r="AS35" s="288">
        <f t="shared" si="15"/>
        <v>0</v>
      </c>
      <c r="AT35" s="288">
        <f t="shared" si="15"/>
        <v>0</v>
      </c>
      <c r="AU35" s="288">
        <f t="shared" si="15"/>
        <v>0</v>
      </c>
      <c r="AV35" s="288">
        <f t="shared" si="15"/>
        <v>0</v>
      </c>
      <c r="AW35" s="288">
        <f t="shared" si="15"/>
        <v>0</v>
      </c>
      <c r="AX35" s="288">
        <f t="shared" si="16"/>
        <v>0</v>
      </c>
      <c r="AY35" s="288">
        <f t="shared" si="16"/>
        <v>0</v>
      </c>
      <c r="AZ35" s="288">
        <f t="shared" si="16"/>
        <v>0</v>
      </c>
      <c r="BA35" s="288">
        <f t="shared" si="16"/>
        <v>0</v>
      </c>
      <c r="BB35" s="288">
        <f t="shared" si="16"/>
        <v>0</v>
      </c>
      <c r="BC35" s="288">
        <f t="shared" si="16"/>
        <v>0</v>
      </c>
      <c r="BD35" s="288">
        <f t="shared" si="16"/>
        <v>0</v>
      </c>
      <c r="BE35" s="288">
        <f t="shared" si="16"/>
        <v>0</v>
      </c>
      <c r="BF35" s="288">
        <f t="shared" si="16"/>
        <v>0</v>
      </c>
      <c r="BG35" s="288">
        <f t="shared" si="16"/>
        <v>0</v>
      </c>
      <c r="BH35" s="288">
        <f t="shared" si="16"/>
        <v>0</v>
      </c>
      <c r="BI35" s="288">
        <f t="shared" si="16"/>
        <v>0</v>
      </c>
      <c r="BJ35" s="288">
        <f t="shared" si="16"/>
        <v>0</v>
      </c>
      <c r="BK35" s="288">
        <f t="shared" si="16"/>
        <v>0</v>
      </c>
      <c r="BL35" s="288">
        <f t="shared" si="16"/>
        <v>0</v>
      </c>
      <c r="BM35" s="288">
        <f t="shared" si="16"/>
        <v>0</v>
      </c>
      <c r="BN35" s="288">
        <f t="shared" si="17"/>
        <v>0</v>
      </c>
      <c r="BO35" s="288">
        <f t="shared" si="7"/>
        <v>0</v>
      </c>
      <c r="BP35" s="288">
        <f t="shared" si="7"/>
        <v>0</v>
      </c>
      <c r="BQ35" s="288">
        <f t="shared" si="7"/>
        <v>0</v>
      </c>
      <c r="BR35" s="288">
        <f t="shared" si="7"/>
        <v>0</v>
      </c>
      <c r="BS35" s="288">
        <f t="shared" si="7"/>
        <v>0</v>
      </c>
      <c r="BT35" s="288">
        <f t="shared" si="7"/>
        <v>0</v>
      </c>
      <c r="BU35" s="288">
        <f t="shared" si="7"/>
        <v>0</v>
      </c>
      <c r="BV35" s="288">
        <f t="shared" si="7"/>
        <v>0</v>
      </c>
      <c r="BW35" s="288">
        <f t="shared" si="7"/>
        <v>0</v>
      </c>
      <c r="BX35" s="288">
        <f t="shared" si="7"/>
        <v>0</v>
      </c>
      <c r="BY35" s="288">
        <f t="shared" si="7"/>
        <v>0</v>
      </c>
      <c r="BZ35" s="288">
        <f t="shared" si="7"/>
        <v>0</v>
      </c>
      <c r="CA35" s="288">
        <f t="shared" si="7"/>
        <v>0</v>
      </c>
      <c r="CB35" s="288">
        <f t="shared" si="7"/>
        <v>0</v>
      </c>
      <c r="CC35" s="288">
        <f t="shared" si="7"/>
        <v>0</v>
      </c>
      <c r="CD35" s="288">
        <f t="shared" si="7"/>
        <v>0</v>
      </c>
      <c r="CE35" s="288">
        <f t="shared" si="22"/>
        <v>0</v>
      </c>
      <c r="CF35" s="288">
        <f t="shared" si="22"/>
        <v>0</v>
      </c>
      <c r="CG35" s="288">
        <f t="shared" si="22"/>
        <v>0</v>
      </c>
      <c r="CH35" s="288">
        <f t="shared" si="20"/>
        <v>0</v>
      </c>
      <c r="CI35" s="288">
        <f t="shared" si="20"/>
        <v>0</v>
      </c>
      <c r="CJ35" s="288">
        <f t="shared" si="20"/>
        <v>0</v>
      </c>
      <c r="CK35" s="288">
        <f t="shared" si="20"/>
        <v>0</v>
      </c>
      <c r="CL35" s="288">
        <f t="shared" si="20"/>
        <v>0</v>
      </c>
      <c r="CM35" s="288">
        <f t="shared" si="20"/>
        <v>0</v>
      </c>
      <c r="CN35" s="288">
        <f t="shared" si="20"/>
        <v>0</v>
      </c>
      <c r="CO35" s="288">
        <f t="shared" si="20"/>
        <v>0</v>
      </c>
      <c r="CP35" s="288">
        <f t="shared" si="20"/>
        <v>0</v>
      </c>
      <c r="CQ35" s="288">
        <f t="shared" si="20"/>
        <v>0</v>
      </c>
      <c r="CR35" s="288">
        <f t="shared" si="20"/>
        <v>0</v>
      </c>
      <c r="CS35" s="288">
        <f t="shared" si="20"/>
        <v>0</v>
      </c>
      <c r="CT35" s="288">
        <f t="shared" si="20"/>
        <v>0</v>
      </c>
      <c r="CU35" s="288">
        <f t="shared" si="20"/>
        <v>0</v>
      </c>
      <c r="CV35" s="288">
        <f t="shared" si="20"/>
        <v>0</v>
      </c>
      <c r="CW35" s="288">
        <f t="shared" si="20"/>
        <v>0</v>
      </c>
      <c r="CX35" s="288">
        <f t="shared" si="21"/>
        <v>0</v>
      </c>
      <c r="CY35" s="288">
        <f t="shared" si="13"/>
        <v>0</v>
      </c>
      <c r="CZ35" s="288">
        <f t="shared" si="13"/>
        <v>0</v>
      </c>
      <c r="DA35" s="288">
        <f t="shared" si="13"/>
        <v>0</v>
      </c>
      <c r="DB35" s="288">
        <f t="shared" si="13"/>
        <v>0</v>
      </c>
      <c r="DC35" s="288">
        <f t="shared" si="13"/>
        <v>0</v>
      </c>
      <c r="DD35" s="288">
        <f t="shared" si="13"/>
        <v>0</v>
      </c>
      <c r="DE35" s="288">
        <f t="shared" si="13"/>
        <v>0</v>
      </c>
      <c r="DG35" s="314">
        <f t="shared" si="3"/>
        <v>36</v>
      </c>
      <c r="DH35" s="289">
        <f>MAX(AI$3:AI$109)</f>
        <v>36</v>
      </c>
      <c r="DJ35" s="288">
        <f>LOOKUP(DH35, 'Mortality Table'!A:A,('Mortality Table'!J:J/'Mortality Table'!I:I))</f>
        <v>2.0494417995353367E-3</v>
      </c>
      <c r="DK35" s="288">
        <f>LOOKUP(A35, 'Mortality Table'!A:A,('Mortality Table'!J:J/'Mortality Table'!I:I))</f>
        <v>1.6611183722148757E-3</v>
      </c>
      <c r="DL35" s="288">
        <f t="shared" si="4"/>
        <v>3.8832342732046101E-4</v>
      </c>
      <c r="DN35" s="288">
        <f>LOOKUP(DH35, 'Mortality Table'!A:A,('Mortality Table'!L:L/'Mortality Table'!K:K))</f>
        <v>2.0760015485094137E-3</v>
      </c>
      <c r="DO35" s="288">
        <f>LOOKUP(A35, 'Mortality Table'!A:A,('Mortality Table'!L:L/'Mortality Table'!K:K))</f>
        <v>1.6826456422218878E-3</v>
      </c>
      <c r="DP35" s="288">
        <f t="shared" si="5"/>
        <v>3.9335590628752589E-4</v>
      </c>
      <c r="DR35" s="288">
        <f>LOOKUP(DH35, 'Mortality Table'!A:A,('Mortality Table'!N:N/'Mortality Table'!M:M))</f>
        <v>2.1226590943320277E-3</v>
      </c>
      <c r="DS35" s="288">
        <f>LOOKUP(A35, 'Mortality Table'!A:A,('Mortality Table'!N:N/'Mortality Table'!M:M))</f>
        <v>1.7204626256492658E-3</v>
      </c>
      <c r="DT35" s="288">
        <f t="shared" si="6"/>
        <v>4.0219646868276194E-4</v>
      </c>
    </row>
    <row r="36" spans="1:124">
      <c r="A36" s="288">
        <v>33</v>
      </c>
      <c r="B36" s="288">
        <v>1.9115890083632018E-3</v>
      </c>
      <c r="C36" s="288">
        <f t="shared" si="18"/>
        <v>0</v>
      </c>
      <c r="D36" s="288">
        <f t="shared" si="18"/>
        <v>0</v>
      </c>
      <c r="E36" s="288">
        <f t="shared" si="18"/>
        <v>0</v>
      </c>
      <c r="F36" s="288">
        <f t="shared" si="18"/>
        <v>0</v>
      </c>
      <c r="G36" s="288">
        <f t="shared" si="18"/>
        <v>0</v>
      </c>
      <c r="H36" s="288">
        <f t="shared" si="18"/>
        <v>0</v>
      </c>
      <c r="I36" s="288">
        <f t="shared" si="18"/>
        <v>0</v>
      </c>
      <c r="J36" s="288">
        <f t="shared" si="18"/>
        <v>0</v>
      </c>
      <c r="K36" s="288">
        <f t="shared" si="18"/>
        <v>0</v>
      </c>
      <c r="L36" s="288">
        <f t="shared" si="18"/>
        <v>0</v>
      </c>
      <c r="M36" s="288">
        <f t="shared" si="18"/>
        <v>0</v>
      </c>
      <c r="N36" s="288">
        <f t="shared" si="18"/>
        <v>0</v>
      </c>
      <c r="O36" s="288">
        <f t="shared" si="14"/>
        <v>0</v>
      </c>
      <c r="P36" s="288">
        <f t="shared" si="14"/>
        <v>0</v>
      </c>
      <c r="Q36" s="288">
        <f t="shared" si="14"/>
        <v>0</v>
      </c>
      <c r="R36" s="288">
        <f t="shared" si="14"/>
        <v>0</v>
      </c>
      <c r="S36" s="288">
        <f t="shared" si="14"/>
        <v>0</v>
      </c>
      <c r="T36" s="288">
        <f t="shared" si="14"/>
        <v>0</v>
      </c>
      <c r="U36" s="288">
        <f t="shared" si="14"/>
        <v>0</v>
      </c>
      <c r="V36" s="288">
        <f t="shared" si="14"/>
        <v>0</v>
      </c>
      <c r="W36" s="288">
        <f t="shared" si="14"/>
        <v>0</v>
      </c>
      <c r="X36" s="288">
        <f t="shared" si="14"/>
        <v>0</v>
      </c>
      <c r="Y36" s="288">
        <f t="shared" si="14"/>
        <v>34</v>
      </c>
      <c r="Z36" s="288">
        <f t="shared" si="14"/>
        <v>33</v>
      </c>
      <c r="AA36" s="288">
        <f t="shared" si="14"/>
        <v>33</v>
      </c>
      <c r="AB36" s="288">
        <f t="shared" si="14"/>
        <v>33</v>
      </c>
      <c r="AC36" s="288">
        <f t="shared" si="14"/>
        <v>33</v>
      </c>
      <c r="AD36" s="288">
        <f t="shared" si="14"/>
        <v>33</v>
      </c>
      <c r="AE36" s="288">
        <f t="shared" si="19"/>
        <v>34</v>
      </c>
      <c r="AF36" s="288">
        <f t="shared" si="19"/>
        <v>0</v>
      </c>
      <c r="AG36" s="288">
        <f t="shared" si="19"/>
        <v>0</v>
      </c>
      <c r="AH36" s="288">
        <f t="shared" si="15"/>
        <v>0</v>
      </c>
      <c r="AI36" s="288">
        <f t="shared" si="15"/>
        <v>0</v>
      </c>
      <c r="AJ36" s="288">
        <f t="shared" si="15"/>
        <v>0</v>
      </c>
      <c r="AK36" s="288">
        <f t="shared" si="15"/>
        <v>0</v>
      </c>
      <c r="AL36" s="288">
        <f t="shared" si="15"/>
        <v>0</v>
      </c>
      <c r="AM36" s="288">
        <f t="shared" si="15"/>
        <v>0</v>
      </c>
      <c r="AN36" s="288">
        <f t="shared" si="15"/>
        <v>0</v>
      </c>
      <c r="AO36" s="288">
        <f t="shared" si="15"/>
        <v>0</v>
      </c>
      <c r="AP36" s="288">
        <f t="shared" si="15"/>
        <v>0</v>
      </c>
      <c r="AQ36" s="288">
        <f t="shared" si="15"/>
        <v>0</v>
      </c>
      <c r="AR36" s="288">
        <f t="shared" si="15"/>
        <v>0</v>
      </c>
      <c r="AS36" s="288">
        <f t="shared" si="15"/>
        <v>0</v>
      </c>
      <c r="AT36" s="288">
        <f t="shared" si="15"/>
        <v>0</v>
      </c>
      <c r="AU36" s="288">
        <f t="shared" si="15"/>
        <v>0</v>
      </c>
      <c r="AV36" s="288">
        <f t="shared" si="15"/>
        <v>0</v>
      </c>
      <c r="AW36" s="288">
        <f t="shared" si="15"/>
        <v>0</v>
      </c>
      <c r="AX36" s="288">
        <f t="shared" si="16"/>
        <v>0</v>
      </c>
      <c r="AY36" s="288">
        <f t="shared" si="16"/>
        <v>0</v>
      </c>
      <c r="AZ36" s="288">
        <f t="shared" si="16"/>
        <v>0</v>
      </c>
      <c r="BA36" s="288">
        <f t="shared" si="16"/>
        <v>0</v>
      </c>
      <c r="BB36" s="288">
        <f t="shared" si="16"/>
        <v>0</v>
      </c>
      <c r="BC36" s="288">
        <f t="shared" si="16"/>
        <v>0</v>
      </c>
      <c r="BD36" s="288">
        <f t="shared" si="16"/>
        <v>0</v>
      </c>
      <c r="BE36" s="288">
        <f t="shared" si="16"/>
        <v>0</v>
      </c>
      <c r="BF36" s="288">
        <f t="shared" si="16"/>
        <v>0</v>
      </c>
      <c r="BG36" s="288">
        <f t="shared" si="16"/>
        <v>0</v>
      </c>
      <c r="BH36" s="288">
        <f t="shared" si="16"/>
        <v>0</v>
      </c>
      <c r="BI36" s="288">
        <f t="shared" si="16"/>
        <v>0</v>
      </c>
      <c r="BJ36" s="288">
        <f t="shared" si="16"/>
        <v>0</v>
      </c>
      <c r="BK36" s="288">
        <f t="shared" si="16"/>
        <v>0</v>
      </c>
      <c r="BL36" s="288">
        <f t="shared" si="16"/>
        <v>0</v>
      </c>
      <c r="BM36" s="288">
        <f t="shared" si="16"/>
        <v>0</v>
      </c>
      <c r="BN36" s="288">
        <f t="shared" si="17"/>
        <v>0</v>
      </c>
      <c r="BO36" s="288">
        <f t="shared" si="7"/>
        <v>0</v>
      </c>
      <c r="BP36" s="288">
        <f t="shared" si="7"/>
        <v>0</v>
      </c>
      <c r="BQ36" s="288">
        <f t="shared" si="7"/>
        <v>0</v>
      </c>
      <c r="BR36" s="288">
        <f t="shared" si="7"/>
        <v>0</v>
      </c>
      <c r="BS36" s="288">
        <f t="shared" si="7"/>
        <v>0</v>
      </c>
      <c r="BT36" s="288">
        <f t="shared" si="7"/>
        <v>0</v>
      </c>
      <c r="BU36" s="288">
        <f t="shared" si="7"/>
        <v>0</v>
      </c>
      <c r="BV36" s="288">
        <f t="shared" si="7"/>
        <v>0</v>
      </c>
      <c r="BW36" s="288">
        <f t="shared" si="7"/>
        <v>0</v>
      </c>
      <c r="BX36" s="288">
        <f t="shared" si="7"/>
        <v>0</v>
      </c>
      <c r="BY36" s="288">
        <f t="shared" si="7"/>
        <v>0</v>
      </c>
      <c r="BZ36" s="288">
        <f t="shared" si="7"/>
        <v>0</v>
      </c>
      <c r="CA36" s="288">
        <f t="shared" si="7"/>
        <v>0</v>
      </c>
      <c r="CB36" s="288">
        <f t="shared" si="7"/>
        <v>0</v>
      </c>
      <c r="CC36" s="288">
        <f t="shared" si="7"/>
        <v>0</v>
      </c>
      <c r="CD36" s="288">
        <f t="shared" ref="CD36:CD68" si="23">IF(CD$2&gt;$B36,(IF(CD$2&lt;=$B37,(IF(AVERAGE($B36,$B37)&gt;CD$2,$A36,$A37)),0)),0)</f>
        <v>0</v>
      </c>
      <c r="CE36" s="288">
        <f t="shared" si="22"/>
        <v>0</v>
      </c>
      <c r="CF36" s="288">
        <f t="shared" si="22"/>
        <v>0</v>
      </c>
      <c r="CG36" s="288">
        <f t="shared" si="22"/>
        <v>0</v>
      </c>
      <c r="CH36" s="288">
        <f t="shared" si="20"/>
        <v>0</v>
      </c>
      <c r="CI36" s="288">
        <f t="shared" si="20"/>
        <v>0</v>
      </c>
      <c r="CJ36" s="288">
        <f t="shared" si="20"/>
        <v>0</v>
      </c>
      <c r="CK36" s="288">
        <f t="shared" si="20"/>
        <v>0</v>
      </c>
      <c r="CL36" s="288">
        <f t="shared" si="20"/>
        <v>0</v>
      </c>
      <c r="CM36" s="288">
        <f t="shared" si="20"/>
        <v>0</v>
      </c>
      <c r="CN36" s="288">
        <f t="shared" si="20"/>
        <v>0</v>
      </c>
      <c r="CO36" s="288">
        <f t="shared" si="20"/>
        <v>0</v>
      </c>
      <c r="CP36" s="288">
        <f t="shared" si="20"/>
        <v>0</v>
      </c>
      <c r="CQ36" s="288">
        <f t="shared" si="20"/>
        <v>0</v>
      </c>
      <c r="CR36" s="288">
        <f t="shared" si="20"/>
        <v>0</v>
      </c>
      <c r="CS36" s="288">
        <f t="shared" si="20"/>
        <v>0</v>
      </c>
      <c r="CT36" s="288">
        <f t="shared" si="20"/>
        <v>0</v>
      </c>
      <c r="CU36" s="288">
        <f t="shared" si="20"/>
        <v>0</v>
      </c>
      <c r="CV36" s="288">
        <f t="shared" si="20"/>
        <v>0</v>
      </c>
      <c r="CW36" s="288">
        <f t="shared" si="20"/>
        <v>0</v>
      </c>
      <c r="CX36" s="288">
        <f t="shared" si="21"/>
        <v>0</v>
      </c>
      <c r="CY36" s="288">
        <f t="shared" si="13"/>
        <v>0</v>
      </c>
      <c r="CZ36" s="288">
        <f t="shared" si="13"/>
        <v>0</v>
      </c>
      <c r="DA36" s="288">
        <f t="shared" si="13"/>
        <v>0</v>
      </c>
      <c r="DB36" s="288">
        <f t="shared" si="13"/>
        <v>0</v>
      </c>
      <c r="DC36" s="288">
        <f t="shared" si="13"/>
        <v>0</v>
      </c>
      <c r="DD36" s="288">
        <f t="shared" si="13"/>
        <v>0</v>
      </c>
      <c r="DE36" s="288">
        <f t="shared" si="13"/>
        <v>0</v>
      </c>
      <c r="DG36" s="314">
        <f t="shared" si="3"/>
        <v>37</v>
      </c>
      <c r="DH36" s="289">
        <f>MAX(AJ$3:AJ$109)</f>
        <v>37</v>
      </c>
      <c r="DJ36" s="288">
        <f>LOOKUP(DH36, 'Mortality Table'!A:A,('Mortality Table'!J:J/'Mortality Table'!I:I))</f>
        <v>2.1793769695591077E-3</v>
      </c>
      <c r="DK36" s="288">
        <f>LOOKUP(A36, 'Mortality Table'!A:A,('Mortality Table'!J:J/'Mortality Table'!I:I))</f>
        <v>1.7597603209525893E-3</v>
      </c>
      <c r="DL36" s="288">
        <f t="shared" si="4"/>
        <v>4.1961664860651836E-4</v>
      </c>
      <c r="DN36" s="288">
        <f>LOOKUP(DH36, 'Mortality Table'!A:A,('Mortality Table'!L:L/'Mortality Table'!K:K))</f>
        <v>2.2076206138745983E-3</v>
      </c>
      <c r="DO36" s="288">
        <f>LOOKUP(A36, 'Mortality Table'!A:A,('Mortality Table'!L:L/'Mortality Table'!K:K))</f>
        <v>1.7825659416780175E-3</v>
      </c>
      <c r="DP36" s="288">
        <f t="shared" si="5"/>
        <v>4.2505467219658075E-4</v>
      </c>
      <c r="DR36" s="288">
        <f>LOOKUP(DH36, 'Mortality Table'!A:A,('Mortality Table'!N:N/'Mortality Table'!M:M))</f>
        <v>2.2572362608497937E-3</v>
      </c>
      <c r="DS36" s="288">
        <f>LOOKUP(A36, 'Mortality Table'!A:A,('Mortality Table'!N:N/'Mortality Table'!M:M))</f>
        <v>1.822628605487392E-3</v>
      </c>
      <c r="DT36" s="288">
        <f t="shared" si="6"/>
        <v>4.3460765536240177E-4</v>
      </c>
    </row>
    <row r="37" spans="1:124">
      <c r="A37" s="288">
        <v>34</v>
      </c>
      <c r="B37" s="288">
        <v>2.0089308948590106E-3</v>
      </c>
      <c r="C37" s="288">
        <f t="shared" si="18"/>
        <v>0</v>
      </c>
      <c r="D37" s="288">
        <f t="shared" si="18"/>
        <v>0</v>
      </c>
      <c r="E37" s="288">
        <f t="shared" si="18"/>
        <v>0</v>
      </c>
      <c r="F37" s="288">
        <f t="shared" si="18"/>
        <v>0</v>
      </c>
      <c r="G37" s="288">
        <f t="shared" si="18"/>
        <v>0</v>
      </c>
      <c r="H37" s="288">
        <f t="shared" si="18"/>
        <v>0</v>
      </c>
      <c r="I37" s="288">
        <f t="shared" si="18"/>
        <v>0</v>
      </c>
      <c r="J37" s="288">
        <f t="shared" si="18"/>
        <v>0</v>
      </c>
      <c r="K37" s="288">
        <f t="shared" si="18"/>
        <v>0</v>
      </c>
      <c r="L37" s="288">
        <f t="shared" si="18"/>
        <v>0</v>
      </c>
      <c r="M37" s="288">
        <f t="shared" si="18"/>
        <v>0</v>
      </c>
      <c r="N37" s="288">
        <f t="shared" si="18"/>
        <v>0</v>
      </c>
      <c r="O37" s="288">
        <f t="shared" si="14"/>
        <v>0</v>
      </c>
      <c r="P37" s="288">
        <f t="shared" si="14"/>
        <v>0</v>
      </c>
      <c r="Q37" s="288">
        <f t="shared" si="14"/>
        <v>0</v>
      </c>
      <c r="R37" s="288">
        <f t="shared" si="14"/>
        <v>0</v>
      </c>
      <c r="S37" s="288">
        <f t="shared" si="14"/>
        <v>0</v>
      </c>
      <c r="T37" s="288">
        <f t="shared" si="14"/>
        <v>0</v>
      </c>
      <c r="U37" s="288">
        <f t="shared" si="14"/>
        <v>0</v>
      </c>
      <c r="V37" s="288">
        <f t="shared" si="14"/>
        <v>0</v>
      </c>
      <c r="W37" s="288">
        <f t="shared" si="14"/>
        <v>0</v>
      </c>
      <c r="X37" s="288">
        <f t="shared" si="14"/>
        <v>0</v>
      </c>
      <c r="Y37" s="288">
        <f t="shared" si="14"/>
        <v>0</v>
      </c>
      <c r="Z37" s="288">
        <f t="shared" si="14"/>
        <v>0</v>
      </c>
      <c r="AA37" s="288">
        <f t="shared" si="14"/>
        <v>0</v>
      </c>
      <c r="AB37" s="288">
        <f t="shared" si="14"/>
        <v>0</v>
      </c>
      <c r="AC37" s="288">
        <f t="shared" si="14"/>
        <v>0</v>
      </c>
      <c r="AD37" s="288">
        <f t="shared" si="14"/>
        <v>0</v>
      </c>
      <c r="AE37" s="288">
        <f t="shared" si="19"/>
        <v>0</v>
      </c>
      <c r="AF37" s="288">
        <f t="shared" si="19"/>
        <v>34</v>
      </c>
      <c r="AG37" s="288">
        <f t="shared" si="19"/>
        <v>35</v>
      </c>
      <c r="AH37" s="288">
        <f t="shared" si="15"/>
        <v>0</v>
      </c>
      <c r="AI37" s="288">
        <f t="shared" si="15"/>
        <v>0</v>
      </c>
      <c r="AJ37" s="288">
        <f t="shared" si="15"/>
        <v>0</v>
      </c>
      <c r="AK37" s="288">
        <f t="shared" si="15"/>
        <v>0</v>
      </c>
      <c r="AL37" s="288">
        <f t="shared" si="15"/>
        <v>0</v>
      </c>
      <c r="AM37" s="288">
        <f t="shared" si="15"/>
        <v>0</v>
      </c>
      <c r="AN37" s="288">
        <f t="shared" si="15"/>
        <v>0</v>
      </c>
      <c r="AO37" s="288">
        <f t="shared" si="15"/>
        <v>0</v>
      </c>
      <c r="AP37" s="288">
        <f t="shared" si="15"/>
        <v>0</v>
      </c>
      <c r="AQ37" s="288">
        <f t="shared" si="15"/>
        <v>0</v>
      </c>
      <c r="AR37" s="288">
        <f t="shared" si="15"/>
        <v>0</v>
      </c>
      <c r="AS37" s="288">
        <f t="shared" si="15"/>
        <v>0</v>
      </c>
      <c r="AT37" s="288">
        <f t="shared" si="15"/>
        <v>0</v>
      </c>
      <c r="AU37" s="288">
        <f t="shared" si="15"/>
        <v>0</v>
      </c>
      <c r="AV37" s="288">
        <f t="shared" si="15"/>
        <v>0</v>
      </c>
      <c r="AW37" s="288">
        <f t="shared" si="15"/>
        <v>0</v>
      </c>
      <c r="AX37" s="288">
        <f t="shared" si="16"/>
        <v>0</v>
      </c>
      <c r="AY37" s="288">
        <f t="shared" si="16"/>
        <v>0</v>
      </c>
      <c r="AZ37" s="288">
        <f t="shared" si="16"/>
        <v>0</v>
      </c>
      <c r="BA37" s="288">
        <f t="shared" si="16"/>
        <v>0</v>
      </c>
      <c r="BB37" s="288">
        <f t="shared" si="16"/>
        <v>0</v>
      </c>
      <c r="BC37" s="288">
        <f t="shared" si="16"/>
        <v>0</v>
      </c>
      <c r="BD37" s="288">
        <f t="shared" si="16"/>
        <v>0</v>
      </c>
      <c r="BE37" s="288">
        <f t="shared" si="16"/>
        <v>0</v>
      </c>
      <c r="BF37" s="288">
        <f t="shared" si="16"/>
        <v>0</v>
      </c>
      <c r="BG37" s="288">
        <f t="shared" si="16"/>
        <v>0</v>
      </c>
      <c r="BH37" s="288">
        <f t="shared" si="16"/>
        <v>0</v>
      </c>
      <c r="BI37" s="288">
        <f t="shared" si="16"/>
        <v>0</v>
      </c>
      <c r="BJ37" s="288">
        <f t="shared" si="16"/>
        <v>0</v>
      </c>
      <c r="BK37" s="288">
        <f t="shared" si="16"/>
        <v>0</v>
      </c>
      <c r="BL37" s="288">
        <f t="shared" si="16"/>
        <v>0</v>
      </c>
      <c r="BM37" s="288">
        <f t="shared" si="16"/>
        <v>0</v>
      </c>
      <c r="BN37" s="288">
        <f t="shared" si="17"/>
        <v>0</v>
      </c>
      <c r="BO37" s="288">
        <f t="shared" si="17"/>
        <v>0</v>
      </c>
      <c r="BP37" s="288">
        <f t="shared" si="17"/>
        <v>0</v>
      </c>
      <c r="BQ37" s="288">
        <f t="shared" si="17"/>
        <v>0</v>
      </c>
      <c r="BR37" s="288">
        <f t="shared" si="17"/>
        <v>0</v>
      </c>
      <c r="BS37" s="288">
        <f t="shared" si="17"/>
        <v>0</v>
      </c>
      <c r="BT37" s="288">
        <f t="shared" si="17"/>
        <v>0</v>
      </c>
      <c r="BU37" s="288">
        <f t="shared" si="17"/>
        <v>0</v>
      </c>
      <c r="BV37" s="288">
        <f t="shared" si="17"/>
        <v>0</v>
      </c>
      <c r="BW37" s="288">
        <f t="shared" si="17"/>
        <v>0</v>
      </c>
      <c r="BX37" s="288">
        <f t="shared" si="17"/>
        <v>0</v>
      </c>
      <c r="BY37" s="288">
        <f t="shared" si="17"/>
        <v>0</v>
      </c>
      <c r="BZ37" s="288">
        <f t="shared" si="17"/>
        <v>0</v>
      </c>
      <c r="CA37" s="288">
        <f t="shared" si="17"/>
        <v>0</v>
      </c>
      <c r="CB37" s="288">
        <f t="shared" si="17"/>
        <v>0</v>
      </c>
      <c r="CC37" s="288">
        <f t="shared" si="17"/>
        <v>0</v>
      </c>
      <c r="CD37" s="288">
        <f t="shared" si="23"/>
        <v>0</v>
      </c>
      <c r="CE37" s="288">
        <f t="shared" si="22"/>
        <v>0</v>
      </c>
      <c r="CF37" s="288">
        <f t="shared" si="22"/>
        <v>0</v>
      </c>
      <c r="CG37" s="288">
        <f t="shared" si="22"/>
        <v>0</v>
      </c>
      <c r="CH37" s="288">
        <f t="shared" si="20"/>
        <v>0</v>
      </c>
      <c r="CI37" s="288">
        <f t="shared" si="20"/>
        <v>0</v>
      </c>
      <c r="CJ37" s="288">
        <f t="shared" si="20"/>
        <v>0</v>
      </c>
      <c r="CK37" s="288">
        <f t="shared" si="20"/>
        <v>0</v>
      </c>
      <c r="CL37" s="288">
        <f t="shared" si="20"/>
        <v>0</v>
      </c>
      <c r="CM37" s="288">
        <f t="shared" si="20"/>
        <v>0</v>
      </c>
      <c r="CN37" s="288">
        <f t="shared" si="20"/>
        <v>0</v>
      </c>
      <c r="CO37" s="288">
        <f t="shared" si="20"/>
        <v>0</v>
      </c>
      <c r="CP37" s="288">
        <f t="shared" si="20"/>
        <v>0</v>
      </c>
      <c r="CQ37" s="288">
        <f t="shared" si="20"/>
        <v>0</v>
      </c>
      <c r="CR37" s="288">
        <f t="shared" si="20"/>
        <v>0</v>
      </c>
      <c r="CS37" s="288">
        <f t="shared" si="20"/>
        <v>0</v>
      </c>
      <c r="CT37" s="288">
        <f t="shared" si="20"/>
        <v>0</v>
      </c>
      <c r="CU37" s="288">
        <f t="shared" si="20"/>
        <v>0</v>
      </c>
      <c r="CV37" s="288">
        <f t="shared" si="20"/>
        <v>0</v>
      </c>
      <c r="CW37" s="288">
        <f t="shared" si="20"/>
        <v>0</v>
      </c>
      <c r="CX37" s="288">
        <f t="shared" si="21"/>
        <v>0</v>
      </c>
      <c r="CY37" s="288">
        <f t="shared" si="13"/>
        <v>0</v>
      </c>
      <c r="CZ37" s="288">
        <f t="shared" si="13"/>
        <v>0</v>
      </c>
      <c r="DA37" s="288">
        <f t="shared" si="13"/>
        <v>0</v>
      </c>
      <c r="DB37" s="288">
        <f t="shared" si="13"/>
        <v>0</v>
      </c>
      <c r="DC37" s="288">
        <f t="shared" si="13"/>
        <v>0</v>
      </c>
      <c r="DD37" s="288">
        <f t="shared" si="13"/>
        <v>0</v>
      </c>
      <c r="DE37" s="288">
        <f t="shared" si="13"/>
        <v>0</v>
      </c>
      <c r="DG37" s="314">
        <f t="shared" si="3"/>
        <v>38</v>
      </c>
      <c r="DH37" s="289">
        <f>MAX(AK$3:AK$109)</f>
        <v>38</v>
      </c>
      <c r="DJ37" s="288">
        <f>LOOKUP(DH37, 'Mortality Table'!A:A,('Mortality Table'!J:J/'Mortality Table'!I:I))</f>
        <v>2.3198747156630058E-3</v>
      </c>
      <c r="DK37" s="288">
        <f>LOOKUP(A37, 'Mortality Table'!A:A,('Mortality Table'!J:J/'Mortality Table'!I:I))</f>
        <v>1.8493707909189702E-3</v>
      </c>
      <c r="DL37" s="288">
        <f t="shared" si="4"/>
        <v>4.7050392474403562E-4</v>
      </c>
      <c r="DN37" s="288">
        <f>LOOKUP(DH37, 'Mortality Table'!A:A,('Mortality Table'!L:L/'Mortality Table'!K:K))</f>
        <v>2.3499391410657122E-3</v>
      </c>
      <c r="DO37" s="288">
        <f>LOOKUP(A37, 'Mortality Table'!A:A,('Mortality Table'!L:L/'Mortality Table'!K:K))</f>
        <v>1.8733377188785425E-3</v>
      </c>
      <c r="DP37" s="288">
        <f t="shared" si="5"/>
        <v>4.7660142218716966E-4</v>
      </c>
      <c r="DR37" s="288">
        <f>LOOKUP(DH37, 'Mortality Table'!A:A,('Mortality Table'!N:N/'Mortality Table'!M:M))</f>
        <v>2.4027533565624936E-3</v>
      </c>
      <c r="DS37" s="288">
        <f>LOOKUP(A37, 'Mortality Table'!A:A,('Mortality Table'!N:N/'Mortality Table'!M:M))</f>
        <v>1.9154404526277363E-3</v>
      </c>
      <c r="DT37" s="288">
        <f t="shared" si="6"/>
        <v>4.8731290393475729E-4</v>
      </c>
    </row>
    <row r="38" spans="1:124">
      <c r="A38" s="288">
        <v>35</v>
      </c>
      <c r="B38" s="288">
        <v>2.1068441143953774E-3</v>
      </c>
      <c r="C38" s="288">
        <f t="shared" si="18"/>
        <v>0</v>
      </c>
      <c r="D38" s="288">
        <f t="shared" si="18"/>
        <v>0</v>
      </c>
      <c r="E38" s="288">
        <f t="shared" si="18"/>
        <v>0</v>
      </c>
      <c r="F38" s="288">
        <f t="shared" si="18"/>
        <v>0</v>
      </c>
      <c r="G38" s="288">
        <f t="shared" si="18"/>
        <v>0</v>
      </c>
      <c r="H38" s="288">
        <f t="shared" si="18"/>
        <v>0</v>
      </c>
      <c r="I38" s="288">
        <f t="shared" si="18"/>
        <v>0</v>
      </c>
      <c r="J38" s="288">
        <f t="shared" si="18"/>
        <v>0</v>
      </c>
      <c r="K38" s="288">
        <f t="shared" si="18"/>
        <v>0</v>
      </c>
      <c r="L38" s="288">
        <f t="shared" si="18"/>
        <v>0</v>
      </c>
      <c r="M38" s="288">
        <f t="shared" si="18"/>
        <v>0</v>
      </c>
      <c r="N38" s="288">
        <f t="shared" si="18"/>
        <v>0</v>
      </c>
      <c r="O38" s="288">
        <f t="shared" si="14"/>
        <v>0</v>
      </c>
      <c r="P38" s="288">
        <f t="shared" si="14"/>
        <v>0</v>
      </c>
      <c r="Q38" s="288">
        <f t="shared" si="14"/>
        <v>0</v>
      </c>
      <c r="R38" s="288">
        <f t="shared" si="14"/>
        <v>0</v>
      </c>
      <c r="S38" s="288">
        <f t="shared" si="14"/>
        <v>0</v>
      </c>
      <c r="T38" s="288">
        <f t="shared" si="14"/>
        <v>0</v>
      </c>
      <c r="U38" s="288">
        <f t="shared" si="14"/>
        <v>0</v>
      </c>
      <c r="V38" s="288">
        <f t="shared" si="14"/>
        <v>0</v>
      </c>
      <c r="W38" s="288">
        <f t="shared" si="14"/>
        <v>0</v>
      </c>
      <c r="X38" s="288">
        <f t="shared" si="14"/>
        <v>0</v>
      </c>
      <c r="Y38" s="288">
        <f t="shared" si="14"/>
        <v>0</v>
      </c>
      <c r="Z38" s="288">
        <f t="shared" ref="Z38:AO63" si="24">IF(Z$2&gt;$B38,(IF(Z$2&lt;=$B39,(IF(AVERAGE($B38,$B39)&gt;Z$2,$A38,$A39)),0)),0)</f>
        <v>0</v>
      </c>
      <c r="AA38" s="288">
        <f t="shared" si="24"/>
        <v>0</v>
      </c>
      <c r="AB38" s="288">
        <f t="shared" si="24"/>
        <v>0</v>
      </c>
      <c r="AC38" s="288">
        <f t="shared" si="24"/>
        <v>0</v>
      </c>
      <c r="AD38" s="288">
        <f t="shared" si="24"/>
        <v>0</v>
      </c>
      <c r="AE38" s="288">
        <f t="shared" si="19"/>
        <v>0</v>
      </c>
      <c r="AF38" s="288">
        <f t="shared" si="19"/>
        <v>0</v>
      </c>
      <c r="AG38" s="288">
        <f t="shared" si="19"/>
        <v>0</v>
      </c>
      <c r="AH38" s="288">
        <f t="shared" si="15"/>
        <v>36</v>
      </c>
      <c r="AI38" s="288">
        <f t="shared" si="15"/>
        <v>0</v>
      </c>
      <c r="AJ38" s="288">
        <f t="shared" si="15"/>
        <v>0</v>
      </c>
      <c r="AK38" s="288">
        <f t="shared" si="15"/>
        <v>0</v>
      </c>
      <c r="AL38" s="288">
        <f t="shared" si="15"/>
        <v>0</v>
      </c>
      <c r="AM38" s="288">
        <f t="shared" si="15"/>
        <v>0</v>
      </c>
      <c r="AN38" s="288">
        <f t="shared" si="15"/>
        <v>0</v>
      </c>
      <c r="AO38" s="288">
        <f t="shared" si="15"/>
        <v>0</v>
      </c>
      <c r="AP38" s="288">
        <f t="shared" si="15"/>
        <v>0</v>
      </c>
      <c r="AQ38" s="288">
        <f t="shared" si="15"/>
        <v>0</v>
      </c>
      <c r="AR38" s="288">
        <f t="shared" si="15"/>
        <v>0</v>
      </c>
      <c r="AS38" s="288">
        <f t="shared" si="15"/>
        <v>0</v>
      </c>
      <c r="AT38" s="288">
        <f t="shared" si="15"/>
        <v>0</v>
      </c>
      <c r="AU38" s="288">
        <f t="shared" si="15"/>
        <v>0</v>
      </c>
      <c r="AV38" s="288">
        <f t="shared" ref="AV38:BK54" si="25">IF(AV$2&gt;$B38,(IF(AV$2&lt;=$B39,(IF(AVERAGE($B38,$B39)&gt;AV$2,$A38,$A39)),0)),0)</f>
        <v>0</v>
      </c>
      <c r="AW38" s="288">
        <f t="shared" si="25"/>
        <v>0</v>
      </c>
      <c r="AX38" s="288">
        <f t="shared" si="16"/>
        <v>0</v>
      </c>
      <c r="AY38" s="288">
        <f t="shared" si="16"/>
        <v>0</v>
      </c>
      <c r="AZ38" s="288">
        <f t="shared" si="16"/>
        <v>0</v>
      </c>
      <c r="BA38" s="288">
        <f t="shared" si="16"/>
        <v>0</v>
      </c>
      <c r="BB38" s="288">
        <f t="shared" si="16"/>
        <v>0</v>
      </c>
      <c r="BC38" s="288">
        <f t="shared" si="16"/>
        <v>0</v>
      </c>
      <c r="BD38" s="288">
        <f t="shared" si="16"/>
        <v>0</v>
      </c>
      <c r="BE38" s="288">
        <f t="shared" si="16"/>
        <v>0</v>
      </c>
      <c r="BF38" s="288">
        <f t="shared" si="16"/>
        <v>0</v>
      </c>
      <c r="BG38" s="288">
        <f t="shared" si="16"/>
        <v>0</v>
      </c>
      <c r="BH38" s="288">
        <f t="shared" si="16"/>
        <v>0</v>
      </c>
      <c r="BI38" s="288">
        <f t="shared" si="16"/>
        <v>0</v>
      </c>
      <c r="BJ38" s="288">
        <f t="shared" si="16"/>
        <v>0</v>
      </c>
      <c r="BK38" s="288">
        <f t="shared" si="16"/>
        <v>0</v>
      </c>
      <c r="BL38" s="288">
        <f t="shared" ref="BL38:CA66" si="26">IF(BL$2&gt;$B38,(IF(BL$2&lt;=$B39,(IF(AVERAGE($B38,$B39)&gt;BL$2,$A38,$A39)),0)),0)</f>
        <v>0</v>
      </c>
      <c r="BM38" s="288">
        <f t="shared" si="26"/>
        <v>0</v>
      </c>
      <c r="BN38" s="288">
        <f t="shared" si="17"/>
        <v>0</v>
      </c>
      <c r="BO38" s="288">
        <f t="shared" si="17"/>
        <v>0</v>
      </c>
      <c r="BP38" s="288">
        <f t="shared" si="17"/>
        <v>0</v>
      </c>
      <c r="BQ38" s="288">
        <f t="shared" si="17"/>
        <v>0</v>
      </c>
      <c r="BR38" s="288">
        <f t="shared" si="17"/>
        <v>0</v>
      </c>
      <c r="BS38" s="288">
        <f t="shared" si="17"/>
        <v>0</v>
      </c>
      <c r="BT38" s="288">
        <f t="shared" si="17"/>
        <v>0</v>
      </c>
      <c r="BU38" s="288">
        <f t="shared" si="17"/>
        <v>0</v>
      </c>
      <c r="BV38" s="288">
        <f t="shared" si="17"/>
        <v>0</v>
      </c>
      <c r="BW38" s="288">
        <f t="shared" si="17"/>
        <v>0</v>
      </c>
      <c r="BX38" s="288">
        <f t="shared" si="17"/>
        <v>0</v>
      </c>
      <c r="BY38" s="288">
        <f t="shared" si="17"/>
        <v>0</v>
      </c>
      <c r="BZ38" s="288">
        <f t="shared" si="17"/>
        <v>0</v>
      </c>
      <c r="CA38" s="288">
        <f t="shared" si="17"/>
        <v>0</v>
      </c>
      <c r="CB38" s="288">
        <f t="shared" si="17"/>
        <v>0</v>
      </c>
      <c r="CC38" s="288">
        <f t="shared" si="17"/>
        <v>0</v>
      </c>
      <c r="CD38" s="288">
        <f t="shared" si="23"/>
        <v>0</v>
      </c>
      <c r="CE38" s="288">
        <f t="shared" si="22"/>
        <v>0</v>
      </c>
      <c r="CF38" s="288">
        <f t="shared" si="22"/>
        <v>0</v>
      </c>
      <c r="CG38" s="288">
        <f t="shared" si="22"/>
        <v>0</v>
      </c>
      <c r="CH38" s="288">
        <f t="shared" si="20"/>
        <v>0</v>
      </c>
      <c r="CI38" s="288">
        <f t="shared" si="20"/>
        <v>0</v>
      </c>
      <c r="CJ38" s="288">
        <f t="shared" si="20"/>
        <v>0</v>
      </c>
      <c r="CK38" s="288">
        <f t="shared" si="20"/>
        <v>0</v>
      </c>
      <c r="CL38" s="288">
        <f t="shared" si="20"/>
        <v>0</v>
      </c>
      <c r="CM38" s="288">
        <f t="shared" si="20"/>
        <v>0</v>
      </c>
      <c r="CN38" s="288">
        <f t="shared" si="20"/>
        <v>0</v>
      </c>
      <c r="CO38" s="288">
        <f t="shared" si="20"/>
        <v>0</v>
      </c>
      <c r="CP38" s="288">
        <f t="shared" si="20"/>
        <v>0</v>
      </c>
      <c r="CQ38" s="288">
        <f t="shared" si="20"/>
        <v>0</v>
      </c>
      <c r="CR38" s="288">
        <f t="shared" si="20"/>
        <v>0</v>
      </c>
      <c r="CS38" s="288">
        <f t="shared" si="20"/>
        <v>0</v>
      </c>
      <c r="CT38" s="288">
        <f t="shared" si="20"/>
        <v>0</v>
      </c>
      <c r="CU38" s="288">
        <f t="shared" si="20"/>
        <v>0</v>
      </c>
      <c r="CV38" s="288">
        <f t="shared" si="20"/>
        <v>0</v>
      </c>
      <c r="CW38" s="288">
        <f t="shared" si="20"/>
        <v>0</v>
      </c>
      <c r="CX38" s="288">
        <f t="shared" si="21"/>
        <v>0</v>
      </c>
      <c r="CY38" s="288">
        <f t="shared" si="13"/>
        <v>0</v>
      </c>
      <c r="CZ38" s="288">
        <f t="shared" si="13"/>
        <v>0</v>
      </c>
      <c r="DA38" s="288">
        <f t="shared" si="13"/>
        <v>0</v>
      </c>
      <c r="DB38" s="288">
        <f t="shared" si="13"/>
        <v>0</v>
      </c>
      <c r="DC38" s="288">
        <f t="shared" si="13"/>
        <v>0</v>
      </c>
      <c r="DD38" s="288">
        <f t="shared" si="13"/>
        <v>0</v>
      </c>
      <c r="DE38" s="288">
        <f t="shared" si="13"/>
        <v>0</v>
      </c>
      <c r="DG38" s="314">
        <f t="shared" si="3"/>
        <v>39</v>
      </c>
      <c r="DH38" s="289">
        <f>MAX(AL$3:AL$109)</f>
        <v>39</v>
      </c>
      <c r="DJ38" s="288">
        <f>LOOKUP(DH38, 'Mortality Table'!A:A,('Mortality Table'!J:J/'Mortality Table'!I:I))</f>
        <v>2.4323318535583146E-3</v>
      </c>
      <c r="DK38" s="288">
        <f>LOOKUP(A38, 'Mortality Table'!A:A,('Mortality Table'!J:J/'Mortality Table'!I:I))</f>
        <v>1.9395072155808562E-3</v>
      </c>
      <c r="DL38" s="288">
        <f t="shared" si="4"/>
        <v>4.928246379774584E-4</v>
      </c>
      <c r="DN38" s="288">
        <f>LOOKUP(DH38, 'Mortality Table'!A:A,('Mortality Table'!L:L/'Mortality Table'!K:K))</f>
        <v>2.4638536676770684E-3</v>
      </c>
      <c r="DO38" s="288">
        <f>LOOKUP(A38, 'Mortality Table'!A:A,('Mortality Table'!L:L/'Mortality Table'!K:K))</f>
        <v>1.9646422668864942E-3</v>
      </c>
      <c r="DP38" s="288">
        <f t="shared" si="5"/>
        <v>4.9921140079057418E-4</v>
      </c>
      <c r="DR38" s="288">
        <f>LOOKUP(DH38, 'Mortality Table'!A:A,('Mortality Table'!N:N/'Mortality Table'!M:M))</f>
        <v>2.5192280798408753E-3</v>
      </c>
      <c r="DS38" s="288">
        <f>LOOKUP(A38, 'Mortality Table'!A:A,('Mortality Table'!N:N/'Mortality Table'!M:M))</f>
        <v>2.0087970444482533E-3</v>
      </c>
      <c r="DT38" s="288">
        <f t="shared" si="6"/>
        <v>5.1043103539262199E-4</v>
      </c>
    </row>
    <row r="39" spans="1:124">
      <c r="A39" s="288">
        <v>36</v>
      </c>
      <c r="B39" s="288">
        <v>2.226263639784272E-3</v>
      </c>
      <c r="C39" s="288">
        <f t="shared" si="18"/>
        <v>0</v>
      </c>
      <c r="D39" s="288">
        <f t="shared" si="18"/>
        <v>0</v>
      </c>
      <c r="E39" s="288">
        <f t="shared" si="18"/>
        <v>0</v>
      </c>
      <c r="F39" s="288">
        <f t="shared" si="18"/>
        <v>0</v>
      </c>
      <c r="G39" s="288">
        <f t="shared" si="18"/>
        <v>0</v>
      </c>
      <c r="H39" s="288">
        <f t="shared" si="18"/>
        <v>0</v>
      </c>
      <c r="I39" s="288">
        <f t="shared" si="18"/>
        <v>0</v>
      </c>
      <c r="J39" s="288">
        <f t="shared" si="18"/>
        <v>0</v>
      </c>
      <c r="K39" s="288">
        <f t="shared" si="18"/>
        <v>0</v>
      </c>
      <c r="L39" s="288">
        <f t="shared" si="18"/>
        <v>0</v>
      </c>
      <c r="M39" s="288">
        <f t="shared" si="18"/>
        <v>0</v>
      </c>
      <c r="N39" s="288">
        <f t="shared" si="18"/>
        <v>0</v>
      </c>
      <c r="O39" s="288">
        <f t="shared" si="18"/>
        <v>0</v>
      </c>
      <c r="P39" s="288">
        <f t="shared" si="18"/>
        <v>0</v>
      </c>
      <c r="Q39" s="288">
        <f t="shared" si="18"/>
        <v>0</v>
      </c>
      <c r="R39" s="288">
        <f t="shared" si="18"/>
        <v>0</v>
      </c>
      <c r="S39" s="288">
        <f t="shared" ref="S39:AH68" si="27">IF(S$2&gt;$B39,(IF(S$2&lt;=$B40,(IF(AVERAGE($B39,$B40)&gt;S$2,$A39,$A40)),0)),0)</f>
        <v>0</v>
      </c>
      <c r="T39" s="288">
        <f t="shared" si="27"/>
        <v>0</v>
      </c>
      <c r="U39" s="288">
        <f t="shared" si="27"/>
        <v>0</v>
      </c>
      <c r="V39" s="288">
        <f t="shared" si="27"/>
        <v>0</v>
      </c>
      <c r="W39" s="288">
        <f t="shared" si="27"/>
        <v>0</v>
      </c>
      <c r="X39" s="288">
        <f t="shared" si="27"/>
        <v>0</v>
      </c>
      <c r="Y39" s="288">
        <f t="shared" si="27"/>
        <v>0</v>
      </c>
      <c r="Z39" s="288">
        <f t="shared" si="24"/>
        <v>0</v>
      </c>
      <c r="AA39" s="288">
        <f t="shared" si="24"/>
        <v>0</v>
      </c>
      <c r="AB39" s="288">
        <f t="shared" si="24"/>
        <v>0</v>
      </c>
      <c r="AC39" s="288">
        <f t="shared" si="24"/>
        <v>0</v>
      </c>
      <c r="AD39" s="288">
        <f t="shared" si="24"/>
        <v>0</v>
      </c>
      <c r="AE39" s="288">
        <f t="shared" si="19"/>
        <v>0</v>
      </c>
      <c r="AF39" s="288">
        <f t="shared" si="19"/>
        <v>0</v>
      </c>
      <c r="AG39" s="288">
        <f t="shared" si="19"/>
        <v>0</v>
      </c>
      <c r="AH39" s="288">
        <f t="shared" si="19"/>
        <v>0</v>
      </c>
      <c r="AI39" s="288">
        <f t="shared" si="19"/>
        <v>36</v>
      </c>
      <c r="AJ39" s="288">
        <f t="shared" si="19"/>
        <v>0</v>
      </c>
      <c r="AK39" s="288">
        <f t="shared" si="19"/>
        <v>0</v>
      </c>
      <c r="AL39" s="288">
        <f t="shared" si="19"/>
        <v>0</v>
      </c>
      <c r="AM39" s="288">
        <f t="shared" si="19"/>
        <v>0</v>
      </c>
      <c r="AN39" s="288">
        <f t="shared" si="19"/>
        <v>0</v>
      </c>
      <c r="AO39" s="288">
        <f t="shared" si="19"/>
        <v>0</v>
      </c>
      <c r="AP39" s="288">
        <f t="shared" si="19"/>
        <v>0</v>
      </c>
      <c r="AQ39" s="288">
        <f t="shared" si="19"/>
        <v>0</v>
      </c>
      <c r="AR39" s="288">
        <f t="shared" si="19"/>
        <v>0</v>
      </c>
      <c r="AS39" s="288">
        <f t="shared" si="19"/>
        <v>0</v>
      </c>
      <c r="AT39" s="288">
        <f t="shared" si="19"/>
        <v>0</v>
      </c>
      <c r="AU39" s="288">
        <f t="shared" ref="AU39:BH72" si="28">IF(AU$2&gt;$B39,(IF(AU$2&lt;=$B40,(IF(AVERAGE($B39,$B40)&gt;AU$2,$A39,$A40)),0)),0)</f>
        <v>0</v>
      </c>
      <c r="AV39" s="288">
        <f t="shared" si="25"/>
        <v>0</v>
      </c>
      <c r="AW39" s="288">
        <f t="shared" si="25"/>
        <v>0</v>
      </c>
      <c r="AX39" s="288">
        <f t="shared" si="25"/>
        <v>0</v>
      </c>
      <c r="AY39" s="288">
        <f t="shared" si="25"/>
        <v>0</v>
      </c>
      <c r="AZ39" s="288">
        <f t="shared" si="25"/>
        <v>0</v>
      </c>
      <c r="BA39" s="288">
        <f t="shared" si="25"/>
        <v>0</v>
      </c>
      <c r="BB39" s="288">
        <f t="shared" si="25"/>
        <v>0</v>
      </c>
      <c r="BC39" s="288">
        <f t="shared" si="25"/>
        <v>0</v>
      </c>
      <c r="BD39" s="288">
        <f t="shared" si="25"/>
        <v>0</v>
      </c>
      <c r="BE39" s="288">
        <f t="shared" si="25"/>
        <v>0</v>
      </c>
      <c r="BF39" s="288">
        <f t="shared" si="25"/>
        <v>0</v>
      </c>
      <c r="BG39" s="288">
        <f t="shared" si="25"/>
        <v>0</v>
      </c>
      <c r="BH39" s="288">
        <f t="shared" si="25"/>
        <v>0</v>
      </c>
      <c r="BI39" s="288">
        <f t="shared" si="25"/>
        <v>0</v>
      </c>
      <c r="BJ39" s="288">
        <f t="shared" si="25"/>
        <v>0</v>
      </c>
      <c r="BK39" s="288">
        <f t="shared" si="25"/>
        <v>0</v>
      </c>
      <c r="BL39" s="288">
        <f t="shared" si="26"/>
        <v>0</v>
      </c>
      <c r="BM39" s="288">
        <f t="shared" si="26"/>
        <v>0</v>
      </c>
      <c r="BN39" s="288">
        <f t="shared" si="17"/>
        <v>0</v>
      </c>
      <c r="BO39" s="288">
        <f t="shared" si="17"/>
        <v>0</v>
      </c>
      <c r="BP39" s="288">
        <f t="shared" si="17"/>
        <v>0</v>
      </c>
      <c r="BQ39" s="288">
        <f t="shared" si="17"/>
        <v>0</v>
      </c>
      <c r="BR39" s="288">
        <f t="shared" si="17"/>
        <v>0</v>
      </c>
      <c r="BS39" s="288">
        <f t="shared" si="17"/>
        <v>0</v>
      </c>
      <c r="BT39" s="288">
        <f t="shared" si="17"/>
        <v>0</v>
      </c>
      <c r="BU39" s="288">
        <f t="shared" si="17"/>
        <v>0</v>
      </c>
      <c r="BV39" s="288">
        <f t="shared" si="17"/>
        <v>0</v>
      </c>
      <c r="BW39" s="288">
        <f t="shared" si="17"/>
        <v>0</v>
      </c>
      <c r="BX39" s="288">
        <f t="shared" si="17"/>
        <v>0</v>
      </c>
      <c r="BY39" s="288">
        <f t="shared" si="17"/>
        <v>0</v>
      </c>
      <c r="BZ39" s="288">
        <f t="shared" si="17"/>
        <v>0</v>
      </c>
      <c r="CA39" s="288">
        <f t="shared" si="17"/>
        <v>0</v>
      </c>
      <c r="CB39" s="288">
        <f t="shared" si="17"/>
        <v>0</v>
      </c>
      <c r="CC39" s="288">
        <f t="shared" si="17"/>
        <v>0</v>
      </c>
      <c r="CD39" s="288">
        <f t="shared" si="23"/>
        <v>0</v>
      </c>
      <c r="CE39" s="288">
        <f t="shared" si="22"/>
        <v>0</v>
      </c>
      <c r="CF39" s="288">
        <f t="shared" si="22"/>
        <v>0</v>
      </c>
      <c r="CG39" s="288">
        <f t="shared" si="22"/>
        <v>0</v>
      </c>
      <c r="CH39" s="288">
        <f t="shared" si="20"/>
        <v>0</v>
      </c>
      <c r="CI39" s="288">
        <f t="shared" si="20"/>
        <v>0</v>
      </c>
      <c r="CJ39" s="288">
        <f t="shared" si="20"/>
        <v>0</v>
      </c>
      <c r="CK39" s="288">
        <f t="shared" si="20"/>
        <v>0</v>
      </c>
      <c r="CL39" s="288">
        <f t="shared" si="20"/>
        <v>0</v>
      </c>
      <c r="CM39" s="288">
        <f t="shared" si="20"/>
        <v>0</v>
      </c>
      <c r="CN39" s="288">
        <f t="shared" si="20"/>
        <v>0</v>
      </c>
      <c r="CO39" s="288">
        <f t="shared" si="20"/>
        <v>0</v>
      </c>
      <c r="CP39" s="288">
        <f t="shared" si="20"/>
        <v>0</v>
      </c>
      <c r="CQ39" s="288">
        <f t="shared" si="20"/>
        <v>0</v>
      </c>
      <c r="CR39" s="288">
        <f t="shared" si="20"/>
        <v>0</v>
      </c>
      <c r="CS39" s="288">
        <f t="shared" si="20"/>
        <v>0</v>
      </c>
      <c r="CT39" s="288">
        <f t="shared" si="20"/>
        <v>0</v>
      </c>
      <c r="CU39" s="288">
        <f t="shared" si="20"/>
        <v>0</v>
      </c>
      <c r="CV39" s="288">
        <f t="shared" si="20"/>
        <v>0</v>
      </c>
      <c r="CW39" s="288">
        <f t="shared" si="20"/>
        <v>0</v>
      </c>
      <c r="CX39" s="288">
        <f t="shared" si="21"/>
        <v>0</v>
      </c>
      <c r="CY39" s="288">
        <f t="shared" si="13"/>
        <v>0</v>
      </c>
      <c r="CZ39" s="288">
        <f t="shared" si="13"/>
        <v>0</v>
      </c>
      <c r="DA39" s="288">
        <f t="shared" si="13"/>
        <v>0</v>
      </c>
      <c r="DB39" s="288">
        <f t="shared" si="13"/>
        <v>0</v>
      </c>
      <c r="DC39" s="288">
        <f t="shared" si="13"/>
        <v>0</v>
      </c>
      <c r="DD39" s="288">
        <f t="shared" si="13"/>
        <v>0</v>
      </c>
      <c r="DE39" s="288">
        <f t="shared" si="13"/>
        <v>0</v>
      </c>
      <c r="DG39" s="314">
        <f t="shared" si="3"/>
        <v>40</v>
      </c>
      <c r="DH39" s="289">
        <f>MAX(AM$3:AM$109)</f>
        <v>40</v>
      </c>
      <c r="DJ39" s="288">
        <f>LOOKUP(DH39, 'Mortality Table'!A:A,('Mortality Table'!J:J/'Mortality Table'!I:I))</f>
        <v>2.6233840672170577E-3</v>
      </c>
      <c r="DK39" s="288">
        <f>LOOKUP(A39, 'Mortality Table'!A:A,('Mortality Table'!J:J/'Mortality Table'!I:I))</f>
        <v>2.0494417995353367E-3</v>
      </c>
      <c r="DL39" s="288">
        <f t="shared" si="4"/>
        <v>5.73942267681721E-4</v>
      </c>
      <c r="DN39" s="288">
        <f>LOOKUP(DH39, 'Mortality Table'!A:A,('Mortality Table'!L:L/'Mortality Table'!K:K))</f>
        <v>2.6573818232419788E-3</v>
      </c>
      <c r="DO39" s="288">
        <f>LOOKUP(A39, 'Mortality Table'!A:A,('Mortality Table'!L:L/'Mortality Table'!K:K))</f>
        <v>2.0760015485094137E-3</v>
      </c>
      <c r="DP39" s="288">
        <f t="shared" si="5"/>
        <v>5.8138027473256509E-4</v>
      </c>
      <c r="DR39" s="288">
        <f>LOOKUP(DH39, 'Mortality Table'!A:A,('Mortality Table'!N:N/'Mortality Table'!M:M))</f>
        <v>2.7171057257964438E-3</v>
      </c>
      <c r="DS39" s="288">
        <f>LOOKUP(A39, 'Mortality Table'!A:A,('Mortality Table'!N:N/'Mortality Table'!M:M))</f>
        <v>2.1226590943320277E-3</v>
      </c>
      <c r="DT39" s="288">
        <f t="shared" si="6"/>
        <v>5.9444663146441612E-4</v>
      </c>
    </row>
    <row r="40" spans="1:124">
      <c r="A40" s="288">
        <v>37</v>
      </c>
      <c r="B40" s="288">
        <v>2.3674093627897718E-3</v>
      </c>
      <c r="C40" s="288">
        <f t="shared" si="18"/>
        <v>0</v>
      </c>
      <c r="D40" s="288">
        <f t="shared" si="18"/>
        <v>0</v>
      </c>
      <c r="E40" s="288">
        <f t="shared" si="18"/>
        <v>0</v>
      </c>
      <c r="F40" s="288">
        <f t="shared" si="18"/>
        <v>0</v>
      </c>
      <c r="G40" s="288">
        <f t="shared" si="18"/>
        <v>0</v>
      </c>
      <c r="H40" s="288">
        <f t="shared" si="18"/>
        <v>0</v>
      </c>
      <c r="I40" s="288">
        <f t="shared" si="18"/>
        <v>0</v>
      </c>
      <c r="J40" s="288">
        <f t="shared" si="18"/>
        <v>0</v>
      </c>
      <c r="K40" s="288">
        <f t="shared" si="18"/>
        <v>0</v>
      </c>
      <c r="L40" s="288">
        <f t="shared" si="18"/>
        <v>0</v>
      </c>
      <c r="M40" s="288">
        <f t="shared" si="18"/>
        <v>0</v>
      </c>
      <c r="N40" s="288">
        <f t="shared" si="18"/>
        <v>0</v>
      </c>
      <c r="O40" s="288">
        <f t="shared" si="18"/>
        <v>0</v>
      </c>
      <c r="P40" s="288">
        <f t="shared" si="18"/>
        <v>0</v>
      </c>
      <c r="Q40" s="288">
        <f t="shared" si="18"/>
        <v>0</v>
      </c>
      <c r="R40" s="288">
        <f t="shared" si="18"/>
        <v>0</v>
      </c>
      <c r="S40" s="288">
        <f t="shared" si="27"/>
        <v>0</v>
      </c>
      <c r="T40" s="288">
        <f t="shared" si="27"/>
        <v>0</v>
      </c>
      <c r="U40" s="288">
        <f t="shared" si="27"/>
        <v>0</v>
      </c>
      <c r="V40" s="288">
        <f t="shared" si="27"/>
        <v>0</v>
      </c>
      <c r="W40" s="288">
        <f t="shared" si="27"/>
        <v>0</v>
      </c>
      <c r="X40" s="288">
        <f t="shared" si="27"/>
        <v>0</v>
      </c>
      <c r="Y40" s="288">
        <f t="shared" si="27"/>
        <v>0</v>
      </c>
      <c r="Z40" s="288">
        <f t="shared" si="24"/>
        <v>0</v>
      </c>
      <c r="AA40" s="288">
        <f t="shared" si="24"/>
        <v>0</v>
      </c>
      <c r="AB40" s="288">
        <f t="shared" si="24"/>
        <v>0</v>
      </c>
      <c r="AC40" s="288">
        <f t="shared" si="24"/>
        <v>0</v>
      </c>
      <c r="AD40" s="288">
        <f t="shared" si="24"/>
        <v>0</v>
      </c>
      <c r="AE40" s="288">
        <f t="shared" si="19"/>
        <v>0</v>
      </c>
      <c r="AF40" s="288">
        <f t="shared" si="19"/>
        <v>0</v>
      </c>
      <c r="AG40" s="288">
        <f t="shared" si="19"/>
        <v>0</v>
      </c>
      <c r="AH40" s="288">
        <f t="shared" si="19"/>
        <v>0</v>
      </c>
      <c r="AI40" s="288">
        <f t="shared" si="19"/>
        <v>0</v>
      </c>
      <c r="AJ40" s="288">
        <f t="shared" si="19"/>
        <v>37</v>
      </c>
      <c r="AK40" s="288">
        <f t="shared" si="19"/>
        <v>38</v>
      </c>
      <c r="AL40" s="288">
        <f t="shared" si="19"/>
        <v>0</v>
      </c>
      <c r="AM40" s="288">
        <f t="shared" si="19"/>
        <v>0</v>
      </c>
      <c r="AN40" s="288">
        <f t="shared" si="19"/>
        <v>0</v>
      </c>
      <c r="AO40" s="288">
        <f t="shared" si="19"/>
        <v>0</v>
      </c>
      <c r="AP40" s="288">
        <f t="shared" si="19"/>
        <v>0</v>
      </c>
      <c r="AQ40" s="288">
        <f t="shared" si="19"/>
        <v>0</v>
      </c>
      <c r="AR40" s="288">
        <f t="shared" si="19"/>
        <v>0</v>
      </c>
      <c r="AS40" s="288">
        <f t="shared" si="19"/>
        <v>0</v>
      </c>
      <c r="AT40" s="288">
        <f t="shared" si="19"/>
        <v>0</v>
      </c>
      <c r="AU40" s="288">
        <f t="shared" si="28"/>
        <v>0</v>
      </c>
      <c r="AV40" s="288">
        <f t="shared" si="25"/>
        <v>0</v>
      </c>
      <c r="AW40" s="288">
        <f t="shared" si="25"/>
        <v>0</v>
      </c>
      <c r="AX40" s="288">
        <f t="shared" si="25"/>
        <v>0</v>
      </c>
      <c r="AY40" s="288">
        <f t="shared" si="25"/>
        <v>0</v>
      </c>
      <c r="AZ40" s="288">
        <f t="shared" si="25"/>
        <v>0</v>
      </c>
      <c r="BA40" s="288">
        <f t="shared" si="25"/>
        <v>0</v>
      </c>
      <c r="BB40" s="288">
        <f t="shared" si="25"/>
        <v>0</v>
      </c>
      <c r="BC40" s="288">
        <f t="shared" si="25"/>
        <v>0</v>
      </c>
      <c r="BD40" s="288">
        <f t="shared" si="25"/>
        <v>0</v>
      </c>
      <c r="BE40" s="288">
        <f t="shared" si="25"/>
        <v>0</v>
      </c>
      <c r="BF40" s="288">
        <f t="shared" si="25"/>
        <v>0</v>
      </c>
      <c r="BG40" s="288">
        <f t="shared" si="25"/>
        <v>0</v>
      </c>
      <c r="BH40" s="288">
        <f t="shared" si="25"/>
        <v>0</v>
      </c>
      <c r="BI40" s="288">
        <f t="shared" si="25"/>
        <v>0</v>
      </c>
      <c r="BJ40" s="288">
        <f t="shared" si="25"/>
        <v>0</v>
      </c>
      <c r="BK40" s="288">
        <f t="shared" si="25"/>
        <v>0</v>
      </c>
      <c r="BL40" s="288">
        <f t="shared" si="26"/>
        <v>0</v>
      </c>
      <c r="BM40" s="288">
        <f t="shared" si="26"/>
        <v>0</v>
      </c>
      <c r="BN40" s="288">
        <f t="shared" si="17"/>
        <v>0</v>
      </c>
      <c r="BO40" s="288">
        <f t="shared" si="17"/>
        <v>0</v>
      </c>
      <c r="BP40" s="288">
        <f t="shared" si="17"/>
        <v>0</v>
      </c>
      <c r="BQ40" s="288">
        <f t="shared" si="17"/>
        <v>0</v>
      </c>
      <c r="BR40" s="288">
        <f t="shared" si="17"/>
        <v>0</v>
      </c>
      <c r="BS40" s="288">
        <f t="shared" si="17"/>
        <v>0</v>
      </c>
      <c r="BT40" s="288">
        <f t="shared" si="17"/>
        <v>0</v>
      </c>
      <c r="BU40" s="288">
        <f t="shared" si="17"/>
        <v>0</v>
      </c>
      <c r="BV40" s="288">
        <f t="shared" si="17"/>
        <v>0</v>
      </c>
      <c r="BW40" s="288">
        <f t="shared" si="17"/>
        <v>0</v>
      </c>
      <c r="BX40" s="288">
        <f t="shared" si="17"/>
        <v>0</v>
      </c>
      <c r="BY40" s="288">
        <f t="shared" si="17"/>
        <v>0</v>
      </c>
      <c r="BZ40" s="288">
        <f t="shared" si="17"/>
        <v>0</v>
      </c>
      <c r="CA40" s="288">
        <f t="shared" si="17"/>
        <v>0</v>
      </c>
      <c r="CB40" s="288">
        <f t="shared" si="17"/>
        <v>0</v>
      </c>
      <c r="CC40" s="288">
        <f t="shared" si="17"/>
        <v>0</v>
      </c>
      <c r="CD40" s="288">
        <f t="shared" si="23"/>
        <v>0</v>
      </c>
      <c r="CE40" s="288">
        <f t="shared" si="22"/>
        <v>0</v>
      </c>
      <c r="CF40" s="288">
        <f t="shared" si="22"/>
        <v>0</v>
      </c>
      <c r="CG40" s="288">
        <f t="shared" si="22"/>
        <v>0</v>
      </c>
      <c r="CH40" s="288">
        <f t="shared" si="20"/>
        <v>0</v>
      </c>
      <c r="CI40" s="288">
        <f t="shared" si="20"/>
        <v>0</v>
      </c>
      <c r="CJ40" s="288">
        <f t="shared" si="20"/>
        <v>0</v>
      </c>
      <c r="CK40" s="288">
        <f t="shared" si="20"/>
        <v>0</v>
      </c>
      <c r="CL40" s="288">
        <f t="shared" si="20"/>
        <v>0</v>
      </c>
      <c r="CM40" s="288">
        <f t="shared" si="20"/>
        <v>0</v>
      </c>
      <c r="CN40" s="288">
        <f t="shared" si="20"/>
        <v>0</v>
      </c>
      <c r="CO40" s="288">
        <f t="shared" si="20"/>
        <v>0</v>
      </c>
      <c r="CP40" s="288">
        <f t="shared" si="20"/>
        <v>0</v>
      </c>
      <c r="CQ40" s="288">
        <f t="shared" si="20"/>
        <v>0</v>
      </c>
      <c r="CR40" s="288">
        <f t="shared" si="20"/>
        <v>0</v>
      </c>
      <c r="CS40" s="288">
        <f t="shared" si="20"/>
        <v>0</v>
      </c>
      <c r="CT40" s="288">
        <f t="shared" si="20"/>
        <v>0</v>
      </c>
      <c r="CU40" s="288">
        <f t="shared" si="20"/>
        <v>0</v>
      </c>
      <c r="CV40" s="288">
        <f t="shared" ref="CV40:DA103" si="29">IF(CV$2&gt;$B40,(IF(CV$2&lt;=$B41,(IF(AVERAGE($B40,$B41)&gt;CV$2,$A40,$A41)),0)),0)</f>
        <v>0</v>
      </c>
      <c r="CW40" s="288">
        <f t="shared" si="29"/>
        <v>0</v>
      </c>
      <c r="CX40" s="288">
        <f t="shared" si="21"/>
        <v>0</v>
      </c>
      <c r="CY40" s="288">
        <f t="shared" si="13"/>
        <v>0</v>
      </c>
      <c r="CZ40" s="288">
        <f t="shared" si="13"/>
        <v>0</v>
      </c>
      <c r="DA40" s="288">
        <f t="shared" si="13"/>
        <v>0</v>
      </c>
      <c r="DB40" s="288">
        <f t="shared" si="13"/>
        <v>0</v>
      </c>
      <c r="DC40" s="288">
        <f t="shared" si="13"/>
        <v>0</v>
      </c>
      <c r="DD40" s="288">
        <f t="shared" si="13"/>
        <v>0</v>
      </c>
      <c r="DE40" s="288">
        <f t="shared" si="13"/>
        <v>0</v>
      </c>
      <c r="DG40" s="314">
        <f t="shared" si="3"/>
        <v>40</v>
      </c>
      <c r="DH40" s="289">
        <f>MAX(AN$3:AN$109)</f>
        <v>40</v>
      </c>
      <c r="DJ40" s="288">
        <f>LOOKUP(DH40, 'Mortality Table'!A:A,('Mortality Table'!J:J/'Mortality Table'!I:I))</f>
        <v>2.6233840672170577E-3</v>
      </c>
      <c r="DK40" s="288">
        <f>LOOKUP(A40, 'Mortality Table'!A:A,('Mortality Table'!J:J/'Mortality Table'!I:I))</f>
        <v>2.1793769695591077E-3</v>
      </c>
      <c r="DL40" s="288">
        <f t="shared" si="4"/>
        <v>4.4400709765795004E-4</v>
      </c>
      <c r="DN40" s="288">
        <f>LOOKUP(DH40, 'Mortality Table'!A:A,('Mortality Table'!L:L/'Mortality Table'!K:K))</f>
        <v>2.6573818232419788E-3</v>
      </c>
      <c r="DO40" s="288">
        <f>LOOKUP(A40, 'Mortality Table'!A:A,('Mortality Table'!L:L/'Mortality Table'!K:K))</f>
        <v>2.2076206138745983E-3</v>
      </c>
      <c r="DP40" s="288">
        <f t="shared" si="5"/>
        <v>4.4976120936738055E-4</v>
      </c>
      <c r="DR40" s="288">
        <f>LOOKUP(DH40, 'Mortality Table'!A:A,('Mortality Table'!N:N/'Mortality Table'!M:M))</f>
        <v>2.7171057257964438E-3</v>
      </c>
      <c r="DS40" s="288">
        <f>LOOKUP(A40, 'Mortality Table'!A:A,('Mortality Table'!N:N/'Mortality Table'!M:M))</f>
        <v>2.2572362608497937E-3</v>
      </c>
      <c r="DT40" s="288">
        <f t="shared" si="6"/>
        <v>4.5986946494665009E-4</v>
      </c>
    </row>
    <row r="41" spans="1:124">
      <c r="A41" s="288">
        <v>38</v>
      </c>
      <c r="B41" s="288">
        <v>2.5200289803332739E-3</v>
      </c>
      <c r="C41" s="288">
        <f t="shared" si="18"/>
        <v>0</v>
      </c>
      <c r="D41" s="288">
        <f t="shared" si="18"/>
        <v>0</v>
      </c>
      <c r="E41" s="288">
        <f t="shared" si="18"/>
        <v>0</v>
      </c>
      <c r="F41" s="288">
        <f t="shared" si="18"/>
        <v>0</v>
      </c>
      <c r="G41" s="288">
        <f t="shared" si="18"/>
        <v>0</v>
      </c>
      <c r="H41" s="288">
        <f t="shared" si="18"/>
        <v>0</v>
      </c>
      <c r="I41" s="288">
        <f t="shared" si="18"/>
        <v>0</v>
      </c>
      <c r="J41" s="288">
        <f t="shared" si="18"/>
        <v>0</v>
      </c>
      <c r="K41" s="288">
        <f t="shared" si="18"/>
        <v>0</v>
      </c>
      <c r="L41" s="288">
        <f t="shared" si="18"/>
        <v>0</v>
      </c>
      <c r="M41" s="288">
        <f t="shared" si="18"/>
        <v>0</v>
      </c>
      <c r="N41" s="288">
        <f t="shared" si="18"/>
        <v>0</v>
      </c>
      <c r="O41" s="288">
        <f t="shared" si="18"/>
        <v>0</v>
      </c>
      <c r="P41" s="288">
        <f t="shared" si="18"/>
        <v>0</v>
      </c>
      <c r="Q41" s="288">
        <f t="shared" si="18"/>
        <v>0</v>
      </c>
      <c r="R41" s="288">
        <f t="shared" si="18"/>
        <v>0</v>
      </c>
      <c r="S41" s="288">
        <f t="shared" si="27"/>
        <v>0</v>
      </c>
      <c r="T41" s="288">
        <f t="shared" si="27"/>
        <v>0</v>
      </c>
      <c r="U41" s="288">
        <f t="shared" si="27"/>
        <v>0</v>
      </c>
      <c r="V41" s="288">
        <f t="shared" si="27"/>
        <v>0</v>
      </c>
      <c r="W41" s="288">
        <f t="shared" si="27"/>
        <v>0</v>
      </c>
      <c r="X41" s="288">
        <f t="shared" si="27"/>
        <v>0</v>
      </c>
      <c r="Y41" s="288">
        <f t="shared" si="27"/>
        <v>0</v>
      </c>
      <c r="Z41" s="288">
        <f t="shared" si="24"/>
        <v>0</v>
      </c>
      <c r="AA41" s="288">
        <f t="shared" si="24"/>
        <v>0</v>
      </c>
      <c r="AB41" s="288">
        <f t="shared" si="24"/>
        <v>0</v>
      </c>
      <c r="AC41" s="288">
        <f t="shared" si="24"/>
        <v>0</v>
      </c>
      <c r="AD41" s="288">
        <f t="shared" si="24"/>
        <v>0</v>
      </c>
      <c r="AE41" s="288">
        <f t="shared" si="19"/>
        <v>0</v>
      </c>
      <c r="AF41" s="288">
        <f t="shared" si="19"/>
        <v>0</v>
      </c>
      <c r="AG41" s="288">
        <f t="shared" si="19"/>
        <v>0</v>
      </c>
      <c r="AH41" s="288">
        <f t="shared" si="19"/>
        <v>0</v>
      </c>
      <c r="AI41" s="288">
        <f t="shared" si="19"/>
        <v>0</v>
      </c>
      <c r="AJ41" s="288">
        <f t="shared" si="19"/>
        <v>0</v>
      </c>
      <c r="AK41" s="288">
        <f t="shared" si="19"/>
        <v>0</v>
      </c>
      <c r="AL41" s="288">
        <f t="shared" si="19"/>
        <v>39</v>
      </c>
      <c r="AM41" s="288">
        <f t="shared" si="19"/>
        <v>0</v>
      </c>
      <c r="AN41" s="288">
        <f t="shared" si="19"/>
        <v>0</v>
      </c>
      <c r="AO41" s="288">
        <f t="shared" si="19"/>
        <v>0</v>
      </c>
      <c r="AP41" s="288">
        <f t="shared" si="19"/>
        <v>0</v>
      </c>
      <c r="AQ41" s="288">
        <f t="shared" si="19"/>
        <v>0</v>
      </c>
      <c r="AR41" s="288">
        <f t="shared" si="19"/>
        <v>0</v>
      </c>
      <c r="AS41" s="288">
        <f t="shared" si="19"/>
        <v>0</v>
      </c>
      <c r="AT41" s="288">
        <f t="shared" si="19"/>
        <v>0</v>
      </c>
      <c r="AU41" s="288">
        <f t="shared" si="28"/>
        <v>0</v>
      </c>
      <c r="AV41" s="288">
        <f t="shared" si="25"/>
        <v>0</v>
      </c>
      <c r="AW41" s="288">
        <f t="shared" si="25"/>
        <v>0</v>
      </c>
      <c r="AX41" s="288">
        <f t="shared" si="25"/>
        <v>0</v>
      </c>
      <c r="AY41" s="288">
        <f t="shared" si="25"/>
        <v>0</v>
      </c>
      <c r="AZ41" s="288">
        <f t="shared" si="25"/>
        <v>0</v>
      </c>
      <c r="BA41" s="288">
        <f t="shared" si="25"/>
        <v>0</v>
      </c>
      <c r="BB41" s="288">
        <f t="shared" si="25"/>
        <v>0</v>
      </c>
      <c r="BC41" s="288">
        <f t="shared" si="25"/>
        <v>0</v>
      </c>
      <c r="BD41" s="288">
        <f t="shared" si="25"/>
        <v>0</v>
      </c>
      <c r="BE41" s="288">
        <f t="shared" si="25"/>
        <v>0</v>
      </c>
      <c r="BF41" s="288">
        <f t="shared" si="25"/>
        <v>0</v>
      </c>
      <c r="BG41" s="288">
        <f t="shared" si="25"/>
        <v>0</v>
      </c>
      <c r="BH41" s="288">
        <f t="shared" si="25"/>
        <v>0</v>
      </c>
      <c r="BI41" s="288">
        <f t="shared" si="25"/>
        <v>0</v>
      </c>
      <c r="BJ41" s="288">
        <f t="shared" si="25"/>
        <v>0</v>
      </c>
      <c r="BK41" s="288">
        <f t="shared" si="25"/>
        <v>0</v>
      </c>
      <c r="BL41" s="288">
        <f t="shared" si="26"/>
        <v>0</v>
      </c>
      <c r="BM41" s="288">
        <f t="shared" si="26"/>
        <v>0</v>
      </c>
      <c r="BN41" s="288">
        <f t="shared" si="17"/>
        <v>0</v>
      </c>
      <c r="BO41" s="288">
        <f t="shared" si="17"/>
        <v>0</v>
      </c>
      <c r="BP41" s="288">
        <f t="shared" si="17"/>
        <v>0</v>
      </c>
      <c r="BQ41" s="288">
        <f t="shared" si="17"/>
        <v>0</v>
      </c>
      <c r="BR41" s="288">
        <f t="shared" si="17"/>
        <v>0</v>
      </c>
      <c r="BS41" s="288">
        <f t="shared" si="17"/>
        <v>0</v>
      </c>
      <c r="BT41" s="288">
        <f t="shared" si="17"/>
        <v>0</v>
      </c>
      <c r="BU41" s="288">
        <f t="shared" si="17"/>
        <v>0</v>
      </c>
      <c r="BV41" s="288">
        <f t="shared" si="17"/>
        <v>0</v>
      </c>
      <c r="BW41" s="288">
        <f t="shared" si="17"/>
        <v>0</v>
      </c>
      <c r="BX41" s="288">
        <f t="shared" si="17"/>
        <v>0</v>
      </c>
      <c r="BY41" s="288">
        <f t="shared" si="17"/>
        <v>0</v>
      </c>
      <c r="BZ41" s="288">
        <f t="shared" si="17"/>
        <v>0</v>
      </c>
      <c r="CA41" s="288">
        <f t="shared" si="17"/>
        <v>0</v>
      </c>
      <c r="CB41" s="288">
        <f t="shared" si="17"/>
        <v>0</v>
      </c>
      <c r="CC41" s="288">
        <f t="shared" si="17"/>
        <v>0</v>
      </c>
      <c r="CD41" s="288">
        <f t="shared" si="23"/>
        <v>0</v>
      </c>
      <c r="CE41" s="288">
        <f t="shared" si="22"/>
        <v>0</v>
      </c>
      <c r="CF41" s="288">
        <f t="shared" si="22"/>
        <v>0</v>
      </c>
      <c r="CG41" s="288">
        <f t="shared" si="22"/>
        <v>0</v>
      </c>
      <c r="CH41" s="288">
        <f t="shared" si="22"/>
        <v>0</v>
      </c>
      <c r="CI41" s="288">
        <f t="shared" si="22"/>
        <v>0</v>
      </c>
      <c r="CJ41" s="288">
        <f t="shared" si="22"/>
        <v>0</v>
      </c>
      <c r="CK41" s="288">
        <f t="shared" si="22"/>
        <v>0</v>
      </c>
      <c r="CL41" s="288">
        <f t="shared" si="22"/>
        <v>0</v>
      </c>
      <c r="CM41" s="288">
        <f t="shared" si="22"/>
        <v>0</v>
      </c>
      <c r="CN41" s="288">
        <f t="shared" si="22"/>
        <v>0</v>
      </c>
      <c r="CO41" s="288">
        <f t="shared" si="22"/>
        <v>0</v>
      </c>
      <c r="CP41" s="288">
        <f t="shared" si="22"/>
        <v>0</v>
      </c>
      <c r="CQ41" s="288">
        <f t="shared" si="22"/>
        <v>0</v>
      </c>
      <c r="CR41" s="288">
        <f t="shared" si="22"/>
        <v>0</v>
      </c>
      <c r="CS41" s="288">
        <f t="shared" si="22"/>
        <v>0</v>
      </c>
      <c r="CT41" s="288">
        <f t="shared" si="22"/>
        <v>0</v>
      </c>
      <c r="CU41" s="288">
        <f t="shared" ref="CU41:CU72" si="30">IF(CU$2&gt;$B41,(IF(CU$2&lt;=$B42,(IF(AVERAGE($B41,$B42)&gt;CU$2,$A41,$A42)),0)),0)</f>
        <v>0</v>
      </c>
      <c r="CV41" s="288">
        <f t="shared" si="29"/>
        <v>0</v>
      </c>
      <c r="CW41" s="288">
        <f t="shared" si="29"/>
        <v>0</v>
      </c>
      <c r="CX41" s="288">
        <f t="shared" si="21"/>
        <v>0</v>
      </c>
      <c r="CY41" s="288">
        <f t="shared" si="13"/>
        <v>0</v>
      </c>
      <c r="CZ41" s="288">
        <f t="shared" si="13"/>
        <v>0</v>
      </c>
      <c r="DA41" s="288">
        <f t="shared" si="13"/>
        <v>0</v>
      </c>
      <c r="DB41" s="288">
        <f t="shared" si="13"/>
        <v>0</v>
      </c>
      <c r="DC41" s="288">
        <f t="shared" si="13"/>
        <v>0</v>
      </c>
      <c r="DD41" s="288">
        <f t="shared" si="13"/>
        <v>0</v>
      </c>
      <c r="DE41" s="288">
        <f t="shared" si="13"/>
        <v>0</v>
      </c>
      <c r="DG41" s="314">
        <f t="shared" si="3"/>
        <v>41</v>
      </c>
      <c r="DH41" s="289">
        <f>MAX(AO$3:AO$109)</f>
        <v>41</v>
      </c>
      <c r="DJ41" s="288">
        <f>LOOKUP(DH41, 'Mortality Table'!A:A,('Mortality Table'!J:J/'Mortality Table'!I:I))</f>
        <v>2.8647374747248736E-3</v>
      </c>
      <c r="DK41" s="288">
        <f>LOOKUP(A41, 'Mortality Table'!A:A,('Mortality Table'!J:J/'Mortality Table'!I:I))</f>
        <v>2.3198747156630058E-3</v>
      </c>
      <c r="DL41" s="288">
        <f t="shared" si="4"/>
        <v>5.4486275906186774E-4</v>
      </c>
      <c r="DN41" s="288">
        <f>LOOKUP(DH41, 'Mortality Table'!A:A,('Mortality Table'!L:L/'Mortality Table'!K:K))</f>
        <v>2.9018630511733357E-3</v>
      </c>
      <c r="DO41" s="288">
        <f>LOOKUP(A41, 'Mortality Table'!A:A,('Mortality Table'!L:L/'Mortality Table'!K:K))</f>
        <v>2.3499391410657122E-3</v>
      </c>
      <c r="DP41" s="288">
        <f t="shared" si="5"/>
        <v>5.5192391010762355E-4</v>
      </c>
      <c r="DR41" s="288">
        <f>LOOKUP(DH41, 'Mortality Table'!A:A,('Mortality Table'!N:N/'Mortality Table'!M:M))</f>
        <v>2.967081599964054E-3</v>
      </c>
      <c r="DS41" s="288">
        <f>LOOKUP(A41, 'Mortality Table'!A:A,('Mortality Table'!N:N/'Mortality Table'!M:M))</f>
        <v>2.4027533565624936E-3</v>
      </c>
      <c r="DT41" s="288">
        <f t="shared" si="6"/>
        <v>5.6432824340156042E-4</v>
      </c>
    </row>
    <row r="42" spans="1:124">
      <c r="A42" s="288">
        <v>39</v>
      </c>
      <c r="B42" s="288">
        <v>2.6421887006958114E-3</v>
      </c>
      <c r="C42" s="288">
        <f t="shared" si="18"/>
        <v>0</v>
      </c>
      <c r="D42" s="288">
        <f t="shared" si="18"/>
        <v>0</v>
      </c>
      <c r="E42" s="288">
        <f t="shared" si="18"/>
        <v>0</v>
      </c>
      <c r="F42" s="288">
        <f t="shared" si="18"/>
        <v>0</v>
      </c>
      <c r="G42" s="288">
        <f t="shared" si="18"/>
        <v>0</v>
      </c>
      <c r="H42" s="288">
        <f t="shared" si="18"/>
        <v>0</v>
      </c>
      <c r="I42" s="288">
        <f t="shared" si="18"/>
        <v>0</v>
      </c>
      <c r="J42" s="288">
        <f t="shared" si="18"/>
        <v>0</v>
      </c>
      <c r="K42" s="288">
        <f t="shared" si="18"/>
        <v>0</v>
      </c>
      <c r="L42" s="288">
        <f t="shared" si="18"/>
        <v>0</v>
      </c>
      <c r="M42" s="288">
        <f t="shared" si="18"/>
        <v>0</v>
      </c>
      <c r="N42" s="288">
        <f t="shared" si="18"/>
        <v>0</v>
      </c>
      <c r="O42" s="288">
        <f t="shared" si="18"/>
        <v>0</v>
      </c>
      <c r="P42" s="288">
        <f t="shared" si="18"/>
        <v>0</v>
      </c>
      <c r="Q42" s="288">
        <f t="shared" si="18"/>
        <v>0</v>
      </c>
      <c r="R42" s="288">
        <f t="shared" ref="R42:R83" si="31">IF(R$2&gt;$B42,(IF(R$2&lt;=$B43,(IF(AVERAGE($B42,$B43)&gt;R$2,$A42,$A43)),0)),0)</f>
        <v>0</v>
      </c>
      <c r="S42" s="288">
        <f t="shared" si="27"/>
        <v>0</v>
      </c>
      <c r="T42" s="288">
        <f t="shared" si="27"/>
        <v>0</v>
      </c>
      <c r="U42" s="288">
        <f t="shared" si="27"/>
        <v>0</v>
      </c>
      <c r="V42" s="288">
        <f t="shared" si="27"/>
        <v>0</v>
      </c>
      <c r="W42" s="288">
        <f t="shared" si="27"/>
        <v>0</v>
      </c>
      <c r="X42" s="288">
        <f t="shared" si="27"/>
        <v>0</v>
      </c>
      <c r="Y42" s="288">
        <f t="shared" si="27"/>
        <v>0</v>
      </c>
      <c r="Z42" s="288">
        <f t="shared" si="24"/>
        <v>0</v>
      </c>
      <c r="AA42" s="288">
        <f t="shared" si="24"/>
        <v>0</v>
      </c>
      <c r="AB42" s="288">
        <f t="shared" si="24"/>
        <v>0</v>
      </c>
      <c r="AC42" s="288">
        <f t="shared" si="24"/>
        <v>0</v>
      </c>
      <c r="AD42" s="288">
        <f t="shared" si="24"/>
        <v>0</v>
      </c>
      <c r="AE42" s="288">
        <f t="shared" si="19"/>
        <v>0</v>
      </c>
      <c r="AF42" s="288">
        <f t="shared" si="19"/>
        <v>0</v>
      </c>
      <c r="AG42" s="288">
        <f t="shared" si="19"/>
        <v>0</v>
      </c>
      <c r="AH42" s="288">
        <f t="shared" si="19"/>
        <v>0</v>
      </c>
      <c r="AI42" s="288">
        <f t="shared" si="19"/>
        <v>0</v>
      </c>
      <c r="AJ42" s="288">
        <f t="shared" si="19"/>
        <v>0</v>
      </c>
      <c r="AK42" s="288">
        <f t="shared" si="19"/>
        <v>0</v>
      </c>
      <c r="AL42" s="288">
        <f t="shared" si="19"/>
        <v>0</v>
      </c>
      <c r="AM42" s="288">
        <f t="shared" si="19"/>
        <v>40</v>
      </c>
      <c r="AN42" s="288">
        <f t="shared" si="19"/>
        <v>0</v>
      </c>
      <c r="AO42" s="288">
        <f t="shared" si="19"/>
        <v>0</v>
      </c>
      <c r="AP42" s="288">
        <f t="shared" si="19"/>
        <v>0</v>
      </c>
      <c r="AQ42" s="288">
        <f t="shared" si="19"/>
        <v>0</v>
      </c>
      <c r="AR42" s="288">
        <f t="shared" si="19"/>
        <v>0</v>
      </c>
      <c r="AS42" s="288">
        <f t="shared" si="19"/>
        <v>0</v>
      </c>
      <c r="AT42" s="288">
        <f t="shared" si="19"/>
        <v>0</v>
      </c>
      <c r="AU42" s="288">
        <f t="shared" si="28"/>
        <v>0</v>
      </c>
      <c r="AV42" s="288">
        <f t="shared" si="25"/>
        <v>0</v>
      </c>
      <c r="AW42" s="288">
        <f t="shared" si="25"/>
        <v>0</v>
      </c>
      <c r="AX42" s="288">
        <f t="shared" si="25"/>
        <v>0</v>
      </c>
      <c r="AY42" s="288">
        <f t="shared" si="25"/>
        <v>0</v>
      </c>
      <c r="AZ42" s="288">
        <f t="shared" si="25"/>
        <v>0</v>
      </c>
      <c r="BA42" s="288">
        <f t="shared" si="25"/>
        <v>0</v>
      </c>
      <c r="BB42" s="288">
        <f t="shared" si="25"/>
        <v>0</v>
      </c>
      <c r="BC42" s="288">
        <f t="shared" si="25"/>
        <v>0</v>
      </c>
      <c r="BD42" s="288">
        <f t="shared" si="25"/>
        <v>0</v>
      </c>
      <c r="BE42" s="288">
        <f t="shared" si="25"/>
        <v>0</v>
      </c>
      <c r="BF42" s="288">
        <f t="shared" si="25"/>
        <v>0</v>
      </c>
      <c r="BG42" s="288">
        <f t="shared" si="25"/>
        <v>0</v>
      </c>
      <c r="BH42" s="288">
        <f t="shared" si="25"/>
        <v>0</v>
      </c>
      <c r="BI42" s="288">
        <f t="shared" si="25"/>
        <v>0</v>
      </c>
      <c r="BJ42" s="288">
        <f t="shared" si="25"/>
        <v>0</v>
      </c>
      <c r="BK42" s="288">
        <f t="shared" si="25"/>
        <v>0</v>
      </c>
      <c r="BL42" s="288">
        <f t="shared" si="26"/>
        <v>0</v>
      </c>
      <c r="BM42" s="288">
        <f t="shared" si="26"/>
        <v>0</v>
      </c>
      <c r="BN42" s="288">
        <f t="shared" si="17"/>
        <v>0</v>
      </c>
      <c r="BO42" s="288">
        <f t="shared" si="17"/>
        <v>0</v>
      </c>
      <c r="BP42" s="288">
        <f t="shared" si="17"/>
        <v>0</v>
      </c>
      <c r="BQ42" s="288">
        <f t="shared" si="17"/>
        <v>0</v>
      </c>
      <c r="BR42" s="288">
        <f t="shared" si="17"/>
        <v>0</v>
      </c>
      <c r="BS42" s="288">
        <f t="shared" si="17"/>
        <v>0</v>
      </c>
      <c r="BT42" s="288">
        <f t="shared" si="17"/>
        <v>0</v>
      </c>
      <c r="BU42" s="288">
        <f t="shared" si="17"/>
        <v>0</v>
      </c>
      <c r="BV42" s="288">
        <f t="shared" si="17"/>
        <v>0</v>
      </c>
      <c r="BW42" s="288">
        <f t="shared" si="17"/>
        <v>0</v>
      </c>
      <c r="BX42" s="288">
        <f t="shared" si="17"/>
        <v>0</v>
      </c>
      <c r="BY42" s="288">
        <f t="shared" si="17"/>
        <v>0</v>
      </c>
      <c r="BZ42" s="288">
        <f t="shared" si="17"/>
        <v>0</v>
      </c>
      <c r="CA42" s="288">
        <f t="shared" si="17"/>
        <v>0</v>
      </c>
      <c r="CB42" s="288">
        <f t="shared" si="17"/>
        <v>0</v>
      </c>
      <c r="CC42" s="288">
        <f t="shared" si="17"/>
        <v>0</v>
      </c>
      <c r="CD42" s="288">
        <f t="shared" si="23"/>
        <v>0</v>
      </c>
      <c r="CE42" s="288">
        <f t="shared" si="22"/>
        <v>0</v>
      </c>
      <c r="CF42" s="288">
        <f t="shared" si="22"/>
        <v>0</v>
      </c>
      <c r="CG42" s="288">
        <f t="shared" si="22"/>
        <v>0</v>
      </c>
      <c r="CH42" s="288">
        <f t="shared" si="22"/>
        <v>0</v>
      </c>
      <c r="CI42" s="288">
        <f t="shared" si="22"/>
        <v>0</v>
      </c>
      <c r="CJ42" s="288">
        <f t="shared" si="22"/>
        <v>0</v>
      </c>
      <c r="CK42" s="288">
        <f t="shared" si="22"/>
        <v>0</v>
      </c>
      <c r="CL42" s="288">
        <f t="shared" si="22"/>
        <v>0</v>
      </c>
      <c r="CM42" s="288">
        <f t="shared" si="22"/>
        <v>0</v>
      </c>
      <c r="CN42" s="288">
        <f t="shared" si="22"/>
        <v>0</v>
      </c>
      <c r="CO42" s="288">
        <f t="shared" si="22"/>
        <v>0</v>
      </c>
      <c r="CP42" s="288">
        <f t="shared" si="22"/>
        <v>0</v>
      </c>
      <c r="CQ42" s="288">
        <f t="shared" si="22"/>
        <v>0</v>
      </c>
      <c r="CR42" s="288">
        <f t="shared" si="22"/>
        <v>0</v>
      </c>
      <c r="CS42" s="288">
        <f t="shared" si="22"/>
        <v>0</v>
      </c>
      <c r="CT42" s="288">
        <f t="shared" si="22"/>
        <v>0</v>
      </c>
      <c r="CU42" s="288">
        <f t="shared" si="30"/>
        <v>0</v>
      </c>
      <c r="CV42" s="288">
        <f t="shared" si="29"/>
        <v>0</v>
      </c>
      <c r="CW42" s="288">
        <f t="shared" si="29"/>
        <v>0</v>
      </c>
      <c r="CX42" s="288">
        <f t="shared" si="21"/>
        <v>0</v>
      </c>
      <c r="CY42" s="288">
        <f t="shared" si="13"/>
        <v>0</v>
      </c>
      <c r="CZ42" s="288">
        <f t="shared" si="13"/>
        <v>0</v>
      </c>
      <c r="DA42" s="288">
        <f t="shared" si="13"/>
        <v>0</v>
      </c>
      <c r="DB42" s="288">
        <f t="shared" si="13"/>
        <v>0</v>
      </c>
      <c r="DC42" s="288">
        <f t="shared" si="13"/>
        <v>0</v>
      </c>
      <c r="DD42" s="288">
        <f t="shared" si="13"/>
        <v>0</v>
      </c>
      <c r="DE42" s="288">
        <f t="shared" si="13"/>
        <v>0</v>
      </c>
      <c r="DG42" s="314">
        <f t="shared" si="3"/>
        <v>42</v>
      </c>
      <c r="DH42" s="289">
        <f>MAX(AP$3:AP$109)</f>
        <v>42</v>
      </c>
      <c r="DJ42" s="288">
        <f>LOOKUP(DH42, 'Mortality Table'!A:A,('Mortality Table'!J:J/'Mortality Table'!I:I))</f>
        <v>3.0691685249843235E-3</v>
      </c>
      <c r="DK42" s="288">
        <f>LOOKUP(A42, 'Mortality Table'!A:A,('Mortality Table'!J:J/'Mortality Table'!I:I))</f>
        <v>2.4323318535583146E-3</v>
      </c>
      <c r="DL42" s="288">
        <f t="shared" si="4"/>
        <v>6.3683667142600897E-4</v>
      </c>
      <c r="DN42" s="288">
        <f>LOOKUP(DH42, 'Mortality Table'!A:A,('Mortality Table'!L:L/'Mortality Table'!K:K))</f>
        <v>3.1089434264239281E-3</v>
      </c>
      <c r="DO42" s="288">
        <f>LOOKUP(A42, 'Mortality Table'!A:A,('Mortality Table'!L:L/'Mortality Table'!K:K))</f>
        <v>2.4638536676770684E-3</v>
      </c>
      <c r="DP42" s="288">
        <f t="shared" si="5"/>
        <v>6.4508975874685978E-4</v>
      </c>
      <c r="DR42" s="288">
        <f>LOOKUP(DH42, 'Mortality Table'!A:A,('Mortality Table'!N:N/'Mortality Table'!M:M))</f>
        <v>3.1788160478978577E-3</v>
      </c>
      <c r="DS42" s="288">
        <f>LOOKUP(A42, 'Mortality Table'!A:A,('Mortality Table'!N:N/'Mortality Table'!M:M))</f>
        <v>2.5192280798408753E-3</v>
      </c>
      <c r="DT42" s="288">
        <f t="shared" si="6"/>
        <v>6.5958796805698234E-4</v>
      </c>
    </row>
    <row r="43" spans="1:124">
      <c r="A43" s="288">
        <v>40</v>
      </c>
      <c r="B43" s="288">
        <v>2.8497245266290924E-3</v>
      </c>
      <c r="C43" s="288">
        <f t="shared" ref="C43:Q59" si="32">IF(C$2&gt;$B43,(IF(C$2&lt;=$B44,(IF(AVERAGE($B43,$B44)&gt;C$2,$A43,$A44)),0)),0)</f>
        <v>0</v>
      </c>
      <c r="D43" s="288">
        <f t="shared" si="32"/>
        <v>0</v>
      </c>
      <c r="E43" s="288">
        <f t="shared" si="32"/>
        <v>0</v>
      </c>
      <c r="F43" s="288">
        <f t="shared" si="32"/>
        <v>0</v>
      </c>
      <c r="G43" s="288">
        <f t="shared" si="32"/>
        <v>0</v>
      </c>
      <c r="H43" s="288">
        <f t="shared" si="32"/>
        <v>0</v>
      </c>
      <c r="I43" s="288">
        <f t="shared" si="32"/>
        <v>0</v>
      </c>
      <c r="J43" s="288">
        <f t="shared" si="32"/>
        <v>0</v>
      </c>
      <c r="K43" s="288">
        <f t="shared" si="32"/>
        <v>0</v>
      </c>
      <c r="L43" s="288">
        <f t="shared" si="32"/>
        <v>0</v>
      </c>
      <c r="M43" s="288">
        <f t="shared" si="32"/>
        <v>0</v>
      </c>
      <c r="N43" s="288">
        <f t="shared" si="32"/>
        <v>0</v>
      </c>
      <c r="O43" s="288">
        <f t="shared" si="32"/>
        <v>0</v>
      </c>
      <c r="P43" s="288">
        <f t="shared" si="32"/>
        <v>0</v>
      </c>
      <c r="Q43" s="288">
        <f t="shared" si="32"/>
        <v>0</v>
      </c>
      <c r="R43" s="288">
        <f t="shared" si="31"/>
        <v>0</v>
      </c>
      <c r="S43" s="288">
        <f t="shared" si="27"/>
        <v>0</v>
      </c>
      <c r="T43" s="288">
        <f t="shared" si="27"/>
        <v>0</v>
      </c>
      <c r="U43" s="288">
        <f t="shared" si="27"/>
        <v>0</v>
      </c>
      <c r="V43" s="288">
        <f t="shared" si="27"/>
        <v>0</v>
      </c>
      <c r="W43" s="288">
        <f t="shared" si="27"/>
        <v>0</v>
      </c>
      <c r="X43" s="288">
        <f t="shared" si="27"/>
        <v>0</v>
      </c>
      <c r="Y43" s="288">
        <f t="shared" si="27"/>
        <v>0</v>
      </c>
      <c r="Z43" s="288">
        <f t="shared" si="24"/>
        <v>0</v>
      </c>
      <c r="AA43" s="288">
        <f t="shared" si="24"/>
        <v>0</v>
      </c>
      <c r="AB43" s="288">
        <f t="shared" si="24"/>
        <v>0</v>
      </c>
      <c r="AC43" s="288">
        <f t="shared" si="24"/>
        <v>0</v>
      </c>
      <c r="AD43" s="288">
        <f t="shared" si="24"/>
        <v>0</v>
      </c>
      <c r="AE43" s="288">
        <f t="shared" si="19"/>
        <v>0</v>
      </c>
      <c r="AF43" s="288">
        <f t="shared" si="19"/>
        <v>0</v>
      </c>
      <c r="AG43" s="288">
        <f t="shared" si="19"/>
        <v>0</v>
      </c>
      <c r="AH43" s="288">
        <f t="shared" si="19"/>
        <v>0</v>
      </c>
      <c r="AI43" s="288">
        <f t="shared" si="19"/>
        <v>0</v>
      </c>
      <c r="AJ43" s="288">
        <f t="shared" si="19"/>
        <v>0</v>
      </c>
      <c r="AK43" s="288">
        <f t="shared" si="19"/>
        <v>0</v>
      </c>
      <c r="AL43" s="288">
        <f t="shared" si="19"/>
        <v>0</v>
      </c>
      <c r="AM43" s="288">
        <f t="shared" si="19"/>
        <v>0</v>
      </c>
      <c r="AN43" s="288">
        <f t="shared" si="19"/>
        <v>40</v>
      </c>
      <c r="AO43" s="288">
        <f t="shared" si="19"/>
        <v>0</v>
      </c>
      <c r="AP43" s="288">
        <f t="shared" si="19"/>
        <v>0</v>
      </c>
      <c r="AQ43" s="288">
        <f t="shared" si="19"/>
        <v>0</v>
      </c>
      <c r="AR43" s="288">
        <f t="shared" si="19"/>
        <v>0</v>
      </c>
      <c r="AS43" s="288">
        <f t="shared" si="19"/>
        <v>0</v>
      </c>
      <c r="AT43" s="288">
        <f t="shared" si="19"/>
        <v>0</v>
      </c>
      <c r="AU43" s="288">
        <f t="shared" si="28"/>
        <v>0</v>
      </c>
      <c r="AV43" s="288">
        <f t="shared" si="25"/>
        <v>0</v>
      </c>
      <c r="AW43" s="288">
        <f t="shared" si="25"/>
        <v>0</v>
      </c>
      <c r="AX43" s="288">
        <f t="shared" si="25"/>
        <v>0</v>
      </c>
      <c r="AY43" s="288">
        <f t="shared" si="25"/>
        <v>0</v>
      </c>
      <c r="AZ43" s="288">
        <f t="shared" si="25"/>
        <v>0</v>
      </c>
      <c r="BA43" s="288">
        <f t="shared" si="25"/>
        <v>0</v>
      </c>
      <c r="BB43" s="288">
        <f t="shared" si="25"/>
        <v>0</v>
      </c>
      <c r="BC43" s="288">
        <f t="shared" si="25"/>
        <v>0</v>
      </c>
      <c r="BD43" s="288">
        <f t="shared" si="25"/>
        <v>0</v>
      </c>
      <c r="BE43" s="288">
        <f t="shared" si="25"/>
        <v>0</v>
      </c>
      <c r="BF43" s="288">
        <f t="shared" si="25"/>
        <v>0</v>
      </c>
      <c r="BG43" s="288">
        <f t="shared" si="25"/>
        <v>0</v>
      </c>
      <c r="BH43" s="288">
        <f t="shared" si="25"/>
        <v>0</v>
      </c>
      <c r="BI43" s="288">
        <f t="shared" si="25"/>
        <v>0</v>
      </c>
      <c r="BJ43" s="288">
        <f t="shared" si="25"/>
        <v>0</v>
      </c>
      <c r="BK43" s="288">
        <f t="shared" si="25"/>
        <v>0</v>
      </c>
      <c r="BL43" s="288">
        <f t="shared" si="26"/>
        <v>0</v>
      </c>
      <c r="BM43" s="288">
        <f t="shared" si="26"/>
        <v>0</v>
      </c>
      <c r="BN43" s="288">
        <f t="shared" si="17"/>
        <v>0</v>
      </c>
      <c r="BO43" s="288">
        <f t="shared" si="17"/>
        <v>0</v>
      </c>
      <c r="BP43" s="288">
        <f t="shared" si="17"/>
        <v>0</v>
      </c>
      <c r="BQ43" s="288">
        <f t="shared" si="17"/>
        <v>0</v>
      </c>
      <c r="BR43" s="288">
        <f t="shared" si="17"/>
        <v>0</v>
      </c>
      <c r="BS43" s="288">
        <f t="shared" si="17"/>
        <v>0</v>
      </c>
      <c r="BT43" s="288">
        <f t="shared" si="17"/>
        <v>0</v>
      </c>
      <c r="BU43" s="288">
        <f t="shared" si="17"/>
        <v>0</v>
      </c>
      <c r="BV43" s="288">
        <f t="shared" si="17"/>
        <v>0</v>
      </c>
      <c r="BW43" s="288">
        <f t="shared" si="17"/>
        <v>0</v>
      </c>
      <c r="BX43" s="288">
        <f t="shared" si="17"/>
        <v>0</v>
      </c>
      <c r="BY43" s="288">
        <f t="shared" si="17"/>
        <v>0</v>
      </c>
      <c r="BZ43" s="288">
        <f t="shared" si="17"/>
        <v>0</v>
      </c>
      <c r="CA43" s="288">
        <f t="shared" si="17"/>
        <v>0</v>
      </c>
      <c r="CB43" s="288">
        <f t="shared" si="17"/>
        <v>0</v>
      </c>
      <c r="CC43" s="288">
        <f t="shared" si="17"/>
        <v>0</v>
      </c>
      <c r="CD43" s="288">
        <f t="shared" si="23"/>
        <v>0</v>
      </c>
      <c r="CE43" s="288">
        <f t="shared" si="22"/>
        <v>0</v>
      </c>
      <c r="CF43" s="288">
        <f t="shared" si="22"/>
        <v>0</v>
      </c>
      <c r="CG43" s="288">
        <f t="shared" si="22"/>
        <v>0</v>
      </c>
      <c r="CH43" s="288">
        <f t="shared" si="22"/>
        <v>0</v>
      </c>
      <c r="CI43" s="288">
        <f t="shared" si="22"/>
        <v>0</v>
      </c>
      <c r="CJ43" s="288">
        <f t="shared" si="22"/>
        <v>0</v>
      </c>
      <c r="CK43" s="288">
        <f t="shared" si="22"/>
        <v>0</v>
      </c>
      <c r="CL43" s="288">
        <f t="shared" si="22"/>
        <v>0</v>
      </c>
      <c r="CM43" s="288">
        <f t="shared" si="22"/>
        <v>0</v>
      </c>
      <c r="CN43" s="288">
        <f t="shared" si="22"/>
        <v>0</v>
      </c>
      <c r="CO43" s="288">
        <f t="shared" si="22"/>
        <v>0</v>
      </c>
      <c r="CP43" s="288">
        <f t="shared" si="22"/>
        <v>0</v>
      </c>
      <c r="CQ43" s="288">
        <f t="shared" si="22"/>
        <v>0</v>
      </c>
      <c r="CR43" s="288">
        <f t="shared" si="22"/>
        <v>0</v>
      </c>
      <c r="CS43" s="288">
        <f t="shared" si="22"/>
        <v>0</v>
      </c>
      <c r="CT43" s="288">
        <f t="shared" si="22"/>
        <v>0</v>
      </c>
      <c r="CU43" s="288">
        <f t="shared" si="30"/>
        <v>0</v>
      </c>
      <c r="CV43" s="288">
        <f t="shared" si="29"/>
        <v>0</v>
      </c>
      <c r="CW43" s="288">
        <f t="shared" si="29"/>
        <v>0</v>
      </c>
      <c r="CX43" s="288">
        <f t="shared" si="21"/>
        <v>0</v>
      </c>
      <c r="CY43" s="288">
        <f t="shared" si="13"/>
        <v>0</v>
      </c>
      <c r="CZ43" s="288">
        <f t="shared" si="13"/>
        <v>0</v>
      </c>
      <c r="DA43" s="288">
        <f t="shared" si="13"/>
        <v>0</v>
      </c>
      <c r="DB43" s="288">
        <f t="shared" si="13"/>
        <v>0</v>
      </c>
      <c r="DC43" s="288">
        <f t="shared" si="13"/>
        <v>0</v>
      </c>
      <c r="DD43" s="288">
        <f t="shared" si="13"/>
        <v>0</v>
      </c>
      <c r="DE43" s="288">
        <f t="shared" si="13"/>
        <v>0</v>
      </c>
      <c r="DG43" s="314">
        <f t="shared" si="3"/>
        <v>43</v>
      </c>
      <c r="DH43" s="289">
        <f>MAX(AQ$3:AQ$109)</f>
        <v>43</v>
      </c>
      <c r="DJ43" s="288">
        <f>LOOKUP(DH43, 'Mortality Table'!A:A,('Mortality Table'!J:J/'Mortality Table'!I:I))</f>
        <v>3.4619129002227416E-3</v>
      </c>
      <c r="DK43" s="288">
        <f>LOOKUP(A43, 'Mortality Table'!A:A,('Mortality Table'!J:J/'Mortality Table'!I:I))</f>
        <v>2.6233840672170577E-3</v>
      </c>
      <c r="DL43" s="288">
        <f t="shared" si="4"/>
        <v>8.3852883300568381E-4</v>
      </c>
      <c r="DN43" s="288">
        <f>LOOKUP(DH43, 'Mortality Table'!A:A,('Mortality Table'!L:L/'Mortality Table'!K:K))</f>
        <v>3.5067775739211489E-3</v>
      </c>
      <c r="DO43" s="288">
        <f>LOOKUP(A43, 'Mortality Table'!A:A,('Mortality Table'!L:L/'Mortality Table'!K:K))</f>
        <v>2.6573818232419788E-3</v>
      </c>
      <c r="DP43" s="288">
        <f t="shared" si="5"/>
        <v>8.4939575067917005E-4</v>
      </c>
      <c r="DR43" s="288">
        <f>LOOKUP(DH43, 'Mortality Table'!A:A,('Mortality Table'!N:N/'Mortality Table'!M:M))</f>
        <v>3.5855914049909864E-3</v>
      </c>
      <c r="DS43" s="288">
        <f>LOOKUP(A43, 'Mortality Table'!A:A,('Mortality Table'!N:N/'Mortality Table'!M:M))</f>
        <v>2.7171057257964438E-3</v>
      </c>
      <c r="DT43" s="288">
        <f t="shared" si="6"/>
        <v>8.6848567919454263E-4</v>
      </c>
    </row>
    <row r="44" spans="1:124">
      <c r="A44" s="288">
        <v>41</v>
      </c>
      <c r="B44" s="288">
        <v>3.1119014352851519E-3</v>
      </c>
      <c r="C44" s="288">
        <f t="shared" si="32"/>
        <v>0</v>
      </c>
      <c r="D44" s="288">
        <f t="shared" si="32"/>
        <v>0</v>
      </c>
      <c r="E44" s="288">
        <f t="shared" si="32"/>
        <v>0</v>
      </c>
      <c r="F44" s="288">
        <f t="shared" si="32"/>
        <v>0</v>
      </c>
      <c r="G44" s="288">
        <f t="shared" si="32"/>
        <v>0</v>
      </c>
      <c r="H44" s="288">
        <f t="shared" si="32"/>
        <v>0</v>
      </c>
      <c r="I44" s="288">
        <f t="shared" si="32"/>
        <v>0</v>
      </c>
      <c r="J44" s="288">
        <f t="shared" si="32"/>
        <v>0</v>
      </c>
      <c r="K44" s="288">
        <f t="shared" si="32"/>
        <v>0</v>
      </c>
      <c r="L44" s="288">
        <f t="shared" si="32"/>
        <v>0</v>
      </c>
      <c r="M44" s="288">
        <f t="shared" si="32"/>
        <v>0</v>
      </c>
      <c r="N44" s="288">
        <f t="shared" si="32"/>
        <v>0</v>
      </c>
      <c r="O44" s="288">
        <f t="shared" si="32"/>
        <v>0</v>
      </c>
      <c r="P44" s="288">
        <f t="shared" si="32"/>
        <v>0</v>
      </c>
      <c r="Q44" s="288">
        <f t="shared" si="32"/>
        <v>0</v>
      </c>
      <c r="R44" s="288">
        <f t="shared" si="31"/>
        <v>0</v>
      </c>
      <c r="S44" s="288">
        <f t="shared" si="27"/>
        <v>0</v>
      </c>
      <c r="T44" s="288">
        <f t="shared" si="27"/>
        <v>0</v>
      </c>
      <c r="U44" s="288">
        <f t="shared" si="27"/>
        <v>0</v>
      </c>
      <c r="V44" s="288">
        <f t="shared" si="27"/>
        <v>0</v>
      </c>
      <c r="W44" s="288">
        <f t="shared" si="27"/>
        <v>0</v>
      </c>
      <c r="X44" s="288">
        <f t="shared" si="27"/>
        <v>0</v>
      </c>
      <c r="Y44" s="288">
        <f t="shared" si="27"/>
        <v>0</v>
      </c>
      <c r="Z44" s="288">
        <f t="shared" si="24"/>
        <v>0</v>
      </c>
      <c r="AA44" s="288">
        <f t="shared" si="24"/>
        <v>0</v>
      </c>
      <c r="AB44" s="288">
        <f t="shared" si="24"/>
        <v>0</v>
      </c>
      <c r="AC44" s="288">
        <f t="shared" si="24"/>
        <v>0</v>
      </c>
      <c r="AD44" s="288">
        <f t="shared" si="24"/>
        <v>0</v>
      </c>
      <c r="AE44" s="288">
        <f t="shared" si="19"/>
        <v>0</v>
      </c>
      <c r="AF44" s="288">
        <f t="shared" si="19"/>
        <v>0</v>
      </c>
      <c r="AG44" s="288">
        <f t="shared" si="19"/>
        <v>0</v>
      </c>
      <c r="AH44" s="288">
        <f t="shared" si="19"/>
        <v>0</v>
      </c>
      <c r="AI44" s="288">
        <f t="shared" si="19"/>
        <v>0</v>
      </c>
      <c r="AJ44" s="288">
        <f t="shared" si="19"/>
        <v>0</v>
      </c>
      <c r="AK44" s="288">
        <f t="shared" si="19"/>
        <v>0</v>
      </c>
      <c r="AL44" s="288">
        <f t="shared" si="19"/>
        <v>0</v>
      </c>
      <c r="AM44" s="288">
        <f t="shared" si="19"/>
        <v>0</v>
      </c>
      <c r="AN44" s="288">
        <f t="shared" si="19"/>
        <v>0</v>
      </c>
      <c r="AO44" s="288">
        <f t="shared" si="19"/>
        <v>41</v>
      </c>
      <c r="AP44" s="288">
        <f t="shared" si="19"/>
        <v>42</v>
      </c>
      <c r="AQ44" s="288">
        <f t="shared" si="19"/>
        <v>0</v>
      </c>
      <c r="AR44" s="288">
        <f t="shared" si="19"/>
        <v>0</v>
      </c>
      <c r="AS44" s="288">
        <f t="shared" si="19"/>
        <v>0</v>
      </c>
      <c r="AT44" s="288">
        <f t="shared" si="19"/>
        <v>0</v>
      </c>
      <c r="AU44" s="288">
        <f t="shared" si="28"/>
        <v>0</v>
      </c>
      <c r="AV44" s="288">
        <f t="shared" si="25"/>
        <v>0</v>
      </c>
      <c r="AW44" s="288">
        <f t="shared" si="25"/>
        <v>0</v>
      </c>
      <c r="AX44" s="288">
        <f t="shared" si="25"/>
        <v>0</v>
      </c>
      <c r="AY44" s="288">
        <f t="shared" si="25"/>
        <v>0</v>
      </c>
      <c r="AZ44" s="288">
        <f t="shared" si="25"/>
        <v>0</v>
      </c>
      <c r="BA44" s="288">
        <f t="shared" si="25"/>
        <v>0</v>
      </c>
      <c r="BB44" s="288">
        <f t="shared" si="25"/>
        <v>0</v>
      </c>
      <c r="BC44" s="288">
        <f t="shared" si="25"/>
        <v>0</v>
      </c>
      <c r="BD44" s="288">
        <f t="shared" si="25"/>
        <v>0</v>
      </c>
      <c r="BE44" s="288">
        <f t="shared" si="25"/>
        <v>0</v>
      </c>
      <c r="BF44" s="288">
        <f t="shared" si="25"/>
        <v>0</v>
      </c>
      <c r="BG44" s="288">
        <f t="shared" si="25"/>
        <v>0</v>
      </c>
      <c r="BH44" s="288">
        <f t="shared" si="25"/>
        <v>0</v>
      </c>
      <c r="BI44" s="288">
        <f t="shared" si="25"/>
        <v>0</v>
      </c>
      <c r="BJ44" s="288">
        <f t="shared" si="25"/>
        <v>0</v>
      </c>
      <c r="BK44" s="288">
        <f t="shared" si="25"/>
        <v>0</v>
      </c>
      <c r="BL44" s="288">
        <f t="shared" si="26"/>
        <v>0</v>
      </c>
      <c r="BM44" s="288">
        <f t="shared" si="26"/>
        <v>0</v>
      </c>
      <c r="BN44" s="288">
        <f t="shared" si="17"/>
        <v>0</v>
      </c>
      <c r="BO44" s="288">
        <f t="shared" si="17"/>
        <v>0</v>
      </c>
      <c r="BP44" s="288">
        <f t="shared" si="17"/>
        <v>0</v>
      </c>
      <c r="BQ44" s="288">
        <f t="shared" si="17"/>
        <v>0</v>
      </c>
      <c r="BR44" s="288">
        <f t="shared" si="17"/>
        <v>0</v>
      </c>
      <c r="BS44" s="288">
        <f t="shared" si="17"/>
        <v>0</v>
      </c>
      <c r="BT44" s="288">
        <f t="shared" si="17"/>
        <v>0</v>
      </c>
      <c r="BU44" s="288">
        <f t="shared" si="17"/>
        <v>0</v>
      </c>
      <c r="BV44" s="288">
        <f t="shared" si="17"/>
        <v>0</v>
      </c>
      <c r="BW44" s="288">
        <f t="shared" si="17"/>
        <v>0</v>
      </c>
      <c r="BX44" s="288">
        <f t="shared" si="17"/>
        <v>0</v>
      </c>
      <c r="BY44" s="288">
        <f t="shared" si="17"/>
        <v>0</v>
      </c>
      <c r="BZ44" s="288">
        <f t="shared" si="17"/>
        <v>0</v>
      </c>
      <c r="CA44" s="288">
        <f t="shared" si="17"/>
        <v>0</v>
      </c>
      <c r="CB44" s="288">
        <f t="shared" si="17"/>
        <v>0</v>
      </c>
      <c r="CC44" s="288">
        <f t="shared" si="17"/>
        <v>0</v>
      </c>
      <c r="CD44" s="288">
        <f t="shared" si="23"/>
        <v>0</v>
      </c>
      <c r="CE44" s="288">
        <f t="shared" si="22"/>
        <v>0</v>
      </c>
      <c r="CF44" s="288">
        <f t="shared" si="22"/>
        <v>0</v>
      </c>
      <c r="CG44" s="288">
        <f t="shared" si="22"/>
        <v>0</v>
      </c>
      <c r="CH44" s="288">
        <f t="shared" si="22"/>
        <v>0</v>
      </c>
      <c r="CI44" s="288">
        <f t="shared" si="22"/>
        <v>0</v>
      </c>
      <c r="CJ44" s="288">
        <f t="shared" si="22"/>
        <v>0</v>
      </c>
      <c r="CK44" s="288">
        <f t="shared" si="22"/>
        <v>0</v>
      </c>
      <c r="CL44" s="288">
        <f t="shared" si="22"/>
        <v>0</v>
      </c>
      <c r="CM44" s="288">
        <f t="shared" si="22"/>
        <v>0</v>
      </c>
      <c r="CN44" s="288">
        <f t="shared" si="22"/>
        <v>0</v>
      </c>
      <c r="CO44" s="288">
        <f t="shared" si="22"/>
        <v>0</v>
      </c>
      <c r="CP44" s="288">
        <f t="shared" si="22"/>
        <v>0</v>
      </c>
      <c r="CQ44" s="288">
        <f t="shared" si="22"/>
        <v>0</v>
      </c>
      <c r="CR44" s="288">
        <f t="shared" si="22"/>
        <v>0</v>
      </c>
      <c r="CS44" s="288">
        <f t="shared" si="22"/>
        <v>0</v>
      </c>
      <c r="CT44" s="288">
        <f t="shared" si="22"/>
        <v>0</v>
      </c>
      <c r="CU44" s="288">
        <f t="shared" si="30"/>
        <v>0</v>
      </c>
      <c r="CV44" s="288">
        <f t="shared" si="29"/>
        <v>0</v>
      </c>
      <c r="CW44" s="288">
        <f t="shared" si="29"/>
        <v>0</v>
      </c>
      <c r="CX44" s="288">
        <f t="shared" si="21"/>
        <v>0</v>
      </c>
      <c r="CY44" s="288">
        <f t="shared" si="13"/>
        <v>0</v>
      </c>
      <c r="CZ44" s="288">
        <f t="shared" si="13"/>
        <v>0</v>
      </c>
      <c r="DA44" s="288">
        <f t="shared" si="13"/>
        <v>0</v>
      </c>
      <c r="DB44" s="288">
        <f t="shared" si="13"/>
        <v>0</v>
      </c>
      <c r="DC44" s="288">
        <f t="shared" si="13"/>
        <v>0</v>
      </c>
      <c r="DD44" s="288">
        <f t="shared" si="13"/>
        <v>0</v>
      </c>
      <c r="DE44" s="288">
        <f t="shared" si="13"/>
        <v>0</v>
      </c>
      <c r="DG44" s="314">
        <f t="shared" si="3"/>
        <v>43</v>
      </c>
      <c r="DH44" s="289">
        <f>MAX(AR$3:AR$109)</f>
        <v>43</v>
      </c>
      <c r="DJ44" s="288">
        <f>LOOKUP(DH44, 'Mortality Table'!A:A,('Mortality Table'!J:J/'Mortality Table'!I:I))</f>
        <v>3.4619129002227416E-3</v>
      </c>
      <c r="DK44" s="288">
        <f>LOOKUP(A44, 'Mortality Table'!A:A,('Mortality Table'!J:J/'Mortality Table'!I:I))</f>
        <v>2.8647374747248736E-3</v>
      </c>
      <c r="DL44" s="288">
        <f t="shared" si="4"/>
        <v>5.9717542549786798E-4</v>
      </c>
      <c r="DN44" s="288">
        <f>LOOKUP(DH44, 'Mortality Table'!A:A,('Mortality Table'!L:L/'Mortality Table'!K:K))</f>
        <v>3.5067775739211489E-3</v>
      </c>
      <c r="DO44" s="288">
        <f>LOOKUP(A44, 'Mortality Table'!A:A,('Mortality Table'!L:L/'Mortality Table'!K:K))</f>
        <v>2.9018630511733357E-3</v>
      </c>
      <c r="DP44" s="288">
        <f t="shared" si="5"/>
        <v>6.0491452274781315E-4</v>
      </c>
      <c r="DR44" s="288">
        <f>LOOKUP(DH44, 'Mortality Table'!A:A,('Mortality Table'!N:N/'Mortality Table'!M:M))</f>
        <v>3.5855914049909864E-3</v>
      </c>
      <c r="DS44" s="288">
        <f>LOOKUP(A44, 'Mortality Table'!A:A,('Mortality Table'!N:N/'Mortality Table'!M:M))</f>
        <v>2.967081599964054E-3</v>
      </c>
      <c r="DT44" s="288">
        <f t="shared" si="6"/>
        <v>6.1850980502693243E-4</v>
      </c>
    </row>
    <row r="45" spans="1:124">
      <c r="A45" s="288">
        <v>42</v>
      </c>
      <c r="B45" s="288">
        <v>3.3339703977405448E-3</v>
      </c>
      <c r="C45" s="288">
        <f t="shared" si="32"/>
        <v>0</v>
      </c>
      <c r="D45" s="288">
        <f t="shared" si="32"/>
        <v>0</v>
      </c>
      <c r="E45" s="288">
        <f t="shared" si="32"/>
        <v>0</v>
      </c>
      <c r="F45" s="288">
        <f t="shared" si="32"/>
        <v>0</v>
      </c>
      <c r="G45" s="288">
        <f t="shared" si="32"/>
        <v>0</v>
      </c>
      <c r="H45" s="288">
        <f t="shared" si="32"/>
        <v>0</v>
      </c>
      <c r="I45" s="288">
        <f t="shared" si="32"/>
        <v>0</v>
      </c>
      <c r="J45" s="288">
        <f t="shared" si="32"/>
        <v>0</v>
      </c>
      <c r="K45" s="288">
        <f t="shared" si="32"/>
        <v>0</v>
      </c>
      <c r="L45" s="288">
        <f t="shared" si="32"/>
        <v>0</v>
      </c>
      <c r="M45" s="288">
        <f t="shared" si="32"/>
        <v>0</v>
      </c>
      <c r="N45" s="288">
        <f t="shared" si="32"/>
        <v>0</v>
      </c>
      <c r="O45" s="288">
        <f t="shared" si="32"/>
        <v>0</v>
      </c>
      <c r="P45" s="288">
        <f t="shared" si="32"/>
        <v>0</v>
      </c>
      <c r="Q45" s="288">
        <f t="shared" si="32"/>
        <v>0</v>
      </c>
      <c r="R45" s="288">
        <f t="shared" si="31"/>
        <v>0</v>
      </c>
      <c r="S45" s="288">
        <f t="shared" si="27"/>
        <v>0</v>
      </c>
      <c r="T45" s="288">
        <f t="shared" si="27"/>
        <v>0</v>
      </c>
      <c r="U45" s="288">
        <f t="shared" si="27"/>
        <v>0</v>
      </c>
      <c r="V45" s="288">
        <f t="shared" si="27"/>
        <v>0</v>
      </c>
      <c r="W45" s="288">
        <f t="shared" si="27"/>
        <v>0</v>
      </c>
      <c r="X45" s="288">
        <f t="shared" si="27"/>
        <v>0</v>
      </c>
      <c r="Y45" s="288">
        <f t="shared" si="27"/>
        <v>0</v>
      </c>
      <c r="Z45" s="288">
        <f t="shared" si="24"/>
        <v>0</v>
      </c>
      <c r="AA45" s="288">
        <f t="shared" si="24"/>
        <v>0</v>
      </c>
      <c r="AB45" s="288">
        <f t="shared" si="24"/>
        <v>0</v>
      </c>
      <c r="AC45" s="288">
        <f t="shared" si="24"/>
        <v>0</v>
      </c>
      <c r="AD45" s="288">
        <f t="shared" si="24"/>
        <v>0</v>
      </c>
      <c r="AE45" s="288">
        <f t="shared" si="19"/>
        <v>0</v>
      </c>
      <c r="AF45" s="288">
        <f t="shared" si="19"/>
        <v>0</v>
      </c>
      <c r="AG45" s="288">
        <f t="shared" si="19"/>
        <v>0</v>
      </c>
      <c r="AH45" s="288">
        <f t="shared" si="19"/>
        <v>0</v>
      </c>
      <c r="AI45" s="288">
        <f t="shared" si="19"/>
        <v>0</v>
      </c>
      <c r="AJ45" s="288">
        <f t="shared" si="19"/>
        <v>0</v>
      </c>
      <c r="AK45" s="288">
        <f t="shared" si="19"/>
        <v>0</v>
      </c>
      <c r="AL45" s="288">
        <f t="shared" si="19"/>
        <v>0</v>
      </c>
      <c r="AM45" s="288">
        <f t="shared" si="19"/>
        <v>0</v>
      </c>
      <c r="AN45" s="288">
        <f t="shared" si="19"/>
        <v>0</v>
      </c>
      <c r="AO45" s="288">
        <f t="shared" si="19"/>
        <v>0</v>
      </c>
      <c r="AP45" s="288">
        <f t="shared" si="19"/>
        <v>0</v>
      </c>
      <c r="AQ45" s="288">
        <f t="shared" si="19"/>
        <v>43</v>
      </c>
      <c r="AR45" s="288">
        <f t="shared" si="19"/>
        <v>0</v>
      </c>
      <c r="AS45" s="288">
        <f t="shared" si="19"/>
        <v>0</v>
      </c>
      <c r="AT45" s="288">
        <f t="shared" si="19"/>
        <v>0</v>
      </c>
      <c r="AU45" s="288">
        <f t="shared" si="28"/>
        <v>0</v>
      </c>
      <c r="AV45" s="288">
        <f t="shared" si="25"/>
        <v>0</v>
      </c>
      <c r="AW45" s="288">
        <f t="shared" si="25"/>
        <v>0</v>
      </c>
      <c r="AX45" s="288">
        <f t="shared" si="25"/>
        <v>0</v>
      </c>
      <c r="AY45" s="288">
        <f t="shared" si="25"/>
        <v>0</v>
      </c>
      <c r="AZ45" s="288">
        <f t="shared" si="25"/>
        <v>0</v>
      </c>
      <c r="BA45" s="288">
        <f t="shared" si="25"/>
        <v>0</v>
      </c>
      <c r="BB45" s="288">
        <f t="shared" si="25"/>
        <v>0</v>
      </c>
      <c r="BC45" s="288">
        <f t="shared" si="25"/>
        <v>0</v>
      </c>
      <c r="BD45" s="288">
        <f t="shared" si="25"/>
        <v>0</v>
      </c>
      <c r="BE45" s="288">
        <f t="shared" si="25"/>
        <v>0</v>
      </c>
      <c r="BF45" s="288">
        <f t="shared" si="25"/>
        <v>0</v>
      </c>
      <c r="BG45" s="288">
        <f t="shared" si="25"/>
        <v>0</v>
      </c>
      <c r="BH45" s="288">
        <f t="shared" si="25"/>
        <v>0</v>
      </c>
      <c r="BI45" s="288">
        <f t="shared" si="25"/>
        <v>0</v>
      </c>
      <c r="BJ45" s="288">
        <f t="shared" si="25"/>
        <v>0</v>
      </c>
      <c r="BK45" s="288">
        <f t="shared" si="25"/>
        <v>0</v>
      </c>
      <c r="BL45" s="288">
        <f t="shared" si="26"/>
        <v>0</v>
      </c>
      <c r="BM45" s="288">
        <f t="shared" si="26"/>
        <v>0</v>
      </c>
      <c r="BN45" s="288">
        <f t="shared" si="17"/>
        <v>0</v>
      </c>
      <c r="BO45" s="288">
        <f t="shared" si="17"/>
        <v>0</v>
      </c>
      <c r="BP45" s="288">
        <f t="shared" si="17"/>
        <v>0</v>
      </c>
      <c r="BQ45" s="288">
        <f t="shared" si="17"/>
        <v>0</v>
      </c>
      <c r="BR45" s="288">
        <f t="shared" si="17"/>
        <v>0</v>
      </c>
      <c r="BS45" s="288">
        <f t="shared" si="17"/>
        <v>0</v>
      </c>
      <c r="BT45" s="288">
        <f t="shared" si="17"/>
        <v>0</v>
      </c>
      <c r="BU45" s="288">
        <f t="shared" si="17"/>
        <v>0</v>
      </c>
      <c r="BV45" s="288">
        <f t="shared" si="17"/>
        <v>0</v>
      </c>
      <c r="BW45" s="288">
        <f t="shared" si="17"/>
        <v>0</v>
      </c>
      <c r="BX45" s="288">
        <f t="shared" si="17"/>
        <v>0</v>
      </c>
      <c r="BY45" s="288">
        <f t="shared" si="17"/>
        <v>0</v>
      </c>
      <c r="BZ45" s="288">
        <f t="shared" si="17"/>
        <v>0</v>
      </c>
      <c r="CA45" s="288">
        <f t="shared" si="17"/>
        <v>0</v>
      </c>
      <c r="CB45" s="288">
        <f t="shared" si="17"/>
        <v>0</v>
      </c>
      <c r="CC45" s="288">
        <f t="shared" si="17"/>
        <v>0</v>
      </c>
      <c r="CD45" s="288">
        <f t="shared" si="23"/>
        <v>0</v>
      </c>
      <c r="CE45" s="288">
        <f t="shared" si="22"/>
        <v>0</v>
      </c>
      <c r="CF45" s="288">
        <f t="shared" si="22"/>
        <v>0</v>
      </c>
      <c r="CG45" s="288">
        <f t="shared" si="22"/>
        <v>0</v>
      </c>
      <c r="CH45" s="288">
        <f t="shared" si="22"/>
        <v>0</v>
      </c>
      <c r="CI45" s="288">
        <f t="shared" si="22"/>
        <v>0</v>
      </c>
      <c r="CJ45" s="288">
        <f t="shared" si="22"/>
        <v>0</v>
      </c>
      <c r="CK45" s="288">
        <f t="shared" si="22"/>
        <v>0</v>
      </c>
      <c r="CL45" s="288">
        <f t="shared" si="22"/>
        <v>0</v>
      </c>
      <c r="CM45" s="288">
        <f t="shared" si="22"/>
        <v>0</v>
      </c>
      <c r="CN45" s="288">
        <f t="shared" si="22"/>
        <v>0</v>
      </c>
      <c r="CO45" s="288">
        <f t="shared" si="22"/>
        <v>0</v>
      </c>
      <c r="CP45" s="288">
        <f t="shared" si="22"/>
        <v>0</v>
      </c>
      <c r="CQ45" s="288">
        <f t="shared" si="22"/>
        <v>0</v>
      </c>
      <c r="CR45" s="288">
        <f t="shared" si="22"/>
        <v>0</v>
      </c>
      <c r="CS45" s="288">
        <f t="shared" si="22"/>
        <v>0</v>
      </c>
      <c r="CT45" s="288">
        <f t="shared" si="22"/>
        <v>0</v>
      </c>
      <c r="CU45" s="288">
        <f t="shared" si="30"/>
        <v>0</v>
      </c>
      <c r="CV45" s="288">
        <f t="shared" si="29"/>
        <v>0</v>
      </c>
      <c r="CW45" s="288">
        <f t="shared" si="29"/>
        <v>0</v>
      </c>
      <c r="CX45" s="288">
        <f t="shared" si="21"/>
        <v>0</v>
      </c>
      <c r="CY45" s="288">
        <f t="shared" si="13"/>
        <v>0</v>
      </c>
      <c r="CZ45" s="288">
        <f t="shared" si="13"/>
        <v>0</v>
      </c>
      <c r="DA45" s="288">
        <f t="shared" si="13"/>
        <v>0</v>
      </c>
      <c r="DB45" s="288">
        <f t="shared" ref="DB45:DE108" si="33">IF(DB$2&gt;$B45,(IF(DB$2&lt;=$B46,(IF(AVERAGE($B45,$B46)&gt;DB$2,$A45,$A46)),0)),0)</f>
        <v>0</v>
      </c>
      <c r="DC45" s="288">
        <f t="shared" si="33"/>
        <v>0</v>
      </c>
      <c r="DD45" s="288">
        <f t="shared" si="33"/>
        <v>0</v>
      </c>
      <c r="DE45" s="288">
        <f t="shared" si="33"/>
        <v>0</v>
      </c>
      <c r="DG45" s="314">
        <f t="shared" si="3"/>
        <v>44</v>
      </c>
      <c r="DH45" s="289">
        <f>MAX(AS$3:AS$109)</f>
        <v>44</v>
      </c>
      <c r="DJ45" s="288">
        <f>LOOKUP(DH45, 'Mortality Table'!A:A,('Mortality Table'!J:J/'Mortality Table'!I:I))</f>
        <v>3.7604609317987456E-3</v>
      </c>
      <c r="DK45" s="288">
        <f>LOOKUP(A45, 'Mortality Table'!A:A,('Mortality Table'!J:J/'Mortality Table'!I:I))</f>
        <v>3.0691685249843235E-3</v>
      </c>
      <c r="DL45" s="288">
        <f t="shared" si="4"/>
        <v>6.9129240681442203E-4</v>
      </c>
      <c r="DN45" s="288">
        <f>LOOKUP(DH45, 'Mortality Table'!A:A,('Mortality Table'!L:L/'Mortality Table'!K:K))</f>
        <v>3.809194639873812E-3</v>
      </c>
      <c r="DO45" s="288">
        <f>LOOKUP(A45, 'Mortality Table'!A:A,('Mortality Table'!L:L/'Mortality Table'!K:K))</f>
        <v>3.1089434264239281E-3</v>
      </c>
      <c r="DP45" s="288">
        <f t="shared" si="5"/>
        <v>7.0025121344988389E-4</v>
      </c>
      <c r="DR45" s="288">
        <f>LOOKUP(DH45, 'Mortality Table'!A:A,('Mortality Table'!N:N/'Mortality Table'!M:M))</f>
        <v>3.8948052087025191E-3</v>
      </c>
      <c r="DS45" s="288">
        <f>LOOKUP(A45, 'Mortality Table'!A:A,('Mortality Table'!N:N/'Mortality Table'!M:M))</f>
        <v>3.1788160478978577E-3</v>
      </c>
      <c r="DT45" s="288">
        <f t="shared" si="6"/>
        <v>7.1598916080466146E-4</v>
      </c>
    </row>
    <row r="46" spans="1:124">
      <c r="A46" s="288">
        <v>43</v>
      </c>
      <c r="B46" s="288">
        <v>3.760599991477394E-3</v>
      </c>
      <c r="C46" s="288">
        <f t="shared" si="32"/>
        <v>0</v>
      </c>
      <c r="D46" s="288">
        <f t="shared" si="32"/>
        <v>0</v>
      </c>
      <c r="E46" s="288">
        <f t="shared" si="32"/>
        <v>0</v>
      </c>
      <c r="F46" s="288">
        <f t="shared" si="32"/>
        <v>0</v>
      </c>
      <c r="G46" s="288">
        <f t="shared" si="32"/>
        <v>0</v>
      </c>
      <c r="H46" s="288">
        <f t="shared" si="32"/>
        <v>0</v>
      </c>
      <c r="I46" s="288">
        <f t="shared" si="32"/>
        <v>0</v>
      </c>
      <c r="J46" s="288">
        <f t="shared" si="32"/>
        <v>0</v>
      </c>
      <c r="K46" s="288">
        <f t="shared" si="32"/>
        <v>0</v>
      </c>
      <c r="L46" s="288">
        <f t="shared" si="32"/>
        <v>0</v>
      </c>
      <c r="M46" s="288">
        <f t="shared" si="32"/>
        <v>0</v>
      </c>
      <c r="N46" s="288">
        <f t="shared" si="32"/>
        <v>0</v>
      </c>
      <c r="O46" s="288">
        <f t="shared" si="32"/>
        <v>0</v>
      </c>
      <c r="P46" s="288">
        <f t="shared" si="32"/>
        <v>0</v>
      </c>
      <c r="Q46" s="288">
        <f t="shared" si="32"/>
        <v>0</v>
      </c>
      <c r="R46" s="288">
        <f t="shared" si="31"/>
        <v>0</v>
      </c>
      <c r="S46" s="288">
        <f t="shared" si="27"/>
        <v>0</v>
      </c>
      <c r="T46" s="288">
        <f t="shared" si="27"/>
        <v>0</v>
      </c>
      <c r="U46" s="288">
        <f t="shared" si="27"/>
        <v>0</v>
      </c>
      <c r="V46" s="288">
        <f t="shared" si="27"/>
        <v>0</v>
      </c>
      <c r="W46" s="288">
        <f t="shared" si="27"/>
        <v>0</v>
      </c>
      <c r="X46" s="288">
        <f t="shared" si="27"/>
        <v>0</v>
      </c>
      <c r="Y46" s="288">
        <f t="shared" si="27"/>
        <v>0</v>
      </c>
      <c r="Z46" s="288">
        <f t="shared" si="24"/>
        <v>0</v>
      </c>
      <c r="AA46" s="288">
        <f t="shared" si="24"/>
        <v>0</v>
      </c>
      <c r="AB46" s="288">
        <f t="shared" si="24"/>
        <v>0</v>
      </c>
      <c r="AC46" s="288">
        <f t="shared" si="24"/>
        <v>0</v>
      </c>
      <c r="AD46" s="288">
        <f t="shared" si="24"/>
        <v>0</v>
      </c>
      <c r="AE46" s="288">
        <f t="shared" si="19"/>
        <v>0</v>
      </c>
      <c r="AF46" s="288">
        <f t="shared" si="19"/>
        <v>0</v>
      </c>
      <c r="AG46" s="288">
        <f t="shared" si="19"/>
        <v>0</v>
      </c>
      <c r="AH46" s="288">
        <f t="shared" si="19"/>
        <v>0</v>
      </c>
      <c r="AI46" s="288">
        <f t="shared" si="19"/>
        <v>0</v>
      </c>
      <c r="AJ46" s="288">
        <f t="shared" si="19"/>
        <v>0</v>
      </c>
      <c r="AK46" s="288">
        <f t="shared" si="19"/>
        <v>0</v>
      </c>
      <c r="AL46" s="288">
        <f t="shared" si="19"/>
        <v>0</v>
      </c>
      <c r="AM46" s="288">
        <f t="shared" si="19"/>
        <v>0</v>
      </c>
      <c r="AN46" s="288">
        <f t="shared" si="19"/>
        <v>0</v>
      </c>
      <c r="AO46" s="288">
        <f t="shared" si="19"/>
        <v>0</v>
      </c>
      <c r="AP46" s="288">
        <f t="shared" si="19"/>
        <v>0</v>
      </c>
      <c r="AQ46" s="288">
        <f t="shared" si="19"/>
        <v>0</v>
      </c>
      <c r="AR46" s="288">
        <f t="shared" si="19"/>
        <v>43</v>
      </c>
      <c r="AS46" s="288">
        <f t="shared" si="19"/>
        <v>0</v>
      </c>
      <c r="AT46" s="288">
        <f t="shared" si="19"/>
        <v>0</v>
      </c>
      <c r="AU46" s="288">
        <f t="shared" si="28"/>
        <v>0</v>
      </c>
      <c r="AV46" s="288">
        <f t="shared" si="25"/>
        <v>0</v>
      </c>
      <c r="AW46" s="288">
        <f t="shared" si="25"/>
        <v>0</v>
      </c>
      <c r="AX46" s="288">
        <f t="shared" si="25"/>
        <v>0</v>
      </c>
      <c r="AY46" s="288">
        <f t="shared" si="25"/>
        <v>0</v>
      </c>
      <c r="AZ46" s="288">
        <f t="shared" si="25"/>
        <v>0</v>
      </c>
      <c r="BA46" s="288">
        <f t="shared" si="25"/>
        <v>0</v>
      </c>
      <c r="BB46" s="288">
        <f t="shared" si="25"/>
        <v>0</v>
      </c>
      <c r="BC46" s="288">
        <f t="shared" si="25"/>
        <v>0</v>
      </c>
      <c r="BD46" s="288">
        <f t="shared" si="25"/>
        <v>0</v>
      </c>
      <c r="BE46" s="288">
        <f t="shared" si="25"/>
        <v>0</v>
      </c>
      <c r="BF46" s="288">
        <f t="shared" si="25"/>
        <v>0</v>
      </c>
      <c r="BG46" s="288">
        <f t="shared" si="25"/>
        <v>0</v>
      </c>
      <c r="BH46" s="288">
        <f t="shared" si="25"/>
        <v>0</v>
      </c>
      <c r="BI46" s="288">
        <f t="shared" si="25"/>
        <v>0</v>
      </c>
      <c r="BJ46" s="288">
        <f t="shared" si="25"/>
        <v>0</v>
      </c>
      <c r="BK46" s="288">
        <f t="shared" si="25"/>
        <v>0</v>
      </c>
      <c r="BL46" s="288">
        <f t="shared" si="26"/>
        <v>0</v>
      </c>
      <c r="BM46" s="288">
        <f t="shared" si="26"/>
        <v>0</v>
      </c>
      <c r="BN46" s="288">
        <f t="shared" si="17"/>
        <v>0</v>
      </c>
      <c r="BO46" s="288">
        <f t="shared" si="17"/>
        <v>0</v>
      </c>
      <c r="BP46" s="288">
        <f t="shared" si="17"/>
        <v>0</v>
      </c>
      <c r="BQ46" s="288">
        <f t="shared" si="17"/>
        <v>0</v>
      </c>
      <c r="BR46" s="288">
        <f t="shared" si="17"/>
        <v>0</v>
      </c>
      <c r="BS46" s="288">
        <f t="shared" si="17"/>
        <v>0</v>
      </c>
      <c r="BT46" s="288">
        <f t="shared" si="17"/>
        <v>0</v>
      </c>
      <c r="BU46" s="288">
        <f t="shared" si="17"/>
        <v>0</v>
      </c>
      <c r="BV46" s="288">
        <f t="shared" si="17"/>
        <v>0</v>
      </c>
      <c r="BW46" s="288">
        <f t="shared" si="17"/>
        <v>0</v>
      </c>
      <c r="BX46" s="288">
        <f t="shared" si="17"/>
        <v>0</v>
      </c>
      <c r="BY46" s="288">
        <f t="shared" si="17"/>
        <v>0</v>
      </c>
      <c r="BZ46" s="288">
        <f t="shared" si="17"/>
        <v>0</v>
      </c>
      <c r="CA46" s="288">
        <f t="shared" si="17"/>
        <v>0</v>
      </c>
      <c r="CB46" s="288">
        <f t="shared" si="17"/>
        <v>0</v>
      </c>
      <c r="CC46" s="288">
        <f t="shared" si="17"/>
        <v>0</v>
      </c>
      <c r="CD46" s="288">
        <f t="shared" si="23"/>
        <v>0</v>
      </c>
      <c r="CE46" s="288">
        <f t="shared" si="22"/>
        <v>0</v>
      </c>
      <c r="CF46" s="288">
        <f t="shared" si="22"/>
        <v>0</v>
      </c>
      <c r="CG46" s="288">
        <f t="shared" si="22"/>
        <v>0</v>
      </c>
      <c r="CH46" s="288">
        <f t="shared" si="22"/>
        <v>0</v>
      </c>
      <c r="CI46" s="288">
        <f t="shared" si="22"/>
        <v>0</v>
      </c>
      <c r="CJ46" s="288">
        <f t="shared" si="22"/>
        <v>0</v>
      </c>
      <c r="CK46" s="288">
        <f t="shared" si="22"/>
        <v>0</v>
      </c>
      <c r="CL46" s="288">
        <f t="shared" si="22"/>
        <v>0</v>
      </c>
      <c r="CM46" s="288">
        <f t="shared" si="22"/>
        <v>0</v>
      </c>
      <c r="CN46" s="288">
        <f t="shared" si="22"/>
        <v>0</v>
      </c>
      <c r="CO46" s="288">
        <f t="shared" si="22"/>
        <v>0</v>
      </c>
      <c r="CP46" s="288">
        <f t="shared" si="22"/>
        <v>0</v>
      </c>
      <c r="CQ46" s="288">
        <f t="shared" si="22"/>
        <v>0</v>
      </c>
      <c r="CR46" s="288">
        <f t="shared" si="22"/>
        <v>0</v>
      </c>
      <c r="CS46" s="288">
        <f t="shared" si="22"/>
        <v>0</v>
      </c>
      <c r="CT46" s="288">
        <f t="shared" si="22"/>
        <v>0</v>
      </c>
      <c r="CU46" s="288">
        <f t="shared" si="30"/>
        <v>0</v>
      </c>
      <c r="CV46" s="288">
        <f t="shared" si="29"/>
        <v>0</v>
      </c>
      <c r="CW46" s="288">
        <f t="shared" si="29"/>
        <v>0</v>
      </c>
      <c r="CX46" s="288">
        <f t="shared" si="21"/>
        <v>0</v>
      </c>
      <c r="CY46" s="288">
        <f t="shared" si="21"/>
        <v>0</v>
      </c>
      <c r="CZ46" s="288">
        <f t="shared" si="21"/>
        <v>0</v>
      </c>
      <c r="DA46" s="288">
        <f t="shared" si="21"/>
        <v>0</v>
      </c>
      <c r="DB46" s="288">
        <f t="shared" si="33"/>
        <v>0</v>
      </c>
      <c r="DC46" s="288">
        <f t="shared" si="33"/>
        <v>0</v>
      </c>
      <c r="DD46" s="288">
        <f t="shared" si="33"/>
        <v>0</v>
      </c>
      <c r="DE46" s="288">
        <f t="shared" si="33"/>
        <v>0</v>
      </c>
      <c r="DG46" s="314">
        <f t="shared" si="3"/>
        <v>46</v>
      </c>
      <c r="DH46" s="289">
        <f>MAX(AT$3:AT$109)</f>
        <v>46</v>
      </c>
      <c r="DJ46" s="288">
        <f>LOOKUP(DH46, 'Mortality Table'!A:A,('Mortality Table'!J:J/'Mortality Table'!I:I))</f>
        <v>4.2888073045830866E-3</v>
      </c>
      <c r="DK46" s="288">
        <f>LOOKUP(A46, 'Mortality Table'!A:A,('Mortality Table'!J:J/'Mortality Table'!I:I))</f>
        <v>3.4619129002227416E-3</v>
      </c>
      <c r="DL46" s="288">
        <f t="shared" si="4"/>
        <v>8.2689440436034501E-4</v>
      </c>
      <c r="DN46" s="288">
        <f>LOOKUP(DH46, 'Mortality Table'!A:A,('Mortality Table'!L:L/'Mortality Table'!K:K))</f>
        <v>4.3443881195316912E-3</v>
      </c>
      <c r="DO46" s="288">
        <f>LOOKUP(A46, 'Mortality Table'!A:A,('Mortality Table'!L:L/'Mortality Table'!K:K))</f>
        <v>3.5067775739211489E-3</v>
      </c>
      <c r="DP46" s="288">
        <f t="shared" si="5"/>
        <v>8.3761054561054234E-4</v>
      </c>
      <c r="DR46" s="288">
        <f>LOOKUP(DH46, 'Mortality Table'!A:A,('Mortality Table'!N:N/'Mortality Table'!M:M))</f>
        <v>4.4420270099765529E-3</v>
      </c>
      <c r="DS46" s="288">
        <f>LOOKUP(A46, 'Mortality Table'!A:A,('Mortality Table'!N:N/'Mortality Table'!M:M))</f>
        <v>3.5855914049909864E-3</v>
      </c>
      <c r="DT46" s="288">
        <f t="shared" si="6"/>
        <v>8.5643560498556643E-4</v>
      </c>
    </row>
    <row r="47" spans="1:124">
      <c r="A47" s="288">
        <v>44</v>
      </c>
      <c r="B47" s="288">
        <v>4.0849061647863982E-3</v>
      </c>
      <c r="C47" s="288">
        <f t="shared" si="32"/>
        <v>0</v>
      </c>
      <c r="D47" s="288">
        <f t="shared" si="32"/>
        <v>0</v>
      </c>
      <c r="E47" s="288">
        <f t="shared" si="32"/>
        <v>0</v>
      </c>
      <c r="F47" s="288">
        <f t="shared" si="32"/>
        <v>0</v>
      </c>
      <c r="G47" s="288">
        <f t="shared" si="32"/>
        <v>0</v>
      </c>
      <c r="H47" s="288">
        <f t="shared" si="32"/>
        <v>0</v>
      </c>
      <c r="I47" s="288">
        <f t="shared" si="32"/>
        <v>0</v>
      </c>
      <c r="J47" s="288">
        <f t="shared" si="32"/>
        <v>0</v>
      </c>
      <c r="K47" s="288">
        <f t="shared" si="32"/>
        <v>0</v>
      </c>
      <c r="L47" s="288">
        <f t="shared" si="32"/>
        <v>0</v>
      </c>
      <c r="M47" s="288">
        <f t="shared" si="32"/>
        <v>0</v>
      </c>
      <c r="N47" s="288">
        <f t="shared" si="32"/>
        <v>0</v>
      </c>
      <c r="O47" s="288">
        <f t="shared" si="32"/>
        <v>0</v>
      </c>
      <c r="P47" s="288">
        <f t="shared" si="32"/>
        <v>0</v>
      </c>
      <c r="Q47" s="288">
        <f t="shared" si="32"/>
        <v>0</v>
      </c>
      <c r="R47" s="288">
        <f t="shared" si="31"/>
        <v>0</v>
      </c>
      <c r="S47" s="288">
        <f t="shared" si="27"/>
        <v>0</v>
      </c>
      <c r="T47" s="288">
        <f t="shared" si="27"/>
        <v>0</v>
      </c>
      <c r="U47" s="288">
        <f t="shared" si="27"/>
        <v>0</v>
      </c>
      <c r="V47" s="288">
        <f t="shared" si="27"/>
        <v>0</v>
      </c>
      <c r="W47" s="288">
        <f t="shared" si="27"/>
        <v>0</v>
      </c>
      <c r="X47" s="288">
        <f t="shared" si="27"/>
        <v>0</v>
      </c>
      <c r="Y47" s="288">
        <f t="shared" si="27"/>
        <v>0</v>
      </c>
      <c r="Z47" s="288">
        <f t="shared" si="24"/>
        <v>0</v>
      </c>
      <c r="AA47" s="288">
        <f t="shared" si="24"/>
        <v>0</v>
      </c>
      <c r="AB47" s="288">
        <f t="shared" si="24"/>
        <v>0</v>
      </c>
      <c r="AC47" s="288">
        <f t="shared" si="24"/>
        <v>0</v>
      </c>
      <c r="AD47" s="288">
        <f t="shared" si="24"/>
        <v>0</v>
      </c>
      <c r="AE47" s="288">
        <f t="shared" si="19"/>
        <v>0</v>
      </c>
      <c r="AF47" s="288">
        <f t="shared" si="19"/>
        <v>0</v>
      </c>
      <c r="AG47" s="288">
        <f t="shared" si="19"/>
        <v>0</v>
      </c>
      <c r="AH47" s="288">
        <f t="shared" si="19"/>
        <v>0</v>
      </c>
      <c r="AI47" s="288">
        <f t="shared" si="19"/>
        <v>0</v>
      </c>
      <c r="AJ47" s="288">
        <f t="shared" si="19"/>
        <v>0</v>
      </c>
      <c r="AK47" s="288">
        <f t="shared" si="19"/>
        <v>0</v>
      </c>
      <c r="AL47" s="288">
        <f t="shared" si="19"/>
        <v>0</v>
      </c>
      <c r="AM47" s="288">
        <f t="shared" si="19"/>
        <v>0</v>
      </c>
      <c r="AN47" s="288">
        <f t="shared" si="19"/>
        <v>0</v>
      </c>
      <c r="AO47" s="288">
        <f t="shared" si="19"/>
        <v>0</v>
      </c>
      <c r="AP47" s="288">
        <f t="shared" si="19"/>
        <v>0</v>
      </c>
      <c r="AQ47" s="288">
        <f t="shared" si="19"/>
        <v>0</v>
      </c>
      <c r="AR47" s="288">
        <f t="shared" si="19"/>
        <v>0</v>
      </c>
      <c r="AS47" s="288">
        <f t="shared" si="19"/>
        <v>44</v>
      </c>
      <c r="AT47" s="288">
        <f t="shared" si="19"/>
        <v>0</v>
      </c>
      <c r="AU47" s="288">
        <f t="shared" si="28"/>
        <v>0</v>
      </c>
      <c r="AV47" s="288">
        <f t="shared" si="25"/>
        <v>0</v>
      </c>
      <c r="AW47" s="288">
        <f t="shared" si="25"/>
        <v>0</v>
      </c>
      <c r="AX47" s="288">
        <f t="shared" si="25"/>
        <v>0</v>
      </c>
      <c r="AY47" s="288">
        <f t="shared" si="25"/>
        <v>0</v>
      </c>
      <c r="AZ47" s="288">
        <f t="shared" si="25"/>
        <v>0</v>
      </c>
      <c r="BA47" s="288">
        <f t="shared" si="25"/>
        <v>0</v>
      </c>
      <c r="BB47" s="288">
        <f t="shared" si="25"/>
        <v>0</v>
      </c>
      <c r="BC47" s="288">
        <f t="shared" si="25"/>
        <v>0</v>
      </c>
      <c r="BD47" s="288">
        <f t="shared" si="25"/>
        <v>0</v>
      </c>
      <c r="BE47" s="288">
        <f t="shared" si="25"/>
        <v>0</v>
      </c>
      <c r="BF47" s="288">
        <f t="shared" si="25"/>
        <v>0</v>
      </c>
      <c r="BG47" s="288">
        <f t="shared" si="25"/>
        <v>0</v>
      </c>
      <c r="BH47" s="288">
        <f t="shared" si="25"/>
        <v>0</v>
      </c>
      <c r="BI47" s="288">
        <f t="shared" si="25"/>
        <v>0</v>
      </c>
      <c r="BJ47" s="288">
        <f t="shared" si="25"/>
        <v>0</v>
      </c>
      <c r="BK47" s="288">
        <f t="shared" si="25"/>
        <v>0</v>
      </c>
      <c r="BL47" s="288">
        <f t="shared" si="26"/>
        <v>0</v>
      </c>
      <c r="BM47" s="288">
        <f t="shared" si="26"/>
        <v>0</v>
      </c>
      <c r="BN47" s="288">
        <f t="shared" si="17"/>
        <v>0</v>
      </c>
      <c r="BO47" s="288">
        <f t="shared" si="17"/>
        <v>0</v>
      </c>
      <c r="BP47" s="288">
        <f t="shared" si="17"/>
        <v>0</v>
      </c>
      <c r="BQ47" s="288">
        <f t="shared" si="17"/>
        <v>0</v>
      </c>
      <c r="BR47" s="288">
        <f t="shared" si="17"/>
        <v>0</v>
      </c>
      <c r="BS47" s="288">
        <f t="shared" si="17"/>
        <v>0</v>
      </c>
      <c r="BT47" s="288">
        <f t="shared" si="17"/>
        <v>0</v>
      </c>
      <c r="BU47" s="288">
        <f t="shared" si="17"/>
        <v>0</v>
      </c>
      <c r="BV47" s="288">
        <f t="shared" si="17"/>
        <v>0</v>
      </c>
      <c r="BW47" s="288">
        <f t="shared" si="17"/>
        <v>0</v>
      </c>
      <c r="BX47" s="288">
        <f t="shared" si="17"/>
        <v>0</v>
      </c>
      <c r="BY47" s="288">
        <f t="shared" si="17"/>
        <v>0</v>
      </c>
      <c r="BZ47" s="288">
        <f t="shared" si="17"/>
        <v>0</v>
      </c>
      <c r="CA47" s="288">
        <f t="shared" si="17"/>
        <v>0</v>
      </c>
      <c r="CB47" s="288">
        <f t="shared" si="17"/>
        <v>0</v>
      </c>
      <c r="CC47" s="288">
        <f t="shared" si="17"/>
        <v>0</v>
      </c>
      <c r="CD47" s="288">
        <f t="shared" si="23"/>
        <v>0</v>
      </c>
      <c r="CE47" s="288">
        <f t="shared" si="22"/>
        <v>0</v>
      </c>
      <c r="CF47" s="288">
        <f t="shared" si="22"/>
        <v>0</v>
      </c>
      <c r="CG47" s="288">
        <f t="shared" si="22"/>
        <v>0</v>
      </c>
      <c r="CH47" s="288">
        <f t="shared" si="22"/>
        <v>0</v>
      </c>
      <c r="CI47" s="288">
        <f t="shared" si="22"/>
        <v>0</v>
      </c>
      <c r="CJ47" s="288">
        <f t="shared" si="22"/>
        <v>0</v>
      </c>
      <c r="CK47" s="288">
        <f t="shared" si="22"/>
        <v>0</v>
      </c>
      <c r="CL47" s="288">
        <f t="shared" si="22"/>
        <v>0</v>
      </c>
      <c r="CM47" s="288">
        <f t="shared" si="22"/>
        <v>0</v>
      </c>
      <c r="CN47" s="288">
        <f t="shared" si="22"/>
        <v>0</v>
      </c>
      <c r="CO47" s="288">
        <f t="shared" si="22"/>
        <v>0</v>
      </c>
      <c r="CP47" s="288">
        <f t="shared" si="22"/>
        <v>0</v>
      </c>
      <c r="CQ47" s="288">
        <f t="shared" si="22"/>
        <v>0</v>
      </c>
      <c r="CR47" s="288">
        <f t="shared" si="22"/>
        <v>0</v>
      </c>
      <c r="CS47" s="288">
        <f t="shared" si="22"/>
        <v>0</v>
      </c>
      <c r="CT47" s="288">
        <f t="shared" si="22"/>
        <v>0</v>
      </c>
      <c r="CU47" s="288">
        <f t="shared" si="30"/>
        <v>0</v>
      </c>
      <c r="CV47" s="288">
        <f t="shared" si="29"/>
        <v>0</v>
      </c>
      <c r="CW47" s="288">
        <f t="shared" si="29"/>
        <v>0</v>
      </c>
      <c r="CX47" s="288">
        <f t="shared" si="21"/>
        <v>0</v>
      </c>
      <c r="CY47" s="288">
        <f t="shared" si="21"/>
        <v>0</v>
      </c>
      <c r="CZ47" s="288">
        <f t="shared" si="21"/>
        <v>0</v>
      </c>
      <c r="DA47" s="288">
        <f t="shared" si="21"/>
        <v>0</v>
      </c>
      <c r="DB47" s="288">
        <f t="shared" si="33"/>
        <v>0</v>
      </c>
      <c r="DC47" s="288">
        <f t="shared" si="33"/>
        <v>0</v>
      </c>
      <c r="DD47" s="288">
        <f t="shared" si="33"/>
        <v>0</v>
      </c>
      <c r="DE47" s="288">
        <f t="shared" si="33"/>
        <v>0</v>
      </c>
      <c r="DG47" s="314">
        <f t="shared" si="3"/>
        <v>47</v>
      </c>
      <c r="DH47" s="289">
        <f>MAX(AU$3:AU$109)</f>
        <v>47</v>
      </c>
      <c r="DJ47" s="288">
        <f>LOOKUP(DH47, 'Mortality Table'!A:A,('Mortality Table'!J:J/'Mortality Table'!I:I))</f>
        <v>4.6081095776480379E-3</v>
      </c>
      <c r="DK47" s="288">
        <f>LOOKUP(A47, 'Mortality Table'!A:A,('Mortality Table'!J:J/'Mortality Table'!I:I))</f>
        <v>3.7604609317987456E-3</v>
      </c>
      <c r="DL47" s="288">
        <f t="shared" si="4"/>
        <v>8.4764864584929234E-4</v>
      </c>
      <c r="DN47" s="288">
        <f>LOOKUP(DH47, 'Mortality Table'!A:A,('Mortality Table'!L:L/'Mortality Table'!K:K))</f>
        <v>4.6678283916466168E-3</v>
      </c>
      <c r="DO47" s="288">
        <f>LOOKUP(A47, 'Mortality Table'!A:A,('Mortality Table'!L:L/'Mortality Table'!K:K))</f>
        <v>3.809194639873812E-3</v>
      </c>
      <c r="DP47" s="288">
        <f t="shared" si="5"/>
        <v>8.5863375177280474E-4</v>
      </c>
      <c r="DR47" s="288">
        <f>LOOKUP(DH47, 'Mortality Table'!A:A,('Mortality Table'!N:N/'Mortality Table'!M:M))</f>
        <v>4.7727365104443756E-3</v>
      </c>
      <c r="DS47" s="288">
        <f>LOOKUP(A47, 'Mortality Table'!A:A,('Mortality Table'!N:N/'Mortality Table'!M:M))</f>
        <v>3.8948052087025191E-3</v>
      </c>
      <c r="DT47" s="288">
        <f t="shared" si="6"/>
        <v>8.7793130174185652E-4</v>
      </c>
    </row>
    <row r="48" spans="1:124">
      <c r="A48" s="288">
        <v>45</v>
      </c>
      <c r="B48" s="288">
        <v>4.3593570485220062E-3</v>
      </c>
      <c r="C48" s="288">
        <f t="shared" si="32"/>
        <v>0</v>
      </c>
      <c r="D48" s="288">
        <f t="shared" si="32"/>
        <v>0</v>
      </c>
      <c r="E48" s="288">
        <f t="shared" si="32"/>
        <v>0</v>
      </c>
      <c r="F48" s="288">
        <f t="shared" si="32"/>
        <v>0</v>
      </c>
      <c r="G48" s="288">
        <f t="shared" si="32"/>
        <v>0</v>
      </c>
      <c r="H48" s="288">
        <f t="shared" si="32"/>
        <v>0</v>
      </c>
      <c r="I48" s="288">
        <f t="shared" si="32"/>
        <v>0</v>
      </c>
      <c r="J48" s="288">
        <f t="shared" si="32"/>
        <v>0</v>
      </c>
      <c r="K48" s="288">
        <f t="shared" si="32"/>
        <v>0</v>
      </c>
      <c r="L48" s="288">
        <f t="shared" si="32"/>
        <v>0</v>
      </c>
      <c r="M48" s="288">
        <f t="shared" si="32"/>
        <v>0</v>
      </c>
      <c r="N48" s="288">
        <f t="shared" si="32"/>
        <v>0</v>
      </c>
      <c r="O48" s="288">
        <f t="shared" si="32"/>
        <v>0</v>
      </c>
      <c r="P48" s="288">
        <f t="shared" si="32"/>
        <v>0</v>
      </c>
      <c r="Q48" s="288">
        <f t="shared" si="32"/>
        <v>0</v>
      </c>
      <c r="R48" s="288">
        <f t="shared" si="31"/>
        <v>0</v>
      </c>
      <c r="S48" s="288">
        <f t="shared" si="27"/>
        <v>0</v>
      </c>
      <c r="T48" s="288">
        <f t="shared" si="27"/>
        <v>0</v>
      </c>
      <c r="U48" s="288">
        <f t="shared" si="27"/>
        <v>0</v>
      </c>
      <c r="V48" s="288">
        <f t="shared" si="27"/>
        <v>0</v>
      </c>
      <c r="W48" s="288">
        <f t="shared" si="27"/>
        <v>0</v>
      </c>
      <c r="X48" s="288">
        <f t="shared" si="27"/>
        <v>0</v>
      </c>
      <c r="Y48" s="288">
        <f t="shared" si="27"/>
        <v>0</v>
      </c>
      <c r="Z48" s="288">
        <f t="shared" si="24"/>
        <v>0</v>
      </c>
      <c r="AA48" s="288">
        <f t="shared" si="24"/>
        <v>0</v>
      </c>
      <c r="AB48" s="288">
        <f t="shared" si="24"/>
        <v>0</v>
      </c>
      <c r="AC48" s="288">
        <f t="shared" si="24"/>
        <v>0</v>
      </c>
      <c r="AD48" s="288">
        <f t="shared" si="24"/>
        <v>0</v>
      </c>
      <c r="AE48" s="288">
        <f t="shared" si="19"/>
        <v>0</v>
      </c>
      <c r="AF48" s="288">
        <f t="shared" si="19"/>
        <v>0</v>
      </c>
      <c r="AG48" s="288">
        <f t="shared" si="19"/>
        <v>0</v>
      </c>
      <c r="AH48" s="288">
        <f t="shared" si="19"/>
        <v>0</v>
      </c>
      <c r="AI48" s="288">
        <f t="shared" si="19"/>
        <v>0</v>
      </c>
      <c r="AJ48" s="288">
        <f t="shared" si="19"/>
        <v>0</v>
      </c>
      <c r="AK48" s="288">
        <f t="shared" si="19"/>
        <v>0</v>
      </c>
      <c r="AL48" s="288">
        <f t="shared" si="19"/>
        <v>0</v>
      </c>
      <c r="AM48" s="288">
        <f t="shared" si="19"/>
        <v>0</v>
      </c>
      <c r="AN48" s="288">
        <f t="shared" si="19"/>
        <v>0</v>
      </c>
      <c r="AO48" s="288">
        <f t="shared" si="19"/>
        <v>0</v>
      </c>
      <c r="AP48" s="288">
        <f t="shared" si="19"/>
        <v>0</v>
      </c>
      <c r="AQ48" s="288">
        <f t="shared" si="19"/>
        <v>0</v>
      </c>
      <c r="AR48" s="288">
        <f t="shared" si="19"/>
        <v>0</v>
      </c>
      <c r="AS48" s="288">
        <f t="shared" si="19"/>
        <v>0</v>
      </c>
      <c r="AT48" s="288">
        <f t="shared" si="19"/>
        <v>0</v>
      </c>
      <c r="AU48" s="288">
        <f t="shared" si="28"/>
        <v>0</v>
      </c>
      <c r="AV48" s="288">
        <f t="shared" si="25"/>
        <v>0</v>
      </c>
      <c r="AW48" s="288">
        <f t="shared" si="25"/>
        <v>0</v>
      </c>
      <c r="AX48" s="288">
        <f t="shared" si="25"/>
        <v>0</v>
      </c>
      <c r="AY48" s="288">
        <f t="shared" si="25"/>
        <v>0</v>
      </c>
      <c r="AZ48" s="288">
        <f t="shared" si="25"/>
        <v>0</v>
      </c>
      <c r="BA48" s="288">
        <f t="shared" si="25"/>
        <v>0</v>
      </c>
      <c r="BB48" s="288">
        <f t="shared" si="25"/>
        <v>0</v>
      </c>
      <c r="BC48" s="288">
        <f t="shared" si="25"/>
        <v>0</v>
      </c>
      <c r="BD48" s="288">
        <f t="shared" si="25"/>
        <v>0</v>
      </c>
      <c r="BE48" s="288">
        <f t="shared" si="25"/>
        <v>0</v>
      </c>
      <c r="BF48" s="288">
        <f t="shared" si="25"/>
        <v>0</v>
      </c>
      <c r="BG48" s="288">
        <f t="shared" si="25"/>
        <v>0</v>
      </c>
      <c r="BH48" s="288">
        <f t="shared" si="25"/>
        <v>0</v>
      </c>
      <c r="BI48" s="288">
        <f t="shared" si="25"/>
        <v>0</v>
      </c>
      <c r="BJ48" s="288">
        <f t="shared" si="25"/>
        <v>0</v>
      </c>
      <c r="BK48" s="288">
        <f t="shared" si="25"/>
        <v>0</v>
      </c>
      <c r="BL48" s="288">
        <f t="shared" si="26"/>
        <v>0</v>
      </c>
      <c r="BM48" s="288">
        <f t="shared" si="26"/>
        <v>0</v>
      </c>
      <c r="BN48" s="288">
        <f t="shared" si="17"/>
        <v>0</v>
      </c>
      <c r="BO48" s="288">
        <f t="shared" si="17"/>
        <v>0</v>
      </c>
      <c r="BP48" s="288">
        <f t="shared" si="17"/>
        <v>0</v>
      </c>
      <c r="BQ48" s="288">
        <f t="shared" si="17"/>
        <v>0</v>
      </c>
      <c r="BR48" s="288">
        <f t="shared" si="17"/>
        <v>0</v>
      </c>
      <c r="BS48" s="288">
        <f t="shared" si="17"/>
        <v>0</v>
      </c>
      <c r="BT48" s="288">
        <f t="shared" si="17"/>
        <v>0</v>
      </c>
      <c r="BU48" s="288">
        <f t="shared" si="17"/>
        <v>0</v>
      </c>
      <c r="BV48" s="288">
        <f t="shared" si="17"/>
        <v>0</v>
      </c>
      <c r="BW48" s="288">
        <f t="shared" si="17"/>
        <v>0</v>
      </c>
      <c r="BX48" s="288">
        <f t="shared" si="17"/>
        <v>0</v>
      </c>
      <c r="BY48" s="288">
        <f t="shared" si="17"/>
        <v>0</v>
      </c>
      <c r="BZ48" s="288">
        <f t="shared" si="17"/>
        <v>0</v>
      </c>
      <c r="CA48" s="288">
        <f t="shared" si="17"/>
        <v>0</v>
      </c>
      <c r="CB48" s="288">
        <f t="shared" si="17"/>
        <v>0</v>
      </c>
      <c r="CC48" s="288">
        <f t="shared" si="17"/>
        <v>0</v>
      </c>
      <c r="CD48" s="288">
        <f t="shared" si="23"/>
        <v>0</v>
      </c>
      <c r="CE48" s="288">
        <f t="shared" si="22"/>
        <v>0</v>
      </c>
      <c r="CF48" s="288">
        <f t="shared" si="22"/>
        <v>0</v>
      </c>
      <c r="CG48" s="288">
        <f t="shared" si="22"/>
        <v>0</v>
      </c>
      <c r="CH48" s="288">
        <f t="shared" si="22"/>
        <v>0</v>
      </c>
      <c r="CI48" s="288">
        <f t="shared" si="22"/>
        <v>0</v>
      </c>
      <c r="CJ48" s="288">
        <f t="shared" si="22"/>
        <v>0</v>
      </c>
      <c r="CK48" s="288">
        <f t="shared" si="22"/>
        <v>0</v>
      </c>
      <c r="CL48" s="288">
        <f t="shared" si="22"/>
        <v>0</v>
      </c>
      <c r="CM48" s="288">
        <f t="shared" si="22"/>
        <v>0</v>
      </c>
      <c r="CN48" s="288">
        <f t="shared" si="22"/>
        <v>0</v>
      </c>
      <c r="CO48" s="288">
        <f t="shared" si="22"/>
        <v>0</v>
      </c>
      <c r="CP48" s="288">
        <f t="shared" si="22"/>
        <v>0</v>
      </c>
      <c r="CQ48" s="288">
        <f t="shared" si="22"/>
        <v>0</v>
      </c>
      <c r="CR48" s="288">
        <f t="shared" si="22"/>
        <v>0</v>
      </c>
      <c r="CS48" s="288">
        <f t="shared" si="22"/>
        <v>0</v>
      </c>
      <c r="CT48" s="288">
        <f t="shared" si="22"/>
        <v>0</v>
      </c>
      <c r="CU48" s="288">
        <f t="shared" si="30"/>
        <v>0</v>
      </c>
      <c r="CV48" s="288">
        <f t="shared" si="29"/>
        <v>0</v>
      </c>
      <c r="CW48" s="288">
        <f t="shared" si="29"/>
        <v>0</v>
      </c>
      <c r="CX48" s="288">
        <f t="shared" si="21"/>
        <v>0</v>
      </c>
      <c r="CY48" s="288">
        <f t="shared" si="21"/>
        <v>0</v>
      </c>
      <c r="CZ48" s="288">
        <f t="shared" si="21"/>
        <v>0</v>
      </c>
      <c r="DA48" s="288">
        <f t="shared" si="21"/>
        <v>0</v>
      </c>
      <c r="DB48" s="288">
        <f t="shared" si="33"/>
        <v>0</v>
      </c>
      <c r="DC48" s="288">
        <f t="shared" si="33"/>
        <v>0</v>
      </c>
      <c r="DD48" s="288">
        <f t="shared" si="33"/>
        <v>0</v>
      </c>
      <c r="DE48" s="288">
        <f t="shared" si="33"/>
        <v>0</v>
      </c>
      <c r="DG48" s="314">
        <f t="shared" si="3"/>
        <v>48</v>
      </c>
      <c r="DH48" s="289">
        <f>MAX(AV$3:AV$109)</f>
        <v>48</v>
      </c>
      <c r="DJ48" s="288">
        <f>LOOKUP(DH48, 'Mortality Table'!A:A,('Mortality Table'!J:J/'Mortality Table'!I:I))</f>
        <v>5.0222456368305551E-3</v>
      </c>
      <c r="DK48" s="288">
        <f>LOOKUP(A48, 'Mortality Table'!A:A,('Mortality Table'!J:J/'Mortality Table'!I:I))</f>
        <v>4.0131134492255105E-3</v>
      </c>
      <c r="DL48" s="288">
        <f t="shared" si="4"/>
        <v>1.0091321876050446E-3</v>
      </c>
      <c r="DN48" s="288">
        <f>LOOKUP(DH48, 'Mortality Table'!A:A,('Mortality Table'!L:L/'Mortality Table'!K:K))</f>
        <v>5.0873314486992336E-3</v>
      </c>
      <c r="DO48" s="288">
        <f>LOOKUP(A48, 'Mortality Table'!A:A,('Mortality Table'!L:L/'Mortality Table'!K:K))</f>
        <v>4.0651214085830707E-3</v>
      </c>
      <c r="DP48" s="288">
        <f t="shared" si="5"/>
        <v>1.022210040116163E-3</v>
      </c>
      <c r="DR48" s="288">
        <f>LOOKUP(DH48, 'Mortality Table'!A:A,('Mortality Table'!N:N/'Mortality Table'!M:M))</f>
        <v>5.2016677796874909E-3</v>
      </c>
      <c r="DS48" s="288">
        <f>LOOKUP(A48, 'Mortality Table'!A:A,('Mortality Table'!N:N/'Mortality Table'!M:M))</f>
        <v>4.1564838589298134E-3</v>
      </c>
      <c r="DT48" s="288">
        <f t="shared" si="6"/>
        <v>1.0451839207576774E-3</v>
      </c>
    </row>
    <row r="49" spans="1:124">
      <c r="A49" s="288">
        <v>46</v>
      </c>
      <c r="B49" s="288">
        <v>4.6588372318742115E-3</v>
      </c>
      <c r="C49" s="288">
        <f t="shared" si="32"/>
        <v>0</v>
      </c>
      <c r="D49" s="288">
        <f t="shared" si="32"/>
        <v>0</v>
      </c>
      <c r="E49" s="288">
        <f t="shared" si="32"/>
        <v>0</v>
      </c>
      <c r="F49" s="288">
        <f t="shared" si="32"/>
        <v>0</v>
      </c>
      <c r="G49" s="288">
        <f t="shared" si="32"/>
        <v>0</v>
      </c>
      <c r="H49" s="288">
        <f t="shared" si="32"/>
        <v>0</v>
      </c>
      <c r="I49" s="288">
        <f t="shared" si="32"/>
        <v>0</v>
      </c>
      <c r="J49" s="288">
        <f t="shared" si="32"/>
        <v>0</v>
      </c>
      <c r="K49" s="288">
        <f t="shared" si="32"/>
        <v>0</v>
      </c>
      <c r="L49" s="288">
        <f t="shared" si="32"/>
        <v>0</v>
      </c>
      <c r="M49" s="288">
        <f t="shared" si="32"/>
        <v>0</v>
      </c>
      <c r="N49" s="288">
        <f t="shared" si="32"/>
        <v>0</v>
      </c>
      <c r="O49" s="288">
        <f t="shared" si="32"/>
        <v>0</v>
      </c>
      <c r="P49" s="288">
        <f t="shared" si="32"/>
        <v>0</v>
      </c>
      <c r="Q49" s="288">
        <f t="shared" si="32"/>
        <v>0</v>
      </c>
      <c r="R49" s="288">
        <f t="shared" si="31"/>
        <v>0</v>
      </c>
      <c r="S49" s="288">
        <f t="shared" si="27"/>
        <v>0</v>
      </c>
      <c r="T49" s="288">
        <f t="shared" si="27"/>
        <v>0</v>
      </c>
      <c r="U49" s="288">
        <f t="shared" si="27"/>
        <v>0</v>
      </c>
      <c r="V49" s="288">
        <f t="shared" si="27"/>
        <v>0</v>
      </c>
      <c r="W49" s="288">
        <f t="shared" si="27"/>
        <v>0</v>
      </c>
      <c r="X49" s="288">
        <f t="shared" si="27"/>
        <v>0</v>
      </c>
      <c r="Y49" s="288">
        <f t="shared" si="27"/>
        <v>0</v>
      </c>
      <c r="Z49" s="288">
        <f t="shared" si="24"/>
        <v>0</v>
      </c>
      <c r="AA49" s="288">
        <f t="shared" si="24"/>
        <v>0</v>
      </c>
      <c r="AB49" s="288">
        <f t="shared" si="24"/>
        <v>0</v>
      </c>
      <c r="AC49" s="288">
        <f t="shared" si="24"/>
        <v>0</v>
      </c>
      <c r="AD49" s="288">
        <f t="shared" si="24"/>
        <v>0</v>
      </c>
      <c r="AE49" s="288">
        <f t="shared" si="19"/>
        <v>0</v>
      </c>
      <c r="AF49" s="288">
        <f t="shared" si="19"/>
        <v>0</v>
      </c>
      <c r="AG49" s="288">
        <f t="shared" si="19"/>
        <v>0</v>
      </c>
      <c r="AH49" s="288">
        <f t="shared" si="19"/>
        <v>0</v>
      </c>
      <c r="AI49" s="288">
        <f t="shared" si="19"/>
        <v>0</v>
      </c>
      <c r="AJ49" s="288">
        <f t="shared" si="19"/>
        <v>0</v>
      </c>
      <c r="AK49" s="288">
        <f t="shared" si="19"/>
        <v>0</v>
      </c>
      <c r="AL49" s="288">
        <f t="shared" si="19"/>
        <v>0</v>
      </c>
      <c r="AM49" s="288">
        <f t="shared" si="19"/>
        <v>0</v>
      </c>
      <c r="AN49" s="288">
        <f t="shared" si="19"/>
        <v>0</v>
      </c>
      <c r="AO49" s="288">
        <f t="shared" si="19"/>
        <v>0</v>
      </c>
      <c r="AP49" s="288">
        <f t="shared" si="19"/>
        <v>0</v>
      </c>
      <c r="AQ49" s="288">
        <f t="shared" si="19"/>
        <v>0</v>
      </c>
      <c r="AR49" s="288">
        <f t="shared" si="19"/>
        <v>0</v>
      </c>
      <c r="AS49" s="288">
        <f t="shared" si="19"/>
        <v>0</v>
      </c>
      <c r="AT49" s="288">
        <f t="shared" si="19"/>
        <v>46</v>
      </c>
      <c r="AU49" s="288">
        <f t="shared" si="28"/>
        <v>0</v>
      </c>
      <c r="AV49" s="288">
        <f t="shared" si="25"/>
        <v>0</v>
      </c>
      <c r="AW49" s="288">
        <f t="shared" si="25"/>
        <v>0</v>
      </c>
      <c r="AX49" s="288">
        <f t="shared" si="25"/>
        <v>0</v>
      </c>
      <c r="AY49" s="288">
        <f t="shared" si="25"/>
        <v>0</v>
      </c>
      <c r="AZ49" s="288">
        <f t="shared" si="25"/>
        <v>0</v>
      </c>
      <c r="BA49" s="288">
        <f t="shared" si="25"/>
        <v>0</v>
      </c>
      <c r="BB49" s="288">
        <f t="shared" si="25"/>
        <v>0</v>
      </c>
      <c r="BC49" s="288">
        <f t="shared" si="25"/>
        <v>0</v>
      </c>
      <c r="BD49" s="288">
        <f t="shared" si="25"/>
        <v>0</v>
      </c>
      <c r="BE49" s="288">
        <f t="shared" si="25"/>
        <v>0</v>
      </c>
      <c r="BF49" s="288">
        <f t="shared" si="25"/>
        <v>0</v>
      </c>
      <c r="BG49" s="288">
        <f t="shared" si="25"/>
        <v>0</v>
      </c>
      <c r="BH49" s="288">
        <f t="shared" si="25"/>
        <v>0</v>
      </c>
      <c r="BI49" s="288">
        <f t="shared" si="25"/>
        <v>0</v>
      </c>
      <c r="BJ49" s="288">
        <f t="shared" si="25"/>
        <v>0</v>
      </c>
      <c r="BK49" s="288">
        <f t="shared" si="25"/>
        <v>0</v>
      </c>
      <c r="BL49" s="288">
        <f t="shared" si="26"/>
        <v>0</v>
      </c>
      <c r="BM49" s="288">
        <f t="shared" si="26"/>
        <v>0</v>
      </c>
      <c r="BN49" s="288">
        <f t="shared" si="17"/>
        <v>0</v>
      </c>
      <c r="BO49" s="288">
        <f t="shared" si="17"/>
        <v>0</v>
      </c>
      <c r="BP49" s="288">
        <f t="shared" si="17"/>
        <v>0</v>
      </c>
      <c r="BQ49" s="288">
        <f t="shared" si="17"/>
        <v>0</v>
      </c>
      <c r="BR49" s="288">
        <f t="shared" si="17"/>
        <v>0</v>
      </c>
      <c r="BS49" s="288">
        <f t="shared" si="17"/>
        <v>0</v>
      </c>
      <c r="BT49" s="288">
        <f t="shared" si="17"/>
        <v>0</v>
      </c>
      <c r="BU49" s="288">
        <f t="shared" si="17"/>
        <v>0</v>
      </c>
      <c r="BV49" s="288">
        <f t="shared" si="17"/>
        <v>0</v>
      </c>
      <c r="BW49" s="288">
        <f t="shared" si="17"/>
        <v>0</v>
      </c>
      <c r="BX49" s="288">
        <f t="shared" si="17"/>
        <v>0</v>
      </c>
      <c r="BY49" s="288">
        <f t="shared" si="17"/>
        <v>0</v>
      </c>
      <c r="BZ49" s="288">
        <f t="shared" si="17"/>
        <v>0</v>
      </c>
      <c r="CA49" s="288">
        <f t="shared" si="17"/>
        <v>0</v>
      </c>
      <c r="CB49" s="288">
        <f t="shared" si="17"/>
        <v>0</v>
      </c>
      <c r="CC49" s="288">
        <f t="shared" si="17"/>
        <v>0</v>
      </c>
      <c r="CD49" s="288">
        <f t="shared" si="23"/>
        <v>0</v>
      </c>
      <c r="CE49" s="288">
        <f t="shared" si="22"/>
        <v>0</v>
      </c>
      <c r="CF49" s="288">
        <f t="shared" si="22"/>
        <v>0</v>
      </c>
      <c r="CG49" s="288">
        <f t="shared" si="22"/>
        <v>0</v>
      </c>
      <c r="CH49" s="288">
        <f t="shared" si="22"/>
        <v>0</v>
      </c>
      <c r="CI49" s="288">
        <f t="shared" si="22"/>
        <v>0</v>
      </c>
      <c r="CJ49" s="288">
        <f t="shared" si="22"/>
        <v>0</v>
      </c>
      <c r="CK49" s="288">
        <f t="shared" si="22"/>
        <v>0</v>
      </c>
      <c r="CL49" s="288">
        <f t="shared" si="22"/>
        <v>0</v>
      </c>
      <c r="CM49" s="288">
        <f t="shared" si="22"/>
        <v>0</v>
      </c>
      <c r="CN49" s="288">
        <f t="shared" si="22"/>
        <v>0</v>
      </c>
      <c r="CO49" s="288">
        <f t="shared" si="22"/>
        <v>0</v>
      </c>
      <c r="CP49" s="288">
        <f t="shared" si="22"/>
        <v>0</v>
      </c>
      <c r="CQ49" s="288">
        <f t="shared" si="22"/>
        <v>0</v>
      </c>
      <c r="CR49" s="288">
        <f t="shared" si="22"/>
        <v>0</v>
      </c>
      <c r="CS49" s="288">
        <f t="shared" si="22"/>
        <v>0</v>
      </c>
      <c r="CT49" s="288">
        <f t="shared" si="22"/>
        <v>0</v>
      </c>
      <c r="CU49" s="288">
        <f t="shared" si="30"/>
        <v>0</v>
      </c>
      <c r="CV49" s="288">
        <f t="shared" si="29"/>
        <v>0</v>
      </c>
      <c r="CW49" s="288">
        <f t="shared" si="29"/>
        <v>0</v>
      </c>
      <c r="CX49" s="288">
        <f t="shared" si="21"/>
        <v>0</v>
      </c>
      <c r="CY49" s="288">
        <f t="shared" si="21"/>
        <v>0</v>
      </c>
      <c r="CZ49" s="288">
        <f t="shared" si="21"/>
        <v>0</v>
      </c>
      <c r="DA49" s="288">
        <f t="shared" si="21"/>
        <v>0</v>
      </c>
      <c r="DB49" s="288">
        <f t="shared" si="33"/>
        <v>0</v>
      </c>
      <c r="DC49" s="288">
        <f t="shared" si="33"/>
        <v>0</v>
      </c>
      <c r="DD49" s="288">
        <f t="shared" si="33"/>
        <v>0</v>
      </c>
      <c r="DE49" s="288">
        <f t="shared" si="33"/>
        <v>0</v>
      </c>
      <c r="DG49" s="314">
        <f t="shared" si="3"/>
        <v>49</v>
      </c>
      <c r="DH49" s="289">
        <f>MAX(AW$3:AW$109)</f>
        <v>49</v>
      </c>
      <c r="DJ49" s="288">
        <f>LOOKUP(DH49, 'Mortality Table'!A:A,('Mortality Table'!J:J/'Mortality Table'!I:I))</f>
        <v>5.5840049305355306E-3</v>
      </c>
      <c r="DK49" s="288">
        <f>LOOKUP(A49, 'Mortality Table'!A:A,('Mortality Table'!J:J/'Mortality Table'!I:I))</f>
        <v>4.2888073045830866E-3</v>
      </c>
      <c r="DL49" s="288">
        <f t="shared" si="4"/>
        <v>1.2951976259524441E-3</v>
      </c>
      <c r="DN49" s="288">
        <f>LOOKUP(DH49, 'Mortality Table'!A:A,('Mortality Table'!L:L/'Mortality Table'!K:K))</f>
        <v>5.6563708641564122E-3</v>
      </c>
      <c r="DO49" s="288">
        <f>LOOKUP(A49, 'Mortality Table'!A:A,('Mortality Table'!L:L/'Mortality Table'!K:K))</f>
        <v>4.3443881195316912E-3</v>
      </c>
      <c r="DP49" s="288">
        <f t="shared" si="5"/>
        <v>1.311982744624721E-3</v>
      </c>
      <c r="DR49" s="288">
        <f>LOOKUP(DH49, 'Mortality Table'!A:A,('Mortality Table'!N:N/'Mortality Table'!M:M))</f>
        <v>5.7834961945655173E-3</v>
      </c>
      <c r="DS49" s="288">
        <f>LOOKUP(A49, 'Mortality Table'!A:A,('Mortality Table'!N:N/'Mortality Table'!M:M))</f>
        <v>4.4420270099765529E-3</v>
      </c>
      <c r="DT49" s="288">
        <f t="shared" si="6"/>
        <v>1.3414691845889644E-3</v>
      </c>
    </row>
    <row r="50" spans="1:124">
      <c r="A50" s="288">
        <v>47</v>
      </c>
      <c r="B50" s="288">
        <v>5.0056882821387944E-3</v>
      </c>
      <c r="C50" s="288">
        <f t="shared" si="32"/>
        <v>0</v>
      </c>
      <c r="D50" s="288">
        <f t="shared" si="32"/>
        <v>0</v>
      </c>
      <c r="E50" s="288">
        <f t="shared" si="32"/>
        <v>0</v>
      </c>
      <c r="F50" s="288">
        <f t="shared" si="32"/>
        <v>0</v>
      </c>
      <c r="G50" s="288">
        <f t="shared" si="32"/>
        <v>0</v>
      </c>
      <c r="H50" s="288">
        <f t="shared" si="32"/>
        <v>0</v>
      </c>
      <c r="I50" s="288">
        <f t="shared" si="32"/>
        <v>0</v>
      </c>
      <c r="J50" s="288">
        <f t="shared" si="32"/>
        <v>0</v>
      </c>
      <c r="K50" s="288">
        <f t="shared" si="32"/>
        <v>0</v>
      </c>
      <c r="L50" s="288">
        <f t="shared" si="32"/>
        <v>0</v>
      </c>
      <c r="M50" s="288">
        <f t="shared" si="32"/>
        <v>0</v>
      </c>
      <c r="N50" s="288">
        <f t="shared" si="32"/>
        <v>0</v>
      </c>
      <c r="O50" s="288">
        <f t="shared" si="32"/>
        <v>0</v>
      </c>
      <c r="P50" s="288">
        <f t="shared" si="32"/>
        <v>0</v>
      </c>
      <c r="Q50" s="288">
        <f t="shared" si="32"/>
        <v>0</v>
      </c>
      <c r="R50" s="288">
        <f t="shared" si="31"/>
        <v>0</v>
      </c>
      <c r="S50" s="288">
        <f t="shared" si="27"/>
        <v>0</v>
      </c>
      <c r="T50" s="288">
        <f t="shared" si="27"/>
        <v>0</v>
      </c>
      <c r="U50" s="288">
        <f t="shared" si="27"/>
        <v>0</v>
      </c>
      <c r="V50" s="288">
        <f t="shared" si="27"/>
        <v>0</v>
      </c>
      <c r="W50" s="288">
        <f t="shared" si="27"/>
        <v>0</v>
      </c>
      <c r="X50" s="288">
        <f t="shared" si="27"/>
        <v>0</v>
      </c>
      <c r="Y50" s="288">
        <f t="shared" si="27"/>
        <v>0</v>
      </c>
      <c r="Z50" s="288">
        <f t="shared" si="24"/>
        <v>0</v>
      </c>
      <c r="AA50" s="288">
        <f t="shared" si="24"/>
        <v>0</v>
      </c>
      <c r="AB50" s="288">
        <f t="shared" si="24"/>
        <v>0</v>
      </c>
      <c r="AC50" s="288">
        <f t="shared" si="24"/>
        <v>0</v>
      </c>
      <c r="AD50" s="288">
        <f t="shared" si="24"/>
        <v>0</v>
      </c>
      <c r="AE50" s="288">
        <f t="shared" si="19"/>
        <v>0</v>
      </c>
      <c r="AF50" s="288">
        <f t="shared" si="19"/>
        <v>0</v>
      </c>
      <c r="AG50" s="288">
        <f t="shared" si="19"/>
        <v>0</v>
      </c>
      <c r="AH50" s="288">
        <f t="shared" si="19"/>
        <v>0</v>
      </c>
      <c r="AI50" s="288">
        <f t="shared" si="19"/>
        <v>0</v>
      </c>
      <c r="AJ50" s="288">
        <f t="shared" si="19"/>
        <v>0</v>
      </c>
      <c r="AK50" s="288">
        <f t="shared" si="19"/>
        <v>0</v>
      </c>
      <c r="AL50" s="288">
        <f t="shared" si="19"/>
        <v>0</v>
      </c>
      <c r="AM50" s="288">
        <f t="shared" si="19"/>
        <v>0</v>
      </c>
      <c r="AN50" s="288">
        <f t="shared" si="19"/>
        <v>0</v>
      </c>
      <c r="AO50" s="288">
        <f t="shared" si="19"/>
        <v>0</v>
      </c>
      <c r="AP50" s="288">
        <f t="shared" si="19"/>
        <v>0</v>
      </c>
      <c r="AQ50" s="288">
        <f t="shared" si="19"/>
        <v>0</v>
      </c>
      <c r="AR50" s="288">
        <f t="shared" si="19"/>
        <v>0</v>
      </c>
      <c r="AS50" s="288">
        <f t="shared" si="19"/>
        <v>0</v>
      </c>
      <c r="AT50" s="288">
        <f t="shared" si="19"/>
        <v>0</v>
      </c>
      <c r="AU50" s="288">
        <f t="shared" si="28"/>
        <v>47</v>
      </c>
      <c r="AV50" s="288">
        <f t="shared" si="25"/>
        <v>48</v>
      </c>
      <c r="AW50" s="288">
        <f t="shared" si="25"/>
        <v>0</v>
      </c>
      <c r="AX50" s="288">
        <f t="shared" si="25"/>
        <v>0</v>
      </c>
      <c r="AY50" s="288">
        <f t="shared" si="25"/>
        <v>0</v>
      </c>
      <c r="AZ50" s="288">
        <f t="shared" si="25"/>
        <v>0</v>
      </c>
      <c r="BA50" s="288">
        <f t="shared" si="25"/>
        <v>0</v>
      </c>
      <c r="BB50" s="288">
        <f t="shared" si="25"/>
        <v>0</v>
      </c>
      <c r="BC50" s="288">
        <f t="shared" si="25"/>
        <v>0</v>
      </c>
      <c r="BD50" s="288">
        <f t="shared" si="25"/>
        <v>0</v>
      </c>
      <c r="BE50" s="288">
        <f t="shared" si="25"/>
        <v>0</v>
      </c>
      <c r="BF50" s="288">
        <f t="shared" si="25"/>
        <v>0</v>
      </c>
      <c r="BG50" s="288">
        <f t="shared" si="25"/>
        <v>0</v>
      </c>
      <c r="BH50" s="288">
        <f t="shared" si="25"/>
        <v>0</v>
      </c>
      <c r="BI50" s="288">
        <f t="shared" si="25"/>
        <v>0</v>
      </c>
      <c r="BJ50" s="288">
        <f t="shared" si="25"/>
        <v>0</v>
      </c>
      <c r="BK50" s="288">
        <f t="shared" si="25"/>
        <v>0</v>
      </c>
      <c r="BL50" s="288">
        <f t="shared" si="26"/>
        <v>0</v>
      </c>
      <c r="BM50" s="288">
        <f t="shared" si="26"/>
        <v>0</v>
      </c>
      <c r="BN50" s="288">
        <f t="shared" si="17"/>
        <v>0</v>
      </c>
      <c r="BO50" s="288">
        <f t="shared" si="17"/>
        <v>0</v>
      </c>
      <c r="BP50" s="288">
        <f t="shared" si="17"/>
        <v>0</v>
      </c>
      <c r="BQ50" s="288">
        <f t="shared" si="17"/>
        <v>0</v>
      </c>
      <c r="BR50" s="288">
        <f t="shared" si="17"/>
        <v>0</v>
      </c>
      <c r="BS50" s="288">
        <f t="shared" si="17"/>
        <v>0</v>
      </c>
      <c r="BT50" s="288">
        <f t="shared" si="17"/>
        <v>0</v>
      </c>
      <c r="BU50" s="288">
        <f t="shared" si="17"/>
        <v>0</v>
      </c>
      <c r="BV50" s="288">
        <f t="shared" si="17"/>
        <v>0</v>
      </c>
      <c r="BW50" s="288">
        <f t="shared" si="17"/>
        <v>0</v>
      </c>
      <c r="BX50" s="288">
        <f t="shared" si="17"/>
        <v>0</v>
      </c>
      <c r="BY50" s="288">
        <f t="shared" si="17"/>
        <v>0</v>
      </c>
      <c r="BZ50" s="288">
        <f t="shared" si="17"/>
        <v>0</v>
      </c>
      <c r="CA50" s="288">
        <f t="shared" si="17"/>
        <v>0</v>
      </c>
      <c r="CB50" s="288">
        <f t="shared" si="17"/>
        <v>0</v>
      </c>
      <c r="CC50" s="288">
        <f t="shared" si="17"/>
        <v>0</v>
      </c>
      <c r="CD50" s="288">
        <f t="shared" si="23"/>
        <v>0</v>
      </c>
      <c r="CE50" s="288">
        <f t="shared" si="22"/>
        <v>0</v>
      </c>
      <c r="CF50" s="288">
        <f t="shared" si="22"/>
        <v>0</v>
      </c>
      <c r="CG50" s="288">
        <f t="shared" si="22"/>
        <v>0</v>
      </c>
      <c r="CH50" s="288">
        <f t="shared" si="22"/>
        <v>0</v>
      </c>
      <c r="CI50" s="288">
        <f t="shared" si="22"/>
        <v>0</v>
      </c>
      <c r="CJ50" s="288">
        <f t="shared" si="22"/>
        <v>0</v>
      </c>
      <c r="CK50" s="288">
        <f t="shared" si="22"/>
        <v>0</v>
      </c>
      <c r="CL50" s="288">
        <f t="shared" si="22"/>
        <v>0</v>
      </c>
      <c r="CM50" s="288">
        <f t="shared" si="22"/>
        <v>0</v>
      </c>
      <c r="CN50" s="288">
        <f t="shared" si="22"/>
        <v>0</v>
      </c>
      <c r="CO50" s="288">
        <f t="shared" si="22"/>
        <v>0</v>
      </c>
      <c r="CP50" s="288">
        <f t="shared" si="22"/>
        <v>0</v>
      </c>
      <c r="CQ50" s="288">
        <f t="shared" si="22"/>
        <v>0</v>
      </c>
      <c r="CR50" s="288">
        <f t="shared" si="22"/>
        <v>0</v>
      </c>
      <c r="CS50" s="288">
        <f t="shared" si="22"/>
        <v>0</v>
      </c>
      <c r="CT50" s="288">
        <f t="shared" si="22"/>
        <v>0</v>
      </c>
      <c r="CU50" s="288">
        <f t="shared" si="30"/>
        <v>0</v>
      </c>
      <c r="CV50" s="288">
        <f t="shared" si="29"/>
        <v>0</v>
      </c>
      <c r="CW50" s="288">
        <f t="shared" si="29"/>
        <v>0</v>
      </c>
      <c r="CX50" s="288">
        <f t="shared" si="21"/>
        <v>0</v>
      </c>
      <c r="CY50" s="288">
        <f t="shared" si="21"/>
        <v>0</v>
      </c>
      <c r="CZ50" s="288">
        <f t="shared" si="21"/>
        <v>0</v>
      </c>
      <c r="DA50" s="288">
        <f t="shared" si="21"/>
        <v>0</v>
      </c>
      <c r="DB50" s="288">
        <f t="shared" si="33"/>
        <v>0</v>
      </c>
      <c r="DC50" s="288">
        <f t="shared" si="33"/>
        <v>0</v>
      </c>
      <c r="DD50" s="288">
        <f t="shared" si="33"/>
        <v>0</v>
      </c>
      <c r="DE50" s="288">
        <f t="shared" si="33"/>
        <v>0</v>
      </c>
      <c r="DG50" s="314">
        <f t="shared" si="3"/>
        <v>49</v>
      </c>
      <c r="DH50" s="289">
        <f>MAX(AX$3:AX$109)</f>
        <v>49</v>
      </c>
      <c r="DJ50" s="288">
        <f>LOOKUP(DH50, 'Mortality Table'!A:A,('Mortality Table'!J:J/'Mortality Table'!I:I))</f>
        <v>5.5840049305355306E-3</v>
      </c>
      <c r="DK50" s="288">
        <f>LOOKUP(A50, 'Mortality Table'!A:A,('Mortality Table'!J:J/'Mortality Table'!I:I))</f>
        <v>4.6081095776480379E-3</v>
      </c>
      <c r="DL50" s="288">
        <f t="shared" si="4"/>
        <v>9.7589535288749273E-4</v>
      </c>
      <c r="DN50" s="288">
        <f>LOOKUP(DH50, 'Mortality Table'!A:A,('Mortality Table'!L:L/'Mortality Table'!K:K))</f>
        <v>5.6563708641564122E-3</v>
      </c>
      <c r="DO50" s="288">
        <f>LOOKUP(A50, 'Mortality Table'!A:A,('Mortality Table'!L:L/'Mortality Table'!K:K))</f>
        <v>4.6678283916466168E-3</v>
      </c>
      <c r="DP50" s="288">
        <f t="shared" si="5"/>
        <v>9.8854247250979542E-4</v>
      </c>
      <c r="DR50" s="288">
        <f>LOOKUP(DH50, 'Mortality Table'!A:A,('Mortality Table'!N:N/'Mortality Table'!M:M))</f>
        <v>5.7834961945655173E-3</v>
      </c>
      <c r="DS50" s="288">
        <f>LOOKUP(A50, 'Mortality Table'!A:A,('Mortality Table'!N:N/'Mortality Table'!M:M))</f>
        <v>4.7727365104443756E-3</v>
      </c>
      <c r="DT50" s="288">
        <f t="shared" si="6"/>
        <v>1.0107596841211416E-3</v>
      </c>
    </row>
    <row r="51" spans="1:124">
      <c r="A51" s="288">
        <v>48</v>
      </c>
      <c r="B51" s="288">
        <v>5.4555551925778312E-3</v>
      </c>
      <c r="C51" s="288">
        <f t="shared" si="32"/>
        <v>0</v>
      </c>
      <c r="D51" s="288">
        <f t="shared" si="32"/>
        <v>0</v>
      </c>
      <c r="E51" s="288">
        <f t="shared" si="32"/>
        <v>0</v>
      </c>
      <c r="F51" s="288">
        <f t="shared" si="32"/>
        <v>0</v>
      </c>
      <c r="G51" s="288">
        <f t="shared" si="32"/>
        <v>0</v>
      </c>
      <c r="H51" s="288">
        <f t="shared" si="32"/>
        <v>0</v>
      </c>
      <c r="I51" s="288">
        <f t="shared" si="32"/>
        <v>0</v>
      </c>
      <c r="J51" s="288">
        <f t="shared" si="32"/>
        <v>0</v>
      </c>
      <c r="K51" s="288">
        <f t="shared" si="32"/>
        <v>0</v>
      </c>
      <c r="L51" s="288">
        <f t="shared" si="32"/>
        <v>0</v>
      </c>
      <c r="M51" s="288">
        <f t="shared" si="32"/>
        <v>0</v>
      </c>
      <c r="N51" s="288">
        <f t="shared" si="32"/>
        <v>0</v>
      </c>
      <c r="O51" s="288">
        <f t="shared" si="32"/>
        <v>0</v>
      </c>
      <c r="P51" s="288">
        <f t="shared" si="32"/>
        <v>0</v>
      </c>
      <c r="Q51" s="288">
        <f t="shared" si="32"/>
        <v>0</v>
      </c>
      <c r="R51" s="288">
        <f t="shared" si="31"/>
        <v>0</v>
      </c>
      <c r="S51" s="288">
        <f t="shared" si="27"/>
        <v>0</v>
      </c>
      <c r="T51" s="288">
        <f t="shared" si="27"/>
        <v>0</v>
      </c>
      <c r="U51" s="288">
        <f t="shared" si="27"/>
        <v>0</v>
      </c>
      <c r="V51" s="288">
        <f t="shared" si="27"/>
        <v>0</v>
      </c>
      <c r="W51" s="288">
        <f t="shared" si="27"/>
        <v>0</v>
      </c>
      <c r="X51" s="288">
        <f t="shared" si="27"/>
        <v>0</v>
      </c>
      <c r="Y51" s="288">
        <f t="shared" si="27"/>
        <v>0</v>
      </c>
      <c r="Z51" s="288">
        <f t="shared" si="24"/>
        <v>0</v>
      </c>
      <c r="AA51" s="288">
        <f t="shared" si="24"/>
        <v>0</v>
      </c>
      <c r="AB51" s="288">
        <f t="shared" si="24"/>
        <v>0</v>
      </c>
      <c r="AC51" s="288">
        <f t="shared" si="24"/>
        <v>0</v>
      </c>
      <c r="AD51" s="288">
        <f t="shared" si="24"/>
        <v>0</v>
      </c>
      <c r="AE51" s="288">
        <f t="shared" si="19"/>
        <v>0</v>
      </c>
      <c r="AF51" s="288">
        <f t="shared" si="19"/>
        <v>0</v>
      </c>
      <c r="AG51" s="288">
        <f t="shared" si="19"/>
        <v>0</v>
      </c>
      <c r="AH51" s="288">
        <f t="shared" si="19"/>
        <v>0</v>
      </c>
      <c r="AI51" s="288">
        <f t="shared" si="19"/>
        <v>0</v>
      </c>
      <c r="AJ51" s="288">
        <f t="shared" si="19"/>
        <v>0</v>
      </c>
      <c r="AK51" s="288">
        <f t="shared" si="19"/>
        <v>0</v>
      </c>
      <c r="AL51" s="288">
        <f t="shared" si="19"/>
        <v>0</v>
      </c>
      <c r="AM51" s="288">
        <f t="shared" si="19"/>
        <v>0</v>
      </c>
      <c r="AN51" s="288">
        <f t="shared" si="19"/>
        <v>0</v>
      </c>
      <c r="AO51" s="288">
        <f t="shared" si="19"/>
        <v>0</v>
      </c>
      <c r="AP51" s="288">
        <f t="shared" si="19"/>
        <v>0</v>
      </c>
      <c r="AQ51" s="288">
        <f t="shared" si="19"/>
        <v>0</v>
      </c>
      <c r="AR51" s="288">
        <f t="shared" si="19"/>
        <v>0</v>
      </c>
      <c r="AS51" s="288">
        <f t="shared" si="19"/>
        <v>0</v>
      </c>
      <c r="AT51" s="288">
        <f t="shared" ref="AT51:AU82" si="34">IF(AT$2&gt;$B51,(IF(AT$2&lt;=$B52,(IF(AVERAGE($B51,$B52)&gt;AT$2,$A51,$A52)),0)),0)</f>
        <v>0</v>
      </c>
      <c r="AU51" s="288">
        <f t="shared" si="28"/>
        <v>0</v>
      </c>
      <c r="AV51" s="288">
        <f t="shared" si="25"/>
        <v>0</v>
      </c>
      <c r="AW51" s="288">
        <f t="shared" si="25"/>
        <v>49</v>
      </c>
      <c r="AX51" s="288">
        <f t="shared" si="25"/>
        <v>0</v>
      </c>
      <c r="AY51" s="288">
        <f t="shared" si="25"/>
        <v>0</v>
      </c>
      <c r="AZ51" s="288">
        <f t="shared" si="25"/>
        <v>0</v>
      </c>
      <c r="BA51" s="288">
        <f t="shared" si="25"/>
        <v>0</v>
      </c>
      <c r="BB51" s="288">
        <f t="shared" si="25"/>
        <v>0</v>
      </c>
      <c r="BC51" s="288">
        <f t="shared" si="25"/>
        <v>0</v>
      </c>
      <c r="BD51" s="288">
        <f t="shared" si="25"/>
        <v>0</v>
      </c>
      <c r="BE51" s="288">
        <f t="shared" si="25"/>
        <v>0</v>
      </c>
      <c r="BF51" s="288">
        <f t="shared" si="25"/>
        <v>0</v>
      </c>
      <c r="BG51" s="288">
        <f t="shared" si="25"/>
        <v>0</v>
      </c>
      <c r="BH51" s="288">
        <f t="shared" si="25"/>
        <v>0</v>
      </c>
      <c r="BI51" s="288">
        <f t="shared" si="25"/>
        <v>0</v>
      </c>
      <c r="BJ51" s="288">
        <f t="shared" si="25"/>
        <v>0</v>
      </c>
      <c r="BK51" s="288">
        <f t="shared" si="25"/>
        <v>0</v>
      </c>
      <c r="BL51" s="288">
        <f t="shared" si="26"/>
        <v>0</v>
      </c>
      <c r="BM51" s="288">
        <f t="shared" si="26"/>
        <v>0</v>
      </c>
      <c r="BN51" s="288">
        <f t="shared" si="17"/>
        <v>0</v>
      </c>
      <c r="BO51" s="288">
        <f t="shared" si="17"/>
        <v>0</v>
      </c>
      <c r="BP51" s="288">
        <f t="shared" si="17"/>
        <v>0</v>
      </c>
      <c r="BQ51" s="288">
        <f t="shared" si="17"/>
        <v>0</v>
      </c>
      <c r="BR51" s="288">
        <f t="shared" si="17"/>
        <v>0</v>
      </c>
      <c r="BS51" s="288">
        <f t="shared" si="17"/>
        <v>0</v>
      </c>
      <c r="BT51" s="288">
        <f t="shared" si="17"/>
        <v>0</v>
      </c>
      <c r="BU51" s="288">
        <f t="shared" si="17"/>
        <v>0</v>
      </c>
      <c r="BV51" s="288">
        <f t="shared" si="17"/>
        <v>0</v>
      </c>
      <c r="BW51" s="288">
        <f t="shared" si="17"/>
        <v>0</v>
      </c>
      <c r="BX51" s="288">
        <f t="shared" si="17"/>
        <v>0</v>
      </c>
      <c r="BY51" s="288">
        <f t="shared" si="17"/>
        <v>0</v>
      </c>
      <c r="BZ51" s="288">
        <f t="shared" si="17"/>
        <v>0</v>
      </c>
      <c r="CA51" s="288">
        <f t="shared" si="17"/>
        <v>0</v>
      </c>
      <c r="CB51" s="288">
        <f t="shared" si="17"/>
        <v>0</v>
      </c>
      <c r="CC51" s="288">
        <f t="shared" si="17"/>
        <v>0</v>
      </c>
      <c r="CD51" s="288">
        <f t="shared" si="23"/>
        <v>0</v>
      </c>
      <c r="CE51" s="288">
        <f t="shared" si="22"/>
        <v>0</v>
      </c>
      <c r="CF51" s="288">
        <f t="shared" si="22"/>
        <v>0</v>
      </c>
      <c r="CG51" s="288">
        <f t="shared" si="22"/>
        <v>0</v>
      </c>
      <c r="CH51" s="288">
        <f t="shared" si="22"/>
        <v>0</v>
      </c>
      <c r="CI51" s="288">
        <f t="shared" si="22"/>
        <v>0</v>
      </c>
      <c r="CJ51" s="288">
        <f t="shared" si="22"/>
        <v>0</v>
      </c>
      <c r="CK51" s="288">
        <f t="shared" si="22"/>
        <v>0</v>
      </c>
      <c r="CL51" s="288">
        <f t="shared" si="22"/>
        <v>0</v>
      </c>
      <c r="CM51" s="288">
        <f t="shared" si="22"/>
        <v>0</v>
      </c>
      <c r="CN51" s="288">
        <f t="shared" si="22"/>
        <v>0</v>
      </c>
      <c r="CO51" s="288">
        <f t="shared" si="22"/>
        <v>0</v>
      </c>
      <c r="CP51" s="288">
        <f t="shared" si="22"/>
        <v>0</v>
      </c>
      <c r="CQ51" s="288">
        <f t="shared" si="22"/>
        <v>0</v>
      </c>
      <c r="CR51" s="288">
        <f t="shared" si="22"/>
        <v>0</v>
      </c>
      <c r="CS51" s="288">
        <f t="shared" si="22"/>
        <v>0</v>
      </c>
      <c r="CT51" s="288">
        <f t="shared" si="22"/>
        <v>0</v>
      </c>
      <c r="CU51" s="288">
        <f t="shared" si="30"/>
        <v>0</v>
      </c>
      <c r="CV51" s="288">
        <f t="shared" si="29"/>
        <v>0</v>
      </c>
      <c r="CW51" s="288">
        <f t="shared" si="29"/>
        <v>0</v>
      </c>
      <c r="CX51" s="288">
        <f t="shared" si="21"/>
        <v>0</v>
      </c>
      <c r="CY51" s="288">
        <f t="shared" si="21"/>
        <v>0</v>
      </c>
      <c r="CZ51" s="288">
        <f t="shared" si="21"/>
        <v>0</v>
      </c>
      <c r="DA51" s="288">
        <f t="shared" si="21"/>
        <v>0</v>
      </c>
      <c r="DB51" s="288">
        <f t="shared" si="33"/>
        <v>0</v>
      </c>
      <c r="DC51" s="288">
        <f t="shared" si="33"/>
        <v>0</v>
      </c>
      <c r="DD51" s="288">
        <f t="shared" si="33"/>
        <v>0</v>
      </c>
      <c r="DE51" s="288">
        <f t="shared" si="33"/>
        <v>0</v>
      </c>
      <c r="DG51" s="314">
        <f t="shared" si="3"/>
        <v>50</v>
      </c>
      <c r="DH51" s="289">
        <f>MAX(AY$3:AY$109)</f>
        <v>50</v>
      </c>
      <c r="DJ51" s="288">
        <f>LOOKUP(DH51, 'Mortality Table'!A:A,('Mortality Table'!J:J/'Mortality Table'!I:I))</f>
        <v>6.1555530311780682E-3</v>
      </c>
      <c r="DK51" s="288">
        <f>LOOKUP(A51, 'Mortality Table'!A:A,('Mortality Table'!J:J/'Mortality Table'!I:I))</f>
        <v>5.0222456368305551E-3</v>
      </c>
      <c r="DL51" s="288">
        <f t="shared" si="4"/>
        <v>1.133307394347513E-3</v>
      </c>
      <c r="DN51" s="288">
        <f>LOOKUP(DH51, 'Mortality Table'!A:A,('Mortality Table'!L:L/'Mortality Table'!K:K))</f>
        <v>6.235325944632727E-3</v>
      </c>
      <c r="DO51" s="288">
        <f>LOOKUP(A51, 'Mortality Table'!A:A,('Mortality Table'!L:L/'Mortality Table'!K:K))</f>
        <v>5.0873314486992336E-3</v>
      </c>
      <c r="DP51" s="288">
        <f t="shared" si="5"/>
        <v>1.1479944959334933E-3</v>
      </c>
      <c r="DR51" s="288">
        <f>LOOKUP(DH51, 'Mortality Table'!A:A,('Mortality Table'!N:N/'Mortality Table'!M:M))</f>
        <v>6.3754631262208277E-3</v>
      </c>
      <c r="DS51" s="288">
        <f>LOOKUP(A51, 'Mortality Table'!A:A,('Mortality Table'!N:N/'Mortality Table'!M:M))</f>
        <v>5.2016677796874909E-3</v>
      </c>
      <c r="DT51" s="288">
        <f t="shared" si="6"/>
        <v>1.1737953465333368E-3</v>
      </c>
    </row>
    <row r="52" spans="1:124">
      <c r="A52" s="288">
        <v>49</v>
      </c>
      <c r="B52" s="288">
        <v>6.0657819822187188E-3</v>
      </c>
      <c r="C52" s="288">
        <f t="shared" si="32"/>
        <v>0</v>
      </c>
      <c r="D52" s="288">
        <f t="shared" si="32"/>
        <v>0</v>
      </c>
      <c r="E52" s="288">
        <f t="shared" si="32"/>
        <v>0</v>
      </c>
      <c r="F52" s="288">
        <f t="shared" si="32"/>
        <v>0</v>
      </c>
      <c r="G52" s="288">
        <f t="shared" si="32"/>
        <v>0</v>
      </c>
      <c r="H52" s="288">
        <f t="shared" si="32"/>
        <v>0</v>
      </c>
      <c r="I52" s="288">
        <f t="shared" si="32"/>
        <v>0</v>
      </c>
      <c r="J52" s="288">
        <f t="shared" si="32"/>
        <v>0</v>
      </c>
      <c r="K52" s="288">
        <f t="shared" si="32"/>
        <v>0</v>
      </c>
      <c r="L52" s="288">
        <f t="shared" si="32"/>
        <v>0</v>
      </c>
      <c r="M52" s="288">
        <f t="shared" si="32"/>
        <v>0</v>
      </c>
      <c r="N52" s="288">
        <f t="shared" si="32"/>
        <v>0</v>
      </c>
      <c r="O52" s="288">
        <f t="shared" si="32"/>
        <v>0</v>
      </c>
      <c r="P52" s="288">
        <f t="shared" si="32"/>
        <v>0</v>
      </c>
      <c r="Q52" s="288">
        <f t="shared" si="32"/>
        <v>0</v>
      </c>
      <c r="R52" s="288">
        <f t="shared" si="31"/>
        <v>0</v>
      </c>
      <c r="S52" s="288">
        <f t="shared" si="27"/>
        <v>0</v>
      </c>
      <c r="T52" s="288">
        <f t="shared" si="27"/>
        <v>0</v>
      </c>
      <c r="U52" s="288">
        <f t="shared" si="27"/>
        <v>0</v>
      </c>
      <c r="V52" s="288">
        <f t="shared" si="27"/>
        <v>0</v>
      </c>
      <c r="W52" s="288">
        <f t="shared" si="27"/>
        <v>0</v>
      </c>
      <c r="X52" s="288">
        <f t="shared" si="27"/>
        <v>0</v>
      </c>
      <c r="Y52" s="288">
        <f t="shared" si="27"/>
        <v>0</v>
      </c>
      <c r="Z52" s="288">
        <f t="shared" si="24"/>
        <v>0</v>
      </c>
      <c r="AA52" s="288">
        <f t="shared" si="24"/>
        <v>0</v>
      </c>
      <c r="AB52" s="288">
        <f t="shared" si="24"/>
        <v>0</v>
      </c>
      <c r="AC52" s="288">
        <f t="shared" si="24"/>
        <v>0</v>
      </c>
      <c r="AD52" s="288">
        <f t="shared" si="24"/>
        <v>0</v>
      </c>
      <c r="AE52" s="288">
        <f t="shared" si="24"/>
        <v>0</v>
      </c>
      <c r="AF52" s="288">
        <f t="shared" si="24"/>
        <v>0</v>
      </c>
      <c r="AG52" s="288">
        <f t="shared" si="24"/>
        <v>0</v>
      </c>
      <c r="AH52" s="288">
        <f t="shared" si="24"/>
        <v>0</v>
      </c>
      <c r="AI52" s="288">
        <f t="shared" si="24"/>
        <v>0</v>
      </c>
      <c r="AJ52" s="288">
        <f t="shared" si="24"/>
        <v>0</v>
      </c>
      <c r="AK52" s="288">
        <f t="shared" si="24"/>
        <v>0</v>
      </c>
      <c r="AL52" s="288">
        <f t="shared" si="24"/>
        <v>0</v>
      </c>
      <c r="AM52" s="288">
        <f t="shared" si="24"/>
        <v>0</v>
      </c>
      <c r="AN52" s="288">
        <f t="shared" si="24"/>
        <v>0</v>
      </c>
      <c r="AO52" s="288">
        <f t="shared" si="24"/>
        <v>0</v>
      </c>
      <c r="AP52" s="288">
        <f t="shared" ref="AP52:AP97" si="35">IF(AP$2&gt;$B52,(IF(AP$2&lt;=$B53,(IF(AVERAGE($B52,$B53)&gt;AP$2,$A52,$A53)),0)),0)</f>
        <v>0</v>
      </c>
      <c r="AQ52" s="288">
        <f t="shared" ref="AQ52:AQ97" si="36">IF(AQ$2&gt;$B52,(IF(AQ$2&lt;=$B53,(IF(AVERAGE($B52,$B53)&gt;AQ$2,$A52,$A53)),0)),0)</f>
        <v>0</v>
      </c>
      <c r="AR52" s="288">
        <f t="shared" ref="AR52:AR97" si="37">IF(AR$2&gt;$B52,(IF(AR$2&lt;=$B53,(IF(AVERAGE($B52,$B53)&gt;AR$2,$A52,$A53)),0)),0)</f>
        <v>0</v>
      </c>
      <c r="AS52" s="288">
        <f t="shared" ref="AS52:AS97" si="38">IF(AS$2&gt;$B52,(IF(AS$2&lt;=$B53,(IF(AVERAGE($B52,$B53)&gt;AS$2,$A52,$A53)),0)),0)</f>
        <v>0</v>
      </c>
      <c r="AT52" s="288">
        <f t="shared" si="34"/>
        <v>0</v>
      </c>
      <c r="AU52" s="288">
        <f t="shared" si="28"/>
        <v>0</v>
      </c>
      <c r="AV52" s="288">
        <f t="shared" si="25"/>
        <v>0</v>
      </c>
      <c r="AW52" s="288">
        <f t="shared" si="25"/>
        <v>0</v>
      </c>
      <c r="AX52" s="288">
        <f t="shared" si="25"/>
        <v>49</v>
      </c>
      <c r="AY52" s="288">
        <f t="shared" si="25"/>
        <v>0</v>
      </c>
      <c r="AZ52" s="288">
        <f t="shared" si="25"/>
        <v>0</v>
      </c>
      <c r="BA52" s="288">
        <f t="shared" si="25"/>
        <v>0</v>
      </c>
      <c r="BB52" s="288">
        <f t="shared" si="25"/>
        <v>0</v>
      </c>
      <c r="BC52" s="288">
        <f t="shared" si="25"/>
        <v>0</v>
      </c>
      <c r="BD52" s="288">
        <f t="shared" si="25"/>
        <v>0</v>
      </c>
      <c r="BE52" s="288">
        <f t="shared" si="25"/>
        <v>0</v>
      </c>
      <c r="BF52" s="288">
        <f t="shared" si="25"/>
        <v>0</v>
      </c>
      <c r="BG52" s="288">
        <f t="shared" si="25"/>
        <v>0</v>
      </c>
      <c r="BH52" s="288">
        <f t="shared" si="25"/>
        <v>0</v>
      </c>
      <c r="BI52" s="288">
        <f t="shared" si="25"/>
        <v>0</v>
      </c>
      <c r="BJ52" s="288">
        <f t="shared" si="25"/>
        <v>0</v>
      </c>
      <c r="BK52" s="288">
        <f t="shared" si="25"/>
        <v>0</v>
      </c>
      <c r="BL52" s="288">
        <f t="shared" si="26"/>
        <v>0</v>
      </c>
      <c r="BM52" s="288">
        <f t="shared" si="26"/>
        <v>0</v>
      </c>
      <c r="BN52" s="288">
        <f t="shared" si="26"/>
        <v>0</v>
      </c>
      <c r="BO52" s="288">
        <f t="shared" si="26"/>
        <v>0</v>
      </c>
      <c r="BP52" s="288">
        <f t="shared" si="26"/>
        <v>0</v>
      </c>
      <c r="BQ52" s="288">
        <f t="shared" si="26"/>
        <v>0</v>
      </c>
      <c r="BR52" s="288">
        <f t="shared" si="26"/>
        <v>0</v>
      </c>
      <c r="BS52" s="288">
        <f t="shared" si="26"/>
        <v>0</v>
      </c>
      <c r="BT52" s="288">
        <f t="shared" si="26"/>
        <v>0</v>
      </c>
      <c r="BU52" s="288">
        <f t="shared" si="26"/>
        <v>0</v>
      </c>
      <c r="BV52" s="288">
        <f t="shared" si="26"/>
        <v>0</v>
      </c>
      <c r="BW52" s="288">
        <f t="shared" si="26"/>
        <v>0</v>
      </c>
      <c r="BX52" s="288">
        <f t="shared" si="26"/>
        <v>0</v>
      </c>
      <c r="BY52" s="288">
        <f t="shared" si="26"/>
        <v>0</v>
      </c>
      <c r="BZ52" s="288">
        <f t="shared" si="26"/>
        <v>0</v>
      </c>
      <c r="CA52" s="288">
        <f t="shared" si="26"/>
        <v>0</v>
      </c>
      <c r="CB52" s="288">
        <f t="shared" ref="CB52:CP83" si="39">IF(CB$2&gt;$B52,(IF(CB$2&lt;=$B53,(IF(AVERAGE($B52,$B53)&gt;CB$2,$A52,$A53)),0)),0)</f>
        <v>0</v>
      </c>
      <c r="CC52" s="288">
        <f t="shared" si="39"/>
        <v>0</v>
      </c>
      <c r="CD52" s="288">
        <f t="shared" si="23"/>
        <v>0</v>
      </c>
      <c r="CE52" s="288">
        <f t="shared" si="22"/>
        <v>0</v>
      </c>
      <c r="CF52" s="288">
        <f t="shared" si="22"/>
        <v>0</v>
      </c>
      <c r="CG52" s="288">
        <f t="shared" si="22"/>
        <v>0</v>
      </c>
      <c r="CH52" s="288">
        <f t="shared" si="22"/>
        <v>0</v>
      </c>
      <c r="CI52" s="288">
        <f t="shared" si="22"/>
        <v>0</v>
      </c>
      <c r="CJ52" s="288">
        <f t="shared" si="22"/>
        <v>0</v>
      </c>
      <c r="CK52" s="288">
        <f t="shared" si="22"/>
        <v>0</v>
      </c>
      <c r="CL52" s="288">
        <f t="shared" si="22"/>
        <v>0</v>
      </c>
      <c r="CM52" s="288">
        <f t="shared" si="22"/>
        <v>0</v>
      </c>
      <c r="CN52" s="288">
        <f t="shared" si="22"/>
        <v>0</v>
      </c>
      <c r="CO52" s="288">
        <f t="shared" si="22"/>
        <v>0</v>
      </c>
      <c r="CP52" s="288">
        <f t="shared" si="22"/>
        <v>0</v>
      </c>
      <c r="CQ52" s="288">
        <f t="shared" si="22"/>
        <v>0</v>
      </c>
      <c r="CR52" s="288">
        <f t="shared" si="22"/>
        <v>0</v>
      </c>
      <c r="CS52" s="288">
        <f t="shared" si="22"/>
        <v>0</v>
      </c>
      <c r="CT52" s="288">
        <f t="shared" si="22"/>
        <v>0</v>
      </c>
      <c r="CU52" s="288">
        <f t="shared" si="30"/>
        <v>0</v>
      </c>
      <c r="CV52" s="288">
        <f t="shared" si="29"/>
        <v>0</v>
      </c>
      <c r="CW52" s="288">
        <f t="shared" si="29"/>
        <v>0</v>
      </c>
      <c r="CX52" s="288">
        <f t="shared" si="21"/>
        <v>0</v>
      </c>
      <c r="CY52" s="288">
        <f t="shared" si="21"/>
        <v>0</v>
      </c>
      <c r="CZ52" s="288">
        <f t="shared" si="21"/>
        <v>0</v>
      </c>
      <c r="DA52" s="288">
        <f t="shared" si="21"/>
        <v>0</v>
      </c>
      <c r="DB52" s="288">
        <f t="shared" si="33"/>
        <v>0</v>
      </c>
      <c r="DC52" s="288">
        <f t="shared" si="33"/>
        <v>0</v>
      </c>
      <c r="DD52" s="288">
        <f t="shared" si="33"/>
        <v>0</v>
      </c>
      <c r="DE52" s="288">
        <f t="shared" si="33"/>
        <v>0</v>
      </c>
      <c r="DG52" s="314">
        <f t="shared" si="3"/>
        <v>51</v>
      </c>
      <c r="DH52" s="289">
        <f>MAX(AZ$3:AZ$109)</f>
        <v>51</v>
      </c>
      <c r="DJ52" s="288">
        <f>LOOKUP(DH52, 'Mortality Table'!A:A,('Mortality Table'!J:J/'Mortality Table'!I:I))</f>
        <v>6.7380781827072267E-3</v>
      </c>
      <c r="DK52" s="288">
        <f>LOOKUP(A52, 'Mortality Table'!A:A,('Mortality Table'!J:J/'Mortality Table'!I:I))</f>
        <v>5.5840049305355306E-3</v>
      </c>
      <c r="DL52" s="288">
        <f t="shared" si="4"/>
        <v>1.1540732521716961E-3</v>
      </c>
      <c r="DN52" s="288">
        <f>LOOKUP(DH52, 'Mortality Table'!A:A,('Mortality Table'!L:L/'Mortality Table'!K:K))</f>
        <v>6.8254003331293476E-3</v>
      </c>
      <c r="DO52" s="288">
        <f>LOOKUP(A52, 'Mortality Table'!A:A,('Mortality Table'!L:L/'Mortality Table'!K:K))</f>
        <v>5.6563708641564122E-3</v>
      </c>
      <c r="DP52" s="288">
        <f t="shared" si="5"/>
        <v>1.1690294689729354E-3</v>
      </c>
      <c r="DR52" s="288">
        <f>LOOKUP(DH52, 'Mortality Table'!A:A,('Mortality Table'!N:N/'Mortality Table'!M:M))</f>
        <v>6.9787992691895491E-3</v>
      </c>
      <c r="DS52" s="288">
        <f>LOOKUP(A52, 'Mortality Table'!A:A,('Mortality Table'!N:N/'Mortality Table'!M:M))</f>
        <v>5.7834961945655173E-3</v>
      </c>
      <c r="DT52" s="288">
        <f t="shared" si="6"/>
        <v>1.1953030746240318E-3</v>
      </c>
    </row>
    <row r="53" spans="1:124">
      <c r="A53" s="288">
        <v>50</v>
      </c>
      <c r="B53" s="288">
        <v>6.6866421379629427E-3</v>
      </c>
      <c r="C53" s="288">
        <f t="shared" si="32"/>
        <v>0</v>
      </c>
      <c r="D53" s="288">
        <f t="shared" si="32"/>
        <v>0</v>
      </c>
      <c r="E53" s="288">
        <f t="shared" si="32"/>
        <v>0</v>
      </c>
      <c r="F53" s="288">
        <f t="shared" si="32"/>
        <v>0</v>
      </c>
      <c r="G53" s="288">
        <f t="shared" si="32"/>
        <v>0</v>
      </c>
      <c r="H53" s="288">
        <f t="shared" si="32"/>
        <v>0</v>
      </c>
      <c r="I53" s="288">
        <f t="shared" si="32"/>
        <v>0</v>
      </c>
      <c r="J53" s="288">
        <f t="shared" si="32"/>
        <v>0</v>
      </c>
      <c r="K53" s="288">
        <f t="shared" si="32"/>
        <v>0</v>
      </c>
      <c r="L53" s="288">
        <f t="shared" si="32"/>
        <v>0</v>
      </c>
      <c r="M53" s="288">
        <f t="shared" si="32"/>
        <v>0</v>
      </c>
      <c r="N53" s="288">
        <f t="shared" si="32"/>
        <v>0</v>
      </c>
      <c r="O53" s="288">
        <f t="shared" si="32"/>
        <v>0</v>
      </c>
      <c r="P53" s="288">
        <f t="shared" si="32"/>
        <v>0</v>
      </c>
      <c r="Q53" s="288">
        <f t="shared" si="32"/>
        <v>0</v>
      </c>
      <c r="R53" s="288">
        <f t="shared" si="31"/>
        <v>0</v>
      </c>
      <c r="S53" s="288">
        <f t="shared" si="27"/>
        <v>0</v>
      </c>
      <c r="T53" s="288">
        <f t="shared" si="27"/>
        <v>0</v>
      </c>
      <c r="U53" s="288">
        <f t="shared" si="27"/>
        <v>0</v>
      </c>
      <c r="V53" s="288">
        <f t="shared" si="27"/>
        <v>0</v>
      </c>
      <c r="W53" s="288">
        <f t="shared" si="27"/>
        <v>0</v>
      </c>
      <c r="X53" s="288">
        <f t="shared" si="27"/>
        <v>0</v>
      </c>
      <c r="Y53" s="288">
        <f t="shared" si="27"/>
        <v>0</v>
      </c>
      <c r="Z53" s="288">
        <f t="shared" si="24"/>
        <v>0</v>
      </c>
      <c r="AA53" s="288">
        <f t="shared" si="24"/>
        <v>0</v>
      </c>
      <c r="AB53" s="288">
        <f t="shared" si="24"/>
        <v>0</v>
      </c>
      <c r="AC53" s="288">
        <f t="shared" si="24"/>
        <v>0</v>
      </c>
      <c r="AD53" s="288">
        <f t="shared" si="24"/>
        <v>0</v>
      </c>
      <c r="AE53" s="288">
        <f t="shared" si="24"/>
        <v>0</v>
      </c>
      <c r="AF53" s="288">
        <f t="shared" si="24"/>
        <v>0</v>
      </c>
      <c r="AG53" s="288">
        <f t="shared" si="24"/>
        <v>0</v>
      </c>
      <c r="AH53" s="288">
        <f t="shared" si="24"/>
        <v>0</v>
      </c>
      <c r="AI53" s="288">
        <f t="shared" si="24"/>
        <v>0</v>
      </c>
      <c r="AJ53" s="288">
        <f t="shared" si="24"/>
        <v>0</v>
      </c>
      <c r="AK53" s="288">
        <f t="shared" si="24"/>
        <v>0</v>
      </c>
      <c r="AL53" s="288">
        <f t="shared" si="24"/>
        <v>0</v>
      </c>
      <c r="AM53" s="288">
        <f t="shared" si="24"/>
        <v>0</v>
      </c>
      <c r="AN53" s="288">
        <f t="shared" si="24"/>
        <v>0</v>
      </c>
      <c r="AO53" s="288">
        <f t="shared" si="24"/>
        <v>0</v>
      </c>
      <c r="AP53" s="288">
        <f t="shared" si="35"/>
        <v>0</v>
      </c>
      <c r="AQ53" s="288">
        <f t="shared" si="36"/>
        <v>0</v>
      </c>
      <c r="AR53" s="288">
        <f t="shared" si="37"/>
        <v>0</v>
      </c>
      <c r="AS53" s="288">
        <f t="shared" si="38"/>
        <v>0</v>
      </c>
      <c r="AT53" s="288">
        <f t="shared" si="34"/>
        <v>0</v>
      </c>
      <c r="AU53" s="288">
        <f t="shared" si="28"/>
        <v>0</v>
      </c>
      <c r="AV53" s="288">
        <f t="shared" si="25"/>
        <v>0</v>
      </c>
      <c r="AW53" s="288">
        <f t="shared" si="25"/>
        <v>0</v>
      </c>
      <c r="AX53" s="288">
        <f t="shared" si="25"/>
        <v>0</v>
      </c>
      <c r="AY53" s="288">
        <f t="shared" si="25"/>
        <v>50</v>
      </c>
      <c r="AZ53" s="288">
        <f t="shared" si="25"/>
        <v>0</v>
      </c>
      <c r="BA53" s="288">
        <f t="shared" si="25"/>
        <v>0</v>
      </c>
      <c r="BB53" s="288">
        <f t="shared" si="25"/>
        <v>0</v>
      </c>
      <c r="BC53" s="288">
        <f t="shared" si="25"/>
        <v>0</v>
      </c>
      <c r="BD53" s="288">
        <f t="shared" si="25"/>
        <v>0</v>
      </c>
      <c r="BE53" s="288">
        <f t="shared" si="25"/>
        <v>0</v>
      </c>
      <c r="BF53" s="288">
        <f t="shared" si="25"/>
        <v>0</v>
      </c>
      <c r="BG53" s="288">
        <f t="shared" si="25"/>
        <v>0</v>
      </c>
      <c r="BH53" s="288">
        <f t="shared" si="25"/>
        <v>0</v>
      </c>
      <c r="BI53" s="288">
        <f t="shared" si="25"/>
        <v>0</v>
      </c>
      <c r="BJ53" s="288">
        <f t="shared" si="25"/>
        <v>0</v>
      </c>
      <c r="BK53" s="288">
        <f t="shared" si="25"/>
        <v>0</v>
      </c>
      <c r="BL53" s="288">
        <f t="shared" si="26"/>
        <v>0</v>
      </c>
      <c r="BM53" s="288">
        <f t="shared" si="26"/>
        <v>0</v>
      </c>
      <c r="BN53" s="288">
        <f t="shared" si="26"/>
        <v>0</v>
      </c>
      <c r="BO53" s="288">
        <f t="shared" si="26"/>
        <v>0</v>
      </c>
      <c r="BP53" s="288">
        <f t="shared" si="26"/>
        <v>0</v>
      </c>
      <c r="BQ53" s="288">
        <f t="shared" si="26"/>
        <v>0</v>
      </c>
      <c r="BR53" s="288">
        <f t="shared" si="26"/>
        <v>0</v>
      </c>
      <c r="BS53" s="288">
        <f t="shared" si="26"/>
        <v>0</v>
      </c>
      <c r="BT53" s="288">
        <f t="shared" si="26"/>
        <v>0</v>
      </c>
      <c r="BU53" s="288">
        <f t="shared" si="26"/>
        <v>0</v>
      </c>
      <c r="BV53" s="288">
        <f t="shared" si="26"/>
        <v>0</v>
      </c>
      <c r="BW53" s="288">
        <f t="shared" si="26"/>
        <v>0</v>
      </c>
      <c r="BX53" s="288">
        <f t="shared" si="26"/>
        <v>0</v>
      </c>
      <c r="BY53" s="288">
        <f t="shared" si="26"/>
        <v>0</v>
      </c>
      <c r="BZ53" s="288">
        <f t="shared" si="26"/>
        <v>0</v>
      </c>
      <c r="CA53" s="288">
        <f t="shared" si="26"/>
        <v>0</v>
      </c>
      <c r="CB53" s="288">
        <f t="shared" si="39"/>
        <v>0</v>
      </c>
      <c r="CC53" s="288">
        <f t="shared" si="39"/>
        <v>0</v>
      </c>
      <c r="CD53" s="288">
        <f t="shared" si="23"/>
        <v>0</v>
      </c>
      <c r="CE53" s="288">
        <f t="shared" si="22"/>
        <v>0</v>
      </c>
      <c r="CF53" s="288">
        <f t="shared" si="22"/>
        <v>0</v>
      </c>
      <c r="CG53" s="288">
        <f t="shared" si="22"/>
        <v>0</v>
      </c>
      <c r="CH53" s="288">
        <f t="shared" si="22"/>
        <v>0</v>
      </c>
      <c r="CI53" s="288">
        <f t="shared" si="22"/>
        <v>0</v>
      </c>
      <c r="CJ53" s="288">
        <f t="shared" si="22"/>
        <v>0</v>
      </c>
      <c r="CK53" s="288">
        <f t="shared" si="22"/>
        <v>0</v>
      </c>
      <c r="CL53" s="288">
        <f t="shared" si="22"/>
        <v>0</v>
      </c>
      <c r="CM53" s="288">
        <f t="shared" si="22"/>
        <v>0</v>
      </c>
      <c r="CN53" s="288">
        <f t="shared" si="22"/>
        <v>0</v>
      </c>
      <c r="CO53" s="288">
        <f t="shared" si="22"/>
        <v>0</v>
      </c>
      <c r="CP53" s="288">
        <f t="shared" si="22"/>
        <v>0</v>
      </c>
      <c r="CQ53" s="288">
        <f t="shared" si="22"/>
        <v>0</v>
      </c>
      <c r="CR53" s="288">
        <f t="shared" si="22"/>
        <v>0</v>
      </c>
      <c r="CS53" s="288">
        <f t="shared" si="22"/>
        <v>0</v>
      </c>
      <c r="CT53" s="288">
        <f t="shared" ref="CT53:CT84" si="40">IF(CT$2&gt;$B53,(IF(CT$2&lt;=$B54,(IF(AVERAGE($B53,$B54)&gt;CT$2,$A53,$A54)),0)),0)</f>
        <v>0</v>
      </c>
      <c r="CU53" s="288">
        <f t="shared" si="30"/>
        <v>0</v>
      </c>
      <c r="CV53" s="288">
        <f t="shared" si="29"/>
        <v>0</v>
      </c>
      <c r="CW53" s="288">
        <f t="shared" si="29"/>
        <v>0</v>
      </c>
      <c r="CX53" s="288">
        <f t="shared" si="21"/>
        <v>0</v>
      </c>
      <c r="CY53" s="288">
        <f t="shared" si="21"/>
        <v>0</v>
      </c>
      <c r="CZ53" s="288">
        <f t="shared" si="21"/>
        <v>0</v>
      </c>
      <c r="DA53" s="288">
        <f t="shared" si="21"/>
        <v>0</v>
      </c>
      <c r="DB53" s="288">
        <f t="shared" si="33"/>
        <v>0</v>
      </c>
      <c r="DC53" s="288">
        <f t="shared" si="33"/>
        <v>0</v>
      </c>
      <c r="DD53" s="288">
        <f t="shared" si="33"/>
        <v>0</v>
      </c>
      <c r="DE53" s="288">
        <f t="shared" si="33"/>
        <v>0</v>
      </c>
      <c r="DG53" s="314">
        <f t="shared" si="3"/>
        <v>52</v>
      </c>
      <c r="DH53" s="289">
        <f>MAX(BA$3:BA$109)</f>
        <v>52</v>
      </c>
      <c r="DJ53" s="288">
        <f>LOOKUP(DH53, 'Mortality Table'!A:A,('Mortality Table'!J:J/'Mortality Table'!I:I))</f>
        <v>7.4048298520493928E-3</v>
      </c>
      <c r="DK53" s="288">
        <f>LOOKUP(A53, 'Mortality Table'!A:A,('Mortality Table'!J:J/'Mortality Table'!I:I))</f>
        <v>6.1555530311780682E-3</v>
      </c>
      <c r="DL53" s="288">
        <f t="shared" si="4"/>
        <v>1.2492768208713246E-3</v>
      </c>
      <c r="DN53" s="288">
        <f>LOOKUP(DH53, 'Mortality Table'!A:A,('Mortality Table'!L:L/'Mortality Table'!K:K))</f>
        <v>7.500792773324232E-3</v>
      </c>
      <c r="DO53" s="288">
        <f>LOOKUP(A53, 'Mortality Table'!A:A,('Mortality Table'!L:L/'Mortality Table'!K:K))</f>
        <v>6.235325944632727E-3</v>
      </c>
      <c r="DP53" s="288">
        <f t="shared" si="5"/>
        <v>1.265466828691505E-3</v>
      </c>
      <c r="DR53" s="288">
        <f>LOOKUP(DH53, 'Mortality Table'!A:A,('Mortality Table'!N:N/'Mortality Table'!M:M))</f>
        <v>7.6693709628629612E-3</v>
      </c>
      <c r="DS53" s="288">
        <f>LOOKUP(A53, 'Mortality Table'!A:A,('Mortality Table'!N:N/'Mortality Table'!M:M))</f>
        <v>6.3754631262208277E-3</v>
      </c>
      <c r="DT53" s="288">
        <f t="shared" si="6"/>
        <v>1.2939078366421336E-3</v>
      </c>
    </row>
    <row r="54" spans="1:124">
      <c r="A54" s="288">
        <v>51</v>
      </c>
      <c r="B54" s="288">
        <v>7.3194264231293878E-3</v>
      </c>
      <c r="C54" s="288">
        <f t="shared" si="32"/>
        <v>0</v>
      </c>
      <c r="D54" s="288">
        <f t="shared" si="32"/>
        <v>0</v>
      </c>
      <c r="E54" s="288">
        <f t="shared" si="32"/>
        <v>0</v>
      </c>
      <c r="F54" s="288">
        <f t="shared" si="32"/>
        <v>0</v>
      </c>
      <c r="G54" s="288">
        <f t="shared" si="32"/>
        <v>0</v>
      </c>
      <c r="H54" s="288">
        <f t="shared" si="32"/>
        <v>0</v>
      </c>
      <c r="I54" s="288">
        <f t="shared" si="32"/>
        <v>0</v>
      </c>
      <c r="J54" s="288">
        <f t="shared" si="32"/>
        <v>0</v>
      </c>
      <c r="K54" s="288">
        <f t="shared" si="32"/>
        <v>0</v>
      </c>
      <c r="L54" s="288">
        <f t="shared" si="32"/>
        <v>0</v>
      </c>
      <c r="M54" s="288">
        <f t="shared" si="32"/>
        <v>0</v>
      </c>
      <c r="N54" s="288">
        <f t="shared" si="32"/>
        <v>0</v>
      </c>
      <c r="O54" s="288">
        <f t="shared" si="32"/>
        <v>0</v>
      </c>
      <c r="P54" s="288">
        <f t="shared" si="32"/>
        <v>0</v>
      </c>
      <c r="Q54" s="288">
        <f t="shared" si="32"/>
        <v>0</v>
      </c>
      <c r="R54" s="288">
        <f t="shared" si="31"/>
        <v>0</v>
      </c>
      <c r="S54" s="288">
        <f t="shared" si="27"/>
        <v>0</v>
      </c>
      <c r="T54" s="288">
        <f t="shared" si="27"/>
        <v>0</v>
      </c>
      <c r="U54" s="288">
        <f t="shared" si="27"/>
        <v>0</v>
      </c>
      <c r="V54" s="288">
        <f t="shared" si="27"/>
        <v>0</v>
      </c>
      <c r="W54" s="288">
        <f t="shared" si="27"/>
        <v>0</v>
      </c>
      <c r="X54" s="288">
        <f t="shared" si="27"/>
        <v>0</v>
      </c>
      <c r="Y54" s="288">
        <f t="shared" si="27"/>
        <v>0</v>
      </c>
      <c r="Z54" s="288">
        <f t="shared" si="24"/>
        <v>0</v>
      </c>
      <c r="AA54" s="288">
        <f t="shared" si="24"/>
        <v>0</v>
      </c>
      <c r="AB54" s="288">
        <f t="shared" si="24"/>
        <v>0</v>
      </c>
      <c r="AC54" s="288">
        <f t="shared" si="24"/>
        <v>0</v>
      </c>
      <c r="AD54" s="288">
        <f t="shared" si="24"/>
        <v>0</v>
      </c>
      <c r="AE54" s="288">
        <f t="shared" si="24"/>
        <v>0</v>
      </c>
      <c r="AF54" s="288">
        <f t="shared" si="24"/>
        <v>0</v>
      </c>
      <c r="AG54" s="288">
        <f t="shared" si="24"/>
        <v>0</v>
      </c>
      <c r="AH54" s="288">
        <f t="shared" si="24"/>
        <v>0</v>
      </c>
      <c r="AI54" s="288">
        <f t="shared" si="24"/>
        <v>0</v>
      </c>
      <c r="AJ54" s="288">
        <f t="shared" si="24"/>
        <v>0</v>
      </c>
      <c r="AK54" s="288">
        <f t="shared" si="24"/>
        <v>0</v>
      </c>
      <c r="AL54" s="288">
        <f t="shared" si="24"/>
        <v>0</v>
      </c>
      <c r="AM54" s="288">
        <f t="shared" si="24"/>
        <v>0</v>
      </c>
      <c r="AN54" s="288">
        <f t="shared" si="24"/>
        <v>0</v>
      </c>
      <c r="AO54" s="288">
        <f t="shared" si="24"/>
        <v>0</v>
      </c>
      <c r="AP54" s="288">
        <f t="shared" si="35"/>
        <v>0</v>
      </c>
      <c r="AQ54" s="288">
        <f t="shared" si="36"/>
        <v>0</v>
      </c>
      <c r="AR54" s="288">
        <f t="shared" si="37"/>
        <v>0</v>
      </c>
      <c r="AS54" s="288">
        <f t="shared" si="38"/>
        <v>0</v>
      </c>
      <c r="AT54" s="288">
        <f t="shared" si="34"/>
        <v>0</v>
      </c>
      <c r="AU54" s="288">
        <f t="shared" si="28"/>
        <v>0</v>
      </c>
      <c r="AV54" s="288">
        <f t="shared" si="25"/>
        <v>0</v>
      </c>
      <c r="AW54" s="288">
        <f t="shared" si="25"/>
        <v>0</v>
      </c>
      <c r="AX54" s="288">
        <f t="shared" si="25"/>
        <v>0</v>
      </c>
      <c r="AY54" s="288">
        <f t="shared" si="25"/>
        <v>0</v>
      </c>
      <c r="AZ54" s="288">
        <f t="shared" si="25"/>
        <v>51</v>
      </c>
      <c r="BA54" s="288">
        <f t="shared" si="25"/>
        <v>0</v>
      </c>
      <c r="BB54" s="288">
        <f t="shared" si="25"/>
        <v>0</v>
      </c>
      <c r="BC54" s="288">
        <f t="shared" si="25"/>
        <v>0</v>
      </c>
      <c r="BD54" s="288">
        <f t="shared" si="25"/>
        <v>0</v>
      </c>
      <c r="BE54" s="288">
        <f t="shared" si="25"/>
        <v>0</v>
      </c>
      <c r="BF54" s="288">
        <f t="shared" si="25"/>
        <v>0</v>
      </c>
      <c r="BG54" s="288">
        <f t="shared" si="25"/>
        <v>0</v>
      </c>
      <c r="BH54" s="288">
        <f t="shared" si="25"/>
        <v>0</v>
      </c>
      <c r="BI54" s="288">
        <f t="shared" ref="BI54:BS95" si="41">IF(BI$2&gt;$B54,(IF(BI$2&lt;=$B55,(IF(AVERAGE($B54,$B55)&gt;BI$2,$A54,$A55)),0)),0)</f>
        <v>0</v>
      </c>
      <c r="BJ54" s="288">
        <f t="shared" si="41"/>
        <v>0</v>
      </c>
      <c r="BK54" s="288">
        <f t="shared" si="41"/>
        <v>0</v>
      </c>
      <c r="BL54" s="288">
        <f t="shared" si="26"/>
        <v>0</v>
      </c>
      <c r="BM54" s="288">
        <f t="shared" si="26"/>
        <v>0</v>
      </c>
      <c r="BN54" s="288">
        <f t="shared" si="26"/>
        <v>0</v>
      </c>
      <c r="BO54" s="288">
        <f t="shared" si="26"/>
        <v>0</v>
      </c>
      <c r="BP54" s="288">
        <f t="shared" si="26"/>
        <v>0</v>
      </c>
      <c r="BQ54" s="288">
        <f t="shared" si="26"/>
        <v>0</v>
      </c>
      <c r="BR54" s="288">
        <f t="shared" si="26"/>
        <v>0</v>
      </c>
      <c r="BS54" s="288">
        <f t="shared" si="26"/>
        <v>0</v>
      </c>
      <c r="BT54" s="288">
        <f t="shared" si="26"/>
        <v>0</v>
      </c>
      <c r="BU54" s="288">
        <f t="shared" si="26"/>
        <v>0</v>
      </c>
      <c r="BV54" s="288">
        <f t="shared" si="26"/>
        <v>0</v>
      </c>
      <c r="BW54" s="288">
        <f t="shared" si="26"/>
        <v>0</v>
      </c>
      <c r="BX54" s="288">
        <f t="shared" si="26"/>
        <v>0</v>
      </c>
      <c r="BY54" s="288">
        <f t="shared" si="26"/>
        <v>0</v>
      </c>
      <c r="BZ54" s="288">
        <f t="shared" si="26"/>
        <v>0</v>
      </c>
      <c r="CA54" s="288">
        <f t="shared" si="26"/>
        <v>0</v>
      </c>
      <c r="CB54" s="288">
        <f t="shared" si="39"/>
        <v>0</v>
      </c>
      <c r="CC54" s="288">
        <f t="shared" si="39"/>
        <v>0</v>
      </c>
      <c r="CD54" s="288">
        <f t="shared" si="23"/>
        <v>0</v>
      </c>
      <c r="CE54" s="288">
        <f t="shared" ref="CE54:CE68" si="42">IF(CE$2&gt;$B54,(IF(CE$2&lt;=$B55,(IF(AVERAGE($B54,$B55)&gt;CE$2,$A54,$A55)),0)),0)</f>
        <v>0</v>
      </c>
      <c r="CF54" s="288">
        <f t="shared" ref="CF54:CF68" si="43">IF(CF$2&gt;$B54,(IF(CF$2&lt;=$B55,(IF(AVERAGE($B54,$B55)&gt;CF$2,$A54,$A55)),0)),0)</f>
        <v>0</v>
      </c>
      <c r="CG54" s="288">
        <f t="shared" ref="CG54:CG68" si="44">IF(CG$2&gt;$B54,(IF(CG$2&lt;=$B55,(IF(AVERAGE($B54,$B55)&gt;CG$2,$A54,$A55)),0)),0)</f>
        <v>0</v>
      </c>
      <c r="CH54" s="288">
        <f t="shared" ref="CH54:CH68" si="45">IF(CH$2&gt;$B54,(IF(CH$2&lt;=$B55,(IF(AVERAGE($B54,$B55)&gt;CH$2,$A54,$A55)),0)),0)</f>
        <v>0</v>
      </c>
      <c r="CI54" s="288">
        <f t="shared" ref="CI54:CI68" si="46">IF(CI$2&gt;$B54,(IF(CI$2&lt;=$B55,(IF(AVERAGE($B54,$B55)&gt;CI$2,$A54,$A55)),0)),0)</f>
        <v>0</v>
      </c>
      <c r="CJ54" s="288">
        <f t="shared" ref="CJ54:CJ68" si="47">IF(CJ$2&gt;$B54,(IF(CJ$2&lt;=$B55,(IF(AVERAGE($B54,$B55)&gt;CJ$2,$A54,$A55)),0)),0)</f>
        <v>0</v>
      </c>
      <c r="CK54" s="288">
        <f t="shared" ref="CK54:CK68" si="48">IF(CK$2&gt;$B54,(IF(CK$2&lt;=$B55,(IF(AVERAGE($B54,$B55)&gt;CK$2,$A54,$A55)),0)),0)</f>
        <v>0</v>
      </c>
      <c r="CL54" s="288">
        <f t="shared" ref="CL54:CL68" si="49">IF(CL$2&gt;$B54,(IF(CL$2&lt;=$B55,(IF(AVERAGE($B54,$B55)&gt;CL$2,$A54,$A55)),0)),0)</f>
        <v>0</v>
      </c>
      <c r="CM54" s="288">
        <f t="shared" ref="CM54:CM68" si="50">IF(CM$2&gt;$B54,(IF(CM$2&lt;=$B55,(IF(AVERAGE($B54,$B55)&gt;CM$2,$A54,$A55)),0)),0)</f>
        <v>0</v>
      </c>
      <c r="CN54" s="288">
        <f t="shared" ref="CN54:CN68" si="51">IF(CN$2&gt;$B54,(IF(CN$2&lt;=$B55,(IF(AVERAGE($B54,$B55)&gt;CN$2,$A54,$A55)),0)),0)</f>
        <v>0</v>
      </c>
      <c r="CO54" s="288">
        <f t="shared" ref="CO54:CO68" si="52">IF(CO$2&gt;$B54,(IF(CO$2&lt;=$B55,(IF(AVERAGE($B54,$B55)&gt;CO$2,$A54,$A55)),0)),0)</f>
        <v>0</v>
      </c>
      <c r="CP54" s="288">
        <f t="shared" ref="CP54:CP68" si="53">IF(CP$2&gt;$B54,(IF(CP$2&lt;=$B55,(IF(AVERAGE($B54,$B55)&gt;CP$2,$A54,$A55)),0)),0)</f>
        <v>0</v>
      </c>
      <c r="CQ54" s="288">
        <f t="shared" ref="CQ54:CQ68" si="54">IF(CQ$2&gt;$B54,(IF(CQ$2&lt;=$B55,(IF(AVERAGE($B54,$B55)&gt;CQ$2,$A54,$A55)),0)),0)</f>
        <v>0</v>
      </c>
      <c r="CR54" s="288">
        <f t="shared" ref="CR54:CR68" si="55">IF(CR$2&gt;$B54,(IF(CR$2&lt;=$B55,(IF(AVERAGE($B54,$B55)&gt;CR$2,$A54,$A55)),0)),0)</f>
        <v>0</v>
      </c>
      <c r="CS54" s="288">
        <f t="shared" ref="CS54:CS68" si="56">IF(CS$2&gt;$B54,(IF(CS$2&lt;=$B55,(IF(AVERAGE($B54,$B55)&gt;CS$2,$A54,$A55)),0)),0)</f>
        <v>0</v>
      </c>
      <c r="CT54" s="288">
        <f t="shared" si="40"/>
        <v>0</v>
      </c>
      <c r="CU54" s="288">
        <f t="shared" si="30"/>
        <v>0</v>
      </c>
      <c r="CV54" s="288">
        <f t="shared" si="29"/>
        <v>0</v>
      </c>
      <c r="CW54" s="288">
        <f t="shared" si="29"/>
        <v>0</v>
      </c>
      <c r="CX54" s="288">
        <f t="shared" si="21"/>
        <v>0</v>
      </c>
      <c r="CY54" s="288">
        <f t="shared" si="21"/>
        <v>0</v>
      </c>
      <c r="CZ54" s="288">
        <f t="shared" si="21"/>
        <v>0</v>
      </c>
      <c r="DA54" s="288">
        <f t="shared" si="21"/>
        <v>0</v>
      </c>
      <c r="DB54" s="288">
        <f t="shared" si="33"/>
        <v>0</v>
      </c>
      <c r="DC54" s="288">
        <f t="shared" si="33"/>
        <v>0</v>
      </c>
      <c r="DD54" s="288">
        <f t="shared" si="33"/>
        <v>0</v>
      </c>
      <c r="DE54" s="288">
        <f t="shared" si="33"/>
        <v>0</v>
      </c>
      <c r="DG54" s="314">
        <f t="shared" si="3"/>
        <v>53</v>
      </c>
      <c r="DH54" s="289">
        <f>MAX(BB$3:BB$109)</f>
        <v>53</v>
      </c>
      <c r="DJ54" s="288">
        <f>LOOKUP(DH54, 'Mortality Table'!A:A,('Mortality Table'!J:J/'Mortality Table'!I:I))</f>
        <v>8.0869480235687408E-3</v>
      </c>
      <c r="DK54" s="288">
        <f>LOOKUP(A54, 'Mortality Table'!A:A,('Mortality Table'!J:J/'Mortality Table'!I:I))</f>
        <v>6.7380781827072267E-3</v>
      </c>
      <c r="DL54" s="288">
        <f t="shared" si="4"/>
        <v>1.348869840861514E-3</v>
      </c>
      <c r="DN54" s="288">
        <f>LOOKUP(DH54, 'Mortality Table'!A:A,('Mortality Table'!L:L/'Mortality Table'!K:K))</f>
        <v>8.1917508579410474E-3</v>
      </c>
      <c r="DO54" s="288">
        <f>LOOKUP(A54, 'Mortality Table'!A:A,('Mortality Table'!L:L/'Mortality Table'!K:K))</f>
        <v>6.8254003331293476E-3</v>
      </c>
      <c r="DP54" s="288">
        <f t="shared" si="5"/>
        <v>1.3663505248116999E-3</v>
      </c>
      <c r="DR54" s="288">
        <f>LOOKUP(DH54, 'Mortality Table'!A:A,('Mortality Table'!N:N/'Mortality Table'!M:M))</f>
        <v>8.3758581344005757E-3</v>
      </c>
      <c r="DS54" s="288">
        <f>LOOKUP(A54, 'Mortality Table'!A:A,('Mortality Table'!N:N/'Mortality Table'!M:M))</f>
        <v>6.9787992691895491E-3</v>
      </c>
      <c r="DT54" s="288">
        <f t="shared" si="6"/>
        <v>1.3970588652110266E-3</v>
      </c>
    </row>
    <row r="55" spans="1:124">
      <c r="A55" s="288">
        <v>52</v>
      </c>
      <c r="B55" s="288">
        <v>8.0437041257499075E-3</v>
      </c>
      <c r="C55" s="288">
        <f t="shared" si="32"/>
        <v>0</v>
      </c>
      <c r="D55" s="288">
        <f t="shared" si="32"/>
        <v>0</v>
      </c>
      <c r="E55" s="288">
        <f t="shared" si="32"/>
        <v>0</v>
      </c>
      <c r="F55" s="288">
        <f t="shared" si="32"/>
        <v>0</v>
      </c>
      <c r="G55" s="288">
        <f t="shared" si="32"/>
        <v>0</v>
      </c>
      <c r="H55" s="288">
        <f t="shared" si="32"/>
        <v>0</v>
      </c>
      <c r="I55" s="288">
        <f t="shared" si="32"/>
        <v>0</v>
      </c>
      <c r="J55" s="288">
        <f t="shared" si="32"/>
        <v>0</v>
      </c>
      <c r="K55" s="288">
        <f t="shared" si="32"/>
        <v>0</v>
      </c>
      <c r="L55" s="288">
        <f t="shared" si="32"/>
        <v>0</v>
      </c>
      <c r="M55" s="288">
        <f t="shared" si="32"/>
        <v>0</v>
      </c>
      <c r="N55" s="288">
        <f t="shared" si="32"/>
        <v>0</v>
      </c>
      <c r="O55" s="288">
        <f t="shared" si="32"/>
        <v>0</v>
      </c>
      <c r="P55" s="288">
        <f t="shared" si="32"/>
        <v>0</v>
      </c>
      <c r="Q55" s="288">
        <f t="shared" si="32"/>
        <v>0</v>
      </c>
      <c r="R55" s="288">
        <f t="shared" si="31"/>
        <v>0</v>
      </c>
      <c r="S55" s="288">
        <f t="shared" si="27"/>
        <v>0</v>
      </c>
      <c r="T55" s="288">
        <f t="shared" si="27"/>
        <v>0</v>
      </c>
      <c r="U55" s="288">
        <f t="shared" si="27"/>
        <v>0</v>
      </c>
      <c r="V55" s="288">
        <f t="shared" si="27"/>
        <v>0</v>
      </c>
      <c r="W55" s="288">
        <f t="shared" si="27"/>
        <v>0</v>
      </c>
      <c r="X55" s="288">
        <f t="shared" si="27"/>
        <v>0</v>
      </c>
      <c r="Y55" s="288">
        <f t="shared" si="27"/>
        <v>0</v>
      </c>
      <c r="Z55" s="288">
        <f t="shared" si="24"/>
        <v>0</v>
      </c>
      <c r="AA55" s="288">
        <f t="shared" si="24"/>
        <v>0</v>
      </c>
      <c r="AB55" s="288">
        <f t="shared" si="24"/>
        <v>0</v>
      </c>
      <c r="AC55" s="288">
        <f t="shared" si="24"/>
        <v>0</v>
      </c>
      <c r="AD55" s="288">
        <f t="shared" si="24"/>
        <v>0</v>
      </c>
      <c r="AE55" s="288">
        <f t="shared" si="24"/>
        <v>0</v>
      </c>
      <c r="AF55" s="288">
        <f t="shared" si="24"/>
        <v>0</v>
      </c>
      <c r="AG55" s="288">
        <f t="shared" si="24"/>
        <v>0</v>
      </c>
      <c r="AH55" s="288">
        <f t="shared" si="24"/>
        <v>0</v>
      </c>
      <c r="AI55" s="288">
        <f t="shared" si="24"/>
        <v>0</v>
      </c>
      <c r="AJ55" s="288">
        <f t="shared" si="24"/>
        <v>0</v>
      </c>
      <c r="AK55" s="288">
        <f t="shared" si="24"/>
        <v>0</v>
      </c>
      <c r="AL55" s="288">
        <f t="shared" si="24"/>
        <v>0</v>
      </c>
      <c r="AM55" s="288">
        <f t="shared" si="24"/>
        <v>0</v>
      </c>
      <c r="AN55" s="288">
        <f t="shared" si="24"/>
        <v>0</v>
      </c>
      <c r="AO55" s="288">
        <f t="shared" si="24"/>
        <v>0</v>
      </c>
      <c r="AP55" s="288">
        <f t="shared" si="35"/>
        <v>0</v>
      </c>
      <c r="AQ55" s="288">
        <f t="shared" si="36"/>
        <v>0</v>
      </c>
      <c r="AR55" s="288">
        <f t="shared" si="37"/>
        <v>0</v>
      </c>
      <c r="AS55" s="288">
        <f t="shared" si="38"/>
        <v>0</v>
      </c>
      <c r="AT55" s="288">
        <f t="shared" si="34"/>
        <v>0</v>
      </c>
      <c r="AU55" s="288">
        <f t="shared" si="28"/>
        <v>0</v>
      </c>
      <c r="AV55" s="288">
        <f t="shared" si="28"/>
        <v>0</v>
      </c>
      <c r="AW55" s="288">
        <f t="shared" si="28"/>
        <v>0</v>
      </c>
      <c r="AX55" s="288">
        <f t="shared" si="28"/>
        <v>0</v>
      </c>
      <c r="AY55" s="288">
        <f t="shared" si="28"/>
        <v>0</v>
      </c>
      <c r="AZ55" s="288">
        <f t="shared" si="28"/>
        <v>0</v>
      </c>
      <c r="BA55" s="288">
        <f t="shared" si="28"/>
        <v>52</v>
      </c>
      <c r="BB55" s="288">
        <f t="shared" si="28"/>
        <v>0</v>
      </c>
      <c r="BC55" s="288">
        <f t="shared" si="28"/>
        <v>0</v>
      </c>
      <c r="BD55" s="288">
        <f t="shared" si="28"/>
        <v>0</v>
      </c>
      <c r="BE55" s="288">
        <f t="shared" si="28"/>
        <v>0</v>
      </c>
      <c r="BF55" s="288">
        <f t="shared" si="28"/>
        <v>0</v>
      </c>
      <c r="BG55" s="288">
        <f t="shared" si="28"/>
        <v>0</v>
      </c>
      <c r="BH55" s="288">
        <f t="shared" si="28"/>
        <v>0</v>
      </c>
      <c r="BI55" s="288">
        <f t="shared" si="41"/>
        <v>0</v>
      </c>
      <c r="BJ55" s="288">
        <f t="shared" si="41"/>
        <v>0</v>
      </c>
      <c r="BK55" s="288">
        <f t="shared" si="41"/>
        <v>0</v>
      </c>
      <c r="BL55" s="288">
        <f t="shared" si="26"/>
        <v>0</v>
      </c>
      <c r="BM55" s="288">
        <f t="shared" si="26"/>
        <v>0</v>
      </c>
      <c r="BN55" s="288">
        <f t="shared" si="26"/>
        <v>0</v>
      </c>
      <c r="BO55" s="288">
        <f t="shared" si="26"/>
        <v>0</v>
      </c>
      <c r="BP55" s="288">
        <f t="shared" si="26"/>
        <v>0</v>
      </c>
      <c r="BQ55" s="288">
        <f t="shared" si="26"/>
        <v>0</v>
      </c>
      <c r="BR55" s="288">
        <f t="shared" si="26"/>
        <v>0</v>
      </c>
      <c r="BS55" s="288">
        <f t="shared" si="26"/>
        <v>0</v>
      </c>
      <c r="BT55" s="288">
        <f t="shared" si="26"/>
        <v>0</v>
      </c>
      <c r="BU55" s="288">
        <f t="shared" si="26"/>
        <v>0</v>
      </c>
      <c r="BV55" s="288">
        <f t="shared" si="26"/>
        <v>0</v>
      </c>
      <c r="BW55" s="288">
        <f t="shared" si="26"/>
        <v>0</v>
      </c>
      <c r="BX55" s="288">
        <f t="shared" si="26"/>
        <v>0</v>
      </c>
      <c r="BY55" s="288">
        <f t="shared" si="26"/>
        <v>0</v>
      </c>
      <c r="BZ55" s="288">
        <f t="shared" si="26"/>
        <v>0</v>
      </c>
      <c r="CA55" s="288">
        <f t="shared" si="26"/>
        <v>0</v>
      </c>
      <c r="CB55" s="288">
        <f t="shared" si="39"/>
        <v>0</v>
      </c>
      <c r="CC55" s="288">
        <f t="shared" si="39"/>
        <v>0</v>
      </c>
      <c r="CD55" s="288">
        <f t="shared" si="23"/>
        <v>0</v>
      </c>
      <c r="CE55" s="288">
        <f t="shared" si="42"/>
        <v>0</v>
      </c>
      <c r="CF55" s="288">
        <f t="shared" si="43"/>
        <v>0</v>
      </c>
      <c r="CG55" s="288">
        <f t="shared" si="44"/>
        <v>0</v>
      </c>
      <c r="CH55" s="288">
        <f t="shared" si="45"/>
        <v>0</v>
      </c>
      <c r="CI55" s="288">
        <f t="shared" si="46"/>
        <v>0</v>
      </c>
      <c r="CJ55" s="288">
        <f t="shared" si="47"/>
        <v>0</v>
      </c>
      <c r="CK55" s="288">
        <f t="shared" si="48"/>
        <v>0</v>
      </c>
      <c r="CL55" s="288">
        <f t="shared" si="49"/>
        <v>0</v>
      </c>
      <c r="CM55" s="288">
        <f t="shared" si="50"/>
        <v>0</v>
      </c>
      <c r="CN55" s="288">
        <f t="shared" si="51"/>
        <v>0</v>
      </c>
      <c r="CO55" s="288">
        <f t="shared" si="52"/>
        <v>0</v>
      </c>
      <c r="CP55" s="288">
        <f t="shared" si="53"/>
        <v>0</v>
      </c>
      <c r="CQ55" s="288">
        <f t="shared" si="54"/>
        <v>0</v>
      </c>
      <c r="CR55" s="288">
        <f t="shared" si="55"/>
        <v>0</v>
      </c>
      <c r="CS55" s="288">
        <f t="shared" si="56"/>
        <v>0</v>
      </c>
      <c r="CT55" s="288">
        <f t="shared" si="40"/>
        <v>0</v>
      </c>
      <c r="CU55" s="288">
        <f t="shared" si="30"/>
        <v>0</v>
      </c>
      <c r="CV55" s="288">
        <f t="shared" si="29"/>
        <v>0</v>
      </c>
      <c r="CW55" s="288">
        <f t="shared" si="29"/>
        <v>0</v>
      </c>
      <c r="CX55" s="288">
        <f t="shared" si="21"/>
        <v>0</v>
      </c>
      <c r="CY55" s="288">
        <f t="shared" si="21"/>
        <v>0</v>
      </c>
      <c r="CZ55" s="288">
        <f t="shared" si="21"/>
        <v>0</v>
      </c>
      <c r="DA55" s="288">
        <f t="shared" si="21"/>
        <v>0</v>
      </c>
      <c r="DB55" s="288">
        <f t="shared" si="33"/>
        <v>0</v>
      </c>
      <c r="DC55" s="288">
        <f t="shared" si="33"/>
        <v>0</v>
      </c>
      <c r="DD55" s="288">
        <f t="shared" si="33"/>
        <v>0</v>
      </c>
      <c r="DE55" s="288">
        <f t="shared" si="33"/>
        <v>0</v>
      </c>
      <c r="DG55" s="314">
        <f t="shared" si="3"/>
        <v>54</v>
      </c>
      <c r="DH55" s="289">
        <f>MAX(BC$3:BC$109)</f>
        <v>54</v>
      </c>
      <c r="DJ55" s="288">
        <f>LOOKUP(DH55, 'Mortality Table'!A:A,('Mortality Table'!J:J/'Mortality Table'!I:I))</f>
        <v>8.8489635016302769E-3</v>
      </c>
      <c r="DK55" s="288">
        <f>LOOKUP(A55, 'Mortality Table'!A:A,('Mortality Table'!J:J/'Mortality Table'!I:I))</f>
        <v>7.4048298520493928E-3</v>
      </c>
      <c r="DL55" s="288">
        <f t="shared" si="4"/>
        <v>1.4441336495808841E-3</v>
      </c>
      <c r="DN55" s="288">
        <f>LOOKUP(DH55, 'Mortality Table'!A:A,('Mortality Table'!L:L/'Mortality Table'!K:K))</f>
        <v>8.9636416785550035E-3</v>
      </c>
      <c r="DO55" s="288">
        <f>LOOKUP(A55, 'Mortality Table'!A:A,('Mortality Table'!L:L/'Mortality Table'!K:K))</f>
        <v>7.500792773324232E-3</v>
      </c>
      <c r="DP55" s="288">
        <f t="shared" si="5"/>
        <v>1.4628489052307715E-3</v>
      </c>
      <c r="DR55" s="288">
        <f>LOOKUP(DH55, 'Mortality Table'!A:A,('Mortality Table'!N:N/'Mortality Table'!M:M))</f>
        <v>9.165096982215527E-3</v>
      </c>
      <c r="DS55" s="288">
        <f>LOOKUP(A55, 'Mortality Table'!A:A,('Mortality Table'!N:N/'Mortality Table'!M:M))</f>
        <v>7.6693709628629612E-3</v>
      </c>
      <c r="DT55" s="288">
        <f t="shared" si="6"/>
        <v>1.4957260193525657E-3</v>
      </c>
    </row>
    <row r="56" spans="1:124">
      <c r="A56" s="288">
        <v>53</v>
      </c>
      <c r="B56" s="288">
        <v>8.7846741223772673E-3</v>
      </c>
      <c r="C56" s="288">
        <f t="shared" si="32"/>
        <v>0</v>
      </c>
      <c r="D56" s="288">
        <f t="shared" si="32"/>
        <v>0</v>
      </c>
      <c r="E56" s="288">
        <f t="shared" si="32"/>
        <v>0</v>
      </c>
      <c r="F56" s="288">
        <f t="shared" si="32"/>
        <v>0</v>
      </c>
      <c r="G56" s="288">
        <f t="shared" si="32"/>
        <v>0</v>
      </c>
      <c r="H56" s="288">
        <f t="shared" si="32"/>
        <v>0</v>
      </c>
      <c r="I56" s="288">
        <f t="shared" si="32"/>
        <v>0</v>
      </c>
      <c r="J56" s="288">
        <f t="shared" si="32"/>
        <v>0</v>
      </c>
      <c r="K56" s="288">
        <f t="shared" si="32"/>
        <v>0</v>
      </c>
      <c r="L56" s="288">
        <f t="shared" si="32"/>
        <v>0</v>
      </c>
      <c r="M56" s="288">
        <f t="shared" si="32"/>
        <v>0</v>
      </c>
      <c r="N56" s="288">
        <f t="shared" si="32"/>
        <v>0</v>
      </c>
      <c r="O56" s="288">
        <f t="shared" si="32"/>
        <v>0</v>
      </c>
      <c r="P56" s="288">
        <f t="shared" si="32"/>
        <v>0</v>
      </c>
      <c r="Q56" s="288">
        <f t="shared" si="32"/>
        <v>0</v>
      </c>
      <c r="R56" s="288">
        <f t="shared" si="31"/>
        <v>0</v>
      </c>
      <c r="S56" s="288">
        <f t="shared" si="27"/>
        <v>0</v>
      </c>
      <c r="T56" s="288">
        <f t="shared" si="27"/>
        <v>0</v>
      </c>
      <c r="U56" s="288">
        <f t="shared" si="27"/>
        <v>0</v>
      </c>
      <c r="V56" s="288">
        <f t="shared" si="27"/>
        <v>0</v>
      </c>
      <c r="W56" s="288">
        <f t="shared" si="27"/>
        <v>0</v>
      </c>
      <c r="X56" s="288">
        <f t="shared" si="27"/>
        <v>0</v>
      </c>
      <c r="Y56" s="288">
        <f t="shared" si="27"/>
        <v>0</v>
      </c>
      <c r="Z56" s="288">
        <f t="shared" si="24"/>
        <v>0</v>
      </c>
      <c r="AA56" s="288">
        <f t="shared" si="24"/>
        <v>0</v>
      </c>
      <c r="AB56" s="288">
        <f t="shared" si="24"/>
        <v>0</v>
      </c>
      <c r="AC56" s="288">
        <f t="shared" si="24"/>
        <v>0</v>
      </c>
      <c r="AD56" s="288">
        <f t="shared" si="24"/>
        <v>0</v>
      </c>
      <c r="AE56" s="288">
        <f t="shared" si="24"/>
        <v>0</v>
      </c>
      <c r="AF56" s="288">
        <f t="shared" si="24"/>
        <v>0</v>
      </c>
      <c r="AG56" s="288">
        <f t="shared" si="24"/>
        <v>0</v>
      </c>
      <c r="AH56" s="288">
        <f t="shared" si="24"/>
        <v>0</v>
      </c>
      <c r="AI56" s="288">
        <f t="shared" si="24"/>
        <v>0</v>
      </c>
      <c r="AJ56" s="288">
        <f t="shared" si="24"/>
        <v>0</v>
      </c>
      <c r="AK56" s="288">
        <f t="shared" si="24"/>
        <v>0</v>
      </c>
      <c r="AL56" s="288">
        <f t="shared" si="24"/>
        <v>0</v>
      </c>
      <c r="AM56" s="288">
        <f t="shared" si="24"/>
        <v>0</v>
      </c>
      <c r="AN56" s="288">
        <f t="shared" si="24"/>
        <v>0</v>
      </c>
      <c r="AO56" s="288">
        <f t="shared" si="24"/>
        <v>0</v>
      </c>
      <c r="AP56" s="288">
        <f t="shared" si="35"/>
        <v>0</v>
      </c>
      <c r="AQ56" s="288">
        <f t="shared" si="36"/>
        <v>0</v>
      </c>
      <c r="AR56" s="288">
        <f t="shared" si="37"/>
        <v>0</v>
      </c>
      <c r="AS56" s="288">
        <f t="shared" si="38"/>
        <v>0</v>
      </c>
      <c r="AT56" s="288">
        <f t="shared" si="34"/>
        <v>0</v>
      </c>
      <c r="AU56" s="288">
        <f t="shared" si="28"/>
        <v>0</v>
      </c>
      <c r="AV56" s="288">
        <f t="shared" si="28"/>
        <v>0</v>
      </c>
      <c r="AW56" s="288">
        <f t="shared" si="28"/>
        <v>0</v>
      </c>
      <c r="AX56" s="288">
        <f t="shared" si="28"/>
        <v>0</v>
      </c>
      <c r="AY56" s="288">
        <f t="shared" si="28"/>
        <v>0</v>
      </c>
      <c r="AZ56" s="288">
        <f t="shared" si="28"/>
        <v>0</v>
      </c>
      <c r="BA56" s="288">
        <f t="shared" si="28"/>
        <v>0</v>
      </c>
      <c r="BB56" s="288">
        <f t="shared" si="28"/>
        <v>53</v>
      </c>
      <c r="BC56" s="288">
        <f t="shared" si="28"/>
        <v>0</v>
      </c>
      <c r="BD56" s="288">
        <f t="shared" si="28"/>
        <v>0</v>
      </c>
      <c r="BE56" s="288">
        <f t="shared" si="28"/>
        <v>0</v>
      </c>
      <c r="BF56" s="288">
        <f t="shared" si="28"/>
        <v>0</v>
      </c>
      <c r="BG56" s="288">
        <f t="shared" si="28"/>
        <v>0</v>
      </c>
      <c r="BH56" s="288">
        <f t="shared" si="28"/>
        <v>0</v>
      </c>
      <c r="BI56" s="288">
        <f t="shared" si="41"/>
        <v>0</v>
      </c>
      <c r="BJ56" s="288">
        <f t="shared" si="41"/>
        <v>0</v>
      </c>
      <c r="BK56" s="288">
        <f t="shared" si="41"/>
        <v>0</v>
      </c>
      <c r="BL56" s="288">
        <f t="shared" si="26"/>
        <v>0</v>
      </c>
      <c r="BM56" s="288">
        <f t="shared" si="26"/>
        <v>0</v>
      </c>
      <c r="BN56" s="288">
        <f t="shared" si="26"/>
        <v>0</v>
      </c>
      <c r="BO56" s="288">
        <f t="shared" si="26"/>
        <v>0</v>
      </c>
      <c r="BP56" s="288">
        <f t="shared" si="26"/>
        <v>0</v>
      </c>
      <c r="BQ56" s="288">
        <f t="shared" si="26"/>
        <v>0</v>
      </c>
      <c r="BR56" s="288">
        <f t="shared" si="26"/>
        <v>0</v>
      </c>
      <c r="BS56" s="288">
        <f t="shared" si="26"/>
        <v>0</v>
      </c>
      <c r="BT56" s="288">
        <f t="shared" si="26"/>
        <v>0</v>
      </c>
      <c r="BU56" s="288">
        <f t="shared" si="26"/>
        <v>0</v>
      </c>
      <c r="BV56" s="288">
        <f t="shared" si="26"/>
        <v>0</v>
      </c>
      <c r="BW56" s="288">
        <f t="shared" si="26"/>
        <v>0</v>
      </c>
      <c r="BX56" s="288">
        <f t="shared" si="26"/>
        <v>0</v>
      </c>
      <c r="BY56" s="288">
        <f t="shared" si="26"/>
        <v>0</v>
      </c>
      <c r="BZ56" s="288">
        <f t="shared" si="26"/>
        <v>0</v>
      </c>
      <c r="CA56" s="288">
        <f t="shared" si="26"/>
        <v>0</v>
      </c>
      <c r="CB56" s="288">
        <f t="shared" si="39"/>
        <v>0</v>
      </c>
      <c r="CC56" s="288">
        <f t="shared" si="39"/>
        <v>0</v>
      </c>
      <c r="CD56" s="288">
        <f t="shared" si="23"/>
        <v>0</v>
      </c>
      <c r="CE56" s="288">
        <f t="shared" si="42"/>
        <v>0</v>
      </c>
      <c r="CF56" s="288">
        <f t="shared" si="43"/>
        <v>0</v>
      </c>
      <c r="CG56" s="288">
        <f t="shared" si="44"/>
        <v>0</v>
      </c>
      <c r="CH56" s="288">
        <f t="shared" si="45"/>
        <v>0</v>
      </c>
      <c r="CI56" s="288">
        <f t="shared" si="46"/>
        <v>0</v>
      </c>
      <c r="CJ56" s="288">
        <f t="shared" si="47"/>
        <v>0</v>
      </c>
      <c r="CK56" s="288">
        <f t="shared" si="48"/>
        <v>0</v>
      </c>
      <c r="CL56" s="288">
        <f t="shared" si="49"/>
        <v>0</v>
      </c>
      <c r="CM56" s="288">
        <f t="shared" si="50"/>
        <v>0</v>
      </c>
      <c r="CN56" s="288">
        <f t="shared" si="51"/>
        <v>0</v>
      </c>
      <c r="CO56" s="288">
        <f t="shared" si="52"/>
        <v>0</v>
      </c>
      <c r="CP56" s="288">
        <f t="shared" si="53"/>
        <v>0</v>
      </c>
      <c r="CQ56" s="288">
        <f t="shared" si="54"/>
        <v>0</v>
      </c>
      <c r="CR56" s="288">
        <f t="shared" si="55"/>
        <v>0</v>
      </c>
      <c r="CS56" s="288">
        <f t="shared" si="56"/>
        <v>0</v>
      </c>
      <c r="CT56" s="288">
        <f t="shared" si="40"/>
        <v>0</v>
      </c>
      <c r="CU56" s="288">
        <f t="shared" si="30"/>
        <v>0</v>
      </c>
      <c r="CV56" s="288">
        <f t="shared" si="29"/>
        <v>0</v>
      </c>
      <c r="CW56" s="288">
        <f t="shared" si="29"/>
        <v>0</v>
      </c>
      <c r="CX56" s="288">
        <f t="shared" si="21"/>
        <v>0</v>
      </c>
      <c r="CY56" s="288">
        <f t="shared" si="21"/>
        <v>0</v>
      </c>
      <c r="CZ56" s="288">
        <f t="shared" si="21"/>
        <v>0</v>
      </c>
      <c r="DA56" s="288">
        <f t="shared" si="21"/>
        <v>0</v>
      </c>
      <c r="DB56" s="288">
        <f t="shared" si="33"/>
        <v>0</v>
      </c>
      <c r="DC56" s="288">
        <f t="shared" si="33"/>
        <v>0</v>
      </c>
      <c r="DD56" s="288">
        <f t="shared" si="33"/>
        <v>0</v>
      </c>
      <c r="DE56" s="288">
        <f t="shared" si="33"/>
        <v>0</v>
      </c>
      <c r="DG56" s="314">
        <f t="shared" si="3"/>
        <v>55</v>
      </c>
      <c r="DH56" s="289">
        <f>MAX(BD$3:BD$109)</f>
        <v>55</v>
      </c>
      <c r="DJ56" s="288">
        <f>LOOKUP(DH56, 'Mortality Table'!A:A,('Mortality Table'!J:J/'Mortality Table'!I:I))</f>
        <v>9.7586295753806073E-3</v>
      </c>
      <c r="DK56" s="288">
        <f>LOOKUP(A56, 'Mortality Table'!A:A,('Mortality Table'!J:J/'Mortality Table'!I:I))</f>
        <v>8.0869480235687408E-3</v>
      </c>
      <c r="DL56" s="288">
        <f t="shared" si="4"/>
        <v>1.6716815518118665E-3</v>
      </c>
      <c r="DN56" s="288">
        <f>LOOKUP(DH56, 'Mortality Table'!A:A,('Mortality Table'!L:L/'Mortality Table'!K:K))</f>
        <v>9.8850965733270121E-3</v>
      </c>
      <c r="DO56" s="288">
        <f>LOOKUP(A56, 'Mortality Table'!A:A,('Mortality Table'!L:L/'Mortality Table'!K:K))</f>
        <v>8.1917508579410474E-3</v>
      </c>
      <c r="DP56" s="288">
        <f t="shared" si="5"/>
        <v>1.6933457153859646E-3</v>
      </c>
      <c r="DR56" s="288">
        <f>LOOKUP(DH56, 'Mortality Table'!A:A,('Mortality Table'!N:N/'Mortality Table'!M:M))</f>
        <v>1.0107261314322573E-2</v>
      </c>
      <c r="DS56" s="288">
        <f>LOOKUP(A56, 'Mortality Table'!A:A,('Mortality Table'!N:N/'Mortality Table'!M:M))</f>
        <v>8.3758581344005757E-3</v>
      </c>
      <c r="DT56" s="288">
        <f t="shared" si="6"/>
        <v>1.7314031799219969E-3</v>
      </c>
    </row>
    <row r="57" spans="1:124">
      <c r="A57" s="288">
        <v>54</v>
      </c>
      <c r="B57" s="288">
        <v>9.6124348092852026E-3</v>
      </c>
      <c r="C57" s="288">
        <f t="shared" si="32"/>
        <v>0</v>
      </c>
      <c r="D57" s="288">
        <f t="shared" si="32"/>
        <v>0</v>
      </c>
      <c r="E57" s="288">
        <f t="shared" si="32"/>
        <v>0</v>
      </c>
      <c r="F57" s="288">
        <f t="shared" si="32"/>
        <v>0</v>
      </c>
      <c r="G57" s="288">
        <f t="shared" si="32"/>
        <v>0</v>
      </c>
      <c r="H57" s="288">
        <f t="shared" si="32"/>
        <v>0</v>
      </c>
      <c r="I57" s="288">
        <f t="shared" si="32"/>
        <v>0</v>
      </c>
      <c r="J57" s="288">
        <f t="shared" si="32"/>
        <v>0</v>
      </c>
      <c r="K57" s="288">
        <f t="shared" si="32"/>
        <v>0</v>
      </c>
      <c r="L57" s="288">
        <f t="shared" si="32"/>
        <v>0</v>
      </c>
      <c r="M57" s="288">
        <f t="shared" si="32"/>
        <v>0</v>
      </c>
      <c r="N57" s="288">
        <f t="shared" si="32"/>
        <v>0</v>
      </c>
      <c r="O57" s="288">
        <f t="shared" si="32"/>
        <v>0</v>
      </c>
      <c r="P57" s="288">
        <f t="shared" si="32"/>
        <v>0</v>
      </c>
      <c r="Q57" s="288">
        <f t="shared" si="32"/>
        <v>0</v>
      </c>
      <c r="R57" s="288">
        <f t="shared" si="31"/>
        <v>0</v>
      </c>
      <c r="S57" s="288">
        <f t="shared" si="27"/>
        <v>0</v>
      </c>
      <c r="T57" s="288">
        <f t="shared" si="27"/>
        <v>0</v>
      </c>
      <c r="U57" s="288">
        <f t="shared" si="27"/>
        <v>0</v>
      </c>
      <c r="V57" s="288">
        <f t="shared" si="27"/>
        <v>0</v>
      </c>
      <c r="W57" s="288">
        <f t="shared" si="27"/>
        <v>0</v>
      </c>
      <c r="X57" s="288">
        <f t="shared" si="27"/>
        <v>0</v>
      </c>
      <c r="Y57" s="288">
        <f t="shared" si="27"/>
        <v>0</v>
      </c>
      <c r="Z57" s="288">
        <f t="shared" si="24"/>
        <v>0</v>
      </c>
      <c r="AA57" s="288">
        <f t="shared" si="24"/>
        <v>0</v>
      </c>
      <c r="AB57" s="288">
        <f t="shared" si="24"/>
        <v>0</v>
      </c>
      <c r="AC57" s="288">
        <f t="shared" si="24"/>
        <v>0</v>
      </c>
      <c r="AD57" s="288">
        <f t="shared" si="24"/>
        <v>0</v>
      </c>
      <c r="AE57" s="288">
        <f t="shared" si="24"/>
        <v>0</v>
      </c>
      <c r="AF57" s="288">
        <f t="shared" si="24"/>
        <v>0</v>
      </c>
      <c r="AG57" s="288">
        <f t="shared" si="24"/>
        <v>0</v>
      </c>
      <c r="AH57" s="288">
        <f t="shared" si="24"/>
        <v>0</v>
      </c>
      <c r="AI57" s="288">
        <f t="shared" si="24"/>
        <v>0</v>
      </c>
      <c r="AJ57" s="288">
        <f t="shared" si="24"/>
        <v>0</v>
      </c>
      <c r="AK57" s="288">
        <f t="shared" si="24"/>
        <v>0</v>
      </c>
      <c r="AL57" s="288">
        <f t="shared" si="24"/>
        <v>0</v>
      </c>
      <c r="AM57" s="288">
        <f t="shared" si="24"/>
        <v>0</v>
      </c>
      <c r="AN57" s="288">
        <f t="shared" si="24"/>
        <v>0</v>
      </c>
      <c r="AO57" s="288">
        <f t="shared" si="24"/>
        <v>0</v>
      </c>
      <c r="AP57" s="288">
        <f t="shared" si="35"/>
        <v>0</v>
      </c>
      <c r="AQ57" s="288">
        <f t="shared" si="36"/>
        <v>0</v>
      </c>
      <c r="AR57" s="288">
        <f t="shared" si="37"/>
        <v>0</v>
      </c>
      <c r="AS57" s="288">
        <f t="shared" si="38"/>
        <v>0</v>
      </c>
      <c r="AT57" s="288">
        <f t="shared" si="34"/>
        <v>0</v>
      </c>
      <c r="AU57" s="288">
        <f t="shared" si="28"/>
        <v>0</v>
      </c>
      <c r="AV57" s="288">
        <f t="shared" si="28"/>
        <v>0</v>
      </c>
      <c r="AW57" s="288">
        <f t="shared" si="28"/>
        <v>0</v>
      </c>
      <c r="AX57" s="288">
        <f t="shared" si="28"/>
        <v>0</v>
      </c>
      <c r="AY57" s="288">
        <f t="shared" si="28"/>
        <v>0</v>
      </c>
      <c r="AZ57" s="288">
        <f t="shared" si="28"/>
        <v>0</v>
      </c>
      <c r="BA57" s="288">
        <f t="shared" si="28"/>
        <v>0</v>
      </c>
      <c r="BB57" s="288">
        <f t="shared" si="28"/>
        <v>0</v>
      </c>
      <c r="BC57" s="288">
        <f t="shared" si="28"/>
        <v>54</v>
      </c>
      <c r="BD57" s="288">
        <f t="shared" si="28"/>
        <v>0</v>
      </c>
      <c r="BE57" s="288">
        <f t="shared" si="28"/>
        <v>0</v>
      </c>
      <c r="BF57" s="288">
        <f t="shared" si="28"/>
        <v>0</v>
      </c>
      <c r="BG57" s="288">
        <f t="shared" si="28"/>
        <v>0</v>
      </c>
      <c r="BH57" s="288">
        <f t="shared" si="28"/>
        <v>0</v>
      </c>
      <c r="BI57" s="288">
        <f t="shared" si="41"/>
        <v>0</v>
      </c>
      <c r="BJ57" s="288">
        <f t="shared" si="41"/>
        <v>0</v>
      </c>
      <c r="BK57" s="288">
        <f t="shared" si="41"/>
        <v>0</v>
      </c>
      <c r="BL57" s="288">
        <f t="shared" si="26"/>
        <v>0</v>
      </c>
      <c r="BM57" s="288">
        <f t="shared" si="26"/>
        <v>0</v>
      </c>
      <c r="BN57" s="288">
        <f t="shared" si="26"/>
        <v>0</v>
      </c>
      <c r="BO57" s="288">
        <f t="shared" si="26"/>
        <v>0</v>
      </c>
      <c r="BP57" s="288">
        <f t="shared" si="26"/>
        <v>0</v>
      </c>
      <c r="BQ57" s="288">
        <f t="shared" si="26"/>
        <v>0</v>
      </c>
      <c r="BR57" s="288">
        <f t="shared" si="26"/>
        <v>0</v>
      </c>
      <c r="BS57" s="288">
        <f t="shared" si="26"/>
        <v>0</v>
      </c>
      <c r="BT57" s="288">
        <f t="shared" si="26"/>
        <v>0</v>
      </c>
      <c r="BU57" s="288">
        <f t="shared" si="26"/>
        <v>0</v>
      </c>
      <c r="BV57" s="288">
        <f t="shared" si="26"/>
        <v>0</v>
      </c>
      <c r="BW57" s="288">
        <f t="shared" si="26"/>
        <v>0</v>
      </c>
      <c r="BX57" s="288">
        <f t="shared" si="26"/>
        <v>0</v>
      </c>
      <c r="BY57" s="288">
        <f t="shared" si="26"/>
        <v>0</v>
      </c>
      <c r="BZ57" s="288">
        <f t="shared" si="26"/>
        <v>0</v>
      </c>
      <c r="CA57" s="288">
        <f t="shared" si="26"/>
        <v>0</v>
      </c>
      <c r="CB57" s="288">
        <f t="shared" si="39"/>
        <v>0</v>
      </c>
      <c r="CC57" s="288">
        <f t="shared" si="39"/>
        <v>0</v>
      </c>
      <c r="CD57" s="288">
        <f t="shared" si="23"/>
        <v>0</v>
      </c>
      <c r="CE57" s="288">
        <f t="shared" si="42"/>
        <v>0</v>
      </c>
      <c r="CF57" s="288">
        <f t="shared" si="43"/>
        <v>0</v>
      </c>
      <c r="CG57" s="288">
        <f t="shared" si="44"/>
        <v>0</v>
      </c>
      <c r="CH57" s="288">
        <f t="shared" si="45"/>
        <v>0</v>
      </c>
      <c r="CI57" s="288">
        <f t="shared" si="46"/>
        <v>0</v>
      </c>
      <c r="CJ57" s="288">
        <f t="shared" si="47"/>
        <v>0</v>
      </c>
      <c r="CK57" s="288">
        <f t="shared" si="48"/>
        <v>0</v>
      </c>
      <c r="CL57" s="288">
        <f t="shared" si="49"/>
        <v>0</v>
      </c>
      <c r="CM57" s="288">
        <f t="shared" si="50"/>
        <v>0</v>
      </c>
      <c r="CN57" s="288">
        <f t="shared" si="51"/>
        <v>0</v>
      </c>
      <c r="CO57" s="288">
        <f t="shared" si="52"/>
        <v>0</v>
      </c>
      <c r="CP57" s="288">
        <f t="shared" si="53"/>
        <v>0</v>
      </c>
      <c r="CQ57" s="288">
        <f t="shared" si="54"/>
        <v>0</v>
      </c>
      <c r="CR57" s="288">
        <f t="shared" si="55"/>
        <v>0</v>
      </c>
      <c r="CS57" s="288">
        <f t="shared" si="56"/>
        <v>0</v>
      </c>
      <c r="CT57" s="288">
        <f t="shared" si="40"/>
        <v>0</v>
      </c>
      <c r="CU57" s="288">
        <f t="shared" si="30"/>
        <v>0</v>
      </c>
      <c r="CV57" s="288">
        <f t="shared" si="29"/>
        <v>0</v>
      </c>
      <c r="CW57" s="288">
        <f t="shared" si="29"/>
        <v>0</v>
      </c>
      <c r="CX57" s="288">
        <f t="shared" si="21"/>
        <v>0</v>
      </c>
      <c r="CY57" s="288">
        <f t="shared" si="21"/>
        <v>0</v>
      </c>
      <c r="CZ57" s="288">
        <f t="shared" si="21"/>
        <v>0</v>
      </c>
      <c r="DA57" s="288">
        <f t="shared" si="21"/>
        <v>0</v>
      </c>
      <c r="DB57" s="288">
        <f t="shared" si="33"/>
        <v>0</v>
      </c>
      <c r="DC57" s="288">
        <f t="shared" si="33"/>
        <v>0</v>
      </c>
      <c r="DD57" s="288">
        <f t="shared" si="33"/>
        <v>0</v>
      </c>
      <c r="DE57" s="288">
        <f t="shared" si="33"/>
        <v>0</v>
      </c>
      <c r="DG57" s="314">
        <f t="shared" si="3"/>
        <v>57</v>
      </c>
      <c r="DH57" s="289">
        <f>MAX(BE$3:BE$109)</f>
        <v>57</v>
      </c>
      <c r="DJ57" s="288">
        <f>LOOKUP(DH57, 'Mortality Table'!A:A,('Mortality Table'!J:J/'Mortality Table'!I:I))</f>
        <v>1.1283668899593553E-2</v>
      </c>
      <c r="DK57" s="288">
        <f>LOOKUP(A57, 'Mortality Table'!A:A,('Mortality Table'!J:J/'Mortality Table'!I:I))</f>
        <v>8.8489635016302769E-3</v>
      </c>
      <c r="DL57" s="288">
        <f t="shared" si="4"/>
        <v>2.4347053979632757E-3</v>
      </c>
      <c r="DN57" s="288">
        <f>LOOKUP(DH57, 'Mortality Table'!A:A,('Mortality Table'!L:L/'Mortality Table'!K:K))</f>
        <v>1.1429899650595E-2</v>
      </c>
      <c r="DO57" s="288">
        <f>LOOKUP(A57, 'Mortality Table'!A:A,('Mortality Table'!L:L/'Mortality Table'!K:K))</f>
        <v>8.9636416785550035E-3</v>
      </c>
      <c r="DP57" s="288">
        <f t="shared" si="5"/>
        <v>2.4662579720399966E-3</v>
      </c>
      <c r="DR57" s="288">
        <f>LOOKUP(DH57, 'Mortality Table'!A:A,('Mortality Table'!N:N/'Mortality Table'!M:M))</f>
        <v>1.1686783402477759E-2</v>
      </c>
      <c r="DS57" s="288">
        <f>LOOKUP(A57, 'Mortality Table'!A:A,('Mortality Table'!N:N/'Mortality Table'!M:M))</f>
        <v>9.165096982215527E-3</v>
      </c>
      <c r="DT57" s="288">
        <f t="shared" si="6"/>
        <v>2.5216864202622317E-3</v>
      </c>
    </row>
    <row r="58" spans="1:124">
      <c r="A58" s="288">
        <v>55</v>
      </c>
      <c r="B58" s="288">
        <v>1.0600585097229392E-2</v>
      </c>
      <c r="C58" s="288">
        <f t="shared" si="32"/>
        <v>55</v>
      </c>
      <c r="D58" s="288">
        <f t="shared" si="32"/>
        <v>0</v>
      </c>
      <c r="E58" s="288">
        <f t="shared" si="32"/>
        <v>0</v>
      </c>
      <c r="F58" s="288">
        <f t="shared" si="32"/>
        <v>0</v>
      </c>
      <c r="G58" s="288">
        <f t="shared" si="32"/>
        <v>0</v>
      </c>
      <c r="H58" s="288">
        <f t="shared" si="32"/>
        <v>0</v>
      </c>
      <c r="I58" s="288">
        <f t="shared" si="32"/>
        <v>0</v>
      </c>
      <c r="J58" s="288">
        <f t="shared" si="32"/>
        <v>0</v>
      </c>
      <c r="K58" s="288">
        <f t="shared" si="32"/>
        <v>0</v>
      </c>
      <c r="L58" s="288">
        <f t="shared" si="32"/>
        <v>0</v>
      </c>
      <c r="M58" s="288">
        <f t="shared" si="32"/>
        <v>0</v>
      </c>
      <c r="N58" s="288">
        <f t="shared" si="32"/>
        <v>0</v>
      </c>
      <c r="O58" s="288">
        <f t="shared" si="32"/>
        <v>0</v>
      </c>
      <c r="P58" s="288">
        <f t="shared" si="32"/>
        <v>0</v>
      </c>
      <c r="Q58" s="288">
        <f t="shared" si="32"/>
        <v>0</v>
      </c>
      <c r="R58" s="288">
        <f t="shared" si="31"/>
        <v>0</v>
      </c>
      <c r="S58" s="288">
        <f t="shared" si="27"/>
        <v>0</v>
      </c>
      <c r="T58" s="288">
        <f t="shared" si="27"/>
        <v>0</v>
      </c>
      <c r="U58" s="288">
        <f t="shared" si="27"/>
        <v>0</v>
      </c>
      <c r="V58" s="288">
        <f t="shared" si="27"/>
        <v>0</v>
      </c>
      <c r="W58" s="288">
        <f t="shared" si="27"/>
        <v>0</v>
      </c>
      <c r="X58" s="288">
        <f t="shared" si="27"/>
        <v>0</v>
      </c>
      <c r="Y58" s="288">
        <f t="shared" si="27"/>
        <v>0</v>
      </c>
      <c r="Z58" s="288">
        <f t="shared" si="24"/>
        <v>0</v>
      </c>
      <c r="AA58" s="288">
        <f t="shared" si="24"/>
        <v>0</v>
      </c>
      <c r="AB58" s="288">
        <f t="shared" si="24"/>
        <v>0</v>
      </c>
      <c r="AC58" s="288">
        <f t="shared" si="24"/>
        <v>0</v>
      </c>
      <c r="AD58" s="288">
        <f t="shared" si="24"/>
        <v>0</v>
      </c>
      <c r="AE58" s="288">
        <f t="shared" si="24"/>
        <v>0</v>
      </c>
      <c r="AF58" s="288">
        <f t="shared" si="24"/>
        <v>0</v>
      </c>
      <c r="AG58" s="288">
        <f t="shared" si="24"/>
        <v>0</v>
      </c>
      <c r="AH58" s="288">
        <f t="shared" si="24"/>
        <v>0</v>
      </c>
      <c r="AI58" s="288">
        <f t="shared" si="24"/>
        <v>0</v>
      </c>
      <c r="AJ58" s="288">
        <f t="shared" si="24"/>
        <v>0</v>
      </c>
      <c r="AK58" s="288">
        <f t="shared" si="24"/>
        <v>0</v>
      </c>
      <c r="AL58" s="288">
        <f t="shared" si="24"/>
        <v>0</v>
      </c>
      <c r="AM58" s="288">
        <f t="shared" si="24"/>
        <v>0</v>
      </c>
      <c r="AN58" s="288">
        <f t="shared" si="24"/>
        <v>0</v>
      </c>
      <c r="AO58" s="288">
        <f t="shared" si="24"/>
        <v>0</v>
      </c>
      <c r="AP58" s="288">
        <f t="shared" si="35"/>
        <v>0</v>
      </c>
      <c r="AQ58" s="288">
        <f t="shared" si="36"/>
        <v>0</v>
      </c>
      <c r="AR58" s="288">
        <f t="shared" si="37"/>
        <v>0</v>
      </c>
      <c r="AS58" s="288">
        <f t="shared" si="38"/>
        <v>0</v>
      </c>
      <c r="AT58" s="288">
        <f t="shared" si="34"/>
        <v>0</v>
      </c>
      <c r="AU58" s="288">
        <f t="shared" si="28"/>
        <v>0</v>
      </c>
      <c r="AV58" s="288">
        <f t="shared" si="28"/>
        <v>0</v>
      </c>
      <c r="AW58" s="288">
        <f t="shared" si="28"/>
        <v>0</v>
      </c>
      <c r="AX58" s="288">
        <f t="shared" si="28"/>
        <v>0</v>
      </c>
      <c r="AY58" s="288">
        <f t="shared" si="28"/>
        <v>0</v>
      </c>
      <c r="AZ58" s="288">
        <f t="shared" si="28"/>
        <v>0</v>
      </c>
      <c r="BA58" s="288">
        <f t="shared" si="28"/>
        <v>0</v>
      </c>
      <c r="BB58" s="288">
        <f t="shared" si="28"/>
        <v>0</v>
      </c>
      <c r="BC58" s="288">
        <f t="shared" si="28"/>
        <v>0</v>
      </c>
      <c r="BD58" s="288">
        <f t="shared" si="28"/>
        <v>55</v>
      </c>
      <c r="BE58" s="288">
        <f t="shared" si="28"/>
        <v>0</v>
      </c>
      <c r="BF58" s="288">
        <f t="shared" si="28"/>
        <v>0</v>
      </c>
      <c r="BG58" s="288">
        <f t="shared" si="28"/>
        <v>0</v>
      </c>
      <c r="BH58" s="288">
        <f t="shared" si="28"/>
        <v>0</v>
      </c>
      <c r="BI58" s="288">
        <f t="shared" si="41"/>
        <v>0</v>
      </c>
      <c r="BJ58" s="288">
        <f t="shared" si="41"/>
        <v>0</v>
      </c>
      <c r="BK58" s="288">
        <f t="shared" si="41"/>
        <v>0</v>
      </c>
      <c r="BL58" s="288">
        <f t="shared" si="26"/>
        <v>0</v>
      </c>
      <c r="BM58" s="288">
        <f t="shared" si="26"/>
        <v>0</v>
      </c>
      <c r="BN58" s="288">
        <f t="shared" si="26"/>
        <v>0</v>
      </c>
      <c r="BO58" s="288">
        <f t="shared" si="26"/>
        <v>0</v>
      </c>
      <c r="BP58" s="288">
        <f t="shared" si="26"/>
        <v>0</v>
      </c>
      <c r="BQ58" s="288">
        <f t="shared" si="26"/>
        <v>0</v>
      </c>
      <c r="BR58" s="288">
        <f t="shared" si="26"/>
        <v>0</v>
      </c>
      <c r="BS58" s="288">
        <f t="shared" si="26"/>
        <v>0</v>
      </c>
      <c r="BT58" s="288">
        <f t="shared" si="26"/>
        <v>0</v>
      </c>
      <c r="BU58" s="288">
        <f t="shared" si="26"/>
        <v>0</v>
      </c>
      <c r="BV58" s="288">
        <f t="shared" si="26"/>
        <v>0</v>
      </c>
      <c r="BW58" s="288">
        <f t="shared" si="26"/>
        <v>0</v>
      </c>
      <c r="BX58" s="288">
        <f t="shared" si="26"/>
        <v>0</v>
      </c>
      <c r="BY58" s="288">
        <f t="shared" si="26"/>
        <v>0</v>
      </c>
      <c r="BZ58" s="288">
        <f t="shared" si="26"/>
        <v>0</v>
      </c>
      <c r="CA58" s="288">
        <f t="shared" si="26"/>
        <v>0</v>
      </c>
      <c r="CB58" s="288">
        <f t="shared" si="39"/>
        <v>0</v>
      </c>
      <c r="CC58" s="288">
        <f t="shared" si="39"/>
        <v>0</v>
      </c>
      <c r="CD58" s="288">
        <f t="shared" si="23"/>
        <v>0</v>
      </c>
      <c r="CE58" s="288">
        <f t="shared" si="42"/>
        <v>0</v>
      </c>
      <c r="CF58" s="288">
        <f t="shared" si="43"/>
        <v>0</v>
      </c>
      <c r="CG58" s="288">
        <f t="shared" si="44"/>
        <v>0</v>
      </c>
      <c r="CH58" s="288">
        <f t="shared" si="45"/>
        <v>0</v>
      </c>
      <c r="CI58" s="288">
        <f t="shared" si="46"/>
        <v>0</v>
      </c>
      <c r="CJ58" s="288">
        <f t="shared" si="47"/>
        <v>0</v>
      </c>
      <c r="CK58" s="288">
        <f t="shared" si="48"/>
        <v>0</v>
      </c>
      <c r="CL58" s="288">
        <f t="shared" si="49"/>
        <v>0</v>
      </c>
      <c r="CM58" s="288">
        <f t="shared" si="50"/>
        <v>0</v>
      </c>
      <c r="CN58" s="288">
        <f t="shared" si="51"/>
        <v>0</v>
      </c>
      <c r="CO58" s="288">
        <f t="shared" si="52"/>
        <v>0</v>
      </c>
      <c r="CP58" s="288">
        <f t="shared" si="53"/>
        <v>0</v>
      </c>
      <c r="CQ58" s="288">
        <f t="shared" si="54"/>
        <v>0</v>
      </c>
      <c r="CR58" s="288">
        <f t="shared" si="55"/>
        <v>0</v>
      </c>
      <c r="CS58" s="288">
        <f t="shared" si="56"/>
        <v>0</v>
      </c>
      <c r="CT58" s="288">
        <f t="shared" si="40"/>
        <v>0</v>
      </c>
      <c r="CU58" s="288">
        <f t="shared" si="30"/>
        <v>0</v>
      </c>
      <c r="CV58" s="288">
        <f t="shared" si="29"/>
        <v>0</v>
      </c>
      <c r="CW58" s="288">
        <f t="shared" si="29"/>
        <v>0</v>
      </c>
      <c r="CX58" s="288">
        <f t="shared" si="21"/>
        <v>0</v>
      </c>
      <c r="CY58" s="288">
        <f t="shared" si="21"/>
        <v>0</v>
      </c>
      <c r="CZ58" s="288">
        <f t="shared" si="21"/>
        <v>0</v>
      </c>
      <c r="DA58" s="288">
        <f t="shared" si="21"/>
        <v>0</v>
      </c>
      <c r="DB58" s="288">
        <f t="shared" si="33"/>
        <v>0</v>
      </c>
      <c r="DC58" s="288">
        <f t="shared" si="33"/>
        <v>0</v>
      </c>
      <c r="DD58" s="288">
        <f t="shared" si="33"/>
        <v>0</v>
      </c>
      <c r="DE58" s="288">
        <f t="shared" si="33"/>
        <v>0</v>
      </c>
      <c r="DG58" s="314">
        <f t="shared" si="3"/>
        <v>58</v>
      </c>
      <c r="DH58" s="289">
        <f>MAX(BF$3:BF$109)</f>
        <v>58</v>
      </c>
      <c r="DJ58" s="288">
        <f>LOOKUP(DH58, 'Mortality Table'!A:A,('Mortality Table'!J:J/'Mortality Table'!I:I))</f>
        <v>1.2331027644717553E-2</v>
      </c>
      <c r="DK58" s="288">
        <f>LOOKUP(A58, 'Mortality Table'!A:A,('Mortality Table'!J:J/'Mortality Table'!I:I))</f>
        <v>9.7586295753806073E-3</v>
      </c>
      <c r="DL58" s="288">
        <f t="shared" si="4"/>
        <v>2.572398069336946E-3</v>
      </c>
      <c r="DN58" s="288">
        <f>LOOKUP(DH58, 'Mortality Table'!A:A,('Mortality Table'!L:L/'Mortality Table'!K:K))</f>
        <v>1.2490831645450985E-2</v>
      </c>
      <c r="DO58" s="288">
        <f>LOOKUP(A58, 'Mortality Table'!A:A,('Mortality Table'!L:L/'Mortality Table'!K:K))</f>
        <v>9.8850965733270121E-3</v>
      </c>
      <c r="DP58" s="288">
        <f t="shared" si="5"/>
        <v>2.6057350721239731E-3</v>
      </c>
      <c r="DR58" s="288">
        <f>LOOKUP(DH58, 'Mortality Table'!A:A,('Mortality Table'!N:N/'Mortality Table'!M:M))</f>
        <v>1.277155954292228E-2</v>
      </c>
      <c r="DS58" s="288">
        <f>LOOKUP(A58, 'Mortality Table'!A:A,('Mortality Table'!N:N/'Mortality Table'!M:M))</f>
        <v>1.0107261314322573E-2</v>
      </c>
      <c r="DT58" s="288">
        <f t="shared" si="6"/>
        <v>2.6642982285997076E-3</v>
      </c>
    </row>
    <row r="59" spans="1:124">
      <c r="A59" s="288">
        <v>56</v>
      </c>
      <c r="B59" s="288">
        <v>1.142148166185457E-2</v>
      </c>
      <c r="C59" s="288">
        <f t="shared" si="32"/>
        <v>0</v>
      </c>
      <c r="D59" s="288">
        <f t="shared" si="32"/>
        <v>0</v>
      </c>
      <c r="E59" s="288">
        <f t="shared" si="32"/>
        <v>0</v>
      </c>
      <c r="F59" s="288">
        <f t="shared" si="32"/>
        <v>0</v>
      </c>
      <c r="G59" s="288">
        <f t="shared" si="32"/>
        <v>0</v>
      </c>
      <c r="H59" s="288">
        <f t="shared" si="32"/>
        <v>0</v>
      </c>
      <c r="I59" s="288">
        <f t="shared" si="32"/>
        <v>0</v>
      </c>
      <c r="J59" s="288">
        <f t="shared" si="32"/>
        <v>0</v>
      </c>
      <c r="K59" s="288">
        <f t="shared" si="32"/>
        <v>0</v>
      </c>
      <c r="L59" s="288">
        <f t="shared" si="32"/>
        <v>0</v>
      </c>
      <c r="M59" s="288">
        <f t="shared" si="32"/>
        <v>0</v>
      </c>
      <c r="N59" s="288">
        <f t="shared" si="32"/>
        <v>0</v>
      </c>
      <c r="O59" s="288">
        <f t="shared" si="32"/>
        <v>0</v>
      </c>
      <c r="P59" s="288">
        <f t="shared" si="32"/>
        <v>0</v>
      </c>
      <c r="Q59" s="288">
        <f t="shared" si="32"/>
        <v>0</v>
      </c>
      <c r="R59" s="288">
        <f t="shared" si="31"/>
        <v>0</v>
      </c>
      <c r="S59" s="288">
        <f t="shared" si="27"/>
        <v>0</v>
      </c>
      <c r="T59" s="288">
        <f t="shared" si="27"/>
        <v>0</v>
      </c>
      <c r="U59" s="288">
        <f t="shared" si="27"/>
        <v>0</v>
      </c>
      <c r="V59" s="288">
        <f t="shared" si="27"/>
        <v>0</v>
      </c>
      <c r="W59" s="288">
        <f t="shared" si="27"/>
        <v>0</v>
      </c>
      <c r="X59" s="288">
        <f t="shared" si="27"/>
        <v>0</v>
      </c>
      <c r="Y59" s="288">
        <f t="shared" si="27"/>
        <v>0</v>
      </c>
      <c r="Z59" s="288">
        <f t="shared" si="24"/>
        <v>0</v>
      </c>
      <c r="AA59" s="288">
        <f t="shared" si="24"/>
        <v>0</v>
      </c>
      <c r="AB59" s="288">
        <f t="shared" si="24"/>
        <v>0</v>
      </c>
      <c r="AC59" s="288">
        <f t="shared" si="24"/>
        <v>0</v>
      </c>
      <c r="AD59" s="288">
        <f t="shared" si="24"/>
        <v>0</v>
      </c>
      <c r="AE59" s="288">
        <f t="shared" si="24"/>
        <v>0</v>
      </c>
      <c r="AF59" s="288">
        <f t="shared" si="24"/>
        <v>0</v>
      </c>
      <c r="AG59" s="288">
        <f t="shared" si="24"/>
        <v>0</v>
      </c>
      <c r="AH59" s="288">
        <f t="shared" si="24"/>
        <v>0</v>
      </c>
      <c r="AI59" s="288">
        <f t="shared" si="24"/>
        <v>0</v>
      </c>
      <c r="AJ59" s="288">
        <f t="shared" si="24"/>
        <v>0</v>
      </c>
      <c r="AK59" s="288">
        <f t="shared" si="24"/>
        <v>0</v>
      </c>
      <c r="AL59" s="288">
        <f t="shared" si="24"/>
        <v>0</v>
      </c>
      <c r="AM59" s="288">
        <f t="shared" si="24"/>
        <v>0</v>
      </c>
      <c r="AN59" s="288">
        <f t="shared" si="24"/>
        <v>0</v>
      </c>
      <c r="AO59" s="288">
        <f t="shared" si="24"/>
        <v>0</v>
      </c>
      <c r="AP59" s="288">
        <f t="shared" si="35"/>
        <v>0</v>
      </c>
      <c r="AQ59" s="288">
        <f t="shared" si="36"/>
        <v>0</v>
      </c>
      <c r="AR59" s="288">
        <f t="shared" si="37"/>
        <v>0</v>
      </c>
      <c r="AS59" s="288">
        <f t="shared" si="38"/>
        <v>0</v>
      </c>
      <c r="AT59" s="288">
        <f t="shared" si="34"/>
        <v>0</v>
      </c>
      <c r="AU59" s="288">
        <f t="shared" si="28"/>
        <v>0</v>
      </c>
      <c r="AV59" s="288">
        <f t="shared" si="28"/>
        <v>0</v>
      </c>
      <c r="AW59" s="288">
        <f t="shared" si="28"/>
        <v>0</v>
      </c>
      <c r="AX59" s="288">
        <f t="shared" si="28"/>
        <v>0</v>
      </c>
      <c r="AY59" s="288">
        <f t="shared" si="28"/>
        <v>0</v>
      </c>
      <c r="AZ59" s="288">
        <f t="shared" si="28"/>
        <v>0</v>
      </c>
      <c r="BA59" s="288">
        <f t="shared" si="28"/>
        <v>0</v>
      </c>
      <c r="BB59" s="288">
        <f t="shared" si="28"/>
        <v>0</v>
      </c>
      <c r="BC59" s="288">
        <f t="shared" si="28"/>
        <v>0</v>
      </c>
      <c r="BD59" s="288">
        <f t="shared" si="28"/>
        <v>0</v>
      </c>
      <c r="BE59" s="288">
        <f t="shared" si="28"/>
        <v>57</v>
      </c>
      <c r="BF59" s="288">
        <f t="shared" si="28"/>
        <v>0</v>
      </c>
      <c r="BG59" s="288">
        <f t="shared" si="28"/>
        <v>0</v>
      </c>
      <c r="BH59" s="288">
        <f t="shared" si="28"/>
        <v>0</v>
      </c>
      <c r="BI59" s="288">
        <f t="shared" si="41"/>
        <v>0</v>
      </c>
      <c r="BJ59" s="288">
        <f t="shared" si="41"/>
        <v>0</v>
      </c>
      <c r="BK59" s="288">
        <f t="shared" si="41"/>
        <v>0</v>
      </c>
      <c r="BL59" s="288">
        <f t="shared" si="26"/>
        <v>0</v>
      </c>
      <c r="BM59" s="288">
        <f t="shared" si="26"/>
        <v>0</v>
      </c>
      <c r="BN59" s="288">
        <f t="shared" si="26"/>
        <v>0</v>
      </c>
      <c r="BO59" s="288">
        <f t="shared" si="26"/>
        <v>0</v>
      </c>
      <c r="BP59" s="288">
        <f t="shared" si="26"/>
        <v>0</v>
      </c>
      <c r="BQ59" s="288">
        <f t="shared" si="26"/>
        <v>0</v>
      </c>
      <c r="BR59" s="288">
        <f t="shared" si="26"/>
        <v>0</v>
      </c>
      <c r="BS59" s="288">
        <f t="shared" si="26"/>
        <v>0</v>
      </c>
      <c r="BT59" s="288">
        <f t="shared" si="26"/>
        <v>0</v>
      </c>
      <c r="BU59" s="288">
        <f t="shared" si="26"/>
        <v>0</v>
      </c>
      <c r="BV59" s="288">
        <f t="shared" si="26"/>
        <v>0</v>
      </c>
      <c r="BW59" s="288">
        <f t="shared" si="26"/>
        <v>0</v>
      </c>
      <c r="BX59" s="288">
        <f t="shared" si="26"/>
        <v>0</v>
      </c>
      <c r="BY59" s="288">
        <f t="shared" si="26"/>
        <v>0</v>
      </c>
      <c r="BZ59" s="288">
        <f t="shared" si="26"/>
        <v>0</v>
      </c>
      <c r="CA59" s="288">
        <f t="shared" si="26"/>
        <v>0</v>
      </c>
      <c r="CB59" s="288">
        <f t="shared" si="39"/>
        <v>0</v>
      </c>
      <c r="CC59" s="288">
        <f t="shared" si="39"/>
        <v>0</v>
      </c>
      <c r="CD59" s="288">
        <f t="shared" si="23"/>
        <v>0</v>
      </c>
      <c r="CE59" s="288">
        <f t="shared" si="42"/>
        <v>0</v>
      </c>
      <c r="CF59" s="288">
        <f t="shared" si="43"/>
        <v>0</v>
      </c>
      <c r="CG59" s="288">
        <f t="shared" si="44"/>
        <v>0</v>
      </c>
      <c r="CH59" s="288">
        <f t="shared" si="45"/>
        <v>0</v>
      </c>
      <c r="CI59" s="288">
        <f t="shared" si="46"/>
        <v>0</v>
      </c>
      <c r="CJ59" s="288">
        <f t="shared" si="47"/>
        <v>0</v>
      </c>
      <c r="CK59" s="288">
        <f t="shared" si="48"/>
        <v>0</v>
      </c>
      <c r="CL59" s="288">
        <f t="shared" si="49"/>
        <v>0</v>
      </c>
      <c r="CM59" s="288">
        <f t="shared" si="50"/>
        <v>0</v>
      </c>
      <c r="CN59" s="288">
        <f t="shared" si="51"/>
        <v>0</v>
      </c>
      <c r="CO59" s="288">
        <f t="shared" si="52"/>
        <v>0</v>
      </c>
      <c r="CP59" s="288">
        <f t="shared" si="53"/>
        <v>0</v>
      </c>
      <c r="CQ59" s="288">
        <f t="shared" si="54"/>
        <v>0</v>
      </c>
      <c r="CR59" s="288">
        <f t="shared" si="55"/>
        <v>0</v>
      </c>
      <c r="CS59" s="288">
        <f t="shared" si="56"/>
        <v>0</v>
      </c>
      <c r="CT59" s="288">
        <f t="shared" si="40"/>
        <v>0</v>
      </c>
      <c r="CU59" s="288">
        <f t="shared" si="30"/>
        <v>0</v>
      </c>
      <c r="CV59" s="288">
        <f t="shared" si="29"/>
        <v>0</v>
      </c>
      <c r="CW59" s="288">
        <f t="shared" si="29"/>
        <v>0</v>
      </c>
      <c r="CX59" s="288">
        <f t="shared" si="21"/>
        <v>0</v>
      </c>
      <c r="CY59" s="288">
        <f t="shared" si="21"/>
        <v>0</v>
      </c>
      <c r="CZ59" s="288">
        <f t="shared" si="21"/>
        <v>0</v>
      </c>
      <c r="DA59" s="288">
        <f t="shared" si="21"/>
        <v>0</v>
      </c>
      <c r="DB59" s="288">
        <f t="shared" si="33"/>
        <v>0</v>
      </c>
      <c r="DC59" s="288">
        <f t="shared" si="33"/>
        <v>0</v>
      </c>
      <c r="DD59" s="288">
        <f t="shared" si="33"/>
        <v>0</v>
      </c>
      <c r="DE59" s="288">
        <f t="shared" si="33"/>
        <v>0</v>
      </c>
      <c r="DG59" s="314">
        <f t="shared" si="3"/>
        <v>59</v>
      </c>
      <c r="DH59" s="289">
        <f>MAX(BG$3:BG$109)</f>
        <v>59</v>
      </c>
      <c r="DJ59" s="288">
        <f>LOOKUP(DH59, 'Mortality Table'!A:A,('Mortality Table'!J:J/'Mortality Table'!I:I))</f>
        <v>1.3285136151319646E-2</v>
      </c>
      <c r="DK59" s="288">
        <f>LOOKUP(A59, 'Mortality Table'!A:A,('Mortality Table'!J:J/'Mortality Table'!I:I))</f>
        <v>1.0514326116694488E-2</v>
      </c>
      <c r="DL59" s="288">
        <f t="shared" si="4"/>
        <v>2.7708100346251572E-3</v>
      </c>
      <c r="DN59" s="288">
        <f>LOOKUP(DH59, 'Mortality Table'!A:A,('Mortality Table'!L:L/'Mortality Table'!K:K))</f>
        <v>1.3457304924956174E-2</v>
      </c>
      <c r="DO59" s="288">
        <f>LOOKUP(A59, 'Mortality Table'!A:A,('Mortality Table'!L:L/'Mortality Table'!K:K))</f>
        <v>1.0650586566907949E-2</v>
      </c>
      <c r="DP59" s="288">
        <f t="shared" si="5"/>
        <v>2.8067183580482245E-3</v>
      </c>
      <c r="DR59" s="288">
        <f>LOOKUP(DH59, 'Mortality Table'!A:A,('Mortality Table'!N:N/'Mortality Table'!M:M))</f>
        <v>1.3759754035187279E-2</v>
      </c>
      <c r="DS59" s="288">
        <f>LOOKUP(A59, 'Mortality Table'!A:A,('Mortality Table'!N:N/'Mortality Table'!M:M))</f>
        <v>1.0889955478332904E-2</v>
      </c>
      <c r="DT59" s="288">
        <f t="shared" si="6"/>
        <v>2.8697985568543749E-3</v>
      </c>
    </row>
    <row r="60" spans="1:124">
      <c r="A60" s="288">
        <v>57</v>
      </c>
      <c r="B60" s="288">
        <v>1.2257201839166745E-2</v>
      </c>
      <c r="C60" s="288">
        <f t="shared" ref="C60:Q76" si="57">IF(C$2&gt;$B60,(IF(C$2&lt;=$B61,(IF(AVERAGE($B60,$B61)&gt;C$2,$A60,$A61)),0)),0)</f>
        <v>0</v>
      </c>
      <c r="D60" s="288">
        <f t="shared" si="57"/>
        <v>0</v>
      </c>
      <c r="E60" s="288">
        <f t="shared" si="57"/>
        <v>0</v>
      </c>
      <c r="F60" s="288">
        <f t="shared" si="57"/>
        <v>0</v>
      </c>
      <c r="G60" s="288">
        <f t="shared" si="57"/>
        <v>0</v>
      </c>
      <c r="H60" s="288">
        <f t="shared" si="57"/>
        <v>0</v>
      </c>
      <c r="I60" s="288">
        <f t="shared" si="57"/>
        <v>0</v>
      </c>
      <c r="J60" s="288">
        <f t="shared" si="57"/>
        <v>0</v>
      </c>
      <c r="K60" s="288">
        <f t="shared" si="57"/>
        <v>0</v>
      </c>
      <c r="L60" s="288">
        <f t="shared" si="57"/>
        <v>0</v>
      </c>
      <c r="M60" s="288">
        <f t="shared" si="57"/>
        <v>0</v>
      </c>
      <c r="N60" s="288">
        <f t="shared" si="57"/>
        <v>0</v>
      </c>
      <c r="O60" s="288">
        <f t="shared" si="57"/>
        <v>0</v>
      </c>
      <c r="P60" s="288">
        <f t="shared" si="57"/>
        <v>0</v>
      </c>
      <c r="Q60" s="288">
        <f t="shared" si="57"/>
        <v>0</v>
      </c>
      <c r="R60" s="288">
        <f t="shared" si="31"/>
        <v>0</v>
      </c>
      <c r="S60" s="288">
        <f t="shared" si="27"/>
        <v>0</v>
      </c>
      <c r="T60" s="288">
        <f t="shared" si="27"/>
        <v>0</v>
      </c>
      <c r="U60" s="288">
        <f t="shared" si="27"/>
        <v>0</v>
      </c>
      <c r="V60" s="288">
        <f t="shared" si="27"/>
        <v>0</v>
      </c>
      <c r="W60" s="288">
        <f t="shared" si="27"/>
        <v>0</v>
      </c>
      <c r="X60" s="288">
        <f t="shared" si="27"/>
        <v>0</v>
      </c>
      <c r="Y60" s="288">
        <f t="shared" si="27"/>
        <v>0</v>
      </c>
      <c r="Z60" s="288">
        <f t="shared" si="24"/>
        <v>0</v>
      </c>
      <c r="AA60" s="288">
        <f t="shared" si="24"/>
        <v>0</v>
      </c>
      <c r="AB60" s="288">
        <f t="shared" si="24"/>
        <v>0</v>
      </c>
      <c r="AC60" s="288">
        <f t="shared" si="24"/>
        <v>0</v>
      </c>
      <c r="AD60" s="288">
        <f t="shared" si="24"/>
        <v>0</v>
      </c>
      <c r="AE60" s="288">
        <f t="shared" si="24"/>
        <v>0</v>
      </c>
      <c r="AF60" s="288">
        <f t="shared" si="24"/>
        <v>0</v>
      </c>
      <c r="AG60" s="288">
        <f t="shared" si="24"/>
        <v>0</v>
      </c>
      <c r="AH60" s="288">
        <f t="shared" si="24"/>
        <v>0</v>
      </c>
      <c r="AI60" s="288">
        <f t="shared" si="24"/>
        <v>0</v>
      </c>
      <c r="AJ60" s="288">
        <f t="shared" si="24"/>
        <v>0</v>
      </c>
      <c r="AK60" s="288">
        <f t="shared" si="24"/>
        <v>0</v>
      </c>
      <c r="AL60" s="288">
        <f t="shared" si="24"/>
        <v>0</v>
      </c>
      <c r="AM60" s="288">
        <f t="shared" si="24"/>
        <v>0</v>
      </c>
      <c r="AN60" s="288">
        <f t="shared" si="24"/>
        <v>0</v>
      </c>
      <c r="AO60" s="288">
        <f t="shared" si="24"/>
        <v>0</v>
      </c>
      <c r="AP60" s="288">
        <f t="shared" si="35"/>
        <v>0</v>
      </c>
      <c r="AQ60" s="288">
        <f t="shared" si="36"/>
        <v>0</v>
      </c>
      <c r="AR60" s="288">
        <f t="shared" si="37"/>
        <v>0</v>
      </c>
      <c r="AS60" s="288">
        <f t="shared" si="38"/>
        <v>0</v>
      </c>
      <c r="AT60" s="288">
        <f t="shared" si="34"/>
        <v>0</v>
      </c>
      <c r="AU60" s="288">
        <f t="shared" si="28"/>
        <v>0</v>
      </c>
      <c r="AV60" s="288">
        <f t="shared" si="28"/>
        <v>0</v>
      </c>
      <c r="AW60" s="288">
        <f t="shared" si="28"/>
        <v>0</v>
      </c>
      <c r="AX60" s="288">
        <f t="shared" si="28"/>
        <v>0</v>
      </c>
      <c r="AY60" s="288">
        <f t="shared" si="28"/>
        <v>0</v>
      </c>
      <c r="AZ60" s="288">
        <f t="shared" si="28"/>
        <v>0</v>
      </c>
      <c r="BA60" s="288">
        <f t="shared" si="28"/>
        <v>0</v>
      </c>
      <c r="BB60" s="288">
        <f t="shared" si="28"/>
        <v>0</v>
      </c>
      <c r="BC60" s="288">
        <f t="shared" si="28"/>
        <v>0</v>
      </c>
      <c r="BD60" s="288">
        <f t="shared" si="28"/>
        <v>0</v>
      </c>
      <c r="BE60" s="288">
        <f t="shared" si="28"/>
        <v>0</v>
      </c>
      <c r="BF60" s="288">
        <f t="shared" si="28"/>
        <v>58</v>
      </c>
      <c r="BG60" s="288">
        <f t="shared" si="28"/>
        <v>0</v>
      </c>
      <c r="BH60" s="288">
        <f t="shared" si="28"/>
        <v>0</v>
      </c>
      <c r="BI60" s="288">
        <f t="shared" si="41"/>
        <v>0</v>
      </c>
      <c r="BJ60" s="288">
        <f t="shared" si="41"/>
        <v>0</v>
      </c>
      <c r="BK60" s="288">
        <f t="shared" si="41"/>
        <v>0</v>
      </c>
      <c r="BL60" s="288">
        <f t="shared" si="26"/>
        <v>0</v>
      </c>
      <c r="BM60" s="288">
        <f t="shared" si="26"/>
        <v>0</v>
      </c>
      <c r="BN60" s="288">
        <f t="shared" si="26"/>
        <v>0</v>
      </c>
      <c r="BO60" s="288">
        <f t="shared" si="26"/>
        <v>0</v>
      </c>
      <c r="BP60" s="288">
        <f t="shared" si="26"/>
        <v>0</v>
      </c>
      <c r="BQ60" s="288">
        <f t="shared" si="26"/>
        <v>0</v>
      </c>
      <c r="BR60" s="288">
        <f t="shared" si="26"/>
        <v>0</v>
      </c>
      <c r="BS60" s="288">
        <f t="shared" si="26"/>
        <v>0</v>
      </c>
      <c r="BT60" s="288">
        <f t="shared" si="26"/>
        <v>0</v>
      </c>
      <c r="BU60" s="288">
        <f t="shared" si="26"/>
        <v>0</v>
      </c>
      <c r="BV60" s="288">
        <f t="shared" si="26"/>
        <v>0</v>
      </c>
      <c r="BW60" s="288">
        <f t="shared" si="26"/>
        <v>0</v>
      </c>
      <c r="BX60" s="288">
        <f t="shared" si="26"/>
        <v>0</v>
      </c>
      <c r="BY60" s="288">
        <f t="shared" si="26"/>
        <v>0</v>
      </c>
      <c r="BZ60" s="288">
        <f t="shared" si="26"/>
        <v>0</v>
      </c>
      <c r="CA60" s="288">
        <f t="shared" si="26"/>
        <v>0</v>
      </c>
      <c r="CB60" s="288">
        <f t="shared" si="39"/>
        <v>0</v>
      </c>
      <c r="CC60" s="288">
        <f t="shared" si="39"/>
        <v>0</v>
      </c>
      <c r="CD60" s="288">
        <f t="shared" si="23"/>
        <v>0</v>
      </c>
      <c r="CE60" s="288">
        <f t="shared" si="42"/>
        <v>0</v>
      </c>
      <c r="CF60" s="288">
        <f t="shared" si="43"/>
        <v>0</v>
      </c>
      <c r="CG60" s="288">
        <f t="shared" si="44"/>
        <v>0</v>
      </c>
      <c r="CH60" s="288">
        <f t="shared" si="45"/>
        <v>0</v>
      </c>
      <c r="CI60" s="288">
        <f t="shared" si="46"/>
        <v>0</v>
      </c>
      <c r="CJ60" s="288">
        <f t="shared" si="47"/>
        <v>0</v>
      </c>
      <c r="CK60" s="288">
        <f t="shared" si="48"/>
        <v>0</v>
      </c>
      <c r="CL60" s="288">
        <f t="shared" si="49"/>
        <v>0</v>
      </c>
      <c r="CM60" s="288">
        <f t="shared" si="50"/>
        <v>0</v>
      </c>
      <c r="CN60" s="288">
        <f t="shared" si="51"/>
        <v>0</v>
      </c>
      <c r="CO60" s="288">
        <f t="shared" si="52"/>
        <v>0</v>
      </c>
      <c r="CP60" s="288">
        <f t="shared" si="53"/>
        <v>0</v>
      </c>
      <c r="CQ60" s="288">
        <f t="shared" si="54"/>
        <v>0</v>
      </c>
      <c r="CR60" s="288">
        <f t="shared" si="55"/>
        <v>0</v>
      </c>
      <c r="CS60" s="288">
        <f t="shared" si="56"/>
        <v>0</v>
      </c>
      <c r="CT60" s="288">
        <f t="shared" si="40"/>
        <v>0</v>
      </c>
      <c r="CU60" s="288">
        <f t="shared" si="30"/>
        <v>0</v>
      </c>
      <c r="CV60" s="288">
        <f t="shared" si="29"/>
        <v>0</v>
      </c>
      <c r="CW60" s="288">
        <f t="shared" si="29"/>
        <v>0</v>
      </c>
      <c r="CX60" s="288">
        <f t="shared" si="21"/>
        <v>0</v>
      </c>
      <c r="CY60" s="288">
        <f t="shared" si="21"/>
        <v>0</v>
      </c>
      <c r="CZ60" s="288">
        <f t="shared" si="21"/>
        <v>0</v>
      </c>
      <c r="DA60" s="288">
        <f t="shared" si="21"/>
        <v>0</v>
      </c>
      <c r="DB60" s="288">
        <f t="shared" si="33"/>
        <v>0</v>
      </c>
      <c r="DC60" s="288">
        <f t="shared" si="33"/>
        <v>0</v>
      </c>
      <c r="DD60" s="288">
        <f t="shared" si="33"/>
        <v>0</v>
      </c>
      <c r="DE60" s="288">
        <f t="shared" si="33"/>
        <v>0</v>
      </c>
      <c r="DG60" s="314">
        <f t="shared" si="3"/>
        <v>60</v>
      </c>
      <c r="DH60" s="289">
        <f>MAX(BH$3:BH$109)</f>
        <v>60</v>
      </c>
      <c r="DJ60" s="288">
        <f>LOOKUP(DH60, 'Mortality Table'!A:A,('Mortality Table'!J:J/'Mortality Table'!I:I))</f>
        <v>1.4412787115256362E-2</v>
      </c>
      <c r="DK60" s="288">
        <f>LOOKUP(A60, 'Mortality Table'!A:A,('Mortality Table'!J:J/'Mortality Table'!I:I))</f>
        <v>1.1283668899593553E-2</v>
      </c>
      <c r="DL60" s="288">
        <f t="shared" si="4"/>
        <v>3.129118215662809E-3</v>
      </c>
      <c r="DN60" s="288">
        <f>LOOKUP(DH60, 'Mortality Table'!A:A,('Mortality Table'!L:L/'Mortality Table'!K:K))</f>
        <v>1.4599569685946964E-2</v>
      </c>
      <c r="DO60" s="288">
        <f>LOOKUP(A60, 'Mortality Table'!A:A,('Mortality Table'!L:L/'Mortality Table'!K:K))</f>
        <v>1.1429899650595E-2</v>
      </c>
      <c r="DP60" s="288">
        <f t="shared" si="5"/>
        <v>3.1696700353519638E-3</v>
      </c>
      <c r="DR60" s="288">
        <f>LOOKUP(DH60, 'Mortality Table'!A:A,('Mortality Table'!N:N/'Mortality Table'!M:M))</f>
        <v>1.4927690872610627E-2</v>
      </c>
      <c r="DS60" s="288">
        <f>LOOKUP(A60, 'Mortality Table'!A:A,('Mortality Table'!N:N/'Mortality Table'!M:M))</f>
        <v>1.1686783402477759E-2</v>
      </c>
      <c r="DT60" s="288">
        <f t="shared" si="6"/>
        <v>3.2409074701328679E-3</v>
      </c>
    </row>
    <row r="61" spans="1:124">
      <c r="A61" s="288">
        <v>58</v>
      </c>
      <c r="B61" s="288">
        <v>1.3394924653548823E-2</v>
      </c>
      <c r="C61" s="288">
        <f t="shared" si="57"/>
        <v>0</v>
      </c>
      <c r="D61" s="288">
        <f t="shared" si="57"/>
        <v>0</v>
      </c>
      <c r="E61" s="288">
        <f t="shared" si="57"/>
        <v>0</v>
      </c>
      <c r="F61" s="288">
        <f t="shared" si="57"/>
        <v>0</v>
      </c>
      <c r="G61" s="288">
        <f t="shared" si="57"/>
        <v>0</v>
      </c>
      <c r="H61" s="288">
        <f t="shared" si="57"/>
        <v>0</v>
      </c>
      <c r="I61" s="288">
        <f t="shared" si="57"/>
        <v>0</v>
      </c>
      <c r="J61" s="288">
        <f t="shared" si="57"/>
        <v>0</v>
      </c>
      <c r="K61" s="288">
        <f t="shared" si="57"/>
        <v>0</v>
      </c>
      <c r="L61" s="288">
        <f t="shared" si="57"/>
        <v>0</v>
      </c>
      <c r="M61" s="288">
        <f t="shared" si="57"/>
        <v>0</v>
      </c>
      <c r="N61" s="288">
        <f t="shared" si="57"/>
        <v>0</v>
      </c>
      <c r="O61" s="288">
        <f t="shared" si="57"/>
        <v>0</v>
      </c>
      <c r="P61" s="288">
        <f t="shared" si="57"/>
        <v>0</v>
      </c>
      <c r="Q61" s="288">
        <f t="shared" si="57"/>
        <v>0</v>
      </c>
      <c r="R61" s="288">
        <f t="shared" si="31"/>
        <v>0</v>
      </c>
      <c r="S61" s="288">
        <f t="shared" si="27"/>
        <v>0</v>
      </c>
      <c r="T61" s="288">
        <f t="shared" si="27"/>
        <v>0</v>
      </c>
      <c r="U61" s="288">
        <f t="shared" si="27"/>
        <v>0</v>
      </c>
      <c r="V61" s="288">
        <f t="shared" si="27"/>
        <v>0</v>
      </c>
      <c r="W61" s="288">
        <f t="shared" si="27"/>
        <v>0</v>
      </c>
      <c r="X61" s="288">
        <f t="shared" si="27"/>
        <v>0</v>
      </c>
      <c r="Y61" s="288">
        <f t="shared" si="27"/>
        <v>0</v>
      </c>
      <c r="Z61" s="288">
        <f t="shared" si="24"/>
        <v>0</v>
      </c>
      <c r="AA61" s="288">
        <f t="shared" si="24"/>
        <v>0</v>
      </c>
      <c r="AB61" s="288">
        <f t="shared" si="24"/>
        <v>0</v>
      </c>
      <c r="AC61" s="288">
        <f t="shared" si="24"/>
        <v>0</v>
      </c>
      <c r="AD61" s="288">
        <f t="shared" si="24"/>
        <v>0</v>
      </c>
      <c r="AE61" s="288">
        <f t="shared" si="24"/>
        <v>0</v>
      </c>
      <c r="AF61" s="288">
        <f t="shared" si="24"/>
        <v>0</v>
      </c>
      <c r="AG61" s="288">
        <f t="shared" si="24"/>
        <v>0</v>
      </c>
      <c r="AH61" s="288">
        <f t="shared" si="24"/>
        <v>0</v>
      </c>
      <c r="AI61" s="288">
        <f t="shared" si="24"/>
        <v>0</v>
      </c>
      <c r="AJ61" s="288">
        <f t="shared" si="24"/>
        <v>0</v>
      </c>
      <c r="AK61" s="288">
        <f t="shared" si="24"/>
        <v>0</v>
      </c>
      <c r="AL61" s="288">
        <f t="shared" si="24"/>
        <v>0</v>
      </c>
      <c r="AM61" s="288">
        <f t="shared" si="24"/>
        <v>0</v>
      </c>
      <c r="AN61" s="288">
        <f t="shared" si="24"/>
        <v>0</v>
      </c>
      <c r="AO61" s="288">
        <f t="shared" si="24"/>
        <v>0</v>
      </c>
      <c r="AP61" s="288">
        <f t="shared" si="35"/>
        <v>0</v>
      </c>
      <c r="AQ61" s="288">
        <f t="shared" si="36"/>
        <v>0</v>
      </c>
      <c r="AR61" s="288">
        <f t="shared" si="37"/>
        <v>0</v>
      </c>
      <c r="AS61" s="288">
        <f t="shared" si="38"/>
        <v>0</v>
      </c>
      <c r="AT61" s="288">
        <f t="shared" si="34"/>
        <v>0</v>
      </c>
      <c r="AU61" s="288">
        <f t="shared" si="28"/>
        <v>0</v>
      </c>
      <c r="AV61" s="288">
        <f t="shared" si="28"/>
        <v>0</v>
      </c>
      <c r="AW61" s="288">
        <f t="shared" si="28"/>
        <v>0</v>
      </c>
      <c r="AX61" s="288">
        <f t="shared" si="28"/>
        <v>0</v>
      </c>
      <c r="AY61" s="288">
        <f t="shared" si="28"/>
        <v>0</v>
      </c>
      <c r="AZ61" s="288">
        <f t="shared" si="28"/>
        <v>0</v>
      </c>
      <c r="BA61" s="288">
        <f t="shared" si="28"/>
        <v>0</v>
      </c>
      <c r="BB61" s="288">
        <f t="shared" si="28"/>
        <v>0</v>
      </c>
      <c r="BC61" s="288">
        <f t="shared" si="28"/>
        <v>0</v>
      </c>
      <c r="BD61" s="288">
        <f t="shared" si="28"/>
        <v>0</v>
      </c>
      <c r="BE61" s="288">
        <f t="shared" si="28"/>
        <v>0</v>
      </c>
      <c r="BF61" s="288">
        <f t="shared" si="28"/>
        <v>0</v>
      </c>
      <c r="BG61" s="288">
        <f t="shared" si="28"/>
        <v>59</v>
      </c>
      <c r="BH61" s="288">
        <f t="shared" si="28"/>
        <v>0</v>
      </c>
      <c r="BI61" s="288">
        <f t="shared" si="41"/>
        <v>0</v>
      </c>
      <c r="BJ61" s="288">
        <f t="shared" si="41"/>
        <v>0</v>
      </c>
      <c r="BK61" s="288">
        <f t="shared" si="41"/>
        <v>0</v>
      </c>
      <c r="BL61" s="288">
        <f t="shared" si="26"/>
        <v>0</v>
      </c>
      <c r="BM61" s="288">
        <f t="shared" si="26"/>
        <v>0</v>
      </c>
      <c r="BN61" s="288">
        <f t="shared" si="26"/>
        <v>0</v>
      </c>
      <c r="BO61" s="288">
        <f t="shared" si="26"/>
        <v>0</v>
      </c>
      <c r="BP61" s="288">
        <f t="shared" si="26"/>
        <v>0</v>
      </c>
      <c r="BQ61" s="288">
        <f t="shared" si="26"/>
        <v>0</v>
      </c>
      <c r="BR61" s="288">
        <f t="shared" si="26"/>
        <v>0</v>
      </c>
      <c r="BS61" s="288">
        <f t="shared" si="26"/>
        <v>0</v>
      </c>
      <c r="BT61" s="288">
        <f t="shared" si="26"/>
        <v>0</v>
      </c>
      <c r="BU61" s="288">
        <f t="shared" si="26"/>
        <v>0</v>
      </c>
      <c r="BV61" s="288">
        <f t="shared" si="26"/>
        <v>0</v>
      </c>
      <c r="BW61" s="288">
        <f t="shared" si="26"/>
        <v>0</v>
      </c>
      <c r="BX61" s="288">
        <f t="shared" si="26"/>
        <v>0</v>
      </c>
      <c r="BY61" s="288">
        <f t="shared" si="26"/>
        <v>0</v>
      </c>
      <c r="BZ61" s="288">
        <f t="shared" si="26"/>
        <v>0</v>
      </c>
      <c r="CA61" s="288">
        <f t="shared" si="26"/>
        <v>0</v>
      </c>
      <c r="CB61" s="288">
        <f t="shared" si="39"/>
        <v>0</v>
      </c>
      <c r="CC61" s="288">
        <f t="shared" si="39"/>
        <v>0</v>
      </c>
      <c r="CD61" s="288">
        <f t="shared" si="23"/>
        <v>0</v>
      </c>
      <c r="CE61" s="288">
        <f t="shared" si="42"/>
        <v>0</v>
      </c>
      <c r="CF61" s="288">
        <f t="shared" si="43"/>
        <v>0</v>
      </c>
      <c r="CG61" s="288">
        <f t="shared" si="44"/>
        <v>0</v>
      </c>
      <c r="CH61" s="288">
        <f t="shared" si="45"/>
        <v>0</v>
      </c>
      <c r="CI61" s="288">
        <f t="shared" si="46"/>
        <v>0</v>
      </c>
      <c r="CJ61" s="288">
        <f t="shared" si="47"/>
        <v>0</v>
      </c>
      <c r="CK61" s="288">
        <f t="shared" si="48"/>
        <v>0</v>
      </c>
      <c r="CL61" s="288">
        <f t="shared" si="49"/>
        <v>0</v>
      </c>
      <c r="CM61" s="288">
        <f t="shared" si="50"/>
        <v>0</v>
      </c>
      <c r="CN61" s="288">
        <f t="shared" si="51"/>
        <v>0</v>
      </c>
      <c r="CO61" s="288">
        <f t="shared" si="52"/>
        <v>0</v>
      </c>
      <c r="CP61" s="288">
        <f t="shared" si="53"/>
        <v>0</v>
      </c>
      <c r="CQ61" s="288">
        <f t="shared" si="54"/>
        <v>0</v>
      </c>
      <c r="CR61" s="288">
        <f t="shared" si="55"/>
        <v>0</v>
      </c>
      <c r="CS61" s="288">
        <f t="shared" si="56"/>
        <v>0</v>
      </c>
      <c r="CT61" s="288">
        <f t="shared" si="40"/>
        <v>0</v>
      </c>
      <c r="CU61" s="288">
        <f t="shared" si="30"/>
        <v>0</v>
      </c>
      <c r="CV61" s="288">
        <f t="shared" si="29"/>
        <v>0</v>
      </c>
      <c r="CW61" s="288">
        <f t="shared" si="29"/>
        <v>0</v>
      </c>
      <c r="CX61" s="288">
        <f t="shared" si="21"/>
        <v>0</v>
      </c>
      <c r="CY61" s="288">
        <f t="shared" si="21"/>
        <v>0</v>
      </c>
      <c r="CZ61" s="288">
        <f t="shared" si="21"/>
        <v>0</v>
      </c>
      <c r="DA61" s="288">
        <f t="shared" si="21"/>
        <v>0</v>
      </c>
      <c r="DB61" s="288">
        <f t="shared" si="33"/>
        <v>0</v>
      </c>
      <c r="DC61" s="288">
        <f t="shared" si="33"/>
        <v>0</v>
      </c>
      <c r="DD61" s="288">
        <f t="shared" si="33"/>
        <v>0</v>
      </c>
      <c r="DE61" s="288">
        <f t="shared" si="33"/>
        <v>0</v>
      </c>
      <c r="DG61" s="314">
        <f t="shared" si="3"/>
        <v>61</v>
      </c>
      <c r="DH61" s="289">
        <f>MAX(BI$3:BI$109)</f>
        <v>61</v>
      </c>
      <c r="DJ61" s="288">
        <f>LOOKUP(DH61, 'Mortality Table'!A:A,('Mortality Table'!J:J/'Mortality Table'!I:I))</f>
        <v>1.5521462317607773E-2</v>
      </c>
      <c r="DK61" s="288">
        <f>LOOKUP(A61, 'Mortality Table'!A:A,('Mortality Table'!J:J/'Mortality Table'!I:I))</f>
        <v>1.2331027644717553E-2</v>
      </c>
      <c r="DL61" s="288">
        <f t="shared" si="4"/>
        <v>3.1904346728902199E-3</v>
      </c>
      <c r="DN61" s="288">
        <f>LOOKUP(DH61, 'Mortality Table'!A:A,('Mortality Table'!L:L/'Mortality Table'!K:K))</f>
        <v>1.5722612768896364E-2</v>
      </c>
      <c r="DO61" s="288">
        <f>LOOKUP(A61, 'Mortality Table'!A:A,('Mortality Table'!L:L/'Mortality Table'!K:K))</f>
        <v>1.2490831645450985E-2</v>
      </c>
      <c r="DP61" s="288">
        <f t="shared" si="5"/>
        <v>3.2317811234453785E-3</v>
      </c>
      <c r="DR61" s="288">
        <f>LOOKUP(DH61, 'Mortality Table'!A:A,('Mortality Table'!N:N/'Mortality Table'!M:M))</f>
        <v>1.6075974030232001E-2</v>
      </c>
      <c r="DS61" s="288">
        <f>LOOKUP(A61, 'Mortality Table'!A:A,('Mortality Table'!N:N/'Mortality Table'!M:M))</f>
        <v>1.277155954292228E-2</v>
      </c>
      <c r="DT61" s="288">
        <f t="shared" si="6"/>
        <v>3.3044144873097207E-3</v>
      </c>
    </row>
    <row r="62" spans="1:124">
      <c r="A62" s="288">
        <v>59</v>
      </c>
      <c r="B62" s="288">
        <v>1.4431351780749372E-2</v>
      </c>
      <c r="C62" s="288">
        <f t="shared" si="57"/>
        <v>0</v>
      </c>
      <c r="D62" s="288">
        <f t="shared" si="57"/>
        <v>0</v>
      </c>
      <c r="E62" s="288">
        <f t="shared" si="57"/>
        <v>0</v>
      </c>
      <c r="F62" s="288">
        <f t="shared" si="57"/>
        <v>0</v>
      </c>
      <c r="G62" s="288">
        <f t="shared" si="57"/>
        <v>0</v>
      </c>
      <c r="H62" s="288">
        <f t="shared" si="57"/>
        <v>0</v>
      </c>
      <c r="I62" s="288">
        <f t="shared" si="57"/>
        <v>0</v>
      </c>
      <c r="J62" s="288">
        <f t="shared" si="57"/>
        <v>0</v>
      </c>
      <c r="K62" s="288">
        <f t="shared" si="57"/>
        <v>0</v>
      </c>
      <c r="L62" s="288">
        <f t="shared" si="57"/>
        <v>0</v>
      </c>
      <c r="M62" s="288">
        <f t="shared" si="57"/>
        <v>0</v>
      </c>
      <c r="N62" s="288">
        <f t="shared" si="57"/>
        <v>0</v>
      </c>
      <c r="O62" s="288">
        <f t="shared" si="57"/>
        <v>0</v>
      </c>
      <c r="P62" s="288">
        <f t="shared" si="57"/>
        <v>0</v>
      </c>
      <c r="Q62" s="288">
        <f t="shared" si="57"/>
        <v>0</v>
      </c>
      <c r="R62" s="288">
        <f t="shared" si="31"/>
        <v>0</v>
      </c>
      <c r="S62" s="288">
        <f t="shared" si="27"/>
        <v>0</v>
      </c>
      <c r="T62" s="288">
        <f t="shared" si="27"/>
        <v>0</v>
      </c>
      <c r="U62" s="288">
        <f t="shared" si="27"/>
        <v>0</v>
      </c>
      <c r="V62" s="288">
        <f t="shared" si="27"/>
        <v>0</v>
      </c>
      <c r="W62" s="288">
        <f t="shared" si="27"/>
        <v>0</v>
      </c>
      <c r="X62" s="288">
        <f t="shared" si="27"/>
        <v>0</v>
      </c>
      <c r="Y62" s="288">
        <f t="shared" si="27"/>
        <v>0</v>
      </c>
      <c r="Z62" s="288">
        <f t="shared" si="24"/>
        <v>0</v>
      </c>
      <c r="AA62" s="288">
        <f t="shared" si="24"/>
        <v>0</v>
      </c>
      <c r="AB62" s="288">
        <f t="shared" si="24"/>
        <v>0</v>
      </c>
      <c r="AC62" s="288">
        <f t="shared" si="24"/>
        <v>0</v>
      </c>
      <c r="AD62" s="288">
        <f t="shared" si="24"/>
        <v>0</v>
      </c>
      <c r="AE62" s="288">
        <f t="shared" si="24"/>
        <v>0</v>
      </c>
      <c r="AF62" s="288">
        <f t="shared" si="24"/>
        <v>0</v>
      </c>
      <c r="AG62" s="288">
        <f t="shared" si="24"/>
        <v>0</v>
      </c>
      <c r="AH62" s="288">
        <f t="shared" si="24"/>
        <v>0</v>
      </c>
      <c r="AI62" s="288">
        <f t="shared" si="24"/>
        <v>0</v>
      </c>
      <c r="AJ62" s="288">
        <f t="shared" si="24"/>
        <v>0</v>
      </c>
      <c r="AK62" s="288">
        <f t="shared" si="24"/>
        <v>0</v>
      </c>
      <c r="AL62" s="288">
        <f t="shared" si="24"/>
        <v>0</v>
      </c>
      <c r="AM62" s="288">
        <f t="shared" si="24"/>
        <v>0</v>
      </c>
      <c r="AN62" s="288">
        <f t="shared" si="24"/>
        <v>0</v>
      </c>
      <c r="AO62" s="288">
        <f t="shared" si="24"/>
        <v>0</v>
      </c>
      <c r="AP62" s="288">
        <f t="shared" si="35"/>
        <v>0</v>
      </c>
      <c r="AQ62" s="288">
        <f t="shared" si="36"/>
        <v>0</v>
      </c>
      <c r="AR62" s="288">
        <f t="shared" si="37"/>
        <v>0</v>
      </c>
      <c r="AS62" s="288">
        <f t="shared" si="38"/>
        <v>0</v>
      </c>
      <c r="AT62" s="288">
        <f t="shared" si="34"/>
        <v>0</v>
      </c>
      <c r="AU62" s="288">
        <f t="shared" si="28"/>
        <v>0</v>
      </c>
      <c r="AV62" s="288">
        <f t="shared" si="28"/>
        <v>0</v>
      </c>
      <c r="AW62" s="288">
        <f t="shared" si="28"/>
        <v>0</v>
      </c>
      <c r="AX62" s="288">
        <f t="shared" si="28"/>
        <v>0</v>
      </c>
      <c r="AY62" s="288">
        <f t="shared" si="28"/>
        <v>0</v>
      </c>
      <c r="AZ62" s="288">
        <f t="shared" si="28"/>
        <v>0</v>
      </c>
      <c r="BA62" s="288">
        <f t="shared" si="28"/>
        <v>0</v>
      </c>
      <c r="BB62" s="288">
        <f t="shared" si="28"/>
        <v>0</v>
      </c>
      <c r="BC62" s="288">
        <f t="shared" si="28"/>
        <v>0</v>
      </c>
      <c r="BD62" s="288">
        <f t="shared" si="28"/>
        <v>0</v>
      </c>
      <c r="BE62" s="288">
        <f t="shared" si="28"/>
        <v>0</v>
      </c>
      <c r="BF62" s="288">
        <f t="shared" si="28"/>
        <v>0</v>
      </c>
      <c r="BG62" s="288">
        <f t="shared" si="28"/>
        <v>0</v>
      </c>
      <c r="BH62" s="288">
        <f t="shared" si="28"/>
        <v>60</v>
      </c>
      <c r="BI62" s="288">
        <f t="shared" si="41"/>
        <v>0</v>
      </c>
      <c r="BJ62" s="288">
        <f t="shared" si="41"/>
        <v>0</v>
      </c>
      <c r="BK62" s="288">
        <f t="shared" si="41"/>
        <v>0</v>
      </c>
      <c r="BL62" s="288">
        <f t="shared" si="26"/>
        <v>0</v>
      </c>
      <c r="BM62" s="288">
        <f t="shared" si="26"/>
        <v>0</v>
      </c>
      <c r="BN62" s="288">
        <f t="shared" si="26"/>
        <v>0</v>
      </c>
      <c r="BO62" s="288">
        <f t="shared" si="26"/>
        <v>0</v>
      </c>
      <c r="BP62" s="288">
        <f t="shared" si="26"/>
        <v>0</v>
      </c>
      <c r="BQ62" s="288">
        <f t="shared" si="26"/>
        <v>0</v>
      </c>
      <c r="BR62" s="288">
        <f t="shared" si="26"/>
        <v>0</v>
      </c>
      <c r="BS62" s="288">
        <f t="shared" si="26"/>
        <v>0</v>
      </c>
      <c r="BT62" s="288">
        <f t="shared" si="26"/>
        <v>0</v>
      </c>
      <c r="BU62" s="288">
        <f t="shared" si="26"/>
        <v>0</v>
      </c>
      <c r="BV62" s="288">
        <f t="shared" si="26"/>
        <v>0</v>
      </c>
      <c r="BW62" s="288">
        <f t="shared" si="26"/>
        <v>0</v>
      </c>
      <c r="BX62" s="288">
        <f t="shared" si="26"/>
        <v>0</v>
      </c>
      <c r="BY62" s="288">
        <f t="shared" si="26"/>
        <v>0</v>
      </c>
      <c r="BZ62" s="288">
        <f t="shared" si="26"/>
        <v>0</v>
      </c>
      <c r="CA62" s="288">
        <f t="shared" si="26"/>
        <v>0</v>
      </c>
      <c r="CB62" s="288">
        <f t="shared" si="39"/>
        <v>0</v>
      </c>
      <c r="CC62" s="288">
        <f t="shared" si="39"/>
        <v>0</v>
      </c>
      <c r="CD62" s="288">
        <f t="shared" si="23"/>
        <v>0</v>
      </c>
      <c r="CE62" s="288">
        <f t="shared" si="42"/>
        <v>0</v>
      </c>
      <c r="CF62" s="288">
        <f t="shared" si="43"/>
        <v>0</v>
      </c>
      <c r="CG62" s="288">
        <f t="shared" si="44"/>
        <v>0</v>
      </c>
      <c r="CH62" s="288">
        <f t="shared" si="45"/>
        <v>0</v>
      </c>
      <c r="CI62" s="288">
        <f t="shared" si="46"/>
        <v>0</v>
      </c>
      <c r="CJ62" s="288">
        <f t="shared" si="47"/>
        <v>0</v>
      </c>
      <c r="CK62" s="288">
        <f t="shared" si="48"/>
        <v>0</v>
      </c>
      <c r="CL62" s="288">
        <f t="shared" si="49"/>
        <v>0</v>
      </c>
      <c r="CM62" s="288">
        <f t="shared" si="50"/>
        <v>0</v>
      </c>
      <c r="CN62" s="288">
        <f t="shared" si="51"/>
        <v>0</v>
      </c>
      <c r="CO62" s="288">
        <f t="shared" si="52"/>
        <v>0</v>
      </c>
      <c r="CP62" s="288">
        <f t="shared" si="53"/>
        <v>0</v>
      </c>
      <c r="CQ62" s="288">
        <f t="shared" si="54"/>
        <v>0</v>
      </c>
      <c r="CR62" s="288">
        <f t="shared" si="55"/>
        <v>0</v>
      </c>
      <c r="CS62" s="288">
        <f t="shared" si="56"/>
        <v>0</v>
      </c>
      <c r="CT62" s="288">
        <f t="shared" si="40"/>
        <v>0</v>
      </c>
      <c r="CU62" s="288">
        <f t="shared" si="30"/>
        <v>0</v>
      </c>
      <c r="CV62" s="288">
        <f t="shared" si="29"/>
        <v>0</v>
      </c>
      <c r="CW62" s="288">
        <f t="shared" si="29"/>
        <v>0</v>
      </c>
      <c r="CX62" s="288">
        <f t="shared" si="21"/>
        <v>0</v>
      </c>
      <c r="CY62" s="288">
        <f t="shared" si="21"/>
        <v>0</v>
      </c>
      <c r="CZ62" s="288">
        <f t="shared" si="21"/>
        <v>0</v>
      </c>
      <c r="DA62" s="288">
        <f t="shared" si="21"/>
        <v>0</v>
      </c>
      <c r="DB62" s="288">
        <f t="shared" si="33"/>
        <v>0</v>
      </c>
      <c r="DC62" s="288">
        <f t="shared" si="33"/>
        <v>0</v>
      </c>
      <c r="DD62" s="288">
        <f t="shared" si="33"/>
        <v>0</v>
      </c>
      <c r="DE62" s="288">
        <f t="shared" si="33"/>
        <v>0</v>
      </c>
      <c r="DG62" s="314">
        <f t="shared" si="3"/>
        <v>62</v>
      </c>
      <c r="DH62" s="289">
        <f>MAX(BJ$3:BJ$109)</f>
        <v>62</v>
      </c>
      <c r="DJ62" s="288">
        <f>LOOKUP(DH62, 'Mortality Table'!A:A,('Mortality Table'!J:J/'Mortality Table'!I:I))</f>
        <v>1.6682169419406052E-2</v>
      </c>
      <c r="DK62" s="288">
        <f>LOOKUP(A62, 'Mortality Table'!A:A,('Mortality Table'!J:J/'Mortality Table'!I:I))</f>
        <v>1.3285136151319646E-2</v>
      </c>
      <c r="DL62" s="288">
        <f t="shared" si="4"/>
        <v>3.3970332680864062E-3</v>
      </c>
      <c r="DN62" s="288">
        <f>LOOKUP(DH62, 'Mortality Table'!A:A,('Mortality Table'!L:L/'Mortality Table'!K:K))</f>
        <v>1.6898362058895902E-2</v>
      </c>
      <c r="DO62" s="288">
        <f>LOOKUP(A62, 'Mortality Table'!A:A,('Mortality Table'!L:L/'Mortality Table'!K:K))</f>
        <v>1.3457304924956174E-2</v>
      </c>
      <c r="DP62" s="288">
        <f t="shared" si="5"/>
        <v>3.4410571339397282E-3</v>
      </c>
      <c r="DR62" s="288">
        <f>LOOKUP(DH62, 'Mortality Table'!A:A,('Mortality Table'!N:N/'Mortality Table'!M:M))</f>
        <v>1.7278147951953742E-2</v>
      </c>
      <c r="DS62" s="288">
        <f>LOOKUP(A62, 'Mortality Table'!A:A,('Mortality Table'!N:N/'Mortality Table'!M:M))</f>
        <v>1.3759754035187279E-2</v>
      </c>
      <c r="DT62" s="288">
        <f t="shared" si="6"/>
        <v>3.518393916766463E-3</v>
      </c>
    </row>
    <row r="63" spans="1:124">
      <c r="A63" s="288">
        <v>60</v>
      </c>
      <c r="B63" s="288">
        <v>1.5656294269942847E-2</v>
      </c>
      <c r="C63" s="288">
        <f t="shared" si="57"/>
        <v>0</v>
      </c>
      <c r="D63" s="288">
        <f t="shared" si="57"/>
        <v>0</v>
      </c>
      <c r="E63" s="288">
        <f t="shared" si="57"/>
        <v>0</v>
      </c>
      <c r="F63" s="288">
        <f t="shared" si="57"/>
        <v>0</v>
      </c>
      <c r="G63" s="288">
        <f t="shared" si="57"/>
        <v>0</v>
      </c>
      <c r="H63" s="288">
        <f t="shared" si="57"/>
        <v>0</v>
      </c>
      <c r="I63" s="288">
        <f t="shared" si="57"/>
        <v>0</v>
      </c>
      <c r="J63" s="288">
        <f t="shared" si="57"/>
        <v>0</v>
      </c>
      <c r="K63" s="288">
        <f t="shared" si="57"/>
        <v>0</v>
      </c>
      <c r="L63" s="288">
        <f t="shared" si="57"/>
        <v>0</v>
      </c>
      <c r="M63" s="288">
        <f t="shared" si="57"/>
        <v>0</v>
      </c>
      <c r="N63" s="288">
        <f t="shared" si="57"/>
        <v>0</v>
      </c>
      <c r="O63" s="288">
        <f t="shared" si="57"/>
        <v>0</v>
      </c>
      <c r="P63" s="288">
        <f t="shared" si="57"/>
        <v>0</v>
      </c>
      <c r="Q63" s="288">
        <f t="shared" si="57"/>
        <v>0</v>
      </c>
      <c r="R63" s="288">
        <f t="shared" si="31"/>
        <v>0</v>
      </c>
      <c r="S63" s="288">
        <f t="shared" si="27"/>
        <v>0</v>
      </c>
      <c r="T63" s="288">
        <f t="shared" si="27"/>
        <v>0</v>
      </c>
      <c r="U63" s="288">
        <f t="shared" si="27"/>
        <v>0</v>
      </c>
      <c r="V63" s="288">
        <f t="shared" si="27"/>
        <v>0</v>
      </c>
      <c r="W63" s="288">
        <f t="shared" si="27"/>
        <v>0</v>
      </c>
      <c r="X63" s="288">
        <f t="shared" si="27"/>
        <v>0</v>
      </c>
      <c r="Y63" s="288">
        <f t="shared" si="27"/>
        <v>0</v>
      </c>
      <c r="Z63" s="288">
        <f t="shared" si="24"/>
        <v>0</v>
      </c>
      <c r="AA63" s="288">
        <f t="shared" si="24"/>
        <v>0</v>
      </c>
      <c r="AB63" s="288">
        <f t="shared" si="24"/>
        <v>0</v>
      </c>
      <c r="AC63" s="288">
        <f t="shared" si="24"/>
        <v>0</v>
      </c>
      <c r="AD63" s="288">
        <f t="shared" si="24"/>
        <v>0</v>
      </c>
      <c r="AE63" s="288">
        <f t="shared" si="24"/>
        <v>0</v>
      </c>
      <c r="AF63" s="288">
        <f t="shared" si="24"/>
        <v>0</v>
      </c>
      <c r="AG63" s="288">
        <f t="shared" si="24"/>
        <v>0</v>
      </c>
      <c r="AH63" s="288">
        <f t="shared" si="24"/>
        <v>0</v>
      </c>
      <c r="AI63" s="288">
        <f t="shared" ref="AI63:AR98" si="58">IF(AI$2&gt;$B63,(IF(AI$2&lt;=$B64,(IF(AVERAGE($B63,$B64)&gt;AI$2,$A63,$A64)),0)),0)</f>
        <v>0</v>
      </c>
      <c r="AJ63" s="288">
        <f t="shared" si="58"/>
        <v>0</v>
      </c>
      <c r="AK63" s="288">
        <f t="shared" si="58"/>
        <v>0</v>
      </c>
      <c r="AL63" s="288">
        <f t="shared" si="58"/>
        <v>0</v>
      </c>
      <c r="AM63" s="288">
        <f t="shared" si="58"/>
        <v>0</v>
      </c>
      <c r="AN63" s="288">
        <f t="shared" si="58"/>
        <v>0</v>
      </c>
      <c r="AO63" s="288">
        <f t="shared" si="58"/>
        <v>0</v>
      </c>
      <c r="AP63" s="288">
        <f t="shared" si="35"/>
        <v>0</v>
      </c>
      <c r="AQ63" s="288">
        <f t="shared" si="36"/>
        <v>0</v>
      </c>
      <c r="AR63" s="288">
        <f t="shared" si="37"/>
        <v>0</v>
      </c>
      <c r="AS63" s="288">
        <f t="shared" si="38"/>
        <v>0</v>
      </c>
      <c r="AT63" s="288">
        <f t="shared" si="34"/>
        <v>0</v>
      </c>
      <c r="AU63" s="288">
        <f t="shared" si="28"/>
        <v>0</v>
      </c>
      <c r="AV63" s="288">
        <f t="shared" si="28"/>
        <v>0</v>
      </c>
      <c r="AW63" s="288">
        <f t="shared" si="28"/>
        <v>0</v>
      </c>
      <c r="AX63" s="288">
        <f t="shared" si="28"/>
        <v>0</v>
      </c>
      <c r="AY63" s="288">
        <f t="shared" si="28"/>
        <v>0</v>
      </c>
      <c r="AZ63" s="288">
        <f t="shared" si="28"/>
        <v>0</v>
      </c>
      <c r="BA63" s="288">
        <f t="shared" si="28"/>
        <v>0</v>
      </c>
      <c r="BB63" s="288">
        <f t="shared" si="28"/>
        <v>0</v>
      </c>
      <c r="BC63" s="288">
        <f t="shared" si="28"/>
        <v>0</v>
      </c>
      <c r="BD63" s="288">
        <f t="shared" si="28"/>
        <v>0</v>
      </c>
      <c r="BE63" s="288">
        <f t="shared" si="28"/>
        <v>0</v>
      </c>
      <c r="BF63" s="288">
        <f t="shared" si="28"/>
        <v>0</v>
      </c>
      <c r="BG63" s="288">
        <f t="shared" si="28"/>
        <v>0</v>
      </c>
      <c r="BH63" s="288">
        <f t="shared" si="28"/>
        <v>0</v>
      </c>
      <c r="BI63" s="288">
        <f t="shared" si="41"/>
        <v>61</v>
      </c>
      <c r="BJ63" s="288">
        <f t="shared" si="41"/>
        <v>0</v>
      </c>
      <c r="BK63" s="288">
        <f t="shared" si="41"/>
        <v>0</v>
      </c>
      <c r="BL63" s="288">
        <f t="shared" si="26"/>
        <v>0</v>
      </c>
      <c r="BM63" s="288">
        <f t="shared" si="26"/>
        <v>0</v>
      </c>
      <c r="BN63" s="288">
        <f t="shared" si="26"/>
        <v>0</v>
      </c>
      <c r="BO63" s="288">
        <f t="shared" si="26"/>
        <v>0</v>
      </c>
      <c r="BP63" s="288">
        <f t="shared" si="26"/>
        <v>0</v>
      </c>
      <c r="BQ63" s="288">
        <f t="shared" si="26"/>
        <v>0</v>
      </c>
      <c r="BR63" s="288">
        <f t="shared" si="26"/>
        <v>0</v>
      </c>
      <c r="BS63" s="288">
        <f t="shared" si="26"/>
        <v>0</v>
      </c>
      <c r="BT63" s="288">
        <f t="shared" si="26"/>
        <v>0</v>
      </c>
      <c r="BU63" s="288">
        <f t="shared" si="26"/>
        <v>0</v>
      </c>
      <c r="BV63" s="288">
        <f t="shared" si="26"/>
        <v>0</v>
      </c>
      <c r="BW63" s="288">
        <f t="shared" si="26"/>
        <v>0</v>
      </c>
      <c r="BX63" s="288">
        <f t="shared" si="26"/>
        <v>0</v>
      </c>
      <c r="BY63" s="288">
        <f t="shared" si="26"/>
        <v>0</v>
      </c>
      <c r="BZ63" s="288">
        <f t="shared" si="26"/>
        <v>0</v>
      </c>
      <c r="CA63" s="288">
        <f t="shared" si="26"/>
        <v>0</v>
      </c>
      <c r="CB63" s="288">
        <f t="shared" si="39"/>
        <v>0</v>
      </c>
      <c r="CC63" s="288">
        <f t="shared" si="39"/>
        <v>0</v>
      </c>
      <c r="CD63" s="288">
        <f t="shared" si="23"/>
        <v>0</v>
      </c>
      <c r="CE63" s="288">
        <f t="shared" si="42"/>
        <v>0</v>
      </c>
      <c r="CF63" s="288">
        <f t="shared" si="43"/>
        <v>0</v>
      </c>
      <c r="CG63" s="288">
        <f t="shared" si="44"/>
        <v>0</v>
      </c>
      <c r="CH63" s="288">
        <f t="shared" si="45"/>
        <v>0</v>
      </c>
      <c r="CI63" s="288">
        <f t="shared" si="46"/>
        <v>0</v>
      </c>
      <c r="CJ63" s="288">
        <f t="shared" si="47"/>
        <v>0</v>
      </c>
      <c r="CK63" s="288">
        <f t="shared" si="48"/>
        <v>0</v>
      </c>
      <c r="CL63" s="288">
        <f t="shared" si="49"/>
        <v>0</v>
      </c>
      <c r="CM63" s="288">
        <f t="shared" si="50"/>
        <v>0</v>
      </c>
      <c r="CN63" s="288">
        <f t="shared" si="51"/>
        <v>0</v>
      </c>
      <c r="CO63" s="288">
        <f t="shared" si="52"/>
        <v>0</v>
      </c>
      <c r="CP63" s="288">
        <f t="shared" si="53"/>
        <v>0</v>
      </c>
      <c r="CQ63" s="288">
        <f t="shared" si="54"/>
        <v>0</v>
      </c>
      <c r="CR63" s="288">
        <f t="shared" si="55"/>
        <v>0</v>
      </c>
      <c r="CS63" s="288">
        <f t="shared" si="56"/>
        <v>0</v>
      </c>
      <c r="CT63" s="288">
        <f t="shared" si="40"/>
        <v>0</v>
      </c>
      <c r="CU63" s="288">
        <f t="shared" si="30"/>
        <v>0</v>
      </c>
      <c r="CV63" s="288">
        <f t="shared" si="29"/>
        <v>0</v>
      </c>
      <c r="CW63" s="288">
        <f t="shared" si="29"/>
        <v>0</v>
      </c>
      <c r="CX63" s="288">
        <f t="shared" si="21"/>
        <v>0</v>
      </c>
      <c r="CY63" s="288">
        <f t="shared" si="21"/>
        <v>0</v>
      </c>
      <c r="CZ63" s="288">
        <f t="shared" si="21"/>
        <v>0</v>
      </c>
      <c r="DA63" s="288">
        <f t="shared" si="21"/>
        <v>0</v>
      </c>
      <c r="DB63" s="288">
        <f t="shared" si="33"/>
        <v>0</v>
      </c>
      <c r="DC63" s="288">
        <f t="shared" si="33"/>
        <v>0</v>
      </c>
      <c r="DD63" s="288">
        <f t="shared" si="33"/>
        <v>0</v>
      </c>
      <c r="DE63" s="288">
        <f t="shared" si="33"/>
        <v>0</v>
      </c>
      <c r="DG63" s="314">
        <f t="shared" si="3"/>
        <v>63</v>
      </c>
      <c r="DH63" s="289">
        <f>MAX(BK$3:BK$109)</f>
        <v>63</v>
      </c>
      <c r="DJ63" s="288">
        <f>LOOKUP(DH63, 'Mortality Table'!A:A,('Mortality Table'!J:J/'Mortality Table'!I:I))</f>
        <v>1.7889249325411149E-2</v>
      </c>
      <c r="DK63" s="288">
        <f>LOOKUP(A63, 'Mortality Table'!A:A,('Mortality Table'!J:J/'Mortality Table'!I:I))</f>
        <v>1.4412787115256362E-2</v>
      </c>
      <c r="DL63" s="288">
        <f t="shared" si="4"/>
        <v>3.4764622101547873E-3</v>
      </c>
      <c r="DN63" s="288">
        <f>LOOKUP(DH63, 'Mortality Table'!A:A,('Mortality Table'!L:L/'Mortality Table'!K:K))</f>
        <v>1.8121085121638836E-2</v>
      </c>
      <c r="DO63" s="288">
        <f>LOOKUP(A63, 'Mortality Table'!A:A,('Mortality Table'!L:L/'Mortality Table'!K:K))</f>
        <v>1.4599569685946964E-2</v>
      </c>
      <c r="DP63" s="288">
        <f t="shared" si="5"/>
        <v>3.5215154356918726E-3</v>
      </c>
      <c r="DR63" s="288">
        <f>LOOKUP(DH63, 'Mortality Table'!A:A,('Mortality Table'!N:N/'Mortality Table'!M:M))</f>
        <v>1.8528351368634382E-2</v>
      </c>
      <c r="DS63" s="288">
        <f>LOOKUP(A63, 'Mortality Table'!A:A,('Mortality Table'!N:N/'Mortality Table'!M:M))</f>
        <v>1.4927690872610627E-2</v>
      </c>
      <c r="DT63" s="288">
        <f t="shared" si="6"/>
        <v>3.6006604960237554E-3</v>
      </c>
    </row>
    <row r="64" spans="1:124">
      <c r="A64" s="288">
        <v>61</v>
      </c>
      <c r="B64" s="288">
        <v>1.6860623805860897E-2</v>
      </c>
      <c r="C64" s="288">
        <f t="shared" si="57"/>
        <v>0</v>
      </c>
      <c r="D64" s="288">
        <f t="shared" si="57"/>
        <v>0</v>
      </c>
      <c r="E64" s="288">
        <f t="shared" si="57"/>
        <v>0</v>
      </c>
      <c r="F64" s="288">
        <f t="shared" si="57"/>
        <v>0</v>
      </c>
      <c r="G64" s="288">
        <f t="shared" si="57"/>
        <v>0</v>
      </c>
      <c r="H64" s="288">
        <f t="shared" si="57"/>
        <v>0</v>
      </c>
      <c r="I64" s="288">
        <f t="shared" si="57"/>
        <v>0</v>
      </c>
      <c r="J64" s="288">
        <f t="shared" si="57"/>
        <v>0</v>
      </c>
      <c r="K64" s="288">
        <f t="shared" si="57"/>
        <v>0</v>
      </c>
      <c r="L64" s="288">
        <f t="shared" si="57"/>
        <v>0</v>
      </c>
      <c r="M64" s="288">
        <f t="shared" si="57"/>
        <v>0</v>
      </c>
      <c r="N64" s="288">
        <f t="shared" si="57"/>
        <v>0</v>
      </c>
      <c r="O64" s="288">
        <f t="shared" si="57"/>
        <v>0</v>
      </c>
      <c r="P64" s="288">
        <f t="shared" si="57"/>
        <v>0</v>
      </c>
      <c r="Q64" s="288">
        <f t="shared" si="57"/>
        <v>0</v>
      </c>
      <c r="R64" s="288">
        <f t="shared" si="31"/>
        <v>0</v>
      </c>
      <c r="S64" s="288">
        <f t="shared" si="27"/>
        <v>0</v>
      </c>
      <c r="T64" s="288">
        <f t="shared" si="27"/>
        <v>0</v>
      </c>
      <c r="U64" s="288">
        <f t="shared" si="27"/>
        <v>0</v>
      </c>
      <c r="V64" s="288">
        <f t="shared" si="27"/>
        <v>0</v>
      </c>
      <c r="W64" s="288">
        <f t="shared" si="27"/>
        <v>0</v>
      </c>
      <c r="X64" s="288">
        <f t="shared" si="27"/>
        <v>0</v>
      </c>
      <c r="Y64" s="288">
        <f t="shared" si="27"/>
        <v>0</v>
      </c>
      <c r="Z64" s="288">
        <f t="shared" si="27"/>
        <v>0</v>
      </c>
      <c r="AA64" s="288">
        <f t="shared" si="27"/>
        <v>0</v>
      </c>
      <c r="AB64" s="288">
        <f t="shared" si="27"/>
        <v>0</v>
      </c>
      <c r="AC64" s="288">
        <f t="shared" si="27"/>
        <v>0</v>
      </c>
      <c r="AD64" s="288">
        <f t="shared" si="27"/>
        <v>0</v>
      </c>
      <c r="AE64" s="288">
        <f t="shared" si="27"/>
        <v>0</v>
      </c>
      <c r="AF64" s="288">
        <f t="shared" si="27"/>
        <v>0</v>
      </c>
      <c r="AG64" s="288">
        <f t="shared" si="27"/>
        <v>0</v>
      </c>
      <c r="AH64" s="288">
        <f t="shared" si="27"/>
        <v>0</v>
      </c>
      <c r="AI64" s="288">
        <f t="shared" si="58"/>
        <v>0</v>
      </c>
      <c r="AJ64" s="288">
        <f t="shared" si="58"/>
        <v>0</v>
      </c>
      <c r="AK64" s="288">
        <f t="shared" si="58"/>
        <v>0</v>
      </c>
      <c r="AL64" s="288">
        <f t="shared" si="58"/>
        <v>0</v>
      </c>
      <c r="AM64" s="288">
        <f t="shared" si="58"/>
        <v>0</v>
      </c>
      <c r="AN64" s="288">
        <f t="shared" si="58"/>
        <v>0</v>
      </c>
      <c r="AO64" s="288">
        <f t="shared" si="58"/>
        <v>0</v>
      </c>
      <c r="AP64" s="288">
        <f t="shared" si="35"/>
        <v>0</v>
      </c>
      <c r="AQ64" s="288">
        <f t="shared" si="36"/>
        <v>0</v>
      </c>
      <c r="AR64" s="288">
        <f t="shared" si="37"/>
        <v>0</v>
      </c>
      <c r="AS64" s="288">
        <f t="shared" si="38"/>
        <v>0</v>
      </c>
      <c r="AT64" s="288">
        <f t="shared" si="34"/>
        <v>0</v>
      </c>
      <c r="AU64" s="288">
        <f t="shared" si="28"/>
        <v>0</v>
      </c>
      <c r="AV64" s="288">
        <f t="shared" si="28"/>
        <v>0</v>
      </c>
      <c r="AW64" s="288">
        <f t="shared" si="28"/>
        <v>0</v>
      </c>
      <c r="AX64" s="288">
        <f t="shared" si="28"/>
        <v>0</v>
      </c>
      <c r="AY64" s="288">
        <f t="shared" si="28"/>
        <v>0</v>
      </c>
      <c r="AZ64" s="288">
        <f t="shared" si="28"/>
        <v>0</v>
      </c>
      <c r="BA64" s="288">
        <f t="shared" si="28"/>
        <v>0</v>
      </c>
      <c r="BB64" s="288">
        <f t="shared" si="28"/>
        <v>0</v>
      </c>
      <c r="BC64" s="288">
        <f t="shared" si="28"/>
        <v>0</v>
      </c>
      <c r="BD64" s="288">
        <f t="shared" si="28"/>
        <v>0</v>
      </c>
      <c r="BE64" s="288">
        <f t="shared" si="28"/>
        <v>0</v>
      </c>
      <c r="BF64" s="288">
        <f t="shared" si="28"/>
        <v>0</v>
      </c>
      <c r="BG64" s="288">
        <f t="shared" si="28"/>
        <v>0</v>
      </c>
      <c r="BH64" s="288">
        <f t="shared" si="28"/>
        <v>0</v>
      </c>
      <c r="BI64" s="288">
        <f t="shared" si="41"/>
        <v>0</v>
      </c>
      <c r="BJ64" s="288">
        <f t="shared" si="41"/>
        <v>62</v>
      </c>
      <c r="BK64" s="288">
        <f t="shared" si="41"/>
        <v>0</v>
      </c>
      <c r="BL64" s="288">
        <f t="shared" si="26"/>
        <v>0</v>
      </c>
      <c r="BM64" s="288">
        <f t="shared" si="26"/>
        <v>0</v>
      </c>
      <c r="BN64" s="288">
        <f t="shared" si="26"/>
        <v>0</v>
      </c>
      <c r="BO64" s="288">
        <f t="shared" si="26"/>
        <v>0</v>
      </c>
      <c r="BP64" s="288">
        <f t="shared" si="26"/>
        <v>0</v>
      </c>
      <c r="BQ64" s="288">
        <f t="shared" si="26"/>
        <v>0</v>
      </c>
      <c r="BR64" s="288">
        <f t="shared" si="26"/>
        <v>0</v>
      </c>
      <c r="BS64" s="288">
        <f t="shared" si="26"/>
        <v>0</v>
      </c>
      <c r="BT64" s="288">
        <f t="shared" si="26"/>
        <v>0</v>
      </c>
      <c r="BU64" s="288">
        <f t="shared" si="26"/>
        <v>0</v>
      </c>
      <c r="BV64" s="288">
        <f t="shared" si="26"/>
        <v>0</v>
      </c>
      <c r="BW64" s="288">
        <f t="shared" si="26"/>
        <v>0</v>
      </c>
      <c r="BX64" s="288">
        <f t="shared" si="26"/>
        <v>0</v>
      </c>
      <c r="BY64" s="288">
        <f t="shared" si="26"/>
        <v>0</v>
      </c>
      <c r="BZ64" s="288">
        <f t="shared" si="26"/>
        <v>0</v>
      </c>
      <c r="CA64" s="288">
        <f t="shared" si="26"/>
        <v>0</v>
      </c>
      <c r="CB64" s="288">
        <f t="shared" si="39"/>
        <v>0</v>
      </c>
      <c r="CC64" s="288">
        <f t="shared" si="39"/>
        <v>0</v>
      </c>
      <c r="CD64" s="288">
        <f t="shared" si="23"/>
        <v>0</v>
      </c>
      <c r="CE64" s="288">
        <f t="shared" si="42"/>
        <v>0</v>
      </c>
      <c r="CF64" s="288">
        <f t="shared" si="43"/>
        <v>0</v>
      </c>
      <c r="CG64" s="288">
        <f t="shared" si="44"/>
        <v>0</v>
      </c>
      <c r="CH64" s="288">
        <f t="shared" si="45"/>
        <v>0</v>
      </c>
      <c r="CI64" s="288">
        <f t="shared" si="46"/>
        <v>0</v>
      </c>
      <c r="CJ64" s="288">
        <f t="shared" si="47"/>
        <v>0</v>
      </c>
      <c r="CK64" s="288">
        <f t="shared" si="48"/>
        <v>0</v>
      </c>
      <c r="CL64" s="288">
        <f t="shared" si="49"/>
        <v>0</v>
      </c>
      <c r="CM64" s="288">
        <f t="shared" si="50"/>
        <v>0</v>
      </c>
      <c r="CN64" s="288">
        <f t="shared" si="51"/>
        <v>0</v>
      </c>
      <c r="CO64" s="288">
        <f t="shared" si="52"/>
        <v>0</v>
      </c>
      <c r="CP64" s="288">
        <f t="shared" si="53"/>
        <v>0</v>
      </c>
      <c r="CQ64" s="288">
        <f t="shared" si="54"/>
        <v>0</v>
      </c>
      <c r="CR64" s="288">
        <f t="shared" si="55"/>
        <v>0</v>
      </c>
      <c r="CS64" s="288">
        <f t="shared" si="56"/>
        <v>0</v>
      </c>
      <c r="CT64" s="288">
        <f t="shared" si="40"/>
        <v>0</v>
      </c>
      <c r="CU64" s="288">
        <f t="shared" si="30"/>
        <v>0</v>
      </c>
      <c r="CV64" s="288">
        <f t="shared" si="29"/>
        <v>0</v>
      </c>
      <c r="CW64" s="288">
        <f t="shared" si="29"/>
        <v>0</v>
      </c>
      <c r="CX64" s="288">
        <f t="shared" si="21"/>
        <v>0</v>
      </c>
      <c r="CY64" s="288">
        <f t="shared" si="21"/>
        <v>0</v>
      </c>
      <c r="CZ64" s="288">
        <f t="shared" si="21"/>
        <v>0</v>
      </c>
      <c r="DA64" s="288">
        <f t="shared" si="21"/>
        <v>0</v>
      </c>
      <c r="DB64" s="288">
        <f t="shared" si="33"/>
        <v>0</v>
      </c>
      <c r="DC64" s="288">
        <f t="shared" si="33"/>
        <v>0</v>
      </c>
      <c r="DD64" s="288">
        <f t="shared" si="33"/>
        <v>0</v>
      </c>
      <c r="DE64" s="288">
        <f t="shared" si="33"/>
        <v>0</v>
      </c>
      <c r="DG64" s="314">
        <f t="shared" si="3"/>
        <v>64</v>
      </c>
      <c r="DH64" s="289">
        <f>MAX(BL$3:BL$109)</f>
        <v>64</v>
      </c>
      <c r="DJ64" s="288">
        <f>LOOKUP(DH64, 'Mortality Table'!A:A,('Mortality Table'!J:J/'Mortality Table'!I:I))</f>
        <v>1.9003932409592514E-2</v>
      </c>
      <c r="DK64" s="288">
        <f>LOOKUP(A64, 'Mortality Table'!A:A,('Mortality Table'!J:J/'Mortality Table'!I:I))</f>
        <v>1.5521462317607773E-2</v>
      </c>
      <c r="DL64" s="288">
        <f t="shared" si="4"/>
        <v>3.4824700919847407E-3</v>
      </c>
      <c r="DN64" s="288">
        <f>LOOKUP(DH64, 'Mortality Table'!A:A,('Mortality Table'!L:L/'Mortality Table'!K:K))</f>
        <v>1.9250213945586098E-2</v>
      </c>
      <c r="DO64" s="288">
        <f>LOOKUP(A64, 'Mortality Table'!A:A,('Mortality Table'!L:L/'Mortality Table'!K:K))</f>
        <v>1.5722612768896364E-2</v>
      </c>
      <c r="DP64" s="288">
        <f t="shared" si="5"/>
        <v>3.527601176689734E-3</v>
      </c>
      <c r="DR64" s="288">
        <f>LOOKUP(DH64, 'Mortality Table'!A:A,('Mortality Table'!N:N/'Mortality Table'!M:M))</f>
        <v>1.9682857042555957E-2</v>
      </c>
      <c r="DS64" s="288">
        <f>LOOKUP(A64, 'Mortality Table'!A:A,('Mortality Table'!N:N/'Mortality Table'!M:M))</f>
        <v>1.6075974030232001E-2</v>
      </c>
      <c r="DT64" s="288">
        <f t="shared" si="6"/>
        <v>3.6068830123239561E-3</v>
      </c>
    </row>
    <row r="65" spans="1:124">
      <c r="A65" s="288">
        <v>62</v>
      </c>
      <c r="B65" s="288">
        <v>1.812147445200207E-2</v>
      </c>
      <c r="C65" s="288">
        <f t="shared" si="57"/>
        <v>0</v>
      </c>
      <c r="D65" s="288">
        <f t="shared" si="57"/>
        <v>0</v>
      </c>
      <c r="E65" s="288">
        <f t="shared" si="57"/>
        <v>0</v>
      </c>
      <c r="F65" s="288">
        <f t="shared" si="57"/>
        <v>0</v>
      </c>
      <c r="G65" s="288">
        <f t="shared" si="57"/>
        <v>0</v>
      </c>
      <c r="H65" s="288">
        <f t="shared" si="57"/>
        <v>0</v>
      </c>
      <c r="I65" s="288">
        <f t="shared" si="57"/>
        <v>0</v>
      </c>
      <c r="J65" s="288">
        <f t="shared" si="57"/>
        <v>0</v>
      </c>
      <c r="K65" s="288">
        <f t="shared" si="57"/>
        <v>0</v>
      </c>
      <c r="L65" s="288">
        <f t="shared" si="57"/>
        <v>0</v>
      </c>
      <c r="M65" s="288">
        <f t="shared" si="57"/>
        <v>0</v>
      </c>
      <c r="N65" s="288">
        <f t="shared" si="57"/>
        <v>0</v>
      </c>
      <c r="O65" s="288">
        <f t="shared" si="57"/>
        <v>0</v>
      </c>
      <c r="P65" s="288">
        <f t="shared" si="57"/>
        <v>0</v>
      </c>
      <c r="Q65" s="288">
        <f t="shared" si="57"/>
        <v>0</v>
      </c>
      <c r="R65" s="288">
        <f t="shared" si="31"/>
        <v>0</v>
      </c>
      <c r="S65" s="288">
        <f t="shared" si="27"/>
        <v>0</v>
      </c>
      <c r="T65" s="288">
        <f t="shared" si="27"/>
        <v>0</v>
      </c>
      <c r="U65" s="288">
        <f t="shared" si="27"/>
        <v>0</v>
      </c>
      <c r="V65" s="288">
        <f t="shared" si="27"/>
        <v>0</v>
      </c>
      <c r="W65" s="288">
        <f t="shared" si="27"/>
        <v>0</v>
      </c>
      <c r="X65" s="288">
        <f t="shared" si="27"/>
        <v>0</v>
      </c>
      <c r="Y65" s="288">
        <f t="shared" si="27"/>
        <v>0</v>
      </c>
      <c r="Z65" s="288">
        <f t="shared" si="27"/>
        <v>0</v>
      </c>
      <c r="AA65" s="288">
        <f t="shared" si="27"/>
        <v>0</v>
      </c>
      <c r="AB65" s="288">
        <f t="shared" si="27"/>
        <v>0</v>
      </c>
      <c r="AC65" s="288">
        <f t="shared" si="27"/>
        <v>0</v>
      </c>
      <c r="AD65" s="288">
        <f t="shared" si="27"/>
        <v>0</v>
      </c>
      <c r="AE65" s="288">
        <f t="shared" si="27"/>
        <v>0</v>
      </c>
      <c r="AF65" s="288">
        <f t="shared" si="27"/>
        <v>0</v>
      </c>
      <c r="AG65" s="288">
        <f t="shared" si="27"/>
        <v>0</v>
      </c>
      <c r="AH65" s="288">
        <f t="shared" si="27"/>
        <v>0</v>
      </c>
      <c r="AI65" s="288">
        <f t="shared" si="58"/>
        <v>0</v>
      </c>
      <c r="AJ65" s="288">
        <f t="shared" si="58"/>
        <v>0</v>
      </c>
      <c r="AK65" s="288">
        <f t="shared" si="58"/>
        <v>0</v>
      </c>
      <c r="AL65" s="288">
        <f t="shared" si="58"/>
        <v>0</v>
      </c>
      <c r="AM65" s="288">
        <f t="shared" si="58"/>
        <v>0</v>
      </c>
      <c r="AN65" s="288">
        <f t="shared" si="58"/>
        <v>0</v>
      </c>
      <c r="AO65" s="288">
        <f t="shared" si="58"/>
        <v>0</v>
      </c>
      <c r="AP65" s="288">
        <f t="shared" si="35"/>
        <v>0</v>
      </c>
      <c r="AQ65" s="288">
        <f t="shared" si="36"/>
        <v>0</v>
      </c>
      <c r="AR65" s="288">
        <f t="shared" si="37"/>
        <v>0</v>
      </c>
      <c r="AS65" s="288">
        <f t="shared" si="38"/>
        <v>0</v>
      </c>
      <c r="AT65" s="288">
        <f t="shared" si="34"/>
        <v>0</v>
      </c>
      <c r="AU65" s="288">
        <f t="shared" si="28"/>
        <v>0</v>
      </c>
      <c r="AV65" s="288">
        <f t="shared" si="28"/>
        <v>0</v>
      </c>
      <c r="AW65" s="288">
        <f t="shared" si="28"/>
        <v>0</v>
      </c>
      <c r="AX65" s="288">
        <f t="shared" si="28"/>
        <v>0</v>
      </c>
      <c r="AY65" s="288">
        <f t="shared" si="28"/>
        <v>0</v>
      </c>
      <c r="AZ65" s="288">
        <f t="shared" si="28"/>
        <v>0</v>
      </c>
      <c r="BA65" s="288">
        <f t="shared" si="28"/>
        <v>0</v>
      </c>
      <c r="BB65" s="288">
        <f t="shared" si="28"/>
        <v>0</v>
      </c>
      <c r="BC65" s="288">
        <f t="shared" si="28"/>
        <v>0</v>
      </c>
      <c r="BD65" s="288">
        <f t="shared" si="28"/>
        <v>0</v>
      </c>
      <c r="BE65" s="288">
        <f t="shared" si="28"/>
        <v>0</v>
      </c>
      <c r="BF65" s="288">
        <f t="shared" si="28"/>
        <v>0</v>
      </c>
      <c r="BG65" s="288">
        <f t="shared" si="28"/>
        <v>0</v>
      </c>
      <c r="BH65" s="288">
        <f t="shared" si="28"/>
        <v>0</v>
      </c>
      <c r="BI65" s="288">
        <f t="shared" si="41"/>
        <v>0</v>
      </c>
      <c r="BJ65" s="288">
        <f t="shared" si="41"/>
        <v>0</v>
      </c>
      <c r="BK65" s="288">
        <f t="shared" si="41"/>
        <v>0</v>
      </c>
      <c r="BL65" s="288">
        <f t="shared" si="26"/>
        <v>0</v>
      </c>
      <c r="BM65" s="288">
        <f t="shared" si="26"/>
        <v>0</v>
      </c>
      <c r="BN65" s="288">
        <f t="shared" si="26"/>
        <v>0</v>
      </c>
      <c r="BO65" s="288">
        <f t="shared" si="26"/>
        <v>0</v>
      </c>
      <c r="BP65" s="288">
        <f t="shared" si="26"/>
        <v>0</v>
      </c>
      <c r="BQ65" s="288">
        <f t="shared" si="26"/>
        <v>0</v>
      </c>
      <c r="BR65" s="288">
        <f t="shared" si="26"/>
        <v>0</v>
      </c>
      <c r="BS65" s="288">
        <f t="shared" si="26"/>
        <v>0</v>
      </c>
      <c r="BT65" s="288">
        <f t="shared" si="26"/>
        <v>0</v>
      </c>
      <c r="BU65" s="288">
        <f t="shared" si="26"/>
        <v>0</v>
      </c>
      <c r="BV65" s="288">
        <f t="shared" si="26"/>
        <v>0</v>
      </c>
      <c r="BW65" s="288">
        <f t="shared" si="26"/>
        <v>0</v>
      </c>
      <c r="BX65" s="288">
        <f t="shared" si="26"/>
        <v>0</v>
      </c>
      <c r="BY65" s="288">
        <f t="shared" si="26"/>
        <v>0</v>
      </c>
      <c r="BZ65" s="288">
        <f t="shared" si="26"/>
        <v>0</v>
      </c>
      <c r="CA65" s="288">
        <f t="shared" si="26"/>
        <v>0</v>
      </c>
      <c r="CB65" s="288">
        <f t="shared" si="39"/>
        <v>0</v>
      </c>
      <c r="CC65" s="288">
        <f t="shared" si="39"/>
        <v>0</v>
      </c>
      <c r="CD65" s="288">
        <f t="shared" si="23"/>
        <v>0</v>
      </c>
      <c r="CE65" s="288">
        <f t="shared" si="42"/>
        <v>0</v>
      </c>
      <c r="CF65" s="288">
        <f t="shared" si="43"/>
        <v>0</v>
      </c>
      <c r="CG65" s="288">
        <f t="shared" si="44"/>
        <v>0</v>
      </c>
      <c r="CH65" s="288">
        <f t="shared" si="45"/>
        <v>0</v>
      </c>
      <c r="CI65" s="288">
        <f t="shared" si="46"/>
        <v>0</v>
      </c>
      <c r="CJ65" s="288">
        <f t="shared" si="47"/>
        <v>0</v>
      </c>
      <c r="CK65" s="288">
        <f t="shared" si="48"/>
        <v>0</v>
      </c>
      <c r="CL65" s="288">
        <f t="shared" si="49"/>
        <v>0</v>
      </c>
      <c r="CM65" s="288">
        <f t="shared" si="50"/>
        <v>0</v>
      </c>
      <c r="CN65" s="288">
        <f t="shared" si="51"/>
        <v>0</v>
      </c>
      <c r="CO65" s="288">
        <f t="shared" si="52"/>
        <v>0</v>
      </c>
      <c r="CP65" s="288">
        <f t="shared" si="53"/>
        <v>0</v>
      </c>
      <c r="CQ65" s="288">
        <f t="shared" si="54"/>
        <v>0</v>
      </c>
      <c r="CR65" s="288">
        <f t="shared" si="55"/>
        <v>0</v>
      </c>
      <c r="CS65" s="288">
        <f t="shared" si="56"/>
        <v>0</v>
      </c>
      <c r="CT65" s="288">
        <f t="shared" si="40"/>
        <v>0</v>
      </c>
      <c r="CU65" s="288">
        <f t="shared" si="30"/>
        <v>0</v>
      </c>
      <c r="CV65" s="288">
        <f t="shared" si="29"/>
        <v>0</v>
      </c>
      <c r="CW65" s="288">
        <f t="shared" si="29"/>
        <v>0</v>
      </c>
      <c r="CX65" s="288">
        <f t="shared" si="21"/>
        <v>0</v>
      </c>
      <c r="CY65" s="288">
        <f t="shared" si="21"/>
        <v>0</v>
      </c>
      <c r="CZ65" s="288">
        <f t="shared" si="21"/>
        <v>0</v>
      </c>
      <c r="DA65" s="288">
        <f t="shared" si="21"/>
        <v>0</v>
      </c>
      <c r="DB65" s="288">
        <f t="shared" si="33"/>
        <v>0</v>
      </c>
      <c r="DC65" s="288">
        <f t="shared" si="33"/>
        <v>0</v>
      </c>
      <c r="DD65" s="288">
        <f t="shared" si="33"/>
        <v>0</v>
      </c>
      <c r="DE65" s="288">
        <f t="shared" si="33"/>
        <v>0</v>
      </c>
      <c r="DG65" s="314">
        <f t="shared" si="3"/>
        <v>65</v>
      </c>
      <c r="DH65" s="289">
        <f>MAX(BM$3:BM$109)</f>
        <v>65</v>
      </c>
      <c r="DJ65" s="288">
        <f>LOOKUP(DH65, 'Mortality Table'!A:A,('Mortality Table'!J:J/'Mortality Table'!I:I))</f>
        <v>2.0266933169736913E-2</v>
      </c>
      <c r="DK65" s="288">
        <f>LOOKUP(A65, 'Mortality Table'!A:A,('Mortality Table'!J:J/'Mortality Table'!I:I))</f>
        <v>1.6682169419406052E-2</v>
      </c>
      <c r="DL65" s="288">
        <f t="shared" si="4"/>
        <v>3.5847637503308612E-3</v>
      </c>
      <c r="DN65" s="288">
        <f>LOOKUP(DH65, 'Mortality Table'!A:A,('Mortality Table'!L:L/'Mortality Table'!K:K))</f>
        <v>2.0529582568995113E-2</v>
      </c>
      <c r="DO65" s="288">
        <f>LOOKUP(A65, 'Mortality Table'!A:A,('Mortality Table'!L:L/'Mortality Table'!K:K))</f>
        <v>1.6898362058895902E-2</v>
      </c>
      <c r="DP65" s="288">
        <f t="shared" si="5"/>
        <v>3.6312205100992104E-3</v>
      </c>
      <c r="DR65" s="288">
        <f>LOOKUP(DH65, 'Mortality Table'!A:A,('Mortality Table'!N:N/'Mortality Table'!M:M))</f>
        <v>2.0990979112807794E-2</v>
      </c>
      <c r="DS65" s="288">
        <f>LOOKUP(A65, 'Mortality Table'!A:A,('Mortality Table'!N:N/'Mortality Table'!M:M))</f>
        <v>1.7278147951953742E-2</v>
      </c>
      <c r="DT65" s="288">
        <f t="shared" si="6"/>
        <v>3.7128311608540521E-3</v>
      </c>
    </row>
    <row r="66" spans="1:124">
      <c r="A66" s="288">
        <v>63</v>
      </c>
      <c r="B66" s="288">
        <v>1.9432698857429279E-2</v>
      </c>
      <c r="C66" s="288">
        <f t="shared" si="57"/>
        <v>0</v>
      </c>
      <c r="D66" s="288">
        <f t="shared" si="57"/>
        <v>0</v>
      </c>
      <c r="E66" s="288">
        <f t="shared" si="57"/>
        <v>0</v>
      </c>
      <c r="F66" s="288">
        <f t="shared" si="57"/>
        <v>0</v>
      </c>
      <c r="G66" s="288">
        <f t="shared" si="57"/>
        <v>0</v>
      </c>
      <c r="H66" s="288">
        <f t="shared" si="57"/>
        <v>0</v>
      </c>
      <c r="I66" s="288">
        <f t="shared" si="57"/>
        <v>0</v>
      </c>
      <c r="J66" s="288">
        <f t="shared" si="57"/>
        <v>0</v>
      </c>
      <c r="K66" s="288">
        <f t="shared" si="57"/>
        <v>0</v>
      </c>
      <c r="L66" s="288">
        <f t="shared" si="57"/>
        <v>0</v>
      </c>
      <c r="M66" s="288">
        <f t="shared" si="57"/>
        <v>0</v>
      </c>
      <c r="N66" s="288">
        <f t="shared" si="57"/>
        <v>0</v>
      </c>
      <c r="O66" s="288">
        <f t="shared" si="57"/>
        <v>0</v>
      </c>
      <c r="P66" s="288">
        <f t="shared" si="57"/>
        <v>0</v>
      </c>
      <c r="Q66" s="288">
        <f t="shared" si="57"/>
        <v>0</v>
      </c>
      <c r="R66" s="288">
        <f t="shared" si="31"/>
        <v>0</v>
      </c>
      <c r="S66" s="288">
        <f t="shared" si="27"/>
        <v>0</v>
      </c>
      <c r="T66" s="288">
        <f t="shared" si="27"/>
        <v>0</v>
      </c>
      <c r="U66" s="288">
        <f t="shared" si="27"/>
        <v>0</v>
      </c>
      <c r="V66" s="288">
        <f t="shared" si="27"/>
        <v>0</v>
      </c>
      <c r="W66" s="288">
        <f t="shared" si="27"/>
        <v>0</v>
      </c>
      <c r="X66" s="288">
        <f t="shared" si="27"/>
        <v>0</v>
      </c>
      <c r="Y66" s="288">
        <f t="shared" si="27"/>
        <v>0</v>
      </c>
      <c r="Z66" s="288">
        <f t="shared" si="27"/>
        <v>0</v>
      </c>
      <c r="AA66" s="288">
        <f t="shared" si="27"/>
        <v>0</v>
      </c>
      <c r="AB66" s="288">
        <f t="shared" si="27"/>
        <v>0</v>
      </c>
      <c r="AC66" s="288">
        <f t="shared" si="27"/>
        <v>0</v>
      </c>
      <c r="AD66" s="288">
        <f t="shared" si="27"/>
        <v>0</v>
      </c>
      <c r="AE66" s="288">
        <f t="shared" si="27"/>
        <v>0</v>
      </c>
      <c r="AF66" s="288">
        <f t="shared" si="27"/>
        <v>0</v>
      </c>
      <c r="AG66" s="288">
        <f t="shared" si="27"/>
        <v>0</v>
      </c>
      <c r="AH66" s="288">
        <f t="shared" si="27"/>
        <v>0</v>
      </c>
      <c r="AI66" s="288">
        <f t="shared" si="58"/>
        <v>0</v>
      </c>
      <c r="AJ66" s="288">
        <f t="shared" si="58"/>
        <v>0</v>
      </c>
      <c r="AK66" s="288">
        <f t="shared" si="58"/>
        <v>0</v>
      </c>
      <c r="AL66" s="288">
        <f t="shared" si="58"/>
        <v>0</v>
      </c>
      <c r="AM66" s="288">
        <f t="shared" si="58"/>
        <v>0</v>
      </c>
      <c r="AN66" s="288">
        <f t="shared" si="58"/>
        <v>0</v>
      </c>
      <c r="AO66" s="288">
        <f t="shared" si="58"/>
        <v>0</v>
      </c>
      <c r="AP66" s="288">
        <f t="shared" si="35"/>
        <v>0</v>
      </c>
      <c r="AQ66" s="288">
        <f t="shared" si="36"/>
        <v>0</v>
      </c>
      <c r="AR66" s="288">
        <f t="shared" si="37"/>
        <v>0</v>
      </c>
      <c r="AS66" s="288">
        <f t="shared" si="38"/>
        <v>0</v>
      </c>
      <c r="AT66" s="288">
        <f t="shared" si="34"/>
        <v>0</v>
      </c>
      <c r="AU66" s="288">
        <f t="shared" si="28"/>
        <v>0</v>
      </c>
      <c r="AV66" s="288">
        <f t="shared" si="28"/>
        <v>0</v>
      </c>
      <c r="AW66" s="288">
        <f t="shared" si="28"/>
        <v>0</v>
      </c>
      <c r="AX66" s="288">
        <f t="shared" si="28"/>
        <v>0</v>
      </c>
      <c r="AY66" s="288">
        <f t="shared" si="28"/>
        <v>0</v>
      </c>
      <c r="AZ66" s="288">
        <f t="shared" si="28"/>
        <v>0</v>
      </c>
      <c r="BA66" s="288">
        <f t="shared" si="28"/>
        <v>0</v>
      </c>
      <c r="BB66" s="288">
        <f t="shared" si="28"/>
        <v>0</v>
      </c>
      <c r="BC66" s="288">
        <f t="shared" si="28"/>
        <v>0</v>
      </c>
      <c r="BD66" s="288">
        <f t="shared" si="28"/>
        <v>0</v>
      </c>
      <c r="BE66" s="288">
        <f t="shared" si="28"/>
        <v>0</v>
      </c>
      <c r="BF66" s="288">
        <f t="shared" si="28"/>
        <v>0</v>
      </c>
      <c r="BG66" s="288">
        <f t="shared" si="28"/>
        <v>0</v>
      </c>
      <c r="BH66" s="288">
        <f t="shared" si="28"/>
        <v>0</v>
      </c>
      <c r="BI66" s="288">
        <f t="shared" si="41"/>
        <v>0</v>
      </c>
      <c r="BJ66" s="288">
        <f t="shared" si="41"/>
        <v>0</v>
      </c>
      <c r="BK66" s="288">
        <f t="shared" si="41"/>
        <v>63</v>
      </c>
      <c r="BL66" s="288">
        <f t="shared" si="26"/>
        <v>0</v>
      </c>
      <c r="BM66" s="288">
        <f t="shared" si="26"/>
        <v>0</v>
      </c>
      <c r="BN66" s="288">
        <f t="shared" si="26"/>
        <v>0</v>
      </c>
      <c r="BO66" s="288">
        <f t="shared" ref="BO66:CD85" si="59">IF(BO$2&gt;$B66,(IF(BO$2&lt;=$B67,(IF(AVERAGE($B66,$B67)&gt;BO$2,$A66,$A67)),0)),0)</f>
        <v>0</v>
      </c>
      <c r="BP66" s="288">
        <f t="shared" si="59"/>
        <v>0</v>
      </c>
      <c r="BQ66" s="288">
        <f t="shared" si="59"/>
        <v>0</v>
      </c>
      <c r="BR66" s="288">
        <f t="shared" si="59"/>
        <v>0</v>
      </c>
      <c r="BS66" s="288">
        <f t="shared" si="59"/>
        <v>0</v>
      </c>
      <c r="BT66" s="288">
        <f t="shared" si="59"/>
        <v>0</v>
      </c>
      <c r="BU66" s="288">
        <f t="shared" si="59"/>
        <v>0</v>
      </c>
      <c r="BV66" s="288">
        <f t="shared" si="59"/>
        <v>0</v>
      </c>
      <c r="BW66" s="288">
        <f t="shared" si="59"/>
        <v>0</v>
      </c>
      <c r="BX66" s="288">
        <f t="shared" si="59"/>
        <v>0</v>
      </c>
      <c r="BY66" s="288">
        <f t="shared" si="59"/>
        <v>0</v>
      </c>
      <c r="BZ66" s="288">
        <f t="shared" si="59"/>
        <v>0</v>
      </c>
      <c r="CA66" s="288">
        <f t="shared" si="59"/>
        <v>0</v>
      </c>
      <c r="CB66" s="288">
        <f t="shared" si="39"/>
        <v>0</v>
      </c>
      <c r="CC66" s="288">
        <f t="shared" si="39"/>
        <v>0</v>
      </c>
      <c r="CD66" s="288">
        <f t="shared" si="23"/>
        <v>0</v>
      </c>
      <c r="CE66" s="288">
        <f t="shared" si="42"/>
        <v>0</v>
      </c>
      <c r="CF66" s="288">
        <f t="shared" si="43"/>
        <v>0</v>
      </c>
      <c r="CG66" s="288">
        <f t="shared" si="44"/>
        <v>0</v>
      </c>
      <c r="CH66" s="288">
        <f t="shared" si="45"/>
        <v>0</v>
      </c>
      <c r="CI66" s="288">
        <f t="shared" si="46"/>
        <v>0</v>
      </c>
      <c r="CJ66" s="288">
        <f t="shared" si="47"/>
        <v>0</v>
      </c>
      <c r="CK66" s="288">
        <f t="shared" si="48"/>
        <v>0</v>
      </c>
      <c r="CL66" s="288">
        <f t="shared" si="49"/>
        <v>0</v>
      </c>
      <c r="CM66" s="288">
        <f t="shared" si="50"/>
        <v>0</v>
      </c>
      <c r="CN66" s="288">
        <f t="shared" si="51"/>
        <v>0</v>
      </c>
      <c r="CO66" s="288">
        <f t="shared" si="52"/>
        <v>0</v>
      </c>
      <c r="CP66" s="288">
        <f t="shared" si="53"/>
        <v>0</v>
      </c>
      <c r="CQ66" s="288">
        <f t="shared" si="54"/>
        <v>0</v>
      </c>
      <c r="CR66" s="288">
        <f t="shared" si="55"/>
        <v>0</v>
      </c>
      <c r="CS66" s="288">
        <f t="shared" si="56"/>
        <v>0</v>
      </c>
      <c r="CT66" s="288">
        <f t="shared" si="40"/>
        <v>0</v>
      </c>
      <c r="CU66" s="288">
        <f t="shared" si="30"/>
        <v>0</v>
      </c>
      <c r="CV66" s="288">
        <f t="shared" si="29"/>
        <v>0</v>
      </c>
      <c r="CW66" s="288">
        <f t="shared" si="29"/>
        <v>0</v>
      </c>
      <c r="CX66" s="288">
        <f t="shared" si="21"/>
        <v>0</v>
      </c>
      <c r="CY66" s="288">
        <f t="shared" si="21"/>
        <v>0</v>
      </c>
      <c r="CZ66" s="288">
        <f t="shared" si="21"/>
        <v>0</v>
      </c>
      <c r="DA66" s="288">
        <f t="shared" si="21"/>
        <v>0</v>
      </c>
      <c r="DB66" s="288">
        <f t="shared" si="33"/>
        <v>0</v>
      </c>
      <c r="DC66" s="288">
        <f t="shared" si="33"/>
        <v>0</v>
      </c>
      <c r="DD66" s="288">
        <f t="shared" si="33"/>
        <v>0</v>
      </c>
      <c r="DE66" s="288">
        <f t="shared" si="33"/>
        <v>0</v>
      </c>
      <c r="DG66" s="314">
        <f t="shared" si="3"/>
        <v>66</v>
      </c>
      <c r="DH66" s="289">
        <f>MAX(BN$3:BN$109)</f>
        <v>66</v>
      </c>
      <c r="DJ66" s="288">
        <f>LOOKUP(DH66, 'Mortality Table'!A:A,('Mortality Table'!J:J/'Mortality Table'!I:I))</f>
        <v>2.1529415285504436E-2</v>
      </c>
      <c r="DK66" s="288">
        <f>LOOKUP(A66, 'Mortality Table'!A:A,('Mortality Table'!J:J/'Mortality Table'!I:I))</f>
        <v>1.7889249325411149E-2</v>
      </c>
      <c r="DL66" s="288">
        <f t="shared" si="4"/>
        <v>3.6401659600932869E-3</v>
      </c>
      <c r="DN66" s="288">
        <f>LOOKUP(DH66, 'Mortality Table'!A:A,('Mortality Table'!L:L/'Mortality Table'!K:K))</f>
        <v>2.180842582665336E-2</v>
      </c>
      <c r="DO66" s="288">
        <f>LOOKUP(A66, 'Mortality Table'!A:A,('Mortality Table'!L:L/'Mortality Table'!K:K))</f>
        <v>1.8121085121638836E-2</v>
      </c>
      <c r="DP66" s="288">
        <f t="shared" si="5"/>
        <v>3.6873407050145232E-3</v>
      </c>
      <c r="DR66" s="288">
        <f>LOOKUP(DH66, 'Mortality Table'!A:A,('Mortality Table'!N:N/'Mortality Table'!M:M))</f>
        <v>2.2298564009862694E-2</v>
      </c>
      <c r="DS66" s="288">
        <f>LOOKUP(A66, 'Mortality Table'!A:A,('Mortality Table'!N:N/'Mortality Table'!M:M))</f>
        <v>1.8528351368634382E-2</v>
      </c>
      <c r="DT66" s="288">
        <f t="shared" si="6"/>
        <v>3.770212641228312E-3</v>
      </c>
    </row>
    <row r="67" spans="1:124">
      <c r="A67" s="288">
        <v>64</v>
      </c>
      <c r="B67" s="288">
        <v>2.0643554623500884E-2</v>
      </c>
      <c r="C67" s="288">
        <f t="shared" si="57"/>
        <v>0</v>
      </c>
      <c r="D67" s="288">
        <f t="shared" si="57"/>
        <v>0</v>
      </c>
      <c r="E67" s="288">
        <f t="shared" si="57"/>
        <v>0</v>
      </c>
      <c r="F67" s="288">
        <f t="shared" si="57"/>
        <v>0</v>
      </c>
      <c r="G67" s="288">
        <f t="shared" si="57"/>
        <v>0</v>
      </c>
      <c r="H67" s="288">
        <f t="shared" si="57"/>
        <v>0</v>
      </c>
      <c r="I67" s="288">
        <f t="shared" si="57"/>
        <v>0</v>
      </c>
      <c r="J67" s="288">
        <f t="shared" si="57"/>
        <v>0</v>
      </c>
      <c r="K67" s="288">
        <f t="shared" si="57"/>
        <v>0</v>
      </c>
      <c r="L67" s="288">
        <f t="shared" si="57"/>
        <v>0</v>
      </c>
      <c r="M67" s="288">
        <f t="shared" si="57"/>
        <v>0</v>
      </c>
      <c r="N67" s="288">
        <f t="shared" si="57"/>
        <v>0</v>
      </c>
      <c r="O67" s="288">
        <f t="shared" si="57"/>
        <v>0</v>
      </c>
      <c r="P67" s="288">
        <f t="shared" si="57"/>
        <v>0</v>
      </c>
      <c r="Q67" s="288">
        <f t="shared" si="57"/>
        <v>0</v>
      </c>
      <c r="R67" s="288">
        <f t="shared" si="31"/>
        <v>0</v>
      </c>
      <c r="S67" s="288">
        <f t="shared" si="27"/>
        <v>0</v>
      </c>
      <c r="T67" s="288">
        <f t="shared" si="27"/>
        <v>0</v>
      </c>
      <c r="U67" s="288">
        <f t="shared" si="27"/>
        <v>0</v>
      </c>
      <c r="V67" s="288">
        <f t="shared" si="27"/>
        <v>0</v>
      </c>
      <c r="W67" s="288">
        <f t="shared" si="27"/>
        <v>0</v>
      </c>
      <c r="X67" s="288">
        <f t="shared" si="27"/>
        <v>0</v>
      </c>
      <c r="Y67" s="288">
        <f t="shared" si="27"/>
        <v>0</v>
      </c>
      <c r="Z67" s="288">
        <f t="shared" si="27"/>
        <v>0</v>
      </c>
      <c r="AA67" s="288">
        <f t="shared" si="27"/>
        <v>0</v>
      </c>
      <c r="AB67" s="288">
        <f t="shared" si="27"/>
        <v>0</v>
      </c>
      <c r="AC67" s="288">
        <f t="shared" si="27"/>
        <v>0</v>
      </c>
      <c r="AD67" s="288">
        <f t="shared" si="27"/>
        <v>0</v>
      </c>
      <c r="AE67" s="288">
        <f t="shared" si="27"/>
        <v>0</v>
      </c>
      <c r="AF67" s="288">
        <f t="shared" si="27"/>
        <v>0</v>
      </c>
      <c r="AG67" s="288">
        <f t="shared" si="27"/>
        <v>0</v>
      </c>
      <c r="AH67" s="288">
        <f t="shared" si="27"/>
        <v>0</v>
      </c>
      <c r="AI67" s="288">
        <f t="shared" si="58"/>
        <v>0</v>
      </c>
      <c r="AJ67" s="288">
        <f t="shared" si="58"/>
        <v>0</v>
      </c>
      <c r="AK67" s="288">
        <f t="shared" si="58"/>
        <v>0</v>
      </c>
      <c r="AL67" s="288">
        <f t="shared" si="58"/>
        <v>0</v>
      </c>
      <c r="AM67" s="288">
        <f t="shared" si="58"/>
        <v>0</v>
      </c>
      <c r="AN67" s="288">
        <f t="shared" si="58"/>
        <v>0</v>
      </c>
      <c r="AO67" s="288">
        <f t="shared" si="58"/>
        <v>0</v>
      </c>
      <c r="AP67" s="288">
        <f t="shared" si="35"/>
        <v>0</v>
      </c>
      <c r="AQ67" s="288">
        <f t="shared" si="36"/>
        <v>0</v>
      </c>
      <c r="AR67" s="288">
        <f t="shared" si="37"/>
        <v>0</v>
      </c>
      <c r="AS67" s="288">
        <f t="shared" si="38"/>
        <v>0</v>
      </c>
      <c r="AT67" s="288">
        <f t="shared" si="34"/>
        <v>0</v>
      </c>
      <c r="AU67" s="288">
        <f t="shared" si="28"/>
        <v>0</v>
      </c>
      <c r="AV67" s="288">
        <f t="shared" si="28"/>
        <v>0</v>
      </c>
      <c r="AW67" s="288">
        <f t="shared" si="28"/>
        <v>0</v>
      </c>
      <c r="AX67" s="288">
        <f t="shared" si="28"/>
        <v>0</v>
      </c>
      <c r="AY67" s="288">
        <f t="shared" si="28"/>
        <v>0</v>
      </c>
      <c r="AZ67" s="288">
        <f t="shared" si="28"/>
        <v>0</v>
      </c>
      <c r="BA67" s="288">
        <f t="shared" si="28"/>
        <v>0</v>
      </c>
      <c r="BB67" s="288">
        <f t="shared" si="28"/>
        <v>0</v>
      </c>
      <c r="BC67" s="288">
        <f t="shared" si="28"/>
        <v>0</v>
      </c>
      <c r="BD67" s="288">
        <f t="shared" si="28"/>
        <v>0</v>
      </c>
      <c r="BE67" s="288">
        <f t="shared" si="28"/>
        <v>0</v>
      </c>
      <c r="BF67" s="288">
        <f t="shared" si="28"/>
        <v>0</v>
      </c>
      <c r="BG67" s="288">
        <f t="shared" si="28"/>
        <v>0</v>
      </c>
      <c r="BH67" s="288">
        <f t="shared" si="28"/>
        <v>0</v>
      </c>
      <c r="BI67" s="288">
        <f t="shared" si="41"/>
        <v>0</v>
      </c>
      <c r="BJ67" s="288">
        <f t="shared" si="41"/>
        <v>0</v>
      </c>
      <c r="BK67" s="288">
        <f t="shared" si="41"/>
        <v>0</v>
      </c>
      <c r="BL67" s="288">
        <f t="shared" si="41"/>
        <v>64</v>
      </c>
      <c r="BM67" s="288">
        <f t="shared" si="41"/>
        <v>0</v>
      </c>
      <c r="BN67" s="288">
        <f t="shared" si="41"/>
        <v>0</v>
      </c>
      <c r="BO67" s="288">
        <f t="shared" si="59"/>
        <v>0</v>
      </c>
      <c r="BP67" s="288">
        <f t="shared" si="59"/>
        <v>0</v>
      </c>
      <c r="BQ67" s="288">
        <f t="shared" si="59"/>
        <v>0</v>
      </c>
      <c r="BR67" s="288">
        <f t="shared" si="59"/>
        <v>0</v>
      </c>
      <c r="BS67" s="288">
        <f t="shared" si="59"/>
        <v>0</v>
      </c>
      <c r="BT67" s="288">
        <f t="shared" si="59"/>
        <v>0</v>
      </c>
      <c r="BU67" s="288">
        <f t="shared" si="59"/>
        <v>0</v>
      </c>
      <c r="BV67" s="288">
        <f t="shared" si="59"/>
        <v>0</v>
      </c>
      <c r="BW67" s="288">
        <f t="shared" si="59"/>
        <v>0</v>
      </c>
      <c r="BX67" s="288">
        <f t="shared" si="59"/>
        <v>0</v>
      </c>
      <c r="BY67" s="288">
        <f t="shared" si="59"/>
        <v>0</v>
      </c>
      <c r="BZ67" s="288">
        <f t="shared" si="59"/>
        <v>0</v>
      </c>
      <c r="CA67" s="288">
        <f t="shared" si="59"/>
        <v>0</v>
      </c>
      <c r="CB67" s="288">
        <f t="shared" si="39"/>
        <v>0</v>
      </c>
      <c r="CC67" s="288">
        <f t="shared" si="39"/>
        <v>0</v>
      </c>
      <c r="CD67" s="288">
        <f t="shared" si="23"/>
        <v>0</v>
      </c>
      <c r="CE67" s="288">
        <f t="shared" si="42"/>
        <v>0</v>
      </c>
      <c r="CF67" s="288">
        <f t="shared" si="43"/>
        <v>0</v>
      </c>
      <c r="CG67" s="288">
        <f t="shared" si="44"/>
        <v>0</v>
      </c>
      <c r="CH67" s="288">
        <f t="shared" si="45"/>
        <v>0</v>
      </c>
      <c r="CI67" s="288">
        <f t="shared" si="46"/>
        <v>0</v>
      </c>
      <c r="CJ67" s="288">
        <f t="shared" si="47"/>
        <v>0</v>
      </c>
      <c r="CK67" s="288">
        <f t="shared" si="48"/>
        <v>0</v>
      </c>
      <c r="CL67" s="288">
        <f t="shared" si="49"/>
        <v>0</v>
      </c>
      <c r="CM67" s="288">
        <f t="shared" si="50"/>
        <v>0</v>
      </c>
      <c r="CN67" s="288">
        <f t="shared" si="51"/>
        <v>0</v>
      </c>
      <c r="CO67" s="288">
        <f t="shared" si="52"/>
        <v>0</v>
      </c>
      <c r="CP67" s="288">
        <f t="shared" si="53"/>
        <v>0</v>
      </c>
      <c r="CQ67" s="288">
        <f t="shared" si="54"/>
        <v>0</v>
      </c>
      <c r="CR67" s="288">
        <f t="shared" si="55"/>
        <v>0</v>
      </c>
      <c r="CS67" s="288">
        <f t="shared" si="56"/>
        <v>0</v>
      </c>
      <c r="CT67" s="288">
        <f t="shared" si="40"/>
        <v>0</v>
      </c>
      <c r="CU67" s="288">
        <f t="shared" si="30"/>
        <v>0</v>
      </c>
      <c r="CV67" s="288">
        <f t="shared" si="29"/>
        <v>0</v>
      </c>
      <c r="CW67" s="288">
        <f t="shared" si="29"/>
        <v>0</v>
      </c>
      <c r="CX67" s="288">
        <f t="shared" si="21"/>
        <v>0</v>
      </c>
      <c r="CY67" s="288">
        <f t="shared" si="21"/>
        <v>0</v>
      </c>
      <c r="CZ67" s="288">
        <f t="shared" si="21"/>
        <v>0</v>
      </c>
      <c r="DA67" s="288">
        <f t="shared" si="21"/>
        <v>0</v>
      </c>
      <c r="DB67" s="288">
        <f t="shared" si="33"/>
        <v>0</v>
      </c>
      <c r="DC67" s="288">
        <f t="shared" si="33"/>
        <v>0</v>
      </c>
      <c r="DD67" s="288">
        <f t="shared" si="33"/>
        <v>0</v>
      </c>
      <c r="DE67" s="288">
        <f t="shared" si="33"/>
        <v>0</v>
      </c>
      <c r="DG67" s="314">
        <f t="shared" si="3"/>
        <v>67</v>
      </c>
      <c r="DH67" s="289">
        <f>MAX(BO$3:BO$109)</f>
        <v>67</v>
      </c>
      <c r="DJ67" s="288">
        <f>LOOKUP(DH67, 'Mortality Table'!A:A,('Mortality Table'!J:J/'Mortality Table'!I:I))</f>
        <v>2.3309115468742411E-2</v>
      </c>
      <c r="DK67" s="288">
        <f>LOOKUP(A67, 'Mortality Table'!A:A,('Mortality Table'!J:J/'Mortality Table'!I:I))</f>
        <v>1.9003932409592514E-2</v>
      </c>
      <c r="DL67" s="288">
        <f t="shared" si="4"/>
        <v>4.3051830591498974E-3</v>
      </c>
      <c r="DN67" s="288">
        <f>LOOKUP(DH67, 'Mortality Table'!A:A,('Mortality Table'!L:L/'Mortality Table'!K:K))</f>
        <v>2.3611190041339623E-2</v>
      </c>
      <c r="DO67" s="288">
        <f>LOOKUP(A67, 'Mortality Table'!A:A,('Mortality Table'!L:L/'Mortality Table'!K:K))</f>
        <v>1.9250213945586098E-2</v>
      </c>
      <c r="DP67" s="288">
        <f t="shared" si="5"/>
        <v>4.3609760957535257E-3</v>
      </c>
      <c r="DR67" s="288">
        <f>LOOKUP(DH67, 'Mortality Table'!A:A,('Mortality Table'!N:N/'Mortality Table'!M:M))</f>
        <v>2.4141844838813792E-2</v>
      </c>
      <c r="DS67" s="288">
        <f>LOOKUP(A67, 'Mortality Table'!A:A,('Mortality Table'!N:N/'Mortality Table'!M:M))</f>
        <v>1.9682857042555957E-2</v>
      </c>
      <c r="DT67" s="288">
        <f t="shared" si="6"/>
        <v>4.458987796257835E-3</v>
      </c>
    </row>
    <row r="68" spans="1:124">
      <c r="A68" s="288">
        <v>65</v>
      </c>
      <c r="B68" s="288">
        <v>2.2015524625267666E-2</v>
      </c>
      <c r="C68" s="288">
        <f t="shared" si="57"/>
        <v>0</v>
      </c>
      <c r="D68" s="288">
        <f t="shared" si="57"/>
        <v>0</v>
      </c>
      <c r="E68" s="288">
        <f t="shared" si="57"/>
        <v>0</v>
      </c>
      <c r="F68" s="288">
        <f t="shared" si="57"/>
        <v>0</v>
      </c>
      <c r="G68" s="288">
        <f t="shared" si="57"/>
        <v>0</v>
      </c>
      <c r="H68" s="288">
        <f t="shared" si="57"/>
        <v>0</v>
      </c>
      <c r="I68" s="288">
        <f t="shared" si="57"/>
        <v>0</v>
      </c>
      <c r="J68" s="288">
        <f t="shared" si="57"/>
        <v>0</v>
      </c>
      <c r="K68" s="288">
        <f t="shared" si="57"/>
        <v>0</v>
      </c>
      <c r="L68" s="288">
        <f t="shared" si="57"/>
        <v>0</v>
      </c>
      <c r="M68" s="288">
        <f t="shared" si="57"/>
        <v>0</v>
      </c>
      <c r="N68" s="288">
        <f t="shared" si="57"/>
        <v>0</v>
      </c>
      <c r="O68" s="288">
        <f t="shared" si="57"/>
        <v>0</v>
      </c>
      <c r="P68" s="288">
        <f t="shared" si="57"/>
        <v>0</v>
      </c>
      <c r="Q68" s="288">
        <f t="shared" si="57"/>
        <v>0</v>
      </c>
      <c r="R68" s="288">
        <f t="shared" si="31"/>
        <v>0</v>
      </c>
      <c r="S68" s="288">
        <f t="shared" si="27"/>
        <v>0</v>
      </c>
      <c r="T68" s="288">
        <f t="shared" si="27"/>
        <v>0</v>
      </c>
      <c r="U68" s="288">
        <f t="shared" si="27"/>
        <v>0</v>
      </c>
      <c r="V68" s="288">
        <f t="shared" si="27"/>
        <v>0</v>
      </c>
      <c r="W68" s="288">
        <f t="shared" si="27"/>
        <v>0</v>
      </c>
      <c r="X68" s="288">
        <f t="shared" si="27"/>
        <v>0</v>
      </c>
      <c r="Y68" s="288">
        <f t="shared" si="27"/>
        <v>0</v>
      </c>
      <c r="Z68" s="288">
        <f t="shared" si="27"/>
        <v>0</v>
      </c>
      <c r="AA68" s="288">
        <f t="shared" si="27"/>
        <v>0</v>
      </c>
      <c r="AB68" s="288">
        <f t="shared" si="27"/>
        <v>0</v>
      </c>
      <c r="AC68" s="288">
        <f t="shared" si="27"/>
        <v>0</v>
      </c>
      <c r="AD68" s="288">
        <f t="shared" si="27"/>
        <v>0</v>
      </c>
      <c r="AE68" s="288">
        <f t="shared" si="27"/>
        <v>0</v>
      </c>
      <c r="AF68" s="288">
        <f t="shared" si="27"/>
        <v>0</v>
      </c>
      <c r="AG68" s="288">
        <f t="shared" si="27"/>
        <v>0</v>
      </c>
      <c r="AH68" s="288">
        <f t="shared" si="27"/>
        <v>0</v>
      </c>
      <c r="AI68" s="288">
        <f t="shared" si="58"/>
        <v>0</v>
      </c>
      <c r="AJ68" s="288">
        <f t="shared" si="58"/>
        <v>0</v>
      </c>
      <c r="AK68" s="288">
        <f t="shared" si="58"/>
        <v>0</v>
      </c>
      <c r="AL68" s="288">
        <f t="shared" si="58"/>
        <v>0</v>
      </c>
      <c r="AM68" s="288">
        <f t="shared" si="58"/>
        <v>0</v>
      </c>
      <c r="AN68" s="288">
        <f t="shared" si="58"/>
        <v>0</v>
      </c>
      <c r="AO68" s="288">
        <f t="shared" si="58"/>
        <v>0</v>
      </c>
      <c r="AP68" s="288">
        <f t="shared" si="35"/>
        <v>0</v>
      </c>
      <c r="AQ68" s="288">
        <f t="shared" si="36"/>
        <v>0</v>
      </c>
      <c r="AR68" s="288">
        <f t="shared" si="37"/>
        <v>0</v>
      </c>
      <c r="AS68" s="288">
        <f t="shared" si="38"/>
        <v>0</v>
      </c>
      <c r="AT68" s="288">
        <f t="shared" si="34"/>
        <v>0</v>
      </c>
      <c r="AU68" s="288">
        <f t="shared" si="28"/>
        <v>0</v>
      </c>
      <c r="AV68" s="288">
        <f t="shared" si="28"/>
        <v>0</v>
      </c>
      <c r="AW68" s="288">
        <f t="shared" si="28"/>
        <v>0</v>
      </c>
      <c r="AX68" s="288">
        <f t="shared" si="28"/>
        <v>0</v>
      </c>
      <c r="AY68" s="288">
        <f t="shared" si="28"/>
        <v>0</v>
      </c>
      <c r="AZ68" s="288">
        <f t="shared" si="28"/>
        <v>0</v>
      </c>
      <c r="BA68" s="288">
        <f t="shared" si="28"/>
        <v>0</v>
      </c>
      <c r="BB68" s="288">
        <f t="shared" si="28"/>
        <v>0</v>
      </c>
      <c r="BC68" s="288">
        <f t="shared" si="28"/>
        <v>0</v>
      </c>
      <c r="BD68" s="288">
        <f t="shared" si="28"/>
        <v>0</v>
      </c>
      <c r="BE68" s="288">
        <f t="shared" si="28"/>
        <v>0</v>
      </c>
      <c r="BF68" s="288">
        <f t="shared" si="28"/>
        <v>0</v>
      </c>
      <c r="BG68" s="288">
        <f t="shared" si="28"/>
        <v>0</v>
      </c>
      <c r="BH68" s="288">
        <f t="shared" si="28"/>
        <v>0</v>
      </c>
      <c r="BI68" s="288">
        <f t="shared" si="41"/>
        <v>0</v>
      </c>
      <c r="BJ68" s="288">
        <f t="shared" si="41"/>
        <v>0</v>
      </c>
      <c r="BK68" s="288">
        <f t="shared" si="41"/>
        <v>0</v>
      </c>
      <c r="BL68" s="288">
        <f t="shared" si="41"/>
        <v>0</v>
      </c>
      <c r="BM68" s="288">
        <f t="shared" si="41"/>
        <v>65</v>
      </c>
      <c r="BN68" s="288">
        <f t="shared" si="41"/>
        <v>0</v>
      </c>
      <c r="BO68" s="288">
        <f t="shared" si="59"/>
        <v>0</v>
      </c>
      <c r="BP68" s="288">
        <f t="shared" si="59"/>
        <v>0</v>
      </c>
      <c r="BQ68" s="288">
        <f t="shared" si="59"/>
        <v>0</v>
      </c>
      <c r="BR68" s="288">
        <f t="shared" si="59"/>
        <v>0</v>
      </c>
      <c r="BS68" s="288">
        <f t="shared" si="59"/>
        <v>0</v>
      </c>
      <c r="BT68" s="288">
        <f t="shared" si="59"/>
        <v>0</v>
      </c>
      <c r="BU68" s="288">
        <f t="shared" si="59"/>
        <v>0</v>
      </c>
      <c r="BV68" s="288">
        <f t="shared" si="59"/>
        <v>0</v>
      </c>
      <c r="BW68" s="288">
        <f t="shared" si="59"/>
        <v>0</v>
      </c>
      <c r="BX68" s="288">
        <f t="shared" si="59"/>
        <v>0</v>
      </c>
      <c r="BY68" s="288">
        <f t="shared" si="59"/>
        <v>0</v>
      </c>
      <c r="BZ68" s="288">
        <f t="shared" si="59"/>
        <v>0</v>
      </c>
      <c r="CA68" s="288">
        <f t="shared" si="59"/>
        <v>0</v>
      </c>
      <c r="CB68" s="288">
        <f t="shared" si="39"/>
        <v>0</v>
      </c>
      <c r="CC68" s="288">
        <f t="shared" si="39"/>
        <v>0</v>
      </c>
      <c r="CD68" s="288">
        <f t="shared" si="23"/>
        <v>0</v>
      </c>
      <c r="CE68" s="288">
        <f t="shared" si="42"/>
        <v>0</v>
      </c>
      <c r="CF68" s="288">
        <f t="shared" si="43"/>
        <v>0</v>
      </c>
      <c r="CG68" s="288">
        <f t="shared" si="44"/>
        <v>0</v>
      </c>
      <c r="CH68" s="288">
        <f t="shared" si="45"/>
        <v>0</v>
      </c>
      <c r="CI68" s="288">
        <f t="shared" si="46"/>
        <v>0</v>
      </c>
      <c r="CJ68" s="288">
        <f t="shared" si="47"/>
        <v>0</v>
      </c>
      <c r="CK68" s="288">
        <f t="shared" si="48"/>
        <v>0</v>
      </c>
      <c r="CL68" s="288">
        <f t="shared" si="49"/>
        <v>0</v>
      </c>
      <c r="CM68" s="288">
        <f t="shared" si="50"/>
        <v>0</v>
      </c>
      <c r="CN68" s="288">
        <f t="shared" si="51"/>
        <v>0</v>
      </c>
      <c r="CO68" s="288">
        <f t="shared" si="52"/>
        <v>0</v>
      </c>
      <c r="CP68" s="288">
        <f t="shared" si="53"/>
        <v>0</v>
      </c>
      <c r="CQ68" s="288">
        <f t="shared" si="54"/>
        <v>0</v>
      </c>
      <c r="CR68" s="288">
        <f t="shared" si="55"/>
        <v>0</v>
      </c>
      <c r="CS68" s="288">
        <f t="shared" si="56"/>
        <v>0</v>
      </c>
      <c r="CT68" s="288">
        <f t="shared" si="40"/>
        <v>0</v>
      </c>
      <c r="CU68" s="288">
        <f t="shared" si="30"/>
        <v>0</v>
      </c>
      <c r="CV68" s="288">
        <f t="shared" si="29"/>
        <v>0</v>
      </c>
      <c r="CW68" s="288">
        <f t="shared" si="29"/>
        <v>0</v>
      </c>
      <c r="CX68" s="288">
        <f t="shared" si="21"/>
        <v>0</v>
      </c>
      <c r="CY68" s="288">
        <f t="shared" si="21"/>
        <v>0</v>
      </c>
      <c r="CZ68" s="288">
        <f t="shared" si="21"/>
        <v>0</v>
      </c>
      <c r="DA68" s="288">
        <f t="shared" si="21"/>
        <v>0</v>
      </c>
      <c r="DB68" s="288">
        <f t="shared" si="33"/>
        <v>0</v>
      </c>
      <c r="DC68" s="288">
        <f t="shared" si="33"/>
        <v>0</v>
      </c>
      <c r="DD68" s="288">
        <f t="shared" si="33"/>
        <v>0</v>
      </c>
      <c r="DE68" s="288">
        <f t="shared" si="33"/>
        <v>0</v>
      </c>
      <c r="DG68" s="314">
        <f t="shared" ref="DG68:DG109" si="60">IF(A$1=0,A68,DH68)</f>
        <v>68</v>
      </c>
      <c r="DH68" s="289">
        <f>MAX(BP$3:BP$109)</f>
        <v>68</v>
      </c>
      <c r="DJ68" s="288">
        <f>LOOKUP(DH68, 'Mortality Table'!A:A,('Mortality Table'!J:J/'Mortality Table'!I:I))</f>
        <v>2.5198379397035751E-2</v>
      </c>
      <c r="DK68" s="288">
        <f>LOOKUP(A68, 'Mortality Table'!A:A,('Mortality Table'!J:J/'Mortality Table'!I:I))</f>
        <v>2.0266933169736913E-2</v>
      </c>
      <c r="DL68" s="288">
        <f t="shared" ref="DL68:DL109" si="61">IF(A$1=0,0,ABS(DK68-DJ68))</f>
        <v>4.9314462272988385E-3</v>
      </c>
      <c r="DN68" s="288">
        <f>LOOKUP(DH68, 'Mortality Table'!A:A,('Mortality Table'!L:L/'Mortality Table'!K:K))</f>
        <v>2.5524937892861536E-2</v>
      </c>
      <c r="DO68" s="288">
        <f>LOOKUP(A68, 'Mortality Table'!A:A,('Mortality Table'!L:L/'Mortality Table'!K:K))</f>
        <v>2.0529582568995113E-2</v>
      </c>
      <c r="DP68" s="288">
        <f t="shared" ref="DP68:DP109" si="62">IF(A$1=0,0,ABS(DO68-DN68))</f>
        <v>4.9953553238664232E-3</v>
      </c>
      <c r="DR68" s="288">
        <f>LOOKUP(DH68, 'Mortality Table'!A:A,('Mortality Table'!N:N/'Mortality Table'!M:M))</f>
        <v>2.6098603630351318E-2</v>
      </c>
      <c r="DS68" s="288">
        <f>LOOKUP(A68, 'Mortality Table'!A:A,('Mortality Table'!N:N/'Mortality Table'!M:M))</f>
        <v>2.0990979112807794E-2</v>
      </c>
      <c r="DT68" s="288">
        <f t="shared" ref="DT68:DT109" si="63">IF(A$1=0,0,ABS(DS68-DR68))</f>
        <v>5.1076245175435235E-3</v>
      </c>
    </row>
    <row r="69" spans="1:124">
      <c r="A69" s="288">
        <v>66</v>
      </c>
      <c r="B69" s="288">
        <v>2.33869312350325E-2</v>
      </c>
      <c r="C69" s="288">
        <f t="shared" si="57"/>
        <v>0</v>
      </c>
      <c r="D69" s="288">
        <f t="shared" si="57"/>
        <v>0</v>
      </c>
      <c r="E69" s="288">
        <f t="shared" si="57"/>
        <v>0</v>
      </c>
      <c r="F69" s="288">
        <f t="shared" si="57"/>
        <v>0</v>
      </c>
      <c r="G69" s="288">
        <f t="shared" si="57"/>
        <v>0</v>
      </c>
      <c r="H69" s="288">
        <f t="shared" si="57"/>
        <v>0</v>
      </c>
      <c r="I69" s="288">
        <f t="shared" si="57"/>
        <v>0</v>
      </c>
      <c r="J69" s="288">
        <f t="shared" si="57"/>
        <v>0</v>
      </c>
      <c r="K69" s="288">
        <f t="shared" si="57"/>
        <v>0</v>
      </c>
      <c r="L69" s="288">
        <f t="shared" si="57"/>
        <v>0</v>
      </c>
      <c r="M69" s="288">
        <f t="shared" si="57"/>
        <v>0</v>
      </c>
      <c r="N69" s="288">
        <f t="shared" si="57"/>
        <v>0</v>
      </c>
      <c r="O69" s="288">
        <f t="shared" si="57"/>
        <v>0</v>
      </c>
      <c r="P69" s="288">
        <f t="shared" si="57"/>
        <v>0</v>
      </c>
      <c r="Q69" s="288">
        <f t="shared" si="57"/>
        <v>0</v>
      </c>
      <c r="R69" s="288">
        <f t="shared" si="31"/>
        <v>0</v>
      </c>
      <c r="S69" s="288">
        <f t="shared" ref="S69:S82" si="64">IF(S$2&gt;$B69,(IF(S$2&lt;=$B70,(IF(AVERAGE($B69,$B70)&gt;S$2,$A69,$A70)),0)),0)</f>
        <v>0</v>
      </c>
      <c r="T69" s="288">
        <f t="shared" ref="T69:T82" si="65">IF(T$2&gt;$B69,(IF(T$2&lt;=$B70,(IF(AVERAGE($B69,$B70)&gt;T$2,$A69,$A70)),0)),0)</f>
        <v>0</v>
      </c>
      <c r="U69" s="288">
        <f t="shared" ref="U69:U82" si="66">IF(U$2&gt;$B69,(IF(U$2&lt;=$B70,(IF(AVERAGE($B69,$B70)&gt;U$2,$A69,$A70)),0)),0)</f>
        <v>0</v>
      </c>
      <c r="V69" s="288">
        <f t="shared" ref="V69:V82" si="67">IF(V$2&gt;$B69,(IF(V$2&lt;=$B70,(IF(AVERAGE($B69,$B70)&gt;V$2,$A69,$A70)),0)),0)</f>
        <v>0</v>
      </c>
      <c r="W69" s="288">
        <f t="shared" ref="W69:W82" si="68">IF(W$2&gt;$B69,(IF(W$2&lt;=$B70,(IF(AVERAGE($B69,$B70)&gt;W$2,$A69,$A70)),0)),0)</f>
        <v>0</v>
      </c>
      <c r="X69" s="288">
        <f t="shared" ref="X69:X82" si="69">IF(X$2&gt;$B69,(IF(X$2&lt;=$B70,(IF(AVERAGE($B69,$B70)&gt;X$2,$A69,$A70)),0)),0)</f>
        <v>0</v>
      </c>
      <c r="Y69" s="288">
        <f t="shared" ref="Y69:Y82" si="70">IF(Y$2&gt;$B69,(IF(Y$2&lt;=$B70,(IF(AVERAGE($B69,$B70)&gt;Y$2,$A69,$A70)),0)),0)</f>
        <v>0</v>
      </c>
      <c r="Z69" s="288">
        <f t="shared" ref="Z69:Z82" si="71">IF(Z$2&gt;$B69,(IF(Z$2&lt;=$B70,(IF(AVERAGE($B69,$B70)&gt;Z$2,$A69,$A70)),0)),0)</f>
        <v>0</v>
      </c>
      <c r="AA69" s="288">
        <f t="shared" ref="AA69:AA82" si="72">IF(AA$2&gt;$B69,(IF(AA$2&lt;=$B70,(IF(AVERAGE($B69,$B70)&gt;AA$2,$A69,$A70)),0)),0)</f>
        <v>0</v>
      </c>
      <c r="AB69" s="288">
        <f t="shared" ref="AB69:AB82" si="73">IF(AB$2&gt;$B69,(IF(AB$2&lt;=$B70,(IF(AVERAGE($B69,$B70)&gt;AB$2,$A69,$A70)),0)),0)</f>
        <v>0</v>
      </c>
      <c r="AC69" s="288">
        <f t="shared" ref="AC69:AC82" si="74">IF(AC$2&gt;$B69,(IF(AC$2&lt;=$B70,(IF(AVERAGE($B69,$B70)&gt;AC$2,$A69,$A70)),0)),0)</f>
        <v>0</v>
      </c>
      <c r="AD69" s="288">
        <f t="shared" ref="AD69:AD82" si="75">IF(AD$2&gt;$B69,(IF(AD$2&lt;=$B70,(IF(AVERAGE($B69,$B70)&gt;AD$2,$A69,$A70)),0)),0)</f>
        <v>0</v>
      </c>
      <c r="AE69" s="288">
        <f t="shared" ref="AE69:AE82" si="76">IF(AE$2&gt;$B69,(IF(AE$2&lt;=$B70,(IF(AVERAGE($B69,$B70)&gt;AE$2,$A69,$A70)),0)),0)</f>
        <v>0</v>
      </c>
      <c r="AF69" s="288">
        <f t="shared" ref="AF69:AF82" si="77">IF(AF$2&gt;$B69,(IF(AF$2&lt;=$B70,(IF(AVERAGE($B69,$B70)&gt;AF$2,$A69,$A70)),0)),0)</f>
        <v>0</v>
      </c>
      <c r="AG69" s="288">
        <f t="shared" ref="AG69:AG82" si="78">IF(AG$2&gt;$B69,(IF(AG$2&lt;=$B70,(IF(AVERAGE($B69,$B70)&gt;AG$2,$A69,$A70)),0)),0)</f>
        <v>0</v>
      </c>
      <c r="AH69" s="288">
        <f t="shared" ref="AH69:AH82" si="79">IF(AH$2&gt;$B69,(IF(AH$2&lt;=$B70,(IF(AVERAGE($B69,$B70)&gt;AH$2,$A69,$A70)),0)),0)</f>
        <v>0</v>
      </c>
      <c r="AI69" s="288">
        <f t="shared" si="58"/>
        <v>0</v>
      </c>
      <c r="AJ69" s="288">
        <f t="shared" si="58"/>
        <v>0</v>
      </c>
      <c r="AK69" s="288">
        <f t="shared" si="58"/>
        <v>0</v>
      </c>
      <c r="AL69" s="288">
        <f t="shared" si="58"/>
        <v>0</v>
      </c>
      <c r="AM69" s="288">
        <f t="shared" si="58"/>
        <v>0</v>
      </c>
      <c r="AN69" s="288">
        <f t="shared" si="58"/>
        <v>0</v>
      </c>
      <c r="AO69" s="288">
        <f t="shared" si="58"/>
        <v>0</v>
      </c>
      <c r="AP69" s="288">
        <f t="shared" si="35"/>
        <v>0</v>
      </c>
      <c r="AQ69" s="288">
        <f t="shared" si="36"/>
        <v>0</v>
      </c>
      <c r="AR69" s="288">
        <f t="shared" si="37"/>
        <v>0</v>
      </c>
      <c r="AS69" s="288">
        <f t="shared" si="38"/>
        <v>0</v>
      </c>
      <c r="AT69" s="288">
        <f t="shared" si="34"/>
        <v>0</v>
      </c>
      <c r="AU69" s="288">
        <f t="shared" si="28"/>
        <v>0</v>
      </c>
      <c r="AV69" s="288">
        <f t="shared" si="28"/>
        <v>0</v>
      </c>
      <c r="AW69" s="288">
        <f t="shared" si="28"/>
        <v>0</v>
      </c>
      <c r="AX69" s="288">
        <f t="shared" si="28"/>
        <v>0</v>
      </c>
      <c r="AY69" s="288">
        <f t="shared" si="28"/>
        <v>0</v>
      </c>
      <c r="AZ69" s="288">
        <f t="shared" si="28"/>
        <v>0</v>
      </c>
      <c r="BA69" s="288">
        <f t="shared" si="28"/>
        <v>0</v>
      </c>
      <c r="BB69" s="288">
        <f t="shared" si="28"/>
        <v>0</v>
      </c>
      <c r="BC69" s="288">
        <f t="shared" si="28"/>
        <v>0</v>
      </c>
      <c r="BD69" s="288">
        <f t="shared" si="28"/>
        <v>0</v>
      </c>
      <c r="BE69" s="288">
        <f t="shared" si="28"/>
        <v>0</v>
      </c>
      <c r="BF69" s="288">
        <f t="shared" si="28"/>
        <v>0</v>
      </c>
      <c r="BG69" s="288">
        <f t="shared" si="28"/>
        <v>0</v>
      </c>
      <c r="BH69" s="288">
        <f t="shared" si="28"/>
        <v>0</v>
      </c>
      <c r="BI69" s="288">
        <f t="shared" si="41"/>
        <v>0</v>
      </c>
      <c r="BJ69" s="288">
        <f t="shared" si="41"/>
        <v>0</v>
      </c>
      <c r="BK69" s="288">
        <f t="shared" si="41"/>
        <v>0</v>
      </c>
      <c r="BL69" s="288">
        <f t="shared" si="41"/>
        <v>0</v>
      </c>
      <c r="BM69" s="288">
        <f t="shared" si="41"/>
        <v>0</v>
      </c>
      <c r="BN69" s="288">
        <f t="shared" si="41"/>
        <v>66</v>
      </c>
      <c r="BO69" s="288">
        <f t="shared" si="59"/>
        <v>0</v>
      </c>
      <c r="BP69" s="288">
        <f t="shared" si="59"/>
        <v>0</v>
      </c>
      <c r="BQ69" s="288">
        <f t="shared" si="59"/>
        <v>0</v>
      </c>
      <c r="BR69" s="288">
        <f t="shared" si="59"/>
        <v>0</v>
      </c>
      <c r="BS69" s="288">
        <f t="shared" si="59"/>
        <v>0</v>
      </c>
      <c r="BT69" s="288">
        <f t="shared" si="59"/>
        <v>0</v>
      </c>
      <c r="BU69" s="288">
        <f t="shared" si="59"/>
        <v>0</v>
      </c>
      <c r="BV69" s="288">
        <f t="shared" si="59"/>
        <v>0</v>
      </c>
      <c r="BW69" s="288">
        <f t="shared" si="59"/>
        <v>0</v>
      </c>
      <c r="BX69" s="288">
        <f t="shared" si="59"/>
        <v>0</v>
      </c>
      <c r="BY69" s="288">
        <f t="shared" si="59"/>
        <v>0</v>
      </c>
      <c r="BZ69" s="288">
        <f t="shared" si="59"/>
        <v>0</v>
      </c>
      <c r="CA69" s="288">
        <f t="shared" si="59"/>
        <v>0</v>
      </c>
      <c r="CB69" s="288">
        <f t="shared" si="39"/>
        <v>0</v>
      </c>
      <c r="CC69" s="288">
        <f t="shared" si="39"/>
        <v>0</v>
      </c>
      <c r="CD69" s="288">
        <f t="shared" si="39"/>
        <v>0</v>
      </c>
      <c r="CE69" s="288">
        <f t="shared" si="39"/>
        <v>0</v>
      </c>
      <c r="CF69" s="288">
        <f t="shared" si="39"/>
        <v>0</v>
      </c>
      <c r="CG69" s="288">
        <f t="shared" si="39"/>
        <v>0</v>
      </c>
      <c r="CH69" s="288">
        <f t="shared" si="39"/>
        <v>0</v>
      </c>
      <c r="CI69" s="288">
        <f t="shared" si="39"/>
        <v>0</v>
      </c>
      <c r="CJ69" s="288">
        <f t="shared" si="39"/>
        <v>0</v>
      </c>
      <c r="CK69" s="288">
        <f t="shared" si="39"/>
        <v>0</v>
      </c>
      <c r="CL69" s="288">
        <f t="shared" si="39"/>
        <v>0</v>
      </c>
      <c r="CM69" s="288">
        <f t="shared" si="39"/>
        <v>0</v>
      </c>
      <c r="CN69" s="288">
        <f t="shared" si="39"/>
        <v>0</v>
      </c>
      <c r="CO69" s="288">
        <f t="shared" si="39"/>
        <v>0</v>
      </c>
      <c r="CP69" s="288">
        <f t="shared" si="39"/>
        <v>0</v>
      </c>
      <c r="CQ69" s="288">
        <f t="shared" ref="CQ69:CQ109" si="80">IF(CQ$2&gt;$B69,(IF(CQ$2&lt;=$B70,(IF(AVERAGE($B69,$B70)&gt;CQ$2,$A69,$A70)),0)),0)</f>
        <v>0</v>
      </c>
      <c r="CR69" s="288">
        <f t="shared" ref="CR69:CR109" si="81">IF(CR$2&gt;$B69,(IF(CR$2&lt;=$B70,(IF(AVERAGE($B69,$B70)&gt;CR$2,$A69,$A70)),0)),0)</f>
        <v>0</v>
      </c>
      <c r="CS69" s="288">
        <f t="shared" ref="CS69:CS109" si="82">IF(CS$2&gt;$B69,(IF(CS$2&lt;=$B70,(IF(AVERAGE($B69,$B70)&gt;CS$2,$A69,$A70)),0)),0)</f>
        <v>0</v>
      </c>
      <c r="CT69" s="288">
        <f t="shared" si="40"/>
        <v>0</v>
      </c>
      <c r="CU69" s="288">
        <f t="shared" si="30"/>
        <v>0</v>
      </c>
      <c r="CV69" s="288">
        <f t="shared" si="29"/>
        <v>0</v>
      </c>
      <c r="CW69" s="288">
        <f t="shared" si="29"/>
        <v>0</v>
      </c>
      <c r="CX69" s="288">
        <f t="shared" si="21"/>
        <v>0</v>
      </c>
      <c r="CY69" s="288">
        <f t="shared" si="21"/>
        <v>0</v>
      </c>
      <c r="CZ69" s="288">
        <f t="shared" si="21"/>
        <v>0</v>
      </c>
      <c r="DA69" s="288">
        <f t="shared" si="21"/>
        <v>0</v>
      </c>
      <c r="DB69" s="288">
        <f t="shared" si="33"/>
        <v>0</v>
      </c>
      <c r="DC69" s="288">
        <f t="shared" si="33"/>
        <v>0</v>
      </c>
      <c r="DD69" s="288">
        <f t="shared" si="33"/>
        <v>0</v>
      </c>
      <c r="DE69" s="288">
        <f t="shared" si="33"/>
        <v>0</v>
      </c>
      <c r="DG69" s="314">
        <f t="shared" si="60"/>
        <v>69</v>
      </c>
      <c r="DH69" s="289">
        <f>MAX(BQ$3:BQ$109)</f>
        <v>69</v>
      </c>
      <c r="DJ69" s="288">
        <f>LOOKUP(DH69, 'Mortality Table'!A:A,('Mortality Table'!J:J/'Mortality Table'!I:I))</f>
        <v>2.7295435422423135E-2</v>
      </c>
      <c r="DK69" s="288">
        <f>LOOKUP(A69, 'Mortality Table'!A:A,('Mortality Table'!J:J/'Mortality Table'!I:I))</f>
        <v>2.1529415285504436E-2</v>
      </c>
      <c r="DL69" s="288">
        <f t="shared" si="61"/>
        <v>5.7660201369186988E-3</v>
      </c>
      <c r="DN69" s="288">
        <f>LOOKUP(DH69, 'Mortality Table'!A:A,('Mortality Table'!L:L/'Mortality Table'!K:K))</f>
        <v>2.7649170723968174E-2</v>
      </c>
      <c r="DO69" s="288">
        <f>LOOKUP(A69, 'Mortality Table'!A:A,('Mortality Table'!L:L/'Mortality Table'!K:K))</f>
        <v>2.180842582665336E-2</v>
      </c>
      <c r="DP69" s="288">
        <f t="shared" si="62"/>
        <v>5.8407448973148146E-3</v>
      </c>
      <c r="DR69" s="288">
        <f>LOOKUP(DH69, 'Mortality Table'!A:A,('Mortality Table'!N:N/'Mortality Table'!M:M))</f>
        <v>2.8270577991673294E-2</v>
      </c>
      <c r="DS69" s="288">
        <f>LOOKUP(A69, 'Mortality Table'!A:A,('Mortality Table'!N:N/'Mortality Table'!M:M))</f>
        <v>2.2298564009862694E-2</v>
      </c>
      <c r="DT69" s="288">
        <f t="shared" si="63"/>
        <v>5.9720139818105998E-3</v>
      </c>
    </row>
    <row r="70" spans="1:124">
      <c r="A70" s="288">
        <v>67</v>
      </c>
      <c r="B70" s="288">
        <v>2.5320180478098815E-2</v>
      </c>
      <c r="C70" s="288">
        <f t="shared" si="57"/>
        <v>0</v>
      </c>
      <c r="D70" s="288">
        <f t="shared" si="57"/>
        <v>0</v>
      </c>
      <c r="E70" s="288">
        <f t="shared" si="57"/>
        <v>0</v>
      </c>
      <c r="F70" s="288">
        <f t="shared" si="57"/>
        <v>0</v>
      </c>
      <c r="G70" s="288">
        <f t="shared" si="57"/>
        <v>0</v>
      </c>
      <c r="H70" s="288">
        <f t="shared" si="57"/>
        <v>0</v>
      </c>
      <c r="I70" s="288">
        <f t="shared" si="57"/>
        <v>0</v>
      </c>
      <c r="J70" s="288">
        <f t="shared" si="57"/>
        <v>0</v>
      </c>
      <c r="K70" s="288">
        <f t="shared" si="57"/>
        <v>0</v>
      </c>
      <c r="L70" s="288">
        <f t="shared" si="57"/>
        <v>0</v>
      </c>
      <c r="M70" s="288">
        <f t="shared" si="57"/>
        <v>0</v>
      </c>
      <c r="N70" s="288">
        <f t="shared" si="57"/>
        <v>0</v>
      </c>
      <c r="O70" s="288">
        <f t="shared" si="57"/>
        <v>0</v>
      </c>
      <c r="P70" s="288">
        <f t="shared" si="57"/>
        <v>0</v>
      </c>
      <c r="Q70" s="288">
        <f t="shared" si="57"/>
        <v>0</v>
      </c>
      <c r="R70" s="288">
        <f t="shared" si="31"/>
        <v>0</v>
      </c>
      <c r="S70" s="288">
        <f t="shared" si="64"/>
        <v>0</v>
      </c>
      <c r="T70" s="288">
        <f t="shared" si="65"/>
        <v>0</v>
      </c>
      <c r="U70" s="288">
        <f t="shared" si="66"/>
        <v>0</v>
      </c>
      <c r="V70" s="288">
        <f t="shared" si="67"/>
        <v>0</v>
      </c>
      <c r="W70" s="288">
        <f t="shared" si="68"/>
        <v>0</v>
      </c>
      <c r="X70" s="288">
        <f t="shared" si="69"/>
        <v>0</v>
      </c>
      <c r="Y70" s="288">
        <f t="shared" si="70"/>
        <v>0</v>
      </c>
      <c r="Z70" s="288">
        <f t="shared" si="71"/>
        <v>0</v>
      </c>
      <c r="AA70" s="288">
        <f t="shared" si="72"/>
        <v>0</v>
      </c>
      <c r="AB70" s="288">
        <f t="shared" si="73"/>
        <v>0</v>
      </c>
      <c r="AC70" s="288">
        <f t="shared" si="74"/>
        <v>0</v>
      </c>
      <c r="AD70" s="288">
        <f t="shared" si="75"/>
        <v>0</v>
      </c>
      <c r="AE70" s="288">
        <f t="shared" si="76"/>
        <v>0</v>
      </c>
      <c r="AF70" s="288">
        <f t="shared" si="77"/>
        <v>0</v>
      </c>
      <c r="AG70" s="288">
        <f t="shared" si="78"/>
        <v>0</v>
      </c>
      <c r="AH70" s="288">
        <f t="shared" si="79"/>
        <v>0</v>
      </c>
      <c r="AI70" s="288">
        <f t="shared" si="58"/>
        <v>0</v>
      </c>
      <c r="AJ70" s="288">
        <f t="shared" si="58"/>
        <v>0</v>
      </c>
      <c r="AK70" s="288">
        <f t="shared" si="58"/>
        <v>0</v>
      </c>
      <c r="AL70" s="288">
        <f t="shared" si="58"/>
        <v>0</v>
      </c>
      <c r="AM70" s="288">
        <f t="shared" si="58"/>
        <v>0</v>
      </c>
      <c r="AN70" s="288">
        <f t="shared" si="58"/>
        <v>0</v>
      </c>
      <c r="AO70" s="288">
        <f t="shared" si="58"/>
        <v>0</v>
      </c>
      <c r="AP70" s="288">
        <f t="shared" si="35"/>
        <v>0</v>
      </c>
      <c r="AQ70" s="288">
        <f t="shared" si="36"/>
        <v>0</v>
      </c>
      <c r="AR70" s="288">
        <f t="shared" si="37"/>
        <v>0</v>
      </c>
      <c r="AS70" s="288">
        <f t="shared" si="38"/>
        <v>0</v>
      </c>
      <c r="AT70" s="288">
        <f t="shared" si="34"/>
        <v>0</v>
      </c>
      <c r="AU70" s="288">
        <f t="shared" si="28"/>
        <v>0</v>
      </c>
      <c r="AV70" s="288">
        <f t="shared" si="28"/>
        <v>0</v>
      </c>
      <c r="AW70" s="288">
        <f t="shared" si="28"/>
        <v>0</v>
      </c>
      <c r="AX70" s="288">
        <f t="shared" si="28"/>
        <v>0</v>
      </c>
      <c r="AY70" s="288">
        <f t="shared" si="28"/>
        <v>0</v>
      </c>
      <c r="AZ70" s="288">
        <f t="shared" si="28"/>
        <v>0</v>
      </c>
      <c r="BA70" s="288">
        <f t="shared" si="28"/>
        <v>0</v>
      </c>
      <c r="BB70" s="288">
        <f t="shared" si="28"/>
        <v>0</v>
      </c>
      <c r="BC70" s="288">
        <f t="shared" si="28"/>
        <v>0</v>
      </c>
      <c r="BD70" s="288">
        <f t="shared" si="28"/>
        <v>0</v>
      </c>
      <c r="BE70" s="288">
        <f t="shared" si="28"/>
        <v>0</v>
      </c>
      <c r="BF70" s="288">
        <f t="shared" si="28"/>
        <v>0</v>
      </c>
      <c r="BG70" s="288">
        <f t="shared" si="28"/>
        <v>0</v>
      </c>
      <c r="BH70" s="288">
        <f t="shared" si="28"/>
        <v>0</v>
      </c>
      <c r="BI70" s="288">
        <f t="shared" si="41"/>
        <v>0</v>
      </c>
      <c r="BJ70" s="288">
        <f t="shared" si="41"/>
        <v>0</v>
      </c>
      <c r="BK70" s="288">
        <f t="shared" si="41"/>
        <v>0</v>
      </c>
      <c r="BL70" s="288">
        <f t="shared" si="41"/>
        <v>0</v>
      </c>
      <c r="BM70" s="288">
        <f t="shared" si="41"/>
        <v>0</v>
      </c>
      <c r="BN70" s="288">
        <f t="shared" si="41"/>
        <v>0</v>
      </c>
      <c r="BO70" s="288">
        <f t="shared" si="59"/>
        <v>67</v>
      </c>
      <c r="BP70" s="288">
        <f t="shared" si="59"/>
        <v>0</v>
      </c>
      <c r="BQ70" s="288">
        <f t="shared" si="59"/>
        <v>0</v>
      </c>
      <c r="BR70" s="288">
        <f t="shared" si="59"/>
        <v>0</v>
      </c>
      <c r="BS70" s="288">
        <f t="shared" si="59"/>
        <v>0</v>
      </c>
      <c r="BT70" s="288">
        <f t="shared" si="59"/>
        <v>0</v>
      </c>
      <c r="BU70" s="288">
        <f t="shared" si="59"/>
        <v>0</v>
      </c>
      <c r="BV70" s="288">
        <f t="shared" si="59"/>
        <v>0</v>
      </c>
      <c r="BW70" s="288">
        <f t="shared" si="59"/>
        <v>0</v>
      </c>
      <c r="BX70" s="288">
        <f t="shared" si="59"/>
        <v>0</v>
      </c>
      <c r="BY70" s="288">
        <f t="shared" si="59"/>
        <v>0</v>
      </c>
      <c r="BZ70" s="288">
        <f t="shared" si="59"/>
        <v>0</v>
      </c>
      <c r="CA70" s="288">
        <f t="shared" si="59"/>
        <v>0</v>
      </c>
      <c r="CB70" s="288">
        <f t="shared" si="39"/>
        <v>0</v>
      </c>
      <c r="CC70" s="288">
        <f t="shared" si="39"/>
        <v>0</v>
      </c>
      <c r="CD70" s="288">
        <f t="shared" si="39"/>
        <v>0</v>
      </c>
      <c r="CE70" s="288">
        <f t="shared" si="39"/>
        <v>0</v>
      </c>
      <c r="CF70" s="288">
        <f t="shared" si="39"/>
        <v>0</v>
      </c>
      <c r="CG70" s="288">
        <f t="shared" si="39"/>
        <v>0</v>
      </c>
      <c r="CH70" s="288">
        <f t="shared" si="39"/>
        <v>0</v>
      </c>
      <c r="CI70" s="288">
        <f t="shared" si="39"/>
        <v>0</v>
      </c>
      <c r="CJ70" s="288">
        <f t="shared" si="39"/>
        <v>0</v>
      </c>
      <c r="CK70" s="288">
        <f t="shared" si="39"/>
        <v>0</v>
      </c>
      <c r="CL70" s="288">
        <f t="shared" si="39"/>
        <v>0</v>
      </c>
      <c r="CM70" s="288">
        <f t="shared" si="39"/>
        <v>0</v>
      </c>
      <c r="CN70" s="288">
        <f t="shared" si="39"/>
        <v>0</v>
      </c>
      <c r="CO70" s="288">
        <f t="shared" si="39"/>
        <v>0</v>
      </c>
      <c r="CP70" s="288">
        <f t="shared" si="39"/>
        <v>0</v>
      </c>
      <c r="CQ70" s="288">
        <f t="shared" si="80"/>
        <v>0</v>
      </c>
      <c r="CR70" s="288">
        <f t="shared" si="81"/>
        <v>0</v>
      </c>
      <c r="CS70" s="288">
        <f t="shared" si="82"/>
        <v>0</v>
      </c>
      <c r="CT70" s="288">
        <f t="shared" si="40"/>
        <v>0</v>
      </c>
      <c r="CU70" s="288">
        <f t="shared" si="30"/>
        <v>0</v>
      </c>
      <c r="CV70" s="288">
        <f t="shared" si="29"/>
        <v>0</v>
      </c>
      <c r="CW70" s="288">
        <f t="shared" si="29"/>
        <v>0</v>
      </c>
      <c r="CX70" s="288">
        <f t="shared" si="21"/>
        <v>0</v>
      </c>
      <c r="CY70" s="288">
        <f t="shared" si="21"/>
        <v>0</v>
      </c>
      <c r="CZ70" s="288">
        <f t="shared" si="21"/>
        <v>0</v>
      </c>
      <c r="DA70" s="288">
        <f t="shared" si="21"/>
        <v>0</v>
      </c>
      <c r="DB70" s="288">
        <f t="shared" si="33"/>
        <v>0</v>
      </c>
      <c r="DC70" s="288">
        <f t="shared" si="33"/>
        <v>0</v>
      </c>
      <c r="DD70" s="288">
        <f t="shared" si="33"/>
        <v>0</v>
      </c>
      <c r="DE70" s="288">
        <f t="shared" si="33"/>
        <v>0</v>
      </c>
      <c r="DG70" s="314">
        <f t="shared" si="60"/>
        <v>70</v>
      </c>
      <c r="DH70" s="289">
        <f>MAX(BR$3:BR$109)</f>
        <v>70</v>
      </c>
      <c r="DJ70" s="288">
        <f>LOOKUP(DH70, 'Mortality Table'!A:A,('Mortality Table'!J:J/'Mortality Table'!I:I))</f>
        <v>2.9531754410484112E-2</v>
      </c>
      <c r="DK70" s="288">
        <f>LOOKUP(A70, 'Mortality Table'!A:A,('Mortality Table'!J:J/'Mortality Table'!I:I))</f>
        <v>2.3309115468742411E-2</v>
      </c>
      <c r="DL70" s="288">
        <f t="shared" si="61"/>
        <v>6.2226389417417011E-3</v>
      </c>
      <c r="DN70" s="288">
        <f>LOOKUP(DH70, 'Mortality Table'!A:A,('Mortality Table'!L:L/'Mortality Table'!K:K))</f>
        <v>2.9914471296654886E-2</v>
      </c>
      <c r="DO70" s="288">
        <f>LOOKUP(A70, 'Mortality Table'!A:A,('Mortality Table'!L:L/'Mortality Table'!K:K))</f>
        <v>2.3611190041339623E-2</v>
      </c>
      <c r="DP70" s="288">
        <f t="shared" si="62"/>
        <v>6.3032812553152628E-3</v>
      </c>
      <c r="DR70" s="288">
        <f>LOOKUP(DH70, 'Mortality Table'!A:A,('Mortality Table'!N:N/'Mortality Table'!M:M))</f>
        <v>3.0586790552045207E-2</v>
      </c>
      <c r="DS70" s="288">
        <f>LOOKUP(A70, 'Mortality Table'!A:A,('Mortality Table'!N:N/'Mortality Table'!M:M))</f>
        <v>2.4141844838813792E-2</v>
      </c>
      <c r="DT70" s="288">
        <f t="shared" si="63"/>
        <v>6.4449457132314154E-3</v>
      </c>
    </row>
    <row r="71" spans="1:124">
      <c r="A71" s="288">
        <v>68</v>
      </c>
      <c r="B71" s="288">
        <v>2.7372446412398107E-2</v>
      </c>
      <c r="C71" s="288">
        <f t="shared" si="57"/>
        <v>0</v>
      </c>
      <c r="D71" s="288">
        <f t="shared" si="57"/>
        <v>0</v>
      </c>
      <c r="E71" s="288">
        <f t="shared" si="57"/>
        <v>0</v>
      </c>
      <c r="F71" s="288">
        <f t="shared" si="57"/>
        <v>0</v>
      </c>
      <c r="G71" s="288">
        <f t="shared" si="57"/>
        <v>0</v>
      </c>
      <c r="H71" s="288">
        <f t="shared" si="57"/>
        <v>0</v>
      </c>
      <c r="I71" s="288">
        <f t="shared" si="57"/>
        <v>0</v>
      </c>
      <c r="J71" s="288">
        <f t="shared" si="57"/>
        <v>0</v>
      </c>
      <c r="K71" s="288">
        <f t="shared" si="57"/>
        <v>0</v>
      </c>
      <c r="L71" s="288">
        <f t="shared" si="57"/>
        <v>0</v>
      </c>
      <c r="M71" s="288">
        <f t="shared" si="57"/>
        <v>0</v>
      </c>
      <c r="N71" s="288">
        <f t="shared" si="57"/>
        <v>0</v>
      </c>
      <c r="O71" s="288">
        <f t="shared" si="57"/>
        <v>0</v>
      </c>
      <c r="P71" s="288">
        <f t="shared" si="57"/>
        <v>0</v>
      </c>
      <c r="Q71" s="288">
        <f t="shared" si="57"/>
        <v>0</v>
      </c>
      <c r="R71" s="288">
        <f t="shared" si="31"/>
        <v>0</v>
      </c>
      <c r="S71" s="288">
        <f t="shared" si="64"/>
        <v>0</v>
      </c>
      <c r="T71" s="288">
        <f t="shared" si="65"/>
        <v>0</v>
      </c>
      <c r="U71" s="288">
        <f t="shared" si="66"/>
        <v>0</v>
      </c>
      <c r="V71" s="288">
        <f t="shared" si="67"/>
        <v>0</v>
      </c>
      <c r="W71" s="288">
        <f t="shared" si="68"/>
        <v>0</v>
      </c>
      <c r="X71" s="288">
        <f t="shared" si="69"/>
        <v>0</v>
      </c>
      <c r="Y71" s="288">
        <f t="shared" si="70"/>
        <v>0</v>
      </c>
      <c r="Z71" s="288">
        <f t="shared" si="71"/>
        <v>0</v>
      </c>
      <c r="AA71" s="288">
        <f t="shared" si="72"/>
        <v>0</v>
      </c>
      <c r="AB71" s="288">
        <f t="shared" si="73"/>
        <v>0</v>
      </c>
      <c r="AC71" s="288">
        <f t="shared" si="74"/>
        <v>0</v>
      </c>
      <c r="AD71" s="288">
        <f t="shared" si="75"/>
        <v>0</v>
      </c>
      <c r="AE71" s="288">
        <f t="shared" si="76"/>
        <v>0</v>
      </c>
      <c r="AF71" s="288">
        <f t="shared" si="77"/>
        <v>0</v>
      </c>
      <c r="AG71" s="288">
        <f t="shared" si="78"/>
        <v>0</v>
      </c>
      <c r="AH71" s="288">
        <f t="shared" si="79"/>
        <v>0</v>
      </c>
      <c r="AI71" s="288">
        <f t="shared" si="58"/>
        <v>0</v>
      </c>
      <c r="AJ71" s="288">
        <f t="shared" si="58"/>
        <v>0</v>
      </c>
      <c r="AK71" s="288">
        <f t="shared" si="58"/>
        <v>0</v>
      </c>
      <c r="AL71" s="288">
        <f t="shared" si="58"/>
        <v>0</v>
      </c>
      <c r="AM71" s="288">
        <f t="shared" si="58"/>
        <v>0</v>
      </c>
      <c r="AN71" s="288">
        <f t="shared" si="58"/>
        <v>0</v>
      </c>
      <c r="AO71" s="288">
        <f t="shared" si="58"/>
        <v>0</v>
      </c>
      <c r="AP71" s="288">
        <f t="shared" si="35"/>
        <v>0</v>
      </c>
      <c r="AQ71" s="288">
        <f t="shared" si="36"/>
        <v>0</v>
      </c>
      <c r="AR71" s="288">
        <f t="shared" si="37"/>
        <v>0</v>
      </c>
      <c r="AS71" s="288">
        <f t="shared" si="38"/>
        <v>0</v>
      </c>
      <c r="AT71" s="288">
        <f t="shared" si="34"/>
        <v>0</v>
      </c>
      <c r="AU71" s="288">
        <f t="shared" si="28"/>
        <v>0</v>
      </c>
      <c r="AV71" s="288">
        <f t="shared" si="28"/>
        <v>0</v>
      </c>
      <c r="AW71" s="288">
        <f t="shared" si="28"/>
        <v>0</v>
      </c>
      <c r="AX71" s="288">
        <f t="shared" si="28"/>
        <v>0</v>
      </c>
      <c r="AY71" s="288">
        <f t="shared" si="28"/>
        <v>0</v>
      </c>
      <c r="AZ71" s="288">
        <f t="shared" si="28"/>
        <v>0</v>
      </c>
      <c r="BA71" s="288">
        <f t="shared" si="28"/>
        <v>0</v>
      </c>
      <c r="BB71" s="288">
        <f t="shared" si="28"/>
        <v>0</v>
      </c>
      <c r="BC71" s="288">
        <f t="shared" si="28"/>
        <v>0</v>
      </c>
      <c r="BD71" s="288">
        <f t="shared" si="28"/>
        <v>0</v>
      </c>
      <c r="BE71" s="288">
        <f t="shared" si="28"/>
        <v>0</v>
      </c>
      <c r="BF71" s="288">
        <f t="shared" si="28"/>
        <v>0</v>
      </c>
      <c r="BG71" s="288">
        <f t="shared" si="28"/>
        <v>0</v>
      </c>
      <c r="BH71" s="288">
        <f t="shared" si="28"/>
        <v>0</v>
      </c>
      <c r="BI71" s="288">
        <f t="shared" si="41"/>
        <v>0</v>
      </c>
      <c r="BJ71" s="288">
        <f t="shared" si="41"/>
        <v>0</v>
      </c>
      <c r="BK71" s="288">
        <f t="shared" si="41"/>
        <v>0</v>
      </c>
      <c r="BL71" s="288">
        <f t="shared" si="41"/>
        <v>0</v>
      </c>
      <c r="BM71" s="288">
        <f t="shared" si="41"/>
        <v>0</v>
      </c>
      <c r="BN71" s="288">
        <f t="shared" si="41"/>
        <v>0</v>
      </c>
      <c r="BO71" s="288">
        <f t="shared" si="59"/>
        <v>0</v>
      </c>
      <c r="BP71" s="288">
        <f t="shared" si="59"/>
        <v>68</v>
      </c>
      <c r="BQ71" s="288">
        <f t="shared" si="59"/>
        <v>69</v>
      </c>
      <c r="BR71" s="288">
        <f t="shared" si="59"/>
        <v>0</v>
      </c>
      <c r="BS71" s="288">
        <f t="shared" si="59"/>
        <v>0</v>
      </c>
      <c r="BT71" s="288">
        <f t="shared" si="59"/>
        <v>0</v>
      </c>
      <c r="BU71" s="288">
        <f t="shared" si="59"/>
        <v>0</v>
      </c>
      <c r="BV71" s="288">
        <f t="shared" si="59"/>
        <v>0</v>
      </c>
      <c r="BW71" s="288">
        <f t="shared" si="59"/>
        <v>0</v>
      </c>
      <c r="BX71" s="288">
        <f t="shared" si="59"/>
        <v>0</v>
      </c>
      <c r="BY71" s="288">
        <f t="shared" si="59"/>
        <v>0</v>
      </c>
      <c r="BZ71" s="288">
        <f t="shared" si="59"/>
        <v>0</v>
      </c>
      <c r="CA71" s="288">
        <f t="shared" si="59"/>
        <v>0</v>
      </c>
      <c r="CB71" s="288">
        <f t="shared" si="39"/>
        <v>0</v>
      </c>
      <c r="CC71" s="288">
        <f t="shared" si="39"/>
        <v>0</v>
      </c>
      <c r="CD71" s="288">
        <f t="shared" si="39"/>
        <v>0</v>
      </c>
      <c r="CE71" s="288">
        <f t="shared" si="39"/>
        <v>0</v>
      </c>
      <c r="CF71" s="288">
        <f t="shared" si="39"/>
        <v>0</v>
      </c>
      <c r="CG71" s="288">
        <f t="shared" si="39"/>
        <v>0</v>
      </c>
      <c r="CH71" s="288">
        <f t="shared" si="39"/>
        <v>0</v>
      </c>
      <c r="CI71" s="288">
        <f t="shared" si="39"/>
        <v>0</v>
      </c>
      <c r="CJ71" s="288">
        <f t="shared" si="39"/>
        <v>0</v>
      </c>
      <c r="CK71" s="288">
        <f t="shared" si="39"/>
        <v>0</v>
      </c>
      <c r="CL71" s="288">
        <f t="shared" si="39"/>
        <v>0</v>
      </c>
      <c r="CM71" s="288">
        <f t="shared" si="39"/>
        <v>0</v>
      </c>
      <c r="CN71" s="288">
        <f t="shared" si="39"/>
        <v>0</v>
      </c>
      <c r="CO71" s="288">
        <f t="shared" si="39"/>
        <v>0</v>
      </c>
      <c r="CP71" s="288">
        <f t="shared" si="39"/>
        <v>0</v>
      </c>
      <c r="CQ71" s="288">
        <f t="shared" si="80"/>
        <v>0</v>
      </c>
      <c r="CR71" s="288">
        <f t="shared" si="81"/>
        <v>0</v>
      </c>
      <c r="CS71" s="288">
        <f t="shared" si="82"/>
        <v>0</v>
      </c>
      <c r="CT71" s="288">
        <f t="shared" si="40"/>
        <v>0</v>
      </c>
      <c r="CU71" s="288">
        <f t="shared" si="30"/>
        <v>0</v>
      </c>
      <c r="CV71" s="288">
        <f t="shared" si="29"/>
        <v>0</v>
      </c>
      <c r="CW71" s="288">
        <f t="shared" si="29"/>
        <v>0</v>
      </c>
      <c r="CX71" s="288">
        <f t="shared" si="21"/>
        <v>0</v>
      </c>
      <c r="CY71" s="288">
        <f t="shared" si="21"/>
        <v>0</v>
      </c>
      <c r="CZ71" s="288">
        <f t="shared" si="21"/>
        <v>0</v>
      </c>
      <c r="DA71" s="288">
        <f t="shared" si="21"/>
        <v>0</v>
      </c>
      <c r="DB71" s="288">
        <f t="shared" si="33"/>
        <v>0</v>
      </c>
      <c r="DC71" s="288">
        <f t="shared" si="33"/>
        <v>0</v>
      </c>
      <c r="DD71" s="288">
        <f t="shared" si="33"/>
        <v>0</v>
      </c>
      <c r="DE71" s="288">
        <f t="shared" si="33"/>
        <v>0</v>
      </c>
      <c r="DG71" s="314">
        <f t="shared" si="60"/>
        <v>71</v>
      </c>
      <c r="DH71" s="289">
        <f>MAX(BS$3:BS$109)</f>
        <v>71</v>
      </c>
      <c r="DJ71" s="288">
        <f>LOOKUP(DH71, 'Mortality Table'!A:A,('Mortality Table'!J:J/'Mortality Table'!I:I))</f>
        <v>3.2712611730865961E-2</v>
      </c>
      <c r="DK71" s="288">
        <f>LOOKUP(A71, 'Mortality Table'!A:A,('Mortality Table'!J:J/'Mortality Table'!I:I))</f>
        <v>2.5198379397035751E-2</v>
      </c>
      <c r="DL71" s="288">
        <f t="shared" si="61"/>
        <v>7.5142323338302092E-3</v>
      </c>
      <c r="DN71" s="288">
        <f>LOOKUP(DH71, 'Mortality Table'!A:A,('Mortality Table'!L:L/'Mortality Table'!K:K))</f>
        <v>3.3136550949854841E-2</v>
      </c>
      <c r="DO71" s="288">
        <f>LOOKUP(A71, 'Mortality Table'!A:A,('Mortality Table'!L:L/'Mortality Table'!K:K))</f>
        <v>2.5524937892861536E-2</v>
      </c>
      <c r="DP71" s="288">
        <f t="shared" si="62"/>
        <v>7.6116130569933056E-3</v>
      </c>
      <c r="DR71" s="288">
        <f>LOOKUP(DH71, 'Mortality Table'!A:A,('Mortality Table'!N:N/'Mortality Table'!M:M))</f>
        <v>3.3881285531318112E-2</v>
      </c>
      <c r="DS71" s="288">
        <f>LOOKUP(A71, 'Mortality Table'!A:A,('Mortality Table'!N:N/'Mortality Table'!M:M))</f>
        <v>2.6098603630351318E-2</v>
      </c>
      <c r="DT71" s="288">
        <f t="shared" si="63"/>
        <v>7.7826819009667939E-3</v>
      </c>
    </row>
    <row r="72" spans="1:124">
      <c r="A72" s="288">
        <v>69</v>
      </c>
      <c r="B72" s="288">
        <v>2.9650432340551328E-2</v>
      </c>
      <c r="C72" s="288">
        <f t="shared" si="57"/>
        <v>0</v>
      </c>
      <c r="D72" s="288">
        <f t="shared" si="57"/>
        <v>0</v>
      </c>
      <c r="E72" s="288">
        <f t="shared" si="57"/>
        <v>0</v>
      </c>
      <c r="F72" s="288">
        <f t="shared" si="57"/>
        <v>0</v>
      </c>
      <c r="G72" s="288">
        <f t="shared" si="57"/>
        <v>0</v>
      </c>
      <c r="H72" s="288">
        <f t="shared" si="57"/>
        <v>0</v>
      </c>
      <c r="I72" s="288">
        <f t="shared" si="57"/>
        <v>0</v>
      </c>
      <c r="J72" s="288">
        <f t="shared" si="57"/>
        <v>0</v>
      </c>
      <c r="K72" s="288">
        <f t="shared" si="57"/>
        <v>0</v>
      </c>
      <c r="L72" s="288">
        <f t="shared" si="57"/>
        <v>0</v>
      </c>
      <c r="M72" s="288">
        <f t="shared" si="57"/>
        <v>0</v>
      </c>
      <c r="N72" s="288">
        <f t="shared" si="57"/>
        <v>0</v>
      </c>
      <c r="O72" s="288">
        <f t="shared" si="57"/>
        <v>0</v>
      </c>
      <c r="P72" s="288">
        <f t="shared" si="57"/>
        <v>0</v>
      </c>
      <c r="Q72" s="288">
        <f t="shared" si="57"/>
        <v>0</v>
      </c>
      <c r="R72" s="288">
        <f t="shared" si="31"/>
        <v>0</v>
      </c>
      <c r="S72" s="288">
        <f t="shared" si="64"/>
        <v>0</v>
      </c>
      <c r="T72" s="288">
        <f t="shared" si="65"/>
        <v>0</v>
      </c>
      <c r="U72" s="288">
        <f t="shared" si="66"/>
        <v>0</v>
      </c>
      <c r="V72" s="288">
        <f t="shared" si="67"/>
        <v>0</v>
      </c>
      <c r="W72" s="288">
        <f t="shared" si="68"/>
        <v>0</v>
      </c>
      <c r="X72" s="288">
        <f t="shared" si="69"/>
        <v>0</v>
      </c>
      <c r="Y72" s="288">
        <f t="shared" si="70"/>
        <v>0</v>
      </c>
      <c r="Z72" s="288">
        <f t="shared" si="71"/>
        <v>0</v>
      </c>
      <c r="AA72" s="288">
        <f t="shared" si="72"/>
        <v>0</v>
      </c>
      <c r="AB72" s="288">
        <f t="shared" si="73"/>
        <v>0</v>
      </c>
      <c r="AC72" s="288">
        <f t="shared" si="74"/>
        <v>0</v>
      </c>
      <c r="AD72" s="288">
        <f t="shared" si="75"/>
        <v>0</v>
      </c>
      <c r="AE72" s="288">
        <f t="shared" si="76"/>
        <v>0</v>
      </c>
      <c r="AF72" s="288">
        <f t="shared" si="77"/>
        <v>0</v>
      </c>
      <c r="AG72" s="288">
        <f t="shared" si="78"/>
        <v>0</v>
      </c>
      <c r="AH72" s="288">
        <f t="shared" si="79"/>
        <v>0</v>
      </c>
      <c r="AI72" s="288">
        <f t="shared" si="58"/>
        <v>0</v>
      </c>
      <c r="AJ72" s="288">
        <f t="shared" si="58"/>
        <v>0</v>
      </c>
      <c r="AK72" s="288">
        <f t="shared" si="58"/>
        <v>0</v>
      </c>
      <c r="AL72" s="288">
        <f t="shared" si="58"/>
        <v>0</v>
      </c>
      <c r="AM72" s="288">
        <f t="shared" si="58"/>
        <v>0</v>
      </c>
      <c r="AN72" s="288">
        <f t="shared" si="58"/>
        <v>0</v>
      </c>
      <c r="AO72" s="288">
        <f t="shared" si="58"/>
        <v>0</v>
      </c>
      <c r="AP72" s="288">
        <f t="shared" si="35"/>
        <v>0</v>
      </c>
      <c r="AQ72" s="288">
        <f t="shared" si="36"/>
        <v>0</v>
      </c>
      <c r="AR72" s="288">
        <f t="shared" si="37"/>
        <v>0</v>
      </c>
      <c r="AS72" s="288">
        <f t="shared" si="38"/>
        <v>0</v>
      </c>
      <c r="AT72" s="288">
        <f t="shared" si="34"/>
        <v>0</v>
      </c>
      <c r="AU72" s="288">
        <f t="shared" si="28"/>
        <v>0</v>
      </c>
      <c r="AV72" s="288">
        <f t="shared" ref="AV72:BH91" si="83">IF(AV$2&gt;$B72,(IF(AV$2&lt;=$B73,(IF(AVERAGE($B72,$B73)&gt;AV$2,$A72,$A73)),0)),0)</f>
        <v>0</v>
      </c>
      <c r="AW72" s="288">
        <f t="shared" si="83"/>
        <v>0</v>
      </c>
      <c r="AX72" s="288">
        <f t="shared" si="83"/>
        <v>0</v>
      </c>
      <c r="AY72" s="288">
        <f t="shared" si="83"/>
        <v>0</v>
      </c>
      <c r="AZ72" s="288">
        <f t="shared" si="83"/>
        <v>0</v>
      </c>
      <c r="BA72" s="288">
        <f t="shared" si="83"/>
        <v>0</v>
      </c>
      <c r="BB72" s="288">
        <f t="shared" si="83"/>
        <v>0</v>
      </c>
      <c r="BC72" s="288">
        <f t="shared" si="83"/>
        <v>0</v>
      </c>
      <c r="BD72" s="288">
        <f t="shared" si="83"/>
        <v>0</v>
      </c>
      <c r="BE72" s="288">
        <f t="shared" si="83"/>
        <v>0</v>
      </c>
      <c r="BF72" s="288">
        <f t="shared" si="83"/>
        <v>0</v>
      </c>
      <c r="BG72" s="288">
        <f t="shared" si="83"/>
        <v>0</v>
      </c>
      <c r="BH72" s="288">
        <f t="shared" si="83"/>
        <v>0</v>
      </c>
      <c r="BI72" s="288">
        <f t="shared" si="41"/>
        <v>0</v>
      </c>
      <c r="BJ72" s="288">
        <f t="shared" si="41"/>
        <v>0</v>
      </c>
      <c r="BK72" s="288">
        <f t="shared" si="41"/>
        <v>0</v>
      </c>
      <c r="BL72" s="288">
        <f t="shared" si="41"/>
        <v>0</v>
      </c>
      <c r="BM72" s="288">
        <f t="shared" si="41"/>
        <v>0</v>
      </c>
      <c r="BN72" s="288">
        <f t="shared" si="41"/>
        <v>0</v>
      </c>
      <c r="BO72" s="288">
        <f t="shared" si="59"/>
        <v>0</v>
      </c>
      <c r="BP72" s="288">
        <f t="shared" si="59"/>
        <v>0</v>
      </c>
      <c r="BQ72" s="288">
        <f t="shared" si="59"/>
        <v>0</v>
      </c>
      <c r="BR72" s="288">
        <f t="shared" si="59"/>
        <v>70</v>
      </c>
      <c r="BS72" s="288">
        <f t="shared" si="59"/>
        <v>0</v>
      </c>
      <c r="BT72" s="288">
        <f t="shared" si="59"/>
        <v>0</v>
      </c>
      <c r="BU72" s="288">
        <f t="shared" si="59"/>
        <v>0</v>
      </c>
      <c r="BV72" s="288">
        <f t="shared" si="59"/>
        <v>0</v>
      </c>
      <c r="BW72" s="288">
        <f t="shared" si="59"/>
        <v>0</v>
      </c>
      <c r="BX72" s="288">
        <f t="shared" si="59"/>
        <v>0</v>
      </c>
      <c r="BY72" s="288">
        <f t="shared" si="59"/>
        <v>0</v>
      </c>
      <c r="BZ72" s="288">
        <f t="shared" si="59"/>
        <v>0</v>
      </c>
      <c r="CA72" s="288">
        <f t="shared" si="59"/>
        <v>0</v>
      </c>
      <c r="CB72" s="288">
        <f t="shared" si="39"/>
        <v>0</v>
      </c>
      <c r="CC72" s="288">
        <f t="shared" si="39"/>
        <v>0</v>
      </c>
      <c r="CD72" s="288">
        <f t="shared" si="39"/>
        <v>0</v>
      </c>
      <c r="CE72" s="288">
        <f t="shared" si="39"/>
        <v>0</v>
      </c>
      <c r="CF72" s="288">
        <f t="shared" si="39"/>
        <v>0</v>
      </c>
      <c r="CG72" s="288">
        <f t="shared" si="39"/>
        <v>0</v>
      </c>
      <c r="CH72" s="288">
        <f t="shared" si="39"/>
        <v>0</v>
      </c>
      <c r="CI72" s="288">
        <f t="shared" si="39"/>
        <v>0</v>
      </c>
      <c r="CJ72" s="288">
        <f t="shared" si="39"/>
        <v>0</v>
      </c>
      <c r="CK72" s="288">
        <f t="shared" si="39"/>
        <v>0</v>
      </c>
      <c r="CL72" s="288">
        <f t="shared" si="39"/>
        <v>0</v>
      </c>
      <c r="CM72" s="288">
        <f t="shared" si="39"/>
        <v>0</v>
      </c>
      <c r="CN72" s="288">
        <f t="shared" si="39"/>
        <v>0</v>
      </c>
      <c r="CO72" s="288">
        <f t="shared" si="39"/>
        <v>0</v>
      </c>
      <c r="CP72" s="288">
        <f t="shared" si="39"/>
        <v>0</v>
      </c>
      <c r="CQ72" s="288">
        <f t="shared" si="80"/>
        <v>0</v>
      </c>
      <c r="CR72" s="288">
        <f t="shared" si="81"/>
        <v>0</v>
      </c>
      <c r="CS72" s="288">
        <f t="shared" si="82"/>
        <v>0</v>
      </c>
      <c r="CT72" s="288">
        <f t="shared" si="40"/>
        <v>0</v>
      </c>
      <c r="CU72" s="288">
        <f t="shared" si="30"/>
        <v>0</v>
      </c>
      <c r="CV72" s="288">
        <f t="shared" si="29"/>
        <v>0</v>
      </c>
      <c r="CW72" s="288">
        <f t="shared" si="29"/>
        <v>0</v>
      </c>
      <c r="CX72" s="288">
        <f t="shared" si="21"/>
        <v>0</v>
      </c>
      <c r="CY72" s="288">
        <f t="shared" si="21"/>
        <v>0</v>
      </c>
      <c r="CZ72" s="288">
        <f t="shared" si="21"/>
        <v>0</v>
      </c>
      <c r="DA72" s="288">
        <f t="shared" si="21"/>
        <v>0</v>
      </c>
      <c r="DB72" s="288">
        <f t="shared" si="33"/>
        <v>0</v>
      </c>
      <c r="DC72" s="288">
        <f t="shared" si="33"/>
        <v>0</v>
      </c>
      <c r="DD72" s="288">
        <f t="shared" si="33"/>
        <v>0</v>
      </c>
      <c r="DE72" s="288">
        <f t="shared" si="33"/>
        <v>0</v>
      </c>
      <c r="DG72" s="314">
        <f t="shared" si="60"/>
        <v>71</v>
      </c>
      <c r="DH72" s="289">
        <f>MAX(BT$3:BT$109)</f>
        <v>71</v>
      </c>
      <c r="DJ72" s="288">
        <f>LOOKUP(DH72, 'Mortality Table'!A:A,('Mortality Table'!J:J/'Mortality Table'!I:I))</f>
        <v>3.2712611730865961E-2</v>
      </c>
      <c r="DK72" s="288">
        <f>LOOKUP(A72, 'Mortality Table'!A:A,('Mortality Table'!J:J/'Mortality Table'!I:I))</f>
        <v>2.7295435422423135E-2</v>
      </c>
      <c r="DL72" s="288">
        <f t="shared" si="61"/>
        <v>5.4171763084428261E-3</v>
      </c>
      <c r="DN72" s="288">
        <f>LOOKUP(DH72, 'Mortality Table'!A:A,('Mortality Table'!L:L/'Mortality Table'!K:K))</f>
        <v>3.3136550949854841E-2</v>
      </c>
      <c r="DO72" s="288">
        <f>LOOKUP(A72, 'Mortality Table'!A:A,('Mortality Table'!L:L/'Mortality Table'!K:K))</f>
        <v>2.7649170723968174E-2</v>
      </c>
      <c r="DP72" s="288">
        <f t="shared" si="62"/>
        <v>5.487380225886667E-3</v>
      </c>
      <c r="DR72" s="288">
        <f>LOOKUP(DH72, 'Mortality Table'!A:A,('Mortality Table'!N:N/'Mortality Table'!M:M))</f>
        <v>3.3881285531318112E-2</v>
      </c>
      <c r="DS72" s="288">
        <f>LOOKUP(A72, 'Mortality Table'!A:A,('Mortality Table'!N:N/'Mortality Table'!M:M))</f>
        <v>2.8270577991673294E-2</v>
      </c>
      <c r="DT72" s="288">
        <f t="shared" si="63"/>
        <v>5.6107075396448179E-3</v>
      </c>
    </row>
    <row r="73" spans="1:124">
      <c r="A73" s="288">
        <v>70</v>
      </c>
      <c r="B73" s="288">
        <v>3.2079696568112236E-2</v>
      </c>
      <c r="C73" s="288">
        <f t="shared" si="57"/>
        <v>0</v>
      </c>
      <c r="D73" s="288">
        <f t="shared" si="57"/>
        <v>0</v>
      </c>
      <c r="E73" s="288">
        <f t="shared" si="57"/>
        <v>0</v>
      </c>
      <c r="F73" s="288">
        <f t="shared" si="57"/>
        <v>0</v>
      </c>
      <c r="G73" s="288">
        <f t="shared" si="57"/>
        <v>0</v>
      </c>
      <c r="H73" s="288">
        <f t="shared" si="57"/>
        <v>0</v>
      </c>
      <c r="I73" s="288">
        <f t="shared" si="57"/>
        <v>0</v>
      </c>
      <c r="J73" s="288">
        <f t="shared" si="57"/>
        <v>0</v>
      </c>
      <c r="K73" s="288">
        <f t="shared" si="57"/>
        <v>0</v>
      </c>
      <c r="L73" s="288">
        <f t="shared" si="57"/>
        <v>0</v>
      </c>
      <c r="M73" s="288">
        <f t="shared" si="57"/>
        <v>0</v>
      </c>
      <c r="N73" s="288">
        <f t="shared" si="57"/>
        <v>0</v>
      </c>
      <c r="O73" s="288">
        <f t="shared" si="57"/>
        <v>0</v>
      </c>
      <c r="P73" s="288">
        <f t="shared" si="57"/>
        <v>0</v>
      </c>
      <c r="Q73" s="288">
        <f t="shared" si="57"/>
        <v>0</v>
      </c>
      <c r="R73" s="288">
        <f t="shared" si="31"/>
        <v>0</v>
      </c>
      <c r="S73" s="288">
        <f t="shared" si="64"/>
        <v>0</v>
      </c>
      <c r="T73" s="288">
        <f t="shared" si="65"/>
        <v>0</v>
      </c>
      <c r="U73" s="288">
        <f t="shared" si="66"/>
        <v>0</v>
      </c>
      <c r="V73" s="288">
        <f t="shared" si="67"/>
        <v>0</v>
      </c>
      <c r="W73" s="288">
        <f t="shared" si="68"/>
        <v>0</v>
      </c>
      <c r="X73" s="288">
        <f t="shared" si="69"/>
        <v>0</v>
      </c>
      <c r="Y73" s="288">
        <f t="shared" si="70"/>
        <v>0</v>
      </c>
      <c r="Z73" s="288">
        <f t="shared" si="71"/>
        <v>0</v>
      </c>
      <c r="AA73" s="288">
        <f t="shared" si="72"/>
        <v>0</v>
      </c>
      <c r="AB73" s="288">
        <f t="shared" si="73"/>
        <v>0</v>
      </c>
      <c r="AC73" s="288">
        <f t="shared" si="74"/>
        <v>0</v>
      </c>
      <c r="AD73" s="288">
        <f t="shared" si="75"/>
        <v>0</v>
      </c>
      <c r="AE73" s="288">
        <f t="shared" si="76"/>
        <v>0</v>
      </c>
      <c r="AF73" s="288">
        <f t="shared" si="77"/>
        <v>0</v>
      </c>
      <c r="AG73" s="288">
        <f t="shared" si="78"/>
        <v>0</v>
      </c>
      <c r="AH73" s="288">
        <f t="shared" si="79"/>
        <v>0</v>
      </c>
      <c r="AI73" s="288">
        <f t="shared" si="58"/>
        <v>0</v>
      </c>
      <c r="AJ73" s="288">
        <f t="shared" si="58"/>
        <v>0</v>
      </c>
      <c r="AK73" s="288">
        <f t="shared" si="58"/>
        <v>0</v>
      </c>
      <c r="AL73" s="288">
        <f t="shared" si="58"/>
        <v>0</v>
      </c>
      <c r="AM73" s="288">
        <f t="shared" si="58"/>
        <v>0</v>
      </c>
      <c r="AN73" s="288">
        <f t="shared" si="58"/>
        <v>0</v>
      </c>
      <c r="AO73" s="288">
        <f t="shared" si="58"/>
        <v>0</v>
      </c>
      <c r="AP73" s="288">
        <f t="shared" si="35"/>
        <v>0</v>
      </c>
      <c r="AQ73" s="288">
        <f t="shared" si="36"/>
        <v>0</v>
      </c>
      <c r="AR73" s="288">
        <f t="shared" si="37"/>
        <v>0</v>
      </c>
      <c r="AS73" s="288">
        <f t="shared" si="38"/>
        <v>0</v>
      </c>
      <c r="AT73" s="288">
        <f t="shared" si="34"/>
        <v>0</v>
      </c>
      <c r="AU73" s="288">
        <f t="shared" si="34"/>
        <v>0</v>
      </c>
      <c r="AV73" s="288">
        <f t="shared" si="83"/>
        <v>0</v>
      </c>
      <c r="AW73" s="288">
        <f t="shared" si="83"/>
        <v>0</v>
      </c>
      <c r="AX73" s="288">
        <f t="shared" si="83"/>
        <v>0</v>
      </c>
      <c r="AY73" s="288">
        <f t="shared" si="83"/>
        <v>0</v>
      </c>
      <c r="AZ73" s="288">
        <f t="shared" si="83"/>
        <v>0</v>
      </c>
      <c r="BA73" s="288">
        <f t="shared" si="83"/>
        <v>0</v>
      </c>
      <c r="BB73" s="288">
        <f t="shared" si="83"/>
        <v>0</v>
      </c>
      <c r="BC73" s="288">
        <f t="shared" si="83"/>
        <v>0</v>
      </c>
      <c r="BD73" s="288">
        <f t="shared" si="83"/>
        <v>0</v>
      </c>
      <c r="BE73" s="288">
        <f t="shared" si="83"/>
        <v>0</v>
      </c>
      <c r="BF73" s="288">
        <f t="shared" si="83"/>
        <v>0</v>
      </c>
      <c r="BG73" s="288">
        <f t="shared" si="83"/>
        <v>0</v>
      </c>
      <c r="BH73" s="288">
        <f t="shared" si="83"/>
        <v>0</v>
      </c>
      <c r="BI73" s="288">
        <f t="shared" si="41"/>
        <v>0</v>
      </c>
      <c r="BJ73" s="288">
        <f t="shared" si="41"/>
        <v>0</v>
      </c>
      <c r="BK73" s="288">
        <f t="shared" si="41"/>
        <v>0</v>
      </c>
      <c r="BL73" s="288">
        <f t="shared" si="41"/>
        <v>0</v>
      </c>
      <c r="BM73" s="288">
        <f t="shared" si="41"/>
        <v>0</v>
      </c>
      <c r="BN73" s="288">
        <f t="shared" si="41"/>
        <v>0</v>
      </c>
      <c r="BO73" s="288">
        <f t="shared" si="59"/>
        <v>0</v>
      </c>
      <c r="BP73" s="288">
        <f t="shared" si="59"/>
        <v>0</v>
      </c>
      <c r="BQ73" s="288">
        <f t="shared" si="59"/>
        <v>0</v>
      </c>
      <c r="BR73" s="288">
        <f t="shared" si="59"/>
        <v>0</v>
      </c>
      <c r="BS73" s="288">
        <f t="shared" si="59"/>
        <v>71</v>
      </c>
      <c r="BT73" s="288">
        <f t="shared" si="59"/>
        <v>0</v>
      </c>
      <c r="BU73" s="288">
        <f t="shared" si="59"/>
        <v>0</v>
      </c>
      <c r="BV73" s="288">
        <f t="shared" si="59"/>
        <v>0</v>
      </c>
      <c r="BW73" s="288">
        <f t="shared" si="59"/>
        <v>0</v>
      </c>
      <c r="BX73" s="288">
        <f t="shared" si="59"/>
        <v>0</v>
      </c>
      <c r="BY73" s="288">
        <f t="shared" si="59"/>
        <v>0</v>
      </c>
      <c r="BZ73" s="288">
        <f t="shared" si="59"/>
        <v>0</v>
      </c>
      <c r="CA73" s="288">
        <f t="shared" si="59"/>
        <v>0</v>
      </c>
      <c r="CB73" s="288">
        <f t="shared" si="39"/>
        <v>0</v>
      </c>
      <c r="CC73" s="288">
        <f t="shared" si="39"/>
        <v>0</v>
      </c>
      <c r="CD73" s="288">
        <f t="shared" si="39"/>
        <v>0</v>
      </c>
      <c r="CE73" s="288">
        <f t="shared" si="39"/>
        <v>0</v>
      </c>
      <c r="CF73" s="288">
        <f t="shared" si="39"/>
        <v>0</v>
      </c>
      <c r="CG73" s="288">
        <f t="shared" si="39"/>
        <v>0</v>
      </c>
      <c r="CH73" s="288">
        <f t="shared" si="39"/>
        <v>0</v>
      </c>
      <c r="CI73" s="288">
        <f t="shared" si="39"/>
        <v>0</v>
      </c>
      <c r="CJ73" s="288">
        <f t="shared" si="39"/>
        <v>0</v>
      </c>
      <c r="CK73" s="288">
        <f t="shared" si="39"/>
        <v>0</v>
      </c>
      <c r="CL73" s="288">
        <f t="shared" si="39"/>
        <v>0</v>
      </c>
      <c r="CM73" s="288">
        <f t="shared" si="39"/>
        <v>0</v>
      </c>
      <c r="CN73" s="288">
        <f t="shared" si="39"/>
        <v>0</v>
      </c>
      <c r="CO73" s="288">
        <f t="shared" si="39"/>
        <v>0</v>
      </c>
      <c r="CP73" s="288">
        <f t="shared" si="39"/>
        <v>0</v>
      </c>
      <c r="CQ73" s="288">
        <f t="shared" si="80"/>
        <v>0</v>
      </c>
      <c r="CR73" s="288">
        <f t="shared" si="81"/>
        <v>0</v>
      </c>
      <c r="CS73" s="288">
        <f t="shared" si="82"/>
        <v>0</v>
      </c>
      <c r="CT73" s="288">
        <f t="shared" si="40"/>
        <v>0</v>
      </c>
      <c r="CU73" s="288">
        <f t="shared" ref="CU73:CU109" si="84">IF(CU$2&gt;$B73,(IF(CU$2&lt;=$B74,(IF(AVERAGE($B73,$B74)&gt;CU$2,$A73,$A74)),0)),0)</f>
        <v>0</v>
      </c>
      <c r="CV73" s="288">
        <f t="shared" si="29"/>
        <v>0</v>
      </c>
      <c r="CW73" s="288">
        <f t="shared" si="29"/>
        <v>0</v>
      </c>
      <c r="CX73" s="288">
        <f t="shared" si="21"/>
        <v>0</v>
      </c>
      <c r="CY73" s="288">
        <f t="shared" si="21"/>
        <v>0</v>
      </c>
      <c r="CZ73" s="288">
        <f t="shared" si="21"/>
        <v>0</v>
      </c>
      <c r="DA73" s="288">
        <f t="shared" si="21"/>
        <v>0</v>
      </c>
      <c r="DB73" s="288">
        <f t="shared" si="33"/>
        <v>0</v>
      </c>
      <c r="DC73" s="288">
        <f t="shared" si="33"/>
        <v>0</v>
      </c>
      <c r="DD73" s="288">
        <f t="shared" si="33"/>
        <v>0</v>
      </c>
      <c r="DE73" s="288">
        <f t="shared" si="33"/>
        <v>0</v>
      </c>
      <c r="DG73" s="314">
        <f t="shared" si="60"/>
        <v>72</v>
      </c>
      <c r="DH73" s="289">
        <f>MAX(BU$3:BU$109)</f>
        <v>72</v>
      </c>
      <c r="DJ73" s="288">
        <f>LOOKUP(DH73, 'Mortality Table'!A:A,('Mortality Table'!J:J/'Mortality Table'!I:I))</f>
        <v>3.5660343361191525E-2</v>
      </c>
      <c r="DK73" s="288">
        <f>LOOKUP(A73, 'Mortality Table'!A:A,('Mortality Table'!J:J/'Mortality Table'!I:I))</f>
        <v>2.9531754410484112E-2</v>
      </c>
      <c r="DL73" s="288">
        <f t="shared" si="61"/>
        <v>6.1285889507074129E-3</v>
      </c>
      <c r="DN73" s="288">
        <f>LOOKUP(DH73, 'Mortality Table'!A:A,('Mortality Table'!L:L/'Mortality Table'!K:K))</f>
        <v>3.6122483719711204E-2</v>
      </c>
      <c r="DO73" s="288">
        <f>LOOKUP(A73, 'Mortality Table'!A:A,('Mortality Table'!L:L/'Mortality Table'!K:K))</f>
        <v>2.9914471296654886E-2</v>
      </c>
      <c r="DP73" s="288">
        <f t="shared" si="62"/>
        <v>6.208012423056318E-3</v>
      </c>
      <c r="DR73" s="288">
        <f>LOOKUP(DH73, 'Mortality Table'!A:A,('Mortality Table'!N:N/'Mortality Table'!M:M))</f>
        <v>3.6934326293041282E-2</v>
      </c>
      <c r="DS73" s="288">
        <f>LOOKUP(A73, 'Mortality Table'!A:A,('Mortality Table'!N:N/'Mortality Table'!M:M))</f>
        <v>3.0586790552045207E-2</v>
      </c>
      <c r="DT73" s="288">
        <f t="shared" si="63"/>
        <v>6.3475357409960749E-3</v>
      </c>
    </row>
    <row r="74" spans="1:124">
      <c r="A74" s="288">
        <v>71</v>
      </c>
      <c r="B74" s="288">
        <v>3.553499205262578E-2</v>
      </c>
      <c r="C74" s="288">
        <f t="shared" si="57"/>
        <v>0</v>
      </c>
      <c r="D74" s="288">
        <f t="shared" si="57"/>
        <v>0</v>
      </c>
      <c r="E74" s="288">
        <f t="shared" si="57"/>
        <v>0</v>
      </c>
      <c r="F74" s="288">
        <f t="shared" si="57"/>
        <v>0</v>
      </c>
      <c r="G74" s="288">
        <f t="shared" si="57"/>
        <v>0</v>
      </c>
      <c r="H74" s="288">
        <f t="shared" si="57"/>
        <v>0</v>
      </c>
      <c r="I74" s="288">
        <f t="shared" si="57"/>
        <v>0</v>
      </c>
      <c r="J74" s="288">
        <f t="shared" si="57"/>
        <v>0</v>
      </c>
      <c r="K74" s="288">
        <f t="shared" si="57"/>
        <v>0</v>
      </c>
      <c r="L74" s="288">
        <f t="shared" si="57"/>
        <v>0</v>
      </c>
      <c r="M74" s="288">
        <f t="shared" si="57"/>
        <v>0</v>
      </c>
      <c r="N74" s="288">
        <f t="shared" si="57"/>
        <v>0</v>
      </c>
      <c r="O74" s="288">
        <f t="shared" si="57"/>
        <v>0</v>
      </c>
      <c r="P74" s="288">
        <f t="shared" si="57"/>
        <v>0</v>
      </c>
      <c r="Q74" s="288">
        <f t="shared" si="57"/>
        <v>0</v>
      </c>
      <c r="R74" s="288">
        <f t="shared" si="31"/>
        <v>0</v>
      </c>
      <c r="S74" s="288">
        <f t="shared" si="64"/>
        <v>0</v>
      </c>
      <c r="T74" s="288">
        <f t="shared" si="65"/>
        <v>0</v>
      </c>
      <c r="U74" s="288">
        <f t="shared" si="66"/>
        <v>0</v>
      </c>
      <c r="V74" s="288">
        <f t="shared" si="67"/>
        <v>0</v>
      </c>
      <c r="W74" s="288">
        <f t="shared" si="68"/>
        <v>0</v>
      </c>
      <c r="X74" s="288">
        <f t="shared" si="69"/>
        <v>0</v>
      </c>
      <c r="Y74" s="288">
        <f t="shared" si="70"/>
        <v>0</v>
      </c>
      <c r="Z74" s="288">
        <f t="shared" si="71"/>
        <v>0</v>
      </c>
      <c r="AA74" s="288">
        <f t="shared" si="72"/>
        <v>0</v>
      </c>
      <c r="AB74" s="288">
        <f t="shared" si="73"/>
        <v>0</v>
      </c>
      <c r="AC74" s="288">
        <f t="shared" si="74"/>
        <v>0</v>
      </c>
      <c r="AD74" s="288">
        <f t="shared" si="75"/>
        <v>0</v>
      </c>
      <c r="AE74" s="288">
        <f t="shared" si="76"/>
        <v>0</v>
      </c>
      <c r="AF74" s="288">
        <f t="shared" si="77"/>
        <v>0</v>
      </c>
      <c r="AG74" s="288">
        <f t="shared" si="78"/>
        <v>0</v>
      </c>
      <c r="AH74" s="288">
        <f t="shared" si="79"/>
        <v>0</v>
      </c>
      <c r="AI74" s="288">
        <f t="shared" si="58"/>
        <v>0</v>
      </c>
      <c r="AJ74" s="288">
        <f t="shared" si="58"/>
        <v>0</v>
      </c>
      <c r="AK74" s="288">
        <f t="shared" si="58"/>
        <v>0</v>
      </c>
      <c r="AL74" s="288">
        <f t="shared" si="58"/>
        <v>0</v>
      </c>
      <c r="AM74" s="288">
        <f t="shared" si="58"/>
        <v>0</v>
      </c>
      <c r="AN74" s="288">
        <f t="shared" si="58"/>
        <v>0</v>
      </c>
      <c r="AO74" s="288">
        <f t="shared" si="58"/>
        <v>0</v>
      </c>
      <c r="AP74" s="288">
        <f t="shared" si="35"/>
        <v>0</v>
      </c>
      <c r="AQ74" s="288">
        <f t="shared" si="36"/>
        <v>0</v>
      </c>
      <c r="AR74" s="288">
        <f t="shared" si="37"/>
        <v>0</v>
      </c>
      <c r="AS74" s="288">
        <f t="shared" si="38"/>
        <v>0</v>
      </c>
      <c r="AT74" s="288">
        <f t="shared" si="34"/>
        <v>0</v>
      </c>
      <c r="AU74" s="288">
        <f t="shared" si="34"/>
        <v>0</v>
      </c>
      <c r="AV74" s="288">
        <f t="shared" si="83"/>
        <v>0</v>
      </c>
      <c r="AW74" s="288">
        <f t="shared" si="83"/>
        <v>0</v>
      </c>
      <c r="AX74" s="288">
        <f t="shared" si="83"/>
        <v>0</v>
      </c>
      <c r="AY74" s="288">
        <f t="shared" si="83"/>
        <v>0</v>
      </c>
      <c r="AZ74" s="288">
        <f t="shared" si="83"/>
        <v>0</v>
      </c>
      <c r="BA74" s="288">
        <f t="shared" si="83"/>
        <v>0</v>
      </c>
      <c r="BB74" s="288">
        <f t="shared" si="83"/>
        <v>0</v>
      </c>
      <c r="BC74" s="288">
        <f t="shared" si="83"/>
        <v>0</v>
      </c>
      <c r="BD74" s="288">
        <f t="shared" si="83"/>
        <v>0</v>
      </c>
      <c r="BE74" s="288">
        <f t="shared" si="83"/>
        <v>0</v>
      </c>
      <c r="BF74" s="288">
        <f t="shared" si="83"/>
        <v>0</v>
      </c>
      <c r="BG74" s="288">
        <f t="shared" si="83"/>
        <v>0</v>
      </c>
      <c r="BH74" s="288">
        <f t="shared" si="83"/>
        <v>0</v>
      </c>
      <c r="BI74" s="288">
        <f t="shared" si="41"/>
        <v>0</v>
      </c>
      <c r="BJ74" s="288">
        <f t="shared" si="41"/>
        <v>0</v>
      </c>
      <c r="BK74" s="288">
        <f t="shared" si="41"/>
        <v>0</v>
      </c>
      <c r="BL74" s="288">
        <f t="shared" si="41"/>
        <v>0</v>
      </c>
      <c r="BM74" s="288">
        <f t="shared" si="41"/>
        <v>0</v>
      </c>
      <c r="BN74" s="288">
        <f t="shared" si="41"/>
        <v>0</v>
      </c>
      <c r="BO74" s="288">
        <f t="shared" si="59"/>
        <v>0</v>
      </c>
      <c r="BP74" s="288">
        <f t="shared" si="59"/>
        <v>0</v>
      </c>
      <c r="BQ74" s="288">
        <f t="shared" si="59"/>
        <v>0</v>
      </c>
      <c r="BR74" s="288">
        <f t="shared" si="59"/>
        <v>0</v>
      </c>
      <c r="BS74" s="288">
        <f t="shared" si="59"/>
        <v>0</v>
      </c>
      <c r="BT74" s="288">
        <f t="shared" si="59"/>
        <v>71</v>
      </c>
      <c r="BU74" s="288">
        <f t="shared" si="59"/>
        <v>0</v>
      </c>
      <c r="BV74" s="288">
        <f t="shared" si="59"/>
        <v>0</v>
      </c>
      <c r="BW74" s="288">
        <f t="shared" si="59"/>
        <v>0</v>
      </c>
      <c r="BX74" s="288">
        <f t="shared" si="59"/>
        <v>0</v>
      </c>
      <c r="BY74" s="288">
        <f t="shared" si="59"/>
        <v>0</v>
      </c>
      <c r="BZ74" s="288">
        <f t="shared" si="59"/>
        <v>0</v>
      </c>
      <c r="CA74" s="288">
        <f t="shared" si="59"/>
        <v>0</v>
      </c>
      <c r="CB74" s="288">
        <f t="shared" si="39"/>
        <v>0</v>
      </c>
      <c r="CC74" s="288">
        <f t="shared" si="39"/>
        <v>0</v>
      </c>
      <c r="CD74" s="288">
        <f t="shared" si="39"/>
        <v>0</v>
      </c>
      <c r="CE74" s="288">
        <f t="shared" si="39"/>
        <v>0</v>
      </c>
      <c r="CF74" s="288">
        <f t="shared" si="39"/>
        <v>0</v>
      </c>
      <c r="CG74" s="288">
        <f t="shared" si="39"/>
        <v>0</v>
      </c>
      <c r="CH74" s="288">
        <f t="shared" si="39"/>
        <v>0</v>
      </c>
      <c r="CI74" s="288">
        <f t="shared" si="39"/>
        <v>0</v>
      </c>
      <c r="CJ74" s="288">
        <f t="shared" si="39"/>
        <v>0</v>
      </c>
      <c r="CK74" s="288">
        <f t="shared" si="39"/>
        <v>0</v>
      </c>
      <c r="CL74" s="288">
        <f t="shared" si="39"/>
        <v>0</v>
      </c>
      <c r="CM74" s="288">
        <f t="shared" si="39"/>
        <v>0</v>
      </c>
      <c r="CN74" s="288">
        <f t="shared" si="39"/>
        <v>0</v>
      </c>
      <c r="CO74" s="288">
        <f t="shared" si="39"/>
        <v>0</v>
      </c>
      <c r="CP74" s="288">
        <f t="shared" si="39"/>
        <v>0</v>
      </c>
      <c r="CQ74" s="288">
        <f t="shared" si="80"/>
        <v>0</v>
      </c>
      <c r="CR74" s="288">
        <f t="shared" si="81"/>
        <v>0</v>
      </c>
      <c r="CS74" s="288">
        <f t="shared" si="82"/>
        <v>0</v>
      </c>
      <c r="CT74" s="288">
        <f t="shared" si="40"/>
        <v>0</v>
      </c>
      <c r="CU74" s="288">
        <f t="shared" si="84"/>
        <v>0</v>
      </c>
      <c r="CV74" s="288">
        <f t="shared" si="29"/>
        <v>0</v>
      </c>
      <c r="CW74" s="288">
        <f t="shared" si="29"/>
        <v>0</v>
      </c>
      <c r="CX74" s="288">
        <f t="shared" si="21"/>
        <v>0</v>
      </c>
      <c r="CY74" s="288">
        <f t="shared" si="21"/>
        <v>0</v>
      </c>
      <c r="CZ74" s="288">
        <f t="shared" si="21"/>
        <v>0</v>
      </c>
      <c r="DA74" s="288">
        <f t="shared" si="21"/>
        <v>0</v>
      </c>
      <c r="DB74" s="288">
        <f t="shared" si="33"/>
        <v>0</v>
      </c>
      <c r="DC74" s="288">
        <f t="shared" si="33"/>
        <v>0</v>
      </c>
      <c r="DD74" s="288">
        <f t="shared" si="33"/>
        <v>0</v>
      </c>
      <c r="DE74" s="288">
        <f t="shared" si="33"/>
        <v>0</v>
      </c>
      <c r="DG74" s="314">
        <f t="shared" si="60"/>
        <v>74</v>
      </c>
      <c r="DH74" s="289">
        <f>MAX(BV$3:BV$109)</f>
        <v>74</v>
      </c>
      <c r="DJ74" s="288">
        <f>LOOKUP(DH74, 'Mortality Table'!A:A,('Mortality Table'!J:J/'Mortality Table'!I:I))</f>
        <v>4.2393166075224184E-2</v>
      </c>
      <c r="DK74" s="288">
        <f>LOOKUP(A74, 'Mortality Table'!A:A,('Mortality Table'!J:J/'Mortality Table'!I:I))</f>
        <v>3.2712611730865961E-2</v>
      </c>
      <c r="DL74" s="288">
        <f t="shared" si="61"/>
        <v>9.6805543443582234E-3</v>
      </c>
      <c r="DN74" s="288">
        <f>LOOKUP(DH74, 'Mortality Table'!A:A,('Mortality Table'!L:L/'Mortality Table'!K:K))</f>
        <v>4.2942560475899241E-2</v>
      </c>
      <c r="DO74" s="288">
        <f>LOOKUP(A74, 'Mortality Table'!A:A,('Mortality Table'!L:L/'Mortality Table'!K:K))</f>
        <v>3.3136550949854841E-2</v>
      </c>
      <c r="DP74" s="288">
        <f t="shared" si="62"/>
        <v>9.8060095260444E-3</v>
      </c>
      <c r="DR74" s="288">
        <f>LOOKUP(DH74, 'Mortality Table'!A:A,('Mortality Table'!N:N/'Mortality Table'!M:M))</f>
        <v>4.3907682339408123E-2</v>
      </c>
      <c r="DS74" s="288">
        <f>LOOKUP(A74, 'Mortality Table'!A:A,('Mortality Table'!N:N/'Mortality Table'!M:M))</f>
        <v>3.3881285531318112E-2</v>
      </c>
      <c r="DT74" s="288">
        <f t="shared" si="63"/>
        <v>1.0026396808090011E-2</v>
      </c>
    </row>
    <row r="75" spans="1:124">
      <c r="A75" s="288">
        <v>72</v>
      </c>
      <c r="B75" s="288">
        <v>3.8737048217345194E-2</v>
      </c>
      <c r="C75" s="288">
        <f t="shared" si="57"/>
        <v>0</v>
      </c>
      <c r="D75" s="288">
        <f t="shared" si="57"/>
        <v>0</v>
      </c>
      <c r="E75" s="288">
        <f t="shared" si="57"/>
        <v>0</v>
      </c>
      <c r="F75" s="288">
        <f t="shared" si="57"/>
        <v>0</v>
      </c>
      <c r="G75" s="288">
        <f t="shared" si="57"/>
        <v>0</v>
      </c>
      <c r="H75" s="288">
        <f t="shared" si="57"/>
        <v>0</v>
      </c>
      <c r="I75" s="288">
        <f t="shared" si="57"/>
        <v>0</v>
      </c>
      <c r="J75" s="288">
        <f t="shared" si="57"/>
        <v>0</v>
      </c>
      <c r="K75" s="288">
        <f t="shared" si="57"/>
        <v>0</v>
      </c>
      <c r="L75" s="288">
        <f t="shared" si="57"/>
        <v>0</v>
      </c>
      <c r="M75" s="288">
        <f t="shared" si="57"/>
        <v>0</v>
      </c>
      <c r="N75" s="288">
        <f t="shared" si="57"/>
        <v>0</v>
      </c>
      <c r="O75" s="288">
        <f t="shared" si="57"/>
        <v>0</v>
      </c>
      <c r="P75" s="288">
        <f t="shared" si="57"/>
        <v>0</v>
      </c>
      <c r="Q75" s="288">
        <f t="shared" si="57"/>
        <v>0</v>
      </c>
      <c r="R75" s="288">
        <f t="shared" si="31"/>
        <v>0</v>
      </c>
      <c r="S75" s="288">
        <f t="shared" si="64"/>
        <v>0</v>
      </c>
      <c r="T75" s="288">
        <f t="shared" si="65"/>
        <v>0</v>
      </c>
      <c r="U75" s="288">
        <f t="shared" si="66"/>
        <v>0</v>
      </c>
      <c r="V75" s="288">
        <f t="shared" si="67"/>
        <v>0</v>
      </c>
      <c r="W75" s="288">
        <f t="shared" si="68"/>
        <v>0</v>
      </c>
      <c r="X75" s="288">
        <f t="shared" si="69"/>
        <v>0</v>
      </c>
      <c r="Y75" s="288">
        <f t="shared" si="70"/>
        <v>0</v>
      </c>
      <c r="Z75" s="288">
        <f t="shared" si="71"/>
        <v>0</v>
      </c>
      <c r="AA75" s="288">
        <f t="shared" si="72"/>
        <v>0</v>
      </c>
      <c r="AB75" s="288">
        <f t="shared" si="73"/>
        <v>0</v>
      </c>
      <c r="AC75" s="288">
        <f t="shared" si="74"/>
        <v>0</v>
      </c>
      <c r="AD75" s="288">
        <f t="shared" si="75"/>
        <v>0</v>
      </c>
      <c r="AE75" s="288">
        <f t="shared" si="76"/>
        <v>0</v>
      </c>
      <c r="AF75" s="288">
        <f t="shared" si="77"/>
        <v>0</v>
      </c>
      <c r="AG75" s="288">
        <f t="shared" si="78"/>
        <v>0</v>
      </c>
      <c r="AH75" s="288">
        <f t="shared" si="79"/>
        <v>0</v>
      </c>
      <c r="AI75" s="288">
        <f t="shared" si="58"/>
        <v>0</v>
      </c>
      <c r="AJ75" s="288">
        <f t="shared" si="58"/>
        <v>0</v>
      </c>
      <c r="AK75" s="288">
        <f t="shared" si="58"/>
        <v>0</v>
      </c>
      <c r="AL75" s="288">
        <f t="shared" si="58"/>
        <v>0</v>
      </c>
      <c r="AM75" s="288">
        <f t="shared" si="58"/>
        <v>0</v>
      </c>
      <c r="AN75" s="288">
        <f t="shared" si="58"/>
        <v>0</v>
      </c>
      <c r="AO75" s="288">
        <f t="shared" si="58"/>
        <v>0</v>
      </c>
      <c r="AP75" s="288">
        <f t="shared" si="35"/>
        <v>0</v>
      </c>
      <c r="AQ75" s="288">
        <f t="shared" si="36"/>
        <v>0</v>
      </c>
      <c r="AR75" s="288">
        <f t="shared" si="37"/>
        <v>0</v>
      </c>
      <c r="AS75" s="288">
        <f t="shared" si="38"/>
        <v>0</v>
      </c>
      <c r="AT75" s="288">
        <f t="shared" si="34"/>
        <v>0</v>
      </c>
      <c r="AU75" s="288">
        <f t="shared" si="34"/>
        <v>0</v>
      </c>
      <c r="AV75" s="288">
        <f t="shared" si="83"/>
        <v>0</v>
      </c>
      <c r="AW75" s="288">
        <f t="shared" si="83"/>
        <v>0</v>
      </c>
      <c r="AX75" s="288">
        <f t="shared" si="83"/>
        <v>0</v>
      </c>
      <c r="AY75" s="288">
        <f t="shared" si="83"/>
        <v>0</v>
      </c>
      <c r="AZ75" s="288">
        <f t="shared" si="83"/>
        <v>0</v>
      </c>
      <c r="BA75" s="288">
        <f t="shared" si="83"/>
        <v>0</v>
      </c>
      <c r="BB75" s="288">
        <f t="shared" si="83"/>
        <v>0</v>
      </c>
      <c r="BC75" s="288">
        <f t="shared" si="83"/>
        <v>0</v>
      </c>
      <c r="BD75" s="288">
        <f t="shared" si="83"/>
        <v>0</v>
      </c>
      <c r="BE75" s="288">
        <f t="shared" si="83"/>
        <v>0</v>
      </c>
      <c r="BF75" s="288">
        <f t="shared" si="83"/>
        <v>0</v>
      </c>
      <c r="BG75" s="288">
        <f t="shared" si="83"/>
        <v>0</v>
      </c>
      <c r="BH75" s="288">
        <f t="shared" si="83"/>
        <v>0</v>
      </c>
      <c r="BI75" s="288">
        <f t="shared" si="41"/>
        <v>0</v>
      </c>
      <c r="BJ75" s="288">
        <f t="shared" si="41"/>
        <v>0</v>
      </c>
      <c r="BK75" s="288">
        <f t="shared" si="41"/>
        <v>0</v>
      </c>
      <c r="BL75" s="288">
        <f t="shared" si="41"/>
        <v>0</v>
      </c>
      <c r="BM75" s="288">
        <f t="shared" si="41"/>
        <v>0</v>
      </c>
      <c r="BN75" s="288">
        <f t="shared" si="41"/>
        <v>0</v>
      </c>
      <c r="BO75" s="288">
        <f t="shared" si="59"/>
        <v>0</v>
      </c>
      <c r="BP75" s="288">
        <f t="shared" si="59"/>
        <v>0</v>
      </c>
      <c r="BQ75" s="288">
        <f t="shared" si="59"/>
        <v>0</v>
      </c>
      <c r="BR75" s="288">
        <f t="shared" si="59"/>
        <v>0</v>
      </c>
      <c r="BS75" s="288">
        <f t="shared" si="59"/>
        <v>0</v>
      </c>
      <c r="BT75" s="288">
        <f t="shared" si="59"/>
        <v>0</v>
      </c>
      <c r="BU75" s="288">
        <f t="shared" si="59"/>
        <v>72</v>
      </c>
      <c r="BV75" s="288">
        <f t="shared" si="59"/>
        <v>0</v>
      </c>
      <c r="BW75" s="288">
        <f t="shared" si="59"/>
        <v>0</v>
      </c>
      <c r="BX75" s="288">
        <f t="shared" si="59"/>
        <v>0</v>
      </c>
      <c r="BY75" s="288">
        <f t="shared" si="59"/>
        <v>0</v>
      </c>
      <c r="BZ75" s="288">
        <f t="shared" si="59"/>
        <v>0</v>
      </c>
      <c r="CA75" s="288">
        <f t="shared" si="59"/>
        <v>0</v>
      </c>
      <c r="CB75" s="288">
        <f t="shared" si="39"/>
        <v>0</v>
      </c>
      <c r="CC75" s="288">
        <f t="shared" si="39"/>
        <v>0</v>
      </c>
      <c r="CD75" s="288">
        <f t="shared" si="39"/>
        <v>0</v>
      </c>
      <c r="CE75" s="288">
        <f t="shared" si="39"/>
        <v>0</v>
      </c>
      <c r="CF75" s="288">
        <f t="shared" si="39"/>
        <v>0</v>
      </c>
      <c r="CG75" s="288">
        <f t="shared" si="39"/>
        <v>0</v>
      </c>
      <c r="CH75" s="288">
        <f t="shared" si="39"/>
        <v>0</v>
      </c>
      <c r="CI75" s="288">
        <f t="shared" si="39"/>
        <v>0</v>
      </c>
      <c r="CJ75" s="288">
        <f t="shared" si="39"/>
        <v>0</v>
      </c>
      <c r="CK75" s="288">
        <f t="shared" si="39"/>
        <v>0</v>
      </c>
      <c r="CL75" s="288">
        <f t="shared" si="39"/>
        <v>0</v>
      </c>
      <c r="CM75" s="288">
        <f t="shared" si="39"/>
        <v>0</v>
      </c>
      <c r="CN75" s="288">
        <f t="shared" si="39"/>
        <v>0</v>
      </c>
      <c r="CO75" s="288">
        <f t="shared" si="39"/>
        <v>0</v>
      </c>
      <c r="CP75" s="288">
        <f t="shared" si="39"/>
        <v>0</v>
      </c>
      <c r="CQ75" s="288">
        <f t="shared" si="80"/>
        <v>0</v>
      </c>
      <c r="CR75" s="288">
        <f t="shared" si="81"/>
        <v>0</v>
      </c>
      <c r="CS75" s="288">
        <f t="shared" si="82"/>
        <v>0</v>
      </c>
      <c r="CT75" s="288">
        <f t="shared" si="40"/>
        <v>0</v>
      </c>
      <c r="CU75" s="288">
        <f t="shared" si="84"/>
        <v>0</v>
      </c>
      <c r="CV75" s="288">
        <f t="shared" si="29"/>
        <v>0</v>
      </c>
      <c r="CW75" s="288">
        <f t="shared" si="29"/>
        <v>0</v>
      </c>
      <c r="CX75" s="288">
        <f t="shared" si="21"/>
        <v>0</v>
      </c>
      <c r="CY75" s="288">
        <f t="shared" si="21"/>
        <v>0</v>
      </c>
      <c r="CZ75" s="288">
        <f t="shared" si="21"/>
        <v>0</v>
      </c>
      <c r="DA75" s="288">
        <f t="shared" si="21"/>
        <v>0</v>
      </c>
      <c r="DB75" s="288">
        <f t="shared" si="33"/>
        <v>0</v>
      </c>
      <c r="DC75" s="288">
        <f t="shared" si="33"/>
        <v>0</v>
      </c>
      <c r="DD75" s="288">
        <f t="shared" si="33"/>
        <v>0</v>
      </c>
      <c r="DE75" s="288">
        <f t="shared" si="33"/>
        <v>0</v>
      </c>
      <c r="DG75" s="314">
        <f t="shared" si="60"/>
        <v>75</v>
      </c>
      <c r="DH75" s="289">
        <f>MAX(BW$3:BW$109)</f>
        <v>75</v>
      </c>
      <c r="DJ75" s="288">
        <f>LOOKUP(DH75, 'Mortality Table'!A:A,('Mortality Table'!J:J/'Mortality Table'!I:I))</f>
        <v>4.673175993344645E-2</v>
      </c>
      <c r="DK75" s="288">
        <f>LOOKUP(A75, 'Mortality Table'!A:A,('Mortality Table'!J:J/'Mortality Table'!I:I))</f>
        <v>3.5660343361191525E-2</v>
      </c>
      <c r="DL75" s="288">
        <f t="shared" si="61"/>
        <v>1.1071416572254925E-2</v>
      </c>
      <c r="DN75" s="288">
        <f>LOOKUP(DH75, 'Mortality Table'!A:A,('Mortality Table'!L:L/'Mortality Table'!K:K))</f>
        <v>4.7337380358105703E-2</v>
      </c>
      <c r="DO75" s="288">
        <f>LOOKUP(A75, 'Mortality Table'!A:A,('Mortality Table'!L:L/'Mortality Table'!K:K))</f>
        <v>3.6122483719711204E-2</v>
      </c>
      <c r="DP75" s="288">
        <f t="shared" si="62"/>
        <v>1.1214896638394499E-2</v>
      </c>
      <c r="DR75" s="288">
        <f>LOOKUP(DH75, 'Mortality Table'!A:A,('Mortality Table'!N:N/'Mortality Table'!M:M))</f>
        <v>4.84012745516176E-2</v>
      </c>
      <c r="DS75" s="288">
        <f>LOOKUP(A75, 'Mortality Table'!A:A,('Mortality Table'!N:N/'Mortality Table'!M:M))</f>
        <v>3.6934326293041282E-2</v>
      </c>
      <c r="DT75" s="288">
        <f t="shared" si="63"/>
        <v>1.1466948258576318E-2</v>
      </c>
    </row>
    <row r="76" spans="1:124">
      <c r="A76" s="288">
        <v>73</v>
      </c>
      <c r="B76" s="288">
        <v>4.2352022542479335E-2</v>
      </c>
      <c r="C76" s="288">
        <f t="shared" si="57"/>
        <v>0</v>
      </c>
      <c r="D76" s="288">
        <f t="shared" si="57"/>
        <v>0</v>
      </c>
      <c r="E76" s="288">
        <f t="shared" si="57"/>
        <v>0</v>
      </c>
      <c r="F76" s="288">
        <f t="shared" si="57"/>
        <v>0</v>
      </c>
      <c r="G76" s="288">
        <f t="shared" si="57"/>
        <v>0</v>
      </c>
      <c r="H76" s="288">
        <f t="shared" si="57"/>
        <v>0</v>
      </c>
      <c r="I76" s="288">
        <f t="shared" si="57"/>
        <v>0</v>
      </c>
      <c r="J76" s="288">
        <f t="shared" si="57"/>
        <v>0</v>
      </c>
      <c r="K76" s="288">
        <f t="shared" si="57"/>
        <v>0</v>
      </c>
      <c r="L76" s="288">
        <f t="shared" si="57"/>
        <v>0</v>
      </c>
      <c r="M76" s="288">
        <f t="shared" si="57"/>
        <v>0</v>
      </c>
      <c r="N76" s="288">
        <f t="shared" si="57"/>
        <v>0</v>
      </c>
      <c r="O76" s="288">
        <f t="shared" si="57"/>
        <v>0</v>
      </c>
      <c r="P76" s="288">
        <f t="shared" si="57"/>
        <v>0</v>
      </c>
      <c r="Q76" s="288">
        <f t="shared" si="57"/>
        <v>0</v>
      </c>
      <c r="R76" s="288">
        <f t="shared" si="31"/>
        <v>0</v>
      </c>
      <c r="S76" s="288">
        <f t="shared" si="64"/>
        <v>0</v>
      </c>
      <c r="T76" s="288">
        <f t="shared" si="65"/>
        <v>0</v>
      </c>
      <c r="U76" s="288">
        <f t="shared" si="66"/>
        <v>0</v>
      </c>
      <c r="V76" s="288">
        <f t="shared" si="67"/>
        <v>0</v>
      </c>
      <c r="W76" s="288">
        <f t="shared" si="68"/>
        <v>0</v>
      </c>
      <c r="X76" s="288">
        <f t="shared" si="69"/>
        <v>0</v>
      </c>
      <c r="Y76" s="288">
        <f t="shared" si="70"/>
        <v>0</v>
      </c>
      <c r="Z76" s="288">
        <f t="shared" si="71"/>
        <v>0</v>
      </c>
      <c r="AA76" s="288">
        <f t="shared" si="72"/>
        <v>0</v>
      </c>
      <c r="AB76" s="288">
        <f t="shared" si="73"/>
        <v>0</v>
      </c>
      <c r="AC76" s="288">
        <f t="shared" si="74"/>
        <v>0</v>
      </c>
      <c r="AD76" s="288">
        <f t="shared" si="75"/>
        <v>0</v>
      </c>
      <c r="AE76" s="288">
        <f t="shared" si="76"/>
        <v>0</v>
      </c>
      <c r="AF76" s="288">
        <f t="shared" si="77"/>
        <v>0</v>
      </c>
      <c r="AG76" s="288">
        <f t="shared" si="78"/>
        <v>0</v>
      </c>
      <c r="AH76" s="288">
        <f t="shared" si="79"/>
        <v>0</v>
      </c>
      <c r="AI76" s="288">
        <f t="shared" si="58"/>
        <v>0</v>
      </c>
      <c r="AJ76" s="288">
        <f t="shared" si="58"/>
        <v>0</v>
      </c>
      <c r="AK76" s="288">
        <f t="shared" si="58"/>
        <v>0</v>
      </c>
      <c r="AL76" s="288">
        <f t="shared" si="58"/>
        <v>0</v>
      </c>
      <c r="AM76" s="288">
        <f t="shared" si="58"/>
        <v>0</v>
      </c>
      <c r="AN76" s="288">
        <f t="shared" si="58"/>
        <v>0</v>
      </c>
      <c r="AO76" s="288">
        <f t="shared" si="58"/>
        <v>0</v>
      </c>
      <c r="AP76" s="288">
        <f t="shared" si="35"/>
        <v>0</v>
      </c>
      <c r="AQ76" s="288">
        <f t="shared" si="36"/>
        <v>0</v>
      </c>
      <c r="AR76" s="288">
        <f t="shared" si="37"/>
        <v>0</v>
      </c>
      <c r="AS76" s="288">
        <f t="shared" si="38"/>
        <v>0</v>
      </c>
      <c r="AT76" s="288">
        <f t="shared" si="34"/>
        <v>0</v>
      </c>
      <c r="AU76" s="288">
        <f t="shared" si="34"/>
        <v>0</v>
      </c>
      <c r="AV76" s="288">
        <f t="shared" si="83"/>
        <v>0</v>
      </c>
      <c r="AW76" s="288">
        <f t="shared" si="83"/>
        <v>0</v>
      </c>
      <c r="AX76" s="288">
        <f t="shared" si="83"/>
        <v>0</v>
      </c>
      <c r="AY76" s="288">
        <f t="shared" si="83"/>
        <v>0</v>
      </c>
      <c r="AZ76" s="288">
        <f t="shared" si="83"/>
        <v>0</v>
      </c>
      <c r="BA76" s="288">
        <f t="shared" si="83"/>
        <v>0</v>
      </c>
      <c r="BB76" s="288">
        <f t="shared" si="83"/>
        <v>0</v>
      </c>
      <c r="BC76" s="288">
        <f t="shared" si="83"/>
        <v>0</v>
      </c>
      <c r="BD76" s="288">
        <f t="shared" si="83"/>
        <v>0</v>
      </c>
      <c r="BE76" s="288">
        <f t="shared" si="83"/>
        <v>0</v>
      </c>
      <c r="BF76" s="288">
        <f t="shared" si="83"/>
        <v>0</v>
      </c>
      <c r="BG76" s="288">
        <f t="shared" si="83"/>
        <v>0</v>
      </c>
      <c r="BH76" s="288">
        <f t="shared" si="83"/>
        <v>0</v>
      </c>
      <c r="BI76" s="288">
        <f t="shared" si="41"/>
        <v>0</v>
      </c>
      <c r="BJ76" s="288">
        <f t="shared" si="41"/>
        <v>0</v>
      </c>
      <c r="BK76" s="288">
        <f t="shared" si="41"/>
        <v>0</v>
      </c>
      <c r="BL76" s="288">
        <f t="shared" si="41"/>
        <v>0</v>
      </c>
      <c r="BM76" s="288">
        <f t="shared" si="41"/>
        <v>0</v>
      </c>
      <c r="BN76" s="288">
        <f t="shared" si="41"/>
        <v>0</v>
      </c>
      <c r="BO76" s="288">
        <f t="shared" si="59"/>
        <v>0</v>
      </c>
      <c r="BP76" s="288">
        <f t="shared" si="59"/>
        <v>0</v>
      </c>
      <c r="BQ76" s="288">
        <f t="shared" si="59"/>
        <v>0</v>
      </c>
      <c r="BR76" s="288">
        <f t="shared" si="59"/>
        <v>0</v>
      </c>
      <c r="BS76" s="288">
        <f t="shared" si="59"/>
        <v>0</v>
      </c>
      <c r="BT76" s="288">
        <f t="shared" si="59"/>
        <v>0</v>
      </c>
      <c r="BU76" s="288">
        <f t="shared" si="59"/>
        <v>0</v>
      </c>
      <c r="BV76" s="288">
        <f t="shared" si="59"/>
        <v>74</v>
      </c>
      <c r="BW76" s="288">
        <f t="shared" si="59"/>
        <v>0</v>
      </c>
      <c r="BX76" s="288">
        <f t="shared" si="59"/>
        <v>0</v>
      </c>
      <c r="BY76" s="288">
        <f t="shared" si="59"/>
        <v>0</v>
      </c>
      <c r="BZ76" s="288">
        <f t="shared" si="59"/>
        <v>0</v>
      </c>
      <c r="CA76" s="288">
        <f t="shared" si="59"/>
        <v>0</v>
      </c>
      <c r="CB76" s="288">
        <f t="shared" si="39"/>
        <v>0</v>
      </c>
      <c r="CC76" s="288">
        <f t="shared" si="39"/>
        <v>0</v>
      </c>
      <c r="CD76" s="288">
        <f t="shared" si="39"/>
        <v>0</v>
      </c>
      <c r="CE76" s="288">
        <f t="shared" si="39"/>
        <v>0</v>
      </c>
      <c r="CF76" s="288">
        <f t="shared" si="39"/>
        <v>0</v>
      </c>
      <c r="CG76" s="288">
        <f t="shared" si="39"/>
        <v>0</v>
      </c>
      <c r="CH76" s="288">
        <f t="shared" si="39"/>
        <v>0</v>
      </c>
      <c r="CI76" s="288">
        <f t="shared" si="39"/>
        <v>0</v>
      </c>
      <c r="CJ76" s="288">
        <f t="shared" si="39"/>
        <v>0</v>
      </c>
      <c r="CK76" s="288">
        <f t="shared" si="39"/>
        <v>0</v>
      </c>
      <c r="CL76" s="288">
        <f t="shared" si="39"/>
        <v>0</v>
      </c>
      <c r="CM76" s="288">
        <f t="shared" si="39"/>
        <v>0</v>
      </c>
      <c r="CN76" s="288">
        <f t="shared" si="39"/>
        <v>0</v>
      </c>
      <c r="CO76" s="288">
        <f t="shared" si="39"/>
        <v>0</v>
      </c>
      <c r="CP76" s="288">
        <f t="shared" si="39"/>
        <v>0</v>
      </c>
      <c r="CQ76" s="288">
        <f t="shared" si="80"/>
        <v>0</v>
      </c>
      <c r="CR76" s="288">
        <f t="shared" si="81"/>
        <v>0</v>
      </c>
      <c r="CS76" s="288">
        <f t="shared" si="82"/>
        <v>0</v>
      </c>
      <c r="CT76" s="288">
        <f t="shared" si="40"/>
        <v>0</v>
      </c>
      <c r="CU76" s="288">
        <f t="shared" si="84"/>
        <v>0</v>
      </c>
      <c r="CV76" s="288">
        <f t="shared" si="29"/>
        <v>0</v>
      </c>
      <c r="CW76" s="288">
        <f t="shared" si="29"/>
        <v>0</v>
      </c>
      <c r="CX76" s="288">
        <f t="shared" si="21"/>
        <v>0</v>
      </c>
      <c r="CY76" s="288">
        <f t="shared" si="21"/>
        <v>0</v>
      </c>
      <c r="CZ76" s="288">
        <f t="shared" si="21"/>
        <v>0</v>
      </c>
      <c r="DA76" s="288">
        <f t="shared" si="21"/>
        <v>0</v>
      </c>
      <c r="DB76" s="288">
        <f t="shared" si="33"/>
        <v>0</v>
      </c>
      <c r="DC76" s="288">
        <f t="shared" si="33"/>
        <v>0</v>
      </c>
      <c r="DD76" s="288">
        <f t="shared" si="33"/>
        <v>0</v>
      </c>
      <c r="DE76" s="288">
        <f t="shared" si="33"/>
        <v>0</v>
      </c>
      <c r="DG76" s="314">
        <f t="shared" si="60"/>
        <v>75</v>
      </c>
      <c r="DH76" s="289">
        <f>MAX(BX$3:BX$109)</f>
        <v>75</v>
      </c>
      <c r="DJ76" s="288">
        <f>LOOKUP(DH76, 'Mortality Table'!A:A,('Mortality Table'!J:J/'Mortality Table'!I:I))</f>
        <v>4.673175993344645E-2</v>
      </c>
      <c r="DK76" s="288">
        <f>LOOKUP(A76, 'Mortality Table'!A:A,('Mortality Table'!J:J/'Mortality Table'!I:I))</f>
        <v>3.8988196969264116E-2</v>
      </c>
      <c r="DL76" s="288">
        <f t="shared" si="61"/>
        <v>7.7435629641823336E-3</v>
      </c>
      <c r="DN76" s="288">
        <f>LOOKUP(DH76, 'Mortality Table'!A:A,('Mortality Table'!L:L/'Mortality Table'!K:K))</f>
        <v>4.7337380358105703E-2</v>
      </c>
      <c r="DO76" s="288">
        <f>LOOKUP(A76, 'Mortality Table'!A:A,('Mortality Table'!L:L/'Mortality Table'!K:K))</f>
        <v>3.9493464659564048E-2</v>
      </c>
      <c r="DP76" s="288">
        <f t="shared" si="62"/>
        <v>7.843915698541655E-3</v>
      </c>
      <c r="DR76" s="288">
        <f>LOOKUP(DH76, 'Mortality Table'!A:A,('Mortality Table'!N:N/'Mortality Table'!M:M))</f>
        <v>4.84012745516176E-2</v>
      </c>
      <c r="DS76" s="288">
        <f>LOOKUP(A76, 'Mortality Table'!A:A,('Mortality Table'!N:N/'Mortality Table'!M:M))</f>
        <v>4.0381069073140034E-2</v>
      </c>
      <c r="DT76" s="288">
        <f t="shared" si="63"/>
        <v>8.0202054784775656E-3</v>
      </c>
    </row>
    <row r="77" spans="1:124">
      <c r="A77" s="288">
        <v>74</v>
      </c>
      <c r="B77" s="288">
        <v>4.6050765740215542E-2</v>
      </c>
      <c r="C77" s="288">
        <f t="shared" ref="C77:R93" si="85">IF(C$2&gt;$B77,(IF(C$2&lt;=$B78,(IF(AVERAGE($B77,$B78)&gt;C$2,$A77,$A78)),0)),0)</f>
        <v>0</v>
      </c>
      <c r="D77" s="288">
        <f t="shared" si="85"/>
        <v>0</v>
      </c>
      <c r="E77" s="288">
        <f t="shared" si="85"/>
        <v>0</v>
      </c>
      <c r="F77" s="288">
        <f t="shared" si="85"/>
        <v>0</v>
      </c>
      <c r="G77" s="288">
        <f t="shared" si="85"/>
        <v>0</v>
      </c>
      <c r="H77" s="288">
        <f t="shared" si="85"/>
        <v>0</v>
      </c>
      <c r="I77" s="288">
        <f t="shared" si="85"/>
        <v>0</v>
      </c>
      <c r="J77" s="288">
        <f t="shared" si="85"/>
        <v>0</v>
      </c>
      <c r="K77" s="288">
        <f t="shared" si="85"/>
        <v>0</v>
      </c>
      <c r="L77" s="288">
        <f t="shared" si="85"/>
        <v>0</v>
      </c>
      <c r="M77" s="288">
        <f t="shared" si="85"/>
        <v>0</v>
      </c>
      <c r="N77" s="288">
        <f t="shared" si="85"/>
        <v>0</v>
      </c>
      <c r="O77" s="288">
        <f t="shared" si="85"/>
        <v>0</v>
      </c>
      <c r="P77" s="288">
        <f t="shared" si="85"/>
        <v>0</v>
      </c>
      <c r="Q77" s="288">
        <f t="shared" si="85"/>
        <v>0</v>
      </c>
      <c r="R77" s="288">
        <f t="shared" si="31"/>
        <v>0</v>
      </c>
      <c r="S77" s="288">
        <f t="shared" si="64"/>
        <v>0</v>
      </c>
      <c r="T77" s="288">
        <f t="shared" si="65"/>
        <v>0</v>
      </c>
      <c r="U77" s="288">
        <f t="shared" si="66"/>
        <v>0</v>
      </c>
      <c r="V77" s="288">
        <f t="shared" si="67"/>
        <v>0</v>
      </c>
      <c r="W77" s="288">
        <f t="shared" si="68"/>
        <v>0</v>
      </c>
      <c r="X77" s="288">
        <f t="shared" si="69"/>
        <v>0</v>
      </c>
      <c r="Y77" s="288">
        <f t="shared" si="70"/>
        <v>0</v>
      </c>
      <c r="Z77" s="288">
        <f t="shared" si="71"/>
        <v>0</v>
      </c>
      <c r="AA77" s="288">
        <f t="shared" si="72"/>
        <v>0</v>
      </c>
      <c r="AB77" s="288">
        <f t="shared" si="73"/>
        <v>0</v>
      </c>
      <c r="AC77" s="288">
        <f t="shared" si="74"/>
        <v>0</v>
      </c>
      <c r="AD77" s="288">
        <f t="shared" si="75"/>
        <v>0</v>
      </c>
      <c r="AE77" s="288">
        <f t="shared" si="76"/>
        <v>0</v>
      </c>
      <c r="AF77" s="288">
        <f t="shared" si="77"/>
        <v>0</v>
      </c>
      <c r="AG77" s="288">
        <f t="shared" si="78"/>
        <v>0</v>
      </c>
      <c r="AH77" s="288">
        <f t="shared" si="79"/>
        <v>0</v>
      </c>
      <c r="AI77" s="288">
        <f t="shared" si="58"/>
        <v>0</v>
      </c>
      <c r="AJ77" s="288">
        <f t="shared" si="58"/>
        <v>0</v>
      </c>
      <c r="AK77" s="288">
        <f t="shared" si="58"/>
        <v>0</v>
      </c>
      <c r="AL77" s="288">
        <f t="shared" si="58"/>
        <v>0</v>
      </c>
      <c r="AM77" s="288">
        <f t="shared" si="58"/>
        <v>0</v>
      </c>
      <c r="AN77" s="288">
        <f t="shared" si="58"/>
        <v>0</v>
      </c>
      <c r="AO77" s="288">
        <f t="shared" si="58"/>
        <v>0</v>
      </c>
      <c r="AP77" s="288">
        <f t="shared" si="35"/>
        <v>0</v>
      </c>
      <c r="AQ77" s="288">
        <f t="shared" si="36"/>
        <v>0</v>
      </c>
      <c r="AR77" s="288">
        <f t="shared" si="37"/>
        <v>0</v>
      </c>
      <c r="AS77" s="288">
        <f t="shared" si="38"/>
        <v>0</v>
      </c>
      <c r="AT77" s="288">
        <f t="shared" si="34"/>
        <v>0</v>
      </c>
      <c r="AU77" s="288">
        <f t="shared" si="34"/>
        <v>0</v>
      </c>
      <c r="AV77" s="288">
        <f t="shared" si="83"/>
        <v>0</v>
      </c>
      <c r="AW77" s="288">
        <f t="shared" si="83"/>
        <v>0</v>
      </c>
      <c r="AX77" s="288">
        <f t="shared" si="83"/>
        <v>0</v>
      </c>
      <c r="AY77" s="288">
        <f t="shared" si="83"/>
        <v>0</v>
      </c>
      <c r="AZ77" s="288">
        <f t="shared" si="83"/>
        <v>0</v>
      </c>
      <c r="BA77" s="288">
        <f t="shared" si="83"/>
        <v>0</v>
      </c>
      <c r="BB77" s="288">
        <f t="shared" si="83"/>
        <v>0</v>
      </c>
      <c r="BC77" s="288">
        <f t="shared" si="83"/>
        <v>0</v>
      </c>
      <c r="BD77" s="288">
        <f t="shared" si="83"/>
        <v>0</v>
      </c>
      <c r="BE77" s="288">
        <f t="shared" si="83"/>
        <v>0</v>
      </c>
      <c r="BF77" s="288">
        <f t="shared" si="83"/>
        <v>0</v>
      </c>
      <c r="BG77" s="288">
        <f t="shared" si="83"/>
        <v>0</v>
      </c>
      <c r="BH77" s="288">
        <f t="shared" si="83"/>
        <v>0</v>
      </c>
      <c r="BI77" s="288">
        <f t="shared" si="41"/>
        <v>0</v>
      </c>
      <c r="BJ77" s="288">
        <f t="shared" si="41"/>
        <v>0</v>
      </c>
      <c r="BK77" s="288">
        <f t="shared" si="41"/>
        <v>0</v>
      </c>
      <c r="BL77" s="288">
        <f t="shared" si="41"/>
        <v>0</v>
      </c>
      <c r="BM77" s="288">
        <f t="shared" si="41"/>
        <v>0</v>
      </c>
      <c r="BN77" s="288">
        <f t="shared" si="41"/>
        <v>0</v>
      </c>
      <c r="BO77" s="288">
        <f t="shared" si="59"/>
        <v>0</v>
      </c>
      <c r="BP77" s="288">
        <f t="shared" si="59"/>
        <v>0</v>
      </c>
      <c r="BQ77" s="288">
        <f t="shared" si="59"/>
        <v>0</v>
      </c>
      <c r="BR77" s="288">
        <f t="shared" si="59"/>
        <v>0</v>
      </c>
      <c r="BS77" s="288">
        <f t="shared" si="59"/>
        <v>0</v>
      </c>
      <c r="BT77" s="288">
        <f t="shared" si="59"/>
        <v>0</v>
      </c>
      <c r="BU77" s="288">
        <f t="shared" si="59"/>
        <v>0</v>
      </c>
      <c r="BV77" s="288">
        <f t="shared" si="59"/>
        <v>0</v>
      </c>
      <c r="BW77" s="288">
        <f t="shared" si="59"/>
        <v>75</v>
      </c>
      <c r="BX77" s="288">
        <f t="shared" si="59"/>
        <v>0</v>
      </c>
      <c r="BY77" s="288">
        <f t="shared" si="59"/>
        <v>0</v>
      </c>
      <c r="BZ77" s="288">
        <f t="shared" si="59"/>
        <v>0</v>
      </c>
      <c r="CA77" s="288">
        <f t="shared" si="59"/>
        <v>0</v>
      </c>
      <c r="CB77" s="288">
        <f t="shared" si="39"/>
        <v>0</v>
      </c>
      <c r="CC77" s="288">
        <f t="shared" si="39"/>
        <v>0</v>
      </c>
      <c r="CD77" s="288">
        <f t="shared" si="39"/>
        <v>0</v>
      </c>
      <c r="CE77" s="288">
        <f t="shared" si="39"/>
        <v>0</v>
      </c>
      <c r="CF77" s="288">
        <f t="shared" si="39"/>
        <v>0</v>
      </c>
      <c r="CG77" s="288">
        <f t="shared" si="39"/>
        <v>0</v>
      </c>
      <c r="CH77" s="288">
        <f t="shared" si="39"/>
        <v>0</v>
      </c>
      <c r="CI77" s="288">
        <f t="shared" si="39"/>
        <v>0</v>
      </c>
      <c r="CJ77" s="288">
        <f t="shared" si="39"/>
        <v>0</v>
      </c>
      <c r="CK77" s="288">
        <f t="shared" si="39"/>
        <v>0</v>
      </c>
      <c r="CL77" s="288">
        <f t="shared" si="39"/>
        <v>0</v>
      </c>
      <c r="CM77" s="288">
        <f t="shared" si="39"/>
        <v>0</v>
      </c>
      <c r="CN77" s="288">
        <f t="shared" si="39"/>
        <v>0</v>
      </c>
      <c r="CO77" s="288">
        <f t="shared" si="39"/>
        <v>0</v>
      </c>
      <c r="CP77" s="288">
        <f t="shared" si="39"/>
        <v>0</v>
      </c>
      <c r="CQ77" s="288">
        <f t="shared" si="80"/>
        <v>0</v>
      </c>
      <c r="CR77" s="288">
        <f t="shared" si="81"/>
        <v>0</v>
      </c>
      <c r="CS77" s="288">
        <f t="shared" si="82"/>
        <v>0</v>
      </c>
      <c r="CT77" s="288">
        <f t="shared" si="40"/>
        <v>0</v>
      </c>
      <c r="CU77" s="288">
        <f t="shared" si="84"/>
        <v>0</v>
      </c>
      <c r="CV77" s="288">
        <f t="shared" si="29"/>
        <v>0</v>
      </c>
      <c r="CW77" s="288">
        <f t="shared" si="29"/>
        <v>0</v>
      </c>
      <c r="CX77" s="288">
        <f t="shared" si="21"/>
        <v>0</v>
      </c>
      <c r="CY77" s="288">
        <f t="shared" si="21"/>
        <v>0</v>
      </c>
      <c r="CZ77" s="288">
        <f t="shared" si="21"/>
        <v>0</v>
      </c>
      <c r="DA77" s="288">
        <f t="shared" si="21"/>
        <v>0</v>
      </c>
      <c r="DB77" s="288">
        <f t="shared" si="33"/>
        <v>0</v>
      </c>
      <c r="DC77" s="288">
        <f t="shared" si="33"/>
        <v>0</v>
      </c>
      <c r="DD77" s="288">
        <f t="shared" si="33"/>
        <v>0</v>
      </c>
      <c r="DE77" s="288">
        <f t="shared" si="33"/>
        <v>0</v>
      </c>
      <c r="DG77" s="314">
        <f t="shared" si="60"/>
        <v>76</v>
      </c>
      <c r="DH77" s="289">
        <f>MAX(BY$3:BY$109)</f>
        <v>76</v>
      </c>
      <c r="DJ77" s="288">
        <f>LOOKUP(DH77, 'Mortality Table'!A:A,('Mortality Table'!J:J/'Mortality Table'!I:I))</f>
        <v>5.1086971807182996E-2</v>
      </c>
      <c r="DK77" s="288">
        <f>LOOKUP(A77, 'Mortality Table'!A:A,('Mortality Table'!J:J/'Mortality Table'!I:I))</f>
        <v>4.2393166075224184E-2</v>
      </c>
      <c r="DL77" s="288">
        <f t="shared" si="61"/>
        <v>8.6938057319588119E-3</v>
      </c>
      <c r="DN77" s="288">
        <f>LOOKUP(DH77, 'Mortality Table'!A:A,('Mortality Table'!L:L/'Mortality Table'!K:K))</f>
        <v>5.1749033617063032E-2</v>
      </c>
      <c r="DO77" s="288">
        <f>LOOKUP(A77, 'Mortality Table'!A:A,('Mortality Table'!L:L/'Mortality Table'!K:K))</f>
        <v>4.2942560475899241E-2</v>
      </c>
      <c r="DP77" s="288">
        <f t="shared" si="62"/>
        <v>8.8064731411637912E-3</v>
      </c>
      <c r="DR77" s="288">
        <f>LOOKUP(DH77, 'Mortality Table'!A:A,('Mortality Table'!N:N/'Mortality Table'!M:M))</f>
        <v>5.2912078465944729E-2</v>
      </c>
      <c r="DS77" s="288">
        <f>LOOKUP(A77, 'Mortality Table'!A:A,('Mortality Table'!N:N/'Mortality Table'!M:M))</f>
        <v>4.3907682339408123E-2</v>
      </c>
      <c r="DT77" s="288">
        <f t="shared" si="63"/>
        <v>9.0043961265366054E-3</v>
      </c>
    </row>
    <row r="78" spans="1:124">
      <c r="A78" s="288">
        <v>75</v>
      </c>
      <c r="B78" s="288">
        <v>5.0763685012449364E-2</v>
      </c>
      <c r="C78" s="288">
        <f t="shared" si="85"/>
        <v>0</v>
      </c>
      <c r="D78" s="288">
        <f t="shared" si="85"/>
        <v>0</v>
      </c>
      <c r="E78" s="288">
        <f t="shared" si="85"/>
        <v>0</v>
      </c>
      <c r="F78" s="288">
        <f t="shared" si="85"/>
        <v>0</v>
      </c>
      <c r="G78" s="288">
        <f t="shared" si="85"/>
        <v>0</v>
      </c>
      <c r="H78" s="288">
        <f t="shared" si="85"/>
        <v>0</v>
      </c>
      <c r="I78" s="288">
        <f t="shared" si="85"/>
        <v>0</v>
      </c>
      <c r="J78" s="288">
        <f t="shared" si="85"/>
        <v>0</v>
      </c>
      <c r="K78" s="288">
        <f t="shared" si="85"/>
        <v>0</v>
      </c>
      <c r="L78" s="288">
        <f t="shared" si="85"/>
        <v>0</v>
      </c>
      <c r="M78" s="288">
        <f t="shared" si="85"/>
        <v>0</v>
      </c>
      <c r="N78" s="288">
        <f t="shared" si="85"/>
        <v>0</v>
      </c>
      <c r="O78" s="288">
        <f t="shared" si="85"/>
        <v>0</v>
      </c>
      <c r="P78" s="288">
        <f t="shared" si="85"/>
        <v>0</v>
      </c>
      <c r="Q78" s="288">
        <f t="shared" si="85"/>
        <v>0</v>
      </c>
      <c r="R78" s="288">
        <f t="shared" si="31"/>
        <v>0</v>
      </c>
      <c r="S78" s="288">
        <f t="shared" si="64"/>
        <v>0</v>
      </c>
      <c r="T78" s="288">
        <f t="shared" si="65"/>
        <v>0</v>
      </c>
      <c r="U78" s="288">
        <f t="shared" si="66"/>
        <v>0</v>
      </c>
      <c r="V78" s="288">
        <f t="shared" si="67"/>
        <v>0</v>
      </c>
      <c r="W78" s="288">
        <f t="shared" si="68"/>
        <v>0</v>
      </c>
      <c r="X78" s="288">
        <f t="shared" si="69"/>
        <v>0</v>
      </c>
      <c r="Y78" s="288">
        <f t="shared" si="70"/>
        <v>0</v>
      </c>
      <c r="Z78" s="288">
        <f t="shared" si="71"/>
        <v>0</v>
      </c>
      <c r="AA78" s="288">
        <f t="shared" si="72"/>
        <v>0</v>
      </c>
      <c r="AB78" s="288">
        <f t="shared" si="73"/>
        <v>0</v>
      </c>
      <c r="AC78" s="288">
        <f t="shared" si="74"/>
        <v>0</v>
      </c>
      <c r="AD78" s="288">
        <f t="shared" si="75"/>
        <v>0</v>
      </c>
      <c r="AE78" s="288">
        <f t="shared" si="76"/>
        <v>0</v>
      </c>
      <c r="AF78" s="288">
        <f t="shared" si="77"/>
        <v>0</v>
      </c>
      <c r="AG78" s="288">
        <f t="shared" si="78"/>
        <v>0</v>
      </c>
      <c r="AH78" s="288">
        <f t="shared" si="79"/>
        <v>0</v>
      </c>
      <c r="AI78" s="288">
        <f t="shared" si="58"/>
        <v>0</v>
      </c>
      <c r="AJ78" s="288">
        <f t="shared" si="58"/>
        <v>0</v>
      </c>
      <c r="AK78" s="288">
        <f t="shared" si="58"/>
        <v>0</v>
      </c>
      <c r="AL78" s="288">
        <f t="shared" si="58"/>
        <v>0</v>
      </c>
      <c r="AM78" s="288">
        <f t="shared" si="58"/>
        <v>0</v>
      </c>
      <c r="AN78" s="288">
        <f t="shared" si="58"/>
        <v>0</v>
      </c>
      <c r="AO78" s="288">
        <f t="shared" si="58"/>
        <v>0</v>
      </c>
      <c r="AP78" s="288">
        <f t="shared" si="35"/>
        <v>0</v>
      </c>
      <c r="AQ78" s="288">
        <f t="shared" si="36"/>
        <v>0</v>
      </c>
      <c r="AR78" s="288">
        <f t="shared" si="37"/>
        <v>0</v>
      </c>
      <c r="AS78" s="288">
        <f t="shared" si="38"/>
        <v>0</v>
      </c>
      <c r="AT78" s="288">
        <f t="shared" si="34"/>
        <v>0</v>
      </c>
      <c r="AU78" s="288">
        <f t="shared" si="34"/>
        <v>0</v>
      </c>
      <c r="AV78" s="288">
        <f t="shared" si="83"/>
        <v>0</v>
      </c>
      <c r="AW78" s="288">
        <f t="shared" si="83"/>
        <v>0</v>
      </c>
      <c r="AX78" s="288">
        <f t="shared" si="83"/>
        <v>0</v>
      </c>
      <c r="AY78" s="288">
        <f t="shared" si="83"/>
        <v>0</v>
      </c>
      <c r="AZ78" s="288">
        <f t="shared" si="83"/>
        <v>0</v>
      </c>
      <c r="BA78" s="288">
        <f t="shared" si="83"/>
        <v>0</v>
      </c>
      <c r="BB78" s="288">
        <f t="shared" si="83"/>
        <v>0</v>
      </c>
      <c r="BC78" s="288">
        <f t="shared" si="83"/>
        <v>0</v>
      </c>
      <c r="BD78" s="288">
        <f t="shared" si="83"/>
        <v>0</v>
      </c>
      <c r="BE78" s="288">
        <f t="shared" si="83"/>
        <v>0</v>
      </c>
      <c r="BF78" s="288">
        <f t="shared" si="83"/>
        <v>0</v>
      </c>
      <c r="BG78" s="288">
        <f t="shared" si="83"/>
        <v>0</v>
      </c>
      <c r="BH78" s="288">
        <f t="shared" si="83"/>
        <v>0</v>
      </c>
      <c r="BI78" s="288">
        <f t="shared" si="41"/>
        <v>0</v>
      </c>
      <c r="BJ78" s="288">
        <f t="shared" si="41"/>
        <v>0</v>
      </c>
      <c r="BK78" s="288">
        <f t="shared" si="41"/>
        <v>0</v>
      </c>
      <c r="BL78" s="288">
        <f t="shared" si="41"/>
        <v>0</v>
      </c>
      <c r="BM78" s="288">
        <f t="shared" si="41"/>
        <v>0</v>
      </c>
      <c r="BN78" s="288">
        <f t="shared" si="41"/>
        <v>0</v>
      </c>
      <c r="BO78" s="288">
        <f t="shared" si="59"/>
        <v>0</v>
      </c>
      <c r="BP78" s="288">
        <f t="shared" si="59"/>
        <v>0</v>
      </c>
      <c r="BQ78" s="288">
        <f t="shared" si="59"/>
        <v>0</v>
      </c>
      <c r="BR78" s="288">
        <f t="shared" si="59"/>
        <v>0</v>
      </c>
      <c r="BS78" s="288">
        <f t="shared" si="59"/>
        <v>0</v>
      </c>
      <c r="BT78" s="288">
        <f t="shared" si="59"/>
        <v>0</v>
      </c>
      <c r="BU78" s="288">
        <f t="shared" si="59"/>
        <v>0</v>
      </c>
      <c r="BV78" s="288">
        <f t="shared" si="59"/>
        <v>0</v>
      </c>
      <c r="BW78" s="288">
        <f t="shared" si="59"/>
        <v>0</v>
      </c>
      <c r="BX78" s="288">
        <f t="shared" si="59"/>
        <v>75</v>
      </c>
      <c r="BY78" s="288">
        <f t="shared" si="59"/>
        <v>0</v>
      </c>
      <c r="BZ78" s="288">
        <f t="shared" si="59"/>
        <v>0</v>
      </c>
      <c r="CA78" s="288">
        <f t="shared" si="59"/>
        <v>0</v>
      </c>
      <c r="CB78" s="288">
        <f t="shared" si="39"/>
        <v>0</v>
      </c>
      <c r="CC78" s="288">
        <f t="shared" si="39"/>
        <v>0</v>
      </c>
      <c r="CD78" s="288">
        <f t="shared" si="39"/>
        <v>0</v>
      </c>
      <c r="CE78" s="288">
        <f t="shared" si="39"/>
        <v>0</v>
      </c>
      <c r="CF78" s="288">
        <f t="shared" si="39"/>
        <v>0</v>
      </c>
      <c r="CG78" s="288">
        <f t="shared" si="39"/>
        <v>0</v>
      </c>
      <c r="CH78" s="288">
        <f t="shared" si="39"/>
        <v>0</v>
      </c>
      <c r="CI78" s="288">
        <f t="shared" si="39"/>
        <v>0</v>
      </c>
      <c r="CJ78" s="288">
        <f t="shared" si="39"/>
        <v>0</v>
      </c>
      <c r="CK78" s="288">
        <f t="shared" si="39"/>
        <v>0</v>
      </c>
      <c r="CL78" s="288">
        <f t="shared" si="39"/>
        <v>0</v>
      </c>
      <c r="CM78" s="288">
        <f t="shared" si="39"/>
        <v>0</v>
      </c>
      <c r="CN78" s="288">
        <f t="shared" si="39"/>
        <v>0</v>
      </c>
      <c r="CO78" s="288">
        <f t="shared" si="39"/>
        <v>0</v>
      </c>
      <c r="CP78" s="288">
        <f t="shared" si="39"/>
        <v>0</v>
      </c>
      <c r="CQ78" s="288">
        <f t="shared" si="80"/>
        <v>0</v>
      </c>
      <c r="CR78" s="288">
        <f t="shared" si="81"/>
        <v>0</v>
      </c>
      <c r="CS78" s="288">
        <f t="shared" si="82"/>
        <v>0</v>
      </c>
      <c r="CT78" s="288">
        <f t="shared" si="40"/>
        <v>0</v>
      </c>
      <c r="CU78" s="288">
        <f t="shared" si="84"/>
        <v>0</v>
      </c>
      <c r="CV78" s="288">
        <f t="shared" si="29"/>
        <v>0</v>
      </c>
      <c r="CW78" s="288">
        <f t="shared" si="29"/>
        <v>0</v>
      </c>
      <c r="CX78" s="288">
        <f t="shared" si="21"/>
        <v>0</v>
      </c>
      <c r="CY78" s="288">
        <f t="shared" si="21"/>
        <v>0</v>
      </c>
      <c r="CZ78" s="288">
        <f t="shared" si="21"/>
        <v>0</v>
      </c>
      <c r="DA78" s="288">
        <f t="shared" si="21"/>
        <v>0</v>
      </c>
      <c r="DB78" s="288">
        <f t="shared" si="33"/>
        <v>0</v>
      </c>
      <c r="DC78" s="288">
        <f t="shared" si="33"/>
        <v>0</v>
      </c>
      <c r="DD78" s="288">
        <f t="shared" si="33"/>
        <v>0</v>
      </c>
      <c r="DE78" s="288">
        <f t="shared" si="33"/>
        <v>0</v>
      </c>
      <c r="DG78" s="314">
        <f t="shared" si="60"/>
        <v>77</v>
      </c>
      <c r="DH78" s="289">
        <f>MAX(BZ$3:BZ$109)</f>
        <v>77</v>
      </c>
      <c r="DJ78" s="288">
        <f>LOOKUP(DH78, 'Mortality Table'!A:A,('Mortality Table'!J:J/'Mortality Table'!I:I))</f>
        <v>5.6607011073435319E-2</v>
      </c>
      <c r="DK78" s="288">
        <f>LOOKUP(A78, 'Mortality Table'!A:A,('Mortality Table'!J:J/'Mortality Table'!I:I))</f>
        <v>4.673175993344645E-2</v>
      </c>
      <c r="DL78" s="288">
        <f t="shared" si="61"/>
        <v>9.8752511399888693E-3</v>
      </c>
      <c r="DN78" s="288">
        <f>LOOKUP(DH78, 'Mortality Table'!A:A,('Mortality Table'!L:L/'Mortality Table'!K:K))</f>
        <v>5.7340609853661219E-2</v>
      </c>
      <c r="DO78" s="288">
        <f>LOOKUP(A78, 'Mortality Table'!A:A,('Mortality Table'!L:L/'Mortality Table'!K:K))</f>
        <v>4.7337380358105703E-2</v>
      </c>
      <c r="DP78" s="288">
        <f t="shared" si="62"/>
        <v>1.0003229495555516E-2</v>
      </c>
      <c r="DR78" s="288">
        <f>LOOKUP(DH78, 'Mortality Table'!A:A,('Mortality Table'!N:N/'Mortality Table'!M:M))</f>
        <v>5.8629323792080391E-2</v>
      </c>
      <c r="DS78" s="288">
        <f>LOOKUP(A78, 'Mortality Table'!A:A,('Mortality Table'!N:N/'Mortality Table'!M:M))</f>
        <v>4.84012745516176E-2</v>
      </c>
      <c r="DT78" s="288">
        <f t="shared" si="63"/>
        <v>1.0228049240462792E-2</v>
      </c>
    </row>
    <row r="79" spans="1:124">
      <c r="A79" s="288">
        <v>76</v>
      </c>
      <c r="B79" s="288">
        <v>5.5494656070156211E-2</v>
      </c>
      <c r="C79" s="288">
        <f t="shared" si="85"/>
        <v>0</v>
      </c>
      <c r="D79" s="288">
        <f t="shared" si="85"/>
        <v>0</v>
      </c>
      <c r="E79" s="288">
        <f t="shared" si="85"/>
        <v>0</v>
      </c>
      <c r="F79" s="288">
        <f t="shared" si="85"/>
        <v>0</v>
      </c>
      <c r="G79" s="288">
        <f t="shared" si="85"/>
        <v>0</v>
      </c>
      <c r="H79" s="288">
        <f t="shared" si="85"/>
        <v>0</v>
      </c>
      <c r="I79" s="288">
        <f t="shared" si="85"/>
        <v>0</v>
      </c>
      <c r="J79" s="288">
        <f t="shared" si="85"/>
        <v>0</v>
      </c>
      <c r="K79" s="288">
        <f t="shared" si="85"/>
        <v>0</v>
      </c>
      <c r="L79" s="288">
        <f t="shared" si="85"/>
        <v>0</v>
      </c>
      <c r="M79" s="288">
        <f t="shared" si="85"/>
        <v>0</v>
      </c>
      <c r="N79" s="288">
        <f t="shared" si="85"/>
        <v>0</v>
      </c>
      <c r="O79" s="288">
        <f t="shared" si="85"/>
        <v>0</v>
      </c>
      <c r="P79" s="288">
        <f t="shared" si="85"/>
        <v>0</v>
      </c>
      <c r="Q79" s="288">
        <f t="shared" si="85"/>
        <v>0</v>
      </c>
      <c r="R79" s="288">
        <f t="shared" si="31"/>
        <v>0</v>
      </c>
      <c r="S79" s="288">
        <f t="shared" si="64"/>
        <v>0</v>
      </c>
      <c r="T79" s="288">
        <f t="shared" si="65"/>
        <v>0</v>
      </c>
      <c r="U79" s="288">
        <f t="shared" si="66"/>
        <v>0</v>
      </c>
      <c r="V79" s="288">
        <f t="shared" si="67"/>
        <v>0</v>
      </c>
      <c r="W79" s="288">
        <f t="shared" si="68"/>
        <v>0</v>
      </c>
      <c r="X79" s="288">
        <f t="shared" si="69"/>
        <v>0</v>
      </c>
      <c r="Y79" s="288">
        <f t="shared" si="70"/>
        <v>0</v>
      </c>
      <c r="Z79" s="288">
        <f t="shared" si="71"/>
        <v>0</v>
      </c>
      <c r="AA79" s="288">
        <f t="shared" si="72"/>
        <v>0</v>
      </c>
      <c r="AB79" s="288">
        <f t="shared" si="73"/>
        <v>0</v>
      </c>
      <c r="AC79" s="288">
        <f t="shared" si="74"/>
        <v>0</v>
      </c>
      <c r="AD79" s="288">
        <f t="shared" si="75"/>
        <v>0</v>
      </c>
      <c r="AE79" s="288">
        <f t="shared" si="76"/>
        <v>0</v>
      </c>
      <c r="AF79" s="288">
        <f t="shared" si="77"/>
        <v>0</v>
      </c>
      <c r="AG79" s="288">
        <f t="shared" si="78"/>
        <v>0</v>
      </c>
      <c r="AH79" s="288">
        <f t="shared" si="79"/>
        <v>0</v>
      </c>
      <c r="AI79" s="288">
        <f t="shared" si="58"/>
        <v>0</v>
      </c>
      <c r="AJ79" s="288">
        <f t="shared" si="58"/>
        <v>0</v>
      </c>
      <c r="AK79" s="288">
        <f t="shared" si="58"/>
        <v>0</v>
      </c>
      <c r="AL79" s="288">
        <f t="shared" si="58"/>
        <v>0</v>
      </c>
      <c r="AM79" s="288">
        <f t="shared" si="58"/>
        <v>0</v>
      </c>
      <c r="AN79" s="288">
        <f t="shared" si="58"/>
        <v>0</v>
      </c>
      <c r="AO79" s="288">
        <f t="shared" si="58"/>
        <v>0</v>
      </c>
      <c r="AP79" s="288">
        <f t="shared" si="35"/>
        <v>0</v>
      </c>
      <c r="AQ79" s="288">
        <f t="shared" si="36"/>
        <v>0</v>
      </c>
      <c r="AR79" s="288">
        <f t="shared" si="37"/>
        <v>0</v>
      </c>
      <c r="AS79" s="288">
        <f t="shared" si="38"/>
        <v>0</v>
      </c>
      <c r="AT79" s="288">
        <f t="shared" si="34"/>
        <v>0</v>
      </c>
      <c r="AU79" s="288">
        <f t="shared" si="34"/>
        <v>0</v>
      </c>
      <c r="AV79" s="288">
        <f t="shared" si="83"/>
        <v>0</v>
      </c>
      <c r="AW79" s="288">
        <f t="shared" si="83"/>
        <v>0</v>
      </c>
      <c r="AX79" s="288">
        <f t="shared" si="83"/>
        <v>0</v>
      </c>
      <c r="AY79" s="288">
        <f t="shared" si="83"/>
        <v>0</v>
      </c>
      <c r="AZ79" s="288">
        <f t="shared" si="83"/>
        <v>0</v>
      </c>
      <c r="BA79" s="288">
        <f t="shared" si="83"/>
        <v>0</v>
      </c>
      <c r="BB79" s="288">
        <f t="shared" si="83"/>
        <v>0</v>
      </c>
      <c r="BC79" s="288">
        <f t="shared" si="83"/>
        <v>0</v>
      </c>
      <c r="BD79" s="288">
        <f t="shared" si="83"/>
        <v>0</v>
      </c>
      <c r="BE79" s="288">
        <f t="shared" si="83"/>
        <v>0</v>
      </c>
      <c r="BF79" s="288">
        <f t="shared" si="83"/>
        <v>0</v>
      </c>
      <c r="BG79" s="288">
        <f t="shared" si="83"/>
        <v>0</v>
      </c>
      <c r="BH79" s="288">
        <f t="shared" si="83"/>
        <v>0</v>
      </c>
      <c r="BI79" s="288">
        <f t="shared" si="41"/>
        <v>0</v>
      </c>
      <c r="BJ79" s="288">
        <f t="shared" si="41"/>
        <v>0</v>
      </c>
      <c r="BK79" s="288">
        <f t="shared" si="41"/>
        <v>0</v>
      </c>
      <c r="BL79" s="288">
        <f t="shared" si="41"/>
        <v>0</v>
      </c>
      <c r="BM79" s="288">
        <f t="shared" si="41"/>
        <v>0</v>
      </c>
      <c r="BN79" s="288">
        <f t="shared" si="41"/>
        <v>0</v>
      </c>
      <c r="BO79" s="288">
        <f t="shared" si="59"/>
        <v>0</v>
      </c>
      <c r="BP79" s="288">
        <f t="shared" si="59"/>
        <v>0</v>
      </c>
      <c r="BQ79" s="288">
        <f t="shared" si="59"/>
        <v>0</v>
      </c>
      <c r="BR79" s="288">
        <f t="shared" si="59"/>
        <v>0</v>
      </c>
      <c r="BS79" s="288">
        <f t="shared" si="59"/>
        <v>0</v>
      </c>
      <c r="BT79" s="288">
        <f t="shared" si="59"/>
        <v>0</v>
      </c>
      <c r="BU79" s="288">
        <f t="shared" si="59"/>
        <v>0</v>
      </c>
      <c r="BV79" s="288">
        <f t="shared" si="59"/>
        <v>0</v>
      </c>
      <c r="BW79" s="288">
        <f t="shared" si="59"/>
        <v>0</v>
      </c>
      <c r="BX79" s="288">
        <f t="shared" si="59"/>
        <v>0</v>
      </c>
      <c r="BY79" s="288">
        <f t="shared" si="59"/>
        <v>76</v>
      </c>
      <c r="BZ79" s="288">
        <f t="shared" si="59"/>
        <v>0</v>
      </c>
      <c r="CA79" s="288">
        <f t="shared" si="59"/>
        <v>0</v>
      </c>
      <c r="CB79" s="288">
        <f t="shared" si="39"/>
        <v>0</v>
      </c>
      <c r="CC79" s="288">
        <f t="shared" si="39"/>
        <v>0</v>
      </c>
      <c r="CD79" s="288">
        <f t="shared" si="39"/>
        <v>0</v>
      </c>
      <c r="CE79" s="288">
        <f t="shared" si="39"/>
        <v>0</v>
      </c>
      <c r="CF79" s="288">
        <f t="shared" si="39"/>
        <v>0</v>
      </c>
      <c r="CG79" s="288">
        <f t="shared" si="39"/>
        <v>0</v>
      </c>
      <c r="CH79" s="288">
        <f t="shared" si="39"/>
        <v>0</v>
      </c>
      <c r="CI79" s="288">
        <f t="shared" si="39"/>
        <v>0</v>
      </c>
      <c r="CJ79" s="288">
        <f t="shared" si="39"/>
        <v>0</v>
      </c>
      <c r="CK79" s="288">
        <f t="shared" si="39"/>
        <v>0</v>
      </c>
      <c r="CL79" s="288">
        <f t="shared" si="39"/>
        <v>0</v>
      </c>
      <c r="CM79" s="288">
        <f t="shared" si="39"/>
        <v>0</v>
      </c>
      <c r="CN79" s="288">
        <f t="shared" si="39"/>
        <v>0</v>
      </c>
      <c r="CO79" s="288">
        <f t="shared" si="39"/>
        <v>0</v>
      </c>
      <c r="CP79" s="288">
        <f t="shared" si="39"/>
        <v>0</v>
      </c>
      <c r="CQ79" s="288">
        <f t="shared" si="80"/>
        <v>0</v>
      </c>
      <c r="CR79" s="288">
        <f t="shared" si="81"/>
        <v>0</v>
      </c>
      <c r="CS79" s="288">
        <f t="shared" si="82"/>
        <v>0</v>
      </c>
      <c r="CT79" s="288">
        <f t="shared" si="40"/>
        <v>0</v>
      </c>
      <c r="CU79" s="288">
        <f t="shared" si="84"/>
        <v>0</v>
      </c>
      <c r="CV79" s="288">
        <f t="shared" si="29"/>
        <v>0</v>
      </c>
      <c r="CW79" s="288">
        <f t="shared" si="29"/>
        <v>0</v>
      </c>
      <c r="CX79" s="288">
        <f t="shared" si="21"/>
        <v>0</v>
      </c>
      <c r="CY79" s="288">
        <f t="shared" si="21"/>
        <v>0</v>
      </c>
      <c r="CZ79" s="288">
        <f t="shared" si="21"/>
        <v>0</v>
      </c>
      <c r="DA79" s="288">
        <f t="shared" si="21"/>
        <v>0</v>
      </c>
      <c r="DB79" s="288">
        <f t="shared" si="33"/>
        <v>0</v>
      </c>
      <c r="DC79" s="288">
        <f t="shared" si="33"/>
        <v>0</v>
      </c>
      <c r="DD79" s="288">
        <f t="shared" si="33"/>
        <v>0</v>
      </c>
      <c r="DE79" s="288">
        <f t="shared" si="33"/>
        <v>0</v>
      </c>
      <c r="DG79" s="314">
        <f t="shared" si="60"/>
        <v>78</v>
      </c>
      <c r="DH79" s="289">
        <f>MAX(CA$3:CA$109)</f>
        <v>78</v>
      </c>
      <c r="DJ79" s="288">
        <f>LOOKUP(DH79, 'Mortality Table'!A:A,('Mortality Table'!J:J/'Mortality Table'!I:I))</f>
        <v>6.2633389226763092E-2</v>
      </c>
      <c r="DK79" s="288">
        <f>LOOKUP(A79, 'Mortality Table'!A:A,('Mortality Table'!J:J/'Mortality Table'!I:I))</f>
        <v>5.1086971807182996E-2</v>
      </c>
      <c r="DL79" s="288">
        <f t="shared" si="61"/>
        <v>1.1546417419580096E-2</v>
      </c>
      <c r="DN79" s="288">
        <f>LOOKUP(DH79, 'Mortality Table'!A:A,('Mortality Table'!L:L/'Mortality Table'!K:K))</f>
        <v>6.3445086878111498E-2</v>
      </c>
      <c r="DO79" s="288">
        <f>LOOKUP(A79, 'Mortality Table'!A:A,('Mortality Table'!L:L/'Mortality Table'!K:K))</f>
        <v>5.1749033617063032E-2</v>
      </c>
      <c r="DP79" s="288">
        <f t="shared" si="62"/>
        <v>1.1696053261048465E-2</v>
      </c>
      <c r="DR79" s="288">
        <f>LOOKUP(DH79, 'Mortality Table'!A:A,('Mortality Table'!N:N/'Mortality Table'!M:M))</f>
        <v>6.4870997205760728E-2</v>
      </c>
      <c r="DS79" s="288">
        <f>LOOKUP(A79, 'Mortality Table'!A:A,('Mortality Table'!N:N/'Mortality Table'!M:M))</f>
        <v>5.2912078465944729E-2</v>
      </c>
      <c r="DT79" s="288">
        <f t="shared" si="63"/>
        <v>1.1958918739815999E-2</v>
      </c>
    </row>
    <row r="80" spans="1:124">
      <c r="A80" s="288">
        <v>77</v>
      </c>
      <c r="B80" s="288">
        <v>6.1490953555366726E-2</v>
      </c>
      <c r="C80" s="288">
        <f t="shared" si="85"/>
        <v>0</v>
      </c>
      <c r="D80" s="288">
        <f t="shared" si="85"/>
        <v>0</v>
      </c>
      <c r="E80" s="288">
        <f t="shared" si="85"/>
        <v>0</v>
      </c>
      <c r="F80" s="288">
        <f t="shared" si="85"/>
        <v>0</v>
      </c>
      <c r="G80" s="288">
        <f t="shared" si="85"/>
        <v>0</v>
      </c>
      <c r="H80" s="288">
        <f t="shared" si="85"/>
        <v>0</v>
      </c>
      <c r="I80" s="288">
        <f t="shared" si="85"/>
        <v>0</v>
      </c>
      <c r="J80" s="288">
        <f t="shared" si="85"/>
        <v>0</v>
      </c>
      <c r="K80" s="288">
        <f t="shared" si="85"/>
        <v>0</v>
      </c>
      <c r="L80" s="288">
        <f t="shared" si="85"/>
        <v>0</v>
      </c>
      <c r="M80" s="288">
        <f t="shared" si="85"/>
        <v>0</v>
      </c>
      <c r="N80" s="288">
        <f t="shared" si="85"/>
        <v>0</v>
      </c>
      <c r="O80" s="288">
        <f t="shared" si="85"/>
        <v>0</v>
      </c>
      <c r="P80" s="288">
        <f t="shared" si="85"/>
        <v>0</v>
      </c>
      <c r="Q80" s="288">
        <f t="shared" si="85"/>
        <v>0</v>
      </c>
      <c r="R80" s="288">
        <f t="shared" si="31"/>
        <v>0</v>
      </c>
      <c r="S80" s="288">
        <f t="shared" si="64"/>
        <v>0</v>
      </c>
      <c r="T80" s="288">
        <f t="shared" si="65"/>
        <v>0</v>
      </c>
      <c r="U80" s="288">
        <f t="shared" si="66"/>
        <v>0</v>
      </c>
      <c r="V80" s="288">
        <f t="shared" si="67"/>
        <v>0</v>
      </c>
      <c r="W80" s="288">
        <f t="shared" si="68"/>
        <v>0</v>
      </c>
      <c r="X80" s="288">
        <f t="shared" si="69"/>
        <v>0</v>
      </c>
      <c r="Y80" s="288">
        <f t="shared" si="70"/>
        <v>0</v>
      </c>
      <c r="Z80" s="288">
        <f t="shared" si="71"/>
        <v>0</v>
      </c>
      <c r="AA80" s="288">
        <f t="shared" si="72"/>
        <v>0</v>
      </c>
      <c r="AB80" s="288">
        <f t="shared" si="73"/>
        <v>0</v>
      </c>
      <c r="AC80" s="288">
        <f t="shared" si="74"/>
        <v>0</v>
      </c>
      <c r="AD80" s="288">
        <f t="shared" si="75"/>
        <v>0</v>
      </c>
      <c r="AE80" s="288">
        <f t="shared" si="76"/>
        <v>0</v>
      </c>
      <c r="AF80" s="288">
        <f t="shared" si="77"/>
        <v>0</v>
      </c>
      <c r="AG80" s="288">
        <f t="shared" si="78"/>
        <v>0</v>
      </c>
      <c r="AH80" s="288">
        <f t="shared" si="79"/>
        <v>0</v>
      </c>
      <c r="AI80" s="288">
        <f t="shared" si="58"/>
        <v>0</v>
      </c>
      <c r="AJ80" s="288">
        <f t="shared" si="58"/>
        <v>0</v>
      </c>
      <c r="AK80" s="288">
        <f t="shared" si="58"/>
        <v>0</v>
      </c>
      <c r="AL80" s="288">
        <f t="shared" si="58"/>
        <v>0</v>
      </c>
      <c r="AM80" s="288">
        <f t="shared" si="58"/>
        <v>0</v>
      </c>
      <c r="AN80" s="288">
        <f t="shared" si="58"/>
        <v>0</v>
      </c>
      <c r="AO80" s="288">
        <f t="shared" si="58"/>
        <v>0</v>
      </c>
      <c r="AP80" s="288">
        <f t="shared" si="35"/>
        <v>0</v>
      </c>
      <c r="AQ80" s="288">
        <f t="shared" si="36"/>
        <v>0</v>
      </c>
      <c r="AR80" s="288">
        <f t="shared" si="37"/>
        <v>0</v>
      </c>
      <c r="AS80" s="288">
        <f t="shared" si="38"/>
        <v>0</v>
      </c>
      <c r="AT80" s="288">
        <f t="shared" si="34"/>
        <v>0</v>
      </c>
      <c r="AU80" s="288">
        <f t="shared" si="34"/>
        <v>0</v>
      </c>
      <c r="AV80" s="288">
        <f t="shared" si="83"/>
        <v>0</v>
      </c>
      <c r="AW80" s="288">
        <f t="shared" si="83"/>
        <v>0</v>
      </c>
      <c r="AX80" s="288">
        <f t="shared" si="83"/>
        <v>0</v>
      </c>
      <c r="AY80" s="288">
        <f t="shared" si="83"/>
        <v>0</v>
      </c>
      <c r="AZ80" s="288">
        <f t="shared" si="83"/>
        <v>0</v>
      </c>
      <c r="BA80" s="288">
        <f t="shared" si="83"/>
        <v>0</v>
      </c>
      <c r="BB80" s="288">
        <f t="shared" si="83"/>
        <v>0</v>
      </c>
      <c r="BC80" s="288">
        <f t="shared" si="83"/>
        <v>0</v>
      </c>
      <c r="BD80" s="288">
        <f t="shared" si="83"/>
        <v>0</v>
      </c>
      <c r="BE80" s="288">
        <f t="shared" si="83"/>
        <v>0</v>
      </c>
      <c r="BF80" s="288">
        <f t="shared" si="83"/>
        <v>0</v>
      </c>
      <c r="BG80" s="288">
        <f t="shared" si="83"/>
        <v>0</v>
      </c>
      <c r="BH80" s="288">
        <f t="shared" si="83"/>
        <v>0</v>
      </c>
      <c r="BI80" s="288">
        <f t="shared" si="41"/>
        <v>0</v>
      </c>
      <c r="BJ80" s="288">
        <f t="shared" si="41"/>
        <v>0</v>
      </c>
      <c r="BK80" s="288">
        <f t="shared" si="41"/>
        <v>0</v>
      </c>
      <c r="BL80" s="288">
        <f t="shared" si="41"/>
        <v>0</v>
      </c>
      <c r="BM80" s="288">
        <f t="shared" si="41"/>
        <v>0</v>
      </c>
      <c r="BN80" s="288">
        <f t="shared" si="41"/>
        <v>0</v>
      </c>
      <c r="BO80" s="288">
        <f t="shared" si="59"/>
        <v>0</v>
      </c>
      <c r="BP80" s="288">
        <f t="shared" si="59"/>
        <v>0</v>
      </c>
      <c r="BQ80" s="288">
        <f t="shared" si="59"/>
        <v>0</v>
      </c>
      <c r="BR80" s="288">
        <f t="shared" si="59"/>
        <v>0</v>
      </c>
      <c r="BS80" s="288">
        <f t="shared" si="59"/>
        <v>0</v>
      </c>
      <c r="BT80" s="288">
        <f t="shared" si="59"/>
        <v>0</v>
      </c>
      <c r="BU80" s="288">
        <f t="shared" si="59"/>
        <v>0</v>
      </c>
      <c r="BV80" s="288">
        <f t="shared" si="59"/>
        <v>0</v>
      </c>
      <c r="BW80" s="288">
        <f t="shared" si="59"/>
        <v>0</v>
      </c>
      <c r="BX80" s="288">
        <f t="shared" si="59"/>
        <v>0</v>
      </c>
      <c r="BY80" s="288">
        <f t="shared" si="59"/>
        <v>0</v>
      </c>
      <c r="BZ80" s="288">
        <f t="shared" si="59"/>
        <v>77</v>
      </c>
      <c r="CA80" s="288">
        <f t="shared" si="59"/>
        <v>0</v>
      </c>
      <c r="CB80" s="288">
        <f t="shared" si="39"/>
        <v>0</v>
      </c>
      <c r="CC80" s="288">
        <f t="shared" si="39"/>
        <v>0</v>
      </c>
      <c r="CD80" s="288">
        <f t="shared" si="39"/>
        <v>0</v>
      </c>
      <c r="CE80" s="288">
        <f t="shared" si="39"/>
        <v>0</v>
      </c>
      <c r="CF80" s="288">
        <f t="shared" si="39"/>
        <v>0</v>
      </c>
      <c r="CG80" s="288">
        <f t="shared" si="39"/>
        <v>0</v>
      </c>
      <c r="CH80" s="288">
        <f t="shared" si="39"/>
        <v>0</v>
      </c>
      <c r="CI80" s="288">
        <f t="shared" si="39"/>
        <v>0</v>
      </c>
      <c r="CJ80" s="288">
        <f t="shared" si="39"/>
        <v>0</v>
      </c>
      <c r="CK80" s="288">
        <f t="shared" si="39"/>
        <v>0</v>
      </c>
      <c r="CL80" s="288">
        <f t="shared" si="39"/>
        <v>0</v>
      </c>
      <c r="CM80" s="288">
        <f t="shared" si="39"/>
        <v>0</v>
      </c>
      <c r="CN80" s="288">
        <f t="shared" si="39"/>
        <v>0</v>
      </c>
      <c r="CO80" s="288">
        <f t="shared" si="39"/>
        <v>0</v>
      </c>
      <c r="CP80" s="288">
        <f t="shared" si="39"/>
        <v>0</v>
      </c>
      <c r="CQ80" s="288">
        <f t="shared" si="80"/>
        <v>0</v>
      </c>
      <c r="CR80" s="288">
        <f t="shared" si="81"/>
        <v>0</v>
      </c>
      <c r="CS80" s="288">
        <f t="shared" si="82"/>
        <v>0</v>
      </c>
      <c r="CT80" s="288">
        <f t="shared" si="40"/>
        <v>0</v>
      </c>
      <c r="CU80" s="288">
        <f t="shared" si="84"/>
        <v>0</v>
      </c>
      <c r="CV80" s="288">
        <f t="shared" si="29"/>
        <v>0</v>
      </c>
      <c r="CW80" s="288">
        <f t="shared" si="29"/>
        <v>0</v>
      </c>
      <c r="CX80" s="288">
        <f t="shared" si="21"/>
        <v>0</v>
      </c>
      <c r="CY80" s="288">
        <f t="shared" si="21"/>
        <v>0</v>
      </c>
      <c r="CZ80" s="288">
        <f t="shared" si="21"/>
        <v>0</v>
      </c>
      <c r="DA80" s="288">
        <f t="shared" si="21"/>
        <v>0</v>
      </c>
      <c r="DB80" s="288">
        <f t="shared" si="33"/>
        <v>0</v>
      </c>
      <c r="DC80" s="288">
        <f t="shared" si="33"/>
        <v>0</v>
      </c>
      <c r="DD80" s="288">
        <f t="shared" si="33"/>
        <v>0</v>
      </c>
      <c r="DE80" s="288">
        <f t="shared" si="33"/>
        <v>0</v>
      </c>
      <c r="DG80" s="314">
        <f t="shared" si="60"/>
        <v>79</v>
      </c>
      <c r="DH80" s="289">
        <f>MAX(CB$3:CB$109)</f>
        <v>79</v>
      </c>
      <c r="DJ80" s="288">
        <f>LOOKUP(DH80, 'Mortality Table'!A:A,('Mortality Table'!J:J/'Mortality Table'!I:I))</f>
        <v>6.8972749373137007E-2</v>
      </c>
      <c r="DK80" s="288">
        <f>LOOKUP(A80, 'Mortality Table'!A:A,('Mortality Table'!J:J/'Mortality Table'!I:I))</f>
        <v>5.6607011073435319E-2</v>
      </c>
      <c r="DL80" s="288">
        <f t="shared" si="61"/>
        <v>1.2365738299701688E-2</v>
      </c>
      <c r="DN80" s="288">
        <f>LOOKUP(DH80, 'Mortality Table'!A:A,('Mortality Table'!L:L/'Mortality Table'!K:K))</f>
        <v>6.9866601986964663E-2</v>
      </c>
      <c r="DO80" s="288">
        <f>LOOKUP(A80, 'Mortality Table'!A:A,('Mortality Table'!L:L/'Mortality Table'!K:K))</f>
        <v>5.7340609853661219E-2</v>
      </c>
      <c r="DP80" s="288">
        <f t="shared" si="62"/>
        <v>1.2525992133303444E-2</v>
      </c>
      <c r="DR80" s="288">
        <f>LOOKUP(DH80, 'Mortality Table'!A:A,('Mortality Table'!N:N/'Mortality Table'!M:M))</f>
        <v>7.1436834044844244E-2</v>
      </c>
      <c r="DS80" s="288">
        <f>LOOKUP(A80, 'Mortality Table'!A:A,('Mortality Table'!N:N/'Mortality Table'!M:M))</f>
        <v>5.8629323792080391E-2</v>
      </c>
      <c r="DT80" s="288">
        <f t="shared" si="63"/>
        <v>1.2807510252763853E-2</v>
      </c>
    </row>
    <row r="81" spans="1:124">
      <c r="A81" s="288">
        <v>78</v>
      </c>
      <c r="B81" s="288">
        <v>6.8037275859023055E-2</v>
      </c>
      <c r="C81" s="288">
        <f t="shared" si="85"/>
        <v>0</v>
      </c>
      <c r="D81" s="288">
        <f t="shared" si="85"/>
        <v>0</v>
      </c>
      <c r="E81" s="288">
        <f t="shared" si="85"/>
        <v>0</v>
      </c>
      <c r="F81" s="288">
        <f t="shared" si="85"/>
        <v>0</v>
      </c>
      <c r="G81" s="288">
        <f t="shared" si="85"/>
        <v>0</v>
      </c>
      <c r="H81" s="288">
        <f t="shared" si="85"/>
        <v>0</v>
      </c>
      <c r="I81" s="288">
        <f t="shared" si="85"/>
        <v>0</v>
      </c>
      <c r="J81" s="288">
        <f t="shared" si="85"/>
        <v>0</v>
      </c>
      <c r="K81" s="288">
        <f t="shared" si="85"/>
        <v>0</v>
      </c>
      <c r="L81" s="288">
        <f t="shared" si="85"/>
        <v>0</v>
      </c>
      <c r="M81" s="288">
        <f t="shared" si="85"/>
        <v>0</v>
      </c>
      <c r="N81" s="288">
        <f t="shared" si="85"/>
        <v>0</v>
      </c>
      <c r="O81" s="288">
        <f t="shared" si="85"/>
        <v>0</v>
      </c>
      <c r="P81" s="288">
        <f t="shared" si="85"/>
        <v>0</v>
      </c>
      <c r="Q81" s="288">
        <f t="shared" si="85"/>
        <v>0</v>
      </c>
      <c r="R81" s="288">
        <f t="shared" si="31"/>
        <v>0</v>
      </c>
      <c r="S81" s="288">
        <f t="shared" si="64"/>
        <v>0</v>
      </c>
      <c r="T81" s="288">
        <f t="shared" si="65"/>
        <v>0</v>
      </c>
      <c r="U81" s="288">
        <f t="shared" si="66"/>
        <v>0</v>
      </c>
      <c r="V81" s="288">
        <f t="shared" si="67"/>
        <v>0</v>
      </c>
      <c r="W81" s="288">
        <f t="shared" si="68"/>
        <v>0</v>
      </c>
      <c r="X81" s="288">
        <f t="shared" si="69"/>
        <v>0</v>
      </c>
      <c r="Y81" s="288">
        <f t="shared" si="70"/>
        <v>0</v>
      </c>
      <c r="Z81" s="288">
        <f t="shared" si="71"/>
        <v>0</v>
      </c>
      <c r="AA81" s="288">
        <f t="shared" si="72"/>
        <v>0</v>
      </c>
      <c r="AB81" s="288">
        <f t="shared" si="73"/>
        <v>0</v>
      </c>
      <c r="AC81" s="288">
        <f t="shared" si="74"/>
        <v>0</v>
      </c>
      <c r="AD81" s="288">
        <f t="shared" si="75"/>
        <v>0</v>
      </c>
      <c r="AE81" s="288">
        <f t="shared" si="76"/>
        <v>0</v>
      </c>
      <c r="AF81" s="288">
        <f t="shared" si="77"/>
        <v>0</v>
      </c>
      <c r="AG81" s="288">
        <f t="shared" si="78"/>
        <v>0</v>
      </c>
      <c r="AH81" s="288">
        <f t="shared" si="79"/>
        <v>0</v>
      </c>
      <c r="AI81" s="288">
        <f t="shared" si="58"/>
        <v>0</v>
      </c>
      <c r="AJ81" s="288">
        <f t="shared" si="58"/>
        <v>0</v>
      </c>
      <c r="AK81" s="288">
        <f t="shared" si="58"/>
        <v>0</v>
      </c>
      <c r="AL81" s="288">
        <f t="shared" si="58"/>
        <v>0</v>
      </c>
      <c r="AM81" s="288">
        <f t="shared" si="58"/>
        <v>0</v>
      </c>
      <c r="AN81" s="288">
        <f t="shared" si="58"/>
        <v>0</v>
      </c>
      <c r="AO81" s="288">
        <f t="shared" si="58"/>
        <v>0</v>
      </c>
      <c r="AP81" s="288">
        <f t="shared" si="35"/>
        <v>0</v>
      </c>
      <c r="AQ81" s="288">
        <f t="shared" si="36"/>
        <v>0</v>
      </c>
      <c r="AR81" s="288">
        <f t="shared" si="37"/>
        <v>0</v>
      </c>
      <c r="AS81" s="288">
        <f t="shared" si="38"/>
        <v>0</v>
      </c>
      <c r="AT81" s="288">
        <f t="shared" si="34"/>
        <v>0</v>
      </c>
      <c r="AU81" s="288">
        <f t="shared" si="34"/>
        <v>0</v>
      </c>
      <c r="AV81" s="288">
        <f t="shared" si="83"/>
        <v>0</v>
      </c>
      <c r="AW81" s="288">
        <f t="shared" si="83"/>
        <v>0</v>
      </c>
      <c r="AX81" s="288">
        <f t="shared" si="83"/>
        <v>0</v>
      </c>
      <c r="AY81" s="288">
        <f t="shared" si="83"/>
        <v>0</v>
      </c>
      <c r="AZ81" s="288">
        <f t="shared" si="83"/>
        <v>0</v>
      </c>
      <c r="BA81" s="288">
        <f t="shared" si="83"/>
        <v>0</v>
      </c>
      <c r="BB81" s="288">
        <f t="shared" si="83"/>
        <v>0</v>
      </c>
      <c r="BC81" s="288">
        <f t="shared" si="83"/>
        <v>0</v>
      </c>
      <c r="BD81" s="288">
        <f t="shared" si="83"/>
        <v>0</v>
      </c>
      <c r="BE81" s="288">
        <f t="shared" si="83"/>
        <v>0</v>
      </c>
      <c r="BF81" s="288">
        <f t="shared" si="83"/>
        <v>0</v>
      </c>
      <c r="BG81" s="288">
        <f t="shared" si="83"/>
        <v>0</v>
      </c>
      <c r="BH81" s="288">
        <f t="shared" si="83"/>
        <v>0</v>
      </c>
      <c r="BI81" s="288">
        <f t="shared" si="41"/>
        <v>0</v>
      </c>
      <c r="BJ81" s="288">
        <f t="shared" si="41"/>
        <v>0</v>
      </c>
      <c r="BK81" s="288">
        <f t="shared" si="41"/>
        <v>0</v>
      </c>
      <c r="BL81" s="288">
        <f t="shared" si="41"/>
        <v>0</v>
      </c>
      <c r="BM81" s="288">
        <f t="shared" si="41"/>
        <v>0</v>
      </c>
      <c r="BN81" s="288">
        <f t="shared" si="41"/>
        <v>0</v>
      </c>
      <c r="BO81" s="288">
        <f t="shared" si="59"/>
        <v>0</v>
      </c>
      <c r="BP81" s="288">
        <f t="shared" si="59"/>
        <v>0</v>
      </c>
      <c r="BQ81" s="288">
        <f t="shared" si="59"/>
        <v>0</v>
      </c>
      <c r="BR81" s="288">
        <f t="shared" si="59"/>
        <v>0</v>
      </c>
      <c r="BS81" s="288">
        <f t="shared" si="59"/>
        <v>0</v>
      </c>
      <c r="BT81" s="288">
        <f t="shared" si="59"/>
        <v>0</v>
      </c>
      <c r="BU81" s="288">
        <f t="shared" si="59"/>
        <v>0</v>
      </c>
      <c r="BV81" s="288">
        <f t="shared" si="59"/>
        <v>0</v>
      </c>
      <c r="BW81" s="288">
        <f t="shared" si="59"/>
        <v>0</v>
      </c>
      <c r="BX81" s="288">
        <f t="shared" si="59"/>
        <v>0</v>
      </c>
      <c r="BY81" s="288">
        <f t="shared" si="59"/>
        <v>0</v>
      </c>
      <c r="BZ81" s="288">
        <f t="shared" si="59"/>
        <v>0</v>
      </c>
      <c r="CA81" s="288">
        <f t="shared" si="59"/>
        <v>78</v>
      </c>
      <c r="CB81" s="288">
        <f t="shared" si="39"/>
        <v>0</v>
      </c>
      <c r="CC81" s="288">
        <f t="shared" si="39"/>
        <v>0</v>
      </c>
      <c r="CD81" s="288">
        <f t="shared" si="39"/>
        <v>0</v>
      </c>
      <c r="CE81" s="288">
        <f t="shared" si="39"/>
        <v>0</v>
      </c>
      <c r="CF81" s="288">
        <f t="shared" si="39"/>
        <v>0</v>
      </c>
      <c r="CG81" s="288">
        <f t="shared" si="39"/>
        <v>0</v>
      </c>
      <c r="CH81" s="288">
        <f t="shared" si="39"/>
        <v>0</v>
      </c>
      <c r="CI81" s="288">
        <f t="shared" si="39"/>
        <v>0</v>
      </c>
      <c r="CJ81" s="288">
        <f t="shared" si="39"/>
        <v>0</v>
      </c>
      <c r="CK81" s="288">
        <f t="shared" si="39"/>
        <v>0</v>
      </c>
      <c r="CL81" s="288">
        <f t="shared" si="39"/>
        <v>0</v>
      </c>
      <c r="CM81" s="288">
        <f t="shared" si="39"/>
        <v>0</v>
      </c>
      <c r="CN81" s="288">
        <f t="shared" si="39"/>
        <v>0</v>
      </c>
      <c r="CO81" s="288">
        <f t="shared" si="39"/>
        <v>0</v>
      </c>
      <c r="CP81" s="288">
        <f t="shared" si="39"/>
        <v>0</v>
      </c>
      <c r="CQ81" s="288">
        <f t="shared" si="80"/>
        <v>0</v>
      </c>
      <c r="CR81" s="288">
        <f t="shared" si="81"/>
        <v>0</v>
      </c>
      <c r="CS81" s="288">
        <f t="shared" si="82"/>
        <v>0</v>
      </c>
      <c r="CT81" s="288">
        <f t="shared" si="40"/>
        <v>0</v>
      </c>
      <c r="CU81" s="288">
        <f t="shared" si="84"/>
        <v>0</v>
      </c>
      <c r="CV81" s="288">
        <f t="shared" si="29"/>
        <v>0</v>
      </c>
      <c r="CW81" s="288">
        <f t="shared" si="29"/>
        <v>0</v>
      </c>
      <c r="CX81" s="288">
        <f t="shared" si="21"/>
        <v>0</v>
      </c>
      <c r="CY81" s="288">
        <f t="shared" si="21"/>
        <v>0</v>
      </c>
      <c r="CZ81" s="288">
        <f t="shared" si="21"/>
        <v>0</v>
      </c>
      <c r="DA81" s="288">
        <f t="shared" si="21"/>
        <v>0</v>
      </c>
      <c r="DB81" s="288">
        <f t="shared" si="33"/>
        <v>0</v>
      </c>
      <c r="DC81" s="288">
        <f t="shared" si="33"/>
        <v>0</v>
      </c>
      <c r="DD81" s="288">
        <f t="shared" si="33"/>
        <v>0</v>
      </c>
      <c r="DE81" s="288">
        <f t="shared" si="33"/>
        <v>0</v>
      </c>
      <c r="DG81" s="314">
        <f t="shared" si="60"/>
        <v>80</v>
      </c>
      <c r="DH81" s="289">
        <f>MAX(CC$3:CC$109)</f>
        <v>80</v>
      </c>
      <c r="DJ81" s="288">
        <f>LOOKUP(DH81, 'Mortality Table'!A:A,('Mortality Table'!J:J/'Mortality Table'!I:I))</f>
        <v>7.5855857836092999E-2</v>
      </c>
      <c r="DK81" s="288">
        <f>LOOKUP(A81, 'Mortality Table'!A:A,('Mortality Table'!J:J/'Mortality Table'!I:I))</f>
        <v>6.2633389226763092E-2</v>
      </c>
      <c r="DL81" s="288">
        <f t="shared" si="61"/>
        <v>1.3222468609329907E-2</v>
      </c>
      <c r="DN81" s="288">
        <f>LOOKUP(DH81, 'Mortality Table'!A:A,('Mortality Table'!L:L/'Mortality Table'!K:K))</f>
        <v>7.6838912120823846E-2</v>
      </c>
      <c r="DO81" s="288">
        <f>LOOKUP(A81, 'Mortality Table'!A:A,('Mortality Table'!L:L/'Mortality Table'!K:K))</f>
        <v>6.3445086878111498E-2</v>
      </c>
      <c r="DP81" s="288">
        <f t="shared" si="62"/>
        <v>1.3393825242712348E-2</v>
      </c>
      <c r="DR81" s="288">
        <f>LOOKUP(DH81, 'Mortality Table'!A:A,('Mortality Table'!N:N/'Mortality Table'!M:M))</f>
        <v>7.8565844870855453E-2</v>
      </c>
      <c r="DS81" s="288">
        <f>LOOKUP(A81, 'Mortality Table'!A:A,('Mortality Table'!N:N/'Mortality Table'!M:M))</f>
        <v>6.4870997205760728E-2</v>
      </c>
      <c r="DT81" s="288">
        <f t="shared" si="63"/>
        <v>1.3694847665094725E-2</v>
      </c>
    </row>
    <row r="82" spans="1:124">
      <c r="A82" s="288">
        <v>79</v>
      </c>
      <c r="B82" s="288">
        <v>7.4923583631495386E-2</v>
      </c>
      <c r="C82" s="288">
        <f t="shared" si="85"/>
        <v>0</v>
      </c>
      <c r="D82" s="288">
        <f t="shared" si="85"/>
        <v>0</v>
      </c>
      <c r="E82" s="288">
        <f t="shared" si="85"/>
        <v>0</v>
      </c>
      <c r="F82" s="288">
        <f t="shared" si="85"/>
        <v>0</v>
      </c>
      <c r="G82" s="288">
        <f t="shared" si="85"/>
        <v>0</v>
      </c>
      <c r="H82" s="288">
        <f t="shared" si="85"/>
        <v>0</v>
      </c>
      <c r="I82" s="288">
        <f t="shared" si="85"/>
        <v>0</v>
      </c>
      <c r="J82" s="288">
        <f t="shared" si="85"/>
        <v>0</v>
      </c>
      <c r="K82" s="288">
        <f t="shared" si="85"/>
        <v>0</v>
      </c>
      <c r="L82" s="288">
        <f t="shared" si="85"/>
        <v>0</v>
      </c>
      <c r="M82" s="288">
        <f t="shared" si="85"/>
        <v>0</v>
      </c>
      <c r="N82" s="288">
        <f t="shared" si="85"/>
        <v>0</v>
      </c>
      <c r="O82" s="288">
        <f t="shared" si="85"/>
        <v>0</v>
      </c>
      <c r="P82" s="288">
        <f t="shared" si="85"/>
        <v>0</v>
      </c>
      <c r="Q82" s="288">
        <f t="shared" si="85"/>
        <v>0</v>
      </c>
      <c r="R82" s="288">
        <f t="shared" si="31"/>
        <v>0</v>
      </c>
      <c r="S82" s="288">
        <f t="shared" si="64"/>
        <v>0</v>
      </c>
      <c r="T82" s="288">
        <f t="shared" si="65"/>
        <v>0</v>
      </c>
      <c r="U82" s="288">
        <f t="shared" si="66"/>
        <v>0</v>
      </c>
      <c r="V82" s="288">
        <f t="shared" si="67"/>
        <v>0</v>
      </c>
      <c r="W82" s="288">
        <f t="shared" si="68"/>
        <v>0</v>
      </c>
      <c r="X82" s="288">
        <f t="shared" si="69"/>
        <v>0</v>
      </c>
      <c r="Y82" s="288">
        <f t="shared" si="70"/>
        <v>0</v>
      </c>
      <c r="Z82" s="288">
        <f t="shared" si="71"/>
        <v>0</v>
      </c>
      <c r="AA82" s="288">
        <f t="shared" si="72"/>
        <v>0</v>
      </c>
      <c r="AB82" s="288">
        <f t="shared" si="73"/>
        <v>0</v>
      </c>
      <c r="AC82" s="288">
        <f t="shared" si="74"/>
        <v>0</v>
      </c>
      <c r="AD82" s="288">
        <f t="shared" si="75"/>
        <v>0</v>
      </c>
      <c r="AE82" s="288">
        <f t="shared" si="76"/>
        <v>0</v>
      </c>
      <c r="AF82" s="288">
        <f t="shared" si="77"/>
        <v>0</v>
      </c>
      <c r="AG82" s="288">
        <f t="shared" si="78"/>
        <v>0</v>
      </c>
      <c r="AH82" s="288">
        <f t="shared" si="79"/>
        <v>0</v>
      </c>
      <c r="AI82" s="288">
        <f t="shared" si="58"/>
        <v>0</v>
      </c>
      <c r="AJ82" s="288">
        <f t="shared" si="58"/>
        <v>0</v>
      </c>
      <c r="AK82" s="288">
        <f t="shared" si="58"/>
        <v>0</v>
      </c>
      <c r="AL82" s="288">
        <f t="shared" si="58"/>
        <v>0</v>
      </c>
      <c r="AM82" s="288">
        <f t="shared" si="58"/>
        <v>0</v>
      </c>
      <c r="AN82" s="288">
        <f t="shared" si="58"/>
        <v>0</v>
      </c>
      <c r="AO82" s="288">
        <f t="shared" si="58"/>
        <v>0</v>
      </c>
      <c r="AP82" s="288">
        <f t="shared" si="35"/>
        <v>0</v>
      </c>
      <c r="AQ82" s="288">
        <f t="shared" si="36"/>
        <v>0</v>
      </c>
      <c r="AR82" s="288">
        <f t="shared" si="37"/>
        <v>0</v>
      </c>
      <c r="AS82" s="288">
        <f t="shared" si="38"/>
        <v>0</v>
      </c>
      <c r="AT82" s="288">
        <f t="shared" si="34"/>
        <v>0</v>
      </c>
      <c r="AU82" s="288">
        <f t="shared" si="34"/>
        <v>0</v>
      </c>
      <c r="AV82" s="288">
        <f t="shared" si="83"/>
        <v>0</v>
      </c>
      <c r="AW82" s="288">
        <f t="shared" si="83"/>
        <v>0</v>
      </c>
      <c r="AX82" s="288">
        <f t="shared" si="83"/>
        <v>0</v>
      </c>
      <c r="AY82" s="288">
        <f t="shared" si="83"/>
        <v>0</v>
      </c>
      <c r="AZ82" s="288">
        <f t="shared" si="83"/>
        <v>0</v>
      </c>
      <c r="BA82" s="288">
        <f t="shared" si="83"/>
        <v>0</v>
      </c>
      <c r="BB82" s="288">
        <f t="shared" si="83"/>
        <v>0</v>
      </c>
      <c r="BC82" s="288">
        <f t="shared" si="83"/>
        <v>0</v>
      </c>
      <c r="BD82" s="288">
        <f t="shared" si="83"/>
        <v>0</v>
      </c>
      <c r="BE82" s="288">
        <f t="shared" si="83"/>
        <v>0</v>
      </c>
      <c r="BF82" s="288">
        <f t="shared" si="83"/>
        <v>0</v>
      </c>
      <c r="BG82" s="288">
        <f t="shared" si="83"/>
        <v>0</v>
      </c>
      <c r="BH82" s="288">
        <f t="shared" si="83"/>
        <v>0</v>
      </c>
      <c r="BI82" s="288">
        <f t="shared" si="41"/>
        <v>0</v>
      </c>
      <c r="BJ82" s="288">
        <f t="shared" si="41"/>
        <v>0</v>
      </c>
      <c r="BK82" s="288">
        <f t="shared" si="41"/>
        <v>0</v>
      </c>
      <c r="BL82" s="288">
        <f t="shared" si="41"/>
        <v>0</v>
      </c>
      <c r="BM82" s="288">
        <f t="shared" si="41"/>
        <v>0</v>
      </c>
      <c r="BN82" s="288">
        <f t="shared" si="41"/>
        <v>0</v>
      </c>
      <c r="BO82" s="288">
        <f t="shared" si="59"/>
        <v>0</v>
      </c>
      <c r="BP82" s="288">
        <f t="shared" si="59"/>
        <v>0</v>
      </c>
      <c r="BQ82" s="288">
        <f t="shared" si="59"/>
        <v>0</v>
      </c>
      <c r="BR82" s="288">
        <f t="shared" si="59"/>
        <v>0</v>
      </c>
      <c r="BS82" s="288">
        <f t="shared" si="59"/>
        <v>0</v>
      </c>
      <c r="BT82" s="288">
        <f t="shared" si="59"/>
        <v>0</v>
      </c>
      <c r="BU82" s="288">
        <f t="shared" si="59"/>
        <v>0</v>
      </c>
      <c r="BV82" s="288">
        <f t="shared" si="59"/>
        <v>0</v>
      </c>
      <c r="BW82" s="288">
        <f t="shared" si="59"/>
        <v>0</v>
      </c>
      <c r="BX82" s="288">
        <f t="shared" si="59"/>
        <v>0</v>
      </c>
      <c r="BY82" s="288">
        <f t="shared" si="59"/>
        <v>0</v>
      </c>
      <c r="BZ82" s="288">
        <f t="shared" si="59"/>
        <v>0</v>
      </c>
      <c r="CA82" s="288">
        <f t="shared" si="59"/>
        <v>0</v>
      </c>
      <c r="CB82" s="288">
        <f t="shared" si="39"/>
        <v>79</v>
      </c>
      <c r="CC82" s="288">
        <f t="shared" si="39"/>
        <v>0</v>
      </c>
      <c r="CD82" s="288">
        <f t="shared" si="39"/>
        <v>0</v>
      </c>
      <c r="CE82" s="288">
        <f t="shared" si="39"/>
        <v>0</v>
      </c>
      <c r="CF82" s="288">
        <f t="shared" si="39"/>
        <v>0</v>
      </c>
      <c r="CG82" s="288">
        <f t="shared" si="39"/>
        <v>0</v>
      </c>
      <c r="CH82" s="288">
        <f t="shared" si="39"/>
        <v>0</v>
      </c>
      <c r="CI82" s="288">
        <f t="shared" si="39"/>
        <v>0</v>
      </c>
      <c r="CJ82" s="288">
        <f t="shared" si="39"/>
        <v>0</v>
      </c>
      <c r="CK82" s="288">
        <f t="shared" si="39"/>
        <v>0</v>
      </c>
      <c r="CL82" s="288">
        <f t="shared" si="39"/>
        <v>0</v>
      </c>
      <c r="CM82" s="288">
        <f t="shared" si="39"/>
        <v>0</v>
      </c>
      <c r="CN82" s="288">
        <f t="shared" si="39"/>
        <v>0</v>
      </c>
      <c r="CO82" s="288">
        <f t="shared" si="39"/>
        <v>0</v>
      </c>
      <c r="CP82" s="288">
        <f t="shared" si="39"/>
        <v>0</v>
      </c>
      <c r="CQ82" s="288">
        <f t="shared" si="80"/>
        <v>0</v>
      </c>
      <c r="CR82" s="288">
        <f t="shared" si="81"/>
        <v>0</v>
      </c>
      <c r="CS82" s="288">
        <f t="shared" si="82"/>
        <v>0</v>
      </c>
      <c r="CT82" s="288">
        <f t="shared" si="40"/>
        <v>0</v>
      </c>
      <c r="CU82" s="288">
        <f t="shared" si="84"/>
        <v>0</v>
      </c>
      <c r="CV82" s="288">
        <f t="shared" si="29"/>
        <v>0</v>
      </c>
      <c r="CW82" s="288">
        <f t="shared" si="29"/>
        <v>0</v>
      </c>
      <c r="CX82" s="288">
        <f t="shared" si="21"/>
        <v>0</v>
      </c>
      <c r="CY82" s="288">
        <f t="shared" si="21"/>
        <v>0</v>
      </c>
      <c r="CZ82" s="288">
        <f t="shared" si="21"/>
        <v>0</v>
      </c>
      <c r="DA82" s="288">
        <f t="shared" si="21"/>
        <v>0</v>
      </c>
      <c r="DB82" s="288">
        <f t="shared" si="33"/>
        <v>0</v>
      </c>
      <c r="DC82" s="288">
        <f t="shared" si="33"/>
        <v>0</v>
      </c>
      <c r="DD82" s="288">
        <f t="shared" si="33"/>
        <v>0</v>
      </c>
      <c r="DE82" s="288">
        <f t="shared" si="33"/>
        <v>0</v>
      </c>
      <c r="DG82" s="314">
        <f t="shared" si="60"/>
        <v>81</v>
      </c>
      <c r="DH82" s="289">
        <f>MAX(CD$3:CD$109)</f>
        <v>81</v>
      </c>
      <c r="DJ82" s="288">
        <f>LOOKUP(DH82, 'Mortality Table'!A:A,('Mortality Table'!J:J/'Mortality Table'!I:I))</f>
        <v>8.4954770175632535E-2</v>
      </c>
      <c r="DK82" s="288">
        <f>LOOKUP(A82, 'Mortality Table'!A:A,('Mortality Table'!J:J/'Mortality Table'!I:I))</f>
        <v>6.8972749373137007E-2</v>
      </c>
      <c r="DL82" s="288">
        <f t="shared" si="61"/>
        <v>1.5982020802495528E-2</v>
      </c>
      <c r="DN82" s="288">
        <f>LOOKUP(DH82, 'Mortality Table'!A:A,('Mortality Table'!L:L/'Mortality Table'!K:K))</f>
        <v>8.6055741850225256E-2</v>
      </c>
      <c r="DO82" s="288">
        <f>LOOKUP(A82, 'Mortality Table'!A:A,('Mortality Table'!L:L/'Mortality Table'!K:K))</f>
        <v>6.9866601986964663E-2</v>
      </c>
      <c r="DP82" s="288">
        <f t="shared" si="62"/>
        <v>1.6189139863260593E-2</v>
      </c>
      <c r="DR82" s="288">
        <f>LOOKUP(DH82, 'Mortality Table'!A:A,('Mortality Table'!N:N/'Mortality Table'!M:M))</f>
        <v>8.7989820233528498E-2</v>
      </c>
      <c r="DS82" s="288">
        <f>LOOKUP(A82, 'Mortality Table'!A:A,('Mortality Table'!N:N/'Mortality Table'!M:M))</f>
        <v>7.1436834044844244E-2</v>
      </c>
      <c r="DT82" s="288">
        <f t="shared" si="63"/>
        <v>1.6552986188684254E-2</v>
      </c>
    </row>
    <row r="83" spans="1:124">
      <c r="A83" s="288">
        <v>80</v>
      </c>
      <c r="B83" s="288">
        <v>8.2400553264516785E-2</v>
      </c>
      <c r="C83" s="288">
        <f t="shared" si="85"/>
        <v>0</v>
      </c>
      <c r="D83" s="288">
        <f t="shared" si="85"/>
        <v>0</v>
      </c>
      <c r="E83" s="288">
        <f t="shared" si="85"/>
        <v>0</v>
      </c>
      <c r="F83" s="288">
        <f t="shared" si="85"/>
        <v>0</v>
      </c>
      <c r="G83" s="288">
        <f t="shared" si="85"/>
        <v>0</v>
      </c>
      <c r="H83" s="288">
        <f t="shared" si="85"/>
        <v>0</v>
      </c>
      <c r="I83" s="288">
        <f t="shared" si="85"/>
        <v>0</v>
      </c>
      <c r="J83" s="288">
        <f t="shared" si="85"/>
        <v>0</v>
      </c>
      <c r="K83" s="288">
        <f t="shared" si="85"/>
        <v>0</v>
      </c>
      <c r="L83" s="288">
        <f t="shared" si="85"/>
        <v>0</v>
      </c>
      <c r="M83" s="288">
        <f t="shared" si="85"/>
        <v>0</v>
      </c>
      <c r="N83" s="288">
        <f t="shared" si="85"/>
        <v>0</v>
      </c>
      <c r="O83" s="288">
        <f t="shared" si="85"/>
        <v>0</v>
      </c>
      <c r="P83" s="288">
        <f t="shared" si="85"/>
        <v>0</v>
      </c>
      <c r="Q83" s="288">
        <f t="shared" si="85"/>
        <v>0</v>
      </c>
      <c r="R83" s="288">
        <f t="shared" si="31"/>
        <v>0</v>
      </c>
      <c r="S83" s="288">
        <f t="shared" ref="S83:X83" si="86">IF(S$2&gt;$B83,(IF(S$2&lt;=$B84,(IF(AVERAGE($B83,$B84)&gt;S$2,$A83,$A84)),0)),0)</f>
        <v>0</v>
      </c>
      <c r="T83" s="288">
        <f t="shared" si="86"/>
        <v>0</v>
      </c>
      <c r="U83" s="288">
        <f t="shared" si="86"/>
        <v>0</v>
      </c>
      <c r="V83" s="288">
        <f t="shared" si="86"/>
        <v>0</v>
      </c>
      <c r="W83" s="288">
        <f t="shared" si="86"/>
        <v>0</v>
      </c>
      <c r="X83" s="288">
        <f t="shared" si="86"/>
        <v>0</v>
      </c>
      <c r="Y83" s="288">
        <f t="shared" ref="V83:AK103" si="87">IF(Y$2&gt;$B83,(IF(Y$2&lt;=$B84,(IF(AVERAGE($B83,$B84)&gt;Y$2,$A83,$A84)),0)),0)</f>
        <v>0</v>
      </c>
      <c r="Z83" s="288">
        <f t="shared" si="87"/>
        <v>0</v>
      </c>
      <c r="AA83" s="288">
        <f t="shared" si="87"/>
        <v>0</v>
      </c>
      <c r="AB83" s="288">
        <f t="shared" si="87"/>
        <v>0</v>
      </c>
      <c r="AC83" s="288">
        <f t="shared" si="87"/>
        <v>0</v>
      </c>
      <c r="AD83" s="288">
        <f t="shared" si="87"/>
        <v>0</v>
      </c>
      <c r="AE83" s="288">
        <f t="shared" si="87"/>
        <v>0</v>
      </c>
      <c r="AF83" s="288">
        <f t="shared" si="87"/>
        <v>0</v>
      </c>
      <c r="AG83" s="288">
        <f t="shared" si="87"/>
        <v>0</v>
      </c>
      <c r="AH83" s="288">
        <f t="shared" ref="AH83:AH99" si="88">IF(AH$2&gt;$B83,(IF(AH$2&lt;=$B84,(IF(AVERAGE($B83,$B84)&gt;AH$2,$A83,$A84)),0)),0)</f>
        <v>0</v>
      </c>
      <c r="AI83" s="288">
        <f t="shared" si="58"/>
        <v>0</v>
      </c>
      <c r="AJ83" s="288">
        <f t="shared" si="58"/>
        <v>0</v>
      </c>
      <c r="AK83" s="288">
        <f t="shared" si="58"/>
        <v>0</v>
      </c>
      <c r="AL83" s="288">
        <f t="shared" si="58"/>
        <v>0</v>
      </c>
      <c r="AM83" s="288">
        <f t="shared" si="58"/>
        <v>0</v>
      </c>
      <c r="AN83" s="288">
        <f t="shared" si="58"/>
        <v>0</v>
      </c>
      <c r="AO83" s="288">
        <f t="shared" si="58"/>
        <v>0</v>
      </c>
      <c r="AP83" s="288">
        <f t="shared" si="35"/>
        <v>0</v>
      </c>
      <c r="AQ83" s="288">
        <f t="shared" si="36"/>
        <v>0</v>
      </c>
      <c r="AR83" s="288">
        <f t="shared" si="37"/>
        <v>0</v>
      </c>
      <c r="AS83" s="288">
        <f t="shared" si="38"/>
        <v>0</v>
      </c>
      <c r="AT83" s="288">
        <f t="shared" ref="AT83:AT97" si="89">IF(AT$2&gt;$B83,(IF(AT$2&lt;=$B84,(IF(AVERAGE($B83,$B84)&gt;AT$2,$A83,$A84)),0)),0)</f>
        <v>0</v>
      </c>
      <c r="AU83" s="288">
        <f t="shared" ref="AU83:AU97" si="90">IF(AU$2&gt;$B83,(IF(AU$2&lt;=$B84,(IF(AVERAGE($B83,$B84)&gt;AU$2,$A83,$A84)),0)),0)</f>
        <v>0</v>
      </c>
      <c r="AV83" s="288">
        <f t="shared" si="83"/>
        <v>0</v>
      </c>
      <c r="AW83" s="288">
        <f t="shared" si="83"/>
        <v>0</v>
      </c>
      <c r="AX83" s="288">
        <f t="shared" si="83"/>
        <v>0</v>
      </c>
      <c r="AY83" s="288">
        <f t="shared" si="83"/>
        <v>0</v>
      </c>
      <c r="AZ83" s="288">
        <f t="shared" si="83"/>
        <v>0</v>
      </c>
      <c r="BA83" s="288">
        <f t="shared" si="83"/>
        <v>0</v>
      </c>
      <c r="BB83" s="288">
        <f t="shared" si="83"/>
        <v>0</v>
      </c>
      <c r="BC83" s="288">
        <f t="shared" si="83"/>
        <v>0</v>
      </c>
      <c r="BD83" s="288">
        <f t="shared" si="83"/>
        <v>0</v>
      </c>
      <c r="BE83" s="288">
        <f t="shared" si="83"/>
        <v>0</v>
      </c>
      <c r="BF83" s="288">
        <f t="shared" si="83"/>
        <v>0</v>
      </c>
      <c r="BG83" s="288">
        <f t="shared" si="83"/>
        <v>0</v>
      </c>
      <c r="BH83" s="288">
        <f t="shared" si="83"/>
        <v>0</v>
      </c>
      <c r="BI83" s="288">
        <f t="shared" si="41"/>
        <v>0</v>
      </c>
      <c r="BJ83" s="288">
        <f t="shared" si="41"/>
        <v>0</v>
      </c>
      <c r="BK83" s="288">
        <f t="shared" si="41"/>
        <v>0</v>
      </c>
      <c r="BL83" s="288">
        <f t="shared" si="41"/>
        <v>0</v>
      </c>
      <c r="BM83" s="288">
        <f t="shared" si="41"/>
        <v>0</v>
      </c>
      <c r="BN83" s="288">
        <f t="shared" si="41"/>
        <v>0</v>
      </c>
      <c r="BO83" s="288">
        <f t="shared" si="59"/>
        <v>0</v>
      </c>
      <c r="BP83" s="288">
        <f t="shared" si="59"/>
        <v>0</v>
      </c>
      <c r="BQ83" s="288">
        <f t="shared" si="59"/>
        <v>0</v>
      </c>
      <c r="BR83" s="288">
        <f t="shared" si="59"/>
        <v>0</v>
      </c>
      <c r="BS83" s="288">
        <f t="shared" si="59"/>
        <v>0</v>
      </c>
      <c r="BT83" s="288">
        <f t="shared" si="59"/>
        <v>0</v>
      </c>
      <c r="BU83" s="288">
        <f t="shared" si="59"/>
        <v>0</v>
      </c>
      <c r="BV83" s="288">
        <f t="shared" si="59"/>
        <v>0</v>
      </c>
      <c r="BW83" s="288">
        <f t="shared" si="59"/>
        <v>0</v>
      </c>
      <c r="BX83" s="288">
        <f t="shared" si="59"/>
        <v>0</v>
      </c>
      <c r="BY83" s="288">
        <f t="shared" si="59"/>
        <v>0</v>
      </c>
      <c r="BZ83" s="288">
        <f t="shared" si="59"/>
        <v>0</v>
      </c>
      <c r="CA83" s="288">
        <f t="shared" si="59"/>
        <v>0</v>
      </c>
      <c r="CB83" s="288">
        <f t="shared" si="39"/>
        <v>0</v>
      </c>
      <c r="CC83" s="288">
        <f t="shared" si="39"/>
        <v>80</v>
      </c>
      <c r="CD83" s="288">
        <f t="shared" si="39"/>
        <v>0</v>
      </c>
      <c r="CE83" s="288">
        <f t="shared" si="39"/>
        <v>0</v>
      </c>
      <c r="CF83" s="288">
        <f t="shared" si="39"/>
        <v>0</v>
      </c>
      <c r="CG83" s="288">
        <f t="shared" si="39"/>
        <v>0</v>
      </c>
      <c r="CH83" s="288">
        <f t="shared" si="39"/>
        <v>0</v>
      </c>
      <c r="CI83" s="288">
        <f t="shared" si="39"/>
        <v>0</v>
      </c>
      <c r="CJ83" s="288">
        <f t="shared" si="39"/>
        <v>0</v>
      </c>
      <c r="CK83" s="288">
        <f t="shared" si="39"/>
        <v>0</v>
      </c>
      <c r="CL83" s="288">
        <f t="shared" si="39"/>
        <v>0</v>
      </c>
      <c r="CM83" s="288">
        <f t="shared" ref="CM83:CP109" si="91">IF(CM$2&gt;$B83,(IF(CM$2&lt;=$B84,(IF(AVERAGE($B83,$B84)&gt;CM$2,$A83,$A84)),0)),0)</f>
        <v>0</v>
      </c>
      <c r="CN83" s="288">
        <f t="shared" si="91"/>
        <v>0</v>
      </c>
      <c r="CO83" s="288">
        <f t="shared" si="91"/>
        <v>0</v>
      </c>
      <c r="CP83" s="288">
        <f t="shared" si="91"/>
        <v>0</v>
      </c>
      <c r="CQ83" s="288">
        <f t="shared" si="80"/>
        <v>0</v>
      </c>
      <c r="CR83" s="288">
        <f t="shared" si="81"/>
        <v>0</v>
      </c>
      <c r="CS83" s="288">
        <f t="shared" si="82"/>
        <v>0</v>
      </c>
      <c r="CT83" s="288">
        <f t="shared" si="40"/>
        <v>0</v>
      </c>
      <c r="CU83" s="288">
        <f t="shared" si="84"/>
        <v>0</v>
      </c>
      <c r="CV83" s="288">
        <f t="shared" si="29"/>
        <v>0</v>
      </c>
      <c r="CW83" s="288">
        <f t="shared" si="29"/>
        <v>0</v>
      </c>
      <c r="CX83" s="288">
        <f t="shared" si="21"/>
        <v>0</v>
      </c>
      <c r="CY83" s="288">
        <f t="shared" si="21"/>
        <v>0</v>
      </c>
      <c r="CZ83" s="288">
        <f t="shared" si="21"/>
        <v>0</v>
      </c>
      <c r="DA83" s="288">
        <f t="shared" si="21"/>
        <v>0</v>
      </c>
      <c r="DB83" s="288">
        <f t="shared" si="33"/>
        <v>0</v>
      </c>
      <c r="DC83" s="288">
        <f t="shared" si="33"/>
        <v>0</v>
      </c>
      <c r="DD83" s="288">
        <f t="shared" si="33"/>
        <v>0</v>
      </c>
      <c r="DE83" s="288">
        <f t="shared" si="33"/>
        <v>0</v>
      </c>
      <c r="DG83" s="314">
        <f t="shared" si="60"/>
        <v>82</v>
      </c>
      <c r="DH83" s="289">
        <f>MAX(CE$3:CE$109)</f>
        <v>82</v>
      </c>
      <c r="DJ83" s="288">
        <f>LOOKUP(DH83, 'Mortality Table'!A:A,('Mortality Table'!J:J/'Mortality Table'!I:I))</f>
        <v>9.3365369636160628E-2</v>
      </c>
      <c r="DK83" s="288">
        <f>LOOKUP(A83, 'Mortality Table'!A:A,('Mortality Table'!J:J/'Mortality Table'!I:I))</f>
        <v>7.5855857836092999E-2</v>
      </c>
      <c r="DL83" s="288">
        <f t="shared" si="61"/>
        <v>1.7509511800067629E-2</v>
      </c>
      <c r="DN83" s="288">
        <f>LOOKUP(DH83, 'Mortality Table'!A:A,('Mortality Table'!L:L/'Mortality Table'!K:K))</f>
        <v>9.4575338507182194E-2</v>
      </c>
      <c r="DO83" s="288">
        <f>LOOKUP(A83, 'Mortality Table'!A:A,('Mortality Table'!L:L/'Mortality Table'!K:K))</f>
        <v>7.6838912120823846E-2</v>
      </c>
      <c r="DP83" s="288">
        <f t="shared" si="62"/>
        <v>1.7736426386358348E-2</v>
      </c>
      <c r="DR83" s="288">
        <f>LOOKUP(DH83, 'Mortality Table'!A:A,('Mortality Table'!N:N/'Mortality Table'!M:M))</f>
        <v>9.6700892408264988E-2</v>
      </c>
      <c r="DS83" s="288">
        <f>LOOKUP(A83, 'Mortality Table'!A:A,('Mortality Table'!N:N/'Mortality Table'!M:M))</f>
        <v>7.8565844870855453E-2</v>
      </c>
      <c r="DT83" s="288">
        <f t="shared" si="63"/>
        <v>1.8135047537409535E-2</v>
      </c>
    </row>
    <row r="84" spans="1:124">
      <c r="A84" s="288">
        <v>81</v>
      </c>
      <c r="B84" s="288">
        <v>9.2284502009825811E-2</v>
      </c>
      <c r="C84" s="288">
        <f t="shared" si="85"/>
        <v>0</v>
      </c>
      <c r="D84" s="288">
        <f t="shared" si="85"/>
        <v>0</v>
      </c>
      <c r="E84" s="288">
        <f t="shared" si="85"/>
        <v>0</v>
      </c>
      <c r="F84" s="288">
        <f t="shared" si="85"/>
        <v>0</v>
      </c>
      <c r="G84" s="288">
        <f t="shared" si="85"/>
        <v>0</v>
      </c>
      <c r="H84" s="288">
        <f t="shared" si="85"/>
        <v>0</v>
      </c>
      <c r="I84" s="288">
        <f t="shared" si="85"/>
        <v>0</v>
      </c>
      <c r="J84" s="288">
        <f t="shared" si="85"/>
        <v>0</v>
      </c>
      <c r="K84" s="288">
        <f t="shared" si="85"/>
        <v>0</v>
      </c>
      <c r="L84" s="288">
        <f t="shared" si="85"/>
        <v>0</v>
      </c>
      <c r="M84" s="288">
        <f t="shared" si="85"/>
        <v>0</v>
      </c>
      <c r="N84" s="288">
        <f t="shared" si="85"/>
        <v>0</v>
      </c>
      <c r="O84" s="288">
        <f t="shared" si="85"/>
        <v>0</v>
      </c>
      <c r="P84" s="288">
        <f t="shared" si="85"/>
        <v>0</v>
      </c>
      <c r="Q84" s="288">
        <f t="shared" si="85"/>
        <v>0</v>
      </c>
      <c r="R84" s="288">
        <f t="shared" si="85"/>
        <v>0</v>
      </c>
      <c r="S84" s="288">
        <f t="shared" ref="S84:S109" si="92">IF(S$2&gt;$B84,(IF(S$2&lt;=$B85,(IF(AVERAGE($B84,$B85)&gt;S$2,$A84,$A85)),0)),0)</f>
        <v>0</v>
      </c>
      <c r="T84" s="288">
        <f t="shared" ref="T84:T109" si="93">IF(T$2&gt;$B84,(IF(T$2&lt;=$B85,(IF(AVERAGE($B84,$B85)&gt;T$2,$A84,$A85)),0)),0)</f>
        <v>0</v>
      </c>
      <c r="U84" s="288">
        <f t="shared" ref="U84:U109" si="94">IF(U$2&gt;$B84,(IF(U$2&lt;=$B85,(IF(AVERAGE($B84,$B85)&gt;U$2,$A84,$A85)),0)),0)</f>
        <v>0</v>
      </c>
      <c r="V84" s="288">
        <f t="shared" si="87"/>
        <v>0</v>
      </c>
      <c r="W84" s="288">
        <f t="shared" si="87"/>
        <v>0</v>
      </c>
      <c r="X84" s="288">
        <f t="shared" si="87"/>
        <v>0</v>
      </c>
      <c r="Y84" s="288">
        <f t="shared" si="87"/>
        <v>0</v>
      </c>
      <c r="Z84" s="288">
        <f t="shared" si="87"/>
        <v>0</v>
      </c>
      <c r="AA84" s="288">
        <f t="shared" si="87"/>
        <v>0</v>
      </c>
      <c r="AB84" s="288">
        <f t="shared" si="87"/>
        <v>0</v>
      </c>
      <c r="AC84" s="288">
        <f t="shared" si="87"/>
        <v>0</v>
      </c>
      <c r="AD84" s="288">
        <f t="shared" si="87"/>
        <v>0</v>
      </c>
      <c r="AE84" s="288">
        <f t="shared" si="87"/>
        <v>0</v>
      </c>
      <c r="AF84" s="288">
        <f t="shared" si="87"/>
        <v>0</v>
      </c>
      <c r="AG84" s="288">
        <f t="shared" si="87"/>
        <v>0</v>
      </c>
      <c r="AH84" s="288">
        <f t="shared" si="88"/>
        <v>0</v>
      </c>
      <c r="AI84" s="288">
        <f t="shared" si="58"/>
        <v>0</v>
      </c>
      <c r="AJ84" s="288">
        <f t="shared" si="58"/>
        <v>0</v>
      </c>
      <c r="AK84" s="288">
        <f t="shared" si="58"/>
        <v>0</v>
      </c>
      <c r="AL84" s="288">
        <f t="shared" si="58"/>
        <v>0</v>
      </c>
      <c r="AM84" s="288">
        <f t="shared" si="58"/>
        <v>0</v>
      </c>
      <c r="AN84" s="288">
        <f t="shared" si="58"/>
        <v>0</v>
      </c>
      <c r="AO84" s="288">
        <f t="shared" si="58"/>
        <v>0</v>
      </c>
      <c r="AP84" s="288">
        <f t="shared" si="35"/>
        <v>0</v>
      </c>
      <c r="AQ84" s="288">
        <f t="shared" si="36"/>
        <v>0</v>
      </c>
      <c r="AR84" s="288">
        <f t="shared" si="37"/>
        <v>0</v>
      </c>
      <c r="AS84" s="288">
        <f t="shared" si="38"/>
        <v>0</v>
      </c>
      <c r="AT84" s="288">
        <f t="shared" si="89"/>
        <v>0</v>
      </c>
      <c r="AU84" s="288">
        <f t="shared" si="90"/>
        <v>0</v>
      </c>
      <c r="AV84" s="288">
        <f t="shared" si="83"/>
        <v>0</v>
      </c>
      <c r="AW84" s="288">
        <f t="shared" si="83"/>
        <v>0</v>
      </c>
      <c r="AX84" s="288">
        <f t="shared" si="83"/>
        <v>0</v>
      </c>
      <c r="AY84" s="288">
        <f t="shared" si="83"/>
        <v>0</v>
      </c>
      <c r="AZ84" s="288">
        <f t="shared" si="83"/>
        <v>0</v>
      </c>
      <c r="BA84" s="288">
        <f t="shared" si="83"/>
        <v>0</v>
      </c>
      <c r="BB84" s="288">
        <f t="shared" si="83"/>
        <v>0</v>
      </c>
      <c r="BC84" s="288">
        <f t="shared" si="83"/>
        <v>0</v>
      </c>
      <c r="BD84" s="288">
        <f t="shared" si="83"/>
        <v>0</v>
      </c>
      <c r="BE84" s="288">
        <f t="shared" si="83"/>
        <v>0</v>
      </c>
      <c r="BF84" s="288">
        <f t="shared" si="83"/>
        <v>0</v>
      </c>
      <c r="BG84" s="288">
        <f t="shared" si="83"/>
        <v>0</v>
      </c>
      <c r="BH84" s="288">
        <f t="shared" si="83"/>
        <v>0</v>
      </c>
      <c r="BI84" s="288">
        <f t="shared" si="41"/>
        <v>0</v>
      </c>
      <c r="BJ84" s="288">
        <f t="shared" si="41"/>
        <v>0</v>
      </c>
      <c r="BK84" s="288">
        <f t="shared" si="41"/>
        <v>0</v>
      </c>
      <c r="BL84" s="288">
        <f t="shared" si="41"/>
        <v>0</v>
      </c>
      <c r="BM84" s="288">
        <f t="shared" si="41"/>
        <v>0</v>
      </c>
      <c r="BN84" s="288">
        <f t="shared" si="41"/>
        <v>0</v>
      </c>
      <c r="BO84" s="288">
        <f t="shared" si="59"/>
        <v>0</v>
      </c>
      <c r="BP84" s="288">
        <f t="shared" si="59"/>
        <v>0</v>
      </c>
      <c r="BQ84" s="288">
        <f t="shared" si="59"/>
        <v>0</v>
      </c>
      <c r="BR84" s="288">
        <f t="shared" si="59"/>
        <v>0</v>
      </c>
      <c r="BS84" s="288">
        <f t="shared" si="59"/>
        <v>0</v>
      </c>
      <c r="BT84" s="288">
        <f t="shared" si="59"/>
        <v>0</v>
      </c>
      <c r="BU84" s="288">
        <f t="shared" si="59"/>
        <v>0</v>
      </c>
      <c r="BV84" s="288">
        <f t="shared" si="59"/>
        <v>0</v>
      </c>
      <c r="BW84" s="288">
        <f t="shared" si="59"/>
        <v>0</v>
      </c>
      <c r="BX84" s="288">
        <f t="shared" si="59"/>
        <v>0</v>
      </c>
      <c r="BY84" s="288">
        <f t="shared" si="59"/>
        <v>0</v>
      </c>
      <c r="BZ84" s="288">
        <f t="shared" si="59"/>
        <v>0</v>
      </c>
      <c r="CA84" s="288">
        <f t="shared" si="59"/>
        <v>0</v>
      </c>
      <c r="CB84" s="288">
        <f t="shared" si="59"/>
        <v>0</v>
      </c>
      <c r="CC84" s="288">
        <f t="shared" si="59"/>
        <v>0</v>
      </c>
      <c r="CD84" s="288">
        <f t="shared" si="59"/>
        <v>81</v>
      </c>
      <c r="CE84" s="288">
        <f t="shared" ref="CE84:CL109" si="95">IF(CE$2&gt;$B84,(IF(CE$2&lt;=$B85,(IF(AVERAGE($B84,$B85)&gt;CE$2,$A84,$A85)),0)),0)</f>
        <v>0</v>
      </c>
      <c r="CF84" s="288">
        <f t="shared" si="95"/>
        <v>0</v>
      </c>
      <c r="CG84" s="288">
        <f t="shared" si="95"/>
        <v>0</v>
      </c>
      <c r="CH84" s="288">
        <f t="shared" si="95"/>
        <v>0</v>
      </c>
      <c r="CI84" s="288">
        <f t="shared" si="95"/>
        <v>0</v>
      </c>
      <c r="CJ84" s="288">
        <f t="shared" si="95"/>
        <v>0</v>
      </c>
      <c r="CK84" s="288">
        <f t="shared" si="95"/>
        <v>0</v>
      </c>
      <c r="CL84" s="288">
        <f t="shared" si="95"/>
        <v>0</v>
      </c>
      <c r="CM84" s="288">
        <f t="shared" si="91"/>
        <v>0</v>
      </c>
      <c r="CN84" s="288">
        <f t="shared" si="91"/>
        <v>0</v>
      </c>
      <c r="CO84" s="288">
        <f t="shared" si="91"/>
        <v>0</v>
      </c>
      <c r="CP84" s="288">
        <f t="shared" si="91"/>
        <v>0</v>
      </c>
      <c r="CQ84" s="288">
        <f t="shared" si="80"/>
        <v>0</v>
      </c>
      <c r="CR84" s="288">
        <f t="shared" si="81"/>
        <v>0</v>
      </c>
      <c r="CS84" s="288">
        <f t="shared" si="82"/>
        <v>0</v>
      </c>
      <c r="CT84" s="288">
        <f t="shared" si="40"/>
        <v>0</v>
      </c>
      <c r="CU84" s="288">
        <f t="shared" si="84"/>
        <v>0</v>
      </c>
      <c r="CV84" s="288">
        <f t="shared" si="29"/>
        <v>0</v>
      </c>
      <c r="CW84" s="288">
        <f t="shared" si="29"/>
        <v>0</v>
      </c>
      <c r="CX84" s="288">
        <f t="shared" si="21"/>
        <v>0</v>
      </c>
      <c r="CY84" s="288">
        <f t="shared" si="21"/>
        <v>0</v>
      </c>
      <c r="CZ84" s="288">
        <f t="shared" si="21"/>
        <v>0</v>
      </c>
      <c r="DA84" s="288">
        <f t="shared" si="21"/>
        <v>0</v>
      </c>
      <c r="DB84" s="288">
        <f t="shared" si="33"/>
        <v>0</v>
      </c>
      <c r="DC84" s="288">
        <f t="shared" si="33"/>
        <v>0</v>
      </c>
      <c r="DD84" s="288">
        <f t="shared" si="33"/>
        <v>0</v>
      </c>
      <c r="DE84" s="288">
        <f t="shared" si="33"/>
        <v>0</v>
      </c>
      <c r="DG84" s="314">
        <f t="shared" si="60"/>
        <v>83</v>
      </c>
      <c r="DH84" s="289">
        <f>MAX(CF$3:CF$109)</f>
        <v>83</v>
      </c>
      <c r="DJ84" s="288">
        <f>LOOKUP(DH84, 'Mortality Table'!A:A,('Mortality Table'!J:J/'Mortality Table'!I:I))</f>
        <v>0.10264312474718483</v>
      </c>
      <c r="DK84" s="288">
        <f>LOOKUP(A84, 'Mortality Table'!A:A,('Mortality Table'!J:J/'Mortality Table'!I:I))</f>
        <v>8.4954770175632535E-2</v>
      </c>
      <c r="DL84" s="288">
        <f t="shared" si="61"/>
        <v>1.7688354571552295E-2</v>
      </c>
      <c r="DN84" s="288">
        <f>LOOKUP(DH84, 'Mortality Table'!A:A,('Mortality Table'!L:L/'Mortality Table'!K:K))</f>
        <v>0.10397332872166105</v>
      </c>
      <c r="DO84" s="288">
        <f>LOOKUP(A84, 'Mortality Table'!A:A,('Mortality Table'!L:L/'Mortality Table'!K:K))</f>
        <v>8.6055741850225256E-2</v>
      </c>
      <c r="DP84" s="288">
        <f t="shared" si="62"/>
        <v>1.7917586871435798E-2</v>
      </c>
      <c r="DR84" s="288">
        <f>LOOKUP(DH84, 'Mortality Table'!A:A,('Mortality Table'!N:N/'Mortality Table'!M:M))</f>
        <v>0.10631009978652083</v>
      </c>
      <c r="DS84" s="288">
        <f>LOOKUP(A84, 'Mortality Table'!A:A,('Mortality Table'!N:N/'Mortality Table'!M:M))</f>
        <v>8.7989820233528498E-2</v>
      </c>
      <c r="DT84" s="288">
        <f t="shared" si="63"/>
        <v>1.8320279552992327E-2</v>
      </c>
    </row>
    <row r="85" spans="1:124">
      <c r="A85" s="288">
        <v>82</v>
      </c>
      <c r="B85" s="288">
        <v>0.10142075158373824</v>
      </c>
      <c r="C85" s="288">
        <f t="shared" si="85"/>
        <v>0</v>
      </c>
      <c r="D85" s="288">
        <f t="shared" si="85"/>
        <v>0</v>
      </c>
      <c r="E85" s="288">
        <f t="shared" si="85"/>
        <v>0</v>
      </c>
      <c r="F85" s="288">
        <f t="shared" si="85"/>
        <v>0</v>
      </c>
      <c r="G85" s="288">
        <f t="shared" si="85"/>
        <v>0</v>
      </c>
      <c r="H85" s="288">
        <f t="shared" si="85"/>
        <v>0</v>
      </c>
      <c r="I85" s="288">
        <f t="shared" si="85"/>
        <v>0</v>
      </c>
      <c r="J85" s="288">
        <f t="shared" si="85"/>
        <v>0</v>
      </c>
      <c r="K85" s="288">
        <f t="shared" si="85"/>
        <v>0</v>
      </c>
      <c r="L85" s="288">
        <f t="shared" si="85"/>
        <v>0</v>
      </c>
      <c r="M85" s="288">
        <f t="shared" si="85"/>
        <v>0</v>
      </c>
      <c r="N85" s="288">
        <f t="shared" si="85"/>
        <v>0</v>
      </c>
      <c r="O85" s="288">
        <f t="shared" si="85"/>
        <v>0</v>
      </c>
      <c r="P85" s="288">
        <f t="shared" si="85"/>
        <v>0</v>
      </c>
      <c r="Q85" s="288">
        <f t="shared" si="85"/>
        <v>0</v>
      </c>
      <c r="R85" s="288">
        <f t="shared" si="85"/>
        <v>0</v>
      </c>
      <c r="S85" s="288">
        <f t="shared" si="92"/>
        <v>0</v>
      </c>
      <c r="T85" s="288">
        <f t="shared" si="93"/>
        <v>0</v>
      </c>
      <c r="U85" s="288">
        <f t="shared" si="94"/>
        <v>0</v>
      </c>
      <c r="V85" s="288">
        <f t="shared" si="87"/>
        <v>0</v>
      </c>
      <c r="W85" s="288">
        <f t="shared" si="87"/>
        <v>0</v>
      </c>
      <c r="X85" s="288">
        <f t="shared" si="87"/>
        <v>0</v>
      </c>
      <c r="Y85" s="288">
        <f t="shared" si="87"/>
        <v>0</v>
      </c>
      <c r="Z85" s="288">
        <f t="shared" si="87"/>
        <v>0</v>
      </c>
      <c r="AA85" s="288">
        <f t="shared" si="87"/>
        <v>0</v>
      </c>
      <c r="AB85" s="288">
        <f t="shared" si="87"/>
        <v>0</v>
      </c>
      <c r="AC85" s="288">
        <f t="shared" si="87"/>
        <v>0</v>
      </c>
      <c r="AD85" s="288">
        <f t="shared" si="87"/>
        <v>0</v>
      </c>
      <c r="AE85" s="288">
        <f t="shared" si="87"/>
        <v>0</v>
      </c>
      <c r="AF85" s="288">
        <f t="shared" si="87"/>
        <v>0</v>
      </c>
      <c r="AG85" s="288">
        <f t="shared" si="87"/>
        <v>0</v>
      </c>
      <c r="AH85" s="288">
        <f t="shared" si="88"/>
        <v>0</v>
      </c>
      <c r="AI85" s="288">
        <f t="shared" si="58"/>
        <v>0</v>
      </c>
      <c r="AJ85" s="288">
        <f t="shared" si="58"/>
        <v>0</v>
      </c>
      <c r="AK85" s="288">
        <f t="shared" si="58"/>
        <v>0</v>
      </c>
      <c r="AL85" s="288">
        <f t="shared" si="58"/>
        <v>0</v>
      </c>
      <c r="AM85" s="288">
        <f t="shared" si="58"/>
        <v>0</v>
      </c>
      <c r="AN85" s="288">
        <f t="shared" si="58"/>
        <v>0</v>
      </c>
      <c r="AO85" s="288">
        <f t="shared" si="58"/>
        <v>0</v>
      </c>
      <c r="AP85" s="288">
        <f t="shared" si="35"/>
        <v>0</v>
      </c>
      <c r="AQ85" s="288">
        <f t="shared" si="36"/>
        <v>0</v>
      </c>
      <c r="AR85" s="288">
        <f t="shared" si="37"/>
        <v>0</v>
      </c>
      <c r="AS85" s="288">
        <f t="shared" si="38"/>
        <v>0</v>
      </c>
      <c r="AT85" s="288">
        <f t="shared" si="89"/>
        <v>0</v>
      </c>
      <c r="AU85" s="288">
        <f t="shared" si="90"/>
        <v>0</v>
      </c>
      <c r="AV85" s="288">
        <f t="shared" si="83"/>
        <v>0</v>
      </c>
      <c r="AW85" s="288">
        <f t="shared" si="83"/>
        <v>0</v>
      </c>
      <c r="AX85" s="288">
        <f t="shared" si="83"/>
        <v>0</v>
      </c>
      <c r="AY85" s="288">
        <f t="shared" si="83"/>
        <v>0</v>
      </c>
      <c r="AZ85" s="288">
        <f t="shared" si="83"/>
        <v>0</v>
      </c>
      <c r="BA85" s="288">
        <f t="shared" si="83"/>
        <v>0</v>
      </c>
      <c r="BB85" s="288">
        <f t="shared" si="83"/>
        <v>0</v>
      </c>
      <c r="BC85" s="288">
        <f t="shared" si="83"/>
        <v>0</v>
      </c>
      <c r="BD85" s="288">
        <f t="shared" si="83"/>
        <v>0</v>
      </c>
      <c r="BE85" s="288">
        <f t="shared" si="83"/>
        <v>0</v>
      </c>
      <c r="BF85" s="288">
        <f t="shared" si="83"/>
        <v>0</v>
      </c>
      <c r="BG85" s="288">
        <f t="shared" si="83"/>
        <v>0</v>
      </c>
      <c r="BH85" s="288">
        <f t="shared" si="83"/>
        <v>0</v>
      </c>
      <c r="BI85" s="288">
        <f t="shared" si="41"/>
        <v>0</v>
      </c>
      <c r="BJ85" s="288">
        <f t="shared" si="41"/>
        <v>0</v>
      </c>
      <c r="BK85" s="288">
        <f t="shared" si="41"/>
        <v>0</v>
      </c>
      <c r="BL85" s="288">
        <f t="shared" si="41"/>
        <v>0</v>
      </c>
      <c r="BM85" s="288">
        <f t="shared" si="41"/>
        <v>0</v>
      </c>
      <c r="BN85" s="288">
        <f t="shared" si="41"/>
        <v>0</v>
      </c>
      <c r="BO85" s="288">
        <f t="shared" si="59"/>
        <v>0</v>
      </c>
      <c r="BP85" s="288">
        <f t="shared" si="59"/>
        <v>0</v>
      </c>
      <c r="BQ85" s="288">
        <f t="shared" si="59"/>
        <v>0</v>
      </c>
      <c r="BR85" s="288">
        <f t="shared" si="59"/>
        <v>0</v>
      </c>
      <c r="BS85" s="288">
        <f t="shared" si="59"/>
        <v>0</v>
      </c>
      <c r="BT85" s="288">
        <f t="shared" ref="BT85:CD108" si="96">IF(BT$2&gt;$B85,(IF(BT$2&lt;=$B86,(IF(AVERAGE($B85,$B86)&gt;BT$2,$A85,$A86)),0)),0)</f>
        <v>0</v>
      </c>
      <c r="BU85" s="288">
        <f t="shared" si="96"/>
        <v>0</v>
      </c>
      <c r="BV85" s="288">
        <f t="shared" si="96"/>
        <v>0</v>
      </c>
      <c r="BW85" s="288">
        <f t="shared" si="96"/>
        <v>0</v>
      </c>
      <c r="BX85" s="288">
        <f t="shared" si="96"/>
        <v>0</v>
      </c>
      <c r="BY85" s="288">
        <f t="shared" si="96"/>
        <v>0</v>
      </c>
      <c r="BZ85" s="288">
        <f t="shared" si="96"/>
        <v>0</v>
      </c>
      <c r="CA85" s="288">
        <f t="shared" si="96"/>
        <v>0</v>
      </c>
      <c r="CB85" s="288">
        <f t="shared" si="96"/>
        <v>0</v>
      </c>
      <c r="CC85" s="288">
        <f t="shared" si="96"/>
        <v>0</v>
      </c>
      <c r="CD85" s="288">
        <f t="shared" si="96"/>
        <v>0</v>
      </c>
      <c r="CE85" s="288">
        <f t="shared" si="95"/>
        <v>82</v>
      </c>
      <c r="CF85" s="288">
        <f t="shared" si="95"/>
        <v>0</v>
      </c>
      <c r="CG85" s="288">
        <f t="shared" si="95"/>
        <v>0</v>
      </c>
      <c r="CH85" s="288">
        <f t="shared" si="95"/>
        <v>0</v>
      </c>
      <c r="CI85" s="288">
        <f t="shared" si="95"/>
        <v>0</v>
      </c>
      <c r="CJ85" s="288">
        <f t="shared" si="95"/>
        <v>0</v>
      </c>
      <c r="CK85" s="288">
        <f t="shared" si="95"/>
        <v>0</v>
      </c>
      <c r="CL85" s="288">
        <f t="shared" si="95"/>
        <v>0</v>
      </c>
      <c r="CM85" s="288">
        <f t="shared" si="91"/>
        <v>0</v>
      </c>
      <c r="CN85" s="288">
        <f t="shared" si="91"/>
        <v>0</v>
      </c>
      <c r="CO85" s="288">
        <f t="shared" si="91"/>
        <v>0</v>
      </c>
      <c r="CP85" s="288">
        <f t="shared" si="91"/>
        <v>0</v>
      </c>
      <c r="CQ85" s="288">
        <f t="shared" si="80"/>
        <v>0</v>
      </c>
      <c r="CR85" s="288">
        <f t="shared" si="81"/>
        <v>0</v>
      </c>
      <c r="CS85" s="288">
        <f t="shared" si="82"/>
        <v>0</v>
      </c>
      <c r="CT85" s="288">
        <f t="shared" ref="CT85:CT109" si="97">IF(CT$2&gt;$B85,(IF(CT$2&lt;=$B86,(IF(AVERAGE($B85,$B86)&gt;CT$2,$A85,$A86)),0)),0)</f>
        <v>0</v>
      </c>
      <c r="CU85" s="288">
        <f t="shared" si="84"/>
        <v>0</v>
      </c>
      <c r="CV85" s="288">
        <f t="shared" si="29"/>
        <v>0</v>
      </c>
      <c r="CW85" s="288">
        <f t="shared" si="29"/>
        <v>0</v>
      </c>
      <c r="CX85" s="288">
        <f t="shared" si="21"/>
        <v>0</v>
      </c>
      <c r="CY85" s="288">
        <f t="shared" si="21"/>
        <v>0</v>
      </c>
      <c r="CZ85" s="288">
        <f t="shared" si="21"/>
        <v>0</v>
      </c>
      <c r="DA85" s="288">
        <f t="shared" si="21"/>
        <v>0</v>
      </c>
      <c r="DB85" s="288">
        <f t="shared" si="33"/>
        <v>0</v>
      </c>
      <c r="DC85" s="288">
        <f t="shared" si="33"/>
        <v>0</v>
      </c>
      <c r="DD85" s="288">
        <f t="shared" si="33"/>
        <v>0</v>
      </c>
      <c r="DE85" s="288">
        <f t="shared" si="33"/>
        <v>0</v>
      </c>
      <c r="DG85" s="314">
        <f t="shared" si="60"/>
        <v>84</v>
      </c>
      <c r="DH85" s="289">
        <f>MAX(CG$3:CG$109)</f>
        <v>84</v>
      </c>
      <c r="DJ85" s="288">
        <f>LOOKUP(DH85, 'Mortality Table'!A:A,('Mortality Table'!J:J/'Mortality Table'!I:I))</f>
        <v>0.11282907457639878</v>
      </c>
      <c r="DK85" s="288">
        <f>LOOKUP(A85, 'Mortality Table'!A:A,('Mortality Table'!J:J/'Mortality Table'!I:I))</f>
        <v>9.3365369636160628E-2</v>
      </c>
      <c r="DL85" s="288">
        <f t="shared" si="61"/>
        <v>1.946370494023815E-2</v>
      </c>
      <c r="DN85" s="288">
        <f>LOOKUP(DH85, 'Mortality Table'!A:A,('Mortality Table'!L:L/'Mortality Table'!K:K))</f>
        <v>0.11429128340731341</v>
      </c>
      <c r="DO85" s="288">
        <f>LOOKUP(A85, 'Mortality Table'!A:A,('Mortality Table'!L:L/'Mortality Table'!K:K))</f>
        <v>9.4575338507182194E-2</v>
      </c>
      <c r="DP85" s="288">
        <f t="shared" si="62"/>
        <v>1.9715944900131219E-2</v>
      </c>
      <c r="DR85" s="288">
        <f>LOOKUP(DH85, 'Mortality Table'!A:A,('Mortality Table'!N:N/'Mortality Table'!M:M))</f>
        <v>0.11685994757643754</v>
      </c>
      <c r="DS85" s="288">
        <f>LOOKUP(A85, 'Mortality Table'!A:A,('Mortality Table'!N:N/'Mortality Table'!M:M))</f>
        <v>9.6700892408264988E-2</v>
      </c>
      <c r="DT85" s="288">
        <f t="shared" si="63"/>
        <v>2.0159055168172554E-2</v>
      </c>
    </row>
    <row r="86" spans="1:124">
      <c r="A86" s="288">
        <v>83</v>
      </c>
      <c r="B86" s="288">
        <v>0.11149897330595483</v>
      </c>
      <c r="C86" s="288">
        <f t="shared" si="85"/>
        <v>0</v>
      </c>
      <c r="D86" s="288">
        <f t="shared" si="85"/>
        <v>0</v>
      </c>
      <c r="E86" s="288">
        <f t="shared" si="85"/>
        <v>0</v>
      </c>
      <c r="F86" s="288">
        <f t="shared" si="85"/>
        <v>0</v>
      </c>
      <c r="G86" s="288">
        <f t="shared" si="85"/>
        <v>0</v>
      </c>
      <c r="H86" s="288">
        <f t="shared" si="85"/>
        <v>0</v>
      </c>
      <c r="I86" s="288">
        <f t="shared" si="85"/>
        <v>0</v>
      </c>
      <c r="J86" s="288">
        <f t="shared" si="85"/>
        <v>0</v>
      </c>
      <c r="K86" s="288">
        <f t="shared" si="85"/>
        <v>0</v>
      </c>
      <c r="L86" s="288">
        <f t="shared" si="85"/>
        <v>0</v>
      </c>
      <c r="M86" s="288">
        <f t="shared" si="85"/>
        <v>0</v>
      </c>
      <c r="N86" s="288">
        <f t="shared" si="85"/>
        <v>0</v>
      </c>
      <c r="O86" s="288">
        <f t="shared" si="85"/>
        <v>0</v>
      </c>
      <c r="P86" s="288">
        <f t="shared" si="85"/>
        <v>0</v>
      </c>
      <c r="Q86" s="288">
        <f t="shared" si="85"/>
        <v>0</v>
      </c>
      <c r="R86" s="288">
        <f t="shared" si="85"/>
        <v>0</v>
      </c>
      <c r="S86" s="288">
        <f t="shared" si="92"/>
        <v>0</v>
      </c>
      <c r="T86" s="288">
        <f t="shared" si="93"/>
        <v>0</v>
      </c>
      <c r="U86" s="288">
        <f t="shared" si="94"/>
        <v>0</v>
      </c>
      <c r="V86" s="288">
        <f t="shared" si="87"/>
        <v>0</v>
      </c>
      <c r="W86" s="288">
        <f t="shared" si="87"/>
        <v>0</v>
      </c>
      <c r="X86" s="288">
        <f t="shared" si="87"/>
        <v>0</v>
      </c>
      <c r="Y86" s="288">
        <f t="shared" si="87"/>
        <v>0</v>
      </c>
      <c r="Z86" s="288">
        <f t="shared" si="87"/>
        <v>0</v>
      </c>
      <c r="AA86" s="288">
        <f t="shared" si="87"/>
        <v>0</v>
      </c>
      <c r="AB86" s="288">
        <f t="shared" si="87"/>
        <v>0</v>
      </c>
      <c r="AC86" s="288">
        <f t="shared" si="87"/>
        <v>0</v>
      </c>
      <c r="AD86" s="288">
        <f t="shared" si="87"/>
        <v>0</v>
      </c>
      <c r="AE86" s="288">
        <f t="shared" si="87"/>
        <v>0</v>
      </c>
      <c r="AF86" s="288">
        <f t="shared" si="87"/>
        <v>0</v>
      </c>
      <c r="AG86" s="288">
        <f t="shared" si="87"/>
        <v>0</v>
      </c>
      <c r="AH86" s="288">
        <f t="shared" si="88"/>
        <v>0</v>
      </c>
      <c r="AI86" s="288">
        <f t="shared" si="58"/>
        <v>0</v>
      </c>
      <c r="AJ86" s="288">
        <f t="shared" si="58"/>
        <v>0</v>
      </c>
      <c r="AK86" s="288">
        <f t="shared" si="58"/>
        <v>0</v>
      </c>
      <c r="AL86" s="288">
        <f t="shared" si="58"/>
        <v>0</v>
      </c>
      <c r="AM86" s="288">
        <f t="shared" si="58"/>
        <v>0</v>
      </c>
      <c r="AN86" s="288">
        <f t="shared" si="58"/>
        <v>0</v>
      </c>
      <c r="AO86" s="288">
        <f t="shared" si="58"/>
        <v>0</v>
      </c>
      <c r="AP86" s="288">
        <f t="shared" si="35"/>
        <v>0</v>
      </c>
      <c r="AQ86" s="288">
        <f t="shared" si="36"/>
        <v>0</v>
      </c>
      <c r="AR86" s="288">
        <f t="shared" si="37"/>
        <v>0</v>
      </c>
      <c r="AS86" s="288">
        <f t="shared" si="38"/>
        <v>0</v>
      </c>
      <c r="AT86" s="288">
        <f t="shared" si="89"/>
        <v>0</v>
      </c>
      <c r="AU86" s="288">
        <f t="shared" si="90"/>
        <v>0</v>
      </c>
      <c r="AV86" s="288">
        <f t="shared" si="83"/>
        <v>0</v>
      </c>
      <c r="AW86" s="288">
        <f t="shared" si="83"/>
        <v>0</v>
      </c>
      <c r="AX86" s="288">
        <f t="shared" si="83"/>
        <v>0</v>
      </c>
      <c r="AY86" s="288">
        <f t="shared" si="83"/>
        <v>0</v>
      </c>
      <c r="AZ86" s="288">
        <f t="shared" si="83"/>
        <v>0</v>
      </c>
      <c r="BA86" s="288">
        <f t="shared" si="83"/>
        <v>0</v>
      </c>
      <c r="BB86" s="288">
        <f t="shared" si="83"/>
        <v>0</v>
      </c>
      <c r="BC86" s="288">
        <f t="shared" si="83"/>
        <v>0</v>
      </c>
      <c r="BD86" s="288">
        <f t="shared" si="83"/>
        <v>0</v>
      </c>
      <c r="BE86" s="288">
        <f t="shared" si="83"/>
        <v>0</v>
      </c>
      <c r="BF86" s="288">
        <f t="shared" si="83"/>
        <v>0</v>
      </c>
      <c r="BG86" s="288">
        <f t="shared" si="83"/>
        <v>0</v>
      </c>
      <c r="BH86" s="288">
        <f t="shared" si="83"/>
        <v>0</v>
      </c>
      <c r="BI86" s="288">
        <f t="shared" si="41"/>
        <v>0</v>
      </c>
      <c r="BJ86" s="288">
        <f t="shared" si="41"/>
        <v>0</v>
      </c>
      <c r="BK86" s="288">
        <f t="shared" si="41"/>
        <v>0</v>
      </c>
      <c r="BL86" s="288">
        <f t="shared" si="41"/>
        <v>0</v>
      </c>
      <c r="BM86" s="288">
        <f t="shared" si="41"/>
        <v>0</v>
      </c>
      <c r="BN86" s="288">
        <f t="shared" si="41"/>
        <v>0</v>
      </c>
      <c r="BO86" s="288">
        <f t="shared" si="41"/>
        <v>0</v>
      </c>
      <c r="BP86" s="288">
        <f t="shared" si="41"/>
        <v>0</v>
      </c>
      <c r="BQ86" s="288">
        <f t="shared" si="41"/>
        <v>0</v>
      </c>
      <c r="BR86" s="288">
        <f t="shared" si="41"/>
        <v>0</v>
      </c>
      <c r="BS86" s="288">
        <f t="shared" si="41"/>
        <v>0</v>
      </c>
      <c r="BT86" s="288">
        <f t="shared" si="96"/>
        <v>0</v>
      </c>
      <c r="BU86" s="288">
        <f t="shared" si="96"/>
        <v>0</v>
      </c>
      <c r="BV86" s="288">
        <f t="shared" si="96"/>
        <v>0</v>
      </c>
      <c r="BW86" s="288">
        <f t="shared" si="96"/>
        <v>0</v>
      </c>
      <c r="BX86" s="288">
        <f t="shared" si="96"/>
        <v>0</v>
      </c>
      <c r="BY86" s="288">
        <f t="shared" si="96"/>
        <v>0</v>
      </c>
      <c r="BZ86" s="288">
        <f t="shared" si="96"/>
        <v>0</v>
      </c>
      <c r="CA86" s="288">
        <f t="shared" si="96"/>
        <v>0</v>
      </c>
      <c r="CB86" s="288">
        <f t="shared" si="96"/>
        <v>0</v>
      </c>
      <c r="CC86" s="288">
        <f t="shared" si="96"/>
        <v>0</v>
      </c>
      <c r="CD86" s="288">
        <f t="shared" si="96"/>
        <v>0</v>
      </c>
      <c r="CE86" s="288">
        <f t="shared" si="95"/>
        <v>0</v>
      </c>
      <c r="CF86" s="288">
        <f t="shared" si="95"/>
        <v>83</v>
      </c>
      <c r="CG86" s="288">
        <f t="shared" si="95"/>
        <v>0</v>
      </c>
      <c r="CH86" s="288">
        <f t="shared" si="95"/>
        <v>0</v>
      </c>
      <c r="CI86" s="288">
        <f t="shared" si="95"/>
        <v>0</v>
      </c>
      <c r="CJ86" s="288">
        <f t="shared" si="95"/>
        <v>0</v>
      </c>
      <c r="CK86" s="288">
        <f t="shared" si="95"/>
        <v>0</v>
      </c>
      <c r="CL86" s="288">
        <f t="shared" si="95"/>
        <v>0</v>
      </c>
      <c r="CM86" s="288">
        <f t="shared" si="91"/>
        <v>0</v>
      </c>
      <c r="CN86" s="288">
        <f t="shared" si="91"/>
        <v>0</v>
      </c>
      <c r="CO86" s="288">
        <f t="shared" si="91"/>
        <v>0</v>
      </c>
      <c r="CP86" s="288">
        <f t="shared" si="91"/>
        <v>0</v>
      </c>
      <c r="CQ86" s="288">
        <f t="shared" si="80"/>
        <v>0</v>
      </c>
      <c r="CR86" s="288">
        <f t="shared" si="81"/>
        <v>0</v>
      </c>
      <c r="CS86" s="288">
        <f t="shared" si="82"/>
        <v>0</v>
      </c>
      <c r="CT86" s="288">
        <f t="shared" si="97"/>
        <v>0</v>
      </c>
      <c r="CU86" s="288">
        <f t="shared" si="84"/>
        <v>0</v>
      </c>
      <c r="CV86" s="288">
        <f t="shared" si="29"/>
        <v>0</v>
      </c>
      <c r="CW86" s="288">
        <f t="shared" si="29"/>
        <v>0</v>
      </c>
      <c r="CX86" s="288">
        <f t="shared" si="21"/>
        <v>0</v>
      </c>
      <c r="CY86" s="288">
        <f t="shared" si="21"/>
        <v>0</v>
      </c>
      <c r="CZ86" s="288">
        <f t="shared" si="21"/>
        <v>0</v>
      </c>
      <c r="DA86" s="288">
        <f t="shared" si="21"/>
        <v>0</v>
      </c>
      <c r="DB86" s="288">
        <f t="shared" si="33"/>
        <v>0</v>
      </c>
      <c r="DC86" s="288">
        <f t="shared" si="33"/>
        <v>0</v>
      </c>
      <c r="DD86" s="288">
        <f t="shared" si="33"/>
        <v>0</v>
      </c>
      <c r="DE86" s="288">
        <f t="shared" si="33"/>
        <v>0</v>
      </c>
      <c r="DG86" s="314">
        <f t="shared" si="60"/>
        <v>85</v>
      </c>
      <c r="DH86" s="289">
        <f>MAX(CH$3:CH$109)</f>
        <v>85</v>
      </c>
      <c r="DJ86" s="288">
        <f>LOOKUP(DH86, 'Mortality Table'!A:A,('Mortality Table'!J:J/'Mortality Table'!I:I))</f>
        <v>0.12345721938891045</v>
      </c>
      <c r="DK86" s="288">
        <f>LOOKUP(A86, 'Mortality Table'!A:A,('Mortality Table'!J:J/'Mortality Table'!I:I))</f>
        <v>0.10264312474718483</v>
      </c>
      <c r="DL86" s="288">
        <f t="shared" si="61"/>
        <v>2.0814094641725622E-2</v>
      </c>
      <c r="DN86" s="288">
        <f>LOOKUP(DH86, 'Mortality Table'!A:A,('Mortality Table'!L:L/'Mortality Table'!K:K))</f>
        <v>0.12505716370386982</v>
      </c>
      <c r="DO86" s="288">
        <f>LOOKUP(A86, 'Mortality Table'!A:A,('Mortality Table'!L:L/'Mortality Table'!K:K))</f>
        <v>0.10397332872166105</v>
      </c>
      <c r="DP86" s="288">
        <f t="shared" si="62"/>
        <v>2.1083834982208768E-2</v>
      </c>
      <c r="DR86" s="288">
        <f>LOOKUP(DH86, 'Mortality Table'!A:A,('Mortality Table'!N:N/'Mortality Table'!M:M))</f>
        <v>0.12786778797828288</v>
      </c>
      <c r="DS86" s="288">
        <f>LOOKUP(A86, 'Mortality Table'!A:A,('Mortality Table'!N:N/'Mortality Table'!M:M))</f>
        <v>0.10631009978652083</v>
      </c>
      <c r="DT86" s="288">
        <f t="shared" si="63"/>
        <v>2.1557688191762056E-2</v>
      </c>
    </row>
    <row r="87" spans="1:124">
      <c r="A87" s="288">
        <v>84</v>
      </c>
      <c r="B87" s="288">
        <v>0.12256374701486789</v>
      </c>
      <c r="C87" s="288">
        <f t="shared" si="85"/>
        <v>0</v>
      </c>
      <c r="D87" s="288">
        <f t="shared" si="85"/>
        <v>0</v>
      </c>
      <c r="E87" s="288">
        <f t="shared" si="85"/>
        <v>0</v>
      </c>
      <c r="F87" s="288">
        <f t="shared" si="85"/>
        <v>0</v>
      </c>
      <c r="G87" s="288">
        <f t="shared" si="85"/>
        <v>0</v>
      </c>
      <c r="H87" s="288">
        <f t="shared" si="85"/>
        <v>0</v>
      </c>
      <c r="I87" s="288">
        <f t="shared" si="85"/>
        <v>0</v>
      </c>
      <c r="J87" s="288">
        <f t="shared" si="85"/>
        <v>0</v>
      </c>
      <c r="K87" s="288">
        <f t="shared" si="85"/>
        <v>0</v>
      </c>
      <c r="L87" s="288">
        <f t="shared" si="85"/>
        <v>0</v>
      </c>
      <c r="M87" s="288">
        <f t="shared" si="85"/>
        <v>0</v>
      </c>
      <c r="N87" s="288">
        <f t="shared" si="85"/>
        <v>0</v>
      </c>
      <c r="O87" s="288">
        <f t="shared" si="85"/>
        <v>0</v>
      </c>
      <c r="P87" s="288">
        <f t="shared" si="85"/>
        <v>0</v>
      </c>
      <c r="Q87" s="288">
        <f t="shared" si="85"/>
        <v>0</v>
      </c>
      <c r="R87" s="288">
        <f t="shared" si="85"/>
        <v>0</v>
      </c>
      <c r="S87" s="288">
        <f t="shared" si="92"/>
        <v>0</v>
      </c>
      <c r="T87" s="288">
        <f t="shared" si="93"/>
        <v>0</v>
      </c>
      <c r="U87" s="288">
        <f t="shared" si="94"/>
        <v>0</v>
      </c>
      <c r="V87" s="288">
        <f t="shared" si="87"/>
        <v>0</v>
      </c>
      <c r="W87" s="288">
        <f t="shared" si="87"/>
        <v>0</v>
      </c>
      <c r="X87" s="288">
        <f t="shared" si="87"/>
        <v>0</v>
      </c>
      <c r="Y87" s="288">
        <f t="shared" si="87"/>
        <v>0</v>
      </c>
      <c r="Z87" s="288">
        <f t="shared" si="87"/>
        <v>0</v>
      </c>
      <c r="AA87" s="288">
        <f t="shared" si="87"/>
        <v>0</v>
      </c>
      <c r="AB87" s="288">
        <f t="shared" si="87"/>
        <v>0</v>
      </c>
      <c r="AC87" s="288">
        <f t="shared" si="87"/>
        <v>0</v>
      </c>
      <c r="AD87" s="288">
        <f t="shared" si="87"/>
        <v>0</v>
      </c>
      <c r="AE87" s="288">
        <f t="shared" si="87"/>
        <v>0</v>
      </c>
      <c r="AF87" s="288">
        <f t="shared" si="87"/>
        <v>0</v>
      </c>
      <c r="AG87" s="288">
        <f t="shared" si="87"/>
        <v>0</v>
      </c>
      <c r="AH87" s="288">
        <f t="shared" si="88"/>
        <v>0</v>
      </c>
      <c r="AI87" s="288">
        <f t="shared" si="58"/>
        <v>0</v>
      </c>
      <c r="AJ87" s="288">
        <f t="shared" si="58"/>
        <v>0</v>
      </c>
      <c r="AK87" s="288">
        <f t="shared" si="58"/>
        <v>0</v>
      </c>
      <c r="AL87" s="288">
        <f t="shared" si="58"/>
        <v>0</v>
      </c>
      <c r="AM87" s="288">
        <f t="shared" si="58"/>
        <v>0</v>
      </c>
      <c r="AN87" s="288">
        <f t="shared" si="58"/>
        <v>0</v>
      </c>
      <c r="AO87" s="288">
        <f t="shared" si="58"/>
        <v>0</v>
      </c>
      <c r="AP87" s="288">
        <f t="shared" si="35"/>
        <v>0</v>
      </c>
      <c r="AQ87" s="288">
        <f t="shared" si="36"/>
        <v>0</v>
      </c>
      <c r="AR87" s="288">
        <f t="shared" si="37"/>
        <v>0</v>
      </c>
      <c r="AS87" s="288">
        <f t="shared" si="38"/>
        <v>0</v>
      </c>
      <c r="AT87" s="288">
        <f t="shared" si="89"/>
        <v>0</v>
      </c>
      <c r="AU87" s="288">
        <f t="shared" si="90"/>
        <v>0</v>
      </c>
      <c r="AV87" s="288">
        <f t="shared" si="83"/>
        <v>0</v>
      </c>
      <c r="AW87" s="288">
        <f t="shared" si="83"/>
        <v>0</v>
      </c>
      <c r="AX87" s="288">
        <f t="shared" si="83"/>
        <v>0</v>
      </c>
      <c r="AY87" s="288">
        <f t="shared" si="83"/>
        <v>0</v>
      </c>
      <c r="AZ87" s="288">
        <f t="shared" si="83"/>
        <v>0</v>
      </c>
      <c r="BA87" s="288">
        <f t="shared" si="83"/>
        <v>0</v>
      </c>
      <c r="BB87" s="288">
        <f t="shared" si="83"/>
        <v>0</v>
      </c>
      <c r="BC87" s="288">
        <f t="shared" si="83"/>
        <v>0</v>
      </c>
      <c r="BD87" s="288">
        <f t="shared" si="83"/>
        <v>0</v>
      </c>
      <c r="BE87" s="288">
        <f t="shared" si="83"/>
        <v>0</v>
      </c>
      <c r="BF87" s="288">
        <f t="shared" si="83"/>
        <v>0</v>
      </c>
      <c r="BG87" s="288">
        <f t="shared" si="83"/>
        <v>0</v>
      </c>
      <c r="BH87" s="288">
        <f t="shared" si="83"/>
        <v>0</v>
      </c>
      <c r="BI87" s="288">
        <f t="shared" si="41"/>
        <v>0</v>
      </c>
      <c r="BJ87" s="288">
        <f t="shared" si="41"/>
        <v>0</v>
      </c>
      <c r="BK87" s="288">
        <f t="shared" si="41"/>
        <v>0</v>
      </c>
      <c r="BL87" s="288">
        <f t="shared" si="41"/>
        <v>0</v>
      </c>
      <c r="BM87" s="288">
        <f t="shared" si="41"/>
        <v>0</v>
      </c>
      <c r="BN87" s="288">
        <f t="shared" si="41"/>
        <v>0</v>
      </c>
      <c r="BO87" s="288">
        <f t="shared" si="41"/>
        <v>0</v>
      </c>
      <c r="BP87" s="288">
        <f t="shared" si="41"/>
        <v>0</v>
      </c>
      <c r="BQ87" s="288">
        <f t="shared" si="41"/>
        <v>0</v>
      </c>
      <c r="BR87" s="288">
        <f t="shared" si="41"/>
        <v>0</v>
      </c>
      <c r="BS87" s="288">
        <f t="shared" si="41"/>
        <v>0</v>
      </c>
      <c r="BT87" s="288">
        <f t="shared" si="96"/>
        <v>0</v>
      </c>
      <c r="BU87" s="288">
        <f t="shared" si="96"/>
        <v>0</v>
      </c>
      <c r="BV87" s="288">
        <f t="shared" si="96"/>
        <v>0</v>
      </c>
      <c r="BW87" s="288">
        <f t="shared" si="96"/>
        <v>0</v>
      </c>
      <c r="BX87" s="288">
        <f t="shared" si="96"/>
        <v>0</v>
      </c>
      <c r="BY87" s="288">
        <f t="shared" si="96"/>
        <v>0</v>
      </c>
      <c r="BZ87" s="288">
        <f t="shared" si="96"/>
        <v>0</v>
      </c>
      <c r="CA87" s="288">
        <f t="shared" si="96"/>
        <v>0</v>
      </c>
      <c r="CB87" s="288">
        <f t="shared" si="96"/>
        <v>0</v>
      </c>
      <c r="CC87" s="288">
        <f t="shared" si="96"/>
        <v>0</v>
      </c>
      <c r="CD87" s="288">
        <f t="shared" si="96"/>
        <v>0</v>
      </c>
      <c r="CE87" s="288">
        <f t="shared" si="95"/>
        <v>0</v>
      </c>
      <c r="CF87" s="288">
        <f t="shared" si="95"/>
        <v>0</v>
      </c>
      <c r="CG87" s="288">
        <f t="shared" si="95"/>
        <v>84</v>
      </c>
      <c r="CH87" s="288">
        <f t="shared" si="95"/>
        <v>0</v>
      </c>
      <c r="CI87" s="288">
        <f t="shared" si="95"/>
        <v>0</v>
      </c>
      <c r="CJ87" s="288">
        <f t="shared" si="95"/>
        <v>0</v>
      </c>
      <c r="CK87" s="288">
        <f t="shared" si="95"/>
        <v>0</v>
      </c>
      <c r="CL87" s="288">
        <f t="shared" si="95"/>
        <v>0</v>
      </c>
      <c r="CM87" s="288">
        <f t="shared" si="91"/>
        <v>0</v>
      </c>
      <c r="CN87" s="288">
        <f t="shared" si="91"/>
        <v>0</v>
      </c>
      <c r="CO87" s="288">
        <f t="shared" si="91"/>
        <v>0</v>
      </c>
      <c r="CP87" s="288">
        <f t="shared" si="91"/>
        <v>0</v>
      </c>
      <c r="CQ87" s="288">
        <f t="shared" si="80"/>
        <v>0</v>
      </c>
      <c r="CR87" s="288">
        <f t="shared" si="81"/>
        <v>0</v>
      </c>
      <c r="CS87" s="288">
        <f t="shared" si="82"/>
        <v>0</v>
      </c>
      <c r="CT87" s="288">
        <f t="shared" si="97"/>
        <v>0</v>
      </c>
      <c r="CU87" s="288">
        <f t="shared" si="84"/>
        <v>0</v>
      </c>
      <c r="CV87" s="288">
        <f t="shared" si="29"/>
        <v>0</v>
      </c>
      <c r="CW87" s="288">
        <f t="shared" si="29"/>
        <v>0</v>
      </c>
      <c r="CX87" s="288">
        <f t="shared" si="21"/>
        <v>0</v>
      </c>
      <c r="CY87" s="288">
        <f t="shared" si="21"/>
        <v>0</v>
      </c>
      <c r="CZ87" s="288">
        <f t="shared" si="21"/>
        <v>0</v>
      </c>
      <c r="DA87" s="288">
        <f t="shared" si="21"/>
        <v>0</v>
      </c>
      <c r="DB87" s="288">
        <f t="shared" si="33"/>
        <v>0</v>
      </c>
      <c r="DC87" s="288">
        <f t="shared" si="33"/>
        <v>0</v>
      </c>
      <c r="DD87" s="288">
        <f t="shared" si="33"/>
        <v>0</v>
      </c>
      <c r="DE87" s="288">
        <f t="shared" si="33"/>
        <v>0</v>
      </c>
      <c r="DG87" s="314">
        <f t="shared" si="60"/>
        <v>86</v>
      </c>
      <c r="DH87" s="289">
        <f>MAX(CI$3:CI$109)</f>
        <v>86</v>
      </c>
      <c r="DJ87" s="288">
        <f>LOOKUP(DH87, 'Mortality Table'!A:A,('Mortality Table'!J:J/'Mortality Table'!I:I))</f>
        <v>0.1345042356797449</v>
      </c>
      <c r="DK87" s="288">
        <f>LOOKUP(A87, 'Mortality Table'!A:A,('Mortality Table'!J:J/'Mortality Table'!I:I))</f>
        <v>0.11282907457639878</v>
      </c>
      <c r="DL87" s="288">
        <f t="shared" si="61"/>
        <v>2.1675161103346122E-2</v>
      </c>
      <c r="DN87" s="288">
        <f>LOOKUP(DH87, 'Mortality Table'!A:A,('Mortality Table'!L:L/'Mortality Table'!K:K))</f>
        <v>0.13624734384530185</v>
      </c>
      <c r="DO87" s="288">
        <f>LOOKUP(A87, 'Mortality Table'!A:A,('Mortality Table'!L:L/'Mortality Table'!K:K))</f>
        <v>0.11429128340731341</v>
      </c>
      <c r="DP87" s="288">
        <f t="shared" si="62"/>
        <v>2.1956060437988437E-2</v>
      </c>
      <c r="DR87" s="288">
        <f>LOOKUP(DH87, 'Mortality Table'!A:A,('Mortality Table'!N:N/'Mortality Table'!M:M))</f>
        <v>0.13930946424363977</v>
      </c>
      <c r="DS87" s="288">
        <f>LOOKUP(A87, 'Mortality Table'!A:A,('Mortality Table'!N:N/'Mortality Table'!M:M))</f>
        <v>0.11685994757643754</v>
      </c>
      <c r="DT87" s="288">
        <f t="shared" si="63"/>
        <v>2.2449516667202227E-2</v>
      </c>
    </row>
    <row r="88" spans="1:124">
      <c r="A88" s="288">
        <v>85</v>
      </c>
      <c r="B88" s="288">
        <v>0.13410886742756803</v>
      </c>
      <c r="C88" s="288">
        <f t="shared" si="85"/>
        <v>0</v>
      </c>
      <c r="D88" s="288">
        <f t="shared" si="85"/>
        <v>0</v>
      </c>
      <c r="E88" s="288">
        <f t="shared" si="85"/>
        <v>0</v>
      </c>
      <c r="F88" s="288">
        <f t="shared" si="85"/>
        <v>0</v>
      </c>
      <c r="G88" s="288">
        <f t="shared" si="85"/>
        <v>0</v>
      </c>
      <c r="H88" s="288">
        <f t="shared" si="85"/>
        <v>0</v>
      </c>
      <c r="I88" s="288">
        <f t="shared" si="85"/>
        <v>0</v>
      </c>
      <c r="J88" s="288">
        <f t="shared" si="85"/>
        <v>0</v>
      </c>
      <c r="K88" s="288">
        <f t="shared" si="85"/>
        <v>0</v>
      </c>
      <c r="L88" s="288">
        <f t="shared" si="85"/>
        <v>0</v>
      </c>
      <c r="M88" s="288">
        <f t="shared" si="85"/>
        <v>0</v>
      </c>
      <c r="N88" s="288">
        <f t="shared" si="85"/>
        <v>0</v>
      </c>
      <c r="O88" s="288">
        <f t="shared" si="85"/>
        <v>0</v>
      </c>
      <c r="P88" s="288">
        <f t="shared" si="85"/>
        <v>0</v>
      </c>
      <c r="Q88" s="288">
        <f t="shared" si="85"/>
        <v>0</v>
      </c>
      <c r="R88" s="288">
        <f t="shared" si="85"/>
        <v>0</v>
      </c>
      <c r="S88" s="288">
        <f t="shared" si="92"/>
        <v>0</v>
      </c>
      <c r="T88" s="288">
        <f t="shared" si="93"/>
        <v>0</v>
      </c>
      <c r="U88" s="288">
        <f t="shared" si="94"/>
        <v>0</v>
      </c>
      <c r="V88" s="288">
        <f t="shared" si="87"/>
        <v>0</v>
      </c>
      <c r="W88" s="288">
        <f t="shared" si="87"/>
        <v>0</v>
      </c>
      <c r="X88" s="288">
        <f t="shared" si="87"/>
        <v>0</v>
      </c>
      <c r="Y88" s="288">
        <f t="shared" si="87"/>
        <v>0</v>
      </c>
      <c r="Z88" s="288">
        <f t="shared" si="87"/>
        <v>0</v>
      </c>
      <c r="AA88" s="288">
        <f t="shared" si="87"/>
        <v>0</v>
      </c>
      <c r="AB88" s="288">
        <f t="shared" si="87"/>
        <v>0</v>
      </c>
      <c r="AC88" s="288">
        <f t="shared" si="87"/>
        <v>0</v>
      </c>
      <c r="AD88" s="288">
        <f t="shared" si="87"/>
        <v>0</v>
      </c>
      <c r="AE88" s="288">
        <f t="shared" si="87"/>
        <v>0</v>
      </c>
      <c r="AF88" s="288">
        <f t="shared" si="87"/>
        <v>0</v>
      </c>
      <c r="AG88" s="288">
        <f t="shared" si="87"/>
        <v>0</v>
      </c>
      <c r="AH88" s="288">
        <f t="shared" si="88"/>
        <v>0</v>
      </c>
      <c r="AI88" s="288">
        <f t="shared" si="58"/>
        <v>0</v>
      </c>
      <c r="AJ88" s="288">
        <f t="shared" si="58"/>
        <v>0</v>
      </c>
      <c r="AK88" s="288">
        <f t="shared" si="58"/>
        <v>0</v>
      </c>
      <c r="AL88" s="288">
        <f t="shared" si="58"/>
        <v>0</v>
      </c>
      <c r="AM88" s="288">
        <f t="shared" si="58"/>
        <v>0</v>
      </c>
      <c r="AN88" s="288">
        <f t="shared" si="58"/>
        <v>0</v>
      </c>
      <c r="AO88" s="288">
        <f t="shared" si="58"/>
        <v>0</v>
      </c>
      <c r="AP88" s="288">
        <f t="shared" si="35"/>
        <v>0</v>
      </c>
      <c r="AQ88" s="288">
        <f t="shared" si="36"/>
        <v>0</v>
      </c>
      <c r="AR88" s="288">
        <f t="shared" si="37"/>
        <v>0</v>
      </c>
      <c r="AS88" s="288">
        <f t="shared" si="38"/>
        <v>0</v>
      </c>
      <c r="AT88" s="288">
        <f t="shared" si="89"/>
        <v>0</v>
      </c>
      <c r="AU88" s="288">
        <f t="shared" si="90"/>
        <v>0</v>
      </c>
      <c r="AV88" s="288">
        <f t="shared" si="83"/>
        <v>0</v>
      </c>
      <c r="AW88" s="288">
        <f t="shared" si="83"/>
        <v>0</v>
      </c>
      <c r="AX88" s="288">
        <f t="shared" si="83"/>
        <v>0</v>
      </c>
      <c r="AY88" s="288">
        <f t="shared" si="83"/>
        <v>0</v>
      </c>
      <c r="AZ88" s="288">
        <f t="shared" si="83"/>
        <v>0</v>
      </c>
      <c r="BA88" s="288">
        <f t="shared" si="83"/>
        <v>0</v>
      </c>
      <c r="BB88" s="288">
        <f t="shared" si="83"/>
        <v>0</v>
      </c>
      <c r="BC88" s="288">
        <f t="shared" si="83"/>
        <v>0</v>
      </c>
      <c r="BD88" s="288">
        <f t="shared" si="83"/>
        <v>0</v>
      </c>
      <c r="BE88" s="288">
        <f t="shared" si="83"/>
        <v>0</v>
      </c>
      <c r="BF88" s="288">
        <f t="shared" si="83"/>
        <v>0</v>
      </c>
      <c r="BG88" s="288">
        <f t="shared" si="83"/>
        <v>0</v>
      </c>
      <c r="BH88" s="288">
        <f t="shared" si="83"/>
        <v>0</v>
      </c>
      <c r="BI88" s="288">
        <f t="shared" si="41"/>
        <v>0</v>
      </c>
      <c r="BJ88" s="288">
        <f t="shared" si="41"/>
        <v>0</v>
      </c>
      <c r="BK88" s="288">
        <f t="shared" si="41"/>
        <v>0</v>
      </c>
      <c r="BL88" s="288">
        <f t="shared" si="41"/>
        <v>0</v>
      </c>
      <c r="BM88" s="288">
        <f t="shared" si="41"/>
        <v>0</v>
      </c>
      <c r="BN88" s="288">
        <f t="shared" si="41"/>
        <v>0</v>
      </c>
      <c r="BO88" s="288">
        <f t="shared" si="41"/>
        <v>0</v>
      </c>
      <c r="BP88" s="288">
        <f t="shared" si="41"/>
        <v>0</v>
      </c>
      <c r="BQ88" s="288">
        <f t="shared" si="41"/>
        <v>0</v>
      </c>
      <c r="BR88" s="288">
        <f t="shared" si="41"/>
        <v>0</v>
      </c>
      <c r="BS88" s="288">
        <f t="shared" si="41"/>
        <v>0</v>
      </c>
      <c r="BT88" s="288">
        <f t="shared" si="96"/>
        <v>0</v>
      </c>
      <c r="BU88" s="288">
        <f t="shared" si="96"/>
        <v>0</v>
      </c>
      <c r="BV88" s="288">
        <f t="shared" si="96"/>
        <v>0</v>
      </c>
      <c r="BW88" s="288">
        <f t="shared" si="96"/>
        <v>0</v>
      </c>
      <c r="BX88" s="288">
        <f t="shared" si="96"/>
        <v>0</v>
      </c>
      <c r="BY88" s="288">
        <f t="shared" si="96"/>
        <v>0</v>
      </c>
      <c r="BZ88" s="288">
        <f t="shared" si="96"/>
        <v>0</v>
      </c>
      <c r="CA88" s="288">
        <f t="shared" si="96"/>
        <v>0</v>
      </c>
      <c r="CB88" s="288">
        <f t="shared" si="96"/>
        <v>0</v>
      </c>
      <c r="CC88" s="288">
        <f t="shared" si="96"/>
        <v>0</v>
      </c>
      <c r="CD88" s="288">
        <f t="shared" si="96"/>
        <v>0</v>
      </c>
      <c r="CE88" s="288">
        <f t="shared" si="95"/>
        <v>0</v>
      </c>
      <c r="CF88" s="288">
        <f t="shared" si="95"/>
        <v>0</v>
      </c>
      <c r="CG88" s="288">
        <f t="shared" si="95"/>
        <v>0</v>
      </c>
      <c r="CH88" s="288">
        <f t="shared" si="95"/>
        <v>85</v>
      </c>
      <c r="CI88" s="288">
        <f t="shared" si="95"/>
        <v>0</v>
      </c>
      <c r="CJ88" s="288">
        <f t="shared" si="95"/>
        <v>0</v>
      </c>
      <c r="CK88" s="288">
        <f t="shared" si="95"/>
        <v>0</v>
      </c>
      <c r="CL88" s="288">
        <f t="shared" si="95"/>
        <v>0</v>
      </c>
      <c r="CM88" s="288">
        <f t="shared" si="91"/>
        <v>0</v>
      </c>
      <c r="CN88" s="288">
        <f t="shared" si="91"/>
        <v>0</v>
      </c>
      <c r="CO88" s="288">
        <f t="shared" si="91"/>
        <v>0</v>
      </c>
      <c r="CP88" s="288">
        <f t="shared" si="91"/>
        <v>0</v>
      </c>
      <c r="CQ88" s="288">
        <f t="shared" si="80"/>
        <v>0</v>
      </c>
      <c r="CR88" s="288">
        <f t="shared" si="81"/>
        <v>0</v>
      </c>
      <c r="CS88" s="288">
        <f t="shared" si="82"/>
        <v>0</v>
      </c>
      <c r="CT88" s="288">
        <f t="shared" si="97"/>
        <v>0</v>
      </c>
      <c r="CU88" s="288">
        <f t="shared" si="84"/>
        <v>0</v>
      </c>
      <c r="CV88" s="288">
        <f t="shared" si="29"/>
        <v>0</v>
      </c>
      <c r="CW88" s="288">
        <f t="shared" si="29"/>
        <v>0</v>
      </c>
      <c r="CX88" s="288">
        <f t="shared" si="29"/>
        <v>0</v>
      </c>
      <c r="CY88" s="288">
        <f t="shared" si="29"/>
        <v>0</v>
      </c>
      <c r="CZ88" s="288">
        <f t="shared" si="29"/>
        <v>0</v>
      </c>
      <c r="DA88" s="288">
        <f t="shared" si="29"/>
        <v>0</v>
      </c>
      <c r="DB88" s="288">
        <f t="shared" si="33"/>
        <v>0</v>
      </c>
      <c r="DC88" s="288">
        <f t="shared" si="33"/>
        <v>0</v>
      </c>
      <c r="DD88" s="288">
        <f t="shared" si="33"/>
        <v>0</v>
      </c>
      <c r="DE88" s="288">
        <f t="shared" si="33"/>
        <v>0</v>
      </c>
      <c r="DG88" s="314">
        <f t="shared" si="60"/>
        <v>87</v>
      </c>
      <c r="DH88" s="289">
        <f>MAX(CJ$3:CJ$109)</f>
        <v>87</v>
      </c>
      <c r="DJ88" s="288">
        <f>LOOKUP(DH88, 'Mortality Table'!A:A,('Mortality Table'!J:J/'Mortality Table'!I:I))</f>
        <v>0.148118340824346</v>
      </c>
      <c r="DK88" s="288">
        <f>LOOKUP(A88, 'Mortality Table'!A:A,('Mortality Table'!J:J/'Mortality Table'!I:I))</f>
        <v>0.12345721938891045</v>
      </c>
      <c r="DL88" s="288">
        <f t="shared" si="61"/>
        <v>2.4661121435435543E-2</v>
      </c>
      <c r="DN88" s="288">
        <f>LOOKUP(DH88, 'Mortality Table'!A:A,('Mortality Table'!L:L/'Mortality Table'!K:K))</f>
        <v>0.15003788103848739</v>
      </c>
      <c r="DO88" s="288">
        <f>LOOKUP(A88, 'Mortality Table'!A:A,('Mortality Table'!L:L/'Mortality Table'!K:K))</f>
        <v>0.12505716370386982</v>
      </c>
      <c r="DP88" s="288">
        <f t="shared" si="62"/>
        <v>2.4980717334617569E-2</v>
      </c>
      <c r="DR88" s="288">
        <f>LOOKUP(DH88, 'Mortality Table'!A:A,('Mortality Table'!N:N/'Mortality Table'!M:M))</f>
        <v>0.15340993984774423</v>
      </c>
      <c r="DS88" s="288">
        <f>LOOKUP(A88, 'Mortality Table'!A:A,('Mortality Table'!N:N/'Mortality Table'!M:M))</f>
        <v>0.12786778797828288</v>
      </c>
      <c r="DT88" s="288">
        <f t="shared" si="63"/>
        <v>2.5542151869461349E-2</v>
      </c>
    </row>
    <row r="89" spans="1:124">
      <c r="A89" s="288">
        <v>86</v>
      </c>
      <c r="B89" s="288">
        <v>0.14610899873257288</v>
      </c>
      <c r="C89" s="288">
        <f t="shared" si="85"/>
        <v>0</v>
      </c>
      <c r="D89" s="288">
        <f t="shared" si="85"/>
        <v>0</v>
      </c>
      <c r="E89" s="288">
        <f t="shared" si="85"/>
        <v>0</v>
      </c>
      <c r="F89" s="288">
        <f t="shared" si="85"/>
        <v>0</v>
      </c>
      <c r="G89" s="288">
        <f t="shared" si="85"/>
        <v>0</v>
      </c>
      <c r="H89" s="288">
        <f t="shared" si="85"/>
        <v>0</v>
      </c>
      <c r="I89" s="288">
        <f t="shared" si="85"/>
        <v>0</v>
      </c>
      <c r="J89" s="288">
        <f t="shared" si="85"/>
        <v>0</v>
      </c>
      <c r="K89" s="288">
        <f t="shared" si="85"/>
        <v>0</v>
      </c>
      <c r="L89" s="288">
        <f t="shared" si="85"/>
        <v>0</v>
      </c>
      <c r="M89" s="288">
        <f t="shared" si="85"/>
        <v>0</v>
      </c>
      <c r="N89" s="288">
        <f t="shared" si="85"/>
        <v>0</v>
      </c>
      <c r="O89" s="288">
        <f t="shared" si="85"/>
        <v>0</v>
      </c>
      <c r="P89" s="288">
        <f t="shared" si="85"/>
        <v>0</v>
      </c>
      <c r="Q89" s="288">
        <f t="shared" si="85"/>
        <v>0</v>
      </c>
      <c r="R89" s="288">
        <f t="shared" si="85"/>
        <v>0</v>
      </c>
      <c r="S89" s="288">
        <f t="shared" si="92"/>
        <v>0</v>
      </c>
      <c r="T89" s="288">
        <f t="shared" si="93"/>
        <v>0</v>
      </c>
      <c r="U89" s="288">
        <f t="shared" si="94"/>
        <v>0</v>
      </c>
      <c r="V89" s="288">
        <f t="shared" si="87"/>
        <v>0</v>
      </c>
      <c r="W89" s="288">
        <f t="shared" si="87"/>
        <v>0</v>
      </c>
      <c r="X89" s="288">
        <f t="shared" si="87"/>
        <v>0</v>
      </c>
      <c r="Y89" s="288">
        <f t="shared" si="87"/>
        <v>0</v>
      </c>
      <c r="Z89" s="288">
        <f t="shared" si="87"/>
        <v>0</v>
      </c>
      <c r="AA89" s="288">
        <f t="shared" si="87"/>
        <v>0</v>
      </c>
      <c r="AB89" s="288">
        <f t="shared" si="87"/>
        <v>0</v>
      </c>
      <c r="AC89" s="288">
        <f t="shared" si="87"/>
        <v>0</v>
      </c>
      <c r="AD89" s="288">
        <f t="shared" si="87"/>
        <v>0</v>
      </c>
      <c r="AE89" s="288">
        <f t="shared" si="87"/>
        <v>0</v>
      </c>
      <c r="AF89" s="288">
        <f t="shared" si="87"/>
        <v>0</v>
      </c>
      <c r="AG89" s="288">
        <f t="shared" si="87"/>
        <v>0</v>
      </c>
      <c r="AH89" s="288">
        <f t="shared" si="88"/>
        <v>0</v>
      </c>
      <c r="AI89" s="288">
        <f t="shared" si="58"/>
        <v>0</v>
      </c>
      <c r="AJ89" s="288">
        <f t="shared" si="58"/>
        <v>0</v>
      </c>
      <c r="AK89" s="288">
        <f t="shared" si="58"/>
        <v>0</v>
      </c>
      <c r="AL89" s="288">
        <f t="shared" si="58"/>
        <v>0</v>
      </c>
      <c r="AM89" s="288">
        <f t="shared" si="58"/>
        <v>0</v>
      </c>
      <c r="AN89" s="288">
        <f t="shared" si="58"/>
        <v>0</v>
      </c>
      <c r="AO89" s="288">
        <f t="shared" si="58"/>
        <v>0</v>
      </c>
      <c r="AP89" s="288">
        <f t="shared" si="35"/>
        <v>0</v>
      </c>
      <c r="AQ89" s="288">
        <f t="shared" si="36"/>
        <v>0</v>
      </c>
      <c r="AR89" s="288">
        <f t="shared" si="37"/>
        <v>0</v>
      </c>
      <c r="AS89" s="288">
        <f t="shared" si="38"/>
        <v>0</v>
      </c>
      <c r="AT89" s="288">
        <f t="shared" si="89"/>
        <v>0</v>
      </c>
      <c r="AU89" s="288">
        <f t="shared" si="90"/>
        <v>0</v>
      </c>
      <c r="AV89" s="288">
        <f t="shared" si="83"/>
        <v>0</v>
      </c>
      <c r="AW89" s="288">
        <f t="shared" si="83"/>
        <v>0</v>
      </c>
      <c r="AX89" s="288">
        <f t="shared" si="83"/>
        <v>0</v>
      </c>
      <c r="AY89" s="288">
        <f t="shared" si="83"/>
        <v>0</v>
      </c>
      <c r="AZ89" s="288">
        <f t="shared" si="83"/>
        <v>0</v>
      </c>
      <c r="BA89" s="288">
        <f t="shared" si="83"/>
        <v>0</v>
      </c>
      <c r="BB89" s="288">
        <f t="shared" si="83"/>
        <v>0</v>
      </c>
      <c r="BC89" s="288">
        <f t="shared" si="83"/>
        <v>0</v>
      </c>
      <c r="BD89" s="288">
        <f t="shared" si="83"/>
        <v>0</v>
      </c>
      <c r="BE89" s="288">
        <f t="shared" si="83"/>
        <v>0</v>
      </c>
      <c r="BF89" s="288">
        <f t="shared" si="83"/>
        <v>0</v>
      </c>
      <c r="BG89" s="288">
        <f t="shared" si="83"/>
        <v>0</v>
      </c>
      <c r="BH89" s="288">
        <f t="shared" si="83"/>
        <v>0</v>
      </c>
      <c r="BI89" s="288">
        <f t="shared" si="41"/>
        <v>0</v>
      </c>
      <c r="BJ89" s="288">
        <f t="shared" si="41"/>
        <v>0</v>
      </c>
      <c r="BK89" s="288">
        <f t="shared" si="41"/>
        <v>0</v>
      </c>
      <c r="BL89" s="288">
        <f t="shared" si="41"/>
        <v>0</v>
      </c>
      <c r="BM89" s="288">
        <f t="shared" si="41"/>
        <v>0</v>
      </c>
      <c r="BN89" s="288">
        <f t="shared" si="41"/>
        <v>0</v>
      </c>
      <c r="BO89" s="288">
        <f t="shared" si="41"/>
        <v>0</v>
      </c>
      <c r="BP89" s="288">
        <f t="shared" si="41"/>
        <v>0</v>
      </c>
      <c r="BQ89" s="288">
        <f t="shared" si="41"/>
        <v>0</v>
      </c>
      <c r="BR89" s="288">
        <f t="shared" si="41"/>
        <v>0</v>
      </c>
      <c r="BS89" s="288">
        <f t="shared" si="41"/>
        <v>0</v>
      </c>
      <c r="BT89" s="288">
        <f t="shared" si="96"/>
        <v>0</v>
      </c>
      <c r="BU89" s="288">
        <f t="shared" si="96"/>
        <v>0</v>
      </c>
      <c r="BV89" s="288">
        <f t="shared" si="96"/>
        <v>0</v>
      </c>
      <c r="BW89" s="288">
        <f t="shared" si="96"/>
        <v>0</v>
      </c>
      <c r="BX89" s="288">
        <f t="shared" si="96"/>
        <v>0</v>
      </c>
      <c r="BY89" s="288">
        <f t="shared" si="96"/>
        <v>0</v>
      </c>
      <c r="BZ89" s="288">
        <f t="shared" si="96"/>
        <v>0</v>
      </c>
      <c r="CA89" s="288">
        <f t="shared" si="96"/>
        <v>0</v>
      </c>
      <c r="CB89" s="288">
        <f t="shared" si="96"/>
        <v>0</v>
      </c>
      <c r="CC89" s="288">
        <f t="shared" si="96"/>
        <v>0</v>
      </c>
      <c r="CD89" s="288">
        <f t="shared" si="96"/>
        <v>0</v>
      </c>
      <c r="CE89" s="288">
        <f t="shared" si="95"/>
        <v>0</v>
      </c>
      <c r="CF89" s="288">
        <f t="shared" si="95"/>
        <v>0</v>
      </c>
      <c r="CG89" s="288">
        <f t="shared" si="95"/>
        <v>0</v>
      </c>
      <c r="CH89" s="288">
        <f t="shared" si="95"/>
        <v>0</v>
      </c>
      <c r="CI89" s="288">
        <f t="shared" si="95"/>
        <v>86</v>
      </c>
      <c r="CJ89" s="288">
        <f t="shared" si="95"/>
        <v>0</v>
      </c>
      <c r="CK89" s="288">
        <f t="shared" si="95"/>
        <v>0</v>
      </c>
      <c r="CL89" s="288">
        <f t="shared" si="95"/>
        <v>0</v>
      </c>
      <c r="CM89" s="288">
        <f t="shared" si="91"/>
        <v>0</v>
      </c>
      <c r="CN89" s="288">
        <f t="shared" si="91"/>
        <v>0</v>
      </c>
      <c r="CO89" s="288">
        <f t="shared" si="91"/>
        <v>0</v>
      </c>
      <c r="CP89" s="288">
        <f t="shared" si="91"/>
        <v>0</v>
      </c>
      <c r="CQ89" s="288">
        <f t="shared" si="80"/>
        <v>0</v>
      </c>
      <c r="CR89" s="288">
        <f t="shared" si="81"/>
        <v>0</v>
      </c>
      <c r="CS89" s="288">
        <f t="shared" si="82"/>
        <v>0</v>
      </c>
      <c r="CT89" s="288">
        <f t="shared" si="97"/>
        <v>0</v>
      </c>
      <c r="CU89" s="288">
        <f t="shared" si="84"/>
        <v>0</v>
      </c>
      <c r="CV89" s="288">
        <f t="shared" si="29"/>
        <v>0</v>
      </c>
      <c r="CW89" s="288">
        <f t="shared" si="29"/>
        <v>0</v>
      </c>
      <c r="CX89" s="288">
        <f t="shared" si="29"/>
        <v>0</v>
      </c>
      <c r="CY89" s="288">
        <f t="shared" si="29"/>
        <v>0</v>
      </c>
      <c r="CZ89" s="288">
        <f t="shared" si="29"/>
        <v>0</v>
      </c>
      <c r="DA89" s="288">
        <f t="shared" si="29"/>
        <v>0</v>
      </c>
      <c r="DB89" s="288">
        <f t="shared" si="33"/>
        <v>0</v>
      </c>
      <c r="DC89" s="288">
        <f t="shared" si="33"/>
        <v>0</v>
      </c>
      <c r="DD89" s="288">
        <f t="shared" si="33"/>
        <v>0</v>
      </c>
      <c r="DE89" s="288">
        <f t="shared" si="33"/>
        <v>0</v>
      </c>
      <c r="DG89" s="314">
        <f t="shared" si="60"/>
        <v>88</v>
      </c>
      <c r="DH89" s="289">
        <f>MAX(CK$3:CK$109)</f>
        <v>88</v>
      </c>
      <c r="DJ89" s="288">
        <f>LOOKUP(DH89, 'Mortality Table'!A:A,('Mortality Table'!J:J/'Mortality Table'!I:I))</f>
        <v>0.16336242423328351</v>
      </c>
      <c r="DK89" s="288">
        <f>LOOKUP(A89, 'Mortality Table'!A:A,('Mortality Table'!J:J/'Mortality Table'!I:I))</f>
        <v>0.1345042356797449</v>
      </c>
      <c r="DL89" s="288">
        <f t="shared" si="61"/>
        <v>2.8858188553538611E-2</v>
      </c>
      <c r="DN89" s="288">
        <f>LOOKUP(DH89, 'Mortality Table'!A:A,('Mortality Table'!L:L/'Mortality Table'!K:K))</f>
        <v>0.16547952020566778</v>
      </c>
      <c r="DO89" s="288">
        <f>LOOKUP(A89, 'Mortality Table'!A:A,('Mortality Table'!L:L/'Mortality Table'!K:K))</f>
        <v>0.13624734384530185</v>
      </c>
      <c r="DP89" s="288">
        <f t="shared" si="62"/>
        <v>2.923217636036593E-2</v>
      </c>
      <c r="DR89" s="288">
        <f>LOOKUP(DH89, 'Mortality Table'!A:A,('Mortality Table'!N:N/'Mortality Table'!M:M))</f>
        <v>0.16919862547427611</v>
      </c>
      <c r="DS89" s="288">
        <f>LOOKUP(A89, 'Mortality Table'!A:A,('Mortality Table'!N:N/'Mortality Table'!M:M))</f>
        <v>0.13930946424363977</v>
      </c>
      <c r="DT89" s="288">
        <f t="shared" si="63"/>
        <v>2.9889161230636341E-2</v>
      </c>
    </row>
    <row r="90" spans="1:124">
      <c r="A90" s="288">
        <v>87</v>
      </c>
      <c r="B90" s="288">
        <v>0.16089770230956479</v>
      </c>
      <c r="C90" s="288">
        <f t="shared" si="85"/>
        <v>0</v>
      </c>
      <c r="D90" s="288">
        <f t="shared" si="85"/>
        <v>0</v>
      </c>
      <c r="E90" s="288">
        <f t="shared" si="85"/>
        <v>0</v>
      </c>
      <c r="F90" s="288">
        <f t="shared" si="85"/>
        <v>0</v>
      </c>
      <c r="G90" s="288">
        <f t="shared" si="85"/>
        <v>0</v>
      </c>
      <c r="H90" s="288">
        <f t="shared" si="85"/>
        <v>0</v>
      </c>
      <c r="I90" s="288">
        <f t="shared" si="85"/>
        <v>0</v>
      </c>
      <c r="J90" s="288">
        <f t="shared" si="85"/>
        <v>0</v>
      </c>
      <c r="K90" s="288">
        <f t="shared" si="85"/>
        <v>0</v>
      </c>
      <c r="L90" s="288">
        <f t="shared" si="85"/>
        <v>0</v>
      </c>
      <c r="M90" s="288">
        <f t="shared" si="85"/>
        <v>0</v>
      </c>
      <c r="N90" s="288">
        <f t="shared" si="85"/>
        <v>0</v>
      </c>
      <c r="O90" s="288">
        <f t="shared" si="85"/>
        <v>0</v>
      </c>
      <c r="P90" s="288">
        <f t="shared" si="85"/>
        <v>0</v>
      </c>
      <c r="Q90" s="288">
        <f t="shared" si="85"/>
        <v>0</v>
      </c>
      <c r="R90" s="288">
        <f t="shared" si="85"/>
        <v>0</v>
      </c>
      <c r="S90" s="288">
        <f t="shared" si="92"/>
        <v>0</v>
      </c>
      <c r="T90" s="288">
        <f t="shared" si="93"/>
        <v>0</v>
      </c>
      <c r="U90" s="288">
        <f t="shared" si="94"/>
        <v>0</v>
      </c>
      <c r="V90" s="288">
        <f t="shared" si="87"/>
        <v>0</v>
      </c>
      <c r="W90" s="288">
        <f t="shared" si="87"/>
        <v>0</v>
      </c>
      <c r="X90" s="288">
        <f t="shared" si="87"/>
        <v>0</v>
      </c>
      <c r="Y90" s="288">
        <f t="shared" si="87"/>
        <v>0</v>
      </c>
      <c r="Z90" s="288">
        <f t="shared" si="87"/>
        <v>0</v>
      </c>
      <c r="AA90" s="288">
        <f t="shared" si="87"/>
        <v>0</v>
      </c>
      <c r="AB90" s="288">
        <f t="shared" si="87"/>
        <v>0</v>
      </c>
      <c r="AC90" s="288">
        <f t="shared" si="87"/>
        <v>0</v>
      </c>
      <c r="AD90" s="288">
        <f t="shared" si="87"/>
        <v>0</v>
      </c>
      <c r="AE90" s="288">
        <f t="shared" si="87"/>
        <v>0</v>
      </c>
      <c r="AF90" s="288">
        <f t="shared" si="87"/>
        <v>0</v>
      </c>
      <c r="AG90" s="288">
        <f t="shared" si="87"/>
        <v>0</v>
      </c>
      <c r="AH90" s="288">
        <f t="shared" si="88"/>
        <v>0</v>
      </c>
      <c r="AI90" s="288">
        <f t="shared" si="58"/>
        <v>0</v>
      </c>
      <c r="AJ90" s="288">
        <f t="shared" si="58"/>
        <v>0</v>
      </c>
      <c r="AK90" s="288">
        <f t="shared" si="58"/>
        <v>0</v>
      </c>
      <c r="AL90" s="288">
        <f t="shared" si="58"/>
        <v>0</v>
      </c>
      <c r="AM90" s="288">
        <f t="shared" si="58"/>
        <v>0</v>
      </c>
      <c r="AN90" s="288">
        <f t="shared" si="58"/>
        <v>0</v>
      </c>
      <c r="AO90" s="288">
        <f t="shared" si="58"/>
        <v>0</v>
      </c>
      <c r="AP90" s="288">
        <f t="shared" si="35"/>
        <v>0</v>
      </c>
      <c r="AQ90" s="288">
        <f t="shared" si="36"/>
        <v>0</v>
      </c>
      <c r="AR90" s="288">
        <f t="shared" si="37"/>
        <v>0</v>
      </c>
      <c r="AS90" s="288">
        <f t="shared" si="38"/>
        <v>0</v>
      </c>
      <c r="AT90" s="288">
        <f t="shared" si="89"/>
        <v>0</v>
      </c>
      <c r="AU90" s="288">
        <f t="shared" si="90"/>
        <v>0</v>
      </c>
      <c r="AV90" s="288">
        <f t="shared" si="83"/>
        <v>0</v>
      </c>
      <c r="AW90" s="288">
        <f t="shared" si="83"/>
        <v>0</v>
      </c>
      <c r="AX90" s="288">
        <f t="shared" si="83"/>
        <v>0</v>
      </c>
      <c r="AY90" s="288">
        <f t="shared" si="83"/>
        <v>0</v>
      </c>
      <c r="AZ90" s="288">
        <f t="shared" si="83"/>
        <v>0</v>
      </c>
      <c r="BA90" s="288">
        <f t="shared" si="83"/>
        <v>0</v>
      </c>
      <c r="BB90" s="288">
        <f t="shared" si="83"/>
        <v>0</v>
      </c>
      <c r="BC90" s="288">
        <f t="shared" si="83"/>
        <v>0</v>
      </c>
      <c r="BD90" s="288">
        <f t="shared" si="83"/>
        <v>0</v>
      </c>
      <c r="BE90" s="288">
        <f t="shared" si="83"/>
        <v>0</v>
      </c>
      <c r="BF90" s="288">
        <f t="shared" si="83"/>
        <v>0</v>
      </c>
      <c r="BG90" s="288">
        <f t="shared" si="83"/>
        <v>0</v>
      </c>
      <c r="BH90" s="288">
        <f t="shared" si="83"/>
        <v>0</v>
      </c>
      <c r="BI90" s="288">
        <f t="shared" si="41"/>
        <v>0</v>
      </c>
      <c r="BJ90" s="288">
        <f t="shared" si="41"/>
        <v>0</v>
      </c>
      <c r="BK90" s="288">
        <f t="shared" si="41"/>
        <v>0</v>
      </c>
      <c r="BL90" s="288">
        <f t="shared" si="41"/>
        <v>0</v>
      </c>
      <c r="BM90" s="288">
        <f t="shared" si="41"/>
        <v>0</v>
      </c>
      <c r="BN90" s="288">
        <f t="shared" si="41"/>
        <v>0</v>
      </c>
      <c r="BO90" s="288">
        <f t="shared" si="41"/>
        <v>0</v>
      </c>
      <c r="BP90" s="288">
        <f t="shared" si="41"/>
        <v>0</v>
      </c>
      <c r="BQ90" s="288">
        <f t="shared" si="41"/>
        <v>0</v>
      </c>
      <c r="BR90" s="288">
        <f t="shared" si="41"/>
        <v>0</v>
      </c>
      <c r="BS90" s="288">
        <f t="shared" si="41"/>
        <v>0</v>
      </c>
      <c r="BT90" s="288">
        <f t="shared" si="96"/>
        <v>0</v>
      </c>
      <c r="BU90" s="288">
        <f t="shared" si="96"/>
        <v>0</v>
      </c>
      <c r="BV90" s="288">
        <f t="shared" si="96"/>
        <v>0</v>
      </c>
      <c r="BW90" s="288">
        <f t="shared" si="96"/>
        <v>0</v>
      </c>
      <c r="BX90" s="288">
        <f t="shared" si="96"/>
        <v>0</v>
      </c>
      <c r="BY90" s="288">
        <f t="shared" si="96"/>
        <v>0</v>
      </c>
      <c r="BZ90" s="288">
        <f t="shared" si="96"/>
        <v>0</v>
      </c>
      <c r="CA90" s="288">
        <f t="shared" si="96"/>
        <v>0</v>
      </c>
      <c r="CB90" s="288">
        <f t="shared" si="96"/>
        <v>0</v>
      </c>
      <c r="CC90" s="288">
        <f t="shared" si="96"/>
        <v>0</v>
      </c>
      <c r="CD90" s="288">
        <f t="shared" si="96"/>
        <v>0</v>
      </c>
      <c r="CE90" s="288">
        <f t="shared" si="95"/>
        <v>0</v>
      </c>
      <c r="CF90" s="288">
        <f t="shared" si="95"/>
        <v>0</v>
      </c>
      <c r="CG90" s="288">
        <f t="shared" si="95"/>
        <v>0</v>
      </c>
      <c r="CH90" s="288">
        <f t="shared" si="95"/>
        <v>0</v>
      </c>
      <c r="CI90" s="288">
        <f t="shared" si="95"/>
        <v>0</v>
      </c>
      <c r="CJ90" s="288">
        <f t="shared" si="95"/>
        <v>87</v>
      </c>
      <c r="CK90" s="288">
        <f t="shared" si="95"/>
        <v>0</v>
      </c>
      <c r="CL90" s="288">
        <f t="shared" si="95"/>
        <v>0</v>
      </c>
      <c r="CM90" s="288">
        <f t="shared" si="91"/>
        <v>0</v>
      </c>
      <c r="CN90" s="288">
        <f t="shared" si="91"/>
        <v>0</v>
      </c>
      <c r="CO90" s="288">
        <f t="shared" si="91"/>
        <v>0</v>
      </c>
      <c r="CP90" s="288">
        <f t="shared" si="91"/>
        <v>0</v>
      </c>
      <c r="CQ90" s="288">
        <f t="shared" si="80"/>
        <v>0</v>
      </c>
      <c r="CR90" s="288">
        <f t="shared" si="81"/>
        <v>0</v>
      </c>
      <c r="CS90" s="288">
        <f t="shared" si="82"/>
        <v>0</v>
      </c>
      <c r="CT90" s="288">
        <f t="shared" si="97"/>
        <v>0</v>
      </c>
      <c r="CU90" s="288">
        <f t="shared" si="84"/>
        <v>0</v>
      </c>
      <c r="CV90" s="288">
        <f t="shared" si="29"/>
        <v>0</v>
      </c>
      <c r="CW90" s="288">
        <f t="shared" si="29"/>
        <v>0</v>
      </c>
      <c r="CX90" s="288">
        <f t="shared" si="29"/>
        <v>0</v>
      </c>
      <c r="CY90" s="288">
        <f t="shared" si="29"/>
        <v>0</v>
      </c>
      <c r="CZ90" s="288">
        <f t="shared" si="29"/>
        <v>0</v>
      </c>
      <c r="DA90" s="288">
        <f t="shared" si="29"/>
        <v>0</v>
      </c>
      <c r="DB90" s="288">
        <f t="shared" si="33"/>
        <v>0</v>
      </c>
      <c r="DC90" s="288">
        <f t="shared" si="33"/>
        <v>0</v>
      </c>
      <c r="DD90" s="288">
        <f t="shared" si="33"/>
        <v>0</v>
      </c>
      <c r="DE90" s="288">
        <f t="shared" si="33"/>
        <v>0</v>
      </c>
      <c r="DG90" s="314">
        <f t="shared" si="60"/>
        <v>90</v>
      </c>
      <c r="DH90" s="289">
        <f>MAX(CL$3:CL$109)</f>
        <v>90</v>
      </c>
      <c r="DJ90" s="288">
        <f>LOOKUP(DH90, 'Mortality Table'!A:A,('Mortality Table'!J:J/'Mortality Table'!I:I))</f>
        <v>0.19129205235058361</v>
      </c>
      <c r="DK90" s="288">
        <f>LOOKUP(A90, 'Mortality Table'!A:A,('Mortality Table'!J:J/'Mortality Table'!I:I))</f>
        <v>0.148118340824346</v>
      </c>
      <c r="DL90" s="288">
        <f t="shared" si="61"/>
        <v>4.3173711526237613E-2</v>
      </c>
      <c r="DN90" s="288">
        <f>LOOKUP(DH90, 'Mortality Table'!A:A,('Mortality Table'!L:L/'Mortality Table'!K:K))</f>
        <v>0.19377110244720955</v>
      </c>
      <c r="DO90" s="288">
        <f>LOOKUP(A90, 'Mortality Table'!A:A,('Mortality Table'!L:L/'Mortality Table'!K:K))</f>
        <v>0.15003788103848739</v>
      </c>
      <c r="DP90" s="288">
        <f t="shared" si="62"/>
        <v>4.3733221408722156E-2</v>
      </c>
      <c r="DR90" s="288">
        <f>LOOKUP(DH90, 'Mortality Table'!A:A,('Mortality Table'!N:N/'Mortality Table'!M:M))</f>
        <v>0.19812605300012254</v>
      </c>
      <c r="DS90" s="288">
        <f>LOOKUP(A90, 'Mortality Table'!A:A,('Mortality Table'!N:N/'Mortality Table'!M:M))</f>
        <v>0.15340993984774423</v>
      </c>
      <c r="DT90" s="288">
        <f t="shared" si="63"/>
        <v>4.4716113152378306E-2</v>
      </c>
    </row>
    <row r="91" spans="1:124">
      <c r="A91" s="288">
        <v>88</v>
      </c>
      <c r="B91" s="288">
        <v>0.17745701549564849</v>
      </c>
      <c r="C91" s="288">
        <f t="shared" si="85"/>
        <v>0</v>
      </c>
      <c r="D91" s="288">
        <f t="shared" si="85"/>
        <v>0</v>
      </c>
      <c r="E91" s="288">
        <f t="shared" si="85"/>
        <v>0</v>
      </c>
      <c r="F91" s="288">
        <f t="shared" si="85"/>
        <v>0</v>
      </c>
      <c r="G91" s="288">
        <f t="shared" si="85"/>
        <v>0</v>
      </c>
      <c r="H91" s="288">
        <f t="shared" si="85"/>
        <v>0</v>
      </c>
      <c r="I91" s="288">
        <f t="shared" si="85"/>
        <v>0</v>
      </c>
      <c r="J91" s="288">
        <f t="shared" si="85"/>
        <v>0</v>
      </c>
      <c r="K91" s="288">
        <f t="shared" si="85"/>
        <v>0</v>
      </c>
      <c r="L91" s="288">
        <f t="shared" si="85"/>
        <v>0</v>
      </c>
      <c r="M91" s="288">
        <f t="shared" si="85"/>
        <v>0</v>
      </c>
      <c r="N91" s="288">
        <f t="shared" si="85"/>
        <v>0</v>
      </c>
      <c r="O91" s="288">
        <f t="shared" si="85"/>
        <v>0</v>
      </c>
      <c r="P91" s="288">
        <f t="shared" si="85"/>
        <v>0</v>
      </c>
      <c r="Q91" s="288">
        <f t="shared" si="85"/>
        <v>0</v>
      </c>
      <c r="R91" s="288">
        <f t="shared" si="85"/>
        <v>0</v>
      </c>
      <c r="S91" s="288">
        <f t="shared" si="92"/>
        <v>0</v>
      </c>
      <c r="T91" s="288">
        <f t="shared" si="93"/>
        <v>0</v>
      </c>
      <c r="U91" s="288">
        <f t="shared" si="94"/>
        <v>0</v>
      </c>
      <c r="V91" s="288">
        <f t="shared" si="87"/>
        <v>0</v>
      </c>
      <c r="W91" s="288">
        <f t="shared" si="87"/>
        <v>0</v>
      </c>
      <c r="X91" s="288">
        <f t="shared" si="87"/>
        <v>0</v>
      </c>
      <c r="Y91" s="288">
        <f t="shared" si="87"/>
        <v>0</v>
      </c>
      <c r="Z91" s="288">
        <f t="shared" si="87"/>
        <v>0</v>
      </c>
      <c r="AA91" s="288">
        <f t="shared" si="87"/>
        <v>0</v>
      </c>
      <c r="AB91" s="288">
        <f t="shared" si="87"/>
        <v>0</v>
      </c>
      <c r="AC91" s="288">
        <f t="shared" si="87"/>
        <v>0</v>
      </c>
      <c r="AD91" s="288">
        <f t="shared" si="87"/>
        <v>0</v>
      </c>
      <c r="AE91" s="288">
        <f t="shared" si="87"/>
        <v>0</v>
      </c>
      <c r="AF91" s="288">
        <f t="shared" si="87"/>
        <v>0</v>
      </c>
      <c r="AG91" s="288">
        <f t="shared" si="87"/>
        <v>0</v>
      </c>
      <c r="AH91" s="288">
        <f t="shared" si="88"/>
        <v>0</v>
      </c>
      <c r="AI91" s="288">
        <f t="shared" si="58"/>
        <v>0</v>
      </c>
      <c r="AJ91" s="288">
        <f t="shared" si="58"/>
        <v>0</v>
      </c>
      <c r="AK91" s="288">
        <f t="shared" si="58"/>
        <v>0</v>
      </c>
      <c r="AL91" s="288">
        <f t="shared" si="58"/>
        <v>0</v>
      </c>
      <c r="AM91" s="288">
        <f t="shared" si="58"/>
        <v>0</v>
      </c>
      <c r="AN91" s="288">
        <f t="shared" si="58"/>
        <v>0</v>
      </c>
      <c r="AO91" s="288">
        <f t="shared" si="58"/>
        <v>0</v>
      </c>
      <c r="AP91" s="288">
        <f t="shared" si="35"/>
        <v>0</v>
      </c>
      <c r="AQ91" s="288">
        <f t="shared" si="36"/>
        <v>0</v>
      </c>
      <c r="AR91" s="288">
        <f t="shared" si="37"/>
        <v>0</v>
      </c>
      <c r="AS91" s="288">
        <f t="shared" si="38"/>
        <v>0</v>
      </c>
      <c r="AT91" s="288">
        <f t="shared" si="89"/>
        <v>0</v>
      </c>
      <c r="AU91" s="288">
        <f t="shared" si="90"/>
        <v>0</v>
      </c>
      <c r="AV91" s="288">
        <f t="shared" si="83"/>
        <v>0</v>
      </c>
      <c r="AW91" s="288">
        <f t="shared" si="83"/>
        <v>0</v>
      </c>
      <c r="AX91" s="288">
        <f t="shared" si="83"/>
        <v>0</v>
      </c>
      <c r="AY91" s="288">
        <f t="shared" si="83"/>
        <v>0</v>
      </c>
      <c r="AZ91" s="288">
        <f t="shared" si="83"/>
        <v>0</v>
      </c>
      <c r="BA91" s="288">
        <f t="shared" si="83"/>
        <v>0</v>
      </c>
      <c r="BB91" s="288">
        <f t="shared" si="83"/>
        <v>0</v>
      </c>
      <c r="BC91" s="288">
        <f t="shared" si="83"/>
        <v>0</v>
      </c>
      <c r="BD91" s="288">
        <f t="shared" ref="BD91:BK109" si="98">IF(BD$2&gt;$B91,(IF(BD$2&lt;=$B92,(IF(AVERAGE($B91,$B92)&gt;BD$2,$A91,$A92)),0)),0)</f>
        <v>0</v>
      </c>
      <c r="BE91" s="288">
        <f t="shared" si="98"/>
        <v>0</v>
      </c>
      <c r="BF91" s="288">
        <f t="shared" si="98"/>
        <v>0</v>
      </c>
      <c r="BG91" s="288">
        <f t="shared" si="98"/>
        <v>0</v>
      </c>
      <c r="BH91" s="288">
        <f t="shared" si="98"/>
        <v>0</v>
      </c>
      <c r="BI91" s="288">
        <f t="shared" si="41"/>
        <v>0</v>
      </c>
      <c r="BJ91" s="288">
        <f t="shared" si="41"/>
        <v>0</v>
      </c>
      <c r="BK91" s="288">
        <f t="shared" si="41"/>
        <v>0</v>
      </c>
      <c r="BL91" s="288">
        <f t="shared" si="41"/>
        <v>0</v>
      </c>
      <c r="BM91" s="288">
        <f t="shared" si="41"/>
        <v>0</v>
      </c>
      <c r="BN91" s="288">
        <f t="shared" si="41"/>
        <v>0</v>
      </c>
      <c r="BO91" s="288">
        <f t="shared" si="41"/>
        <v>0</v>
      </c>
      <c r="BP91" s="288">
        <f t="shared" si="41"/>
        <v>0</v>
      </c>
      <c r="BQ91" s="288">
        <f t="shared" si="41"/>
        <v>0</v>
      </c>
      <c r="BR91" s="288">
        <f t="shared" si="41"/>
        <v>0</v>
      </c>
      <c r="BS91" s="288">
        <f t="shared" si="41"/>
        <v>0</v>
      </c>
      <c r="BT91" s="288">
        <f t="shared" si="96"/>
        <v>0</v>
      </c>
      <c r="BU91" s="288">
        <f t="shared" si="96"/>
        <v>0</v>
      </c>
      <c r="BV91" s="288">
        <f t="shared" si="96"/>
        <v>0</v>
      </c>
      <c r="BW91" s="288">
        <f t="shared" si="96"/>
        <v>0</v>
      </c>
      <c r="BX91" s="288">
        <f t="shared" si="96"/>
        <v>0</v>
      </c>
      <c r="BY91" s="288">
        <f t="shared" si="96"/>
        <v>0</v>
      </c>
      <c r="BZ91" s="288">
        <f t="shared" si="96"/>
        <v>0</v>
      </c>
      <c r="CA91" s="288">
        <f t="shared" si="96"/>
        <v>0</v>
      </c>
      <c r="CB91" s="288">
        <f t="shared" si="96"/>
        <v>0</v>
      </c>
      <c r="CC91" s="288">
        <f t="shared" si="96"/>
        <v>0</v>
      </c>
      <c r="CD91" s="288">
        <f t="shared" si="96"/>
        <v>0</v>
      </c>
      <c r="CE91" s="288">
        <f t="shared" si="95"/>
        <v>0</v>
      </c>
      <c r="CF91" s="288">
        <f t="shared" si="95"/>
        <v>0</v>
      </c>
      <c r="CG91" s="288">
        <f t="shared" si="95"/>
        <v>0</v>
      </c>
      <c r="CH91" s="288">
        <f t="shared" si="95"/>
        <v>0</v>
      </c>
      <c r="CI91" s="288">
        <f t="shared" si="95"/>
        <v>0</v>
      </c>
      <c r="CJ91" s="288">
        <f t="shared" si="95"/>
        <v>0</v>
      </c>
      <c r="CK91" s="288">
        <f t="shared" si="95"/>
        <v>88</v>
      </c>
      <c r="CL91" s="288">
        <f t="shared" si="95"/>
        <v>0</v>
      </c>
      <c r="CM91" s="288">
        <f t="shared" si="91"/>
        <v>0</v>
      </c>
      <c r="CN91" s="288">
        <f t="shared" si="91"/>
        <v>0</v>
      </c>
      <c r="CO91" s="288">
        <f t="shared" si="91"/>
        <v>0</v>
      </c>
      <c r="CP91" s="288">
        <f t="shared" si="91"/>
        <v>0</v>
      </c>
      <c r="CQ91" s="288">
        <f t="shared" si="80"/>
        <v>0</v>
      </c>
      <c r="CR91" s="288">
        <f t="shared" si="81"/>
        <v>0</v>
      </c>
      <c r="CS91" s="288">
        <f t="shared" si="82"/>
        <v>0</v>
      </c>
      <c r="CT91" s="288">
        <f t="shared" si="97"/>
        <v>0</v>
      </c>
      <c r="CU91" s="288">
        <f t="shared" si="84"/>
        <v>0</v>
      </c>
      <c r="CV91" s="288">
        <f t="shared" si="29"/>
        <v>0</v>
      </c>
      <c r="CW91" s="288">
        <f t="shared" si="29"/>
        <v>0</v>
      </c>
      <c r="CX91" s="288">
        <f t="shared" si="29"/>
        <v>0</v>
      </c>
      <c r="CY91" s="288">
        <f t="shared" si="29"/>
        <v>0</v>
      </c>
      <c r="CZ91" s="288">
        <f t="shared" si="29"/>
        <v>0</v>
      </c>
      <c r="DA91" s="288">
        <f t="shared" si="29"/>
        <v>0</v>
      </c>
      <c r="DB91" s="288">
        <f t="shared" si="33"/>
        <v>0</v>
      </c>
      <c r="DC91" s="288">
        <f t="shared" si="33"/>
        <v>0</v>
      </c>
      <c r="DD91" s="288">
        <f t="shared" si="33"/>
        <v>0</v>
      </c>
      <c r="DE91" s="288">
        <f t="shared" si="33"/>
        <v>0</v>
      </c>
      <c r="DG91" s="314">
        <f t="shared" si="60"/>
        <v>91</v>
      </c>
      <c r="DH91" s="289">
        <f>MAX(CM$3:CM$109)</f>
        <v>91</v>
      </c>
      <c r="DJ91" s="288">
        <f>LOOKUP(DH91, 'Mortality Table'!A:A,('Mortality Table'!J:J/'Mortality Table'!I:I))</f>
        <v>0.20730875033338181</v>
      </c>
      <c r="DK91" s="288">
        <f>LOOKUP(A91, 'Mortality Table'!A:A,('Mortality Table'!J:J/'Mortality Table'!I:I))</f>
        <v>0.16336242423328351</v>
      </c>
      <c r="DL91" s="288">
        <f t="shared" si="61"/>
        <v>4.3946326100098299E-2</v>
      </c>
      <c r="DN91" s="288">
        <f>LOOKUP(DH91, 'Mortality Table'!A:A,('Mortality Table'!L:L/'Mortality Table'!K:K))</f>
        <v>0.20999536888982559</v>
      </c>
      <c r="DO91" s="288">
        <f>LOOKUP(A91, 'Mortality Table'!A:A,('Mortality Table'!L:L/'Mortality Table'!K:K))</f>
        <v>0.16547952020566778</v>
      </c>
      <c r="DP91" s="288">
        <f t="shared" si="62"/>
        <v>4.451584868415781E-2</v>
      </c>
      <c r="DR91" s="288">
        <f>LOOKUP(DH91, 'Mortality Table'!A:A,('Mortality Table'!N:N/'Mortality Table'!M:M))</f>
        <v>0.21471495522806741</v>
      </c>
      <c r="DS91" s="288">
        <f>LOOKUP(A91, 'Mortality Table'!A:A,('Mortality Table'!N:N/'Mortality Table'!M:M))</f>
        <v>0.16919862547427611</v>
      </c>
      <c r="DT91" s="288">
        <f t="shared" si="63"/>
        <v>4.5516329753791301E-2</v>
      </c>
    </row>
    <row r="92" spans="1:124">
      <c r="A92" s="288">
        <v>89</v>
      </c>
      <c r="B92" s="288">
        <v>0.19234408602150538</v>
      </c>
      <c r="C92" s="288">
        <f t="shared" si="85"/>
        <v>0</v>
      </c>
      <c r="D92" s="288">
        <f t="shared" si="85"/>
        <v>0</v>
      </c>
      <c r="E92" s="288">
        <f t="shared" si="85"/>
        <v>0</v>
      </c>
      <c r="F92" s="288">
        <f t="shared" si="85"/>
        <v>0</v>
      </c>
      <c r="G92" s="288">
        <f t="shared" si="85"/>
        <v>0</v>
      </c>
      <c r="H92" s="288">
        <f t="shared" si="85"/>
        <v>0</v>
      </c>
      <c r="I92" s="288">
        <f t="shared" si="85"/>
        <v>0</v>
      </c>
      <c r="J92" s="288">
        <f t="shared" si="85"/>
        <v>0</v>
      </c>
      <c r="K92" s="288">
        <f t="shared" si="85"/>
        <v>0</v>
      </c>
      <c r="L92" s="288">
        <f t="shared" si="85"/>
        <v>0</v>
      </c>
      <c r="M92" s="288">
        <f t="shared" si="85"/>
        <v>0</v>
      </c>
      <c r="N92" s="288">
        <f t="shared" si="85"/>
        <v>0</v>
      </c>
      <c r="O92" s="288">
        <f t="shared" si="85"/>
        <v>0</v>
      </c>
      <c r="P92" s="288">
        <f t="shared" si="85"/>
        <v>0</v>
      </c>
      <c r="Q92" s="288">
        <f t="shared" si="85"/>
        <v>0</v>
      </c>
      <c r="R92" s="288">
        <f t="shared" si="85"/>
        <v>0</v>
      </c>
      <c r="S92" s="288">
        <f t="shared" si="92"/>
        <v>0</v>
      </c>
      <c r="T92" s="288">
        <f t="shared" si="93"/>
        <v>0</v>
      </c>
      <c r="U92" s="288">
        <f t="shared" si="94"/>
        <v>0</v>
      </c>
      <c r="V92" s="288">
        <f t="shared" si="87"/>
        <v>0</v>
      </c>
      <c r="W92" s="288">
        <f t="shared" si="87"/>
        <v>0</v>
      </c>
      <c r="X92" s="288">
        <f t="shared" si="87"/>
        <v>0</v>
      </c>
      <c r="Y92" s="288">
        <f t="shared" si="87"/>
        <v>0</v>
      </c>
      <c r="Z92" s="288">
        <f t="shared" si="87"/>
        <v>0</v>
      </c>
      <c r="AA92" s="288">
        <f t="shared" si="87"/>
        <v>0</v>
      </c>
      <c r="AB92" s="288">
        <f t="shared" si="87"/>
        <v>0</v>
      </c>
      <c r="AC92" s="288">
        <f t="shared" si="87"/>
        <v>0</v>
      </c>
      <c r="AD92" s="288">
        <f t="shared" si="87"/>
        <v>0</v>
      </c>
      <c r="AE92" s="288">
        <f t="shared" si="87"/>
        <v>0</v>
      </c>
      <c r="AF92" s="288">
        <f t="shared" si="87"/>
        <v>0</v>
      </c>
      <c r="AG92" s="288">
        <f t="shared" si="87"/>
        <v>0</v>
      </c>
      <c r="AH92" s="288">
        <f t="shared" si="88"/>
        <v>0</v>
      </c>
      <c r="AI92" s="288">
        <f t="shared" si="58"/>
        <v>0</v>
      </c>
      <c r="AJ92" s="288">
        <f t="shared" si="58"/>
        <v>0</v>
      </c>
      <c r="AK92" s="288">
        <f t="shared" si="58"/>
        <v>0</v>
      </c>
      <c r="AL92" s="288">
        <f t="shared" si="58"/>
        <v>0</v>
      </c>
      <c r="AM92" s="288">
        <f t="shared" si="58"/>
        <v>0</v>
      </c>
      <c r="AN92" s="288">
        <f t="shared" si="58"/>
        <v>0</v>
      </c>
      <c r="AO92" s="288">
        <f t="shared" si="58"/>
        <v>0</v>
      </c>
      <c r="AP92" s="288">
        <f t="shared" si="35"/>
        <v>0</v>
      </c>
      <c r="AQ92" s="288">
        <f t="shared" si="36"/>
        <v>0</v>
      </c>
      <c r="AR92" s="288">
        <f t="shared" si="37"/>
        <v>0</v>
      </c>
      <c r="AS92" s="288">
        <f t="shared" si="38"/>
        <v>0</v>
      </c>
      <c r="AT92" s="288">
        <f t="shared" si="89"/>
        <v>0</v>
      </c>
      <c r="AU92" s="288">
        <f t="shared" si="90"/>
        <v>0</v>
      </c>
      <c r="AV92" s="288">
        <f t="shared" ref="AV92:BC96" si="99">IF(AV$2&gt;$B92,(IF(AV$2&lt;=$B93,(IF(AVERAGE($B92,$B93)&gt;AV$2,$A92,$A93)),0)),0)</f>
        <v>0</v>
      </c>
      <c r="AW92" s="288">
        <f t="shared" si="99"/>
        <v>0</v>
      </c>
      <c r="AX92" s="288">
        <f t="shared" si="99"/>
        <v>0</v>
      </c>
      <c r="AY92" s="288">
        <f t="shared" si="99"/>
        <v>0</v>
      </c>
      <c r="AZ92" s="288">
        <f t="shared" si="99"/>
        <v>0</v>
      </c>
      <c r="BA92" s="288">
        <f t="shared" si="99"/>
        <v>0</v>
      </c>
      <c r="BB92" s="288">
        <f t="shared" si="99"/>
        <v>0</v>
      </c>
      <c r="BC92" s="288">
        <f t="shared" si="99"/>
        <v>0</v>
      </c>
      <c r="BD92" s="288">
        <f t="shared" si="98"/>
        <v>0</v>
      </c>
      <c r="BE92" s="288">
        <f t="shared" si="98"/>
        <v>0</v>
      </c>
      <c r="BF92" s="288">
        <f t="shared" si="98"/>
        <v>0</v>
      </c>
      <c r="BG92" s="288">
        <f t="shared" si="98"/>
        <v>0</v>
      </c>
      <c r="BH92" s="288">
        <f t="shared" si="98"/>
        <v>0</v>
      </c>
      <c r="BI92" s="288">
        <f t="shared" si="41"/>
        <v>0</v>
      </c>
      <c r="BJ92" s="288">
        <f t="shared" si="41"/>
        <v>0</v>
      </c>
      <c r="BK92" s="288">
        <f t="shared" si="41"/>
        <v>0</v>
      </c>
      <c r="BL92" s="288">
        <f t="shared" si="41"/>
        <v>0</v>
      </c>
      <c r="BM92" s="288">
        <f t="shared" si="41"/>
        <v>0</v>
      </c>
      <c r="BN92" s="288">
        <f t="shared" si="41"/>
        <v>0</v>
      </c>
      <c r="BO92" s="288">
        <f t="shared" si="41"/>
        <v>0</v>
      </c>
      <c r="BP92" s="288">
        <f t="shared" si="41"/>
        <v>0</v>
      </c>
      <c r="BQ92" s="288">
        <f t="shared" si="41"/>
        <v>0</v>
      </c>
      <c r="BR92" s="288">
        <f t="shared" si="41"/>
        <v>0</v>
      </c>
      <c r="BS92" s="288">
        <f t="shared" si="41"/>
        <v>0</v>
      </c>
      <c r="BT92" s="288">
        <f t="shared" si="96"/>
        <v>0</v>
      </c>
      <c r="BU92" s="288">
        <f t="shared" si="96"/>
        <v>0</v>
      </c>
      <c r="BV92" s="288">
        <f t="shared" si="96"/>
        <v>0</v>
      </c>
      <c r="BW92" s="288">
        <f t="shared" si="96"/>
        <v>0</v>
      </c>
      <c r="BX92" s="288">
        <f t="shared" si="96"/>
        <v>0</v>
      </c>
      <c r="BY92" s="288">
        <f t="shared" si="96"/>
        <v>0</v>
      </c>
      <c r="BZ92" s="288">
        <f t="shared" si="96"/>
        <v>0</v>
      </c>
      <c r="CA92" s="288">
        <f t="shared" si="96"/>
        <v>0</v>
      </c>
      <c r="CB92" s="288">
        <f t="shared" si="96"/>
        <v>0</v>
      </c>
      <c r="CC92" s="288">
        <f t="shared" si="96"/>
        <v>0</v>
      </c>
      <c r="CD92" s="288">
        <f t="shared" si="96"/>
        <v>0</v>
      </c>
      <c r="CE92" s="288">
        <f t="shared" si="95"/>
        <v>0</v>
      </c>
      <c r="CF92" s="288">
        <f t="shared" si="95"/>
        <v>0</v>
      </c>
      <c r="CG92" s="288">
        <f t="shared" si="95"/>
        <v>0</v>
      </c>
      <c r="CH92" s="288">
        <f t="shared" si="95"/>
        <v>0</v>
      </c>
      <c r="CI92" s="288">
        <f t="shared" si="95"/>
        <v>0</v>
      </c>
      <c r="CJ92" s="288">
        <f t="shared" si="95"/>
        <v>0</v>
      </c>
      <c r="CK92" s="288">
        <f t="shared" si="95"/>
        <v>0</v>
      </c>
      <c r="CL92" s="288">
        <f t="shared" si="95"/>
        <v>90</v>
      </c>
      <c r="CM92" s="288">
        <f t="shared" si="91"/>
        <v>0</v>
      </c>
      <c r="CN92" s="288">
        <f t="shared" si="91"/>
        <v>0</v>
      </c>
      <c r="CO92" s="288">
        <f t="shared" si="91"/>
        <v>0</v>
      </c>
      <c r="CP92" s="288">
        <f t="shared" si="91"/>
        <v>0</v>
      </c>
      <c r="CQ92" s="288">
        <f t="shared" si="80"/>
        <v>0</v>
      </c>
      <c r="CR92" s="288">
        <f t="shared" si="81"/>
        <v>0</v>
      </c>
      <c r="CS92" s="288">
        <f t="shared" si="82"/>
        <v>0</v>
      </c>
      <c r="CT92" s="288">
        <f t="shared" si="97"/>
        <v>0</v>
      </c>
      <c r="CU92" s="288">
        <f t="shared" si="84"/>
        <v>0</v>
      </c>
      <c r="CV92" s="288">
        <f t="shared" si="29"/>
        <v>0</v>
      </c>
      <c r="CW92" s="288">
        <f t="shared" si="29"/>
        <v>0</v>
      </c>
      <c r="CX92" s="288">
        <f t="shared" si="29"/>
        <v>0</v>
      </c>
      <c r="CY92" s="288">
        <f t="shared" si="29"/>
        <v>0</v>
      </c>
      <c r="CZ92" s="288">
        <f t="shared" si="29"/>
        <v>0</v>
      </c>
      <c r="DA92" s="288">
        <f t="shared" si="29"/>
        <v>0</v>
      </c>
      <c r="DB92" s="288">
        <f t="shared" si="33"/>
        <v>0</v>
      </c>
      <c r="DC92" s="288">
        <f t="shared" si="33"/>
        <v>0</v>
      </c>
      <c r="DD92" s="288">
        <f t="shared" si="33"/>
        <v>0</v>
      </c>
      <c r="DE92" s="288">
        <f t="shared" si="33"/>
        <v>0</v>
      </c>
      <c r="DG92" s="314">
        <f t="shared" si="60"/>
        <v>92</v>
      </c>
      <c r="DH92" s="289">
        <f>MAX(CN$3:CN$109)</f>
        <v>92</v>
      </c>
      <c r="DJ92" s="288">
        <f>LOOKUP(DH92, 'Mortality Table'!A:A,('Mortality Table'!J:J/'Mortality Table'!I:I))</f>
        <v>0.22571090319110387</v>
      </c>
      <c r="DK92" s="288">
        <f>LOOKUP(A92, 'Mortality Table'!A:A,('Mortality Table'!J:J/'Mortality Table'!I:I))</f>
        <v>0.17706708349424977</v>
      </c>
      <c r="DL92" s="288">
        <f t="shared" si="61"/>
        <v>4.8643819696854107E-2</v>
      </c>
      <c r="DN92" s="288">
        <f>LOOKUP(DH92, 'Mortality Table'!A:A,('Mortality Table'!L:L/'Mortality Table'!K:K))</f>
        <v>0.22863600451909769</v>
      </c>
      <c r="DO92" s="288">
        <f>LOOKUP(A92, 'Mortality Table'!A:A,('Mortality Table'!L:L/'Mortality Table'!K:K))</f>
        <v>0.17936178505164185</v>
      </c>
      <c r="DP92" s="288">
        <f t="shared" si="62"/>
        <v>4.9274219467455832E-2</v>
      </c>
      <c r="DR92" s="288">
        <f>LOOKUP(DH92, 'Mortality Table'!A:A,('Mortality Table'!N:N/'Mortality Table'!M:M))</f>
        <v>0.23377453385459346</v>
      </c>
      <c r="DS92" s="288">
        <f>LOOKUP(A92, 'Mortality Table'!A:A,('Mortality Table'!N:N/'Mortality Table'!M:M))</f>
        <v>0.18339289028414124</v>
      </c>
      <c r="DT92" s="288">
        <f t="shared" si="63"/>
        <v>5.0381643570452217E-2</v>
      </c>
    </row>
    <row r="93" spans="1:124">
      <c r="A93" s="288">
        <v>90</v>
      </c>
      <c r="B93" s="288">
        <v>0.20779635743955693</v>
      </c>
      <c r="C93" s="288">
        <f t="shared" si="85"/>
        <v>0</v>
      </c>
      <c r="D93" s="288">
        <f t="shared" si="85"/>
        <v>0</v>
      </c>
      <c r="E93" s="288">
        <f t="shared" si="85"/>
        <v>0</v>
      </c>
      <c r="F93" s="288">
        <f t="shared" si="85"/>
        <v>0</v>
      </c>
      <c r="G93" s="288">
        <f t="shared" si="85"/>
        <v>0</v>
      </c>
      <c r="H93" s="288">
        <f t="shared" si="85"/>
        <v>0</v>
      </c>
      <c r="I93" s="288">
        <f t="shared" ref="I93:R109" si="100">IF(I$2&gt;$B93,(IF(I$2&lt;=$B94,(IF(AVERAGE($B93,$B94)&gt;I$2,$A93,$A94)),0)),0)</f>
        <v>0</v>
      </c>
      <c r="J93" s="288">
        <f t="shared" si="100"/>
        <v>0</v>
      </c>
      <c r="K93" s="288">
        <f t="shared" si="100"/>
        <v>0</v>
      </c>
      <c r="L93" s="288">
        <f t="shared" si="100"/>
        <v>0</v>
      </c>
      <c r="M93" s="288">
        <f t="shared" si="100"/>
        <v>0</v>
      </c>
      <c r="N93" s="288">
        <f t="shared" si="100"/>
        <v>0</v>
      </c>
      <c r="O93" s="288">
        <f t="shared" si="100"/>
        <v>0</v>
      </c>
      <c r="P93" s="288">
        <f t="shared" si="100"/>
        <v>0</v>
      </c>
      <c r="Q93" s="288">
        <f t="shared" si="100"/>
        <v>0</v>
      </c>
      <c r="R93" s="288">
        <f t="shared" si="100"/>
        <v>0</v>
      </c>
      <c r="S93" s="288">
        <f t="shared" si="92"/>
        <v>0</v>
      </c>
      <c r="T93" s="288">
        <f t="shared" si="93"/>
        <v>0</v>
      </c>
      <c r="U93" s="288">
        <f t="shared" si="94"/>
        <v>0</v>
      </c>
      <c r="V93" s="288">
        <f t="shared" si="87"/>
        <v>0</v>
      </c>
      <c r="W93" s="288">
        <f t="shared" si="87"/>
        <v>0</v>
      </c>
      <c r="X93" s="288">
        <f t="shared" si="87"/>
        <v>0</v>
      </c>
      <c r="Y93" s="288">
        <f t="shared" si="87"/>
        <v>0</v>
      </c>
      <c r="Z93" s="288">
        <f t="shared" si="87"/>
        <v>0</v>
      </c>
      <c r="AA93" s="288">
        <f t="shared" si="87"/>
        <v>0</v>
      </c>
      <c r="AB93" s="288">
        <f t="shared" si="87"/>
        <v>0</v>
      </c>
      <c r="AC93" s="288">
        <f t="shared" si="87"/>
        <v>0</v>
      </c>
      <c r="AD93" s="288">
        <f t="shared" si="87"/>
        <v>0</v>
      </c>
      <c r="AE93" s="288">
        <f t="shared" si="87"/>
        <v>0</v>
      </c>
      <c r="AF93" s="288">
        <f t="shared" si="87"/>
        <v>0</v>
      </c>
      <c r="AG93" s="288">
        <f t="shared" si="87"/>
        <v>0</v>
      </c>
      <c r="AH93" s="288">
        <f t="shared" si="88"/>
        <v>0</v>
      </c>
      <c r="AI93" s="288">
        <f t="shared" si="58"/>
        <v>0</v>
      </c>
      <c r="AJ93" s="288">
        <f t="shared" si="58"/>
        <v>0</v>
      </c>
      <c r="AK93" s="288">
        <f t="shared" si="58"/>
        <v>0</v>
      </c>
      <c r="AL93" s="288">
        <f t="shared" si="58"/>
        <v>0</v>
      </c>
      <c r="AM93" s="288">
        <f t="shared" si="58"/>
        <v>0</v>
      </c>
      <c r="AN93" s="288">
        <f t="shared" si="58"/>
        <v>0</v>
      </c>
      <c r="AO93" s="288">
        <f t="shared" si="58"/>
        <v>0</v>
      </c>
      <c r="AP93" s="288">
        <f t="shared" si="35"/>
        <v>0</v>
      </c>
      <c r="AQ93" s="288">
        <f t="shared" si="36"/>
        <v>0</v>
      </c>
      <c r="AR93" s="288">
        <f t="shared" si="37"/>
        <v>0</v>
      </c>
      <c r="AS93" s="288">
        <f t="shared" si="38"/>
        <v>0</v>
      </c>
      <c r="AT93" s="288">
        <f t="shared" si="89"/>
        <v>0</v>
      </c>
      <c r="AU93" s="288">
        <f t="shared" si="90"/>
        <v>0</v>
      </c>
      <c r="AV93" s="288">
        <f t="shared" si="99"/>
        <v>0</v>
      </c>
      <c r="AW93" s="288">
        <f t="shared" si="99"/>
        <v>0</v>
      </c>
      <c r="AX93" s="288">
        <f t="shared" si="99"/>
        <v>0</v>
      </c>
      <c r="AY93" s="288">
        <f t="shared" si="99"/>
        <v>0</v>
      </c>
      <c r="AZ93" s="288">
        <f t="shared" si="99"/>
        <v>0</v>
      </c>
      <c r="BA93" s="288">
        <f t="shared" si="99"/>
        <v>0</v>
      </c>
      <c r="BB93" s="288">
        <f t="shared" si="99"/>
        <v>0</v>
      </c>
      <c r="BC93" s="288">
        <f t="shared" si="99"/>
        <v>0</v>
      </c>
      <c r="BD93" s="288">
        <f t="shared" si="98"/>
        <v>0</v>
      </c>
      <c r="BE93" s="288">
        <f t="shared" si="98"/>
        <v>0</v>
      </c>
      <c r="BF93" s="288">
        <f t="shared" si="98"/>
        <v>0</v>
      </c>
      <c r="BG93" s="288">
        <f t="shared" si="98"/>
        <v>0</v>
      </c>
      <c r="BH93" s="288">
        <f t="shared" si="98"/>
        <v>0</v>
      </c>
      <c r="BI93" s="288">
        <f t="shared" si="41"/>
        <v>0</v>
      </c>
      <c r="BJ93" s="288">
        <f t="shared" si="41"/>
        <v>0</v>
      </c>
      <c r="BK93" s="288">
        <f t="shared" si="41"/>
        <v>0</v>
      </c>
      <c r="BL93" s="288">
        <f t="shared" si="41"/>
        <v>0</v>
      </c>
      <c r="BM93" s="288">
        <f t="shared" si="41"/>
        <v>0</v>
      </c>
      <c r="BN93" s="288">
        <f t="shared" si="41"/>
        <v>0</v>
      </c>
      <c r="BO93" s="288">
        <f t="shared" si="41"/>
        <v>0</v>
      </c>
      <c r="BP93" s="288">
        <f t="shared" si="41"/>
        <v>0</v>
      </c>
      <c r="BQ93" s="288">
        <f t="shared" si="41"/>
        <v>0</v>
      </c>
      <c r="BR93" s="288">
        <f t="shared" si="41"/>
        <v>0</v>
      </c>
      <c r="BS93" s="288">
        <f t="shared" si="41"/>
        <v>0</v>
      </c>
      <c r="BT93" s="288">
        <f t="shared" si="96"/>
        <v>0</v>
      </c>
      <c r="BU93" s="288">
        <f t="shared" si="96"/>
        <v>0</v>
      </c>
      <c r="BV93" s="288">
        <f t="shared" si="96"/>
        <v>0</v>
      </c>
      <c r="BW93" s="288">
        <f t="shared" si="96"/>
        <v>0</v>
      </c>
      <c r="BX93" s="288">
        <f t="shared" si="96"/>
        <v>0</v>
      </c>
      <c r="BY93" s="288">
        <f t="shared" si="96"/>
        <v>0</v>
      </c>
      <c r="BZ93" s="288">
        <f t="shared" si="96"/>
        <v>0</v>
      </c>
      <c r="CA93" s="288">
        <f t="shared" si="96"/>
        <v>0</v>
      </c>
      <c r="CB93" s="288">
        <f t="shared" si="96"/>
        <v>0</v>
      </c>
      <c r="CC93" s="288">
        <f t="shared" si="96"/>
        <v>0</v>
      </c>
      <c r="CD93" s="288">
        <f t="shared" si="96"/>
        <v>0</v>
      </c>
      <c r="CE93" s="288">
        <f t="shared" si="95"/>
        <v>0</v>
      </c>
      <c r="CF93" s="288">
        <f t="shared" si="95"/>
        <v>0</v>
      </c>
      <c r="CG93" s="288">
        <f t="shared" si="95"/>
        <v>0</v>
      </c>
      <c r="CH93" s="288">
        <f t="shared" si="95"/>
        <v>0</v>
      </c>
      <c r="CI93" s="288">
        <f t="shared" si="95"/>
        <v>0</v>
      </c>
      <c r="CJ93" s="288">
        <f t="shared" si="95"/>
        <v>0</v>
      </c>
      <c r="CK93" s="288">
        <f t="shared" si="95"/>
        <v>0</v>
      </c>
      <c r="CL93" s="288">
        <f t="shared" si="95"/>
        <v>0</v>
      </c>
      <c r="CM93" s="288">
        <f t="shared" si="91"/>
        <v>91</v>
      </c>
      <c r="CN93" s="288">
        <f t="shared" si="91"/>
        <v>0</v>
      </c>
      <c r="CO93" s="288">
        <f t="shared" si="91"/>
        <v>0</v>
      </c>
      <c r="CP93" s="288">
        <f t="shared" si="91"/>
        <v>0</v>
      </c>
      <c r="CQ93" s="288">
        <f t="shared" si="80"/>
        <v>0</v>
      </c>
      <c r="CR93" s="288">
        <f t="shared" si="81"/>
        <v>0</v>
      </c>
      <c r="CS93" s="288">
        <f t="shared" si="82"/>
        <v>0</v>
      </c>
      <c r="CT93" s="288">
        <f t="shared" si="97"/>
        <v>0</v>
      </c>
      <c r="CU93" s="288">
        <f t="shared" si="84"/>
        <v>0</v>
      </c>
      <c r="CV93" s="288">
        <f t="shared" si="29"/>
        <v>0</v>
      </c>
      <c r="CW93" s="288">
        <f t="shared" si="29"/>
        <v>0</v>
      </c>
      <c r="CX93" s="288">
        <f t="shared" si="29"/>
        <v>0</v>
      </c>
      <c r="CY93" s="288">
        <f t="shared" si="29"/>
        <v>0</v>
      </c>
      <c r="CZ93" s="288">
        <f t="shared" si="29"/>
        <v>0</v>
      </c>
      <c r="DA93" s="288">
        <f t="shared" si="29"/>
        <v>0</v>
      </c>
      <c r="DB93" s="288">
        <f t="shared" si="33"/>
        <v>0</v>
      </c>
      <c r="DC93" s="288">
        <f t="shared" si="33"/>
        <v>0</v>
      </c>
      <c r="DD93" s="288">
        <f t="shared" si="33"/>
        <v>0</v>
      </c>
      <c r="DE93" s="288">
        <f t="shared" si="33"/>
        <v>0</v>
      </c>
      <c r="DG93" s="314">
        <f t="shared" si="60"/>
        <v>93</v>
      </c>
      <c r="DH93" s="289">
        <f>MAX(CO$3:CO$109)</f>
        <v>93</v>
      </c>
      <c r="DJ93" s="288">
        <f>LOOKUP(DH93, 'Mortality Table'!A:A,('Mortality Table'!J:J/'Mortality Table'!I:I))</f>
        <v>0.24104241144510152</v>
      </c>
      <c r="DK93" s="288">
        <f>LOOKUP(A93, 'Mortality Table'!A:A,('Mortality Table'!J:J/'Mortality Table'!I:I))</f>
        <v>0.19129205235058361</v>
      </c>
      <c r="DL93" s="288">
        <f t="shared" si="61"/>
        <v>4.9750359094517915E-2</v>
      </c>
      <c r="DN93" s="288">
        <f>LOOKUP(DH93, 'Mortality Table'!A:A,('Mortality Table'!L:L/'Mortality Table'!K:K))</f>
        <v>0.24416620151395771</v>
      </c>
      <c r="DO93" s="288">
        <f>LOOKUP(A93, 'Mortality Table'!A:A,('Mortality Table'!L:L/'Mortality Table'!K:K))</f>
        <v>0.19377110244720955</v>
      </c>
      <c r="DP93" s="288">
        <f t="shared" si="62"/>
        <v>5.0395099066748161E-2</v>
      </c>
      <c r="DR93" s="288">
        <f>LOOKUP(DH93, 'Mortality Table'!A:A,('Mortality Table'!N:N/'Mortality Table'!M:M))</f>
        <v>0.24965376762085725</v>
      </c>
      <c r="DS93" s="288">
        <f>LOOKUP(A93, 'Mortality Table'!A:A,('Mortality Table'!N:N/'Mortality Table'!M:M))</f>
        <v>0.19812605300012254</v>
      </c>
      <c r="DT93" s="288">
        <f t="shared" si="63"/>
        <v>5.1527714620734716E-2</v>
      </c>
    </row>
    <row r="94" spans="1:124">
      <c r="A94" s="288">
        <v>91</v>
      </c>
      <c r="B94" s="288">
        <v>0.22519494487765529</v>
      </c>
      <c r="C94" s="288">
        <f t="shared" ref="C94:H109" si="101">IF(C$2&gt;$B94,(IF(C$2&lt;=$B95,(IF(AVERAGE($B94,$B95)&gt;C$2,$A94,$A95)),0)),0)</f>
        <v>0</v>
      </c>
      <c r="D94" s="288">
        <f t="shared" si="101"/>
        <v>0</v>
      </c>
      <c r="E94" s="288">
        <f t="shared" si="101"/>
        <v>0</v>
      </c>
      <c r="F94" s="288">
        <f t="shared" si="101"/>
        <v>0</v>
      </c>
      <c r="G94" s="288">
        <f t="shared" si="101"/>
        <v>0</v>
      </c>
      <c r="H94" s="288">
        <f t="shared" si="101"/>
        <v>0</v>
      </c>
      <c r="I94" s="288">
        <f t="shared" si="100"/>
        <v>0</v>
      </c>
      <c r="J94" s="288">
        <f t="shared" si="100"/>
        <v>0</v>
      </c>
      <c r="K94" s="288">
        <f t="shared" si="100"/>
        <v>0</v>
      </c>
      <c r="L94" s="288">
        <f t="shared" si="100"/>
        <v>0</v>
      </c>
      <c r="M94" s="288">
        <f t="shared" si="100"/>
        <v>0</v>
      </c>
      <c r="N94" s="288">
        <f t="shared" si="100"/>
        <v>0</v>
      </c>
      <c r="O94" s="288">
        <f t="shared" si="100"/>
        <v>0</v>
      </c>
      <c r="P94" s="288">
        <f t="shared" si="100"/>
        <v>0</v>
      </c>
      <c r="Q94" s="288">
        <f t="shared" si="100"/>
        <v>0</v>
      </c>
      <c r="R94" s="288">
        <f t="shared" si="100"/>
        <v>0</v>
      </c>
      <c r="S94" s="288">
        <f t="shared" si="92"/>
        <v>0</v>
      </c>
      <c r="T94" s="288">
        <f t="shared" si="93"/>
        <v>0</v>
      </c>
      <c r="U94" s="288">
        <f t="shared" si="94"/>
        <v>0</v>
      </c>
      <c r="V94" s="288">
        <f t="shared" si="87"/>
        <v>0</v>
      </c>
      <c r="W94" s="288">
        <f t="shared" si="87"/>
        <v>0</v>
      </c>
      <c r="X94" s="288">
        <f t="shared" si="87"/>
        <v>0</v>
      </c>
      <c r="Y94" s="288">
        <f t="shared" si="87"/>
        <v>0</v>
      </c>
      <c r="Z94" s="288">
        <f t="shared" si="87"/>
        <v>0</v>
      </c>
      <c r="AA94" s="288">
        <f t="shared" si="87"/>
        <v>0</v>
      </c>
      <c r="AB94" s="288">
        <f t="shared" si="87"/>
        <v>0</v>
      </c>
      <c r="AC94" s="288">
        <f t="shared" si="87"/>
        <v>0</v>
      </c>
      <c r="AD94" s="288">
        <f t="shared" si="87"/>
        <v>0</v>
      </c>
      <c r="AE94" s="288">
        <f t="shared" si="87"/>
        <v>0</v>
      </c>
      <c r="AF94" s="288">
        <f t="shared" si="87"/>
        <v>0</v>
      </c>
      <c r="AG94" s="288">
        <f t="shared" si="87"/>
        <v>0</v>
      </c>
      <c r="AH94" s="288">
        <f t="shared" si="88"/>
        <v>0</v>
      </c>
      <c r="AI94" s="288">
        <f t="shared" si="58"/>
        <v>0</v>
      </c>
      <c r="AJ94" s="288">
        <f t="shared" si="58"/>
        <v>0</v>
      </c>
      <c r="AK94" s="288">
        <f t="shared" si="58"/>
        <v>0</v>
      </c>
      <c r="AL94" s="288">
        <f t="shared" si="58"/>
        <v>0</v>
      </c>
      <c r="AM94" s="288">
        <f t="shared" si="58"/>
        <v>0</v>
      </c>
      <c r="AN94" s="288">
        <f t="shared" si="58"/>
        <v>0</v>
      </c>
      <c r="AO94" s="288">
        <f t="shared" si="58"/>
        <v>0</v>
      </c>
      <c r="AP94" s="288">
        <f t="shared" si="35"/>
        <v>0</v>
      </c>
      <c r="AQ94" s="288">
        <f t="shared" si="36"/>
        <v>0</v>
      </c>
      <c r="AR94" s="288">
        <f t="shared" si="37"/>
        <v>0</v>
      </c>
      <c r="AS94" s="288">
        <f t="shared" si="38"/>
        <v>0</v>
      </c>
      <c r="AT94" s="288">
        <f t="shared" si="89"/>
        <v>0</v>
      </c>
      <c r="AU94" s="288">
        <f t="shared" si="90"/>
        <v>0</v>
      </c>
      <c r="AV94" s="288">
        <f t="shared" si="99"/>
        <v>0</v>
      </c>
      <c r="AW94" s="288">
        <f t="shared" si="99"/>
        <v>0</v>
      </c>
      <c r="AX94" s="288">
        <f t="shared" si="99"/>
        <v>0</v>
      </c>
      <c r="AY94" s="288">
        <f t="shared" si="99"/>
        <v>0</v>
      </c>
      <c r="AZ94" s="288">
        <f t="shared" si="99"/>
        <v>0</v>
      </c>
      <c r="BA94" s="288">
        <f t="shared" si="99"/>
        <v>0</v>
      </c>
      <c r="BB94" s="288">
        <f t="shared" si="99"/>
        <v>0</v>
      </c>
      <c r="BC94" s="288">
        <f t="shared" si="99"/>
        <v>0</v>
      </c>
      <c r="BD94" s="288">
        <f t="shared" si="98"/>
        <v>0</v>
      </c>
      <c r="BE94" s="288">
        <f t="shared" si="98"/>
        <v>0</v>
      </c>
      <c r="BF94" s="288">
        <f t="shared" si="98"/>
        <v>0</v>
      </c>
      <c r="BG94" s="288">
        <f t="shared" si="98"/>
        <v>0</v>
      </c>
      <c r="BH94" s="288">
        <f t="shared" si="98"/>
        <v>0</v>
      </c>
      <c r="BI94" s="288">
        <f t="shared" si="41"/>
        <v>0</v>
      </c>
      <c r="BJ94" s="288">
        <f t="shared" si="41"/>
        <v>0</v>
      </c>
      <c r="BK94" s="288">
        <f t="shared" si="41"/>
        <v>0</v>
      </c>
      <c r="BL94" s="288">
        <f t="shared" si="41"/>
        <v>0</v>
      </c>
      <c r="BM94" s="288">
        <f t="shared" si="41"/>
        <v>0</v>
      </c>
      <c r="BN94" s="288">
        <f t="shared" si="41"/>
        <v>0</v>
      </c>
      <c r="BO94" s="288">
        <f t="shared" si="41"/>
        <v>0</v>
      </c>
      <c r="BP94" s="288">
        <f t="shared" si="41"/>
        <v>0</v>
      </c>
      <c r="BQ94" s="288">
        <f t="shared" si="41"/>
        <v>0</v>
      </c>
      <c r="BR94" s="288">
        <f t="shared" si="41"/>
        <v>0</v>
      </c>
      <c r="BS94" s="288">
        <f t="shared" si="41"/>
        <v>0</v>
      </c>
      <c r="BT94" s="288">
        <f t="shared" si="96"/>
        <v>0</v>
      </c>
      <c r="BU94" s="288">
        <f t="shared" si="96"/>
        <v>0</v>
      </c>
      <c r="BV94" s="288">
        <f t="shared" si="96"/>
        <v>0</v>
      </c>
      <c r="BW94" s="288">
        <f t="shared" si="96"/>
        <v>0</v>
      </c>
      <c r="BX94" s="288">
        <f t="shared" si="96"/>
        <v>0</v>
      </c>
      <c r="BY94" s="288">
        <f t="shared" si="96"/>
        <v>0</v>
      </c>
      <c r="BZ94" s="288">
        <f t="shared" si="96"/>
        <v>0</v>
      </c>
      <c r="CA94" s="288">
        <f t="shared" si="96"/>
        <v>0</v>
      </c>
      <c r="CB94" s="288">
        <f t="shared" si="96"/>
        <v>0</v>
      </c>
      <c r="CC94" s="288">
        <f t="shared" si="96"/>
        <v>0</v>
      </c>
      <c r="CD94" s="288">
        <f t="shared" si="96"/>
        <v>0</v>
      </c>
      <c r="CE94" s="288">
        <f t="shared" si="95"/>
        <v>0</v>
      </c>
      <c r="CF94" s="288">
        <f t="shared" si="95"/>
        <v>0</v>
      </c>
      <c r="CG94" s="288">
        <f t="shared" si="95"/>
        <v>0</v>
      </c>
      <c r="CH94" s="288">
        <f t="shared" si="95"/>
        <v>0</v>
      </c>
      <c r="CI94" s="288">
        <f t="shared" si="95"/>
        <v>0</v>
      </c>
      <c r="CJ94" s="288">
        <f t="shared" si="95"/>
        <v>0</v>
      </c>
      <c r="CK94" s="288">
        <f t="shared" si="95"/>
        <v>0</v>
      </c>
      <c r="CL94" s="288">
        <f t="shared" si="95"/>
        <v>0</v>
      </c>
      <c r="CM94" s="288">
        <f t="shared" si="91"/>
        <v>0</v>
      </c>
      <c r="CN94" s="288">
        <f t="shared" si="91"/>
        <v>92</v>
      </c>
      <c r="CO94" s="288">
        <f t="shared" si="91"/>
        <v>0</v>
      </c>
      <c r="CP94" s="288">
        <f t="shared" si="91"/>
        <v>0</v>
      </c>
      <c r="CQ94" s="288">
        <f t="shared" si="80"/>
        <v>0</v>
      </c>
      <c r="CR94" s="288">
        <f t="shared" si="81"/>
        <v>0</v>
      </c>
      <c r="CS94" s="288">
        <f t="shared" si="82"/>
        <v>0</v>
      </c>
      <c r="CT94" s="288">
        <f t="shared" si="97"/>
        <v>0</v>
      </c>
      <c r="CU94" s="288">
        <f t="shared" si="84"/>
        <v>0</v>
      </c>
      <c r="CV94" s="288">
        <f t="shared" si="29"/>
        <v>0</v>
      </c>
      <c r="CW94" s="288">
        <f t="shared" si="29"/>
        <v>0</v>
      </c>
      <c r="CX94" s="288">
        <f t="shared" si="29"/>
        <v>0</v>
      </c>
      <c r="CY94" s="288">
        <f t="shared" si="29"/>
        <v>0</v>
      </c>
      <c r="CZ94" s="288">
        <f t="shared" si="29"/>
        <v>0</v>
      </c>
      <c r="DA94" s="288">
        <f t="shared" si="29"/>
        <v>0</v>
      </c>
      <c r="DB94" s="288">
        <f t="shared" si="33"/>
        <v>0</v>
      </c>
      <c r="DC94" s="288">
        <f t="shared" si="33"/>
        <v>0</v>
      </c>
      <c r="DD94" s="288">
        <f t="shared" si="33"/>
        <v>0</v>
      </c>
      <c r="DE94" s="288">
        <f t="shared" si="33"/>
        <v>0</v>
      </c>
      <c r="DG94" s="314">
        <f t="shared" si="60"/>
        <v>94</v>
      </c>
      <c r="DH94" s="289">
        <f>MAX(CP$3:CP$109)</f>
        <v>94</v>
      </c>
      <c r="DJ94" s="288">
        <f>LOOKUP(DH94, 'Mortality Table'!A:A,('Mortality Table'!J:J/'Mortality Table'!I:I))</f>
        <v>0.2568778753151349</v>
      </c>
      <c r="DK94" s="288">
        <f>LOOKUP(A94, 'Mortality Table'!A:A,('Mortality Table'!J:J/'Mortality Table'!I:I))</f>
        <v>0.20730875033338181</v>
      </c>
      <c r="DL94" s="288">
        <f t="shared" si="61"/>
        <v>4.9569124981753088E-2</v>
      </c>
      <c r="DN94" s="288">
        <f>LOOKUP(DH94, 'Mortality Table'!A:A,('Mortality Table'!L:L/'Mortality Table'!K:K))</f>
        <v>0.26020688513961993</v>
      </c>
      <c r="DO94" s="288">
        <f>LOOKUP(A94, 'Mortality Table'!A:A,('Mortality Table'!L:L/'Mortality Table'!K:K))</f>
        <v>0.20999536888982559</v>
      </c>
      <c r="DP94" s="288">
        <f t="shared" si="62"/>
        <v>5.0211516249794336E-2</v>
      </c>
      <c r="DR94" s="288">
        <f>LOOKUP(DH94, 'Mortality Table'!A:A,('Mortality Table'!N:N/'Mortality Table'!M:M))</f>
        <v>0.26605496106012133</v>
      </c>
      <c r="DS94" s="288">
        <f>LOOKUP(A94, 'Mortality Table'!A:A,('Mortality Table'!N:N/'Mortality Table'!M:M))</f>
        <v>0.21471495522806741</v>
      </c>
      <c r="DT94" s="288">
        <f t="shared" si="63"/>
        <v>5.134000583205392E-2</v>
      </c>
    </row>
    <row r="95" spans="1:124">
      <c r="A95" s="288">
        <v>92</v>
      </c>
      <c r="B95" s="288">
        <v>0.24518479958355024</v>
      </c>
      <c r="C95" s="288">
        <f t="shared" si="101"/>
        <v>0</v>
      </c>
      <c r="D95" s="288">
        <f t="shared" si="101"/>
        <v>0</v>
      </c>
      <c r="E95" s="288">
        <f t="shared" si="101"/>
        <v>0</v>
      </c>
      <c r="F95" s="288">
        <f t="shared" si="101"/>
        <v>0</v>
      </c>
      <c r="G95" s="288">
        <f t="shared" si="101"/>
        <v>0</v>
      </c>
      <c r="H95" s="288">
        <f t="shared" si="101"/>
        <v>0</v>
      </c>
      <c r="I95" s="288">
        <f t="shared" si="100"/>
        <v>0</v>
      </c>
      <c r="J95" s="288">
        <f t="shared" si="100"/>
        <v>0</v>
      </c>
      <c r="K95" s="288">
        <f t="shared" si="100"/>
        <v>0</v>
      </c>
      <c r="L95" s="288">
        <f t="shared" si="100"/>
        <v>0</v>
      </c>
      <c r="M95" s="288">
        <f t="shared" si="100"/>
        <v>0</v>
      </c>
      <c r="N95" s="288">
        <f t="shared" si="100"/>
        <v>0</v>
      </c>
      <c r="O95" s="288">
        <f t="shared" si="100"/>
        <v>0</v>
      </c>
      <c r="P95" s="288">
        <f t="shared" si="100"/>
        <v>0</v>
      </c>
      <c r="Q95" s="288">
        <f t="shared" si="100"/>
        <v>0</v>
      </c>
      <c r="R95" s="288">
        <f t="shared" si="100"/>
        <v>0</v>
      </c>
      <c r="S95" s="288">
        <f t="shared" si="92"/>
        <v>0</v>
      </c>
      <c r="T95" s="288">
        <f t="shared" si="93"/>
        <v>0</v>
      </c>
      <c r="U95" s="288">
        <f t="shared" si="94"/>
        <v>0</v>
      </c>
      <c r="V95" s="288">
        <f t="shared" si="87"/>
        <v>0</v>
      </c>
      <c r="W95" s="288">
        <f t="shared" si="87"/>
        <v>0</v>
      </c>
      <c r="X95" s="288">
        <f t="shared" si="87"/>
        <v>0</v>
      </c>
      <c r="Y95" s="288">
        <f t="shared" si="87"/>
        <v>0</v>
      </c>
      <c r="Z95" s="288">
        <f t="shared" si="87"/>
        <v>0</v>
      </c>
      <c r="AA95" s="288">
        <f t="shared" si="87"/>
        <v>0</v>
      </c>
      <c r="AB95" s="288">
        <f t="shared" si="87"/>
        <v>0</v>
      </c>
      <c r="AC95" s="288">
        <f t="shared" si="87"/>
        <v>0</v>
      </c>
      <c r="AD95" s="288">
        <f t="shared" si="87"/>
        <v>0</v>
      </c>
      <c r="AE95" s="288">
        <f t="shared" si="87"/>
        <v>0</v>
      </c>
      <c r="AF95" s="288">
        <f t="shared" si="87"/>
        <v>0</v>
      </c>
      <c r="AG95" s="288">
        <f t="shared" si="87"/>
        <v>0</v>
      </c>
      <c r="AH95" s="288">
        <f t="shared" si="88"/>
        <v>0</v>
      </c>
      <c r="AI95" s="288">
        <f t="shared" si="58"/>
        <v>0</v>
      </c>
      <c r="AJ95" s="288">
        <f t="shared" si="58"/>
        <v>0</v>
      </c>
      <c r="AK95" s="288">
        <f t="shared" si="58"/>
        <v>0</v>
      </c>
      <c r="AL95" s="288">
        <f t="shared" si="58"/>
        <v>0</v>
      </c>
      <c r="AM95" s="288">
        <f t="shared" si="58"/>
        <v>0</v>
      </c>
      <c r="AN95" s="288">
        <f t="shared" si="58"/>
        <v>0</v>
      </c>
      <c r="AO95" s="288">
        <f t="shared" si="58"/>
        <v>0</v>
      </c>
      <c r="AP95" s="288">
        <f t="shared" si="35"/>
        <v>0</v>
      </c>
      <c r="AQ95" s="288">
        <f t="shared" si="36"/>
        <v>0</v>
      </c>
      <c r="AR95" s="288">
        <f t="shared" si="37"/>
        <v>0</v>
      </c>
      <c r="AS95" s="288">
        <f t="shared" si="38"/>
        <v>0</v>
      </c>
      <c r="AT95" s="288">
        <f t="shared" si="89"/>
        <v>0</v>
      </c>
      <c r="AU95" s="288">
        <f t="shared" si="90"/>
        <v>0</v>
      </c>
      <c r="AV95" s="288">
        <f t="shared" si="99"/>
        <v>0</v>
      </c>
      <c r="AW95" s="288">
        <f t="shared" si="99"/>
        <v>0</v>
      </c>
      <c r="AX95" s="288">
        <f t="shared" si="99"/>
        <v>0</v>
      </c>
      <c r="AY95" s="288">
        <f t="shared" si="99"/>
        <v>0</v>
      </c>
      <c r="AZ95" s="288">
        <f t="shared" si="99"/>
        <v>0</v>
      </c>
      <c r="BA95" s="288">
        <f t="shared" si="99"/>
        <v>0</v>
      </c>
      <c r="BB95" s="288">
        <f t="shared" si="99"/>
        <v>0</v>
      </c>
      <c r="BC95" s="288">
        <f t="shared" si="99"/>
        <v>0</v>
      </c>
      <c r="BD95" s="288">
        <f t="shared" si="98"/>
        <v>0</v>
      </c>
      <c r="BE95" s="288">
        <f t="shared" si="98"/>
        <v>0</v>
      </c>
      <c r="BF95" s="288">
        <f t="shared" si="98"/>
        <v>0</v>
      </c>
      <c r="BG95" s="288">
        <f t="shared" si="98"/>
        <v>0</v>
      </c>
      <c r="BH95" s="288">
        <f t="shared" si="98"/>
        <v>0</v>
      </c>
      <c r="BI95" s="288">
        <f t="shared" si="41"/>
        <v>0</v>
      </c>
      <c r="BJ95" s="288">
        <f t="shared" si="41"/>
        <v>0</v>
      </c>
      <c r="BK95" s="288">
        <f t="shared" si="41"/>
        <v>0</v>
      </c>
      <c r="BL95" s="288">
        <f t="shared" ref="BL95:BU109" si="102">IF(BL$2&gt;$B95,(IF(BL$2&lt;=$B96,(IF(AVERAGE($B95,$B96)&gt;BL$2,$A95,$A96)),0)),0)</f>
        <v>0</v>
      </c>
      <c r="BM95" s="288">
        <f t="shared" si="102"/>
        <v>0</v>
      </c>
      <c r="BN95" s="288">
        <f t="shared" si="102"/>
        <v>0</v>
      </c>
      <c r="BO95" s="288">
        <f t="shared" si="102"/>
        <v>0</v>
      </c>
      <c r="BP95" s="288">
        <f t="shared" si="102"/>
        <v>0</v>
      </c>
      <c r="BQ95" s="288">
        <f t="shared" si="102"/>
        <v>0</v>
      </c>
      <c r="BR95" s="288">
        <f t="shared" si="102"/>
        <v>0</v>
      </c>
      <c r="BS95" s="288">
        <f t="shared" si="102"/>
        <v>0</v>
      </c>
      <c r="BT95" s="288">
        <f t="shared" si="96"/>
        <v>0</v>
      </c>
      <c r="BU95" s="288">
        <f t="shared" si="96"/>
        <v>0</v>
      </c>
      <c r="BV95" s="288">
        <f t="shared" si="96"/>
        <v>0</v>
      </c>
      <c r="BW95" s="288">
        <f t="shared" si="96"/>
        <v>0</v>
      </c>
      <c r="BX95" s="288">
        <f t="shared" si="96"/>
        <v>0</v>
      </c>
      <c r="BY95" s="288">
        <f t="shared" si="96"/>
        <v>0</v>
      </c>
      <c r="BZ95" s="288">
        <f t="shared" si="96"/>
        <v>0</v>
      </c>
      <c r="CA95" s="288">
        <f t="shared" si="96"/>
        <v>0</v>
      </c>
      <c r="CB95" s="288">
        <f t="shared" si="96"/>
        <v>0</v>
      </c>
      <c r="CC95" s="288">
        <f t="shared" si="96"/>
        <v>0</v>
      </c>
      <c r="CD95" s="288">
        <f t="shared" si="96"/>
        <v>0</v>
      </c>
      <c r="CE95" s="288">
        <f t="shared" si="95"/>
        <v>0</v>
      </c>
      <c r="CF95" s="288">
        <f t="shared" si="95"/>
        <v>0</v>
      </c>
      <c r="CG95" s="288">
        <f t="shared" si="95"/>
        <v>0</v>
      </c>
      <c r="CH95" s="288">
        <f t="shared" si="95"/>
        <v>0</v>
      </c>
      <c r="CI95" s="288">
        <f t="shared" si="95"/>
        <v>0</v>
      </c>
      <c r="CJ95" s="288">
        <f t="shared" si="95"/>
        <v>0</v>
      </c>
      <c r="CK95" s="288">
        <f t="shared" si="95"/>
        <v>0</v>
      </c>
      <c r="CL95" s="288">
        <f t="shared" si="95"/>
        <v>0</v>
      </c>
      <c r="CM95" s="288">
        <f t="shared" si="91"/>
        <v>0</v>
      </c>
      <c r="CN95" s="288">
        <f t="shared" si="91"/>
        <v>0</v>
      </c>
      <c r="CO95" s="288">
        <f t="shared" si="91"/>
        <v>93</v>
      </c>
      <c r="CP95" s="288">
        <f t="shared" si="91"/>
        <v>0</v>
      </c>
      <c r="CQ95" s="288">
        <f t="shared" si="80"/>
        <v>0</v>
      </c>
      <c r="CR95" s="288">
        <f t="shared" si="81"/>
        <v>0</v>
      </c>
      <c r="CS95" s="288">
        <f t="shared" si="82"/>
        <v>0</v>
      </c>
      <c r="CT95" s="288">
        <f t="shared" si="97"/>
        <v>0</v>
      </c>
      <c r="CU95" s="288">
        <f t="shared" si="84"/>
        <v>0</v>
      </c>
      <c r="CV95" s="288">
        <f t="shared" si="29"/>
        <v>0</v>
      </c>
      <c r="CW95" s="288">
        <f t="shared" si="29"/>
        <v>0</v>
      </c>
      <c r="CX95" s="288">
        <f t="shared" si="29"/>
        <v>0</v>
      </c>
      <c r="CY95" s="288">
        <f t="shared" si="29"/>
        <v>0</v>
      </c>
      <c r="CZ95" s="288">
        <f t="shared" si="29"/>
        <v>0</v>
      </c>
      <c r="DA95" s="288">
        <f t="shared" si="29"/>
        <v>0</v>
      </c>
      <c r="DB95" s="288">
        <f t="shared" si="33"/>
        <v>0</v>
      </c>
      <c r="DC95" s="288">
        <f t="shared" si="33"/>
        <v>0</v>
      </c>
      <c r="DD95" s="288">
        <f t="shared" si="33"/>
        <v>0</v>
      </c>
      <c r="DE95" s="288">
        <f t="shared" si="33"/>
        <v>0</v>
      </c>
      <c r="DG95" s="314">
        <f t="shared" si="60"/>
        <v>96</v>
      </c>
      <c r="DH95" s="289">
        <f>MAX(CQ$3:CQ$109)</f>
        <v>96</v>
      </c>
      <c r="DJ95" s="288">
        <f>LOOKUP(DH95, 'Mortality Table'!A:A,('Mortality Table'!J:J/'Mortality Table'!I:I))</f>
        <v>0.29278214147224985</v>
      </c>
      <c r="DK95" s="288">
        <f>LOOKUP(A95, 'Mortality Table'!A:A,('Mortality Table'!J:J/'Mortality Table'!I:I))</f>
        <v>0.22571090319110387</v>
      </c>
      <c r="DL95" s="288">
        <f t="shared" si="61"/>
        <v>6.7071238281145973E-2</v>
      </c>
      <c r="DN95" s="288">
        <f>LOOKUP(DH95, 'Mortality Table'!A:A,('Mortality Table'!L:L/'Mortality Table'!K:K))</f>
        <v>0.29657645277367722</v>
      </c>
      <c r="DO95" s="288">
        <f>LOOKUP(A95, 'Mortality Table'!A:A,('Mortality Table'!L:L/'Mortality Table'!K:K))</f>
        <v>0.22863600451909769</v>
      </c>
      <c r="DP95" s="288">
        <f t="shared" si="62"/>
        <v>6.7940448254579539E-2</v>
      </c>
      <c r="DR95" s="288">
        <f>LOOKUP(DH95, 'Mortality Table'!A:A,('Mortality Table'!N:N/'Mortality Table'!M:M))</f>
        <v>0.30324192440838377</v>
      </c>
      <c r="DS95" s="288">
        <f>LOOKUP(A95, 'Mortality Table'!A:A,('Mortality Table'!N:N/'Mortality Table'!M:M))</f>
        <v>0.23377453385459346</v>
      </c>
      <c r="DT95" s="288">
        <f t="shared" si="63"/>
        <v>6.9467390553790309E-2</v>
      </c>
    </row>
    <row r="96" spans="1:124">
      <c r="A96" s="288">
        <v>93</v>
      </c>
      <c r="B96" s="288">
        <v>0.26183908045977011</v>
      </c>
      <c r="C96" s="288">
        <f t="shared" si="101"/>
        <v>0</v>
      </c>
      <c r="D96" s="288">
        <f t="shared" si="101"/>
        <v>0</v>
      </c>
      <c r="E96" s="288">
        <f t="shared" si="101"/>
        <v>0</v>
      </c>
      <c r="F96" s="288">
        <f t="shared" si="101"/>
        <v>0</v>
      </c>
      <c r="G96" s="288">
        <f t="shared" si="101"/>
        <v>0</v>
      </c>
      <c r="H96" s="288">
        <f t="shared" si="101"/>
        <v>0</v>
      </c>
      <c r="I96" s="288">
        <f t="shared" si="100"/>
        <v>0</v>
      </c>
      <c r="J96" s="288">
        <f t="shared" si="100"/>
        <v>0</v>
      </c>
      <c r="K96" s="288">
        <f t="shared" si="100"/>
        <v>0</v>
      </c>
      <c r="L96" s="288">
        <f t="shared" si="100"/>
        <v>0</v>
      </c>
      <c r="M96" s="288">
        <f t="shared" si="100"/>
        <v>0</v>
      </c>
      <c r="N96" s="288">
        <f t="shared" si="100"/>
        <v>0</v>
      </c>
      <c r="O96" s="288">
        <f t="shared" si="100"/>
        <v>0</v>
      </c>
      <c r="P96" s="288">
        <f t="shared" si="100"/>
        <v>0</v>
      </c>
      <c r="Q96" s="288">
        <f t="shared" si="100"/>
        <v>0</v>
      </c>
      <c r="R96" s="288">
        <f t="shared" si="100"/>
        <v>0</v>
      </c>
      <c r="S96" s="288">
        <f t="shared" si="92"/>
        <v>0</v>
      </c>
      <c r="T96" s="288">
        <f t="shared" si="93"/>
        <v>0</v>
      </c>
      <c r="U96" s="288">
        <f t="shared" si="94"/>
        <v>0</v>
      </c>
      <c r="V96" s="288">
        <f t="shared" si="87"/>
        <v>0</v>
      </c>
      <c r="W96" s="288">
        <f t="shared" si="87"/>
        <v>0</v>
      </c>
      <c r="X96" s="288">
        <f t="shared" si="87"/>
        <v>0</v>
      </c>
      <c r="Y96" s="288">
        <f t="shared" si="87"/>
        <v>0</v>
      </c>
      <c r="Z96" s="288">
        <f t="shared" si="87"/>
        <v>0</v>
      </c>
      <c r="AA96" s="288">
        <f t="shared" si="87"/>
        <v>0</v>
      </c>
      <c r="AB96" s="288">
        <f t="shared" si="87"/>
        <v>0</v>
      </c>
      <c r="AC96" s="288">
        <f t="shared" si="87"/>
        <v>0</v>
      </c>
      <c r="AD96" s="288">
        <f t="shared" si="87"/>
        <v>0</v>
      </c>
      <c r="AE96" s="288">
        <f t="shared" si="87"/>
        <v>0</v>
      </c>
      <c r="AF96" s="288">
        <f t="shared" si="87"/>
        <v>0</v>
      </c>
      <c r="AG96" s="288">
        <f t="shared" si="87"/>
        <v>0</v>
      </c>
      <c r="AH96" s="288">
        <f t="shared" si="88"/>
        <v>0</v>
      </c>
      <c r="AI96" s="288">
        <f t="shared" si="58"/>
        <v>0</v>
      </c>
      <c r="AJ96" s="288">
        <f t="shared" si="58"/>
        <v>0</v>
      </c>
      <c r="AK96" s="288">
        <f t="shared" si="58"/>
        <v>0</v>
      </c>
      <c r="AL96" s="288">
        <f t="shared" si="58"/>
        <v>0</v>
      </c>
      <c r="AM96" s="288">
        <f t="shared" si="58"/>
        <v>0</v>
      </c>
      <c r="AN96" s="288">
        <f t="shared" si="58"/>
        <v>0</v>
      </c>
      <c r="AO96" s="288">
        <f t="shared" si="58"/>
        <v>0</v>
      </c>
      <c r="AP96" s="288">
        <f t="shared" si="35"/>
        <v>0</v>
      </c>
      <c r="AQ96" s="288">
        <f t="shared" si="36"/>
        <v>0</v>
      </c>
      <c r="AR96" s="288">
        <f t="shared" si="37"/>
        <v>0</v>
      </c>
      <c r="AS96" s="288">
        <f t="shared" si="38"/>
        <v>0</v>
      </c>
      <c r="AT96" s="288">
        <f t="shared" si="89"/>
        <v>0</v>
      </c>
      <c r="AU96" s="288">
        <f t="shared" si="90"/>
        <v>0</v>
      </c>
      <c r="AV96" s="288">
        <f t="shared" si="99"/>
        <v>0</v>
      </c>
      <c r="AW96" s="288">
        <f t="shared" si="99"/>
        <v>0</v>
      </c>
      <c r="AX96" s="288">
        <f t="shared" si="99"/>
        <v>0</v>
      </c>
      <c r="AY96" s="288">
        <f t="shared" si="99"/>
        <v>0</v>
      </c>
      <c r="AZ96" s="288">
        <f t="shared" si="99"/>
        <v>0</v>
      </c>
      <c r="BA96" s="288">
        <f t="shared" si="99"/>
        <v>0</v>
      </c>
      <c r="BB96" s="288">
        <f t="shared" si="99"/>
        <v>0</v>
      </c>
      <c r="BC96" s="288">
        <f t="shared" si="99"/>
        <v>0</v>
      </c>
      <c r="BD96" s="288">
        <f t="shared" si="98"/>
        <v>0</v>
      </c>
      <c r="BE96" s="288">
        <f t="shared" si="98"/>
        <v>0</v>
      </c>
      <c r="BF96" s="288">
        <f t="shared" si="98"/>
        <v>0</v>
      </c>
      <c r="BG96" s="288">
        <f t="shared" si="98"/>
        <v>0</v>
      </c>
      <c r="BH96" s="288">
        <f t="shared" si="98"/>
        <v>0</v>
      </c>
      <c r="BI96" s="288">
        <f t="shared" si="98"/>
        <v>0</v>
      </c>
      <c r="BJ96" s="288">
        <f t="shared" si="98"/>
        <v>0</v>
      </c>
      <c r="BK96" s="288">
        <f t="shared" si="98"/>
        <v>0</v>
      </c>
      <c r="BL96" s="288">
        <f t="shared" si="102"/>
        <v>0</v>
      </c>
      <c r="BM96" s="288">
        <f t="shared" si="102"/>
        <v>0</v>
      </c>
      <c r="BN96" s="288">
        <f t="shared" si="102"/>
        <v>0</v>
      </c>
      <c r="BO96" s="288">
        <f t="shared" si="102"/>
        <v>0</v>
      </c>
      <c r="BP96" s="288">
        <f t="shared" si="102"/>
        <v>0</v>
      </c>
      <c r="BQ96" s="288">
        <f t="shared" si="102"/>
        <v>0</v>
      </c>
      <c r="BR96" s="288">
        <f t="shared" si="102"/>
        <v>0</v>
      </c>
      <c r="BS96" s="288">
        <f t="shared" si="102"/>
        <v>0</v>
      </c>
      <c r="BT96" s="288">
        <f t="shared" si="96"/>
        <v>0</v>
      </c>
      <c r="BU96" s="288">
        <f t="shared" si="96"/>
        <v>0</v>
      </c>
      <c r="BV96" s="288">
        <f t="shared" si="96"/>
        <v>0</v>
      </c>
      <c r="BW96" s="288">
        <f t="shared" si="96"/>
        <v>0</v>
      </c>
      <c r="BX96" s="288">
        <f t="shared" si="96"/>
        <v>0</v>
      </c>
      <c r="BY96" s="288">
        <f t="shared" si="96"/>
        <v>0</v>
      </c>
      <c r="BZ96" s="288">
        <f t="shared" si="96"/>
        <v>0</v>
      </c>
      <c r="CA96" s="288">
        <f t="shared" si="96"/>
        <v>0</v>
      </c>
      <c r="CB96" s="288">
        <f t="shared" si="96"/>
        <v>0</v>
      </c>
      <c r="CC96" s="288">
        <f t="shared" si="96"/>
        <v>0</v>
      </c>
      <c r="CD96" s="288">
        <f t="shared" si="96"/>
        <v>0</v>
      </c>
      <c r="CE96" s="288">
        <f t="shared" si="95"/>
        <v>0</v>
      </c>
      <c r="CF96" s="288">
        <f t="shared" si="95"/>
        <v>0</v>
      </c>
      <c r="CG96" s="288">
        <f t="shared" si="95"/>
        <v>0</v>
      </c>
      <c r="CH96" s="288">
        <f t="shared" si="95"/>
        <v>0</v>
      </c>
      <c r="CI96" s="288">
        <f t="shared" si="95"/>
        <v>0</v>
      </c>
      <c r="CJ96" s="288">
        <f t="shared" si="95"/>
        <v>0</v>
      </c>
      <c r="CK96" s="288">
        <f t="shared" si="95"/>
        <v>0</v>
      </c>
      <c r="CL96" s="288">
        <f t="shared" si="95"/>
        <v>0</v>
      </c>
      <c r="CM96" s="288">
        <f t="shared" si="91"/>
        <v>0</v>
      </c>
      <c r="CN96" s="288">
        <f t="shared" si="91"/>
        <v>0</v>
      </c>
      <c r="CO96" s="288">
        <f t="shared" si="91"/>
        <v>0</v>
      </c>
      <c r="CP96" s="288">
        <f t="shared" si="91"/>
        <v>0</v>
      </c>
      <c r="CQ96" s="288">
        <f t="shared" si="80"/>
        <v>0</v>
      </c>
      <c r="CR96" s="288">
        <f t="shared" si="81"/>
        <v>0</v>
      </c>
      <c r="CS96" s="288">
        <f t="shared" si="82"/>
        <v>0</v>
      </c>
      <c r="CT96" s="288">
        <f t="shared" si="97"/>
        <v>0</v>
      </c>
      <c r="CU96" s="288">
        <f t="shared" si="84"/>
        <v>0</v>
      </c>
      <c r="CV96" s="288">
        <f t="shared" si="29"/>
        <v>0</v>
      </c>
      <c r="CW96" s="288">
        <f t="shared" si="29"/>
        <v>0</v>
      </c>
      <c r="CX96" s="288">
        <f t="shared" si="29"/>
        <v>0</v>
      </c>
      <c r="CY96" s="288">
        <f t="shared" si="29"/>
        <v>0</v>
      </c>
      <c r="CZ96" s="288">
        <f t="shared" si="29"/>
        <v>0</v>
      </c>
      <c r="DA96" s="288">
        <f t="shared" si="29"/>
        <v>0</v>
      </c>
      <c r="DB96" s="288">
        <f t="shared" si="33"/>
        <v>0</v>
      </c>
      <c r="DC96" s="288">
        <f t="shared" si="33"/>
        <v>0</v>
      </c>
      <c r="DD96" s="288">
        <f t="shared" si="33"/>
        <v>0</v>
      </c>
      <c r="DE96" s="288">
        <f t="shared" si="33"/>
        <v>0</v>
      </c>
      <c r="DG96" s="314">
        <f t="shared" si="60"/>
        <v>97</v>
      </c>
      <c r="DH96" s="289">
        <f>MAX(CR$3:CR$109)</f>
        <v>97</v>
      </c>
      <c r="DJ96" s="288">
        <f>LOOKUP(DH96, 'Mortality Table'!A:A,('Mortality Table'!J:J/'Mortality Table'!I:I))</f>
        <v>0.30961029749943664</v>
      </c>
      <c r="DK96" s="288">
        <f>LOOKUP(A96, 'Mortality Table'!A:A,('Mortality Table'!J:J/'Mortality Table'!I:I))</f>
        <v>0.24104241144510152</v>
      </c>
      <c r="DL96" s="288">
        <f t="shared" si="61"/>
        <v>6.8567886054335114E-2</v>
      </c>
      <c r="DN96" s="288">
        <f>LOOKUP(DH96, 'Mortality Table'!A:A,('Mortality Table'!L:L/'Mortality Table'!K:K))</f>
        <v>0.31362269335436488</v>
      </c>
      <c r="DO96" s="288">
        <f>LOOKUP(A96, 'Mortality Table'!A:A,('Mortality Table'!L:L/'Mortality Table'!K:K))</f>
        <v>0.24416620151395771</v>
      </c>
      <c r="DP96" s="288">
        <f t="shared" si="62"/>
        <v>6.945649184040717E-2</v>
      </c>
      <c r="DR96" s="288">
        <f>LOOKUP(DH96, 'Mortality Table'!A:A,('Mortality Table'!N:N/'Mortality Table'!M:M))</f>
        <v>0.32067127440995258</v>
      </c>
      <c r="DS96" s="288">
        <f>LOOKUP(A96, 'Mortality Table'!A:A,('Mortality Table'!N:N/'Mortality Table'!M:M))</f>
        <v>0.24965376762085725</v>
      </c>
      <c r="DT96" s="288">
        <f t="shared" si="63"/>
        <v>7.1017506789095325E-2</v>
      </c>
    </row>
    <row r="97" spans="1:124">
      <c r="A97" s="288">
        <v>94</v>
      </c>
      <c r="B97" s="288">
        <v>0.27904079725942071</v>
      </c>
      <c r="C97" s="288">
        <f t="shared" si="101"/>
        <v>0</v>
      </c>
      <c r="D97" s="288">
        <f t="shared" si="101"/>
        <v>0</v>
      </c>
      <c r="E97" s="288">
        <f t="shared" si="101"/>
        <v>0</v>
      </c>
      <c r="F97" s="288">
        <f t="shared" si="101"/>
        <v>0</v>
      </c>
      <c r="G97" s="288">
        <f t="shared" si="101"/>
        <v>0</v>
      </c>
      <c r="H97" s="288">
        <f t="shared" si="101"/>
        <v>0</v>
      </c>
      <c r="I97" s="288">
        <f t="shared" si="100"/>
        <v>0</v>
      </c>
      <c r="J97" s="288">
        <f t="shared" si="100"/>
        <v>0</v>
      </c>
      <c r="K97" s="288">
        <f t="shared" si="100"/>
        <v>0</v>
      </c>
      <c r="L97" s="288">
        <f t="shared" si="100"/>
        <v>0</v>
      </c>
      <c r="M97" s="288">
        <f t="shared" si="100"/>
        <v>0</v>
      </c>
      <c r="N97" s="288">
        <f t="shared" si="100"/>
        <v>0</v>
      </c>
      <c r="O97" s="288">
        <f t="shared" si="100"/>
        <v>0</v>
      </c>
      <c r="P97" s="288">
        <f t="shared" si="100"/>
        <v>0</v>
      </c>
      <c r="Q97" s="288">
        <f t="shared" si="100"/>
        <v>0</v>
      </c>
      <c r="R97" s="288">
        <f t="shared" si="100"/>
        <v>0</v>
      </c>
      <c r="S97" s="288">
        <f t="shared" si="92"/>
        <v>0</v>
      </c>
      <c r="T97" s="288">
        <f t="shared" si="93"/>
        <v>0</v>
      </c>
      <c r="U97" s="288">
        <f t="shared" si="94"/>
        <v>0</v>
      </c>
      <c r="V97" s="288">
        <f t="shared" si="87"/>
        <v>0</v>
      </c>
      <c r="W97" s="288">
        <f t="shared" si="87"/>
        <v>0</v>
      </c>
      <c r="X97" s="288">
        <f t="shared" si="87"/>
        <v>0</v>
      </c>
      <c r="Y97" s="288">
        <f t="shared" si="87"/>
        <v>0</v>
      </c>
      <c r="Z97" s="288">
        <f t="shared" si="87"/>
        <v>0</v>
      </c>
      <c r="AA97" s="288">
        <f t="shared" si="87"/>
        <v>0</v>
      </c>
      <c r="AB97" s="288">
        <f t="shared" si="87"/>
        <v>0</v>
      </c>
      <c r="AC97" s="288">
        <f t="shared" si="87"/>
        <v>0</v>
      </c>
      <c r="AD97" s="288">
        <f t="shared" si="87"/>
        <v>0</v>
      </c>
      <c r="AE97" s="288">
        <f t="shared" si="87"/>
        <v>0</v>
      </c>
      <c r="AF97" s="288">
        <f t="shared" si="87"/>
        <v>0</v>
      </c>
      <c r="AG97" s="288">
        <f t="shared" si="87"/>
        <v>0</v>
      </c>
      <c r="AH97" s="288">
        <f t="shared" si="88"/>
        <v>0</v>
      </c>
      <c r="AI97" s="288">
        <f t="shared" si="58"/>
        <v>0</v>
      </c>
      <c r="AJ97" s="288">
        <f t="shared" si="58"/>
        <v>0</v>
      </c>
      <c r="AK97" s="288">
        <f t="shared" si="58"/>
        <v>0</v>
      </c>
      <c r="AL97" s="288">
        <f t="shared" si="58"/>
        <v>0</v>
      </c>
      <c r="AM97" s="288">
        <f t="shared" si="58"/>
        <v>0</v>
      </c>
      <c r="AN97" s="288">
        <f t="shared" si="58"/>
        <v>0</v>
      </c>
      <c r="AO97" s="288">
        <f t="shared" si="58"/>
        <v>0</v>
      </c>
      <c r="AP97" s="288">
        <f t="shared" si="35"/>
        <v>0</v>
      </c>
      <c r="AQ97" s="288">
        <f t="shared" si="36"/>
        <v>0</v>
      </c>
      <c r="AR97" s="288">
        <f t="shared" si="37"/>
        <v>0</v>
      </c>
      <c r="AS97" s="288">
        <f t="shared" si="38"/>
        <v>0</v>
      </c>
      <c r="AT97" s="288">
        <f t="shared" si="89"/>
        <v>0</v>
      </c>
      <c r="AU97" s="288">
        <f t="shared" si="90"/>
        <v>0</v>
      </c>
      <c r="AV97" s="288">
        <f>IF(AV$2&gt;$B97,(IF(AV$2&lt;=$B98,(IF(AVERAGE($B97,$B98)&gt;AV$2,$A97,$A98)),0)),0)</f>
        <v>0</v>
      </c>
      <c r="AW97" s="288">
        <f t="shared" ref="AW97:BC109" si="103">IF(AW$2&gt;$B97,(IF(AW$2&lt;=$B98,(IF(AVERAGE($B97,$B98)&gt;AW$2,$A97,$A98)),0)),0)</f>
        <v>0</v>
      </c>
      <c r="AX97" s="288">
        <f t="shared" si="103"/>
        <v>0</v>
      </c>
      <c r="AY97" s="288">
        <f t="shared" si="103"/>
        <v>0</v>
      </c>
      <c r="AZ97" s="288">
        <f t="shared" si="103"/>
        <v>0</v>
      </c>
      <c r="BA97" s="288">
        <f t="shared" si="103"/>
        <v>0</v>
      </c>
      <c r="BB97" s="288">
        <f t="shared" si="103"/>
        <v>0</v>
      </c>
      <c r="BC97" s="288">
        <f t="shared" si="103"/>
        <v>0</v>
      </c>
      <c r="BD97" s="288">
        <f t="shared" si="98"/>
        <v>0</v>
      </c>
      <c r="BE97" s="288">
        <f t="shared" si="98"/>
        <v>0</v>
      </c>
      <c r="BF97" s="288">
        <f t="shared" si="98"/>
        <v>0</v>
      </c>
      <c r="BG97" s="288">
        <f t="shared" si="98"/>
        <v>0</v>
      </c>
      <c r="BH97" s="288">
        <f t="shared" si="98"/>
        <v>0</v>
      </c>
      <c r="BI97" s="288">
        <f t="shared" si="98"/>
        <v>0</v>
      </c>
      <c r="BJ97" s="288">
        <f t="shared" si="98"/>
        <v>0</v>
      </c>
      <c r="BK97" s="288">
        <f t="shared" si="98"/>
        <v>0</v>
      </c>
      <c r="BL97" s="288">
        <f t="shared" si="102"/>
        <v>0</v>
      </c>
      <c r="BM97" s="288">
        <f t="shared" si="102"/>
        <v>0</v>
      </c>
      <c r="BN97" s="288">
        <f t="shared" si="102"/>
        <v>0</v>
      </c>
      <c r="BO97" s="288">
        <f t="shared" si="102"/>
        <v>0</v>
      </c>
      <c r="BP97" s="288">
        <f t="shared" si="102"/>
        <v>0</v>
      </c>
      <c r="BQ97" s="288">
        <f t="shared" si="102"/>
        <v>0</v>
      </c>
      <c r="BR97" s="288">
        <f t="shared" si="102"/>
        <v>0</v>
      </c>
      <c r="BS97" s="288">
        <f t="shared" si="102"/>
        <v>0</v>
      </c>
      <c r="BT97" s="288">
        <f t="shared" si="96"/>
        <v>0</v>
      </c>
      <c r="BU97" s="288">
        <f t="shared" si="96"/>
        <v>0</v>
      </c>
      <c r="BV97" s="288">
        <f t="shared" si="96"/>
        <v>0</v>
      </c>
      <c r="BW97" s="288">
        <f t="shared" si="96"/>
        <v>0</v>
      </c>
      <c r="BX97" s="288">
        <f t="shared" si="96"/>
        <v>0</v>
      </c>
      <c r="BY97" s="288">
        <f t="shared" si="96"/>
        <v>0</v>
      </c>
      <c r="BZ97" s="288">
        <f t="shared" si="96"/>
        <v>0</v>
      </c>
      <c r="CA97" s="288">
        <f t="shared" si="96"/>
        <v>0</v>
      </c>
      <c r="CB97" s="288">
        <f t="shared" si="96"/>
        <v>0</v>
      </c>
      <c r="CC97" s="288">
        <f t="shared" si="96"/>
        <v>0</v>
      </c>
      <c r="CD97" s="288">
        <f t="shared" si="96"/>
        <v>0</v>
      </c>
      <c r="CE97" s="288">
        <f t="shared" si="95"/>
        <v>0</v>
      </c>
      <c r="CF97" s="288">
        <f t="shared" si="95"/>
        <v>0</v>
      </c>
      <c r="CG97" s="288">
        <f t="shared" si="95"/>
        <v>0</v>
      </c>
      <c r="CH97" s="288">
        <f t="shared" si="95"/>
        <v>0</v>
      </c>
      <c r="CI97" s="288">
        <f t="shared" si="95"/>
        <v>0</v>
      </c>
      <c r="CJ97" s="288">
        <f t="shared" si="95"/>
        <v>0</v>
      </c>
      <c r="CK97" s="288">
        <f t="shared" si="95"/>
        <v>0</v>
      </c>
      <c r="CL97" s="288">
        <f t="shared" si="95"/>
        <v>0</v>
      </c>
      <c r="CM97" s="288">
        <f t="shared" si="91"/>
        <v>0</v>
      </c>
      <c r="CN97" s="288">
        <f t="shared" si="91"/>
        <v>0</v>
      </c>
      <c r="CO97" s="288">
        <f t="shared" si="91"/>
        <v>0</v>
      </c>
      <c r="CP97" s="288">
        <f t="shared" si="91"/>
        <v>94</v>
      </c>
      <c r="CQ97" s="288">
        <f t="shared" si="80"/>
        <v>0</v>
      </c>
      <c r="CR97" s="288">
        <f t="shared" si="81"/>
        <v>0</v>
      </c>
      <c r="CS97" s="288">
        <f t="shared" si="82"/>
        <v>0</v>
      </c>
      <c r="CT97" s="288">
        <f t="shared" si="97"/>
        <v>0</v>
      </c>
      <c r="CU97" s="288">
        <f t="shared" si="84"/>
        <v>0</v>
      </c>
      <c r="CV97" s="288">
        <f t="shared" si="29"/>
        <v>0</v>
      </c>
      <c r="CW97" s="288">
        <f t="shared" si="29"/>
        <v>0</v>
      </c>
      <c r="CX97" s="288">
        <f t="shared" si="29"/>
        <v>0</v>
      </c>
      <c r="CY97" s="288">
        <f t="shared" si="29"/>
        <v>0</v>
      </c>
      <c r="CZ97" s="288">
        <f t="shared" si="29"/>
        <v>0</v>
      </c>
      <c r="DA97" s="288">
        <f t="shared" si="29"/>
        <v>0</v>
      </c>
      <c r="DB97" s="288">
        <f t="shared" si="33"/>
        <v>0</v>
      </c>
      <c r="DC97" s="288">
        <f t="shared" si="33"/>
        <v>0</v>
      </c>
      <c r="DD97" s="288">
        <f t="shared" si="33"/>
        <v>0</v>
      </c>
      <c r="DE97" s="288">
        <f t="shared" si="33"/>
        <v>0</v>
      </c>
      <c r="DG97" s="314">
        <f t="shared" si="60"/>
        <v>97</v>
      </c>
      <c r="DH97" s="289">
        <f>MAX(CS$3:CS$109)</f>
        <v>97</v>
      </c>
      <c r="DJ97" s="288">
        <f>LOOKUP(DH97, 'Mortality Table'!A:A,('Mortality Table'!J:J/'Mortality Table'!I:I))</f>
        <v>0.30961029749943664</v>
      </c>
      <c r="DK97" s="288">
        <f>LOOKUP(A97, 'Mortality Table'!A:A,('Mortality Table'!J:J/'Mortality Table'!I:I))</f>
        <v>0.2568778753151349</v>
      </c>
      <c r="DL97" s="288">
        <f t="shared" si="61"/>
        <v>5.2732422184301742E-2</v>
      </c>
      <c r="DN97" s="288">
        <f>LOOKUP(DH97, 'Mortality Table'!A:A,('Mortality Table'!L:L/'Mortality Table'!K:K))</f>
        <v>0.31362269335436488</v>
      </c>
      <c r="DO97" s="288">
        <f>LOOKUP(A97, 'Mortality Table'!A:A,('Mortality Table'!L:L/'Mortality Table'!K:K))</f>
        <v>0.26020688513961993</v>
      </c>
      <c r="DP97" s="288">
        <f t="shared" si="62"/>
        <v>5.3415808214744953E-2</v>
      </c>
      <c r="DR97" s="288">
        <f>LOOKUP(DH97, 'Mortality Table'!A:A,('Mortality Table'!N:N/'Mortality Table'!M:M))</f>
        <v>0.32067127440995258</v>
      </c>
      <c r="DS97" s="288">
        <f>LOOKUP(A97, 'Mortality Table'!A:A,('Mortality Table'!N:N/'Mortality Table'!M:M))</f>
        <v>0.26605496106012133</v>
      </c>
      <c r="DT97" s="288">
        <f t="shared" si="63"/>
        <v>5.4616313349831247E-2</v>
      </c>
    </row>
    <row r="98" spans="1:124">
      <c r="A98" s="288">
        <v>95</v>
      </c>
      <c r="B98" s="288">
        <v>0.29373650107991361</v>
      </c>
      <c r="C98" s="288">
        <f t="shared" si="101"/>
        <v>0</v>
      </c>
      <c r="D98" s="288">
        <f t="shared" si="101"/>
        <v>0</v>
      </c>
      <c r="E98" s="288">
        <f t="shared" si="101"/>
        <v>0</v>
      </c>
      <c r="F98" s="288">
        <f t="shared" si="101"/>
        <v>0</v>
      </c>
      <c r="G98" s="288">
        <f t="shared" si="101"/>
        <v>0</v>
      </c>
      <c r="H98" s="288">
        <f t="shared" si="101"/>
        <v>0</v>
      </c>
      <c r="I98" s="288">
        <f t="shared" si="100"/>
        <v>0</v>
      </c>
      <c r="J98" s="288">
        <f t="shared" si="100"/>
        <v>0</v>
      </c>
      <c r="K98" s="288">
        <f t="shared" si="100"/>
        <v>0</v>
      </c>
      <c r="L98" s="288">
        <f t="shared" si="100"/>
        <v>0</v>
      </c>
      <c r="M98" s="288">
        <f t="shared" si="100"/>
        <v>0</v>
      </c>
      <c r="N98" s="288">
        <f t="shared" si="100"/>
        <v>0</v>
      </c>
      <c r="O98" s="288">
        <f t="shared" si="100"/>
        <v>0</v>
      </c>
      <c r="P98" s="288">
        <f t="shared" si="100"/>
        <v>0</v>
      </c>
      <c r="Q98" s="288">
        <f t="shared" si="100"/>
        <v>0</v>
      </c>
      <c r="R98" s="288">
        <f t="shared" si="100"/>
        <v>0</v>
      </c>
      <c r="S98" s="288">
        <f t="shared" si="92"/>
        <v>0</v>
      </c>
      <c r="T98" s="288">
        <f t="shared" si="93"/>
        <v>0</v>
      </c>
      <c r="U98" s="288">
        <f t="shared" si="94"/>
        <v>0</v>
      </c>
      <c r="V98" s="288">
        <f t="shared" si="87"/>
        <v>0</v>
      </c>
      <c r="W98" s="288">
        <f t="shared" si="87"/>
        <v>0</v>
      </c>
      <c r="X98" s="288">
        <f t="shared" si="87"/>
        <v>0</v>
      </c>
      <c r="Y98" s="288">
        <f t="shared" si="87"/>
        <v>0</v>
      </c>
      <c r="Z98" s="288">
        <f t="shared" si="87"/>
        <v>0</v>
      </c>
      <c r="AA98" s="288">
        <f t="shared" si="87"/>
        <v>0</v>
      </c>
      <c r="AB98" s="288">
        <f t="shared" si="87"/>
        <v>0</v>
      </c>
      <c r="AC98" s="288">
        <f t="shared" si="87"/>
        <v>0</v>
      </c>
      <c r="AD98" s="288">
        <f t="shared" si="87"/>
        <v>0</v>
      </c>
      <c r="AE98" s="288">
        <f t="shared" si="87"/>
        <v>0</v>
      </c>
      <c r="AF98" s="288">
        <f t="shared" si="87"/>
        <v>0</v>
      </c>
      <c r="AG98" s="288">
        <f t="shared" si="87"/>
        <v>0</v>
      </c>
      <c r="AH98" s="288">
        <f t="shared" si="88"/>
        <v>0</v>
      </c>
      <c r="AI98" s="288">
        <f t="shared" si="58"/>
        <v>0</v>
      </c>
      <c r="AJ98" s="288">
        <f t="shared" si="58"/>
        <v>0</v>
      </c>
      <c r="AK98" s="288">
        <f t="shared" si="58"/>
        <v>0</v>
      </c>
      <c r="AL98" s="288">
        <f t="shared" si="58"/>
        <v>0</v>
      </c>
      <c r="AM98" s="288">
        <f t="shared" si="58"/>
        <v>0</v>
      </c>
      <c r="AN98" s="288">
        <f t="shared" si="58"/>
        <v>0</v>
      </c>
      <c r="AO98" s="288">
        <f t="shared" si="58"/>
        <v>0</v>
      </c>
      <c r="AP98" s="288">
        <f t="shared" si="58"/>
        <v>0</v>
      </c>
      <c r="AQ98" s="288">
        <f t="shared" si="58"/>
        <v>0</v>
      </c>
      <c r="AR98" s="288">
        <f t="shared" si="58"/>
        <v>0</v>
      </c>
      <c r="AS98" s="288">
        <f t="shared" ref="AP98:AV109" si="104">IF(AS$2&gt;$B98,(IF(AS$2&lt;=$B99,(IF(AVERAGE($B98,$B99)&gt;AS$2,$A98,$A99)),0)),0)</f>
        <v>0</v>
      </c>
      <c r="AT98" s="288">
        <f t="shared" si="104"/>
        <v>0</v>
      </c>
      <c r="AU98" s="288">
        <f t="shared" si="104"/>
        <v>0</v>
      </c>
      <c r="AV98" s="288">
        <f t="shared" si="104"/>
        <v>0</v>
      </c>
      <c r="AW98" s="288">
        <f t="shared" si="103"/>
        <v>0</v>
      </c>
      <c r="AX98" s="288">
        <f t="shared" si="103"/>
        <v>0</v>
      </c>
      <c r="AY98" s="288">
        <f t="shared" si="103"/>
        <v>0</v>
      </c>
      <c r="AZ98" s="288">
        <f t="shared" si="103"/>
        <v>0</v>
      </c>
      <c r="BA98" s="288">
        <f t="shared" si="103"/>
        <v>0</v>
      </c>
      <c r="BB98" s="288">
        <f t="shared" si="103"/>
        <v>0</v>
      </c>
      <c r="BC98" s="288">
        <f t="shared" si="103"/>
        <v>0</v>
      </c>
      <c r="BD98" s="288">
        <f t="shared" si="98"/>
        <v>0</v>
      </c>
      <c r="BE98" s="288">
        <f t="shared" si="98"/>
        <v>0</v>
      </c>
      <c r="BF98" s="288">
        <f t="shared" si="98"/>
        <v>0</v>
      </c>
      <c r="BG98" s="288">
        <f t="shared" si="98"/>
        <v>0</v>
      </c>
      <c r="BH98" s="288">
        <f t="shared" si="98"/>
        <v>0</v>
      </c>
      <c r="BI98" s="288">
        <f t="shared" si="98"/>
        <v>0</v>
      </c>
      <c r="BJ98" s="288">
        <f t="shared" si="98"/>
        <v>0</v>
      </c>
      <c r="BK98" s="288">
        <f t="shared" si="98"/>
        <v>0</v>
      </c>
      <c r="BL98" s="288">
        <f t="shared" si="102"/>
        <v>0</v>
      </c>
      <c r="BM98" s="288">
        <f t="shared" si="102"/>
        <v>0</v>
      </c>
      <c r="BN98" s="288">
        <f t="shared" si="102"/>
        <v>0</v>
      </c>
      <c r="BO98" s="288">
        <f t="shared" si="102"/>
        <v>0</v>
      </c>
      <c r="BP98" s="288">
        <f t="shared" si="102"/>
        <v>0</v>
      </c>
      <c r="BQ98" s="288">
        <f t="shared" si="102"/>
        <v>0</v>
      </c>
      <c r="BR98" s="288">
        <f t="shared" si="102"/>
        <v>0</v>
      </c>
      <c r="BS98" s="288">
        <f t="shared" si="102"/>
        <v>0</v>
      </c>
      <c r="BT98" s="288">
        <f t="shared" si="96"/>
        <v>0</v>
      </c>
      <c r="BU98" s="288">
        <f t="shared" si="96"/>
        <v>0</v>
      </c>
      <c r="BV98" s="288">
        <f t="shared" si="96"/>
        <v>0</v>
      </c>
      <c r="BW98" s="288">
        <f t="shared" si="96"/>
        <v>0</v>
      </c>
      <c r="BX98" s="288">
        <f t="shared" si="96"/>
        <v>0</v>
      </c>
      <c r="BY98" s="288">
        <f t="shared" si="96"/>
        <v>0</v>
      </c>
      <c r="BZ98" s="288">
        <f t="shared" si="96"/>
        <v>0</v>
      </c>
      <c r="CA98" s="288">
        <f t="shared" si="96"/>
        <v>0</v>
      </c>
      <c r="CB98" s="288">
        <f t="shared" si="96"/>
        <v>0</v>
      </c>
      <c r="CC98" s="288">
        <f t="shared" si="96"/>
        <v>0</v>
      </c>
      <c r="CD98" s="288">
        <f t="shared" si="96"/>
        <v>0</v>
      </c>
      <c r="CE98" s="288">
        <f t="shared" si="95"/>
        <v>0</v>
      </c>
      <c r="CF98" s="288">
        <f t="shared" si="95"/>
        <v>0</v>
      </c>
      <c r="CG98" s="288">
        <f t="shared" si="95"/>
        <v>0</v>
      </c>
      <c r="CH98" s="288">
        <f t="shared" si="95"/>
        <v>0</v>
      </c>
      <c r="CI98" s="288">
        <f t="shared" si="95"/>
        <v>0</v>
      </c>
      <c r="CJ98" s="288">
        <f t="shared" si="95"/>
        <v>0</v>
      </c>
      <c r="CK98" s="288">
        <f t="shared" si="95"/>
        <v>0</v>
      </c>
      <c r="CL98" s="288">
        <f t="shared" si="95"/>
        <v>0</v>
      </c>
      <c r="CM98" s="288">
        <f t="shared" si="91"/>
        <v>0</v>
      </c>
      <c r="CN98" s="288">
        <f t="shared" si="91"/>
        <v>0</v>
      </c>
      <c r="CO98" s="288">
        <f t="shared" si="91"/>
        <v>0</v>
      </c>
      <c r="CP98" s="288">
        <f t="shared" si="91"/>
        <v>0</v>
      </c>
      <c r="CQ98" s="288">
        <f t="shared" si="80"/>
        <v>96</v>
      </c>
      <c r="CR98" s="288">
        <f t="shared" si="81"/>
        <v>0</v>
      </c>
      <c r="CS98" s="288">
        <f t="shared" si="82"/>
        <v>0</v>
      </c>
      <c r="CT98" s="288">
        <f t="shared" si="97"/>
        <v>0</v>
      </c>
      <c r="CU98" s="288">
        <f t="shared" si="84"/>
        <v>0</v>
      </c>
      <c r="CV98" s="288">
        <f t="shared" si="29"/>
        <v>0</v>
      </c>
      <c r="CW98" s="288">
        <f t="shared" si="29"/>
        <v>0</v>
      </c>
      <c r="CX98" s="288">
        <f t="shared" si="29"/>
        <v>0</v>
      </c>
      <c r="CY98" s="288">
        <f t="shared" si="29"/>
        <v>0</v>
      </c>
      <c r="CZ98" s="288">
        <f t="shared" si="29"/>
        <v>0</v>
      </c>
      <c r="DA98" s="288">
        <f t="shared" si="29"/>
        <v>0</v>
      </c>
      <c r="DB98" s="288">
        <f t="shared" si="33"/>
        <v>0</v>
      </c>
      <c r="DC98" s="288">
        <f t="shared" si="33"/>
        <v>0</v>
      </c>
      <c r="DD98" s="288">
        <f t="shared" si="33"/>
        <v>0</v>
      </c>
      <c r="DE98" s="288">
        <f t="shared" si="33"/>
        <v>0</v>
      </c>
      <c r="DG98" s="314">
        <f t="shared" si="60"/>
        <v>98</v>
      </c>
      <c r="DH98" s="289">
        <f>MAX(CT$3:CT$109)</f>
        <v>98</v>
      </c>
      <c r="DJ98" s="288">
        <f>LOOKUP(DH98, 'Mortality Table'!A:A,('Mortality Table'!J:J/'Mortality Table'!I:I))</f>
        <v>0.35703366937408038</v>
      </c>
      <c r="DK98" s="288">
        <f>LOOKUP(A98, 'Mortality Table'!A:A,('Mortality Table'!J:J/'Mortality Table'!I:I))</f>
        <v>0.2704063672444324</v>
      </c>
      <c r="DL98" s="288">
        <f t="shared" si="61"/>
        <v>8.6627302129647976E-2</v>
      </c>
      <c r="DN98" s="288">
        <f>LOOKUP(DH98, 'Mortality Table'!A:A,('Mortality Table'!L:L/'Mortality Table'!K:K))</f>
        <v>0.36166064860130986</v>
      </c>
      <c r="DO98" s="288">
        <f>LOOKUP(A98, 'Mortality Table'!A:A,('Mortality Table'!L:L/'Mortality Table'!K:K))</f>
        <v>0.27391069961270476</v>
      </c>
      <c r="DP98" s="288">
        <f t="shared" si="62"/>
        <v>8.7749948988605109E-2</v>
      </c>
      <c r="DR98" s="288">
        <f>LOOKUP(DH98, 'Mortality Table'!A:A,('Mortality Table'!N:N/'Mortality Table'!M:M))</f>
        <v>0.3697888690722767</v>
      </c>
      <c r="DS98" s="288">
        <f>LOOKUP(A98, 'Mortality Table'!A:A,('Mortality Table'!N:N/'Mortality Table'!M:M))</f>
        <v>0.28006676487559506</v>
      </c>
      <c r="DT98" s="288">
        <f t="shared" si="63"/>
        <v>8.972210419668164E-2</v>
      </c>
    </row>
    <row r="99" spans="1:124">
      <c r="A99" s="288">
        <v>96</v>
      </c>
      <c r="B99" s="288">
        <v>0.31804281345565749</v>
      </c>
      <c r="C99" s="288">
        <f t="shared" si="101"/>
        <v>0</v>
      </c>
      <c r="D99" s="288">
        <f t="shared" si="101"/>
        <v>0</v>
      </c>
      <c r="E99" s="288">
        <f t="shared" si="101"/>
        <v>0</v>
      </c>
      <c r="F99" s="288">
        <f t="shared" si="101"/>
        <v>0</v>
      </c>
      <c r="G99" s="288">
        <f t="shared" si="101"/>
        <v>0</v>
      </c>
      <c r="H99" s="288">
        <f t="shared" si="101"/>
        <v>0</v>
      </c>
      <c r="I99" s="288">
        <f t="shared" si="100"/>
        <v>0</v>
      </c>
      <c r="J99" s="288">
        <f t="shared" si="100"/>
        <v>0</v>
      </c>
      <c r="K99" s="288">
        <f t="shared" si="100"/>
        <v>0</v>
      </c>
      <c r="L99" s="288">
        <f t="shared" si="100"/>
        <v>0</v>
      </c>
      <c r="M99" s="288">
        <f t="shared" si="100"/>
        <v>0</v>
      </c>
      <c r="N99" s="288">
        <f t="shared" si="100"/>
        <v>0</v>
      </c>
      <c r="O99" s="288">
        <f t="shared" si="100"/>
        <v>0</v>
      </c>
      <c r="P99" s="288">
        <f t="shared" si="100"/>
        <v>0</v>
      </c>
      <c r="Q99" s="288">
        <f t="shared" si="100"/>
        <v>0</v>
      </c>
      <c r="R99" s="288">
        <f t="shared" si="100"/>
        <v>0</v>
      </c>
      <c r="S99" s="288">
        <f t="shared" si="92"/>
        <v>0</v>
      </c>
      <c r="T99" s="288">
        <f t="shared" si="93"/>
        <v>0</v>
      </c>
      <c r="U99" s="288">
        <f t="shared" si="94"/>
        <v>0</v>
      </c>
      <c r="V99" s="288">
        <f t="shared" si="87"/>
        <v>0</v>
      </c>
      <c r="W99" s="288">
        <f t="shared" si="87"/>
        <v>0</v>
      </c>
      <c r="X99" s="288">
        <f t="shared" si="87"/>
        <v>0</v>
      </c>
      <c r="Y99" s="288">
        <f t="shared" si="87"/>
        <v>0</v>
      </c>
      <c r="Z99" s="288">
        <f t="shared" si="87"/>
        <v>0</v>
      </c>
      <c r="AA99" s="288">
        <f t="shared" si="87"/>
        <v>0</v>
      </c>
      <c r="AB99" s="288">
        <f t="shared" si="87"/>
        <v>0</v>
      </c>
      <c r="AC99" s="288">
        <f t="shared" si="87"/>
        <v>0</v>
      </c>
      <c r="AD99" s="288">
        <f t="shared" si="87"/>
        <v>0</v>
      </c>
      <c r="AE99" s="288">
        <f t="shared" si="87"/>
        <v>0</v>
      </c>
      <c r="AF99" s="288">
        <f t="shared" si="87"/>
        <v>0</v>
      </c>
      <c r="AG99" s="288">
        <f t="shared" si="87"/>
        <v>0</v>
      </c>
      <c r="AH99" s="288">
        <f t="shared" si="88"/>
        <v>0</v>
      </c>
      <c r="AI99" s="288">
        <f t="shared" ref="AI99:AO99" si="105">IF(AI$2&gt;$B99,(IF(AI$2&lt;=$B100,(IF(AVERAGE($B99,$B100)&gt;AI$2,$A99,$A100)),0)),0)</f>
        <v>0</v>
      </c>
      <c r="AJ99" s="288">
        <f t="shared" si="105"/>
        <v>0</v>
      </c>
      <c r="AK99" s="288">
        <f t="shared" si="105"/>
        <v>0</v>
      </c>
      <c r="AL99" s="288">
        <f t="shared" si="105"/>
        <v>0</v>
      </c>
      <c r="AM99" s="288">
        <f t="shared" si="105"/>
        <v>0</v>
      </c>
      <c r="AN99" s="288">
        <f t="shared" si="105"/>
        <v>0</v>
      </c>
      <c r="AO99" s="288">
        <f t="shared" si="105"/>
        <v>0</v>
      </c>
      <c r="AP99" s="288">
        <f t="shared" si="104"/>
        <v>0</v>
      </c>
      <c r="AQ99" s="288">
        <f t="shared" si="104"/>
        <v>0</v>
      </c>
      <c r="AR99" s="288">
        <f t="shared" si="104"/>
        <v>0</v>
      </c>
      <c r="AS99" s="288">
        <f t="shared" si="104"/>
        <v>0</v>
      </c>
      <c r="AT99" s="288">
        <f t="shared" si="104"/>
        <v>0</v>
      </c>
      <c r="AU99" s="288">
        <f t="shared" si="104"/>
        <v>0</v>
      </c>
      <c r="AV99" s="288">
        <f t="shared" si="104"/>
        <v>0</v>
      </c>
      <c r="AW99" s="288">
        <f t="shared" si="103"/>
        <v>0</v>
      </c>
      <c r="AX99" s="288">
        <f t="shared" si="103"/>
        <v>0</v>
      </c>
      <c r="AY99" s="288">
        <f t="shared" si="103"/>
        <v>0</v>
      </c>
      <c r="AZ99" s="288">
        <f t="shared" si="103"/>
        <v>0</v>
      </c>
      <c r="BA99" s="288">
        <f t="shared" si="103"/>
        <v>0</v>
      </c>
      <c r="BB99" s="288">
        <f t="shared" si="103"/>
        <v>0</v>
      </c>
      <c r="BC99" s="288">
        <f t="shared" si="103"/>
        <v>0</v>
      </c>
      <c r="BD99" s="288">
        <f t="shared" si="98"/>
        <v>0</v>
      </c>
      <c r="BE99" s="288">
        <f t="shared" si="98"/>
        <v>0</v>
      </c>
      <c r="BF99" s="288">
        <f t="shared" si="98"/>
        <v>0</v>
      </c>
      <c r="BG99" s="288">
        <f t="shared" si="98"/>
        <v>0</v>
      </c>
      <c r="BH99" s="288">
        <f t="shared" si="98"/>
        <v>0</v>
      </c>
      <c r="BI99" s="288">
        <f t="shared" si="98"/>
        <v>0</v>
      </c>
      <c r="BJ99" s="288">
        <f t="shared" si="98"/>
        <v>0</v>
      </c>
      <c r="BK99" s="288">
        <f t="shared" si="98"/>
        <v>0</v>
      </c>
      <c r="BL99" s="288">
        <f t="shared" si="102"/>
        <v>0</v>
      </c>
      <c r="BM99" s="288">
        <f t="shared" si="102"/>
        <v>0</v>
      </c>
      <c r="BN99" s="288">
        <f t="shared" si="102"/>
        <v>0</v>
      </c>
      <c r="BO99" s="288">
        <f t="shared" si="102"/>
        <v>0</v>
      </c>
      <c r="BP99" s="288">
        <f t="shared" si="102"/>
        <v>0</v>
      </c>
      <c r="BQ99" s="288">
        <f t="shared" si="102"/>
        <v>0</v>
      </c>
      <c r="BR99" s="288">
        <f t="shared" si="102"/>
        <v>0</v>
      </c>
      <c r="BS99" s="288">
        <f t="shared" si="102"/>
        <v>0</v>
      </c>
      <c r="BT99" s="288">
        <f t="shared" si="96"/>
        <v>0</v>
      </c>
      <c r="BU99" s="288">
        <f t="shared" si="96"/>
        <v>0</v>
      </c>
      <c r="BV99" s="288">
        <f t="shared" si="96"/>
        <v>0</v>
      </c>
      <c r="BW99" s="288">
        <f t="shared" si="96"/>
        <v>0</v>
      </c>
      <c r="BX99" s="288">
        <f t="shared" si="96"/>
        <v>0</v>
      </c>
      <c r="BY99" s="288">
        <f t="shared" si="96"/>
        <v>0</v>
      </c>
      <c r="BZ99" s="288">
        <f t="shared" si="96"/>
        <v>0</v>
      </c>
      <c r="CA99" s="288">
        <f t="shared" si="96"/>
        <v>0</v>
      </c>
      <c r="CB99" s="288">
        <f t="shared" si="96"/>
        <v>0</v>
      </c>
      <c r="CC99" s="288">
        <f t="shared" si="96"/>
        <v>0</v>
      </c>
      <c r="CD99" s="288">
        <f t="shared" si="96"/>
        <v>0</v>
      </c>
      <c r="CE99" s="288">
        <f t="shared" si="95"/>
        <v>0</v>
      </c>
      <c r="CF99" s="288">
        <f t="shared" si="95"/>
        <v>0</v>
      </c>
      <c r="CG99" s="288">
        <f t="shared" si="95"/>
        <v>0</v>
      </c>
      <c r="CH99" s="288">
        <f t="shared" si="95"/>
        <v>0</v>
      </c>
      <c r="CI99" s="288">
        <f t="shared" si="95"/>
        <v>0</v>
      </c>
      <c r="CJ99" s="288">
        <f t="shared" si="95"/>
        <v>0</v>
      </c>
      <c r="CK99" s="288">
        <f t="shared" si="95"/>
        <v>0</v>
      </c>
      <c r="CL99" s="288">
        <f t="shared" si="95"/>
        <v>0</v>
      </c>
      <c r="CM99" s="288">
        <f t="shared" si="91"/>
        <v>0</v>
      </c>
      <c r="CN99" s="288">
        <f t="shared" si="91"/>
        <v>0</v>
      </c>
      <c r="CO99" s="288">
        <f t="shared" si="91"/>
        <v>0</v>
      </c>
      <c r="CP99" s="288">
        <f t="shared" si="91"/>
        <v>0</v>
      </c>
      <c r="CQ99" s="288">
        <f t="shared" si="80"/>
        <v>0</v>
      </c>
      <c r="CR99" s="288">
        <f t="shared" si="81"/>
        <v>97</v>
      </c>
      <c r="CS99" s="288">
        <f t="shared" si="82"/>
        <v>0</v>
      </c>
      <c r="CT99" s="288">
        <f t="shared" si="97"/>
        <v>0</v>
      </c>
      <c r="CU99" s="288">
        <f t="shared" si="84"/>
        <v>0</v>
      </c>
      <c r="CV99" s="288">
        <f t="shared" si="29"/>
        <v>0</v>
      </c>
      <c r="CW99" s="288">
        <f t="shared" si="29"/>
        <v>0</v>
      </c>
      <c r="CX99" s="288">
        <f t="shared" si="29"/>
        <v>0</v>
      </c>
      <c r="CY99" s="288">
        <f t="shared" si="29"/>
        <v>0</v>
      </c>
      <c r="CZ99" s="288">
        <f t="shared" si="29"/>
        <v>0</v>
      </c>
      <c r="DA99" s="288">
        <f t="shared" si="29"/>
        <v>0</v>
      </c>
      <c r="DB99" s="288">
        <f t="shared" si="33"/>
        <v>0</v>
      </c>
      <c r="DC99" s="288">
        <f t="shared" si="33"/>
        <v>0</v>
      </c>
      <c r="DD99" s="288">
        <f t="shared" si="33"/>
        <v>0</v>
      </c>
      <c r="DE99" s="288">
        <f t="shared" si="33"/>
        <v>0</v>
      </c>
      <c r="DG99" s="314">
        <f t="shared" si="60"/>
        <v>98</v>
      </c>
      <c r="DH99" s="289">
        <f>MAX(CU$3:CU$109)</f>
        <v>98</v>
      </c>
      <c r="DJ99" s="288">
        <f>LOOKUP(DH99, 'Mortality Table'!A:A,('Mortality Table'!J:J/'Mortality Table'!I:I))</f>
        <v>0.35703366937408038</v>
      </c>
      <c r="DK99" s="288">
        <f>LOOKUP(A99, 'Mortality Table'!A:A,('Mortality Table'!J:J/'Mortality Table'!I:I))</f>
        <v>0.29278214147224985</v>
      </c>
      <c r="DL99" s="288">
        <f t="shared" si="61"/>
        <v>6.425152790183053E-2</v>
      </c>
      <c r="DN99" s="288">
        <f>LOOKUP(DH99, 'Mortality Table'!A:A,('Mortality Table'!L:L/'Mortality Table'!K:K))</f>
        <v>0.36166064860130986</v>
      </c>
      <c r="DO99" s="288">
        <f>LOOKUP(A99, 'Mortality Table'!A:A,('Mortality Table'!L:L/'Mortality Table'!K:K))</f>
        <v>0.29657645277367722</v>
      </c>
      <c r="DP99" s="288">
        <f t="shared" si="62"/>
        <v>6.508419582763264E-2</v>
      </c>
      <c r="DR99" s="288">
        <f>LOOKUP(DH99, 'Mortality Table'!A:A,('Mortality Table'!N:N/'Mortality Table'!M:M))</f>
        <v>0.3697888690722767</v>
      </c>
      <c r="DS99" s="288">
        <f>LOOKUP(A99, 'Mortality Table'!A:A,('Mortality Table'!N:N/'Mortality Table'!M:M))</f>
        <v>0.30324192440838377</v>
      </c>
      <c r="DT99" s="288">
        <f t="shared" si="63"/>
        <v>6.6546944663892937E-2</v>
      </c>
    </row>
    <row r="100" spans="1:124">
      <c r="A100" s="288">
        <v>97</v>
      </c>
      <c r="B100" s="288">
        <v>0.33632286995515698</v>
      </c>
      <c r="C100" s="288">
        <f t="shared" si="101"/>
        <v>0</v>
      </c>
      <c r="D100" s="288">
        <f t="shared" si="101"/>
        <v>0</v>
      </c>
      <c r="E100" s="288">
        <f t="shared" si="101"/>
        <v>0</v>
      </c>
      <c r="F100" s="288">
        <f t="shared" si="101"/>
        <v>0</v>
      </c>
      <c r="G100" s="288">
        <f t="shared" si="101"/>
        <v>0</v>
      </c>
      <c r="H100" s="288">
        <f t="shared" si="101"/>
        <v>0</v>
      </c>
      <c r="I100" s="288">
        <f t="shared" si="100"/>
        <v>0</v>
      </c>
      <c r="J100" s="288">
        <f t="shared" si="100"/>
        <v>0</v>
      </c>
      <c r="K100" s="288">
        <f t="shared" si="100"/>
        <v>0</v>
      </c>
      <c r="L100" s="288">
        <f t="shared" si="100"/>
        <v>0</v>
      </c>
      <c r="M100" s="288">
        <f t="shared" si="100"/>
        <v>0</v>
      </c>
      <c r="N100" s="288">
        <f t="shared" si="100"/>
        <v>0</v>
      </c>
      <c r="O100" s="288">
        <f t="shared" si="100"/>
        <v>0</v>
      </c>
      <c r="P100" s="288">
        <f t="shared" si="100"/>
        <v>0</v>
      </c>
      <c r="Q100" s="288">
        <f t="shared" si="100"/>
        <v>0</v>
      </c>
      <c r="R100" s="288">
        <f t="shared" si="100"/>
        <v>0</v>
      </c>
      <c r="S100" s="288">
        <f t="shared" si="92"/>
        <v>0</v>
      </c>
      <c r="T100" s="288">
        <f t="shared" si="93"/>
        <v>0</v>
      </c>
      <c r="U100" s="288">
        <f t="shared" si="94"/>
        <v>0</v>
      </c>
      <c r="V100" s="288">
        <f t="shared" si="87"/>
        <v>0</v>
      </c>
      <c r="W100" s="288">
        <f t="shared" si="87"/>
        <v>0</v>
      </c>
      <c r="X100" s="288">
        <f t="shared" si="87"/>
        <v>0</v>
      </c>
      <c r="Y100" s="288">
        <f t="shared" si="87"/>
        <v>0</v>
      </c>
      <c r="Z100" s="288">
        <f t="shared" si="87"/>
        <v>0</v>
      </c>
      <c r="AA100" s="288">
        <f t="shared" si="87"/>
        <v>0</v>
      </c>
      <c r="AB100" s="288">
        <f t="shared" si="87"/>
        <v>0</v>
      </c>
      <c r="AC100" s="288">
        <f t="shared" si="87"/>
        <v>0</v>
      </c>
      <c r="AD100" s="288">
        <f t="shared" si="87"/>
        <v>0</v>
      </c>
      <c r="AE100" s="288">
        <f t="shared" si="87"/>
        <v>0</v>
      </c>
      <c r="AF100" s="288">
        <f t="shared" si="87"/>
        <v>0</v>
      </c>
      <c r="AG100" s="288">
        <f t="shared" si="87"/>
        <v>0</v>
      </c>
      <c r="AH100" s="288">
        <f t="shared" si="87"/>
        <v>0</v>
      </c>
      <c r="AI100" s="288">
        <f t="shared" si="87"/>
        <v>0</v>
      </c>
      <c r="AJ100" s="288">
        <f t="shared" si="87"/>
        <v>0</v>
      </c>
      <c r="AK100" s="288">
        <f t="shared" si="87"/>
        <v>0</v>
      </c>
      <c r="AL100" s="288">
        <f t="shared" ref="AL100:AO109" si="106">IF(AL$2&gt;$B100,(IF(AL$2&lt;=$B101,(IF(AVERAGE($B100,$B101)&gt;AL$2,$A100,$A101)),0)),0)</f>
        <v>0</v>
      </c>
      <c r="AM100" s="288">
        <f t="shared" si="106"/>
        <v>0</v>
      </c>
      <c r="AN100" s="288">
        <f t="shared" si="106"/>
        <v>0</v>
      </c>
      <c r="AO100" s="288">
        <f t="shared" si="106"/>
        <v>0</v>
      </c>
      <c r="AP100" s="288">
        <f t="shared" si="104"/>
        <v>0</v>
      </c>
      <c r="AQ100" s="288">
        <f t="shared" si="104"/>
        <v>0</v>
      </c>
      <c r="AR100" s="288">
        <f t="shared" si="104"/>
        <v>0</v>
      </c>
      <c r="AS100" s="288">
        <f t="shared" si="104"/>
        <v>0</v>
      </c>
      <c r="AT100" s="288">
        <f t="shared" si="104"/>
        <v>0</v>
      </c>
      <c r="AU100" s="288">
        <f t="shared" si="104"/>
        <v>0</v>
      </c>
      <c r="AV100" s="288">
        <f t="shared" si="104"/>
        <v>0</v>
      </c>
      <c r="AW100" s="288">
        <f t="shared" si="103"/>
        <v>0</v>
      </c>
      <c r="AX100" s="288">
        <f t="shared" si="103"/>
        <v>0</v>
      </c>
      <c r="AY100" s="288">
        <f t="shared" si="103"/>
        <v>0</v>
      </c>
      <c r="AZ100" s="288">
        <f t="shared" si="103"/>
        <v>0</v>
      </c>
      <c r="BA100" s="288">
        <f t="shared" si="103"/>
        <v>0</v>
      </c>
      <c r="BB100" s="288">
        <f t="shared" si="103"/>
        <v>0</v>
      </c>
      <c r="BC100" s="288">
        <f t="shared" si="103"/>
        <v>0</v>
      </c>
      <c r="BD100" s="288">
        <f t="shared" si="98"/>
        <v>0</v>
      </c>
      <c r="BE100" s="288">
        <f t="shared" si="98"/>
        <v>0</v>
      </c>
      <c r="BF100" s="288">
        <f t="shared" si="98"/>
        <v>0</v>
      </c>
      <c r="BG100" s="288">
        <f t="shared" si="98"/>
        <v>0</v>
      </c>
      <c r="BH100" s="288">
        <f t="shared" si="98"/>
        <v>0</v>
      </c>
      <c r="BI100" s="288">
        <f t="shared" si="98"/>
        <v>0</v>
      </c>
      <c r="BJ100" s="288">
        <f t="shared" si="98"/>
        <v>0</v>
      </c>
      <c r="BK100" s="288">
        <f t="shared" si="98"/>
        <v>0</v>
      </c>
      <c r="BL100" s="288">
        <f t="shared" si="102"/>
        <v>0</v>
      </c>
      <c r="BM100" s="288">
        <f t="shared" si="102"/>
        <v>0</v>
      </c>
      <c r="BN100" s="288">
        <f t="shared" si="102"/>
        <v>0</v>
      </c>
      <c r="BO100" s="288">
        <f t="shared" si="102"/>
        <v>0</v>
      </c>
      <c r="BP100" s="288">
        <f t="shared" si="102"/>
        <v>0</v>
      </c>
      <c r="BQ100" s="288">
        <f t="shared" si="102"/>
        <v>0</v>
      </c>
      <c r="BR100" s="288">
        <f t="shared" si="102"/>
        <v>0</v>
      </c>
      <c r="BS100" s="288">
        <f t="shared" si="102"/>
        <v>0</v>
      </c>
      <c r="BT100" s="288">
        <f t="shared" si="96"/>
        <v>0</v>
      </c>
      <c r="BU100" s="288">
        <f t="shared" si="96"/>
        <v>0</v>
      </c>
      <c r="BV100" s="288">
        <f t="shared" si="96"/>
        <v>0</v>
      </c>
      <c r="BW100" s="288">
        <f t="shared" si="96"/>
        <v>0</v>
      </c>
      <c r="BX100" s="288">
        <f t="shared" si="96"/>
        <v>0</v>
      </c>
      <c r="BY100" s="288">
        <f t="shared" si="96"/>
        <v>0</v>
      </c>
      <c r="BZ100" s="288">
        <f t="shared" si="96"/>
        <v>0</v>
      </c>
      <c r="CA100" s="288">
        <f t="shared" si="96"/>
        <v>0</v>
      </c>
      <c r="CB100" s="288">
        <f t="shared" si="96"/>
        <v>0</v>
      </c>
      <c r="CC100" s="288">
        <f t="shared" si="96"/>
        <v>0</v>
      </c>
      <c r="CD100" s="288">
        <f t="shared" si="96"/>
        <v>0</v>
      </c>
      <c r="CE100" s="288">
        <f t="shared" si="95"/>
        <v>0</v>
      </c>
      <c r="CF100" s="288">
        <f t="shared" si="95"/>
        <v>0</v>
      </c>
      <c r="CG100" s="288">
        <f t="shared" si="95"/>
        <v>0</v>
      </c>
      <c r="CH100" s="288">
        <f t="shared" si="95"/>
        <v>0</v>
      </c>
      <c r="CI100" s="288">
        <f t="shared" si="95"/>
        <v>0</v>
      </c>
      <c r="CJ100" s="288">
        <f t="shared" si="95"/>
        <v>0</v>
      </c>
      <c r="CK100" s="288">
        <f t="shared" si="95"/>
        <v>0</v>
      </c>
      <c r="CL100" s="288">
        <f t="shared" si="95"/>
        <v>0</v>
      </c>
      <c r="CM100" s="288">
        <f t="shared" si="91"/>
        <v>0</v>
      </c>
      <c r="CN100" s="288">
        <f t="shared" si="91"/>
        <v>0</v>
      </c>
      <c r="CO100" s="288">
        <f t="shared" si="91"/>
        <v>0</v>
      </c>
      <c r="CP100" s="288">
        <f t="shared" si="91"/>
        <v>0</v>
      </c>
      <c r="CQ100" s="288">
        <f t="shared" si="80"/>
        <v>0</v>
      </c>
      <c r="CR100" s="288">
        <f t="shared" si="81"/>
        <v>0</v>
      </c>
      <c r="CS100" s="288">
        <f t="shared" si="82"/>
        <v>97</v>
      </c>
      <c r="CT100" s="288">
        <f t="shared" si="97"/>
        <v>98</v>
      </c>
      <c r="CU100" s="288">
        <f t="shared" si="84"/>
        <v>0</v>
      </c>
      <c r="CV100" s="288">
        <f t="shared" si="29"/>
        <v>0</v>
      </c>
      <c r="CW100" s="288">
        <f t="shared" si="29"/>
        <v>0</v>
      </c>
      <c r="CX100" s="288">
        <f t="shared" si="29"/>
        <v>0</v>
      </c>
      <c r="CY100" s="288">
        <f t="shared" si="29"/>
        <v>0</v>
      </c>
      <c r="CZ100" s="288">
        <f t="shared" si="29"/>
        <v>0</v>
      </c>
      <c r="DA100" s="288">
        <f t="shared" si="29"/>
        <v>0</v>
      </c>
      <c r="DB100" s="288">
        <f t="shared" si="33"/>
        <v>0</v>
      </c>
      <c r="DC100" s="288">
        <f t="shared" si="33"/>
        <v>0</v>
      </c>
      <c r="DD100" s="288">
        <f t="shared" si="33"/>
        <v>0</v>
      </c>
      <c r="DE100" s="288">
        <f t="shared" si="33"/>
        <v>0</v>
      </c>
      <c r="DG100" s="314">
        <f t="shared" si="60"/>
        <v>99</v>
      </c>
      <c r="DH100" s="289">
        <f>MAX(CV$3:CV$109)</f>
        <v>99</v>
      </c>
      <c r="DJ100" s="288">
        <f>LOOKUP(DH100, 'Mortality Table'!A:A,('Mortality Table'!J:J/'Mortality Table'!I:I))</f>
        <v>0.3861129743944402</v>
      </c>
      <c r="DK100" s="288">
        <f>LOOKUP(A100, 'Mortality Table'!A:A,('Mortality Table'!J:J/'Mortality Table'!I:I))</f>
        <v>0.30961029749943664</v>
      </c>
      <c r="DL100" s="288">
        <f t="shared" si="61"/>
        <v>7.6502676895003563E-2</v>
      </c>
      <c r="DN100" s="288">
        <f>LOOKUP(DH100, 'Mortality Table'!A:A,('Mortality Table'!L:L/'Mortality Table'!K:K))</f>
        <v>0.39111680698821022</v>
      </c>
      <c r="DO100" s="288">
        <f>LOOKUP(A100, 'Mortality Table'!A:A,('Mortality Table'!L:L/'Mortality Table'!K:K))</f>
        <v>0.31362269335436488</v>
      </c>
      <c r="DP100" s="288">
        <f t="shared" si="62"/>
        <v>7.7494113633845341E-2</v>
      </c>
      <c r="DR100" s="288">
        <f>LOOKUP(DH100, 'Mortality Table'!A:A,('Mortality Table'!N:N/'Mortality Table'!M:M))</f>
        <v>0.39990704626194767</v>
      </c>
      <c r="DS100" s="288">
        <f>LOOKUP(A100, 'Mortality Table'!A:A,('Mortality Table'!N:N/'Mortality Table'!M:M))</f>
        <v>0.32067127440995258</v>
      </c>
      <c r="DT100" s="288">
        <f t="shared" si="63"/>
        <v>7.9235771851995096E-2</v>
      </c>
    </row>
    <row r="101" spans="1:124">
      <c r="A101" s="288">
        <v>98</v>
      </c>
      <c r="B101" s="288">
        <v>0.38783783783783782</v>
      </c>
      <c r="C101" s="288">
        <f t="shared" si="101"/>
        <v>0</v>
      </c>
      <c r="D101" s="288">
        <f t="shared" si="101"/>
        <v>0</v>
      </c>
      <c r="E101" s="288">
        <f t="shared" si="101"/>
        <v>0</v>
      </c>
      <c r="F101" s="288">
        <f t="shared" si="101"/>
        <v>0</v>
      </c>
      <c r="G101" s="288">
        <f t="shared" si="101"/>
        <v>0</v>
      </c>
      <c r="H101" s="288">
        <f t="shared" si="101"/>
        <v>0</v>
      </c>
      <c r="I101" s="288">
        <f t="shared" si="100"/>
        <v>0</v>
      </c>
      <c r="J101" s="288">
        <f t="shared" si="100"/>
        <v>0</v>
      </c>
      <c r="K101" s="288">
        <f t="shared" si="100"/>
        <v>0</v>
      </c>
      <c r="L101" s="288">
        <f t="shared" si="100"/>
        <v>0</v>
      </c>
      <c r="M101" s="288">
        <f t="shared" si="100"/>
        <v>0</v>
      </c>
      <c r="N101" s="288">
        <f t="shared" si="100"/>
        <v>0</v>
      </c>
      <c r="O101" s="288">
        <f t="shared" si="100"/>
        <v>0</v>
      </c>
      <c r="P101" s="288">
        <f t="shared" si="100"/>
        <v>0</v>
      </c>
      <c r="Q101" s="288">
        <f t="shared" si="100"/>
        <v>0</v>
      </c>
      <c r="R101" s="288">
        <f t="shared" si="100"/>
        <v>0</v>
      </c>
      <c r="S101" s="288">
        <f t="shared" si="92"/>
        <v>0</v>
      </c>
      <c r="T101" s="288">
        <f t="shared" si="93"/>
        <v>0</v>
      </c>
      <c r="U101" s="288">
        <f t="shared" si="94"/>
        <v>0</v>
      </c>
      <c r="V101" s="288">
        <f t="shared" si="87"/>
        <v>0</v>
      </c>
      <c r="W101" s="288">
        <f t="shared" si="87"/>
        <v>0</v>
      </c>
      <c r="X101" s="288">
        <f t="shared" si="87"/>
        <v>0</v>
      </c>
      <c r="Y101" s="288">
        <f t="shared" si="87"/>
        <v>0</v>
      </c>
      <c r="Z101" s="288">
        <f t="shared" si="87"/>
        <v>0</v>
      </c>
      <c r="AA101" s="288">
        <f t="shared" si="87"/>
        <v>0</v>
      </c>
      <c r="AB101" s="288">
        <f t="shared" si="87"/>
        <v>0</v>
      </c>
      <c r="AC101" s="288">
        <f t="shared" si="87"/>
        <v>0</v>
      </c>
      <c r="AD101" s="288">
        <f t="shared" si="87"/>
        <v>0</v>
      </c>
      <c r="AE101" s="288">
        <f t="shared" si="87"/>
        <v>0</v>
      </c>
      <c r="AF101" s="288">
        <f t="shared" si="87"/>
        <v>0</v>
      </c>
      <c r="AG101" s="288">
        <f t="shared" si="87"/>
        <v>0</v>
      </c>
      <c r="AH101" s="288">
        <f t="shared" si="87"/>
        <v>0</v>
      </c>
      <c r="AI101" s="288">
        <f t="shared" si="87"/>
        <v>0</v>
      </c>
      <c r="AJ101" s="288">
        <f t="shared" si="87"/>
        <v>0</v>
      </c>
      <c r="AK101" s="288">
        <f t="shared" si="87"/>
        <v>0</v>
      </c>
      <c r="AL101" s="288">
        <f t="shared" si="106"/>
        <v>0</v>
      </c>
      <c r="AM101" s="288">
        <f t="shared" si="106"/>
        <v>0</v>
      </c>
      <c r="AN101" s="288">
        <f t="shared" si="106"/>
        <v>0</v>
      </c>
      <c r="AO101" s="288">
        <f t="shared" si="106"/>
        <v>0</v>
      </c>
      <c r="AP101" s="288">
        <f t="shared" si="104"/>
        <v>0</v>
      </c>
      <c r="AQ101" s="288">
        <f t="shared" si="104"/>
        <v>0</v>
      </c>
      <c r="AR101" s="288">
        <f t="shared" si="104"/>
        <v>0</v>
      </c>
      <c r="AS101" s="288">
        <f t="shared" si="104"/>
        <v>0</v>
      </c>
      <c r="AT101" s="288">
        <f t="shared" si="104"/>
        <v>0</v>
      </c>
      <c r="AU101" s="288">
        <f t="shared" si="104"/>
        <v>0</v>
      </c>
      <c r="AV101" s="288">
        <f t="shared" si="104"/>
        <v>0</v>
      </c>
      <c r="AW101" s="288">
        <f t="shared" si="103"/>
        <v>0</v>
      </c>
      <c r="AX101" s="288">
        <f t="shared" si="103"/>
        <v>0</v>
      </c>
      <c r="AY101" s="288">
        <f t="shared" si="103"/>
        <v>0</v>
      </c>
      <c r="AZ101" s="288">
        <f t="shared" si="103"/>
        <v>0</v>
      </c>
      <c r="BA101" s="288">
        <f t="shared" si="103"/>
        <v>0</v>
      </c>
      <c r="BB101" s="288">
        <f t="shared" si="103"/>
        <v>0</v>
      </c>
      <c r="BC101" s="288">
        <f t="shared" si="103"/>
        <v>0</v>
      </c>
      <c r="BD101" s="288">
        <f t="shared" si="98"/>
        <v>0</v>
      </c>
      <c r="BE101" s="288">
        <f t="shared" si="98"/>
        <v>0</v>
      </c>
      <c r="BF101" s="288">
        <f t="shared" si="98"/>
        <v>0</v>
      </c>
      <c r="BG101" s="288">
        <f t="shared" si="98"/>
        <v>0</v>
      </c>
      <c r="BH101" s="288">
        <f t="shared" si="98"/>
        <v>0</v>
      </c>
      <c r="BI101" s="288">
        <f t="shared" si="98"/>
        <v>0</v>
      </c>
      <c r="BJ101" s="288">
        <f t="shared" si="98"/>
        <v>0</v>
      </c>
      <c r="BK101" s="288">
        <f t="shared" si="98"/>
        <v>0</v>
      </c>
      <c r="BL101" s="288">
        <f t="shared" si="102"/>
        <v>0</v>
      </c>
      <c r="BM101" s="288">
        <f t="shared" si="102"/>
        <v>0</v>
      </c>
      <c r="BN101" s="288">
        <f t="shared" si="102"/>
        <v>0</v>
      </c>
      <c r="BO101" s="288">
        <f t="shared" si="102"/>
        <v>0</v>
      </c>
      <c r="BP101" s="288">
        <f t="shared" si="102"/>
        <v>0</v>
      </c>
      <c r="BQ101" s="288">
        <f t="shared" si="102"/>
        <v>0</v>
      </c>
      <c r="BR101" s="288">
        <f t="shared" si="102"/>
        <v>0</v>
      </c>
      <c r="BS101" s="288">
        <f t="shared" si="102"/>
        <v>0</v>
      </c>
      <c r="BT101" s="288">
        <f t="shared" si="96"/>
        <v>0</v>
      </c>
      <c r="BU101" s="288">
        <f t="shared" si="96"/>
        <v>0</v>
      </c>
      <c r="BV101" s="288">
        <f t="shared" si="96"/>
        <v>0</v>
      </c>
      <c r="BW101" s="288">
        <f t="shared" si="96"/>
        <v>0</v>
      </c>
      <c r="BX101" s="288">
        <f t="shared" si="96"/>
        <v>0</v>
      </c>
      <c r="BY101" s="288">
        <f t="shared" si="96"/>
        <v>0</v>
      </c>
      <c r="BZ101" s="288">
        <f t="shared" si="96"/>
        <v>0</v>
      </c>
      <c r="CA101" s="288">
        <f t="shared" si="96"/>
        <v>0</v>
      </c>
      <c r="CB101" s="288">
        <f t="shared" si="96"/>
        <v>0</v>
      </c>
      <c r="CC101" s="288">
        <f t="shared" si="96"/>
        <v>0</v>
      </c>
      <c r="CD101" s="288">
        <f t="shared" si="96"/>
        <v>0</v>
      </c>
      <c r="CE101" s="288">
        <f t="shared" si="95"/>
        <v>0</v>
      </c>
      <c r="CF101" s="288">
        <f t="shared" si="95"/>
        <v>0</v>
      </c>
      <c r="CG101" s="288">
        <f t="shared" si="95"/>
        <v>0</v>
      </c>
      <c r="CH101" s="288">
        <f t="shared" si="95"/>
        <v>0</v>
      </c>
      <c r="CI101" s="288">
        <f t="shared" si="95"/>
        <v>0</v>
      </c>
      <c r="CJ101" s="288">
        <f t="shared" si="95"/>
        <v>0</v>
      </c>
      <c r="CK101" s="288">
        <f t="shared" si="95"/>
        <v>0</v>
      </c>
      <c r="CL101" s="288">
        <f t="shared" si="95"/>
        <v>0</v>
      </c>
      <c r="CM101" s="288">
        <f t="shared" si="91"/>
        <v>0</v>
      </c>
      <c r="CN101" s="288">
        <f t="shared" si="91"/>
        <v>0</v>
      </c>
      <c r="CO101" s="288">
        <f t="shared" si="91"/>
        <v>0</v>
      </c>
      <c r="CP101" s="288">
        <f t="shared" si="91"/>
        <v>0</v>
      </c>
      <c r="CQ101" s="288">
        <f t="shared" si="80"/>
        <v>0</v>
      </c>
      <c r="CR101" s="288">
        <f t="shared" si="81"/>
        <v>0</v>
      </c>
      <c r="CS101" s="288">
        <f t="shared" si="82"/>
        <v>0</v>
      </c>
      <c r="CT101" s="288">
        <f t="shared" si="97"/>
        <v>0</v>
      </c>
      <c r="CU101" s="288">
        <f t="shared" si="84"/>
        <v>98</v>
      </c>
      <c r="CV101" s="288">
        <f t="shared" si="29"/>
        <v>0</v>
      </c>
      <c r="CW101" s="288">
        <f t="shared" si="29"/>
        <v>0</v>
      </c>
      <c r="CX101" s="288">
        <f t="shared" si="29"/>
        <v>0</v>
      </c>
      <c r="CY101" s="288">
        <f t="shared" si="29"/>
        <v>0</v>
      </c>
      <c r="CZ101" s="288">
        <f t="shared" si="29"/>
        <v>0</v>
      </c>
      <c r="DA101" s="288">
        <f t="shared" si="29"/>
        <v>0</v>
      </c>
      <c r="DB101" s="288">
        <f t="shared" si="33"/>
        <v>0</v>
      </c>
      <c r="DC101" s="288">
        <f t="shared" si="33"/>
        <v>0</v>
      </c>
      <c r="DD101" s="288">
        <f t="shared" si="33"/>
        <v>0</v>
      </c>
      <c r="DE101" s="288">
        <f t="shared" si="33"/>
        <v>0</v>
      </c>
      <c r="DG101" s="314">
        <f t="shared" si="60"/>
        <v>101</v>
      </c>
      <c r="DH101" s="289">
        <f>MAX(CW$3:CW$109)</f>
        <v>101</v>
      </c>
      <c r="DJ101" s="288">
        <f>LOOKUP(DH101, 'Mortality Table'!A:A,('Mortality Table'!J:J/'Mortality Table'!I:I))</f>
        <v>0.43806654231023728</v>
      </c>
      <c r="DK101" s="288">
        <f>LOOKUP(A101, 'Mortality Table'!A:A,('Mortality Table'!J:J/'Mortality Table'!I:I))</f>
        <v>0.35703366937408038</v>
      </c>
      <c r="DL101" s="288">
        <f t="shared" si="61"/>
        <v>8.1032872936156908E-2</v>
      </c>
      <c r="DN101" s="288">
        <f>LOOKUP(DH101, 'Mortality Table'!A:A,('Mortality Table'!L:L/'Mortality Table'!K:K))</f>
        <v>0.44374366736952725</v>
      </c>
      <c r="DO101" s="288">
        <f>LOOKUP(A101, 'Mortality Table'!A:A,('Mortality Table'!L:L/'Mortality Table'!K:K))</f>
        <v>0.36166064860130986</v>
      </c>
      <c r="DP101" s="288">
        <f t="shared" si="62"/>
        <v>8.2083018768217386E-2</v>
      </c>
      <c r="DR101" s="288">
        <f>LOOKUP(DH101, 'Mortality Table'!A:A,('Mortality Table'!N:N/'Mortality Table'!M:M))</f>
        <v>0.45371668039962615</v>
      </c>
      <c r="DS101" s="288">
        <f>LOOKUP(A101, 'Mortality Table'!A:A,('Mortality Table'!N:N/'Mortality Table'!M:M))</f>
        <v>0.3697888690722767</v>
      </c>
      <c r="DT101" s="288">
        <f t="shared" si="63"/>
        <v>8.3927811327349444E-2</v>
      </c>
    </row>
    <row r="102" spans="1:124">
      <c r="A102" s="288">
        <v>99</v>
      </c>
      <c r="B102" s="288">
        <v>0.41942604856512139</v>
      </c>
      <c r="C102" s="288">
        <f t="shared" si="101"/>
        <v>0</v>
      </c>
      <c r="D102" s="288">
        <f t="shared" si="101"/>
        <v>0</v>
      </c>
      <c r="E102" s="288">
        <f t="shared" si="101"/>
        <v>0</v>
      </c>
      <c r="F102" s="288">
        <f t="shared" si="101"/>
        <v>0</v>
      </c>
      <c r="G102" s="288">
        <f t="shared" si="101"/>
        <v>0</v>
      </c>
      <c r="H102" s="288">
        <f t="shared" si="101"/>
        <v>0</v>
      </c>
      <c r="I102" s="288">
        <f t="shared" si="100"/>
        <v>0</v>
      </c>
      <c r="J102" s="288">
        <f t="shared" si="100"/>
        <v>0</v>
      </c>
      <c r="K102" s="288">
        <f t="shared" si="100"/>
        <v>0</v>
      </c>
      <c r="L102" s="288">
        <f t="shared" si="100"/>
        <v>0</v>
      </c>
      <c r="M102" s="288">
        <f t="shared" si="100"/>
        <v>0</v>
      </c>
      <c r="N102" s="288">
        <f t="shared" si="100"/>
        <v>0</v>
      </c>
      <c r="O102" s="288">
        <f t="shared" si="100"/>
        <v>0</v>
      </c>
      <c r="P102" s="288">
        <f t="shared" si="100"/>
        <v>0</v>
      </c>
      <c r="Q102" s="288">
        <f t="shared" si="100"/>
        <v>0</v>
      </c>
      <c r="R102" s="288">
        <f t="shared" si="100"/>
        <v>0</v>
      </c>
      <c r="S102" s="288">
        <f t="shared" si="92"/>
        <v>0</v>
      </c>
      <c r="T102" s="288">
        <f t="shared" si="93"/>
        <v>0</v>
      </c>
      <c r="U102" s="288">
        <f t="shared" si="94"/>
        <v>0</v>
      </c>
      <c r="V102" s="288">
        <f t="shared" si="87"/>
        <v>0</v>
      </c>
      <c r="W102" s="288">
        <f t="shared" si="87"/>
        <v>0</v>
      </c>
      <c r="X102" s="288">
        <f t="shared" si="87"/>
        <v>0</v>
      </c>
      <c r="Y102" s="288">
        <f t="shared" si="87"/>
        <v>0</v>
      </c>
      <c r="Z102" s="288">
        <f t="shared" si="87"/>
        <v>0</v>
      </c>
      <c r="AA102" s="288">
        <f t="shared" si="87"/>
        <v>0</v>
      </c>
      <c r="AB102" s="288">
        <f t="shared" si="87"/>
        <v>0</v>
      </c>
      <c r="AC102" s="288">
        <f t="shared" si="87"/>
        <v>0</v>
      </c>
      <c r="AD102" s="288">
        <f t="shared" si="87"/>
        <v>0</v>
      </c>
      <c r="AE102" s="288">
        <f t="shared" si="87"/>
        <v>0</v>
      </c>
      <c r="AF102" s="288">
        <f t="shared" si="87"/>
        <v>0</v>
      </c>
      <c r="AG102" s="288">
        <f t="shared" si="87"/>
        <v>0</v>
      </c>
      <c r="AH102" s="288">
        <f t="shared" si="87"/>
        <v>0</v>
      </c>
      <c r="AI102" s="288">
        <f t="shared" si="87"/>
        <v>0</v>
      </c>
      <c r="AJ102" s="288">
        <f t="shared" si="87"/>
        <v>0</v>
      </c>
      <c r="AK102" s="288">
        <f t="shared" si="87"/>
        <v>0</v>
      </c>
      <c r="AL102" s="288">
        <f t="shared" si="106"/>
        <v>0</v>
      </c>
      <c r="AM102" s="288">
        <f t="shared" si="106"/>
        <v>0</v>
      </c>
      <c r="AN102" s="288">
        <f t="shared" si="106"/>
        <v>0</v>
      </c>
      <c r="AO102" s="288">
        <f t="shared" si="106"/>
        <v>0</v>
      </c>
      <c r="AP102" s="288">
        <f t="shared" si="104"/>
        <v>0</v>
      </c>
      <c r="AQ102" s="288">
        <f t="shared" si="104"/>
        <v>0</v>
      </c>
      <c r="AR102" s="288">
        <f t="shared" si="104"/>
        <v>0</v>
      </c>
      <c r="AS102" s="288">
        <f t="shared" si="104"/>
        <v>0</v>
      </c>
      <c r="AT102" s="288">
        <f t="shared" si="104"/>
        <v>0</v>
      </c>
      <c r="AU102" s="288">
        <f t="shared" si="104"/>
        <v>0</v>
      </c>
      <c r="AV102" s="288">
        <f t="shared" si="104"/>
        <v>0</v>
      </c>
      <c r="AW102" s="288">
        <f t="shared" si="103"/>
        <v>0</v>
      </c>
      <c r="AX102" s="288">
        <f t="shared" si="103"/>
        <v>0</v>
      </c>
      <c r="AY102" s="288">
        <f t="shared" si="103"/>
        <v>0</v>
      </c>
      <c r="AZ102" s="288">
        <f t="shared" si="103"/>
        <v>0</v>
      </c>
      <c r="BA102" s="288">
        <f t="shared" si="103"/>
        <v>0</v>
      </c>
      <c r="BB102" s="288">
        <f t="shared" si="103"/>
        <v>0</v>
      </c>
      <c r="BC102" s="288">
        <f t="shared" si="103"/>
        <v>0</v>
      </c>
      <c r="BD102" s="288">
        <f t="shared" si="98"/>
        <v>0</v>
      </c>
      <c r="BE102" s="288">
        <f t="shared" si="98"/>
        <v>0</v>
      </c>
      <c r="BF102" s="288">
        <f t="shared" si="98"/>
        <v>0</v>
      </c>
      <c r="BG102" s="288">
        <f t="shared" si="98"/>
        <v>0</v>
      </c>
      <c r="BH102" s="288">
        <f t="shared" si="98"/>
        <v>0</v>
      </c>
      <c r="BI102" s="288">
        <f t="shared" si="98"/>
        <v>0</v>
      </c>
      <c r="BJ102" s="288">
        <f t="shared" si="98"/>
        <v>0</v>
      </c>
      <c r="BK102" s="288">
        <f t="shared" si="98"/>
        <v>0</v>
      </c>
      <c r="BL102" s="288">
        <f t="shared" si="102"/>
        <v>0</v>
      </c>
      <c r="BM102" s="288">
        <f t="shared" si="102"/>
        <v>0</v>
      </c>
      <c r="BN102" s="288">
        <f t="shared" si="102"/>
        <v>0</v>
      </c>
      <c r="BO102" s="288">
        <f t="shared" si="102"/>
        <v>0</v>
      </c>
      <c r="BP102" s="288">
        <f t="shared" si="102"/>
        <v>0</v>
      </c>
      <c r="BQ102" s="288">
        <f t="shared" si="102"/>
        <v>0</v>
      </c>
      <c r="BR102" s="288">
        <f t="shared" si="102"/>
        <v>0</v>
      </c>
      <c r="BS102" s="288">
        <f t="shared" si="102"/>
        <v>0</v>
      </c>
      <c r="BT102" s="288">
        <f t="shared" si="96"/>
        <v>0</v>
      </c>
      <c r="BU102" s="288">
        <f t="shared" si="96"/>
        <v>0</v>
      </c>
      <c r="BV102" s="288">
        <f t="shared" si="96"/>
        <v>0</v>
      </c>
      <c r="BW102" s="288">
        <f t="shared" si="96"/>
        <v>0</v>
      </c>
      <c r="BX102" s="288">
        <f t="shared" si="96"/>
        <v>0</v>
      </c>
      <c r="BY102" s="288">
        <f t="shared" si="96"/>
        <v>0</v>
      </c>
      <c r="BZ102" s="288">
        <f t="shared" si="96"/>
        <v>0</v>
      </c>
      <c r="CA102" s="288">
        <f t="shared" si="96"/>
        <v>0</v>
      </c>
      <c r="CB102" s="288">
        <f t="shared" si="96"/>
        <v>0</v>
      </c>
      <c r="CC102" s="288">
        <f t="shared" si="96"/>
        <v>0</v>
      </c>
      <c r="CD102" s="288">
        <f t="shared" si="96"/>
        <v>0</v>
      </c>
      <c r="CE102" s="288">
        <f t="shared" si="95"/>
        <v>0</v>
      </c>
      <c r="CF102" s="288">
        <f t="shared" si="95"/>
        <v>0</v>
      </c>
      <c r="CG102" s="288">
        <f t="shared" si="95"/>
        <v>0</v>
      </c>
      <c r="CH102" s="288">
        <f t="shared" si="95"/>
        <v>0</v>
      </c>
      <c r="CI102" s="288">
        <f t="shared" si="95"/>
        <v>0</v>
      </c>
      <c r="CJ102" s="288">
        <f t="shared" si="95"/>
        <v>0</v>
      </c>
      <c r="CK102" s="288">
        <f t="shared" si="95"/>
        <v>0</v>
      </c>
      <c r="CL102" s="288">
        <f t="shared" si="95"/>
        <v>0</v>
      </c>
      <c r="CM102" s="288">
        <f t="shared" si="91"/>
        <v>0</v>
      </c>
      <c r="CN102" s="288">
        <f t="shared" si="91"/>
        <v>0</v>
      </c>
      <c r="CO102" s="288">
        <f t="shared" si="91"/>
        <v>0</v>
      </c>
      <c r="CP102" s="288">
        <f t="shared" si="91"/>
        <v>0</v>
      </c>
      <c r="CQ102" s="288">
        <f t="shared" si="80"/>
        <v>0</v>
      </c>
      <c r="CR102" s="288">
        <f t="shared" si="81"/>
        <v>0</v>
      </c>
      <c r="CS102" s="288">
        <f t="shared" si="82"/>
        <v>0</v>
      </c>
      <c r="CT102" s="288">
        <f t="shared" si="97"/>
        <v>0</v>
      </c>
      <c r="CU102" s="288">
        <f t="shared" si="84"/>
        <v>0</v>
      </c>
      <c r="CV102" s="288">
        <f t="shared" si="29"/>
        <v>99</v>
      </c>
      <c r="CW102" s="288">
        <f t="shared" si="29"/>
        <v>0</v>
      </c>
      <c r="CX102" s="288">
        <f t="shared" si="29"/>
        <v>0</v>
      </c>
      <c r="CY102" s="288">
        <f t="shared" si="29"/>
        <v>0</v>
      </c>
      <c r="CZ102" s="288">
        <f t="shared" si="29"/>
        <v>0</v>
      </c>
      <c r="DA102" s="288">
        <f t="shared" si="29"/>
        <v>0</v>
      </c>
      <c r="DB102" s="288">
        <f t="shared" si="33"/>
        <v>0</v>
      </c>
      <c r="DC102" s="288">
        <f t="shared" si="33"/>
        <v>0</v>
      </c>
      <c r="DD102" s="288">
        <f t="shared" si="33"/>
        <v>0</v>
      </c>
      <c r="DE102" s="288">
        <f t="shared" si="33"/>
        <v>0</v>
      </c>
      <c r="DG102" s="314">
        <f t="shared" si="60"/>
        <v>102</v>
      </c>
      <c r="DH102" s="289">
        <f>MAX(CX$3:CX$109)</f>
        <v>102</v>
      </c>
      <c r="DJ102" s="288">
        <f>LOOKUP(DH102, 'Mortality Table'!A:A,('Mortality Table'!J:J/'Mortality Table'!I:I))</f>
        <v>0.47240013286887772</v>
      </c>
      <c r="DK102" s="288">
        <f>LOOKUP(A102, 'Mortality Table'!A:A,('Mortality Table'!J:J/'Mortality Table'!I:I))</f>
        <v>0.3861129743944402</v>
      </c>
      <c r="DL102" s="288">
        <f t="shared" si="61"/>
        <v>8.628715847443752E-2</v>
      </c>
      <c r="DN102" s="288">
        <f>LOOKUP(DH102, 'Mortality Table'!A:A,('Mortality Table'!L:L/'Mortality Table'!K:K))</f>
        <v>0.47852220422858116</v>
      </c>
      <c r="DO102" s="288">
        <f>LOOKUP(A102, 'Mortality Table'!A:A,('Mortality Table'!L:L/'Mortality Table'!K:K))</f>
        <v>0.39111680698821022</v>
      </c>
      <c r="DP102" s="288">
        <f t="shared" si="62"/>
        <v>8.7405397240370941E-2</v>
      </c>
      <c r="DR102" s="288">
        <f>LOOKUP(DH102, 'Mortality Table'!A:A,('Mortality Table'!N:N/'Mortality Table'!M:M))</f>
        <v>0.48927685500760654</v>
      </c>
      <c r="DS102" s="288">
        <f>LOOKUP(A102, 'Mortality Table'!A:A,('Mortality Table'!N:N/'Mortality Table'!M:M))</f>
        <v>0.39990704626194767</v>
      </c>
      <c r="DT102" s="288">
        <f t="shared" si="63"/>
        <v>8.9369808745658863E-2</v>
      </c>
    </row>
    <row r="103" spans="1:124">
      <c r="A103" s="288">
        <v>100</v>
      </c>
      <c r="B103" s="288">
        <v>0.44866920152091255</v>
      </c>
      <c r="C103" s="288">
        <f t="shared" si="101"/>
        <v>0</v>
      </c>
      <c r="D103" s="288">
        <f t="shared" si="101"/>
        <v>0</v>
      </c>
      <c r="E103" s="288">
        <f t="shared" si="101"/>
        <v>0</v>
      </c>
      <c r="F103" s="288">
        <f t="shared" si="101"/>
        <v>0</v>
      </c>
      <c r="G103" s="288">
        <f t="shared" si="101"/>
        <v>0</v>
      </c>
      <c r="H103" s="288">
        <f t="shared" si="101"/>
        <v>0</v>
      </c>
      <c r="I103" s="288">
        <f t="shared" si="100"/>
        <v>0</v>
      </c>
      <c r="J103" s="288">
        <f t="shared" si="100"/>
        <v>0</v>
      </c>
      <c r="K103" s="288">
        <f t="shared" si="100"/>
        <v>0</v>
      </c>
      <c r="L103" s="288">
        <f t="shared" si="100"/>
        <v>0</v>
      </c>
      <c r="M103" s="288">
        <f t="shared" si="100"/>
        <v>0</v>
      </c>
      <c r="N103" s="288">
        <f t="shared" si="100"/>
        <v>0</v>
      </c>
      <c r="O103" s="288">
        <f t="shared" si="100"/>
        <v>0</v>
      </c>
      <c r="P103" s="288">
        <f t="shared" si="100"/>
        <v>0</v>
      </c>
      <c r="Q103" s="288">
        <f t="shared" si="100"/>
        <v>0</v>
      </c>
      <c r="R103" s="288">
        <f t="shared" si="100"/>
        <v>0</v>
      </c>
      <c r="S103" s="288">
        <f t="shared" si="92"/>
        <v>0</v>
      </c>
      <c r="T103" s="288">
        <f t="shared" si="93"/>
        <v>0</v>
      </c>
      <c r="U103" s="288">
        <f t="shared" si="94"/>
        <v>0</v>
      </c>
      <c r="V103" s="288">
        <f t="shared" si="87"/>
        <v>0</v>
      </c>
      <c r="W103" s="288">
        <f t="shared" si="87"/>
        <v>0</v>
      </c>
      <c r="X103" s="288">
        <f t="shared" si="87"/>
        <v>0</v>
      </c>
      <c r="Y103" s="288">
        <f t="shared" si="87"/>
        <v>0</v>
      </c>
      <c r="Z103" s="288">
        <f t="shared" si="87"/>
        <v>0</v>
      </c>
      <c r="AA103" s="288">
        <f t="shared" si="87"/>
        <v>0</v>
      </c>
      <c r="AB103" s="288">
        <f t="shared" ref="AB103:AK109" si="107">IF(AB$2&gt;$B103,(IF(AB$2&lt;=$B104,(IF(AVERAGE($B103,$B104)&gt;AB$2,$A103,$A104)),0)),0)</f>
        <v>0</v>
      </c>
      <c r="AC103" s="288">
        <f t="shared" si="107"/>
        <v>0</v>
      </c>
      <c r="AD103" s="288">
        <f t="shared" si="107"/>
        <v>0</v>
      </c>
      <c r="AE103" s="288">
        <f t="shared" si="107"/>
        <v>0</v>
      </c>
      <c r="AF103" s="288">
        <f t="shared" si="107"/>
        <v>0</v>
      </c>
      <c r="AG103" s="288">
        <f t="shared" si="107"/>
        <v>0</v>
      </c>
      <c r="AH103" s="288">
        <f t="shared" si="107"/>
        <v>0</v>
      </c>
      <c r="AI103" s="288">
        <f t="shared" si="107"/>
        <v>0</v>
      </c>
      <c r="AJ103" s="288">
        <f t="shared" si="107"/>
        <v>0</v>
      </c>
      <c r="AK103" s="288">
        <f t="shared" si="107"/>
        <v>0</v>
      </c>
      <c r="AL103" s="288">
        <f t="shared" si="106"/>
        <v>0</v>
      </c>
      <c r="AM103" s="288">
        <f t="shared" si="106"/>
        <v>0</v>
      </c>
      <c r="AN103" s="288">
        <f t="shared" si="106"/>
        <v>0</v>
      </c>
      <c r="AO103" s="288">
        <f t="shared" si="106"/>
        <v>0</v>
      </c>
      <c r="AP103" s="288">
        <f t="shared" si="104"/>
        <v>0</v>
      </c>
      <c r="AQ103" s="288">
        <f t="shared" si="104"/>
        <v>0</v>
      </c>
      <c r="AR103" s="288">
        <f t="shared" si="104"/>
        <v>0</v>
      </c>
      <c r="AS103" s="288">
        <f t="shared" si="104"/>
        <v>0</v>
      </c>
      <c r="AT103" s="288">
        <f t="shared" si="104"/>
        <v>0</v>
      </c>
      <c r="AU103" s="288">
        <f t="shared" si="104"/>
        <v>0</v>
      </c>
      <c r="AV103" s="288">
        <f t="shared" si="104"/>
        <v>0</v>
      </c>
      <c r="AW103" s="288">
        <f t="shared" si="103"/>
        <v>0</v>
      </c>
      <c r="AX103" s="288">
        <f t="shared" si="103"/>
        <v>0</v>
      </c>
      <c r="AY103" s="288">
        <f t="shared" si="103"/>
        <v>0</v>
      </c>
      <c r="AZ103" s="288">
        <f t="shared" si="103"/>
        <v>0</v>
      </c>
      <c r="BA103" s="288">
        <f t="shared" si="103"/>
        <v>0</v>
      </c>
      <c r="BB103" s="288">
        <f t="shared" si="103"/>
        <v>0</v>
      </c>
      <c r="BC103" s="288">
        <f t="shared" si="103"/>
        <v>0</v>
      </c>
      <c r="BD103" s="288">
        <f t="shared" si="98"/>
        <v>0</v>
      </c>
      <c r="BE103" s="288">
        <f t="shared" si="98"/>
        <v>0</v>
      </c>
      <c r="BF103" s="288">
        <f t="shared" si="98"/>
        <v>0</v>
      </c>
      <c r="BG103" s="288">
        <f t="shared" si="98"/>
        <v>0</v>
      </c>
      <c r="BH103" s="288">
        <f t="shared" si="98"/>
        <v>0</v>
      </c>
      <c r="BI103" s="288">
        <f t="shared" si="98"/>
        <v>0</v>
      </c>
      <c r="BJ103" s="288">
        <f t="shared" si="98"/>
        <v>0</v>
      </c>
      <c r="BK103" s="288">
        <f t="shared" si="98"/>
        <v>0</v>
      </c>
      <c r="BL103" s="288">
        <f t="shared" si="102"/>
        <v>0</v>
      </c>
      <c r="BM103" s="288">
        <f t="shared" si="102"/>
        <v>0</v>
      </c>
      <c r="BN103" s="288">
        <f t="shared" si="102"/>
        <v>0</v>
      </c>
      <c r="BO103" s="288">
        <f t="shared" si="102"/>
        <v>0</v>
      </c>
      <c r="BP103" s="288">
        <f t="shared" si="102"/>
        <v>0</v>
      </c>
      <c r="BQ103" s="288">
        <f t="shared" si="102"/>
        <v>0</v>
      </c>
      <c r="BR103" s="288">
        <f t="shared" si="102"/>
        <v>0</v>
      </c>
      <c r="BS103" s="288">
        <f t="shared" si="102"/>
        <v>0</v>
      </c>
      <c r="BT103" s="288">
        <f t="shared" si="96"/>
        <v>0</v>
      </c>
      <c r="BU103" s="288">
        <f t="shared" si="96"/>
        <v>0</v>
      </c>
      <c r="BV103" s="288">
        <f t="shared" si="96"/>
        <v>0</v>
      </c>
      <c r="BW103" s="288">
        <f t="shared" si="96"/>
        <v>0</v>
      </c>
      <c r="BX103" s="288">
        <f t="shared" si="96"/>
        <v>0</v>
      </c>
      <c r="BY103" s="288">
        <f t="shared" si="96"/>
        <v>0</v>
      </c>
      <c r="BZ103" s="288">
        <f t="shared" si="96"/>
        <v>0</v>
      </c>
      <c r="CA103" s="288">
        <f t="shared" si="96"/>
        <v>0</v>
      </c>
      <c r="CB103" s="288">
        <f t="shared" si="96"/>
        <v>0</v>
      </c>
      <c r="CC103" s="288">
        <f t="shared" si="96"/>
        <v>0</v>
      </c>
      <c r="CD103" s="288">
        <f t="shared" si="96"/>
        <v>0</v>
      </c>
      <c r="CE103" s="288">
        <f t="shared" si="95"/>
        <v>0</v>
      </c>
      <c r="CF103" s="288">
        <f t="shared" si="95"/>
        <v>0</v>
      </c>
      <c r="CG103" s="288">
        <f t="shared" si="95"/>
        <v>0</v>
      </c>
      <c r="CH103" s="288">
        <f t="shared" si="95"/>
        <v>0</v>
      </c>
      <c r="CI103" s="288">
        <f t="shared" si="95"/>
        <v>0</v>
      </c>
      <c r="CJ103" s="288">
        <f t="shared" si="95"/>
        <v>0</v>
      </c>
      <c r="CK103" s="288">
        <f t="shared" si="95"/>
        <v>0</v>
      </c>
      <c r="CL103" s="288">
        <f t="shared" si="95"/>
        <v>0</v>
      </c>
      <c r="CM103" s="288">
        <f t="shared" si="91"/>
        <v>0</v>
      </c>
      <c r="CN103" s="288">
        <f t="shared" si="91"/>
        <v>0</v>
      </c>
      <c r="CO103" s="288">
        <f t="shared" si="91"/>
        <v>0</v>
      </c>
      <c r="CP103" s="288">
        <f t="shared" si="91"/>
        <v>0</v>
      </c>
      <c r="CQ103" s="288">
        <f t="shared" si="80"/>
        <v>0</v>
      </c>
      <c r="CR103" s="288">
        <f t="shared" si="81"/>
        <v>0</v>
      </c>
      <c r="CS103" s="288">
        <f t="shared" si="82"/>
        <v>0</v>
      </c>
      <c r="CT103" s="288">
        <f t="shared" si="97"/>
        <v>0</v>
      </c>
      <c r="CU103" s="288">
        <f t="shared" si="84"/>
        <v>0</v>
      </c>
      <c r="CV103" s="288">
        <f t="shared" si="29"/>
        <v>0</v>
      </c>
      <c r="CW103" s="288">
        <f t="shared" si="29"/>
        <v>0</v>
      </c>
      <c r="CX103" s="288">
        <f t="shared" si="29"/>
        <v>0</v>
      </c>
      <c r="CY103" s="288">
        <f t="shared" si="29"/>
        <v>0</v>
      </c>
      <c r="CZ103" s="288">
        <f t="shared" si="29"/>
        <v>0</v>
      </c>
      <c r="DA103" s="288">
        <f t="shared" si="29"/>
        <v>0</v>
      </c>
      <c r="DB103" s="288">
        <f t="shared" si="33"/>
        <v>0</v>
      </c>
      <c r="DC103" s="288">
        <f t="shared" si="33"/>
        <v>0</v>
      </c>
      <c r="DD103" s="288">
        <f t="shared" si="33"/>
        <v>0</v>
      </c>
      <c r="DE103" s="288">
        <f t="shared" si="33"/>
        <v>0</v>
      </c>
      <c r="DG103" s="314">
        <f t="shared" si="60"/>
        <v>103</v>
      </c>
      <c r="DH103" s="289">
        <f>MAX(CY$3:CY$109)</f>
        <v>103</v>
      </c>
      <c r="DJ103" s="288">
        <f>LOOKUP(DH103, 'Mortality Table'!A:A,('Mortality Table'!J:J/'Mortality Table'!I:I))</f>
        <v>0.49760790156666129</v>
      </c>
      <c r="DK103" s="288">
        <f>LOOKUP(A103, 'Mortality Table'!A:A,('Mortality Table'!J:J/'Mortality Table'!I:I))</f>
        <v>0.41303347875286023</v>
      </c>
      <c r="DL103" s="288">
        <f t="shared" si="61"/>
        <v>8.4574422813801065E-2</v>
      </c>
      <c r="DN103" s="288">
        <f>LOOKUP(DH103, 'Mortality Table'!A:A,('Mortality Table'!L:L/'Mortality Table'!K:K))</f>
        <v>0.50405665310287084</v>
      </c>
      <c r="DO103" s="288">
        <f>LOOKUP(A103, 'Mortality Table'!A:A,('Mortality Table'!L:L/'Mortality Table'!K:K))</f>
        <v>0.41838618772759223</v>
      </c>
      <c r="DP103" s="288">
        <f t="shared" si="62"/>
        <v>8.5670465375278615E-2</v>
      </c>
      <c r="DR103" s="288">
        <f>LOOKUP(DH103, 'Mortality Table'!A:A,('Mortality Table'!N:N/'Mortality Table'!M:M))</f>
        <v>0.51538518337599548</v>
      </c>
      <c r="DS103" s="288">
        <f>LOOKUP(A103, 'Mortality Table'!A:A,('Mortality Table'!N:N/'Mortality Table'!M:M))</f>
        <v>0.42778929859688147</v>
      </c>
      <c r="DT103" s="288">
        <f t="shared" si="63"/>
        <v>8.7595884779114008E-2</v>
      </c>
    </row>
    <row r="104" spans="1:124">
      <c r="A104" s="288">
        <v>101</v>
      </c>
      <c r="B104" s="288">
        <v>0.47586206896551725</v>
      </c>
      <c r="C104" s="288">
        <f t="shared" si="101"/>
        <v>0</v>
      </c>
      <c r="D104" s="288">
        <f t="shared" si="101"/>
        <v>0</v>
      </c>
      <c r="E104" s="288">
        <f t="shared" si="101"/>
        <v>0</v>
      </c>
      <c r="F104" s="288">
        <f t="shared" si="101"/>
        <v>0</v>
      </c>
      <c r="G104" s="288">
        <f t="shared" si="101"/>
        <v>0</v>
      </c>
      <c r="H104" s="288">
        <f t="shared" si="101"/>
        <v>0</v>
      </c>
      <c r="I104" s="288">
        <f t="shared" si="100"/>
        <v>0</v>
      </c>
      <c r="J104" s="288">
        <f t="shared" si="100"/>
        <v>0</v>
      </c>
      <c r="K104" s="288">
        <f t="shared" si="100"/>
        <v>0</v>
      </c>
      <c r="L104" s="288">
        <f t="shared" si="100"/>
        <v>0</v>
      </c>
      <c r="M104" s="288">
        <f t="shared" si="100"/>
        <v>0</v>
      </c>
      <c r="N104" s="288">
        <f t="shared" si="100"/>
        <v>0</v>
      </c>
      <c r="O104" s="288">
        <f t="shared" si="100"/>
        <v>0</v>
      </c>
      <c r="P104" s="288">
        <f t="shared" si="100"/>
        <v>0</v>
      </c>
      <c r="Q104" s="288">
        <f t="shared" si="100"/>
        <v>0</v>
      </c>
      <c r="R104" s="288">
        <f t="shared" si="100"/>
        <v>0</v>
      </c>
      <c r="S104" s="288">
        <f t="shared" si="92"/>
        <v>0</v>
      </c>
      <c r="T104" s="288">
        <f t="shared" si="93"/>
        <v>0</v>
      </c>
      <c r="U104" s="288">
        <f t="shared" si="94"/>
        <v>0</v>
      </c>
      <c r="V104" s="288">
        <f t="shared" ref="V104:AA109" si="108">IF(V$2&gt;$B104,(IF(V$2&lt;=$B105,(IF(AVERAGE($B104,$B105)&gt;V$2,$A104,$A105)),0)),0)</f>
        <v>0</v>
      </c>
      <c r="W104" s="288">
        <f t="shared" si="108"/>
        <v>0</v>
      </c>
      <c r="X104" s="288">
        <f t="shared" si="108"/>
        <v>0</v>
      </c>
      <c r="Y104" s="288">
        <f t="shared" si="108"/>
        <v>0</v>
      </c>
      <c r="Z104" s="288">
        <f t="shared" si="108"/>
        <v>0</v>
      </c>
      <c r="AA104" s="288">
        <f t="shared" si="108"/>
        <v>0</v>
      </c>
      <c r="AB104" s="288">
        <f t="shared" si="107"/>
        <v>0</v>
      </c>
      <c r="AC104" s="288">
        <f t="shared" si="107"/>
        <v>0</v>
      </c>
      <c r="AD104" s="288">
        <f t="shared" si="107"/>
        <v>0</v>
      </c>
      <c r="AE104" s="288">
        <f t="shared" si="107"/>
        <v>0</v>
      </c>
      <c r="AF104" s="288">
        <f t="shared" si="107"/>
        <v>0</v>
      </c>
      <c r="AG104" s="288">
        <f t="shared" si="107"/>
        <v>0</v>
      </c>
      <c r="AH104" s="288">
        <f t="shared" si="107"/>
        <v>0</v>
      </c>
      <c r="AI104" s="288">
        <f t="shared" si="107"/>
        <v>0</v>
      </c>
      <c r="AJ104" s="288">
        <f t="shared" si="107"/>
        <v>0</v>
      </c>
      <c r="AK104" s="288">
        <f t="shared" si="107"/>
        <v>0</v>
      </c>
      <c r="AL104" s="288">
        <f t="shared" si="106"/>
        <v>0</v>
      </c>
      <c r="AM104" s="288">
        <f t="shared" si="106"/>
        <v>0</v>
      </c>
      <c r="AN104" s="288">
        <f t="shared" si="106"/>
        <v>0</v>
      </c>
      <c r="AO104" s="288">
        <f t="shared" si="106"/>
        <v>0</v>
      </c>
      <c r="AP104" s="288">
        <f t="shared" si="104"/>
        <v>0</v>
      </c>
      <c r="AQ104" s="288">
        <f t="shared" si="104"/>
        <v>0</v>
      </c>
      <c r="AR104" s="288">
        <f t="shared" si="104"/>
        <v>0</v>
      </c>
      <c r="AS104" s="288">
        <f t="shared" si="104"/>
        <v>0</v>
      </c>
      <c r="AT104" s="288">
        <f t="shared" si="104"/>
        <v>0</v>
      </c>
      <c r="AU104" s="288">
        <f t="shared" si="104"/>
        <v>0</v>
      </c>
      <c r="AV104" s="288">
        <f t="shared" si="104"/>
        <v>0</v>
      </c>
      <c r="AW104" s="288">
        <f t="shared" si="103"/>
        <v>0</v>
      </c>
      <c r="AX104" s="288">
        <f t="shared" si="103"/>
        <v>0</v>
      </c>
      <c r="AY104" s="288">
        <f t="shared" si="103"/>
        <v>0</v>
      </c>
      <c r="AZ104" s="288">
        <f t="shared" si="103"/>
        <v>0</v>
      </c>
      <c r="BA104" s="288">
        <f t="shared" si="103"/>
        <v>0</v>
      </c>
      <c r="BB104" s="288">
        <f t="shared" si="103"/>
        <v>0</v>
      </c>
      <c r="BC104" s="288">
        <f t="shared" si="103"/>
        <v>0</v>
      </c>
      <c r="BD104" s="288">
        <f t="shared" si="98"/>
        <v>0</v>
      </c>
      <c r="BE104" s="288">
        <f t="shared" si="98"/>
        <v>0</v>
      </c>
      <c r="BF104" s="288">
        <f t="shared" si="98"/>
        <v>0</v>
      </c>
      <c r="BG104" s="288">
        <f t="shared" si="98"/>
        <v>0</v>
      </c>
      <c r="BH104" s="288">
        <f t="shared" si="98"/>
        <v>0</v>
      </c>
      <c r="BI104" s="288">
        <f t="shared" si="98"/>
        <v>0</v>
      </c>
      <c r="BJ104" s="288">
        <f t="shared" si="98"/>
        <v>0</v>
      </c>
      <c r="BK104" s="288">
        <f t="shared" si="98"/>
        <v>0</v>
      </c>
      <c r="BL104" s="288">
        <f t="shared" si="102"/>
        <v>0</v>
      </c>
      <c r="BM104" s="288">
        <f t="shared" si="102"/>
        <v>0</v>
      </c>
      <c r="BN104" s="288">
        <f t="shared" si="102"/>
        <v>0</v>
      </c>
      <c r="BO104" s="288">
        <f t="shared" si="102"/>
        <v>0</v>
      </c>
      <c r="BP104" s="288">
        <f t="shared" si="102"/>
        <v>0</v>
      </c>
      <c r="BQ104" s="288">
        <f t="shared" si="102"/>
        <v>0</v>
      </c>
      <c r="BR104" s="288">
        <f t="shared" si="102"/>
        <v>0</v>
      </c>
      <c r="BS104" s="288">
        <f t="shared" si="102"/>
        <v>0</v>
      </c>
      <c r="BT104" s="288">
        <f t="shared" si="96"/>
        <v>0</v>
      </c>
      <c r="BU104" s="288">
        <f t="shared" si="96"/>
        <v>0</v>
      </c>
      <c r="BV104" s="288">
        <f t="shared" si="96"/>
        <v>0</v>
      </c>
      <c r="BW104" s="288">
        <f t="shared" si="96"/>
        <v>0</v>
      </c>
      <c r="BX104" s="288">
        <f t="shared" si="96"/>
        <v>0</v>
      </c>
      <c r="BY104" s="288">
        <f t="shared" si="96"/>
        <v>0</v>
      </c>
      <c r="BZ104" s="288">
        <f t="shared" si="96"/>
        <v>0</v>
      </c>
      <c r="CA104" s="288">
        <f t="shared" si="96"/>
        <v>0</v>
      </c>
      <c r="CB104" s="288">
        <f t="shared" si="96"/>
        <v>0</v>
      </c>
      <c r="CC104" s="288">
        <f t="shared" si="96"/>
        <v>0</v>
      </c>
      <c r="CD104" s="288">
        <f t="shared" si="96"/>
        <v>0</v>
      </c>
      <c r="CE104" s="288">
        <f t="shared" si="95"/>
        <v>0</v>
      </c>
      <c r="CF104" s="288">
        <f t="shared" si="95"/>
        <v>0</v>
      </c>
      <c r="CG104" s="288">
        <f t="shared" si="95"/>
        <v>0</v>
      </c>
      <c r="CH104" s="288">
        <f t="shared" si="95"/>
        <v>0</v>
      </c>
      <c r="CI104" s="288">
        <f t="shared" si="95"/>
        <v>0</v>
      </c>
      <c r="CJ104" s="288">
        <f t="shared" si="95"/>
        <v>0</v>
      </c>
      <c r="CK104" s="288">
        <f t="shared" si="95"/>
        <v>0</v>
      </c>
      <c r="CL104" s="288">
        <f t="shared" si="95"/>
        <v>0</v>
      </c>
      <c r="CM104" s="288">
        <f t="shared" si="91"/>
        <v>0</v>
      </c>
      <c r="CN104" s="288">
        <f t="shared" si="91"/>
        <v>0</v>
      </c>
      <c r="CO104" s="288">
        <f t="shared" si="91"/>
        <v>0</v>
      </c>
      <c r="CP104" s="288">
        <f t="shared" si="91"/>
        <v>0</v>
      </c>
      <c r="CQ104" s="288">
        <f t="shared" si="80"/>
        <v>0</v>
      </c>
      <c r="CR104" s="288">
        <f t="shared" si="81"/>
        <v>0</v>
      </c>
      <c r="CS104" s="288">
        <f t="shared" si="82"/>
        <v>0</v>
      </c>
      <c r="CT104" s="288">
        <f t="shared" si="97"/>
        <v>0</v>
      </c>
      <c r="CU104" s="288">
        <f t="shared" si="84"/>
        <v>0</v>
      </c>
      <c r="CV104" s="288">
        <f t="shared" ref="CV104:DA109" si="109">IF(CV$2&gt;$B104,(IF(CV$2&lt;=$B105,(IF(AVERAGE($B104,$B105)&gt;CV$2,$A104,$A105)),0)),0)</f>
        <v>0</v>
      </c>
      <c r="CW104" s="288">
        <f t="shared" si="109"/>
        <v>101</v>
      </c>
      <c r="CX104" s="288">
        <f t="shared" si="109"/>
        <v>0</v>
      </c>
      <c r="CY104" s="288">
        <f t="shared" si="109"/>
        <v>0</v>
      </c>
      <c r="CZ104" s="288">
        <f t="shared" si="109"/>
        <v>0</v>
      </c>
      <c r="DA104" s="288">
        <f t="shared" si="109"/>
        <v>0</v>
      </c>
      <c r="DB104" s="288">
        <f t="shared" si="33"/>
        <v>0</v>
      </c>
      <c r="DC104" s="288">
        <f t="shared" si="33"/>
        <v>0</v>
      </c>
      <c r="DD104" s="288">
        <f t="shared" si="33"/>
        <v>0</v>
      </c>
      <c r="DE104" s="288">
        <f t="shared" si="33"/>
        <v>0</v>
      </c>
      <c r="DG104" s="314">
        <f t="shared" si="60"/>
        <v>104</v>
      </c>
      <c r="DH104" s="289">
        <f>MAX(CZ$3:CZ$109)</f>
        <v>104</v>
      </c>
      <c r="DJ104" s="288">
        <f>LOOKUP(DH104, 'Mortality Table'!A:A,('Mortality Table'!J:J/'Mortality Table'!I:I))</f>
        <v>0.54151448111666134</v>
      </c>
      <c r="DK104" s="288">
        <f>LOOKUP(A104, 'Mortality Table'!A:A,('Mortality Table'!J:J/'Mortality Table'!I:I))</f>
        <v>0.43806654231023728</v>
      </c>
      <c r="DL104" s="288">
        <f t="shared" si="61"/>
        <v>0.10344793880642406</v>
      </c>
      <c r="DN104" s="288">
        <f>LOOKUP(DH104, 'Mortality Table'!A:A,('Mortality Table'!L:L/'Mortality Table'!K:K))</f>
        <v>0.54853224014136026</v>
      </c>
      <c r="DO104" s="288">
        <f>LOOKUP(A104, 'Mortality Table'!A:A,('Mortality Table'!L:L/'Mortality Table'!K:K))</f>
        <v>0.44374366736952725</v>
      </c>
      <c r="DP104" s="288">
        <f t="shared" si="62"/>
        <v>0.10478857277183301</v>
      </c>
      <c r="DR104" s="288">
        <f>LOOKUP(DH104, 'Mortality Table'!A:A,('Mortality Table'!N:N/'Mortality Table'!M:M))</f>
        <v>0.56086034661505346</v>
      </c>
      <c r="DS104" s="288">
        <f>LOOKUP(A104, 'Mortality Table'!A:A,('Mortality Table'!N:N/'Mortality Table'!M:M))</f>
        <v>0.45371668039962615</v>
      </c>
      <c r="DT104" s="288">
        <f t="shared" si="63"/>
        <v>0.10714366621542731</v>
      </c>
    </row>
    <row r="105" spans="1:124">
      <c r="A105" s="288">
        <v>102</v>
      </c>
      <c r="B105" s="288">
        <v>0.51315789473684215</v>
      </c>
      <c r="C105" s="288">
        <f t="shared" si="101"/>
        <v>0</v>
      </c>
      <c r="D105" s="288">
        <f t="shared" si="101"/>
        <v>0</v>
      </c>
      <c r="E105" s="288">
        <f t="shared" si="101"/>
        <v>0</v>
      </c>
      <c r="F105" s="288">
        <f t="shared" si="101"/>
        <v>0</v>
      </c>
      <c r="G105" s="288">
        <f t="shared" si="101"/>
        <v>0</v>
      </c>
      <c r="H105" s="288">
        <f t="shared" si="101"/>
        <v>0</v>
      </c>
      <c r="I105" s="288">
        <f t="shared" si="100"/>
        <v>0</v>
      </c>
      <c r="J105" s="288">
        <f t="shared" si="100"/>
        <v>0</v>
      </c>
      <c r="K105" s="288">
        <f t="shared" si="100"/>
        <v>0</v>
      </c>
      <c r="L105" s="288">
        <f t="shared" si="100"/>
        <v>0</v>
      </c>
      <c r="M105" s="288">
        <f t="shared" si="100"/>
        <v>0</v>
      </c>
      <c r="N105" s="288">
        <f t="shared" si="100"/>
        <v>0</v>
      </c>
      <c r="O105" s="288">
        <f t="shared" si="100"/>
        <v>0</v>
      </c>
      <c r="P105" s="288">
        <f t="shared" si="100"/>
        <v>0</v>
      </c>
      <c r="Q105" s="288">
        <f t="shared" si="100"/>
        <v>0</v>
      </c>
      <c r="R105" s="288">
        <f t="shared" si="100"/>
        <v>0</v>
      </c>
      <c r="S105" s="288">
        <f t="shared" si="92"/>
        <v>0</v>
      </c>
      <c r="T105" s="288">
        <f t="shared" si="93"/>
        <v>0</v>
      </c>
      <c r="U105" s="288">
        <f t="shared" si="94"/>
        <v>0</v>
      </c>
      <c r="V105" s="288">
        <f t="shared" si="108"/>
        <v>0</v>
      </c>
      <c r="W105" s="288">
        <f t="shared" si="108"/>
        <v>0</v>
      </c>
      <c r="X105" s="288">
        <f t="shared" si="108"/>
        <v>0</v>
      </c>
      <c r="Y105" s="288">
        <f t="shared" si="108"/>
        <v>0</v>
      </c>
      <c r="Z105" s="288">
        <f t="shared" si="108"/>
        <v>0</v>
      </c>
      <c r="AA105" s="288">
        <f t="shared" si="108"/>
        <v>0</v>
      </c>
      <c r="AB105" s="288">
        <f t="shared" si="107"/>
        <v>0</v>
      </c>
      <c r="AC105" s="288">
        <f t="shared" si="107"/>
        <v>0</v>
      </c>
      <c r="AD105" s="288">
        <f t="shared" si="107"/>
        <v>0</v>
      </c>
      <c r="AE105" s="288">
        <f t="shared" si="107"/>
        <v>0</v>
      </c>
      <c r="AF105" s="288">
        <f t="shared" si="107"/>
        <v>0</v>
      </c>
      <c r="AG105" s="288">
        <f t="shared" si="107"/>
        <v>0</v>
      </c>
      <c r="AH105" s="288">
        <f t="shared" si="107"/>
        <v>0</v>
      </c>
      <c r="AI105" s="288">
        <f t="shared" si="107"/>
        <v>0</v>
      </c>
      <c r="AJ105" s="288">
        <f t="shared" si="107"/>
        <v>0</v>
      </c>
      <c r="AK105" s="288">
        <f t="shared" si="107"/>
        <v>0</v>
      </c>
      <c r="AL105" s="288">
        <f t="shared" si="106"/>
        <v>0</v>
      </c>
      <c r="AM105" s="288">
        <f t="shared" si="106"/>
        <v>0</v>
      </c>
      <c r="AN105" s="288">
        <f t="shared" si="106"/>
        <v>0</v>
      </c>
      <c r="AO105" s="288">
        <f t="shared" si="106"/>
        <v>0</v>
      </c>
      <c r="AP105" s="288">
        <f t="shared" si="104"/>
        <v>0</v>
      </c>
      <c r="AQ105" s="288">
        <f t="shared" si="104"/>
        <v>0</v>
      </c>
      <c r="AR105" s="288">
        <f t="shared" si="104"/>
        <v>0</v>
      </c>
      <c r="AS105" s="288">
        <f t="shared" si="104"/>
        <v>0</v>
      </c>
      <c r="AT105" s="288">
        <f t="shared" si="104"/>
        <v>0</v>
      </c>
      <c r="AU105" s="288">
        <f t="shared" si="104"/>
        <v>0</v>
      </c>
      <c r="AV105" s="288">
        <f t="shared" si="104"/>
        <v>0</v>
      </c>
      <c r="AW105" s="288">
        <f t="shared" si="103"/>
        <v>0</v>
      </c>
      <c r="AX105" s="288">
        <f t="shared" si="103"/>
        <v>0</v>
      </c>
      <c r="AY105" s="288">
        <f t="shared" si="103"/>
        <v>0</v>
      </c>
      <c r="AZ105" s="288">
        <f t="shared" si="103"/>
        <v>0</v>
      </c>
      <c r="BA105" s="288">
        <f t="shared" si="103"/>
        <v>0</v>
      </c>
      <c r="BB105" s="288">
        <f t="shared" si="103"/>
        <v>0</v>
      </c>
      <c r="BC105" s="288">
        <f t="shared" si="103"/>
        <v>0</v>
      </c>
      <c r="BD105" s="288">
        <f t="shared" si="98"/>
        <v>0</v>
      </c>
      <c r="BE105" s="288">
        <f t="shared" si="98"/>
        <v>0</v>
      </c>
      <c r="BF105" s="288">
        <f t="shared" si="98"/>
        <v>0</v>
      </c>
      <c r="BG105" s="288">
        <f t="shared" si="98"/>
        <v>0</v>
      </c>
      <c r="BH105" s="288">
        <f t="shared" si="98"/>
        <v>0</v>
      </c>
      <c r="BI105" s="288">
        <f t="shared" si="98"/>
        <v>0</v>
      </c>
      <c r="BJ105" s="288">
        <f t="shared" si="98"/>
        <v>0</v>
      </c>
      <c r="BK105" s="288">
        <f t="shared" si="98"/>
        <v>0</v>
      </c>
      <c r="BL105" s="288">
        <f t="shared" si="102"/>
        <v>0</v>
      </c>
      <c r="BM105" s="288">
        <f t="shared" si="102"/>
        <v>0</v>
      </c>
      <c r="BN105" s="288">
        <f t="shared" si="102"/>
        <v>0</v>
      </c>
      <c r="BO105" s="288">
        <f t="shared" si="102"/>
        <v>0</v>
      </c>
      <c r="BP105" s="288">
        <f t="shared" si="102"/>
        <v>0</v>
      </c>
      <c r="BQ105" s="288">
        <f t="shared" si="102"/>
        <v>0</v>
      </c>
      <c r="BR105" s="288">
        <f t="shared" si="102"/>
        <v>0</v>
      </c>
      <c r="BS105" s="288">
        <f t="shared" si="102"/>
        <v>0</v>
      </c>
      <c r="BT105" s="288">
        <f t="shared" si="96"/>
        <v>0</v>
      </c>
      <c r="BU105" s="288">
        <f t="shared" si="96"/>
        <v>0</v>
      </c>
      <c r="BV105" s="288">
        <f t="shared" si="96"/>
        <v>0</v>
      </c>
      <c r="BW105" s="288">
        <f t="shared" si="96"/>
        <v>0</v>
      </c>
      <c r="BX105" s="288">
        <f t="shared" si="96"/>
        <v>0</v>
      </c>
      <c r="BY105" s="288">
        <f t="shared" si="96"/>
        <v>0</v>
      </c>
      <c r="BZ105" s="288">
        <f t="shared" si="96"/>
        <v>0</v>
      </c>
      <c r="CA105" s="288">
        <f t="shared" si="96"/>
        <v>0</v>
      </c>
      <c r="CB105" s="288">
        <f t="shared" si="96"/>
        <v>0</v>
      </c>
      <c r="CC105" s="288">
        <f t="shared" si="96"/>
        <v>0</v>
      </c>
      <c r="CD105" s="288">
        <f t="shared" si="96"/>
        <v>0</v>
      </c>
      <c r="CE105" s="288">
        <f t="shared" si="95"/>
        <v>0</v>
      </c>
      <c r="CF105" s="288">
        <f t="shared" si="95"/>
        <v>0</v>
      </c>
      <c r="CG105" s="288">
        <f t="shared" si="95"/>
        <v>0</v>
      </c>
      <c r="CH105" s="288">
        <f t="shared" si="95"/>
        <v>0</v>
      </c>
      <c r="CI105" s="288">
        <f t="shared" si="95"/>
        <v>0</v>
      </c>
      <c r="CJ105" s="288">
        <f t="shared" si="95"/>
        <v>0</v>
      </c>
      <c r="CK105" s="288">
        <f t="shared" si="95"/>
        <v>0</v>
      </c>
      <c r="CL105" s="288">
        <f t="shared" si="95"/>
        <v>0</v>
      </c>
      <c r="CM105" s="288">
        <f t="shared" si="91"/>
        <v>0</v>
      </c>
      <c r="CN105" s="288">
        <f t="shared" si="91"/>
        <v>0</v>
      </c>
      <c r="CO105" s="288">
        <f t="shared" si="91"/>
        <v>0</v>
      </c>
      <c r="CP105" s="288">
        <f t="shared" si="91"/>
        <v>0</v>
      </c>
      <c r="CQ105" s="288">
        <f t="shared" si="80"/>
        <v>0</v>
      </c>
      <c r="CR105" s="288">
        <f t="shared" si="81"/>
        <v>0</v>
      </c>
      <c r="CS105" s="288">
        <f t="shared" si="82"/>
        <v>0</v>
      </c>
      <c r="CT105" s="288">
        <f t="shared" si="97"/>
        <v>0</v>
      </c>
      <c r="CU105" s="288">
        <f t="shared" si="84"/>
        <v>0</v>
      </c>
      <c r="CV105" s="288">
        <f t="shared" si="109"/>
        <v>0</v>
      </c>
      <c r="CW105" s="288">
        <f t="shared" si="109"/>
        <v>0</v>
      </c>
      <c r="CX105" s="288">
        <f t="shared" si="109"/>
        <v>102</v>
      </c>
      <c r="CY105" s="288">
        <f t="shared" si="109"/>
        <v>0</v>
      </c>
      <c r="CZ105" s="288">
        <f t="shared" si="109"/>
        <v>0</v>
      </c>
      <c r="DA105" s="288">
        <f t="shared" si="109"/>
        <v>0</v>
      </c>
      <c r="DB105" s="288">
        <f t="shared" si="33"/>
        <v>0</v>
      </c>
      <c r="DC105" s="288">
        <f t="shared" si="33"/>
        <v>0</v>
      </c>
      <c r="DD105" s="288">
        <f t="shared" si="33"/>
        <v>0</v>
      </c>
      <c r="DE105" s="288">
        <f t="shared" si="33"/>
        <v>0</v>
      </c>
      <c r="DG105" s="314">
        <f t="shared" si="60"/>
        <v>104</v>
      </c>
      <c r="DH105" s="289">
        <f>MAX(DA$3:DA$109)</f>
        <v>104</v>
      </c>
      <c r="DJ105" s="288">
        <f>LOOKUP(DH105, 'Mortality Table'!A:A,('Mortality Table'!J:J/'Mortality Table'!I:I))</f>
        <v>0.54151448111666134</v>
      </c>
      <c r="DK105" s="288">
        <f>LOOKUP(A105, 'Mortality Table'!A:A,('Mortality Table'!J:J/'Mortality Table'!I:I))</f>
        <v>0.47240013286887772</v>
      </c>
      <c r="DL105" s="288">
        <f t="shared" si="61"/>
        <v>6.9114348247783619E-2</v>
      </c>
      <c r="DN105" s="288">
        <f>LOOKUP(DH105, 'Mortality Table'!A:A,('Mortality Table'!L:L/'Mortality Table'!K:K))</f>
        <v>0.54853224014136026</v>
      </c>
      <c r="DO105" s="288">
        <f>LOOKUP(A105, 'Mortality Table'!A:A,('Mortality Table'!L:L/'Mortality Table'!K:K))</f>
        <v>0.47852220422858116</v>
      </c>
      <c r="DP105" s="288">
        <f t="shared" si="62"/>
        <v>7.0010035912779101E-2</v>
      </c>
      <c r="DR105" s="288">
        <f>LOOKUP(DH105, 'Mortality Table'!A:A,('Mortality Table'!N:N/'Mortality Table'!M:M))</f>
        <v>0.56086034661505346</v>
      </c>
      <c r="DS105" s="288">
        <f>LOOKUP(A105, 'Mortality Table'!A:A,('Mortality Table'!N:N/'Mortality Table'!M:M))</f>
        <v>0.48927685500760654</v>
      </c>
      <c r="DT105" s="288">
        <f t="shared" si="63"/>
        <v>7.1583491607446925E-2</v>
      </c>
    </row>
    <row r="106" spans="1:124">
      <c r="A106" s="288">
        <v>103</v>
      </c>
      <c r="B106" s="288">
        <v>0.54054054054054057</v>
      </c>
      <c r="C106" s="288">
        <f t="shared" si="101"/>
        <v>0</v>
      </c>
      <c r="D106" s="288">
        <f t="shared" si="101"/>
        <v>0</v>
      </c>
      <c r="E106" s="288">
        <f t="shared" si="101"/>
        <v>0</v>
      </c>
      <c r="F106" s="288">
        <f t="shared" si="101"/>
        <v>0</v>
      </c>
      <c r="G106" s="288">
        <f t="shared" si="101"/>
        <v>0</v>
      </c>
      <c r="H106" s="288">
        <f t="shared" si="101"/>
        <v>0</v>
      </c>
      <c r="I106" s="288">
        <f t="shared" si="100"/>
        <v>0</v>
      </c>
      <c r="J106" s="288">
        <f t="shared" si="100"/>
        <v>0</v>
      </c>
      <c r="K106" s="288">
        <f t="shared" si="100"/>
        <v>0</v>
      </c>
      <c r="L106" s="288">
        <f t="shared" si="100"/>
        <v>0</v>
      </c>
      <c r="M106" s="288">
        <f t="shared" si="100"/>
        <v>0</v>
      </c>
      <c r="N106" s="288">
        <f t="shared" si="100"/>
        <v>0</v>
      </c>
      <c r="O106" s="288">
        <f t="shared" si="100"/>
        <v>0</v>
      </c>
      <c r="P106" s="288">
        <f t="shared" si="100"/>
        <v>0</v>
      </c>
      <c r="Q106" s="288">
        <f t="shared" si="100"/>
        <v>0</v>
      </c>
      <c r="R106" s="288">
        <f t="shared" si="100"/>
        <v>0</v>
      </c>
      <c r="S106" s="288">
        <f t="shared" si="92"/>
        <v>0</v>
      </c>
      <c r="T106" s="288">
        <f t="shared" si="93"/>
        <v>0</v>
      </c>
      <c r="U106" s="288">
        <f t="shared" si="94"/>
        <v>0</v>
      </c>
      <c r="V106" s="288">
        <f t="shared" si="108"/>
        <v>0</v>
      </c>
      <c r="W106" s="288">
        <f t="shared" si="108"/>
        <v>0</v>
      </c>
      <c r="X106" s="288">
        <f t="shared" si="108"/>
        <v>0</v>
      </c>
      <c r="Y106" s="288">
        <f t="shared" si="108"/>
        <v>0</v>
      </c>
      <c r="Z106" s="288">
        <f t="shared" si="108"/>
        <v>0</v>
      </c>
      <c r="AA106" s="288">
        <f t="shared" si="108"/>
        <v>0</v>
      </c>
      <c r="AB106" s="288">
        <f t="shared" si="107"/>
        <v>0</v>
      </c>
      <c r="AC106" s="288">
        <f t="shared" si="107"/>
        <v>0</v>
      </c>
      <c r="AD106" s="288">
        <f t="shared" si="107"/>
        <v>0</v>
      </c>
      <c r="AE106" s="288">
        <f t="shared" si="107"/>
        <v>0</v>
      </c>
      <c r="AF106" s="288">
        <f t="shared" si="107"/>
        <v>0</v>
      </c>
      <c r="AG106" s="288">
        <f t="shared" si="107"/>
        <v>0</v>
      </c>
      <c r="AH106" s="288">
        <f t="shared" si="107"/>
        <v>0</v>
      </c>
      <c r="AI106" s="288">
        <f t="shared" si="107"/>
        <v>0</v>
      </c>
      <c r="AJ106" s="288">
        <f t="shared" si="107"/>
        <v>0</v>
      </c>
      <c r="AK106" s="288">
        <f t="shared" si="107"/>
        <v>0</v>
      </c>
      <c r="AL106" s="288">
        <f t="shared" si="106"/>
        <v>0</v>
      </c>
      <c r="AM106" s="288">
        <f t="shared" si="106"/>
        <v>0</v>
      </c>
      <c r="AN106" s="288">
        <f t="shared" si="106"/>
        <v>0</v>
      </c>
      <c r="AO106" s="288">
        <f t="shared" si="106"/>
        <v>0</v>
      </c>
      <c r="AP106" s="288">
        <f t="shared" si="104"/>
        <v>0</v>
      </c>
      <c r="AQ106" s="288">
        <f t="shared" si="104"/>
        <v>0</v>
      </c>
      <c r="AR106" s="288">
        <f t="shared" si="104"/>
        <v>0</v>
      </c>
      <c r="AS106" s="288">
        <f t="shared" si="104"/>
        <v>0</v>
      </c>
      <c r="AT106" s="288">
        <f t="shared" si="104"/>
        <v>0</v>
      </c>
      <c r="AU106" s="288">
        <f t="shared" si="104"/>
        <v>0</v>
      </c>
      <c r="AV106" s="288">
        <f t="shared" si="104"/>
        <v>0</v>
      </c>
      <c r="AW106" s="288">
        <f t="shared" si="103"/>
        <v>0</v>
      </c>
      <c r="AX106" s="288">
        <f t="shared" si="103"/>
        <v>0</v>
      </c>
      <c r="AY106" s="288">
        <f t="shared" si="103"/>
        <v>0</v>
      </c>
      <c r="AZ106" s="288">
        <f t="shared" si="103"/>
        <v>0</v>
      </c>
      <c r="BA106" s="288">
        <f t="shared" si="103"/>
        <v>0</v>
      </c>
      <c r="BB106" s="288">
        <f t="shared" si="103"/>
        <v>0</v>
      </c>
      <c r="BC106" s="288">
        <f t="shared" si="103"/>
        <v>0</v>
      </c>
      <c r="BD106" s="288">
        <f t="shared" si="98"/>
        <v>0</v>
      </c>
      <c r="BE106" s="288">
        <f t="shared" si="98"/>
        <v>0</v>
      </c>
      <c r="BF106" s="288">
        <f t="shared" si="98"/>
        <v>0</v>
      </c>
      <c r="BG106" s="288">
        <f t="shared" si="98"/>
        <v>0</v>
      </c>
      <c r="BH106" s="288">
        <f t="shared" si="98"/>
        <v>0</v>
      </c>
      <c r="BI106" s="288">
        <f t="shared" si="98"/>
        <v>0</v>
      </c>
      <c r="BJ106" s="288">
        <f t="shared" si="98"/>
        <v>0</v>
      </c>
      <c r="BK106" s="288">
        <f t="shared" si="98"/>
        <v>0</v>
      </c>
      <c r="BL106" s="288">
        <f t="shared" si="102"/>
        <v>0</v>
      </c>
      <c r="BM106" s="288">
        <f t="shared" si="102"/>
        <v>0</v>
      </c>
      <c r="BN106" s="288">
        <f t="shared" si="102"/>
        <v>0</v>
      </c>
      <c r="BO106" s="288">
        <f t="shared" si="102"/>
        <v>0</v>
      </c>
      <c r="BP106" s="288">
        <f t="shared" si="102"/>
        <v>0</v>
      </c>
      <c r="BQ106" s="288">
        <f t="shared" si="102"/>
        <v>0</v>
      </c>
      <c r="BR106" s="288">
        <f t="shared" si="102"/>
        <v>0</v>
      </c>
      <c r="BS106" s="288">
        <f t="shared" si="102"/>
        <v>0</v>
      </c>
      <c r="BT106" s="288">
        <f t="shared" si="96"/>
        <v>0</v>
      </c>
      <c r="BU106" s="288">
        <f t="shared" si="96"/>
        <v>0</v>
      </c>
      <c r="BV106" s="288">
        <f t="shared" si="96"/>
        <v>0</v>
      </c>
      <c r="BW106" s="288">
        <f t="shared" si="96"/>
        <v>0</v>
      </c>
      <c r="BX106" s="288">
        <f t="shared" si="96"/>
        <v>0</v>
      </c>
      <c r="BY106" s="288">
        <f t="shared" si="96"/>
        <v>0</v>
      </c>
      <c r="BZ106" s="288">
        <f t="shared" si="96"/>
        <v>0</v>
      </c>
      <c r="CA106" s="288">
        <f t="shared" si="96"/>
        <v>0</v>
      </c>
      <c r="CB106" s="288">
        <f t="shared" si="96"/>
        <v>0</v>
      </c>
      <c r="CC106" s="288">
        <f t="shared" si="96"/>
        <v>0</v>
      </c>
      <c r="CD106" s="288">
        <f t="shared" si="96"/>
        <v>0</v>
      </c>
      <c r="CE106" s="288">
        <f t="shared" si="95"/>
        <v>0</v>
      </c>
      <c r="CF106" s="288">
        <f t="shared" si="95"/>
        <v>0</v>
      </c>
      <c r="CG106" s="288">
        <f t="shared" si="95"/>
        <v>0</v>
      </c>
      <c r="CH106" s="288">
        <f t="shared" si="95"/>
        <v>0</v>
      </c>
      <c r="CI106" s="288">
        <f t="shared" si="95"/>
        <v>0</v>
      </c>
      <c r="CJ106" s="288">
        <f t="shared" si="95"/>
        <v>0</v>
      </c>
      <c r="CK106" s="288">
        <f t="shared" si="95"/>
        <v>0</v>
      </c>
      <c r="CL106" s="288">
        <f t="shared" si="95"/>
        <v>0</v>
      </c>
      <c r="CM106" s="288">
        <f t="shared" si="91"/>
        <v>0</v>
      </c>
      <c r="CN106" s="288">
        <f t="shared" si="91"/>
        <v>0</v>
      </c>
      <c r="CO106" s="288">
        <f t="shared" si="91"/>
        <v>0</v>
      </c>
      <c r="CP106" s="288">
        <f t="shared" si="91"/>
        <v>0</v>
      </c>
      <c r="CQ106" s="288">
        <f t="shared" si="80"/>
        <v>0</v>
      </c>
      <c r="CR106" s="288">
        <f t="shared" si="81"/>
        <v>0</v>
      </c>
      <c r="CS106" s="288">
        <f t="shared" si="82"/>
        <v>0</v>
      </c>
      <c r="CT106" s="288">
        <f t="shared" si="97"/>
        <v>0</v>
      </c>
      <c r="CU106" s="288">
        <f t="shared" si="84"/>
        <v>0</v>
      </c>
      <c r="CV106" s="288">
        <f t="shared" si="109"/>
        <v>0</v>
      </c>
      <c r="CW106" s="288">
        <f t="shared" si="109"/>
        <v>0</v>
      </c>
      <c r="CX106" s="288">
        <f t="shared" si="109"/>
        <v>0</v>
      </c>
      <c r="CY106" s="288">
        <f t="shared" si="109"/>
        <v>103</v>
      </c>
      <c r="CZ106" s="288">
        <f t="shared" si="109"/>
        <v>0</v>
      </c>
      <c r="DA106" s="288">
        <f t="shared" si="109"/>
        <v>0</v>
      </c>
      <c r="DB106" s="288">
        <f t="shared" si="33"/>
        <v>0</v>
      </c>
      <c r="DC106" s="288">
        <f t="shared" si="33"/>
        <v>0</v>
      </c>
      <c r="DD106" s="288">
        <f t="shared" si="33"/>
        <v>0</v>
      </c>
      <c r="DE106" s="288">
        <f t="shared" si="33"/>
        <v>0</v>
      </c>
      <c r="DG106" s="314">
        <f t="shared" si="60"/>
        <v>105</v>
      </c>
      <c r="DH106" s="289">
        <f>MAX(DB$3:DB$109)</f>
        <v>105</v>
      </c>
      <c r="DJ106" s="288">
        <f>LOOKUP(DH106, 'Mortality Table'!A:A,('Mortality Table'!J:J/'Mortality Table'!I:I))</f>
        <v>0.65755329849880362</v>
      </c>
      <c r="DK106" s="288">
        <f>LOOKUP(A106, 'Mortality Table'!A:A,('Mortality Table'!J:J/'Mortality Table'!I:I))</f>
        <v>0.49760790156666129</v>
      </c>
      <c r="DL106" s="288">
        <f t="shared" si="61"/>
        <v>0.15994539693214233</v>
      </c>
      <c r="DN106" s="288">
        <f>LOOKUP(DH106, 'Mortality Table'!A:A,('Mortality Table'!L:L/'Mortality Table'!K:K))</f>
        <v>0.66607486302879415</v>
      </c>
      <c r="DO106" s="288">
        <f>LOOKUP(A106, 'Mortality Table'!A:A,('Mortality Table'!L:L/'Mortality Table'!K:K))</f>
        <v>0.50405665310287084</v>
      </c>
      <c r="DP106" s="288">
        <f t="shared" si="62"/>
        <v>0.16201820992592331</v>
      </c>
      <c r="DR106" s="288">
        <f>LOOKUP(DH106, 'Mortality Table'!A:A,('Mortality Table'!N:N/'Mortality Table'!M:M))</f>
        <v>0.68104470660399408</v>
      </c>
      <c r="DS106" s="288">
        <f>LOOKUP(A106, 'Mortality Table'!A:A,('Mortality Table'!N:N/'Mortality Table'!M:M))</f>
        <v>0.51538518337599548</v>
      </c>
      <c r="DT106" s="288">
        <f t="shared" si="63"/>
        <v>0.1656595232279986</v>
      </c>
    </row>
    <row r="107" spans="1:124">
      <c r="A107" s="288">
        <v>104</v>
      </c>
      <c r="B107" s="288">
        <v>0.58823529411764708</v>
      </c>
      <c r="C107" s="288">
        <f t="shared" si="101"/>
        <v>0</v>
      </c>
      <c r="D107" s="288">
        <f t="shared" si="101"/>
        <v>0</v>
      </c>
      <c r="E107" s="288">
        <f t="shared" si="101"/>
        <v>0</v>
      </c>
      <c r="F107" s="288">
        <f t="shared" si="101"/>
        <v>0</v>
      </c>
      <c r="G107" s="288">
        <f t="shared" si="101"/>
        <v>0</v>
      </c>
      <c r="H107" s="288">
        <f t="shared" si="101"/>
        <v>0</v>
      </c>
      <c r="I107" s="288">
        <f t="shared" si="100"/>
        <v>0</v>
      </c>
      <c r="J107" s="288">
        <f t="shared" si="100"/>
        <v>0</v>
      </c>
      <c r="K107" s="288">
        <f t="shared" si="100"/>
        <v>0</v>
      </c>
      <c r="L107" s="288">
        <f t="shared" si="100"/>
        <v>0</v>
      </c>
      <c r="M107" s="288">
        <f t="shared" si="100"/>
        <v>0</v>
      </c>
      <c r="N107" s="288">
        <f t="shared" si="100"/>
        <v>0</v>
      </c>
      <c r="O107" s="288">
        <f t="shared" si="100"/>
        <v>0</v>
      </c>
      <c r="P107" s="288">
        <f t="shared" si="100"/>
        <v>0</v>
      </c>
      <c r="Q107" s="288">
        <f t="shared" si="100"/>
        <v>0</v>
      </c>
      <c r="R107" s="288">
        <f t="shared" si="100"/>
        <v>0</v>
      </c>
      <c r="S107" s="288">
        <f t="shared" si="92"/>
        <v>0</v>
      </c>
      <c r="T107" s="288">
        <f t="shared" si="93"/>
        <v>0</v>
      </c>
      <c r="U107" s="288">
        <f t="shared" si="94"/>
        <v>0</v>
      </c>
      <c r="V107" s="288">
        <f t="shared" si="108"/>
        <v>0</v>
      </c>
      <c r="W107" s="288">
        <f t="shared" si="108"/>
        <v>0</v>
      </c>
      <c r="X107" s="288">
        <f t="shared" si="108"/>
        <v>0</v>
      </c>
      <c r="Y107" s="288">
        <f t="shared" si="108"/>
        <v>0</v>
      </c>
      <c r="Z107" s="288">
        <f t="shared" si="108"/>
        <v>0</v>
      </c>
      <c r="AA107" s="288">
        <f t="shared" si="108"/>
        <v>0</v>
      </c>
      <c r="AB107" s="288">
        <f t="shared" si="107"/>
        <v>0</v>
      </c>
      <c r="AC107" s="288">
        <f t="shared" si="107"/>
        <v>0</v>
      </c>
      <c r="AD107" s="288">
        <f t="shared" si="107"/>
        <v>0</v>
      </c>
      <c r="AE107" s="288">
        <f t="shared" si="107"/>
        <v>0</v>
      </c>
      <c r="AF107" s="288">
        <f t="shared" si="107"/>
        <v>0</v>
      </c>
      <c r="AG107" s="288">
        <f t="shared" si="107"/>
        <v>0</v>
      </c>
      <c r="AH107" s="288">
        <f t="shared" si="107"/>
        <v>0</v>
      </c>
      <c r="AI107" s="288">
        <f t="shared" si="107"/>
        <v>0</v>
      </c>
      <c r="AJ107" s="288">
        <f t="shared" si="107"/>
        <v>0</v>
      </c>
      <c r="AK107" s="288">
        <f t="shared" si="107"/>
        <v>0</v>
      </c>
      <c r="AL107" s="288">
        <f t="shared" si="106"/>
        <v>0</v>
      </c>
      <c r="AM107" s="288">
        <f t="shared" si="106"/>
        <v>0</v>
      </c>
      <c r="AN107" s="288">
        <f t="shared" si="106"/>
        <v>0</v>
      </c>
      <c r="AO107" s="288">
        <f t="shared" si="106"/>
        <v>0</v>
      </c>
      <c r="AP107" s="288">
        <f t="shared" si="104"/>
        <v>0</v>
      </c>
      <c r="AQ107" s="288">
        <f t="shared" si="104"/>
        <v>0</v>
      </c>
      <c r="AR107" s="288">
        <f t="shared" si="104"/>
        <v>0</v>
      </c>
      <c r="AS107" s="288">
        <f t="shared" si="104"/>
        <v>0</v>
      </c>
      <c r="AT107" s="288">
        <f t="shared" si="104"/>
        <v>0</v>
      </c>
      <c r="AU107" s="288">
        <f t="shared" si="104"/>
        <v>0</v>
      </c>
      <c r="AV107" s="288">
        <f t="shared" si="104"/>
        <v>0</v>
      </c>
      <c r="AW107" s="288">
        <f t="shared" si="103"/>
        <v>0</v>
      </c>
      <c r="AX107" s="288">
        <f t="shared" si="103"/>
        <v>0</v>
      </c>
      <c r="AY107" s="288">
        <f t="shared" si="103"/>
        <v>0</v>
      </c>
      <c r="AZ107" s="288">
        <f t="shared" si="103"/>
        <v>0</v>
      </c>
      <c r="BA107" s="288">
        <f t="shared" si="103"/>
        <v>0</v>
      </c>
      <c r="BB107" s="288">
        <f t="shared" si="103"/>
        <v>0</v>
      </c>
      <c r="BC107" s="288">
        <f t="shared" si="103"/>
        <v>0</v>
      </c>
      <c r="BD107" s="288">
        <f t="shared" si="98"/>
        <v>0</v>
      </c>
      <c r="BE107" s="288">
        <f t="shared" si="98"/>
        <v>0</v>
      </c>
      <c r="BF107" s="288">
        <f t="shared" si="98"/>
        <v>0</v>
      </c>
      <c r="BG107" s="288">
        <f t="shared" si="98"/>
        <v>0</v>
      </c>
      <c r="BH107" s="288">
        <f t="shared" si="98"/>
        <v>0</v>
      </c>
      <c r="BI107" s="288">
        <f t="shared" si="98"/>
        <v>0</v>
      </c>
      <c r="BJ107" s="288">
        <f t="shared" si="98"/>
        <v>0</v>
      </c>
      <c r="BK107" s="288">
        <f t="shared" si="98"/>
        <v>0</v>
      </c>
      <c r="BL107" s="288">
        <f t="shared" si="102"/>
        <v>0</v>
      </c>
      <c r="BM107" s="288">
        <f t="shared" si="102"/>
        <v>0</v>
      </c>
      <c r="BN107" s="288">
        <f t="shared" si="102"/>
        <v>0</v>
      </c>
      <c r="BO107" s="288">
        <f t="shared" si="102"/>
        <v>0</v>
      </c>
      <c r="BP107" s="288">
        <f t="shared" si="102"/>
        <v>0</v>
      </c>
      <c r="BQ107" s="288">
        <f t="shared" si="102"/>
        <v>0</v>
      </c>
      <c r="BR107" s="288">
        <f t="shared" si="102"/>
        <v>0</v>
      </c>
      <c r="BS107" s="288">
        <f t="shared" si="102"/>
        <v>0</v>
      </c>
      <c r="BT107" s="288">
        <f t="shared" si="96"/>
        <v>0</v>
      </c>
      <c r="BU107" s="288">
        <f t="shared" si="96"/>
        <v>0</v>
      </c>
      <c r="BV107" s="288">
        <f t="shared" si="96"/>
        <v>0</v>
      </c>
      <c r="BW107" s="288">
        <f t="shared" si="96"/>
        <v>0</v>
      </c>
      <c r="BX107" s="288">
        <f t="shared" si="96"/>
        <v>0</v>
      </c>
      <c r="BY107" s="288">
        <f t="shared" si="96"/>
        <v>0</v>
      </c>
      <c r="BZ107" s="288">
        <f t="shared" si="96"/>
        <v>0</v>
      </c>
      <c r="CA107" s="288">
        <f t="shared" si="96"/>
        <v>0</v>
      </c>
      <c r="CB107" s="288">
        <f t="shared" si="96"/>
        <v>0</v>
      </c>
      <c r="CC107" s="288">
        <f t="shared" si="96"/>
        <v>0</v>
      </c>
      <c r="CD107" s="288">
        <f t="shared" si="96"/>
        <v>0</v>
      </c>
      <c r="CE107" s="288">
        <f t="shared" si="95"/>
        <v>0</v>
      </c>
      <c r="CF107" s="288">
        <f t="shared" si="95"/>
        <v>0</v>
      </c>
      <c r="CG107" s="288">
        <f t="shared" si="95"/>
        <v>0</v>
      </c>
      <c r="CH107" s="288">
        <f t="shared" si="95"/>
        <v>0</v>
      </c>
      <c r="CI107" s="288">
        <f t="shared" si="95"/>
        <v>0</v>
      </c>
      <c r="CJ107" s="288">
        <f t="shared" si="95"/>
        <v>0</v>
      </c>
      <c r="CK107" s="288">
        <f t="shared" si="95"/>
        <v>0</v>
      </c>
      <c r="CL107" s="288">
        <f t="shared" si="95"/>
        <v>0</v>
      </c>
      <c r="CM107" s="288">
        <f t="shared" si="91"/>
        <v>0</v>
      </c>
      <c r="CN107" s="288">
        <f t="shared" si="91"/>
        <v>0</v>
      </c>
      <c r="CO107" s="288">
        <f t="shared" si="91"/>
        <v>0</v>
      </c>
      <c r="CP107" s="288">
        <f t="shared" si="91"/>
        <v>0</v>
      </c>
      <c r="CQ107" s="288">
        <f t="shared" si="80"/>
        <v>0</v>
      </c>
      <c r="CR107" s="288">
        <f t="shared" si="81"/>
        <v>0</v>
      </c>
      <c r="CS107" s="288">
        <f t="shared" si="82"/>
        <v>0</v>
      </c>
      <c r="CT107" s="288">
        <f t="shared" si="97"/>
        <v>0</v>
      </c>
      <c r="CU107" s="288">
        <f t="shared" si="84"/>
        <v>0</v>
      </c>
      <c r="CV107" s="288">
        <f t="shared" si="109"/>
        <v>0</v>
      </c>
      <c r="CW107" s="288">
        <f t="shared" si="109"/>
        <v>0</v>
      </c>
      <c r="CX107" s="288">
        <f t="shared" si="109"/>
        <v>0</v>
      </c>
      <c r="CY107" s="288">
        <f t="shared" si="109"/>
        <v>0</v>
      </c>
      <c r="CZ107" s="288">
        <f t="shared" si="109"/>
        <v>104</v>
      </c>
      <c r="DA107" s="288">
        <f t="shared" si="109"/>
        <v>104</v>
      </c>
      <c r="DB107" s="288">
        <f t="shared" si="33"/>
        <v>105</v>
      </c>
      <c r="DC107" s="288">
        <f t="shared" si="33"/>
        <v>0</v>
      </c>
      <c r="DD107" s="288">
        <f t="shared" si="33"/>
        <v>0</v>
      </c>
      <c r="DE107" s="288">
        <f t="shared" si="33"/>
        <v>0</v>
      </c>
      <c r="DG107" s="314">
        <f t="shared" si="60"/>
        <v>105</v>
      </c>
      <c r="DH107" s="289">
        <f>MAX(DC$3:DC$109)</f>
        <v>105</v>
      </c>
      <c r="DJ107" s="288">
        <f>LOOKUP(DH107, 'Mortality Table'!A:A,('Mortality Table'!J:J/'Mortality Table'!I:I))</f>
        <v>0.65755329849880362</v>
      </c>
      <c r="DK107" s="288">
        <f>LOOKUP(A107, 'Mortality Table'!A:A,('Mortality Table'!J:J/'Mortality Table'!I:I))</f>
        <v>0.54151448111666134</v>
      </c>
      <c r="DL107" s="288">
        <f t="shared" si="61"/>
        <v>0.11603881738214228</v>
      </c>
      <c r="DN107" s="288">
        <f>LOOKUP(DH107, 'Mortality Table'!A:A,('Mortality Table'!L:L/'Mortality Table'!K:K))</f>
        <v>0.66607486302879415</v>
      </c>
      <c r="DO107" s="288">
        <f>LOOKUP(A107, 'Mortality Table'!A:A,('Mortality Table'!L:L/'Mortality Table'!K:K))</f>
        <v>0.54853224014136026</v>
      </c>
      <c r="DP107" s="288">
        <f t="shared" si="62"/>
        <v>0.11754262288743389</v>
      </c>
      <c r="DR107" s="288">
        <f>LOOKUP(DH107, 'Mortality Table'!A:A,('Mortality Table'!N:N/'Mortality Table'!M:M))</f>
        <v>0.68104470660399408</v>
      </c>
      <c r="DS107" s="288">
        <f>LOOKUP(A107, 'Mortality Table'!A:A,('Mortality Table'!N:N/'Mortality Table'!M:M))</f>
        <v>0.56086034661505346</v>
      </c>
      <c r="DT107" s="288">
        <f t="shared" si="63"/>
        <v>0.12018435998894061</v>
      </c>
    </row>
    <row r="108" spans="1:124">
      <c r="A108" s="288">
        <v>105</v>
      </c>
      <c r="B108" s="288">
        <v>0.7142857142857143</v>
      </c>
      <c r="C108" s="288">
        <f t="shared" si="101"/>
        <v>0</v>
      </c>
      <c r="D108" s="288">
        <f t="shared" si="101"/>
        <v>0</v>
      </c>
      <c r="E108" s="288">
        <f t="shared" si="101"/>
        <v>0</v>
      </c>
      <c r="F108" s="288">
        <f t="shared" si="101"/>
        <v>0</v>
      </c>
      <c r="G108" s="288">
        <f t="shared" si="101"/>
        <v>0</v>
      </c>
      <c r="H108" s="288">
        <f t="shared" si="101"/>
        <v>0</v>
      </c>
      <c r="I108" s="288">
        <f t="shared" si="100"/>
        <v>0</v>
      </c>
      <c r="J108" s="288">
        <f t="shared" si="100"/>
        <v>0</v>
      </c>
      <c r="K108" s="288">
        <f t="shared" si="100"/>
        <v>0</v>
      </c>
      <c r="L108" s="288">
        <f t="shared" si="100"/>
        <v>0</v>
      </c>
      <c r="M108" s="288">
        <f t="shared" si="100"/>
        <v>0</v>
      </c>
      <c r="N108" s="288">
        <f t="shared" si="100"/>
        <v>0</v>
      </c>
      <c r="O108" s="288">
        <f t="shared" si="100"/>
        <v>0</v>
      </c>
      <c r="P108" s="288">
        <f t="shared" si="100"/>
        <v>0</v>
      </c>
      <c r="Q108" s="288">
        <f t="shared" si="100"/>
        <v>0</v>
      </c>
      <c r="R108" s="288">
        <f t="shared" si="100"/>
        <v>0</v>
      </c>
      <c r="S108" s="288">
        <f t="shared" si="92"/>
        <v>0</v>
      </c>
      <c r="T108" s="288">
        <f t="shared" si="93"/>
        <v>0</v>
      </c>
      <c r="U108" s="288">
        <f t="shared" si="94"/>
        <v>0</v>
      </c>
      <c r="V108" s="288">
        <f t="shared" si="108"/>
        <v>0</v>
      </c>
      <c r="W108" s="288">
        <f t="shared" si="108"/>
        <v>0</v>
      </c>
      <c r="X108" s="288">
        <f t="shared" si="108"/>
        <v>0</v>
      </c>
      <c r="Y108" s="288">
        <f t="shared" si="108"/>
        <v>0</v>
      </c>
      <c r="Z108" s="288">
        <f t="shared" si="108"/>
        <v>0</v>
      </c>
      <c r="AA108" s="288">
        <f t="shared" si="108"/>
        <v>0</v>
      </c>
      <c r="AB108" s="288">
        <f t="shared" si="107"/>
        <v>0</v>
      </c>
      <c r="AC108" s="288">
        <f t="shared" si="107"/>
        <v>0</v>
      </c>
      <c r="AD108" s="288">
        <f t="shared" si="107"/>
        <v>0</v>
      </c>
      <c r="AE108" s="288">
        <f t="shared" si="107"/>
        <v>0</v>
      </c>
      <c r="AF108" s="288">
        <f t="shared" si="107"/>
        <v>0</v>
      </c>
      <c r="AG108" s="288">
        <f t="shared" si="107"/>
        <v>0</v>
      </c>
      <c r="AH108" s="288">
        <f t="shared" si="107"/>
        <v>0</v>
      </c>
      <c r="AI108" s="288">
        <f t="shared" si="107"/>
        <v>0</v>
      </c>
      <c r="AJ108" s="288">
        <f t="shared" si="107"/>
        <v>0</v>
      </c>
      <c r="AK108" s="288">
        <f t="shared" si="107"/>
        <v>0</v>
      </c>
      <c r="AL108" s="288">
        <f t="shared" si="106"/>
        <v>0</v>
      </c>
      <c r="AM108" s="288">
        <f t="shared" si="106"/>
        <v>0</v>
      </c>
      <c r="AN108" s="288">
        <f t="shared" si="106"/>
        <v>0</v>
      </c>
      <c r="AO108" s="288">
        <f t="shared" si="106"/>
        <v>0</v>
      </c>
      <c r="AP108" s="288">
        <f t="shared" si="104"/>
        <v>0</v>
      </c>
      <c r="AQ108" s="288">
        <f t="shared" si="104"/>
        <v>0</v>
      </c>
      <c r="AR108" s="288">
        <f t="shared" si="104"/>
        <v>0</v>
      </c>
      <c r="AS108" s="288">
        <f t="shared" si="104"/>
        <v>0</v>
      </c>
      <c r="AT108" s="288">
        <f t="shared" si="104"/>
        <v>0</v>
      </c>
      <c r="AU108" s="288">
        <f t="shared" si="104"/>
        <v>0</v>
      </c>
      <c r="AV108" s="288">
        <f t="shared" si="104"/>
        <v>0</v>
      </c>
      <c r="AW108" s="288">
        <f t="shared" si="103"/>
        <v>0</v>
      </c>
      <c r="AX108" s="288">
        <f t="shared" si="103"/>
        <v>0</v>
      </c>
      <c r="AY108" s="288">
        <f t="shared" si="103"/>
        <v>0</v>
      </c>
      <c r="AZ108" s="288">
        <f t="shared" si="103"/>
        <v>0</v>
      </c>
      <c r="BA108" s="288">
        <f t="shared" si="103"/>
        <v>0</v>
      </c>
      <c r="BB108" s="288">
        <f t="shared" si="103"/>
        <v>0</v>
      </c>
      <c r="BC108" s="288">
        <f t="shared" si="103"/>
        <v>0</v>
      </c>
      <c r="BD108" s="288">
        <f t="shared" si="98"/>
        <v>0</v>
      </c>
      <c r="BE108" s="288">
        <f t="shared" si="98"/>
        <v>0</v>
      </c>
      <c r="BF108" s="288">
        <f t="shared" si="98"/>
        <v>0</v>
      </c>
      <c r="BG108" s="288">
        <f t="shared" si="98"/>
        <v>0</v>
      </c>
      <c r="BH108" s="288">
        <f t="shared" si="98"/>
        <v>0</v>
      </c>
      <c r="BI108" s="288">
        <f t="shared" si="98"/>
        <v>0</v>
      </c>
      <c r="BJ108" s="288">
        <f t="shared" si="98"/>
        <v>0</v>
      </c>
      <c r="BK108" s="288">
        <f t="shared" si="98"/>
        <v>0</v>
      </c>
      <c r="BL108" s="288">
        <f t="shared" si="102"/>
        <v>0</v>
      </c>
      <c r="BM108" s="288">
        <f t="shared" si="102"/>
        <v>0</v>
      </c>
      <c r="BN108" s="288">
        <f t="shared" si="102"/>
        <v>0</v>
      </c>
      <c r="BO108" s="288">
        <f t="shared" si="102"/>
        <v>0</v>
      </c>
      <c r="BP108" s="288">
        <f t="shared" si="102"/>
        <v>0</v>
      </c>
      <c r="BQ108" s="288">
        <f t="shared" si="102"/>
        <v>0</v>
      </c>
      <c r="BR108" s="288">
        <f t="shared" si="102"/>
        <v>0</v>
      </c>
      <c r="BS108" s="288">
        <f t="shared" si="102"/>
        <v>0</v>
      </c>
      <c r="BT108" s="288">
        <f t="shared" si="96"/>
        <v>0</v>
      </c>
      <c r="BU108" s="288">
        <f t="shared" si="96"/>
        <v>0</v>
      </c>
      <c r="BV108" s="288">
        <f t="shared" ref="BV108:CD109" si="110">IF(BV$2&gt;$B108,(IF(BV$2&lt;=$B109,(IF(AVERAGE($B108,$B109)&gt;BV$2,$A108,$A109)),0)),0)</f>
        <v>0</v>
      </c>
      <c r="BW108" s="288">
        <f t="shared" si="110"/>
        <v>0</v>
      </c>
      <c r="BX108" s="288">
        <f t="shared" si="110"/>
        <v>0</v>
      </c>
      <c r="BY108" s="288">
        <f t="shared" si="110"/>
        <v>0</v>
      </c>
      <c r="BZ108" s="288">
        <f t="shared" si="110"/>
        <v>0</v>
      </c>
      <c r="CA108" s="288">
        <f t="shared" si="110"/>
        <v>0</v>
      </c>
      <c r="CB108" s="288">
        <f t="shared" si="110"/>
        <v>0</v>
      </c>
      <c r="CC108" s="288">
        <f t="shared" si="110"/>
        <v>0</v>
      </c>
      <c r="CD108" s="288">
        <f t="shared" si="110"/>
        <v>0</v>
      </c>
      <c r="CE108" s="288">
        <f t="shared" si="95"/>
        <v>0</v>
      </c>
      <c r="CF108" s="288">
        <f t="shared" si="95"/>
        <v>0</v>
      </c>
      <c r="CG108" s="288">
        <f t="shared" si="95"/>
        <v>0</v>
      </c>
      <c r="CH108" s="288">
        <f t="shared" si="95"/>
        <v>0</v>
      </c>
      <c r="CI108" s="288">
        <f t="shared" si="95"/>
        <v>0</v>
      </c>
      <c r="CJ108" s="288">
        <f t="shared" si="95"/>
        <v>0</v>
      </c>
      <c r="CK108" s="288">
        <f t="shared" si="95"/>
        <v>0</v>
      </c>
      <c r="CL108" s="288">
        <f t="shared" si="95"/>
        <v>0</v>
      </c>
      <c r="CM108" s="288">
        <f t="shared" si="91"/>
        <v>0</v>
      </c>
      <c r="CN108" s="288">
        <f t="shared" si="91"/>
        <v>0</v>
      </c>
      <c r="CO108" s="288">
        <f t="shared" si="91"/>
        <v>0</v>
      </c>
      <c r="CP108" s="288">
        <f t="shared" si="91"/>
        <v>0</v>
      </c>
      <c r="CQ108" s="288">
        <f t="shared" si="80"/>
        <v>0</v>
      </c>
      <c r="CR108" s="288">
        <f t="shared" si="81"/>
        <v>0</v>
      </c>
      <c r="CS108" s="288">
        <f t="shared" si="82"/>
        <v>0</v>
      </c>
      <c r="CT108" s="288">
        <f t="shared" si="97"/>
        <v>0</v>
      </c>
      <c r="CU108" s="288">
        <f t="shared" si="84"/>
        <v>0</v>
      </c>
      <c r="CV108" s="288">
        <f t="shared" si="109"/>
        <v>0</v>
      </c>
      <c r="CW108" s="288">
        <f t="shared" si="109"/>
        <v>0</v>
      </c>
      <c r="CX108" s="288">
        <f t="shared" si="109"/>
        <v>0</v>
      </c>
      <c r="CY108" s="288">
        <f t="shared" si="109"/>
        <v>0</v>
      </c>
      <c r="CZ108" s="288">
        <f t="shared" si="109"/>
        <v>0</v>
      </c>
      <c r="DA108" s="288">
        <f t="shared" si="109"/>
        <v>0</v>
      </c>
      <c r="DB108" s="288">
        <f t="shared" si="33"/>
        <v>0</v>
      </c>
      <c r="DC108" s="288">
        <f t="shared" si="33"/>
        <v>105</v>
      </c>
      <c r="DD108" s="288">
        <f t="shared" si="33"/>
        <v>106</v>
      </c>
      <c r="DE108" s="288">
        <f>IF(DE$2&gt;$B108,(IF(DE$2&lt;=$B109,(IF(AVERAGE($B108,$B109)&gt;DE$2,$A108,$A109)),0)),0)</f>
        <v>0</v>
      </c>
      <c r="DG108" s="314">
        <f t="shared" si="60"/>
        <v>106</v>
      </c>
      <c r="DH108" s="289">
        <f>MAX(DD$3:DD$109)</f>
        <v>106</v>
      </c>
      <c r="DJ108" s="288">
        <f>LOOKUP(DH108, 'Mortality Table'!A:A,('Mortality Table'!J:J/'Mortality Table'!I:I))</f>
        <v>0.92057461789832573</v>
      </c>
      <c r="DK108" s="288">
        <f>LOOKUP(A108, 'Mortality Table'!A:A,('Mortality Table'!J:J/'Mortality Table'!I:I))</f>
        <v>0.65755329849880362</v>
      </c>
      <c r="DL108" s="288">
        <f t="shared" si="61"/>
        <v>0.26302131939952211</v>
      </c>
      <c r="DN108" s="288">
        <f>LOOKUP(DH108, 'Mortality Table'!A:A,('Mortality Table'!L:L/'Mortality Table'!K:K))</f>
        <v>0.93250480824031101</v>
      </c>
      <c r="DO108" s="288">
        <f>LOOKUP(A108, 'Mortality Table'!A:A,('Mortality Table'!L:L/'Mortality Table'!K:K))</f>
        <v>0.66607486302879415</v>
      </c>
      <c r="DP108" s="288">
        <f t="shared" si="62"/>
        <v>0.26642994521151686</v>
      </c>
      <c r="DR108" s="288">
        <f>LOOKUP(DH108, 'Mortality Table'!A:A,('Mortality Table'!N:N/'Mortality Table'!M:M))</f>
        <v>0.95346258924559113</v>
      </c>
      <c r="DS108" s="288">
        <f>LOOKUP(A108, 'Mortality Table'!A:A,('Mortality Table'!N:N/'Mortality Table'!M:M))</f>
        <v>0.68104470660399408</v>
      </c>
      <c r="DT108" s="288">
        <f t="shared" si="63"/>
        <v>0.27241788264159705</v>
      </c>
    </row>
    <row r="109" spans="1:124">
      <c r="A109" s="288">
        <v>106</v>
      </c>
      <c r="B109" s="288">
        <v>1</v>
      </c>
      <c r="C109" s="288">
        <f t="shared" si="101"/>
        <v>0</v>
      </c>
      <c r="D109" s="288">
        <f t="shared" si="101"/>
        <v>0</v>
      </c>
      <c r="E109" s="288">
        <f t="shared" si="101"/>
        <v>0</v>
      </c>
      <c r="F109" s="288">
        <f t="shared" si="101"/>
        <v>0</v>
      </c>
      <c r="G109" s="288">
        <f t="shared" si="101"/>
        <v>0</v>
      </c>
      <c r="H109" s="288">
        <f t="shared" si="101"/>
        <v>0</v>
      </c>
      <c r="I109" s="288">
        <f t="shared" si="100"/>
        <v>0</v>
      </c>
      <c r="J109" s="288">
        <f t="shared" si="100"/>
        <v>0</v>
      </c>
      <c r="K109" s="288">
        <f t="shared" si="100"/>
        <v>0</v>
      </c>
      <c r="L109" s="288">
        <f t="shared" si="100"/>
        <v>0</v>
      </c>
      <c r="M109" s="288">
        <f t="shared" si="100"/>
        <v>0</v>
      </c>
      <c r="N109" s="288">
        <f t="shared" si="100"/>
        <v>0</v>
      </c>
      <c r="O109" s="288">
        <f t="shared" si="100"/>
        <v>0</v>
      </c>
      <c r="P109" s="288">
        <f t="shared" si="100"/>
        <v>0</v>
      </c>
      <c r="Q109" s="288">
        <f t="shared" si="100"/>
        <v>0</v>
      </c>
      <c r="R109" s="288">
        <f t="shared" si="100"/>
        <v>0</v>
      </c>
      <c r="S109" s="288">
        <f t="shared" si="92"/>
        <v>0</v>
      </c>
      <c r="T109" s="288">
        <f t="shared" si="93"/>
        <v>0</v>
      </c>
      <c r="U109" s="288">
        <f t="shared" si="94"/>
        <v>0</v>
      </c>
      <c r="V109" s="288">
        <f t="shared" si="108"/>
        <v>0</v>
      </c>
      <c r="W109" s="288">
        <f t="shared" si="108"/>
        <v>0</v>
      </c>
      <c r="X109" s="288">
        <f t="shared" si="108"/>
        <v>0</v>
      </c>
      <c r="Y109" s="288">
        <f t="shared" si="108"/>
        <v>0</v>
      </c>
      <c r="Z109" s="288">
        <f t="shared" si="108"/>
        <v>0</v>
      </c>
      <c r="AA109" s="288">
        <f t="shared" si="108"/>
        <v>0</v>
      </c>
      <c r="AB109" s="288">
        <f t="shared" si="107"/>
        <v>0</v>
      </c>
      <c r="AC109" s="288">
        <f t="shared" si="107"/>
        <v>0</v>
      </c>
      <c r="AD109" s="288">
        <f t="shared" si="107"/>
        <v>0</v>
      </c>
      <c r="AE109" s="288">
        <f t="shared" si="107"/>
        <v>0</v>
      </c>
      <c r="AF109" s="288">
        <f t="shared" si="107"/>
        <v>0</v>
      </c>
      <c r="AG109" s="288">
        <f t="shared" si="107"/>
        <v>0</v>
      </c>
      <c r="AH109" s="288">
        <f t="shared" si="107"/>
        <v>0</v>
      </c>
      <c r="AI109" s="288">
        <f t="shared" si="107"/>
        <v>0</v>
      </c>
      <c r="AJ109" s="288">
        <f t="shared" si="107"/>
        <v>0</v>
      </c>
      <c r="AK109" s="288">
        <f t="shared" si="107"/>
        <v>0</v>
      </c>
      <c r="AL109" s="288">
        <f t="shared" si="106"/>
        <v>0</v>
      </c>
      <c r="AM109" s="288">
        <f t="shared" si="106"/>
        <v>0</v>
      </c>
      <c r="AN109" s="288">
        <f t="shared" si="106"/>
        <v>0</v>
      </c>
      <c r="AO109" s="288">
        <f t="shared" si="106"/>
        <v>0</v>
      </c>
      <c r="AP109" s="288">
        <f t="shared" si="104"/>
        <v>0</v>
      </c>
      <c r="AQ109" s="288">
        <f t="shared" si="104"/>
        <v>0</v>
      </c>
      <c r="AR109" s="288">
        <f t="shared" si="104"/>
        <v>0</v>
      </c>
      <c r="AS109" s="288">
        <f t="shared" si="104"/>
        <v>0</v>
      </c>
      <c r="AT109" s="288">
        <f t="shared" si="104"/>
        <v>0</v>
      </c>
      <c r="AU109" s="288">
        <f t="shared" si="104"/>
        <v>0</v>
      </c>
      <c r="AV109" s="288">
        <f t="shared" si="104"/>
        <v>0</v>
      </c>
      <c r="AW109" s="288">
        <f t="shared" si="103"/>
        <v>0</v>
      </c>
      <c r="AX109" s="288">
        <f t="shared" si="103"/>
        <v>0</v>
      </c>
      <c r="AY109" s="288">
        <f t="shared" si="103"/>
        <v>0</v>
      </c>
      <c r="AZ109" s="288">
        <f t="shared" si="103"/>
        <v>0</v>
      </c>
      <c r="BA109" s="288">
        <f t="shared" si="103"/>
        <v>0</v>
      </c>
      <c r="BB109" s="288">
        <f t="shared" si="103"/>
        <v>0</v>
      </c>
      <c r="BC109" s="288">
        <f t="shared" si="103"/>
        <v>0</v>
      </c>
      <c r="BD109" s="288">
        <f t="shared" si="98"/>
        <v>0</v>
      </c>
      <c r="BE109" s="288">
        <f t="shared" si="98"/>
        <v>0</v>
      </c>
      <c r="BF109" s="288">
        <f t="shared" si="98"/>
        <v>0</v>
      </c>
      <c r="BG109" s="288">
        <f t="shared" si="98"/>
        <v>0</v>
      </c>
      <c r="BH109" s="288">
        <f t="shared" si="98"/>
        <v>0</v>
      </c>
      <c r="BI109" s="288">
        <f t="shared" si="98"/>
        <v>0</v>
      </c>
      <c r="BJ109" s="288">
        <f t="shared" si="98"/>
        <v>0</v>
      </c>
      <c r="BK109" s="288">
        <f t="shared" si="98"/>
        <v>0</v>
      </c>
      <c r="BL109" s="288">
        <f t="shared" si="102"/>
        <v>0</v>
      </c>
      <c r="BM109" s="288">
        <f t="shared" si="102"/>
        <v>0</v>
      </c>
      <c r="BN109" s="288">
        <f t="shared" si="102"/>
        <v>0</v>
      </c>
      <c r="BO109" s="288">
        <f t="shared" si="102"/>
        <v>0</v>
      </c>
      <c r="BP109" s="288">
        <f t="shared" si="102"/>
        <v>0</v>
      </c>
      <c r="BQ109" s="288">
        <f t="shared" si="102"/>
        <v>0</v>
      </c>
      <c r="BR109" s="288">
        <f t="shared" si="102"/>
        <v>0</v>
      </c>
      <c r="BS109" s="288">
        <f t="shared" si="102"/>
        <v>0</v>
      </c>
      <c r="BT109" s="288">
        <f t="shared" si="102"/>
        <v>0</v>
      </c>
      <c r="BU109" s="288">
        <f t="shared" si="102"/>
        <v>0</v>
      </c>
      <c r="BV109" s="288">
        <f t="shared" si="110"/>
        <v>0</v>
      </c>
      <c r="BW109" s="288">
        <f t="shared" si="110"/>
        <v>0</v>
      </c>
      <c r="BX109" s="288">
        <f t="shared" si="110"/>
        <v>0</v>
      </c>
      <c r="BY109" s="288">
        <f t="shared" si="110"/>
        <v>0</v>
      </c>
      <c r="BZ109" s="288">
        <f t="shared" si="110"/>
        <v>0</v>
      </c>
      <c r="CA109" s="288">
        <f t="shared" si="110"/>
        <v>0</v>
      </c>
      <c r="CB109" s="288">
        <f t="shared" si="110"/>
        <v>0</v>
      </c>
      <c r="CC109" s="288">
        <f t="shared" si="110"/>
        <v>0</v>
      </c>
      <c r="CD109" s="288">
        <f t="shared" si="110"/>
        <v>0</v>
      </c>
      <c r="CE109" s="288">
        <f t="shared" si="95"/>
        <v>0</v>
      </c>
      <c r="CF109" s="288">
        <f t="shared" si="95"/>
        <v>0</v>
      </c>
      <c r="CG109" s="288">
        <f t="shared" si="95"/>
        <v>0</v>
      </c>
      <c r="CH109" s="288">
        <f t="shared" si="95"/>
        <v>0</v>
      </c>
      <c r="CI109" s="288">
        <f t="shared" si="95"/>
        <v>0</v>
      </c>
      <c r="CJ109" s="288">
        <f t="shared" si="95"/>
        <v>0</v>
      </c>
      <c r="CK109" s="288">
        <f t="shared" si="95"/>
        <v>0</v>
      </c>
      <c r="CL109" s="288">
        <f t="shared" si="95"/>
        <v>0</v>
      </c>
      <c r="CM109" s="288">
        <f t="shared" si="91"/>
        <v>0</v>
      </c>
      <c r="CN109" s="288">
        <f t="shared" si="91"/>
        <v>0</v>
      </c>
      <c r="CO109" s="288">
        <f t="shared" si="91"/>
        <v>0</v>
      </c>
      <c r="CP109" s="288">
        <f t="shared" si="91"/>
        <v>0</v>
      </c>
      <c r="CQ109" s="288">
        <f t="shared" si="80"/>
        <v>0</v>
      </c>
      <c r="CR109" s="288">
        <f t="shared" si="81"/>
        <v>0</v>
      </c>
      <c r="CS109" s="288">
        <f t="shared" si="82"/>
        <v>0</v>
      </c>
      <c r="CT109" s="288">
        <f t="shared" si="97"/>
        <v>0</v>
      </c>
      <c r="CU109" s="288">
        <f t="shared" si="84"/>
        <v>0</v>
      </c>
      <c r="CV109" s="288">
        <f t="shared" si="109"/>
        <v>0</v>
      </c>
      <c r="CW109" s="288">
        <f t="shared" si="109"/>
        <v>0</v>
      </c>
      <c r="CX109" s="288">
        <f t="shared" si="109"/>
        <v>0</v>
      </c>
      <c r="CY109" s="288">
        <f t="shared" si="109"/>
        <v>0</v>
      </c>
      <c r="CZ109" s="288">
        <f t="shared" si="109"/>
        <v>0</v>
      </c>
      <c r="DA109" s="288">
        <f t="shared" si="109"/>
        <v>0</v>
      </c>
      <c r="DB109" s="288">
        <f>IF(DB$2&gt;$B109,(IF(DB$2&lt;=$B110,(IF(AVERAGE($B109,$B110)&gt;DB$2,$A109,$A110)),0)),0)</f>
        <v>0</v>
      </c>
      <c r="DC109" s="288">
        <f>IF(DC$2&gt;$B109,(IF(DC$2&lt;=$B110,(IF(AVERAGE($B109,$B110)&gt;DC$2,$A109,$A110)),0)),0)</f>
        <v>0</v>
      </c>
      <c r="DD109" s="288">
        <f>IF(DD$2&gt;$B109,(IF(DD$2&lt;=$B110,(IF(AVERAGE($B109,$B110)&gt;DD$2,$A109,$A110)),0)),0)</f>
        <v>0</v>
      </c>
      <c r="DE109" s="288">
        <f>IF(DE$2&gt;$B109,(IF(DE$2&lt;=$B110,(IF(AVERAGE($B109,$B110)&gt;DE$2,$A109,$A110)),0)),0)</f>
        <v>0</v>
      </c>
      <c r="DG109" s="314">
        <f t="shared" si="60"/>
        <v>0</v>
      </c>
      <c r="DH109" s="289">
        <f>MAX(DE$3:DE$109)</f>
        <v>0</v>
      </c>
      <c r="DJ109" s="288">
        <f>LOOKUP(DH109, 'Mortality Table'!A:A,('Mortality Table'!J:J/'Mortality Table'!I:I))</f>
        <v>8.0182049218943969E-3</v>
      </c>
      <c r="DK109" s="288">
        <f>LOOKUP(A109, 'Mortality Table'!A:A,('Mortality Table'!J:J/'Mortality Table'!I:I))</f>
        <v>0.92057461789832573</v>
      </c>
      <c r="DL109" s="288">
        <f t="shared" si="61"/>
        <v>0.91255641297643131</v>
      </c>
      <c r="DN109" s="288">
        <f>LOOKUP(DH109, 'Mortality Table'!A:A,('Mortality Table'!L:L/'Mortality Table'!K:K))</f>
        <v>8.1221168797731332E-3</v>
      </c>
      <c r="DO109" s="288">
        <f>LOOKUP(A109, 'Mortality Table'!A:A,('Mortality Table'!L:L/'Mortality Table'!K:K))</f>
        <v>0.93250480824031101</v>
      </c>
      <c r="DP109" s="288">
        <f t="shared" si="62"/>
        <v>0.92438269136053786</v>
      </c>
      <c r="DR109" s="288">
        <f>LOOKUP(DH109, 'Mortality Table'!A:A,('Mortality Table'!N:N/'Mortality Table'!M:M))</f>
        <v>8.3046591523291084E-3</v>
      </c>
      <c r="DS109" s="288">
        <f>LOOKUP(A109, 'Mortality Table'!A:A,('Mortality Table'!N:N/'Mortality Table'!M:M))</f>
        <v>0.95346258924559113</v>
      </c>
      <c r="DT109" s="288">
        <f t="shared" si="63"/>
        <v>0.94515793009326199</v>
      </c>
    </row>
    <row r="110" spans="1:124">
      <c r="C110" s="288">
        <f>MAX(C3:C109)</f>
        <v>55</v>
      </c>
      <c r="D110" s="288">
        <f t="shared" ref="D110:BO110" si="111">MAX(D3:D109)</f>
        <v>17</v>
      </c>
      <c r="E110" s="288">
        <f t="shared" si="111"/>
        <v>16</v>
      </c>
      <c r="F110" s="288">
        <f t="shared" si="111"/>
        <v>15</v>
      </c>
      <c r="G110" s="288">
        <f t="shared" si="111"/>
        <v>14</v>
      </c>
      <c r="H110" s="288">
        <f t="shared" si="111"/>
        <v>14</v>
      </c>
      <c r="I110" s="288">
        <f t="shared" si="111"/>
        <v>14</v>
      </c>
      <c r="J110" s="288">
        <f t="shared" si="111"/>
        <v>13</v>
      </c>
      <c r="K110" s="288">
        <f t="shared" si="111"/>
        <v>13</v>
      </c>
      <c r="L110" s="288">
        <f t="shared" si="111"/>
        <v>13</v>
      </c>
      <c r="M110" s="288">
        <f t="shared" si="111"/>
        <v>13</v>
      </c>
      <c r="N110" s="288">
        <f t="shared" si="111"/>
        <v>13</v>
      </c>
      <c r="O110" s="288">
        <f t="shared" si="111"/>
        <v>13</v>
      </c>
      <c r="P110" s="288">
        <f t="shared" si="111"/>
        <v>14</v>
      </c>
      <c r="Q110" s="288">
        <f t="shared" si="111"/>
        <v>15</v>
      </c>
      <c r="R110" s="288">
        <f t="shared" si="111"/>
        <v>16</v>
      </c>
      <c r="S110" s="288">
        <f t="shared" si="111"/>
        <v>17</v>
      </c>
      <c r="T110" s="288">
        <f t="shared" si="111"/>
        <v>18</v>
      </c>
      <c r="U110" s="288">
        <f t="shared" si="111"/>
        <v>20</v>
      </c>
      <c r="V110" s="288">
        <f t="shared" si="111"/>
        <v>29</v>
      </c>
      <c r="W110" s="288">
        <f t="shared" si="111"/>
        <v>32</v>
      </c>
      <c r="X110" s="288">
        <f t="shared" si="111"/>
        <v>33</v>
      </c>
      <c r="Y110" s="288">
        <f t="shared" si="111"/>
        <v>34</v>
      </c>
      <c r="Z110" s="288">
        <f t="shared" si="111"/>
        <v>33</v>
      </c>
      <c r="AA110" s="288">
        <f t="shared" si="111"/>
        <v>33</v>
      </c>
      <c r="AB110" s="288">
        <f t="shared" si="111"/>
        <v>33</v>
      </c>
      <c r="AC110" s="288">
        <f t="shared" si="111"/>
        <v>33</v>
      </c>
      <c r="AD110" s="288">
        <f t="shared" si="111"/>
        <v>33</v>
      </c>
      <c r="AE110" s="288">
        <f t="shared" si="111"/>
        <v>34</v>
      </c>
      <c r="AF110" s="288">
        <f t="shared" si="111"/>
        <v>34</v>
      </c>
      <c r="AG110" s="288">
        <f t="shared" si="111"/>
        <v>35</v>
      </c>
      <c r="AH110" s="288">
        <f t="shared" si="111"/>
        <v>36</v>
      </c>
      <c r="AI110" s="288">
        <f t="shared" si="111"/>
        <v>36</v>
      </c>
      <c r="AJ110" s="288">
        <f t="shared" si="111"/>
        <v>37</v>
      </c>
      <c r="AK110" s="288">
        <f t="shared" si="111"/>
        <v>38</v>
      </c>
      <c r="AL110" s="288">
        <f t="shared" si="111"/>
        <v>39</v>
      </c>
      <c r="AM110" s="288">
        <f t="shared" si="111"/>
        <v>40</v>
      </c>
      <c r="AN110" s="288">
        <f t="shared" si="111"/>
        <v>40</v>
      </c>
      <c r="AO110" s="288">
        <f t="shared" si="111"/>
        <v>41</v>
      </c>
      <c r="AP110" s="288">
        <f t="shared" si="111"/>
        <v>42</v>
      </c>
      <c r="AQ110" s="288">
        <f t="shared" si="111"/>
        <v>43</v>
      </c>
      <c r="AR110" s="288">
        <f t="shared" si="111"/>
        <v>43</v>
      </c>
      <c r="AS110" s="288">
        <f t="shared" si="111"/>
        <v>44</v>
      </c>
      <c r="AT110" s="288">
        <f t="shared" si="111"/>
        <v>46</v>
      </c>
      <c r="AU110" s="288">
        <f t="shared" si="111"/>
        <v>47</v>
      </c>
      <c r="AV110" s="288">
        <f t="shared" si="111"/>
        <v>48</v>
      </c>
      <c r="AW110" s="288">
        <f t="shared" si="111"/>
        <v>49</v>
      </c>
      <c r="AX110" s="288">
        <f t="shared" si="111"/>
        <v>49</v>
      </c>
      <c r="AY110" s="288">
        <f t="shared" si="111"/>
        <v>50</v>
      </c>
      <c r="AZ110" s="288">
        <f t="shared" si="111"/>
        <v>51</v>
      </c>
      <c r="BA110" s="288">
        <f t="shared" si="111"/>
        <v>52</v>
      </c>
      <c r="BB110" s="288">
        <f t="shared" si="111"/>
        <v>53</v>
      </c>
      <c r="BC110" s="288">
        <f t="shared" si="111"/>
        <v>54</v>
      </c>
      <c r="BD110" s="288">
        <f t="shared" si="111"/>
        <v>55</v>
      </c>
      <c r="BE110" s="288">
        <f t="shared" si="111"/>
        <v>57</v>
      </c>
      <c r="BF110" s="288">
        <f t="shared" si="111"/>
        <v>58</v>
      </c>
      <c r="BG110" s="288">
        <f t="shared" si="111"/>
        <v>59</v>
      </c>
      <c r="BH110" s="288">
        <f t="shared" si="111"/>
        <v>60</v>
      </c>
      <c r="BI110" s="288">
        <f t="shared" si="111"/>
        <v>61</v>
      </c>
      <c r="BJ110" s="288">
        <f t="shared" si="111"/>
        <v>62</v>
      </c>
      <c r="BK110" s="288">
        <f t="shared" si="111"/>
        <v>63</v>
      </c>
      <c r="BL110" s="288">
        <f t="shared" si="111"/>
        <v>64</v>
      </c>
      <c r="BM110" s="288">
        <f t="shared" si="111"/>
        <v>65</v>
      </c>
      <c r="BN110" s="288">
        <f t="shared" si="111"/>
        <v>66</v>
      </c>
      <c r="BO110" s="288">
        <f t="shared" si="111"/>
        <v>67</v>
      </c>
      <c r="BP110" s="288">
        <f t="shared" ref="BP110:DE110" si="112">MAX(BP3:BP109)</f>
        <v>68</v>
      </c>
      <c r="BQ110" s="288">
        <f t="shared" si="112"/>
        <v>69</v>
      </c>
      <c r="BR110" s="288">
        <f t="shared" si="112"/>
        <v>70</v>
      </c>
      <c r="BS110" s="288">
        <f t="shared" si="112"/>
        <v>71</v>
      </c>
      <c r="BT110" s="288">
        <f t="shared" si="112"/>
        <v>71</v>
      </c>
      <c r="BU110" s="288">
        <f t="shared" si="112"/>
        <v>72</v>
      </c>
      <c r="BV110" s="288">
        <f t="shared" si="112"/>
        <v>74</v>
      </c>
      <c r="BW110" s="288">
        <f t="shared" si="112"/>
        <v>75</v>
      </c>
      <c r="BX110" s="288">
        <f t="shared" si="112"/>
        <v>75</v>
      </c>
      <c r="BY110" s="288">
        <f t="shared" si="112"/>
        <v>76</v>
      </c>
      <c r="BZ110" s="288">
        <f t="shared" si="112"/>
        <v>77</v>
      </c>
      <c r="CA110" s="288">
        <f t="shared" si="112"/>
        <v>78</v>
      </c>
      <c r="CB110" s="288">
        <f t="shared" si="112"/>
        <v>79</v>
      </c>
      <c r="CC110" s="288">
        <f t="shared" si="112"/>
        <v>80</v>
      </c>
      <c r="CD110" s="288">
        <f t="shared" si="112"/>
        <v>81</v>
      </c>
      <c r="CE110" s="288">
        <f t="shared" si="112"/>
        <v>82</v>
      </c>
      <c r="CF110" s="288">
        <f t="shared" si="112"/>
        <v>83</v>
      </c>
      <c r="CG110" s="288">
        <f t="shared" si="112"/>
        <v>84</v>
      </c>
      <c r="CH110" s="288">
        <f t="shared" si="112"/>
        <v>85</v>
      </c>
      <c r="CI110" s="288">
        <f t="shared" si="112"/>
        <v>86</v>
      </c>
      <c r="CJ110" s="288">
        <f t="shared" si="112"/>
        <v>87</v>
      </c>
      <c r="CK110" s="288">
        <f t="shared" si="112"/>
        <v>88</v>
      </c>
      <c r="CL110" s="288">
        <f t="shared" si="112"/>
        <v>90</v>
      </c>
      <c r="CM110" s="288">
        <f t="shared" si="112"/>
        <v>91</v>
      </c>
      <c r="CN110" s="288">
        <f t="shared" si="112"/>
        <v>92</v>
      </c>
      <c r="CO110" s="288">
        <f t="shared" si="112"/>
        <v>93</v>
      </c>
      <c r="CP110" s="288">
        <f t="shared" si="112"/>
        <v>94</v>
      </c>
      <c r="CQ110" s="288">
        <f t="shared" si="112"/>
        <v>96</v>
      </c>
      <c r="CR110" s="288">
        <f t="shared" si="112"/>
        <v>97</v>
      </c>
      <c r="CS110" s="288">
        <f t="shared" si="112"/>
        <v>97</v>
      </c>
      <c r="CT110" s="288">
        <f t="shared" si="112"/>
        <v>98</v>
      </c>
      <c r="CU110" s="288">
        <f t="shared" si="112"/>
        <v>98</v>
      </c>
      <c r="CV110" s="288">
        <f t="shared" si="112"/>
        <v>99</v>
      </c>
      <c r="CW110" s="288">
        <f t="shared" si="112"/>
        <v>101</v>
      </c>
      <c r="CX110" s="288">
        <f t="shared" si="112"/>
        <v>102</v>
      </c>
      <c r="CY110" s="288">
        <f t="shared" si="112"/>
        <v>103</v>
      </c>
      <c r="CZ110" s="288">
        <f t="shared" si="112"/>
        <v>104</v>
      </c>
      <c r="DA110" s="288">
        <f t="shared" si="112"/>
        <v>104</v>
      </c>
      <c r="DB110" s="288">
        <f t="shared" si="112"/>
        <v>105</v>
      </c>
      <c r="DC110" s="288">
        <f t="shared" si="112"/>
        <v>105</v>
      </c>
      <c r="DD110" s="288">
        <f t="shared" si="112"/>
        <v>106</v>
      </c>
      <c r="DE110" s="288">
        <f t="shared" si="112"/>
        <v>0</v>
      </c>
    </row>
  </sheetData>
  <mergeCells count="5">
    <mergeCell ref="DJ2:DL2"/>
    <mergeCell ref="DN2:DP2"/>
    <mergeCell ref="DR2:DT2"/>
    <mergeCell ref="DH1:DH2"/>
    <mergeCell ref="DG1:DG2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110"/>
  <sheetViews>
    <sheetView zoomScaleNormal="100" workbookViewId="0"/>
  </sheetViews>
  <sheetFormatPr defaultRowHeight="15"/>
  <cols>
    <col min="1" max="1" width="9.140625" style="288"/>
    <col min="2" max="2" width="12.7109375" style="288" hidden="1" customWidth="1"/>
    <col min="3" max="3" width="9.140625" style="288" hidden="1" customWidth="1"/>
    <col min="4" max="109" width="0" style="288" hidden="1" customWidth="1"/>
    <col min="110" max="110" width="9.140625" style="288"/>
    <col min="111" max="111" width="17.28515625" style="314" bestFit="1" customWidth="1"/>
    <col min="112" max="112" width="11.85546875" style="290" bestFit="1" customWidth="1"/>
    <col min="113" max="113" width="11.85546875" style="11" customWidth="1"/>
    <col min="114" max="114" width="14.140625" style="288" bestFit="1" customWidth="1"/>
    <col min="115" max="115" width="10.28515625" style="288" bestFit="1" customWidth="1"/>
    <col min="116" max="116" width="16.5703125" style="288" bestFit="1" customWidth="1"/>
    <col min="117" max="117" width="9.140625" style="288"/>
    <col min="118" max="118" width="14.140625" style="288" bestFit="1" customWidth="1"/>
    <col min="119" max="119" width="10.28515625" style="288" bestFit="1" customWidth="1"/>
    <col min="120" max="120" width="16.5703125" style="288" bestFit="1" customWidth="1"/>
    <col min="121" max="121" width="9.140625" style="288"/>
    <col min="122" max="122" width="14.140625" style="288" bestFit="1" customWidth="1"/>
    <col min="123" max="123" width="10.28515625" style="288" bestFit="1" customWidth="1"/>
    <col min="124" max="124" width="16.5703125" style="288" bestFit="1" customWidth="1"/>
    <col min="125" max="16384" width="9.140625" style="288"/>
  </cols>
  <sheetData>
    <row r="1" spans="1:124" ht="12.75" customHeight="1">
      <c r="A1" s="288">
        <f>Changes!NewChangedValue</f>
        <v>3</v>
      </c>
      <c r="C1" s="288">
        <v>0</v>
      </c>
      <c r="D1" s="288">
        <v>1</v>
      </c>
      <c r="E1" s="288">
        <v>2</v>
      </c>
      <c r="F1" s="288">
        <v>3</v>
      </c>
      <c r="G1" s="288">
        <v>4</v>
      </c>
      <c r="H1" s="288">
        <v>5</v>
      </c>
      <c r="I1" s="288">
        <v>6</v>
      </c>
      <c r="J1" s="288">
        <v>7</v>
      </c>
      <c r="K1" s="288">
        <v>8</v>
      </c>
      <c r="L1" s="288">
        <v>9</v>
      </c>
      <c r="M1" s="288">
        <v>10</v>
      </c>
      <c r="N1" s="288">
        <v>11</v>
      </c>
      <c r="O1" s="288">
        <v>12</v>
      </c>
      <c r="P1" s="288">
        <v>13</v>
      </c>
      <c r="Q1" s="288">
        <v>14</v>
      </c>
      <c r="R1" s="288">
        <v>15</v>
      </c>
      <c r="S1" s="288">
        <v>16</v>
      </c>
      <c r="T1" s="288">
        <v>17</v>
      </c>
      <c r="U1" s="288">
        <v>18</v>
      </c>
      <c r="V1" s="288">
        <v>19</v>
      </c>
      <c r="W1" s="288">
        <v>20</v>
      </c>
      <c r="X1" s="288">
        <v>21</v>
      </c>
      <c r="Y1" s="288">
        <v>22</v>
      </c>
      <c r="Z1" s="288">
        <v>23</v>
      </c>
      <c r="AA1" s="288">
        <v>24</v>
      </c>
      <c r="AB1" s="288">
        <v>25</v>
      </c>
      <c r="AC1" s="288">
        <v>26</v>
      </c>
      <c r="AD1" s="288">
        <v>27</v>
      </c>
      <c r="AE1" s="288">
        <v>28</v>
      </c>
      <c r="AF1" s="288">
        <v>29</v>
      </c>
      <c r="AG1" s="288">
        <v>30</v>
      </c>
      <c r="AH1" s="288">
        <v>31</v>
      </c>
      <c r="AI1" s="288">
        <v>32</v>
      </c>
      <c r="AJ1" s="288">
        <v>33</v>
      </c>
      <c r="AK1" s="288">
        <v>34</v>
      </c>
      <c r="AL1" s="288">
        <v>35</v>
      </c>
      <c r="AM1" s="288">
        <v>36</v>
      </c>
      <c r="AN1" s="288">
        <v>37</v>
      </c>
      <c r="AO1" s="288">
        <v>38</v>
      </c>
      <c r="AP1" s="288">
        <v>39</v>
      </c>
      <c r="AQ1" s="288">
        <v>40</v>
      </c>
      <c r="AR1" s="288">
        <v>41</v>
      </c>
      <c r="AS1" s="288">
        <v>42</v>
      </c>
      <c r="AT1" s="288">
        <v>43</v>
      </c>
      <c r="AU1" s="288">
        <v>44</v>
      </c>
      <c r="AV1" s="288">
        <v>45</v>
      </c>
      <c r="AW1" s="288">
        <v>46</v>
      </c>
      <c r="AX1" s="288">
        <v>47</v>
      </c>
      <c r="AY1" s="288">
        <v>48</v>
      </c>
      <c r="AZ1" s="288">
        <v>49</v>
      </c>
      <c r="BA1" s="288">
        <v>50</v>
      </c>
      <c r="BB1" s="288">
        <v>51</v>
      </c>
      <c r="BC1" s="288">
        <v>52</v>
      </c>
      <c r="BD1" s="288">
        <v>53</v>
      </c>
      <c r="BE1" s="288">
        <v>54</v>
      </c>
      <c r="BF1" s="288">
        <v>55</v>
      </c>
      <c r="BG1" s="288">
        <v>56</v>
      </c>
      <c r="BH1" s="288">
        <v>57</v>
      </c>
      <c r="BI1" s="288">
        <v>58</v>
      </c>
      <c r="BJ1" s="288">
        <v>59</v>
      </c>
      <c r="BK1" s="288">
        <v>60</v>
      </c>
      <c r="BL1" s="288">
        <v>61</v>
      </c>
      <c r="BM1" s="288">
        <v>62</v>
      </c>
      <c r="BN1" s="288">
        <v>63</v>
      </c>
      <c r="BO1" s="288">
        <v>64</v>
      </c>
      <c r="BP1" s="288">
        <v>65</v>
      </c>
      <c r="BQ1" s="288">
        <v>66</v>
      </c>
      <c r="BR1" s="288">
        <v>67</v>
      </c>
      <c r="BS1" s="288">
        <v>68</v>
      </c>
      <c r="BT1" s="288">
        <v>69</v>
      </c>
      <c r="BU1" s="288">
        <v>70</v>
      </c>
      <c r="BV1" s="288">
        <v>71</v>
      </c>
      <c r="BW1" s="288">
        <v>72</v>
      </c>
      <c r="BX1" s="288">
        <v>73</v>
      </c>
      <c r="BY1" s="288">
        <v>74</v>
      </c>
      <c r="BZ1" s="288">
        <v>75</v>
      </c>
      <c r="CA1" s="288">
        <v>76</v>
      </c>
      <c r="CB1" s="288">
        <v>77</v>
      </c>
      <c r="CC1" s="288">
        <v>78</v>
      </c>
      <c r="CD1" s="288">
        <v>79</v>
      </c>
      <c r="CE1" s="288">
        <v>80</v>
      </c>
      <c r="CF1" s="288">
        <v>81</v>
      </c>
      <c r="CG1" s="288">
        <v>82</v>
      </c>
      <c r="CH1" s="288">
        <v>83</v>
      </c>
      <c r="CI1" s="288">
        <v>84</v>
      </c>
      <c r="CJ1" s="288">
        <v>85</v>
      </c>
      <c r="CK1" s="288">
        <v>86</v>
      </c>
      <c r="CL1" s="288">
        <v>87</v>
      </c>
      <c r="CM1" s="288">
        <v>88</v>
      </c>
      <c r="CN1" s="288">
        <v>89</v>
      </c>
      <c r="CO1" s="288">
        <v>90</v>
      </c>
      <c r="CP1" s="288">
        <v>91</v>
      </c>
      <c r="CQ1" s="288">
        <v>92</v>
      </c>
      <c r="CR1" s="288">
        <v>93</v>
      </c>
      <c r="CS1" s="288">
        <v>94</v>
      </c>
      <c r="CT1" s="288">
        <v>95</v>
      </c>
      <c r="CU1" s="288">
        <v>96</v>
      </c>
      <c r="CV1" s="288">
        <v>97</v>
      </c>
      <c r="CW1" s="288">
        <v>98</v>
      </c>
      <c r="CX1" s="288">
        <v>99</v>
      </c>
      <c r="CY1" s="288">
        <v>100</v>
      </c>
      <c r="CZ1" s="288">
        <v>101</v>
      </c>
      <c r="DA1" s="288">
        <v>102</v>
      </c>
      <c r="DB1" s="288">
        <v>103</v>
      </c>
      <c r="DC1" s="288">
        <v>104</v>
      </c>
      <c r="DD1" s="288">
        <v>105</v>
      </c>
      <c r="DE1" s="288">
        <v>106</v>
      </c>
      <c r="DG1" s="567" t="s">
        <v>240</v>
      </c>
      <c r="DH1" s="566" t="s">
        <v>226</v>
      </c>
      <c r="DJ1" s="292" t="s">
        <v>227</v>
      </c>
      <c r="DK1" s="293" t="s">
        <v>228</v>
      </c>
      <c r="DL1" s="294" t="s">
        <v>229</v>
      </c>
      <c r="DN1" s="292" t="s">
        <v>227</v>
      </c>
      <c r="DO1" s="293" t="s">
        <v>228</v>
      </c>
      <c r="DP1" s="294" t="s">
        <v>229</v>
      </c>
      <c r="DR1" s="292" t="s">
        <v>227</v>
      </c>
      <c r="DS1" s="293" t="s">
        <v>228</v>
      </c>
      <c r="DT1" s="294" t="s">
        <v>229</v>
      </c>
    </row>
    <row r="2" spans="1:124" ht="12.75" customHeight="1">
      <c r="C2" s="288">
        <f>(1+$A$1/100)*B3</f>
        <v>8.9713000000000015E-3</v>
      </c>
      <c r="D2" s="288">
        <f>(1+$A$1/100)*B4</f>
        <v>7.4811609115395087E-4</v>
      </c>
      <c r="E2" s="288">
        <f>(1+$A$1/100)*B5</f>
        <v>4.8870852135639081E-4</v>
      </c>
      <c r="F2" s="288">
        <f>(1+$A$1/100)*B6</f>
        <v>3.4329865670134328E-4</v>
      </c>
      <c r="G2" s="288">
        <f>(1+$A$1/100)*B7</f>
        <v>3.0178728391444477E-4</v>
      </c>
      <c r="H2" s="288">
        <f>(1+$A$1/100)*B8</f>
        <v>2.8105671665925539E-4</v>
      </c>
      <c r="I2" s="288">
        <f>(1+$A$1/100)*B9</f>
        <v>2.4989638196136309E-4</v>
      </c>
      <c r="J2" s="288">
        <f>(1+$A$1/100)*B10</f>
        <v>2.1871239774715108E-4</v>
      </c>
      <c r="K2" s="288">
        <f>(1+$A$1/100)*B11</f>
        <v>2.1875884946802055E-4</v>
      </c>
      <c r="L2" s="288">
        <f>(1+$A$1/100)*$B12</f>
        <v>2.0838601992817765E-4</v>
      </c>
      <c r="M2" s="288">
        <f>(1+$A$1/100)*$B13</f>
        <v>2.188495978145394E-4</v>
      </c>
      <c r="N2" s="288">
        <f>(1+$A$1/100)*$B14</f>
        <v>2.188961078389702E-4</v>
      </c>
      <c r="O2" s="288">
        <f>(1+$A$1/100)*$B15</f>
        <v>2.293684775237112E-4</v>
      </c>
      <c r="P2" s="288">
        <f>(1+$A$1/100)*$B16</f>
        <v>2.711322149213838E-4</v>
      </c>
      <c r="Q2" s="288">
        <f>(1+$A$1/100)*$B17</f>
        <v>3.4421996050432933E-4</v>
      </c>
      <c r="R2" s="288">
        <f>(1+$A$1/100)*$B18</f>
        <v>4.6954777534646244E-4</v>
      </c>
      <c r="S2" s="288">
        <f>(1+$A$1/100)*$B19</f>
        <v>6.367883892284148E-4</v>
      </c>
      <c r="T2" s="288">
        <f>(1+$A$1/100)*$B20</f>
        <v>8.9832261728495233E-4</v>
      </c>
      <c r="U2" s="288">
        <f>(1+$A$1/100)*$B21</f>
        <v>1.1918392204628503E-3</v>
      </c>
      <c r="V2" s="288">
        <f>(1+$A$1/100)*$B22</f>
        <v>1.3502225474056461E-3</v>
      </c>
      <c r="W2" s="288">
        <f>(1+$A$1/100)*$B23</f>
        <v>1.4672812560415967E-3</v>
      </c>
      <c r="X2" s="288">
        <f>(1+$A$1/100)*$B24</f>
        <v>1.5743297634938913E-3</v>
      </c>
      <c r="Y2" s="288">
        <f>(1+$A$1/100)*$B25</f>
        <v>1.6503209609437985E-3</v>
      </c>
      <c r="Z2" s="288">
        <f>(1+$A$1/100)*$B26</f>
        <v>1.6108555657773688E-3</v>
      </c>
      <c r="AA2" s="288">
        <f>(1+$A$1/100)*$B27</f>
        <v>1.6133787892748548E-3</v>
      </c>
      <c r="AB2" s="288">
        <f>(1+$A$1/100)*$B28</f>
        <v>1.5947869242442885E-3</v>
      </c>
      <c r="AC2" s="288">
        <f>(1+$A$1/100)*$B29</f>
        <v>1.5972600207449705E-3</v>
      </c>
      <c r="AD2" s="288">
        <f>(1+$A$1/100)*$B30</f>
        <v>1.6103351093373927E-3</v>
      </c>
      <c r="AE2" s="288">
        <f>(1+$A$1/100)*$B31</f>
        <v>1.6340785000515093E-3</v>
      </c>
      <c r="AF2" s="288">
        <f>(1+$A$1/100)*$B32</f>
        <v>1.6685583391803211E-3</v>
      </c>
      <c r="AG2" s="288">
        <f>(1+$A$1/100)*$B33</f>
        <v>1.7244907450469724E-3</v>
      </c>
      <c r="AH2" s="288">
        <f>(1+$A$1/100)*$B34</f>
        <v>1.7913599801236064E-3</v>
      </c>
      <c r="AI2" s="288">
        <f>(1+$A$1/100)*$B35</f>
        <v>1.8585695174688113E-3</v>
      </c>
      <c r="AJ2" s="288">
        <f>(1+$A$1/100)*$B36</f>
        <v>1.9689366786140978E-3</v>
      </c>
      <c r="AK2" s="288">
        <f>(1+$A$1/100)*$B37</f>
        <v>2.069198821704781E-3</v>
      </c>
      <c r="AL2" s="288">
        <f>(1+$A$1/100)*$B38</f>
        <v>2.1700494378272387E-3</v>
      </c>
      <c r="AM2" s="288">
        <f>(1+$A$1/100)*$B39</f>
        <v>2.2930515489778002E-3</v>
      </c>
      <c r="AN2" s="288">
        <f>(1+$A$1/100)*$B40</f>
        <v>2.4384316436734648E-3</v>
      </c>
      <c r="AO2" s="288">
        <f>(1+$A$1/100)*$B41</f>
        <v>2.5956298497432722E-3</v>
      </c>
      <c r="AP2" s="288">
        <f>(1+$A$1/100)*$B42</f>
        <v>2.721454361716686E-3</v>
      </c>
      <c r="AQ2" s="288">
        <f>(1+$A$1/100)*$B43</f>
        <v>2.9352162624279652E-3</v>
      </c>
      <c r="AR2" s="288">
        <f>(1+$A$1/100)*$B44</f>
        <v>3.2052584783437066E-3</v>
      </c>
      <c r="AS2" s="288">
        <f>(1+$A$1/100)*$B45</f>
        <v>3.4339895096727612E-3</v>
      </c>
      <c r="AT2" s="288">
        <f>(1+$A$1/100)*$B46</f>
        <v>3.8734179912217159E-3</v>
      </c>
      <c r="AU2" s="288">
        <f>(1+$A$1/100)*$B47</f>
        <v>4.2074533497299905E-3</v>
      </c>
      <c r="AV2" s="288">
        <f>(1+$A$1/100)*$B48</f>
        <v>4.4901377599776667E-3</v>
      </c>
      <c r="AW2" s="288">
        <f>(1+$A$1/100)*$B49</f>
        <v>4.7986023488304384E-3</v>
      </c>
      <c r="AX2" s="288">
        <f>(1+$A$1/100)*$B50</f>
        <v>5.1558589306029586E-3</v>
      </c>
      <c r="AY2" s="288">
        <f>(1+$A$1/100)*$B51</f>
        <v>5.6192218483551663E-3</v>
      </c>
      <c r="AZ2" s="288">
        <f>(1+$A$1/100)*$B52</f>
        <v>6.2477554416852802E-3</v>
      </c>
      <c r="BA2" s="288">
        <f>(1+$A$1/100)*$B53</f>
        <v>6.8872414021018315E-3</v>
      </c>
      <c r="BB2" s="288">
        <f>(1+$A$1/100)*$B54</f>
        <v>7.53900921582327E-3</v>
      </c>
      <c r="BC2" s="288">
        <f>(1+$A$1/100)*$B55</f>
        <v>8.2850152495224042E-3</v>
      </c>
      <c r="BD2" s="288">
        <f>(1+$A$1/100)*$B56</f>
        <v>9.0482143460485862E-3</v>
      </c>
      <c r="BE2" s="288">
        <f>(1+$A$1/100)*$B57</f>
        <v>9.9008078535637589E-3</v>
      </c>
      <c r="BF2" s="288">
        <f>(1+$A$1/100)*$B58</f>
        <v>1.0918602650146275E-2</v>
      </c>
      <c r="BG2" s="288">
        <f>(1+$A$1/100)*$B59</f>
        <v>1.1764126111710207E-2</v>
      </c>
      <c r="BH2" s="288">
        <f>(1+$A$1/100)*$B60</f>
        <v>1.2624917894341748E-2</v>
      </c>
      <c r="BI2" s="288">
        <f>(1+$A$1/100)*$B61</f>
        <v>1.3796772393155288E-2</v>
      </c>
      <c r="BJ2" s="288">
        <f>(1+$A$1/100)*$B62</f>
        <v>1.4864292334171853E-2</v>
      </c>
      <c r="BK2" s="288">
        <f>(1+$A$1/100)*$B63</f>
        <v>1.6125983098041134E-2</v>
      </c>
      <c r="BL2" s="288">
        <f>(1+$A$1/100)*$B64</f>
        <v>1.7366442520036725E-2</v>
      </c>
      <c r="BM2" s="288">
        <f>(1+$A$1/100)*$B65</f>
        <v>1.8665118685562133E-2</v>
      </c>
      <c r="BN2" s="288">
        <f>(1+$A$1/100)*$B66</f>
        <v>2.0015679823152159E-2</v>
      </c>
      <c r="BO2" s="288">
        <f>(1+$A$1/100)*$B67</f>
        <v>2.1262861262205911E-2</v>
      </c>
      <c r="BP2" s="288">
        <f>(1+$A$1/100)*$B68</f>
        <v>2.2675990364025695E-2</v>
      </c>
      <c r="BQ2" s="288">
        <f>(1+$A$1/100)*$B69</f>
        <v>2.4088539172083475E-2</v>
      </c>
      <c r="BR2" s="288">
        <f>(1+$A$1/100)*$B70</f>
        <v>2.6079785892441781E-2</v>
      </c>
      <c r="BS2" s="288">
        <f>(1+$A$1/100)*$B71</f>
        <v>2.8193619804770052E-2</v>
      </c>
      <c r="BT2" s="288">
        <f>(1+$A$1/100)*$B72</f>
        <v>3.0539945310767869E-2</v>
      </c>
      <c r="BU2" s="288">
        <f>(1+$A$1/100)*$B73</f>
        <v>3.3042087465155606E-2</v>
      </c>
      <c r="BV2" s="288">
        <f>(1+$A$1/100)*$B74</f>
        <v>3.6601041814204552E-2</v>
      </c>
      <c r="BW2" s="288">
        <f>(1+$A$1/100)*$B75</f>
        <v>3.9899159663865549E-2</v>
      </c>
      <c r="BX2" s="288">
        <f>(1+$A$1/100)*$B76</f>
        <v>4.3622583218753716E-2</v>
      </c>
      <c r="BY2" s="288">
        <f>(1+$A$1/100)*$B77</f>
        <v>4.7432288712422006E-2</v>
      </c>
      <c r="BZ2" s="288">
        <f>(1+$A$1/100)*$B78</f>
        <v>5.2286595562822849E-2</v>
      </c>
      <c r="CA2" s="288">
        <f>(1+$A$1/100)*$B79</f>
        <v>5.7159495752260897E-2</v>
      </c>
      <c r="CB2" s="288">
        <f>(1+$A$1/100)*$B80</f>
        <v>6.3335682162027729E-2</v>
      </c>
      <c r="CC2" s="288">
        <f>(1+$A$1/100)*$B81</f>
        <v>7.0078394134793748E-2</v>
      </c>
      <c r="CD2" s="288">
        <f>(1+$A$1/100)*$B82</f>
        <v>7.7171291140440246E-2</v>
      </c>
      <c r="CE2" s="288">
        <f>(1+$A$1/100)*$B83</f>
        <v>8.4872569862452285E-2</v>
      </c>
      <c r="CF2" s="288">
        <f>(1+$A$1/100)*$B84</f>
        <v>9.5053037070120583E-2</v>
      </c>
      <c r="CG2" s="288">
        <f>(1+$A$1/100)*$B85</f>
        <v>0.1044633741312504</v>
      </c>
      <c r="CH2" s="288">
        <f>(1+$A$1/100)*$B86</f>
        <v>0.11484394250513348</v>
      </c>
      <c r="CI2" s="288">
        <f>(1+$A$1/100)*$B87</f>
        <v>0.12624065942531393</v>
      </c>
      <c r="CJ2" s="288">
        <f>(1+$A$1/100)*$B88</f>
        <v>0.13813213345039507</v>
      </c>
      <c r="CK2" s="288">
        <f>(1+$A$1/100)*$B89</f>
        <v>0.15049226869455007</v>
      </c>
      <c r="CL2" s="288">
        <f>(1+$A$1/100)*$B90</f>
        <v>0.16572463337885174</v>
      </c>
      <c r="CM2" s="288">
        <f>(1+$A$1/100)*$B91</f>
        <v>0.18278072596051795</v>
      </c>
      <c r="CN2" s="288">
        <f>(1+$A$1/100)*$B92</f>
        <v>0.19811440860215054</v>
      </c>
      <c r="CO2" s="288">
        <f>(1+$A$1/100)*$B93</f>
        <v>0.21403024816274366</v>
      </c>
      <c r="CP2" s="288">
        <f>(1+$A$1/100)*$B94</f>
        <v>0.23195079322398496</v>
      </c>
      <c r="CQ2" s="288">
        <f>(1+$A$1/100)*$B95</f>
        <v>0.25254034357105676</v>
      </c>
      <c r="CR2" s="288">
        <f>(1+$A$1/100)*$B96</f>
        <v>0.26969425287356324</v>
      </c>
      <c r="CS2" s="288">
        <f>(1+$A$1/100)*$B97</f>
        <v>0.28741202117720333</v>
      </c>
      <c r="CT2" s="288">
        <f>(1+$A$1/100)*$B98</f>
        <v>0.30254859611231105</v>
      </c>
      <c r="CU2" s="288">
        <f>(1+$A$1/100)*$B99</f>
        <v>0.32758409785932724</v>
      </c>
      <c r="CV2" s="288">
        <f>(1+$A$1/100)*$B100</f>
        <v>0.34641255605381172</v>
      </c>
      <c r="CW2" s="288">
        <f>(1+$A$1/100)*$B101</f>
        <v>0.39947297297297296</v>
      </c>
      <c r="CX2" s="288">
        <f>(1+$A$1/100)*$B102</f>
        <v>0.43200883002207502</v>
      </c>
      <c r="CY2" s="288">
        <f>(1+$A$1/100)*$B103</f>
        <v>0.46212927756653993</v>
      </c>
      <c r="CZ2" s="288">
        <f>(1+$A$1/100)*$B104</f>
        <v>0.49013793103448278</v>
      </c>
      <c r="DA2" s="288">
        <f>(1+$A$1/100)*$B105</f>
        <v>0.52855263157894739</v>
      </c>
      <c r="DB2" s="288">
        <f>(1+$A$1/100)*$B106</f>
        <v>0.55675675675675684</v>
      </c>
      <c r="DC2" s="288">
        <f>(1+$A$1/100)*$B107</f>
        <v>0.60588235294117654</v>
      </c>
      <c r="DD2" s="288">
        <f>(1+$A$1/100)*$B108</f>
        <v>0.73571428571428577</v>
      </c>
      <c r="DE2" s="288">
        <f>(1+$A$1/100)*$B109</f>
        <v>1.03</v>
      </c>
      <c r="DG2" s="567"/>
      <c r="DH2" s="566"/>
      <c r="DJ2" s="560">
        <v>0.18</v>
      </c>
      <c r="DK2" s="561"/>
      <c r="DL2" s="561"/>
      <c r="DN2" s="562">
        <v>0.15</v>
      </c>
      <c r="DO2" s="563"/>
      <c r="DP2" s="563"/>
      <c r="DR2" s="564">
        <v>0.1</v>
      </c>
      <c r="DS2" s="565"/>
      <c r="DT2" s="565"/>
    </row>
    <row r="3" spans="1:124">
      <c r="A3" s="288">
        <v>0</v>
      </c>
      <c r="B3" s="288">
        <v>8.7100000000000007E-3</v>
      </c>
      <c r="C3" s="288">
        <f>IF(C$2&gt;$B3,(IF(C$2&lt;=$B4,(IF(AVERAGE($B3,$B4)&gt;C$2,$A3,$A4)),0)),0)</f>
        <v>0</v>
      </c>
      <c r="D3" s="288">
        <f t="shared" ref="D3:BO6" si="0">IF(D$2&gt;$B3,(IF(D$2&lt;=$B4,(IF(AVERAGE($B3,$B4)&gt;D$2,$A3,$A4)),0)),0)</f>
        <v>0</v>
      </c>
      <c r="E3" s="288">
        <f t="shared" si="0"/>
        <v>0</v>
      </c>
      <c r="F3" s="288">
        <f t="shared" si="0"/>
        <v>0</v>
      </c>
      <c r="G3" s="288">
        <f t="shared" si="0"/>
        <v>0</v>
      </c>
      <c r="H3" s="288">
        <f t="shared" si="0"/>
        <v>0</v>
      </c>
      <c r="I3" s="288">
        <f t="shared" si="0"/>
        <v>0</v>
      </c>
      <c r="J3" s="288">
        <f t="shared" si="0"/>
        <v>0</v>
      </c>
      <c r="K3" s="288">
        <f t="shared" si="0"/>
        <v>0</v>
      </c>
      <c r="L3" s="288">
        <f t="shared" si="0"/>
        <v>0</v>
      </c>
      <c r="M3" s="288">
        <f t="shared" si="0"/>
        <v>0</v>
      </c>
      <c r="N3" s="288">
        <f t="shared" si="0"/>
        <v>0</v>
      </c>
      <c r="O3" s="288">
        <f t="shared" si="0"/>
        <v>0</v>
      </c>
      <c r="P3" s="288">
        <f t="shared" si="0"/>
        <v>0</v>
      </c>
      <c r="Q3" s="288">
        <f t="shared" si="0"/>
        <v>0</v>
      </c>
      <c r="R3" s="288">
        <f t="shared" si="0"/>
        <v>0</v>
      </c>
      <c r="S3" s="288">
        <f t="shared" si="0"/>
        <v>0</v>
      </c>
      <c r="T3" s="288">
        <f t="shared" si="0"/>
        <v>0</v>
      </c>
      <c r="U3" s="288">
        <f t="shared" si="0"/>
        <v>0</v>
      </c>
      <c r="V3" s="288">
        <f t="shared" si="0"/>
        <v>0</v>
      </c>
      <c r="W3" s="288">
        <f t="shared" si="0"/>
        <v>0</v>
      </c>
      <c r="X3" s="288">
        <f t="shared" si="0"/>
        <v>0</v>
      </c>
      <c r="Y3" s="288">
        <f t="shared" si="0"/>
        <v>0</v>
      </c>
      <c r="Z3" s="288">
        <f t="shared" si="0"/>
        <v>0</v>
      </c>
      <c r="AA3" s="288">
        <f t="shared" si="0"/>
        <v>0</v>
      </c>
      <c r="AB3" s="288">
        <f t="shared" si="0"/>
        <v>0</v>
      </c>
      <c r="AC3" s="288">
        <f t="shared" si="0"/>
        <v>0</v>
      </c>
      <c r="AD3" s="288">
        <f t="shared" si="0"/>
        <v>0</v>
      </c>
      <c r="AE3" s="288">
        <f t="shared" si="0"/>
        <v>0</v>
      </c>
      <c r="AF3" s="288">
        <f t="shared" si="0"/>
        <v>0</v>
      </c>
      <c r="AG3" s="288">
        <f t="shared" si="0"/>
        <v>0</v>
      </c>
      <c r="AH3" s="288">
        <f t="shared" si="0"/>
        <v>0</v>
      </c>
      <c r="AI3" s="288">
        <f t="shared" si="0"/>
        <v>0</v>
      </c>
      <c r="AJ3" s="288">
        <f t="shared" si="0"/>
        <v>0</v>
      </c>
      <c r="AK3" s="288">
        <f t="shared" si="0"/>
        <v>0</v>
      </c>
      <c r="AL3" s="288">
        <f t="shared" si="0"/>
        <v>0</v>
      </c>
      <c r="AM3" s="288">
        <f t="shared" si="0"/>
        <v>0</v>
      </c>
      <c r="AN3" s="288">
        <f t="shared" si="0"/>
        <v>0</v>
      </c>
      <c r="AO3" s="288">
        <f t="shared" si="0"/>
        <v>0</v>
      </c>
      <c r="AP3" s="288">
        <f t="shared" si="0"/>
        <v>0</v>
      </c>
      <c r="AQ3" s="288">
        <f t="shared" si="0"/>
        <v>0</v>
      </c>
      <c r="AR3" s="288">
        <f t="shared" si="0"/>
        <v>0</v>
      </c>
      <c r="AS3" s="288">
        <f t="shared" si="0"/>
        <v>0</v>
      </c>
      <c r="AT3" s="288">
        <f t="shared" si="0"/>
        <v>0</v>
      </c>
      <c r="AU3" s="288">
        <f t="shared" si="0"/>
        <v>0</v>
      </c>
      <c r="AV3" s="288">
        <f t="shared" si="0"/>
        <v>0</v>
      </c>
      <c r="AW3" s="288">
        <f t="shared" si="0"/>
        <v>0</v>
      </c>
      <c r="AX3" s="288">
        <f t="shared" si="0"/>
        <v>0</v>
      </c>
      <c r="AY3" s="288">
        <f t="shared" si="0"/>
        <v>0</v>
      </c>
      <c r="AZ3" s="288">
        <f t="shared" si="0"/>
        <v>0</v>
      </c>
      <c r="BA3" s="288">
        <f t="shared" si="0"/>
        <v>0</v>
      </c>
      <c r="BB3" s="288">
        <f t="shared" si="0"/>
        <v>0</v>
      </c>
      <c r="BC3" s="288">
        <f t="shared" si="0"/>
        <v>0</v>
      </c>
      <c r="BD3" s="288">
        <f t="shared" si="0"/>
        <v>0</v>
      </c>
      <c r="BE3" s="288">
        <f t="shared" si="0"/>
        <v>0</v>
      </c>
      <c r="BF3" s="288">
        <f t="shared" si="0"/>
        <v>0</v>
      </c>
      <c r="BG3" s="288">
        <f t="shared" si="0"/>
        <v>0</v>
      </c>
      <c r="BH3" s="288">
        <f t="shared" si="0"/>
        <v>0</v>
      </c>
      <c r="BI3" s="288">
        <f t="shared" si="0"/>
        <v>0</v>
      </c>
      <c r="BJ3" s="288">
        <f t="shared" si="0"/>
        <v>0</v>
      </c>
      <c r="BK3" s="288">
        <f t="shared" si="0"/>
        <v>0</v>
      </c>
      <c r="BL3" s="288">
        <f t="shared" si="0"/>
        <v>0</v>
      </c>
      <c r="BM3" s="288">
        <f t="shared" si="0"/>
        <v>0</v>
      </c>
      <c r="BN3" s="288">
        <f t="shared" si="0"/>
        <v>0</v>
      </c>
      <c r="BO3" s="288">
        <f t="shared" si="0"/>
        <v>0</v>
      </c>
      <c r="BP3" s="288">
        <f t="shared" ref="BP3:DE9" si="1">IF(BP$2&gt;$B3,(IF(BP$2&lt;=$B4,(IF(AVERAGE($B3,$B4)&gt;BP$2,$A3,$A4)),0)),0)</f>
        <v>0</v>
      </c>
      <c r="BQ3" s="288">
        <f t="shared" si="1"/>
        <v>0</v>
      </c>
      <c r="BR3" s="288">
        <f t="shared" si="1"/>
        <v>0</v>
      </c>
      <c r="BS3" s="288">
        <f t="shared" si="1"/>
        <v>0</v>
      </c>
      <c r="BT3" s="288">
        <f t="shared" si="1"/>
        <v>0</v>
      </c>
      <c r="BU3" s="288">
        <f t="shared" si="1"/>
        <v>0</v>
      </c>
      <c r="BV3" s="288">
        <f t="shared" si="1"/>
        <v>0</v>
      </c>
      <c r="BW3" s="288">
        <f t="shared" si="1"/>
        <v>0</v>
      </c>
      <c r="BX3" s="288">
        <f t="shared" si="1"/>
        <v>0</v>
      </c>
      <c r="BY3" s="288">
        <f t="shared" si="1"/>
        <v>0</v>
      </c>
      <c r="BZ3" s="288">
        <f t="shared" si="1"/>
        <v>0</v>
      </c>
      <c r="CA3" s="288">
        <f t="shared" si="1"/>
        <v>0</v>
      </c>
      <c r="CB3" s="288">
        <f t="shared" si="1"/>
        <v>0</v>
      </c>
      <c r="CC3" s="288">
        <f t="shared" si="1"/>
        <v>0</v>
      </c>
      <c r="CD3" s="288">
        <f t="shared" si="1"/>
        <v>0</v>
      </c>
      <c r="CE3" s="288">
        <f t="shared" si="1"/>
        <v>0</v>
      </c>
      <c r="CF3" s="288">
        <f t="shared" si="1"/>
        <v>0</v>
      </c>
      <c r="CG3" s="288">
        <f t="shared" si="1"/>
        <v>0</v>
      </c>
      <c r="CH3" s="288">
        <f t="shared" si="1"/>
        <v>0</v>
      </c>
      <c r="CI3" s="288">
        <f t="shared" si="1"/>
        <v>0</v>
      </c>
      <c r="CJ3" s="288">
        <f t="shared" si="1"/>
        <v>0</v>
      </c>
      <c r="CK3" s="288">
        <f t="shared" si="1"/>
        <v>0</v>
      </c>
      <c r="CL3" s="288">
        <f t="shared" si="1"/>
        <v>0</v>
      </c>
      <c r="CM3" s="288">
        <f t="shared" si="1"/>
        <v>0</v>
      </c>
      <c r="CN3" s="288">
        <f t="shared" si="1"/>
        <v>0</v>
      </c>
      <c r="CO3" s="288">
        <f t="shared" si="1"/>
        <v>0</v>
      </c>
      <c r="CP3" s="288">
        <f t="shared" si="1"/>
        <v>0</v>
      </c>
      <c r="CQ3" s="288">
        <f t="shared" si="1"/>
        <v>0</v>
      </c>
      <c r="CR3" s="288">
        <f t="shared" si="1"/>
        <v>0</v>
      </c>
      <c r="CS3" s="288">
        <f t="shared" si="1"/>
        <v>0</v>
      </c>
      <c r="CT3" s="288">
        <f t="shared" si="1"/>
        <v>0</v>
      </c>
      <c r="CU3" s="288">
        <f t="shared" si="1"/>
        <v>0</v>
      </c>
      <c r="CV3" s="288">
        <f t="shared" si="1"/>
        <v>0</v>
      </c>
      <c r="CW3" s="288">
        <f t="shared" si="1"/>
        <v>0</v>
      </c>
      <c r="CX3" s="288">
        <f t="shared" si="1"/>
        <v>0</v>
      </c>
      <c r="CY3" s="288">
        <f t="shared" si="1"/>
        <v>0</v>
      </c>
      <c r="CZ3" s="288">
        <f t="shared" si="1"/>
        <v>0</v>
      </c>
      <c r="DA3" s="288">
        <f t="shared" si="1"/>
        <v>0</v>
      </c>
      <c r="DB3" s="288">
        <f t="shared" si="1"/>
        <v>0</v>
      </c>
      <c r="DC3" s="288">
        <f t="shared" si="1"/>
        <v>0</v>
      </c>
      <c r="DD3" s="288">
        <f t="shared" si="1"/>
        <v>0</v>
      </c>
      <c r="DE3" s="288">
        <f t="shared" si="1"/>
        <v>0</v>
      </c>
      <c r="DG3" s="314">
        <f>IF(A$1=0,A3,DH3)</f>
        <v>53</v>
      </c>
      <c r="DH3" s="289">
        <f>MAX(C$3:C$109)</f>
        <v>53</v>
      </c>
      <c r="DJ3" s="288">
        <f>LOOKUP(DH3, 'Mortality Table'!A:A,('Mortality Table'!J:J/'Mortality Table'!I:I))</f>
        <v>8.0869480235687408E-3</v>
      </c>
      <c r="DK3" s="288">
        <f>LOOKUP(A3, 'Mortality Table'!A:A,('Mortality Table'!J:J/'Mortality Table'!I:I))</f>
        <v>8.0182049218943969E-3</v>
      </c>
      <c r="DL3" s="288">
        <f>IF(A$1=0,0,ABS(DK3-DJ3))</f>
        <v>6.8743101674343873E-5</v>
      </c>
      <c r="DN3" s="288">
        <f>LOOKUP(DH3, 'Mortality Table'!A:A,('Mortality Table'!L:L/'Mortality Table'!K:K))</f>
        <v>8.1917508579410474E-3</v>
      </c>
      <c r="DO3" s="288">
        <f>LOOKUP(A3, 'Mortality Table'!A:A,('Mortality Table'!L:L/'Mortality Table'!K:K))</f>
        <v>8.1221168797731332E-3</v>
      </c>
      <c r="DP3" s="288">
        <f>IF(A$1=0,0,ABS(DO3-DN3))</f>
        <v>6.9633978167914223E-5</v>
      </c>
      <c r="DR3" s="288">
        <f>LOOKUP(DH3, 'Mortality Table'!A:A,('Mortality Table'!N:N/'Mortality Table'!M:M))</f>
        <v>8.3758581344005757E-3</v>
      </c>
      <c r="DS3" s="288">
        <f>LOOKUP(A3, 'Mortality Table'!A:A,('Mortality Table'!N:N/'Mortality Table'!M:M))</f>
        <v>8.3046591523291084E-3</v>
      </c>
      <c r="DT3" s="288">
        <f>IF(A$1=0,0,ABS(DS3-DR3))</f>
        <v>7.1198982071467298E-5</v>
      </c>
    </row>
    <row r="4" spans="1:124">
      <c r="A4" s="288">
        <v>1</v>
      </c>
      <c r="B4" s="288">
        <v>7.2632630209121447E-4</v>
      </c>
      <c r="C4" s="288">
        <f t="shared" ref="C4:R22" si="2">IF(C$2&gt;$B4,(IF(C$2&lt;=$B5,(IF(AVERAGE($B4,$B5)&gt;C$2,$A4,$A5)),0)),0)</f>
        <v>0</v>
      </c>
      <c r="D4" s="288">
        <f t="shared" si="0"/>
        <v>0</v>
      </c>
      <c r="E4" s="288">
        <f t="shared" si="0"/>
        <v>0</v>
      </c>
      <c r="F4" s="288">
        <f t="shared" si="0"/>
        <v>0</v>
      </c>
      <c r="G4" s="288">
        <f t="shared" si="0"/>
        <v>0</v>
      </c>
      <c r="H4" s="288">
        <f t="shared" si="0"/>
        <v>0</v>
      </c>
      <c r="I4" s="288">
        <f t="shared" si="0"/>
        <v>0</v>
      </c>
      <c r="J4" s="288">
        <f t="shared" si="0"/>
        <v>0</v>
      </c>
      <c r="K4" s="288">
        <f t="shared" si="0"/>
        <v>0</v>
      </c>
      <c r="L4" s="288">
        <f t="shared" si="0"/>
        <v>0</v>
      </c>
      <c r="M4" s="288">
        <f t="shared" si="0"/>
        <v>0</v>
      </c>
      <c r="N4" s="288">
        <f t="shared" si="0"/>
        <v>0</v>
      </c>
      <c r="O4" s="288">
        <f t="shared" si="0"/>
        <v>0</v>
      </c>
      <c r="P4" s="288">
        <f t="shared" si="0"/>
        <v>0</v>
      </c>
      <c r="Q4" s="288">
        <f t="shared" si="0"/>
        <v>0</v>
      </c>
      <c r="R4" s="288">
        <f t="shared" si="0"/>
        <v>0</v>
      </c>
      <c r="S4" s="288">
        <f t="shared" si="0"/>
        <v>0</v>
      </c>
      <c r="T4" s="288">
        <f t="shared" si="0"/>
        <v>0</v>
      </c>
      <c r="U4" s="288">
        <f t="shared" si="0"/>
        <v>0</v>
      </c>
      <c r="V4" s="288">
        <f t="shared" si="0"/>
        <v>0</v>
      </c>
      <c r="W4" s="288">
        <f t="shared" si="0"/>
        <v>0</v>
      </c>
      <c r="X4" s="288">
        <f t="shared" si="0"/>
        <v>0</v>
      </c>
      <c r="Y4" s="288">
        <f t="shared" si="0"/>
        <v>0</v>
      </c>
      <c r="Z4" s="288">
        <f t="shared" si="0"/>
        <v>0</v>
      </c>
      <c r="AA4" s="288">
        <f t="shared" si="0"/>
        <v>0</v>
      </c>
      <c r="AB4" s="288">
        <f t="shared" si="0"/>
        <v>0</v>
      </c>
      <c r="AC4" s="288">
        <f t="shared" si="0"/>
        <v>0</v>
      </c>
      <c r="AD4" s="288">
        <f t="shared" si="0"/>
        <v>0</v>
      </c>
      <c r="AE4" s="288">
        <f t="shared" si="0"/>
        <v>0</v>
      </c>
      <c r="AF4" s="288">
        <f t="shared" si="0"/>
        <v>0</v>
      </c>
      <c r="AG4" s="288">
        <f t="shared" si="0"/>
        <v>0</v>
      </c>
      <c r="AH4" s="288">
        <f t="shared" si="0"/>
        <v>0</v>
      </c>
      <c r="AI4" s="288">
        <f t="shared" si="0"/>
        <v>0</v>
      </c>
      <c r="AJ4" s="288">
        <f t="shared" si="0"/>
        <v>0</v>
      </c>
      <c r="AK4" s="288">
        <f t="shared" si="0"/>
        <v>0</v>
      </c>
      <c r="AL4" s="288">
        <f t="shared" si="0"/>
        <v>0</v>
      </c>
      <c r="AM4" s="288">
        <f t="shared" si="0"/>
        <v>0</v>
      </c>
      <c r="AN4" s="288">
        <f t="shared" si="0"/>
        <v>0</v>
      </c>
      <c r="AO4" s="288">
        <f t="shared" si="0"/>
        <v>0</v>
      </c>
      <c r="AP4" s="288">
        <f t="shared" si="0"/>
        <v>0</v>
      </c>
      <c r="AQ4" s="288">
        <f t="shared" si="0"/>
        <v>0</v>
      </c>
      <c r="AR4" s="288">
        <f t="shared" si="0"/>
        <v>0</v>
      </c>
      <c r="AS4" s="288">
        <f t="shared" si="0"/>
        <v>0</v>
      </c>
      <c r="AT4" s="288">
        <f t="shared" si="0"/>
        <v>0</v>
      </c>
      <c r="AU4" s="288">
        <f t="shared" si="0"/>
        <v>0</v>
      </c>
      <c r="AV4" s="288">
        <f t="shared" si="0"/>
        <v>0</v>
      </c>
      <c r="AW4" s="288">
        <f t="shared" si="0"/>
        <v>0</v>
      </c>
      <c r="AX4" s="288">
        <f t="shared" si="0"/>
        <v>0</v>
      </c>
      <c r="AY4" s="288">
        <f t="shared" si="0"/>
        <v>0</v>
      </c>
      <c r="AZ4" s="288">
        <f t="shared" si="0"/>
        <v>0</v>
      </c>
      <c r="BA4" s="288">
        <f t="shared" si="0"/>
        <v>0</v>
      </c>
      <c r="BB4" s="288">
        <f t="shared" si="0"/>
        <v>0</v>
      </c>
      <c r="BC4" s="288">
        <f t="shared" si="0"/>
        <v>0</v>
      </c>
      <c r="BD4" s="288">
        <f t="shared" si="0"/>
        <v>0</v>
      </c>
      <c r="BE4" s="288">
        <f t="shared" si="0"/>
        <v>0</v>
      </c>
      <c r="BF4" s="288">
        <f t="shared" si="0"/>
        <v>0</v>
      </c>
      <c r="BG4" s="288">
        <f t="shared" si="0"/>
        <v>0</v>
      </c>
      <c r="BH4" s="288">
        <f t="shared" si="0"/>
        <v>0</v>
      </c>
      <c r="BI4" s="288">
        <f t="shared" si="0"/>
        <v>0</v>
      </c>
      <c r="BJ4" s="288">
        <f t="shared" si="0"/>
        <v>0</v>
      </c>
      <c r="BK4" s="288">
        <f t="shared" si="0"/>
        <v>0</v>
      </c>
      <c r="BL4" s="288">
        <f t="shared" si="0"/>
        <v>0</v>
      </c>
      <c r="BM4" s="288">
        <f t="shared" si="0"/>
        <v>0</v>
      </c>
      <c r="BN4" s="288">
        <f t="shared" si="0"/>
        <v>0</v>
      </c>
      <c r="BO4" s="288">
        <f t="shared" si="0"/>
        <v>0</v>
      </c>
      <c r="BP4" s="288">
        <f t="shared" si="1"/>
        <v>0</v>
      </c>
      <c r="BQ4" s="288">
        <f t="shared" si="1"/>
        <v>0</v>
      </c>
      <c r="BR4" s="288">
        <f t="shared" si="1"/>
        <v>0</v>
      </c>
      <c r="BS4" s="288">
        <f t="shared" si="1"/>
        <v>0</v>
      </c>
      <c r="BT4" s="288">
        <f t="shared" si="1"/>
        <v>0</v>
      </c>
      <c r="BU4" s="288">
        <f t="shared" si="1"/>
        <v>0</v>
      </c>
      <c r="BV4" s="288">
        <f t="shared" si="1"/>
        <v>0</v>
      </c>
      <c r="BW4" s="288">
        <f t="shared" si="1"/>
        <v>0</v>
      </c>
      <c r="BX4" s="288">
        <f t="shared" si="1"/>
        <v>0</v>
      </c>
      <c r="BY4" s="288">
        <f t="shared" si="1"/>
        <v>0</v>
      </c>
      <c r="BZ4" s="288">
        <f t="shared" si="1"/>
        <v>0</v>
      </c>
      <c r="CA4" s="288">
        <f t="shared" si="1"/>
        <v>0</v>
      </c>
      <c r="CB4" s="288">
        <f t="shared" si="1"/>
        <v>0</v>
      </c>
      <c r="CC4" s="288">
        <f t="shared" si="1"/>
        <v>0</v>
      </c>
      <c r="CD4" s="288">
        <f t="shared" si="1"/>
        <v>0</v>
      </c>
      <c r="CE4" s="288">
        <f t="shared" si="1"/>
        <v>0</v>
      </c>
      <c r="CF4" s="288">
        <f t="shared" si="1"/>
        <v>0</v>
      </c>
      <c r="CG4" s="288">
        <f t="shared" si="1"/>
        <v>0</v>
      </c>
      <c r="CH4" s="288">
        <f t="shared" si="1"/>
        <v>0</v>
      </c>
      <c r="CI4" s="288">
        <f t="shared" si="1"/>
        <v>0</v>
      </c>
      <c r="CJ4" s="288">
        <f t="shared" si="1"/>
        <v>0</v>
      </c>
      <c r="CK4" s="288">
        <f t="shared" si="1"/>
        <v>0</v>
      </c>
      <c r="CL4" s="288">
        <f t="shared" si="1"/>
        <v>0</v>
      </c>
      <c r="CM4" s="288">
        <f t="shared" si="1"/>
        <v>0</v>
      </c>
      <c r="CN4" s="288">
        <f t="shared" si="1"/>
        <v>0</v>
      </c>
      <c r="CO4" s="288">
        <f t="shared" si="1"/>
        <v>0</v>
      </c>
      <c r="CP4" s="288">
        <f t="shared" si="1"/>
        <v>0</v>
      </c>
      <c r="CQ4" s="288">
        <f t="shared" si="1"/>
        <v>0</v>
      </c>
      <c r="CR4" s="288">
        <f t="shared" si="1"/>
        <v>0</v>
      </c>
      <c r="CS4" s="288">
        <f t="shared" si="1"/>
        <v>0</v>
      </c>
      <c r="CT4" s="288">
        <f t="shared" si="1"/>
        <v>0</v>
      </c>
      <c r="CU4" s="288">
        <f t="shared" si="1"/>
        <v>0</v>
      </c>
      <c r="CV4" s="288">
        <f t="shared" si="1"/>
        <v>0</v>
      </c>
      <c r="CW4" s="288">
        <f t="shared" si="1"/>
        <v>0</v>
      </c>
      <c r="CX4" s="288">
        <f t="shared" si="1"/>
        <v>0</v>
      </c>
      <c r="CY4" s="288">
        <f t="shared" si="1"/>
        <v>0</v>
      </c>
      <c r="CZ4" s="288">
        <f t="shared" si="1"/>
        <v>0</v>
      </c>
      <c r="DA4" s="288">
        <f t="shared" si="1"/>
        <v>0</v>
      </c>
      <c r="DB4" s="288">
        <f t="shared" si="1"/>
        <v>0</v>
      </c>
      <c r="DC4" s="288">
        <f t="shared" si="1"/>
        <v>0</v>
      </c>
      <c r="DD4" s="288">
        <f t="shared" si="1"/>
        <v>0</v>
      </c>
      <c r="DE4" s="288">
        <f t="shared" si="1"/>
        <v>0</v>
      </c>
      <c r="DG4" s="314">
        <f t="shared" ref="DG4:DG67" si="3">IF(A$1=0,A4,DH4)</f>
        <v>17</v>
      </c>
      <c r="DH4" s="289">
        <f>MAX(D$3:D$109)</f>
        <v>17</v>
      </c>
      <c r="DJ4" s="288">
        <f>LOOKUP(DH4, 'Mortality Table'!A:A,('Mortality Table'!J:J/'Mortality Table'!I:I))</f>
        <v>8.0288640791894845E-4</v>
      </c>
      <c r="DK4" s="288">
        <f>LOOKUP(A4, 'Mortality Table'!A:A,('Mortality Table'!J:J/'Mortality Table'!I:I))</f>
        <v>6.6863755801712201E-4</v>
      </c>
      <c r="DL4" s="288">
        <f t="shared" ref="DL4:DL67" si="4">IF(A$1=0,0,ABS(DK4-DJ4))</f>
        <v>1.3424884990182644E-4</v>
      </c>
      <c r="DN4" s="288">
        <f>LOOKUP(DH4, 'Mortality Table'!A:A,('Mortality Table'!L:L/'Mortality Table'!K:K))</f>
        <v>8.1329141744586483E-4</v>
      </c>
      <c r="DO4" s="288">
        <f>LOOKUP(A4, 'Mortality Table'!A:A,('Mortality Table'!L:L/'Mortality Table'!K:K))</f>
        <v>6.7730276905146418E-4</v>
      </c>
      <c r="DP4" s="288">
        <f t="shared" ref="DP4:DP67" si="5">IF(A$1=0,0,ABS(DO4-DN4))</f>
        <v>1.3598864839440064E-4</v>
      </c>
      <c r="DR4" s="288">
        <f>LOOKUP(DH4, 'Mortality Table'!A:A,('Mortality Table'!N:N/'Mortality Table'!M:M))</f>
        <v>8.3156991131493941E-4</v>
      </c>
      <c r="DS4" s="288">
        <f>LOOKUP(A4, 'Mortality Table'!A:A,('Mortality Table'!N:N/'Mortality Table'!M:M))</f>
        <v>6.9252495662906549E-4</v>
      </c>
      <c r="DT4" s="288">
        <f t="shared" ref="DT4:DT67" si="6">IF(A$1=0,0,ABS(DS4-DR4))</f>
        <v>1.3904495468587393E-4</v>
      </c>
    </row>
    <row r="5" spans="1:124">
      <c r="A5" s="288">
        <v>2</v>
      </c>
      <c r="B5" s="288">
        <v>4.7447429257902016E-4</v>
      </c>
      <c r="C5" s="288">
        <f t="shared" si="2"/>
        <v>0</v>
      </c>
      <c r="D5" s="288">
        <f t="shared" si="0"/>
        <v>0</v>
      </c>
      <c r="E5" s="288">
        <f t="shared" si="0"/>
        <v>0</v>
      </c>
      <c r="F5" s="288">
        <f t="shared" si="0"/>
        <v>0</v>
      </c>
      <c r="G5" s="288">
        <f t="shared" si="0"/>
        <v>0</v>
      </c>
      <c r="H5" s="288">
        <f t="shared" si="0"/>
        <v>0</v>
      </c>
      <c r="I5" s="288">
        <f t="shared" si="0"/>
        <v>0</v>
      </c>
      <c r="J5" s="288">
        <f t="shared" si="0"/>
        <v>0</v>
      </c>
      <c r="K5" s="288">
        <f t="shared" si="0"/>
        <v>0</v>
      </c>
      <c r="L5" s="288">
        <f t="shared" si="0"/>
        <v>0</v>
      </c>
      <c r="M5" s="288">
        <f t="shared" si="0"/>
        <v>0</v>
      </c>
      <c r="N5" s="288">
        <f t="shared" si="0"/>
        <v>0</v>
      </c>
      <c r="O5" s="288">
        <f t="shared" si="0"/>
        <v>0</v>
      </c>
      <c r="P5" s="288">
        <f t="shared" si="0"/>
        <v>0</v>
      </c>
      <c r="Q5" s="288">
        <f t="shared" si="0"/>
        <v>0</v>
      </c>
      <c r="R5" s="288">
        <f t="shared" si="0"/>
        <v>0</v>
      </c>
      <c r="S5" s="288">
        <f t="shared" si="0"/>
        <v>0</v>
      </c>
      <c r="T5" s="288">
        <f t="shared" si="0"/>
        <v>0</v>
      </c>
      <c r="U5" s="288">
        <f t="shared" si="0"/>
        <v>0</v>
      </c>
      <c r="V5" s="288">
        <f t="shared" si="0"/>
        <v>0</v>
      </c>
      <c r="W5" s="288">
        <f t="shared" si="0"/>
        <v>0</v>
      </c>
      <c r="X5" s="288">
        <f t="shared" si="0"/>
        <v>0</v>
      </c>
      <c r="Y5" s="288">
        <f t="shared" si="0"/>
        <v>0</v>
      </c>
      <c r="Z5" s="288">
        <f t="shared" si="0"/>
        <v>0</v>
      </c>
      <c r="AA5" s="288">
        <f t="shared" si="0"/>
        <v>0</v>
      </c>
      <c r="AB5" s="288">
        <f t="shared" si="0"/>
        <v>0</v>
      </c>
      <c r="AC5" s="288">
        <f t="shared" si="0"/>
        <v>0</v>
      </c>
      <c r="AD5" s="288">
        <f t="shared" si="0"/>
        <v>0</v>
      </c>
      <c r="AE5" s="288">
        <f t="shared" si="0"/>
        <v>0</v>
      </c>
      <c r="AF5" s="288">
        <f t="shared" si="0"/>
        <v>0</v>
      </c>
      <c r="AG5" s="288">
        <f t="shared" si="0"/>
        <v>0</v>
      </c>
      <c r="AH5" s="288">
        <f t="shared" si="0"/>
        <v>0</v>
      </c>
      <c r="AI5" s="288">
        <f t="shared" si="0"/>
        <v>0</v>
      </c>
      <c r="AJ5" s="288">
        <f t="shared" si="0"/>
        <v>0</v>
      </c>
      <c r="AK5" s="288">
        <f t="shared" si="0"/>
        <v>0</v>
      </c>
      <c r="AL5" s="288">
        <f t="shared" si="0"/>
        <v>0</v>
      </c>
      <c r="AM5" s="288">
        <f t="shared" si="0"/>
        <v>0</v>
      </c>
      <c r="AN5" s="288">
        <f t="shared" si="0"/>
        <v>0</v>
      </c>
      <c r="AO5" s="288">
        <f t="shared" si="0"/>
        <v>0</v>
      </c>
      <c r="AP5" s="288">
        <f t="shared" si="0"/>
        <v>0</v>
      </c>
      <c r="AQ5" s="288">
        <f t="shared" si="0"/>
        <v>0</v>
      </c>
      <c r="AR5" s="288">
        <f t="shared" si="0"/>
        <v>0</v>
      </c>
      <c r="AS5" s="288">
        <f t="shared" si="0"/>
        <v>0</v>
      </c>
      <c r="AT5" s="288">
        <f t="shared" si="0"/>
        <v>0</v>
      </c>
      <c r="AU5" s="288">
        <f t="shared" si="0"/>
        <v>0</v>
      </c>
      <c r="AV5" s="288">
        <f t="shared" si="0"/>
        <v>0</v>
      </c>
      <c r="AW5" s="288">
        <f t="shared" si="0"/>
        <v>0</v>
      </c>
      <c r="AX5" s="288">
        <f t="shared" si="0"/>
        <v>0</v>
      </c>
      <c r="AY5" s="288">
        <f t="shared" si="0"/>
        <v>0</v>
      </c>
      <c r="AZ5" s="288">
        <f t="shared" si="0"/>
        <v>0</v>
      </c>
      <c r="BA5" s="288">
        <f t="shared" si="0"/>
        <v>0</v>
      </c>
      <c r="BB5" s="288">
        <f t="shared" si="0"/>
        <v>0</v>
      </c>
      <c r="BC5" s="288">
        <f t="shared" si="0"/>
        <v>0</v>
      </c>
      <c r="BD5" s="288">
        <f t="shared" si="0"/>
        <v>0</v>
      </c>
      <c r="BE5" s="288">
        <f t="shared" si="0"/>
        <v>0</v>
      </c>
      <c r="BF5" s="288">
        <f t="shared" si="0"/>
        <v>0</v>
      </c>
      <c r="BG5" s="288">
        <f t="shared" si="0"/>
        <v>0</v>
      </c>
      <c r="BH5" s="288">
        <f t="shared" si="0"/>
        <v>0</v>
      </c>
      <c r="BI5" s="288">
        <f t="shared" si="0"/>
        <v>0</v>
      </c>
      <c r="BJ5" s="288">
        <f t="shared" si="0"/>
        <v>0</v>
      </c>
      <c r="BK5" s="288">
        <f t="shared" si="0"/>
        <v>0</v>
      </c>
      <c r="BL5" s="288">
        <f t="shared" si="0"/>
        <v>0</v>
      </c>
      <c r="BM5" s="288">
        <f t="shared" si="0"/>
        <v>0</v>
      </c>
      <c r="BN5" s="288">
        <f t="shared" si="0"/>
        <v>0</v>
      </c>
      <c r="BO5" s="288">
        <f t="shared" si="0"/>
        <v>0</v>
      </c>
      <c r="BP5" s="288">
        <f t="shared" si="1"/>
        <v>0</v>
      </c>
      <c r="BQ5" s="288">
        <f t="shared" si="1"/>
        <v>0</v>
      </c>
      <c r="BR5" s="288">
        <f t="shared" si="1"/>
        <v>0</v>
      </c>
      <c r="BS5" s="288">
        <f t="shared" si="1"/>
        <v>0</v>
      </c>
      <c r="BT5" s="288">
        <f t="shared" si="1"/>
        <v>0</v>
      </c>
      <c r="BU5" s="288">
        <f t="shared" si="1"/>
        <v>0</v>
      </c>
      <c r="BV5" s="288">
        <f t="shared" si="1"/>
        <v>0</v>
      </c>
      <c r="BW5" s="288">
        <f t="shared" si="1"/>
        <v>0</v>
      </c>
      <c r="BX5" s="288">
        <f t="shared" si="1"/>
        <v>0</v>
      </c>
      <c r="BY5" s="288">
        <f t="shared" si="1"/>
        <v>0</v>
      </c>
      <c r="BZ5" s="288">
        <f t="shared" si="1"/>
        <v>0</v>
      </c>
      <c r="CA5" s="288">
        <f t="shared" si="1"/>
        <v>0</v>
      </c>
      <c r="CB5" s="288">
        <f t="shared" si="1"/>
        <v>0</v>
      </c>
      <c r="CC5" s="288">
        <f t="shared" si="1"/>
        <v>0</v>
      </c>
      <c r="CD5" s="288">
        <f t="shared" si="1"/>
        <v>0</v>
      </c>
      <c r="CE5" s="288">
        <f t="shared" si="1"/>
        <v>0</v>
      </c>
      <c r="CF5" s="288">
        <f t="shared" si="1"/>
        <v>0</v>
      </c>
      <c r="CG5" s="288">
        <f t="shared" si="1"/>
        <v>0</v>
      </c>
      <c r="CH5" s="288">
        <f t="shared" si="1"/>
        <v>0</v>
      </c>
      <c r="CI5" s="288">
        <f t="shared" si="1"/>
        <v>0</v>
      </c>
      <c r="CJ5" s="288">
        <f t="shared" si="1"/>
        <v>0</v>
      </c>
      <c r="CK5" s="288">
        <f t="shared" si="1"/>
        <v>0</v>
      </c>
      <c r="CL5" s="288">
        <f t="shared" si="1"/>
        <v>0</v>
      </c>
      <c r="CM5" s="288">
        <f t="shared" si="1"/>
        <v>0</v>
      </c>
      <c r="CN5" s="288">
        <f t="shared" si="1"/>
        <v>0</v>
      </c>
      <c r="CO5" s="288">
        <f t="shared" si="1"/>
        <v>0</v>
      </c>
      <c r="CP5" s="288">
        <f t="shared" si="1"/>
        <v>0</v>
      </c>
      <c r="CQ5" s="288">
        <f t="shared" si="1"/>
        <v>0</v>
      </c>
      <c r="CR5" s="288">
        <f t="shared" si="1"/>
        <v>0</v>
      </c>
      <c r="CS5" s="288">
        <f t="shared" si="1"/>
        <v>0</v>
      </c>
      <c r="CT5" s="288">
        <f t="shared" si="1"/>
        <v>0</v>
      </c>
      <c r="CU5" s="288">
        <f t="shared" si="1"/>
        <v>0</v>
      </c>
      <c r="CV5" s="288">
        <f t="shared" si="1"/>
        <v>0</v>
      </c>
      <c r="CW5" s="288">
        <f t="shared" si="1"/>
        <v>0</v>
      </c>
      <c r="CX5" s="288">
        <f t="shared" si="1"/>
        <v>0</v>
      </c>
      <c r="CY5" s="288">
        <f t="shared" si="1"/>
        <v>0</v>
      </c>
      <c r="CZ5" s="288">
        <f t="shared" si="1"/>
        <v>0</v>
      </c>
      <c r="DA5" s="288">
        <f t="shared" si="1"/>
        <v>0</v>
      </c>
      <c r="DB5" s="288">
        <f t="shared" si="1"/>
        <v>0</v>
      </c>
      <c r="DC5" s="288">
        <f t="shared" si="1"/>
        <v>0</v>
      </c>
      <c r="DD5" s="288">
        <f t="shared" si="1"/>
        <v>0</v>
      </c>
      <c r="DE5" s="288">
        <f t="shared" si="1"/>
        <v>0</v>
      </c>
      <c r="DG5" s="314">
        <f t="shared" si="3"/>
        <v>15</v>
      </c>
      <c r="DH5" s="289">
        <f>MAX(E$3:E$109)</f>
        <v>15</v>
      </c>
      <c r="DJ5" s="288">
        <f>LOOKUP(DH5, 'Mortality Table'!A:A,('Mortality Table'!J:J/'Mortality Table'!I:I))</f>
        <v>4.1966384842191998E-4</v>
      </c>
      <c r="DK5" s="288">
        <f>LOOKUP(A5, 'Mortality Table'!A:A,('Mortality Table'!J:J/'Mortality Table'!I:I))</f>
        <v>4.3678899059350888E-4</v>
      </c>
      <c r="DL5" s="288">
        <f t="shared" si="4"/>
        <v>1.7125142171588897E-5</v>
      </c>
      <c r="DN5" s="288">
        <f>LOOKUP(DH5, 'Mortality Table'!A:A,('Mortality Table'!L:L/'Mortality Table'!K:K))</f>
        <v>4.2510248369817348E-4</v>
      </c>
      <c r="DO5" s="288">
        <f>LOOKUP(A5, 'Mortality Table'!A:A,('Mortality Table'!L:L/'Mortality Table'!K:K))</f>
        <v>4.4244955921635777E-4</v>
      </c>
      <c r="DP5" s="288">
        <f t="shared" si="5"/>
        <v>1.7347075518184285E-5</v>
      </c>
      <c r="DR5" s="288">
        <f>LOOKUP(DH5, 'Mortality Table'!A:A,('Mortality Table'!N:N/'Mortality Table'!M:M))</f>
        <v>4.3465654141392791E-4</v>
      </c>
      <c r="DS5" s="288">
        <f>LOOKUP(A5, 'Mortality Table'!A:A,('Mortality Table'!N:N/'Mortality Table'!M:M))</f>
        <v>4.5239348753286325E-4</v>
      </c>
      <c r="DT5" s="288">
        <f t="shared" si="6"/>
        <v>1.7736946118935334E-5</v>
      </c>
    </row>
    <row r="6" spans="1:124">
      <c r="A6" s="288">
        <v>3</v>
      </c>
      <c r="B6" s="288">
        <v>3.332996667003333E-4</v>
      </c>
      <c r="C6" s="288">
        <f t="shared" si="2"/>
        <v>0</v>
      </c>
      <c r="D6" s="288">
        <f t="shared" si="0"/>
        <v>0</v>
      </c>
      <c r="E6" s="288">
        <f t="shared" si="0"/>
        <v>0</v>
      </c>
      <c r="F6" s="288">
        <f t="shared" si="0"/>
        <v>0</v>
      </c>
      <c r="G6" s="288">
        <f t="shared" si="0"/>
        <v>0</v>
      </c>
      <c r="H6" s="288">
        <f t="shared" si="0"/>
        <v>0</v>
      </c>
      <c r="I6" s="288">
        <f t="shared" si="0"/>
        <v>0</v>
      </c>
      <c r="J6" s="288">
        <f t="shared" si="0"/>
        <v>0</v>
      </c>
      <c r="K6" s="288">
        <f t="shared" si="0"/>
        <v>0</v>
      </c>
      <c r="L6" s="288">
        <f t="shared" si="0"/>
        <v>0</v>
      </c>
      <c r="M6" s="288">
        <f t="shared" si="0"/>
        <v>0</v>
      </c>
      <c r="N6" s="288">
        <f t="shared" si="0"/>
        <v>0</v>
      </c>
      <c r="O6" s="288">
        <f t="shared" si="0"/>
        <v>0</v>
      </c>
      <c r="P6" s="288">
        <f t="shared" si="0"/>
        <v>0</v>
      </c>
      <c r="Q6" s="288">
        <f t="shared" si="0"/>
        <v>0</v>
      </c>
      <c r="R6" s="288">
        <f t="shared" si="0"/>
        <v>0</v>
      </c>
      <c r="S6" s="288">
        <f t="shared" si="0"/>
        <v>0</v>
      </c>
      <c r="T6" s="288">
        <f t="shared" si="0"/>
        <v>0</v>
      </c>
      <c r="U6" s="288">
        <f t="shared" si="0"/>
        <v>0</v>
      </c>
      <c r="V6" s="288">
        <f t="shared" si="0"/>
        <v>0</v>
      </c>
      <c r="W6" s="288">
        <f t="shared" si="0"/>
        <v>0</v>
      </c>
      <c r="X6" s="288">
        <f t="shared" si="0"/>
        <v>0</v>
      </c>
      <c r="Y6" s="288">
        <f t="shared" si="0"/>
        <v>0</v>
      </c>
      <c r="Z6" s="288">
        <f t="shared" si="0"/>
        <v>0</v>
      </c>
      <c r="AA6" s="288">
        <f t="shared" si="0"/>
        <v>0</v>
      </c>
      <c r="AB6" s="288">
        <f t="shared" si="0"/>
        <v>0</v>
      </c>
      <c r="AC6" s="288">
        <f t="shared" si="0"/>
        <v>0</v>
      </c>
      <c r="AD6" s="288">
        <f t="shared" si="0"/>
        <v>0</v>
      </c>
      <c r="AE6" s="288">
        <f t="shared" si="0"/>
        <v>0</v>
      </c>
      <c r="AF6" s="288">
        <f t="shared" si="0"/>
        <v>0</v>
      </c>
      <c r="AG6" s="288">
        <f t="shared" si="0"/>
        <v>0</v>
      </c>
      <c r="AH6" s="288">
        <f t="shared" si="0"/>
        <v>0</v>
      </c>
      <c r="AI6" s="288">
        <f t="shared" si="0"/>
        <v>0</v>
      </c>
      <c r="AJ6" s="288">
        <f t="shared" si="0"/>
        <v>0</v>
      </c>
      <c r="AK6" s="288">
        <f t="shared" si="0"/>
        <v>0</v>
      </c>
      <c r="AL6" s="288">
        <f t="shared" si="0"/>
        <v>0</v>
      </c>
      <c r="AM6" s="288">
        <f t="shared" si="0"/>
        <v>0</v>
      </c>
      <c r="AN6" s="288">
        <f t="shared" si="0"/>
        <v>0</v>
      </c>
      <c r="AO6" s="288">
        <f t="shared" si="0"/>
        <v>0</v>
      </c>
      <c r="AP6" s="288">
        <f t="shared" si="0"/>
        <v>0</v>
      </c>
      <c r="AQ6" s="288">
        <f t="shared" si="0"/>
        <v>0</v>
      </c>
      <c r="AR6" s="288">
        <f t="shared" si="0"/>
        <v>0</v>
      </c>
      <c r="AS6" s="288">
        <f t="shared" si="0"/>
        <v>0</v>
      </c>
      <c r="AT6" s="288">
        <f t="shared" si="0"/>
        <v>0</v>
      </c>
      <c r="AU6" s="288">
        <f t="shared" si="0"/>
        <v>0</v>
      </c>
      <c r="AV6" s="288">
        <f t="shared" si="0"/>
        <v>0</v>
      </c>
      <c r="AW6" s="288">
        <f t="shared" si="0"/>
        <v>0</v>
      </c>
      <c r="AX6" s="288">
        <f t="shared" si="0"/>
        <v>0</v>
      </c>
      <c r="AY6" s="288">
        <f t="shared" si="0"/>
        <v>0</v>
      </c>
      <c r="AZ6" s="288">
        <f t="shared" si="0"/>
        <v>0</v>
      </c>
      <c r="BA6" s="288">
        <f t="shared" si="0"/>
        <v>0</v>
      </c>
      <c r="BB6" s="288">
        <f t="shared" si="0"/>
        <v>0</v>
      </c>
      <c r="BC6" s="288">
        <f t="shared" si="0"/>
        <v>0</v>
      </c>
      <c r="BD6" s="288">
        <f t="shared" si="0"/>
        <v>0</v>
      </c>
      <c r="BE6" s="288">
        <f t="shared" si="0"/>
        <v>0</v>
      </c>
      <c r="BF6" s="288">
        <f t="shared" si="0"/>
        <v>0</v>
      </c>
      <c r="BG6" s="288">
        <f t="shared" si="0"/>
        <v>0</v>
      </c>
      <c r="BH6" s="288">
        <f t="shared" si="0"/>
        <v>0</v>
      </c>
      <c r="BI6" s="288">
        <f t="shared" si="0"/>
        <v>0</v>
      </c>
      <c r="BJ6" s="288">
        <f t="shared" si="0"/>
        <v>0</v>
      </c>
      <c r="BK6" s="288">
        <f t="shared" si="0"/>
        <v>0</v>
      </c>
      <c r="BL6" s="288">
        <f t="shared" si="0"/>
        <v>0</v>
      </c>
      <c r="BM6" s="288">
        <f t="shared" si="0"/>
        <v>0</v>
      </c>
      <c r="BN6" s="288">
        <f t="shared" si="0"/>
        <v>0</v>
      </c>
      <c r="BO6" s="288">
        <f t="shared" ref="BO6:CD36" si="7">IF(BO$2&gt;$B6,(IF(BO$2&lt;=$B7,(IF(AVERAGE($B6,$B7)&gt;BO$2,$A6,$A7)),0)),0)</f>
        <v>0</v>
      </c>
      <c r="BP6" s="288">
        <f t="shared" si="1"/>
        <v>0</v>
      </c>
      <c r="BQ6" s="288">
        <f t="shared" si="1"/>
        <v>0</v>
      </c>
      <c r="BR6" s="288">
        <f t="shared" si="1"/>
        <v>0</v>
      </c>
      <c r="BS6" s="288">
        <f t="shared" si="1"/>
        <v>0</v>
      </c>
      <c r="BT6" s="288">
        <f t="shared" si="1"/>
        <v>0</v>
      </c>
      <c r="BU6" s="288">
        <f t="shared" si="1"/>
        <v>0</v>
      </c>
      <c r="BV6" s="288">
        <f t="shared" si="1"/>
        <v>0</v>
      </c>
      <c r="BW6" s="288">
        <f t="shared" si="1"/>
        <v>0</v>
      </c>
      <c r="BX6" s="288">
        <f t="shared" si="1"/>
        <v>0</v>
      </c>
      <c r="BY6" s="288">
        <f t="shared" si="1"/>
        <v>0</v>
      </c>
      <c r="BZ6" s="288">
        <f t="shared" si="1"/>
        <v>0</v>
      </c>
      <c r="CA6" s="288">
        <f t="shared" si="1"/>
        <v>0</v>
      </c>
      <c r="CB6" s="288">
        <f t="shared" si="1"/>
        <v>0</v>
      </c>
      <c r="CC6" s="288">
        <f t="shared" si="1"/>
        <v>0</v>
      </c>
      <c r="CD6" s="288">
        <f t="shared" si="1"/>
        <v>0</v>
      </c>
      <c r="CE6" s="288">
        <f t="shared" si="1"/>
        <v>0</v>
      </c>
      <c r="CF6" s="288">
        <f t="shared" si="1"/>
        <v>0</v>
      </c>
      <c r="CG6" s="288">
        <f t="shared" si="1"/>
        <v>0</v>
      </c>
      <c r="CH6" s="288">
        <f t="shared" si="1"/>
        <v>0</v>
      </c>
      <c r="CI6" s="288">
        <f t="shared" si="1"/>
        <v>0</v>
      </c>
      <c r="CJ6" s="288">
        <f t="shared" si="1"/>
        <v>0</v>
      </c>
      <c r="CK6" s="288">
        <f t="shared" si="1"/>
        <v>0</v>
      </c>
      <c r="CL6" s="288">
        <f t="shared" si="1"/>
        <v>0</v>
      </c>
      <c r="CM6" s="288">
        <f t="shared" si="1"/>
        <v>0</v>
      </c>
      <c r="CN6" s="288">
        <f t="shared" si="1"/>
        <v>0</v>
      </c>
      <c r="CO6" s="288">
        <f t="shared" si="1"/>
        <v>0</v>
      </c>
      <c r="CP6" s="288">
        <f t="shared" si="1"/>
        <v>0</v>
      </c>
      <c r="CQ6" s="288">
        <f t="shared" si="1"/>
        <v>0</v>
      </c>
      <c r="CR6" s="288">
        <f t="shared" si="1"/>
        <v>0</v>
      </c>
      <c r="CS6" s="288">
        <f t="shared" si="1"/>
        <v>0</v>
      </c>
      <c r="CT6" s="288">
        <f t="shared" si="1"/>
        <v>0</v>
      </c>
      <c r="CU6" s="288">
        <f t="shared" si="1"/>
        <v>0</v>
      </c>
      <c r="CV6" s="288">
        <f t="shared" si="1"/>
        <v>0</v>
      </c>
      <c r="CW6" s="288">
        <f t="shared" si="1"/>
        <v>0</v>
      </c>
      <c r="CX6" s="288">
        <f t="shared" si="1"/>
        <v>0</v>
      </c>
      <c r="CY6" s="288">
        <f t="shared" si="1"/>
        <v>0</v>
      </c>
      <c r="CZ6" s="288">
        <f t="shared" si="1"/>
        <v>0</v>
      </c>
      <c r="DA6" s="288">
        <f t="shared" si="1"/>
        <v>0</v>
      </c>
      <c r="DB6" s="288">
        <f t="shared" si="1"/>
        <v>0</v>
      </c>
      <c r="DC6" s="288">
        <f t="shared" si="1"/>
        <v>0</v>
      </c>
      <c r="DD6" s="288">
        <f t="shared" si="1"/>
        <v>0</v>
      </c>
      <c r="DE6" s="288">
        <f t="shared" si="1"/>
        <v>0</v>
      </c>
      <c r="DG6" s="314">
        <f t="shared" si="3"/>
        <v>14</v>
      </c>
      <c r="DH6" s="289">
        <f>MAX(F$3:F$109)</f>
        <v>14</v>
      </c>
      <c r="DJ6" s="288">
        <f>LOOKUP(DH6, 'Mortality Table'!A:A,('Mortality Table'!J:J/'Mortality Table'!I:I))</f>
        <v>3.0765063943130974E-4</v>
      </c>
      <c r="DK6" s="288">
        <f>LOOKUP(A6, 'Mortality Table'!A:A,('Mortality Table'!J:J/'Mortality Table'!I:I))</f>
        <v>3.0682721331829789E-4</v>
      </c>
      <c r="DL6" s="288">
        <f t="shared" si="4"/>
        <v>8.2342611301184808E-7</v>
      </c>
      <c r="DN6" s="288">
        <f>LOOKUP(DH6, 'Mortality Table'!A:A,('Mortality Table'!L:L/'Mortality Table'!K:K))</f>
        <v>3.1163763908988157E-4</v>
      </c>
      <c r="DO6" s="288">
        <f>LOOKUP(A6, 'Mortality Table'!A:A,('Mortality Table'!L:L/'Mortality Table'!K:K))</f>
        <v>3.1080354178295477E-4</v>
      </c>
      <c r="DP6" s="288">
        <f t="shared" si="5"/>
        <v>8.3409730692679757E-7</v>
      </c>
      <c r="DR6" s="288">
        <f>LOOKUP(DH6, 'Mortality Table'!A:A,('Mortality Table'!N:N/'Mortality Table'!M:M))</f>
        <v>3.1864160661405178E-4</v>
      </c>
      <c r="DS6" s="288">
        <f>LOOKUP(A6, 'Mortality Table'!A:A,('Mortality Table'!N:N/'Mortality Table'!M:M))</f>
        <v>3.177887632067928E-4</v>
      </c>
      <c r="DT6" s="288">
        <f t="shared" si="6"/>
        <v>8.5284340725898808E-7</v>
      </c>
    </row>
    <row r="7" spans="1:124">
      <c r="A7" s="288">
        <v>4</v>
      </c>
      <c r="B7" s="288">
        <v>2.9299736302373279E-4</v>
      </c>
      <c r="C7" s="288">
        <f t="shared" si="2"/>
        <v>0</v>
      </c>
      <c r="D7" s="288">
        <f t="shared" si="2"/>
        <v>0</v>
      </c>
      <c r="E7" s="288">
        <f t="shared" si="2"/>
        <v>0</v>
      </c>
      <c r="F7" s="288">
        <f t="shared" si="2"/>
        <v>0</v>
      </c>
      <c r="G7" s="288">
        <f t="shared" si="2"/>
        <v>0</v>
      </c>
      <c r="H7" s="288">
        <f t="shared" si="2"/>
        <v>0</v>
      </c>
      <c r="I7" s="288">
        <f t="shared" si="2"/>
        <v>0</v>
      </c>
      <c r="J7" s="288">
        <f t="shared" si="2"/>
        <v>0</v>
      </c>
      <c r="K7" s="288">
        <f t="shared" si="2"/>
        <v>0</v>
      </c>
      <c r="L7" s="288">
        <f t="shared" si="2"/>
        <v>0</v>
      </c>
      <c r="M7" s="288">
        <f t="shared" si="2"/>
        <v>0</v>
      </c>
      <c r="N7" s="288">
        <f t="shared" si="2"/>
        <v>0</v>
      </c>
      <c r="O7" s="288">
        <f t="shared" si="2"/>
        <v>0</v>
      </c>
      <c r="P7" s="288">
        <f t="shared" si="2"/>
        <v>0</v>
      </c>
      <c r="Q7" s="288">
        <f t="shared" si="2"/>
        <v>0</v>
      </c>
      <c r="R7" s="288">
        <f t="shared" si="2"/>
        <v>0</v>
      </c>
      <c r="S7" s="288">
        <f t="shared" ref="S7:AH22" si="8">IF(S$2&gt;$B7,(IF(S$2&lt;=$B8,(IF(AVERAGE($B7,$B8)&gt;S$2,$A7,$A8)),0)),0)</f>
        <v>0</v>
      </c>
      <c r="T7" s="288">
        <f t="shared" si="8"/>
        <v>0</v>
      </c>
      <c r="U7" s="288">
        <f t="shared" si="8"/>
        <v>0</v>
      </c>
      <c r="V7" s="288">
        <f t="shared" si="8"/>
        <v>0</v>
      </c>
      <c r="W7" s="288">
        <f t="shared" si="8"/>
        <v>0</v>
      </c>
      <c r="X7" s="288">
        <f t="shared" si="8"/>
        <v>0</v>
      </c>
      <c r="Y7" s="288">
        <f t="shared" si="8"/>
        <v>0</v>
      </c>
      <c r="Z7" s="288">
        <f t="shared" si="8"/>
        <v>0</v>
      </c>
      <c r="AA7" s="288">
        <f t="shared" si="8"/>
        <v>0</v>
      </c>
      <c r="AB7" s="288">
        <f t="shared" si="8"/>
        <v>0</v>
      </c>
      <c r="AC7" s="288">
        <f t="shared" si="8"/>
        <v>0</v>
      </c>
      <c r="AD7" s="288">
        <f t="shared" si="8"/>
        <v>0</v>
      </c>
      <c r="AE7" s="288">
        <f t="shared" si="8"/>
        <v>0</v>
      </c>
      <c r="AF7" s="288">
        <f t="shared" si="8"/>
        <v>0</v>
      </c>
      <c r="AG7" s="288">
        <f t="shared" si="8"/>
        <v>0</v>
      </c>
      <c r="AH7" s="288">
        <f t="shared" si="8"/>
        <v>0</v>
      </c>
      <c r="AI7" s="288">
        <f t="shared" ref="AI7:AX22" si="9">IF(AI$2&gt;$B7,(IF(AI$2&lt;=$B8,(IF(AVERAGE($B7,$B8)&gt;AI$2,$A7,$A8)),0)),0)</f>
        <v>0</v>
      </c>
      <c r="AJ7" s="288">
        <f t="shared" si="9"/>
        <v>0</v>
      </c>
      <c r="AK7" s="288">
        <f t="shared" si="9"/>
        <v>0</v>
      </c>
      <c r="AL7" s="288">
        <f t="shared" si="9"/>
        <v>0</v>
      </c>
      <c r="AM7" s="288">
        <f t="shared" si="9"/>
        <v>0</v>
      </c>
      <c r="AN7" s="288">
        <f t="shared" si="9"/>
        <v>0</v>
      </c>
      <c r="AO7" s="288">
        <f t="shared" si="9"/>
        <v>0</v>
      </c>
      <c r="AP7" s="288">
        <f t="shared" si="9"/>
        <v>0</v>
      </c>
      <c r="AQ7" s="288">
        <f t="shared" si="9"/>
        <v>0</v>
      </c>
      <c r="AR7" s="288">
        <f t="shared" si="9"/>
        <v>0</v>
      </c>
      <c r="AS7" s="288">
        <f t="shared" si="9"/>
        <v>0</v>
      </c>
      <c r="AT7" s="288">
        <f t="shared" si="9"/>
        <v>0</v>
      </c>
      <c r="AU7" s="288">
        <f t="shared" si="9"/>
        <v>0</v>
      </c>
      <c r="AV7" s="288">
        <f t="shared" si="9"/>
        <v>0</v>
      </c>
      <c r="AW7" s="288">
        <f t="shared" si="9"/>
        <v>0</v>
      </c>
      <c r="AX7" s="288">
        <f t="shared" si="9"/>
        <v>0</v>
      </c>
      <c r="AY7" s="288">
        <f t="shared" ref="AY7:BN22" si="10">IF(AY$2&gt;$B7,(IF(AY$2&lt;=$B8,(IF(AVERAGE($B7,$B8)&gt;AY$2,$A7,$A8)),0)),0)</f>
        <v>0</v>
      </c>
      <c r="AZ7" s="288">
        <f t="shared" si="10"/>
        <v>0</v>
      </c>
      <c r="BA7" s="288">
        <f t="shared" si="10"/>
        <v>0</v>
      </c>
      <c r="BB7" s="288">
        <f t="shared" si="10"/>
        <v>0</v>
      </c>
      <c r="BC7" s="288">
        <f t="shared" si="10"/>
        <v>0</v>
      </c>
      <c r="BD7" s="288">
        <f t="shared" si="10"/>
        <v>0</v>
      </c>
      <c r="BE7" s="288">
        <f t="shared" si="10"/>
        <v>0</v>
      </c>
      <c r="BF7" s="288">
        <f t="shared" si="10"/>
        <v>0</v>
      </c>
      <c r="BG7" s="288">
        <f t="shared" si="10"/>
        <v>0</v>
      </c>
      <c r="BH7" s="288">
        <f t="shared" si="10"/>
        <v>0</v>
      </c>
      <c r="BI7" s="288">
        <f t="shared" si="10"/>
        <v>0</v>
      </c>
      <c r="BJ7" s="288">
        <f t="shared" si="10"/>
        <v>0</v>
      </c>
      <c r="BK7" s="288">
        <f t="shared" si="10"/>
        <v>0</v>
      </c>
      <c r="BL7" s="288">
        <f t="shared" si="10"/>
        <v>0</v>
      </c>
      <c r="BM7" s="288">
        <f t="shared" si="10"/>
        <v>0</v>
      </c>
      <c r="BN7" s="288">
        <f t="shared" si="10"/>
        <v>0</v>
      </c>
      <c r="BO7" s="288">
        <f t="shared" si="7"/>
        <v>0</v>
      </c>
      <c r="BP7" s="288">
        <f t="shared" si="1"/>
        <v>0</v>
      </c>
      <c r="BQ7" s="288">
        <f t="shared" si="1"/>
        <v>0</v>
      </c>
      <c r="BR7" s="288">
        <f t="shared" si="1"/>
        <v>0</v>
      </c>
      <c r="BS7" s="288">
        <f t="shared" si="1"/>
        <v>0</v>
      </c>
      <c r="BT7" s="288">
        <f t="shared" si="1"/>
        <v>0</v>
      </c>
      <c r="BU7" s="288">
        <f t="shared" si="1"/>
        <v>0</v>
      </c>
      <c r="BV7" s="288">
        <f t="shared" si="1"/>
        <v>0</v>
      </c>
      <c r="BW7" s="288">
        <f t="shared" si="1"/>
        <v>0</v>
      </c>
      <c r="BX7" s="288">
        <f t="shared" si="1"/>
        <v>0</v>
      </c>
      <c r="BY7" s="288">
        <f t="shared" si="1"/>
        <v>0</v>
      </c>
      <c r="BZ7" s="288">
        <f t="shared" si="1"/>
        <v>0</v>
      </c>
      <c r="CA7" s="288">
        <f t="shared" si="1"/>
        <v>0</v>
      </c>
      <c r="CB7" s="288">
        <f t="shared" si="1"/>
        <v>0</v>
      </c>
      <c r="CC7" s="288">
        <f t="shared" si="1"/>
        <v>0</v>
      </c>
      <c r="CD7" s="288">
        <f t="shared" si="1"/>
        <v>0</v>
      </c>
      <c r="CE7" s="288">
        <f t="shared" si="1"/>
        <v>0</v>
      </c>
      <c r="CF7" s="288">
        <f t="shared" si="1"/>
        <v>0</v>
      </c>
      <c r="CG7" s="288">
        <f t="shared" si="1"/>
        <v>0</v>
      </c>
      <c r="CH7" s="288">
        <f t="shared" si="1"/>
        <v>0</v>
      </c>
      <c r="CI7" s="288">
        <f t="shared" si="1"/>
        <v>0</v>
      </c>
      <c r="CJ7" s="288">
        <f t="shared" si="1"/>
        <v>0</v>
      </c>
      <c r="CK7" s="288">
        <f t="shared" si="1"/>
        <v>0</v>
      </c>
      <c r="CL7" s="288">
        <f t="shared" si="1"/>
        <v>0</v>
      </c>
      <c r="CM7" s="288">
        <f t="shared" si="1"/>
        <v>0</v>
      </c>
      <c r="CN7" s="288">
        <f t="shared" si="1"/>
        <v>0</v>
      </c>
      <c r="CO7" s="288">
        <f t="shared" si="1"/>
        <v>0</v>
      </c>
      <c r="CP7" s="288">
        <f t="shared" si="1"/>
        <v>0</v>
      </c>
      <c r="CQ7" s="288">
        <f t="shared" si="1"/>
        <v>0</v>
      </c>
      <c r="CR7" s="288">
        <f t="shared" si="1"/>
        <v>0</v>
      </c>
      <c r="CS7" s="288">
        <f t="shared" si="1"/>
        <v>0</v>
      </c>
      <c r="CT7" s="288">
        <f t="shared" si="1"/>
        <v>0</v>
      </c>
      <c r="CU7" s="288">
        <f t="shared" si="1"/>
        <v>0</v>
      </c>
      <c r="CV7" s="288">
        <f t="shared" si="1"/>
        <v>0</v>
      </c>
      <c r="CW7" s="288">
        <f t="shared" si="1"/>
        <v>0</v>
      </c>
      <c r="CX7" s="288">
        <f t="shared" si="1"/>
        <v>0</v>
      </c>
      <c r="CY7" s="288">
        <f t="shared" si="1"/>
        <v>0</v>
      </c>
      <c r="CZ7" s="288">
        <f t="shared" si="1"/>
        <v>0</v>
      </c>
      <c r="DA7" s="288">
        <f t="shared" si="1"/>
        <v>0</v>
      </c>
      <c r="DB7" s="288">
        <f t="shared" si="1"/>
        <v>0</v>
      </c>
      <c r="DC7" s="288">
        <f t="shared" si="1"/>
        <v>0</v>
      </c>
      <c r="DD7" s="288">
        <f t="shared" si="1"/>
        <v>0</v>
      </c>
      <c r="DE7" s="288">
        <f t="shared" si="1"/>
        <v>0</v>
      </c>
      <c r="DG7" s="314">
        <f t="shared" si="3"/>
        <v>14</v>
      </c>
      <c r="DH7" s="289">
        <f>MAX(G$3:G$109)</f>
        <v>14</v>
      </c>
      <c r="DJ7" s="288">
        <f>LOOKUP(DH7, 'Mortality Table'!A:A,('Mortality Table'!J:J/'Mortality Table'!I:I))</f>
        <v>3.0765063943130974E-4</v>
      </c>
      <c r="DK7" s="288">
        <f>LOOKUP(A7, 'Mortality Table'!A:A,('Mortality Table'!J:J/'Mortality Table'!I:I))</f>
        <v>2.6972593551078918E-4</v>
      </c>
      <c r="DL7" s="288">
        <f t="shared" si="4"/>
        <v>3.7924703920520558E-5</v>
      </c>
      <c r="DN7" s="288">
        <f>LOOKUP(DH7, 'Mortality Table'!A:A,('Mortality Table'!L:L/'Mortality Table'!K:K))</f>
        <v>3.1163763908988157E-4</v>
      </c>
      <c r="DO7" s="288">
        <f>LOOKUP(A7, 'Mortality Table'!A:A,('Mortality Table'!L:L/'Mortality Table'!K:K))</f>
        <v>2.7322144982136357E-4</v>
      </c>
      <c r="DP7" s="288">
        <f t="shared" si="5"/>
        <v>3.8416189268518006E-5</v>
      </c>
      <c r="DR7" s="288">
        <f>LOOKUP(DH7, 'Mortality Table'!A:A,('Mortality Table'!N:N/'Mortality Table'!M:M))</f>
        <v>3.1864160661405178E-4</v>
      </c>
      <c r="DS7" s="288">
        <f>LOOKUP(A7, 'Mortality Table'!A:A,('Mortality Table'!N:N/'Mortality Table'!M:M))</f>
        <v>2.7936202439073901E-4</v>
      </c>
      <c r="DT7" s="288">
        <f t="shared" si="6"/>
        <v>3.9279582223312776E-5</v>
      </c>
    </row>
    <row r="8" spans="1:124">
      <c r="A8" s="288">
        <v>5</v>
      </c>
      <c r="B8" s="288">
        <v>2.7287059869830619E-4</v>
      </c>
      <c r="C8" s="288">
        <f t="shared" si="2"/>
        <v>0</v>
      </c>
      <c r="D8" s="288">
        <f t="shared" si="2"/>
        <v>0</v>
      </c>
      <c r="E8" s="288">
        <f t="shared" si="2"/>
        <v>0</v>
      </c>
      <c r="F8" s="288">
        <f t="shared" si="2"/>
        <v>0</v>
      </c>
      <c r="G8" s="288">
        <f t="shared" si="2"/>
        <v>0</v>
      </c>
      <c r="H8" s="288">
        <f t="shared" si="2"/>
        <v>0</v>
      </c>
      <c r="I8" s="288">
        <f t="shared" si="2"/>
        <v>0</v>
      </c>
      <c r="J8" s="288">
        <f t="shared" si="2"/>
        <v>0</v>
      </c>
      <c r="K8" s="288">
        <f t="shared" si="2"/>
        <v>0</v>
      </c>
      <c r="L8" s="288">
        <f t="shared" si="2"/>
        <v>0</v>
      </c>
      <c r="M8" s="288">
        <f t="shared" si="2"/>
        <v>0</v>
      </c>
      <c r="N8" s="288">
        <f t="shared" si="2"/>
        <v>0</v>
      </c>
      <c r="O8" s="288">
        <f t="shared" si="2"/>
        <v>0</v>
      </c>
      <c r="P8" s="288">
        <f t="shared" si="2"/>
        <v>0</v>
      </c>
      <c r="Q8" s="288">
        <f t="shared" si="2"/>
        <v>0</v>
      </c>
      <c r="R8" s="288">
        <f t="shared" si="2"/>
        <v>0</v>
      </c>
      <c r="S8" s="288">
        <f t="shared" si="8"/>
        <v>0</v>
      </c>
      <c r="T8" s="288">
        <f t="shared" si="8"/>
        <v>0</v>
      </c>
      <c r="U8" s="288">
        <f t="shared" si="8"/>
        <v>0</v>
      </c>
      <c r="V8" s="288">
        <f t="shared" si="8"/>
        <v>0</v>
      </c>
      <c r="W8" s="288">
        <f t="shared" si="8"/>
        <v>0</v>
      </c>
      <c r="X8" s="288">
        <f t="shared" si="8"/>
        <v>0</v>
      </c>
      <c r="Y8" s="288">
        <f t="shared" si="8"/>
        <v>0</v>
      </c>
      <c r="Z8" s="288">
        <f t="shared" si="8"/>
        <v>0</v>
      </c>
      <c r="AA8" s="288">
        <f t="shared" si="8"/>
        <v>0</v>
      </c>
      <c r="AB8" s="288">
        <f t="shared" si="8"/>
        <v>0</v>
      </c>
      <c r="AC8" s="288">
        <f t="shared" si="8"/>
        <v>0</v>
      </c>
      <c r="AD8" s="288">
        <f t="shared" si="8"/>
        <v>0</v>
      </c>
      <c r="AE8" s="288">
        <f t="shared" si="8"/>
        <v>0</v>
      </c>
      <c r="AF8" s="288">
        <f t="shared" si="8"/>
        <v>0</v>
      </c>
      <c r="AG8" s="288">
        <f t="shared" si="8"/>
        <v>0</v>
      </c>
      <c r="AH8" s="288">
        <f t="shared" si="8"/>
        <v>0</v>
      </c>
      <c r="AI8" s="288">
        <f t="shared" si="9"/>
        <v>0</v>
      </c>
      <c r="AJ8" s="288">
        <f t="shared" si="9"/>
        <v>0</v>
      </c>
      <c r="AK8" s="288">
        <f t="shared" si="9"/>
        <v>0</v>
      </c>
      <c r="AL8" s="288">
        <f t="shared" si="9"/>
        <v>0</v>
      </c>
      <c r="AM8" s="288">
        <f t="shared" si="9"/>
        <v>0</v>
      </c>
      <c r="AN8" s="288">
        <f t="shared" si="9"/>
        <v>0</v>
      </c>
      <c r="AO8" s="288">
        <f t="shared" si="9"/>
        <v>0</v>
      </c>
      <c r="AP8" s="288">
        <f t="shared" si="9"/>
        <v>0</v>
      </c>
      <c r="AQ8" s="288">
        <f t="shared" si="9"/>
        <v>0</v>
      </c>
      <c r="AR8" s="288">
        <f t="shared" si="9"/>
        <v>0</v>
      </c>
      <c r="AS8" s="288">
        <f t="shared" si="9"/>
        <v>0</v>
      </c>
      <c r="AT8" s="288">
        <f t="shared" si="9"/>
        <v>0</v>
      </c>
      <c r="AU8" s="288">
        <f t="shared" si="9"/>
        <v>0</v>
      </c>
      <c r="AV8" s="288">
        <f t="shared" si="9"/>
        <v>0</v>
      </c>
      <c r="AW8" s="288">
        <f t="shared" si="9"/>
        <v>0</v>
      </c>
      <c r="AX8" s="288">
        <f t="shared" si="9"/>
        <v>0</v>
      </c>
      <c r="AY8" s="288">
        <f t="shared" si="10"/>
        <v>0</v>
      </c>
      <c r="AZ8" s="288">
        <f t="shared" si="10"/>
        <v>0</v>
      </c>
      <c r="BA8" s="288">
        <f t="shared" si="10"/>
        <v>0</v>
      </c>
      <c r="BB8" s="288">
        <f t="shared" si="10"/>
        <v>0</v>
      </c>
      <c r="BC8" s="288">
        <f t="shared" si="10"/>
        <v>0</v>
      </c>
      <c r="BD8" s="288">
        <f t="shared" si="10"/>
        <v>0</v>
      </c>
      <c r="BE8" s="288">
        <f t="shared" si="10"/>
        <v>0</v>
      </c>
      <c r="BF8" s="288">
        <f t="shared" si="10"/>
        <v>0</v>
      </c>
      <c r="BG8" s="288">
        <f t="shared" si="10"/>
        <v>0</v>
      </c>
      <c r="BH8" s="288">
        <f t="shared" si="10"/>
        <v>0</v>
      </c>
      <c r="BI8" s="288">
        <f t="shared" si="10"/>
        <v>0</v>
      </c>
      <c r="BJ8" s="288">
        <f t="shared" si="10"/>
        <v>0</v>
      </c>
      <c r="BK8" s="288">
        <f t="shared" si="10"/>
        <v>0</v>
      </c>
      <c r="BL8" s="288">
        <f t="shared" si="10"/>
        <v>0</v>
      </c>
      <c r="BM8" s="288">
        <f t="shared" si="10"/>
        <v>0</v>
      </c>
      <c r="BN8" s="288">
        <f t="shared" si="10"/>
        <v>0</v>
      </c>
      <c r="BO8" s="288">
        <f t="shared" si="7"/>
        <v>0</v>
      </c>
      <c r="BP8" s="288">
        <f t="shared" si="1"/>
        <v>0</v>
      </c>
      <c r="BQ8" s="288">
        <f t="shared" si="1"/>
        <v>0</v>
      </c>
      <c r="BR8" s="288">
        <f t="shared" si="1"/>
        <v>0</v>
      </c>
      <c r="BS8" s="288">
        <f t="shared" si="1"/>
        <v>0</v>
      </c>
      <c r="BT8" s="288">
        <f t="shared" si="1"/>
        <v>0</v>
      </c>
      <c r="BU8" s="288">
        <f t="shared" si="1"/>
        <v>0</v>
      </c>
      <c r="BV8" s="288">
        <f t="shared" si="1"/>
        <v>0</v>
      </c>
      <c r="BW8" s="288">
        <f t="shared" si="1"/>
        <v>0</v>
      </c>
      <c r="BX8" s="288">
        <f t="shared" si="1"/>
        <v>0</v>
      </c>
      <c r="BY8" s="288">
        <f t="shared" si="1"/>
        <v>0</v>
      </c>
      <c r="BZ8" s="288">
        <f t="shared" si="1"/>
        <v>0</v>
      </c>
      <c r="CA8" s="288">
        <f t="shared" si="1"/>
        <v>0</v>
      </c>
      <c r="CB8" s="288">
        <f t="shared" si="1"/>
        <v>0</v>
      </c>
      <c r="CC8" s="288">
        <f t="shared" si="1"/>
        <v>0</v>
      </c>
      <c r="CD8" s="288">
        <f t="shared" si="1"/>
        <v>0</v>
      </c>
      <c r="CE8" s="288">
        <f t="shared" si="1"/>
        <v>0</v>
      </c>
      <c r="CF8" s="288">
        <f t="shared" si="1"/>
        <v>0</v>
      </c>
      <c r="CG8" s="288">
        <f t="shared" si="1"/>
        <v>0</v>
      </c>
      <c r="CH8" s="288">
        <f t="shared" si="1"/>
        <v>0</v>
      </c>
      <c r="CI8" s="288">
        <f t="shared" si="1"/>
        <v>0</v>
      </c>
      <c r="CJ8" s="288">
        <f t="shared" si="1"/>
        <v>0</v>
      </c>
      <c r="CK8" s="288">
        <f t="shared" si="1"/>
        <v>0</v>
      </c>
      <c r="CL8" s="288">
        <f t="shared" si="1"/>
        <v>0</v>
      </c>
      <c r="CM8" s="288">
        <f t="shared" si="1"/>
        <v>0</v>
      </c>
      <c r="CN8" s="288">
        <f t="shared" si="1"/>
        <v>0</v>
      </c>
      <c r="CO8" s="288">
        <f t="shared" si="1"/>
        <v>0</v>
      </c>
      <c r="CP8" s="288">
        <f t="shared" si="1"/>
        <v>0</v>
      </c>
      <c r="CQ8" s="288">
        <f t="shared" si="1"/>
        <v>0</v>
      </c>
      <c r="CR8" s="288">
        <f t="shared" si="1"/>
        <v>0</v>
      </c>
      <c r="CS8" s="288">
        <f t="shared" si="1"/>
        <v>0</v>
      </c>
      <c r="CT8" s="288">
        <f t="shared" si="1"/>
        <v>0</v>
      </c>
      <c r="CU8" s="288">
        <f t="shared" si="1"/>
        <v>0</v>
      </c>
      <c r="CV8" s="288">
        <f t="shared" si="1"/>
        <v>0</v>
      </c>
      <c r="CW8" s="288">
        <f t="shared" si="1"/>
        <v>0</v>
      </c>
      <c r="CX8" s="288">
        <f t="shared" si="1"/>
        <v>0</v>
      </c>
      <c r="CY8" s="288">
        <f t="shared" si="1"/>
        <v>0</v>
      </c>
      <c r="CZ8" s="288">
        <f t="shared" si="1"/>
        <v>0</v>
      </c>
      <c r="DA8" s="288">
        <f t="shared" si="1"/>
        <v>0</v>
      </c>
      <c r="DB8" s="288">
        <f t="shared" si="1"/>
        <v>0</v>
      </c>
      <c r="DC8" s="288">
        <f t="shared" si="1"/>
        <v>0</v>
      </c>
      <c r="DD8" s="288">
        <f t="shared" si="1"/>
        <v>0</v>
      </c>
      <c r="DE8" s="288">
        <f t="shared" si="1"/>
        <v>0</v>
      </c>
      <c r="DG8" s="314">
        <f t="shared" si="3"/>
        <v>13</v>
      </c>
      <c r="DH8" s="289">
        <f>MAX(H$3:H$109)</f>
        <v>13</v>
      </c>
      <c r="DJ8" s="288">
        <f>LOOKUP(DH8, 'Mortality Table'!A:A,('Mortality Table'!J:J/'Mortality Table'!I:I))</f>
        <v>2.4232760694289224E-4</v>
      </c>
      <c r="DK8" s="288">
        <f>LOOKUP(A8, 'Mortality Table'!A:A,('Mortality Table'!J:J/'Mortality Table'!I:I))</f>
        <v>2.5119774713237993E-4</v>
      </c>
      <c r="DL8" s="288">
        <f t="shared" si="4"/>
        <v>8.8701401894876919E-6</v>
      </c>
      <c r="DN8" s="288">
        <f>LOOKUP(DH8, 'Mortality Table'!A:A,('Mortality Table'!L:L/'Mortality Table'!K:K))</f>
        <v>2.4546805250780246E-4</v>
      </c>
      <c r="DO8" s="288">
        <f>LOOKUP(A8, 'Mortality Table'!A:A,('Mortality Table'!L:L/'Mortality Table'!K:K))</f>
        <v>2.5445314531358362E-4</v>
      </c>
      <c r="DP8" s="288">
        <f t="shared" si="5"/>
        <v>8.9850928057811632E-6</v>
      </c>
      <c r="DR8" s="288">
        <f>LOOKUP(DH8, 'Mortality Table'!A:A,('Mortality Table'!N:N/'Mortality Table'!M:M))</f>
        <v>2.5098487734644175E-4</v>
      </c>
      <c r="DS8" s="288">
        <f>LOOKUP(A8, 'Mortality Table'!A:A,('Mortality Table'!N:N/'Mortality Table'!M:M))</f>
        <v>2.6017190756388197E-4</v>
      </c>
      <c r="DT8" s="288">
        <f t="shared" si="6"/>
        <v>9.1870302174402226E-6</v>
      </c>
    </row>
    <row r="9" spans="1:124">
      <c r="A9" s="288">
        <v>6</v>
      </c>
      <c r="B9" s="288">
        <v>2.426178465644302E-4</v>
      </c>
      <c r="C9" s="288">
        <f t="shared" si="2"/>
        <v>0</v>
      </c>
      <c r="D9" s="288">
        <f t="shared" si="2"/>
        <v>0</v>
      </c>
      <c r="E9" s="288">
        <f t="shared" si="2"/>
        <v>0</v>
      </c>
      <c r="F9" s="288">
        <f t="shared" si="2"/>
        <v>0</v>
      </c>
      <c r="G9" s="288">
        <f t="shared" si="2"/>
        <v>0</v>
      </c>
      <c r="H9" s="288">
        <f t="shared" si="2"/>
        <v>0</v>
      </c>
      <c r="I9" s="288">
        <f t="shared" si="2"/>
        <v>0</v>
      </c>
      <c r="J9" s="288">
        <f t="shared" si="2"/>
        <v>0</v>
      </c>
      <c r="K9" s="288">
        <f t="shared" si="2"/>
        <v>0</v>
      </c>
      <c r="L9" s="288">
        <f t="shared" si="2"/>
        <v>0</v>
      </c>
      <c r="M9" s="288">
        <f t="shared" si="2"/>
        <v>0</v>
      </c>
      <c r="N9" s="288">
        <f t="shared" si="2"/>
        <v>0</v>
      </c>
      <c r="O9" s="288">
        <f t="shared" si="2"/>
        <v>0</v>
      </c>
      <c r="P9" s="288">
        <f t="shared" si="2"/>
        <v>0</v>
      </c>
      <c r="Q9" s="288">
        <f t="shared" si="2"/>
        <v>0</v>
      </c>
      <c r="R9" s="288">
        <f t="shared" si="2"/>
        <v>0</v>
      </c>
      <c r="S9" s="288">
        <f t="shared" si="8"/>
        <v>0</v>
      </c>
      <c r="T9" s="288">
        <f t="shared" si="8"/>
        <v>0</v>
      </c>
      <c r="U9" s="288">
        <f t="shared" si="8"/>
        <v>0</v>
      </c>
      <c r="V9" s="288">
        <f t="shared" si="8"/>
        <v>0</v>
      </c>
      <c r="W9" s="288">
        <f t="shared" si="8"/>
        <v>0</v>
      </c>
      <c r="X9" s="288">
        <f t="shared" si="8"/>
        <v>0</v>
      </c>
      <c r="Y9" s="288">
        <f t="shared" si="8"/>
        <v>0</v>
      </c>
      <c r="Z9" s="288">
        <f t="shared" si="8"/>
        <v>0</v>
      </c>
      <c r="AA9" s="288">
        <f t="shared" si="8"/>
        <v>0</v>
      </c>
      <c r="AB9" s="288">
        <f t="shared" si="8"/>
        <v>0</v>
      </c>
      <c r="AC9" s="288">
        <f t="shared" si="8"/>
        <v>0</v>
      </c>
      <c r="AD9" s="288">
        <f t="shared" si="8"/>
        <v>0</v>
      </c>
      <c r="AE9" s="288">
        <f t="shared" si="8"/>
        <v>0</v>
      </c>
      <c r="AF9" s="288">
        <f t="shared" si="8"/>
        <v>0</v>
      </c>
      <c r="AG9" s="288">
        <f t="shared" si="8"/>
        <v>0</v>
      </c>
      <c r="AH9" s="288">
        <f t="shared" si="8"/>
        <v>0</v>
      </c>
      <c r="AI9" s="288">
        <f t="shared" si="9"/>
        <v>0</v>
      </c>
      <c r="AJ9" s="288">
        <f t="shared" si="9"/>
        <v>0</v>
      </c>
      <c r="AK9" s="288">
        <f t="shared" si="9"/>
        <v>0</v>
      </c>
      <c r="AL9" s="288">
        <f t="shared" si="9"/>
        <v>0</v>
      </c>
      <c r="AM9" s="288">
        <f t="shared" si="9"/>
        <v>0</v>
      </c>
      <c r="AN9" s="288">
        <f t="shared" si="9"/>
        <v>0</v>
      </c>
      <c r="AO9" s="288">
        <f t="shared" si="9"/>
        <v>0</v>
      </c>
      <c r="AP9" s="288">
        <f t="shared" si="9"/>
        <v>0</v>
      </c>
      <c r="AQ9" s="288">
        <f t="shared" si="9"/>
        <v>0</v>
      </c>
      <c r="AR9" s="288">
        <f t="shared" si="9"/>
        <v>0</v>
      </c>
      <c r="AS9" s="288">
        <f t="shared" si="9"/>
        <v>0</v>
      </c>
      <c r="AT9" s="288">
        <f t="shared" si="9"/>
        <v>0</v>
      </c>
      <c r="AU9" s="288">
        <f t="shared" si="9"/>
        <v>0</v>
      </c>
      <c r="AV9" s="288">
        <f t="shared" si="9"/>
        <v>0</v>
      </c>
      <c r="AW9" s="288">
        <f t="shared" si="9"/>
        <v>0</v>
      </c>
      <c r="AX9" s="288">
        <f t="shared" si="9"/>
        <v>0</v>
      </c>
      <c r="AY9" s="288">
        <f t="shared" si="10"/>
        <v>0</v>
      </c>
      <c r="AZ9" s="288">
        <f t="shared" si="10"/>
        <v>0</v>
      </c>
      <c r="BA9" s="288">
        <f t="shared" si="10"/>
        <v>0</v>
      </c>
      <c r="BB9" s="288">
        <f t="shared" si="10"/>
        <v>0</v>
      </c>
      <c r="BC9" s="288">
        <f t="shared" si="10"/>
        <v>0</v>
      </c>
      <c r="BD9" s="288">
        <f t="shared" si="10"/>
        <v>0</v>
      </c>
      <c r="BE9" s="288">
        <f t="shared" si="10"/>
        <v>0</v>
      </c>
      <c r="BF9" s="288">
        <f t="shared" si="10"/>
        <v>0</v>
      </c>
      <c r="BG9" s="288">
        <f t="shared" si="10"/>
        <v>0</v>
      </c>
      <c r="BH9" s="288">
        <f t="shared" si="10"/>
        <v>0</v>
      </c>
      <c r="BI9" s="288">
        <f t="shared" si="10"/>
        <v>0</v>
      </c>
      <c r="BJ9" s="288">
        <f t="shared" si="10"/>
        <v>0</v>
      </c>
      <c r="BK9" s="288">
        <f t="shared" si="10"/>
        <v>0</v>
      </c>
      <c r="BL9" s="288">
        <f t="shared" si="10"/>
        <v>0</v>
      </c>
      <c r="BM9" s="288">
        <f t="shared" si="10"/>
        <v>0</v>
      </c>
      <c r="BN9" s="288">
        <f t="shared" si="10"/>
        <v>0</v>
      </c>
      <c r="BO9" s="288">
        <f t="shared" si="7"/>
        <v>0</v>
      </c>
      <c r="BP9" s="288">
        <f t="shared" si="1"/>
        <v>0</v>
      </c>
      <c r="BQ9" s="288">
        <f t="shared" si="1"/>
        <v>0</v>
      </c>
      <c r="BR9" s="288">
        <f t="shared" si="1"/>
        <v>0</v>
      </c>
      <c r="BS9" s="288">
        <f t="shared" ref="BS9:CH24" si="11">IF(BS$2&gt;$B9,(IF(BS$2&lt;=$B10,(IF(AVERAGE($B9,$B10)&gt;BS$2,$A9,$A10)),0)),0)</f>
        <v>0</v>
      </c>
      <c r="BT9" s="288">
        <f t="shared" si="11"/>
        <v>0</v>
      </c>
      <c r="BU9" s="288">
        <f t="shared" si="11"/>
        <v>0</v>
      </c>
      <c r="BV9" s="288">
        <f t="shared" si="11"/>
        <v>0</v>
      </c>
      <c r="BW9" s="288">
        <f t="shared" si="11"/>
        <v>0</v>
      </c>
      <c r="BX9" s="288">
        <f t="shared" si="11"/>
        <v>0</v>
      </c>
      <c r="BY9" s="288">
        <f t="shared" si="11"/>
        <v>0</v>
      </c>
      <c r="BZ9" s="288">
        <f t="shared" si="11"/>
        <v>0</v>
      </c>
      <c r="CA9" s="288">
        <f t="shared" si="11"/>
        <v>0</v>
      </c>
      <c r="CB9" s="288">
        <f t="shared" si="11"/>
        <v>0</v>
      </c>
      <c r="CC9" s="288">
        <f t="shared" si="11"/>
        <v>0</v>
      </c>
      <c r="CD9" s="288">
        <f t="shared" si="11"/>
        <v>0</v>
      </c>
      <c r="CE9" s="288">
        <f t="shared" si="11"/>
        <v>0</v>
      </c>
      <c r="CF9" s="288">
        <f t="shared" si="11"/>
        <v>0</v>
      </c>
      <c r="CG9" s="288">
        <f t="shared" si="11"/>
        <v>0</v>
      </c>
      <c r="CH9" s="288">
        <f t="shared" si="11"/>
        <v>0</v>
      </c>
      <c r="CI9" s="288">
        <f t="shared" ref="CI9:CX24" si="12">IF(CI$2&gt;$B9,(IF(CI$2&lt;=$B10,(IF(AVERAGE($B9,$B10)&gt;CI$2,$A9,$A10)),0)),0)</f>
        <v>0</v>
      </c>
      <c r="CJ9" s="288">
        <f t="shared" si="12"/>
        <v>0</v>
      </c>
      <c r="CK9" s="288">
        <f t="shared" si="12"/>
        <v>0</v>
      </c>
      <c r="CL9" s="288">
        <f t="shared" si="12"/>
        <v>0</v>
      </c>
      <c r="CM9" s="288">
        <f t="shared" si="12"/>
        <v>0</v>
      </c>
      <c r="CN9" s="288">
        <f t="shared" si="12"/>
        <v>0</v>
      </c>
      <c r="CO9" s="288">
        <f t="shared" si="12"/>
        <v>0</v>
      </c>
      <c r="CP9" s="288">
        <f t="shared" si="12"/>
        <v>0</v>
      </c>
      <c r="CQ9" s="288">
        <f t="shared" si="12"/>
        <v>0</v>
      </c>
      <c r="CR9" s="288">
        <f t="shared" si="12"/>
        <v>0</v>
      </c>
      <c r="CS9" s="288">
        <f t="shared" si="12"/>
        <v>0</v>
      </c>
      <c r="CT9" s="288">
        <f t="shared" si="12"/>
        <v>0</v>
      </c>
      <c r="CU9" s="288">
        <f t="shared" si="12"/>
        <v>0</v>
      </c>
      <c r="CV9" s="288">
        <f t="shared" si="12"/>
        <v>0</v>
      </c>
      <c r="CW9" s="288">
        <f t="shared" si="12"/>
        <v>0</v>
      </c>
      <c r="CX9" s="288">
        <f t="shared" si="12"/>
        <v>0</v>
      </c>
      <c r="CY9" s="288">
        <f t="shared" ref="CY9:DE45" si="13">IF(CY$2&gt;$B9,(IF(CY$2&lt;=$B10,(IF(AVERAGE($B9,$B10)&gt;CY$2,$A9,$A10)),0)),0)</f>
        <v>0</v>
      </c>
      <c r="CZ9" s="288">
        <f t="shared" si="13"/>
        <v>0</v>
      </c>
      <c r="DA9" s="288">
        <f t="shared" si="13"/>
        <v>0</v>
      </c>
      <c r="DB9" s="288">
        <f t="shared" si="13"/>
        <v>0</v>
      </c>
      <c r="DC9" s="288">
        <f t="shared" si="13"/>
        <v>0</v>
      </c>
      <c r="DD9" s="288">
        <f t="shared" si="13"/>
        <v>0</v>
      </c>
      <c r="DE9" s="288">
        <f t="shared" si="13"/>
        <v>0</v>
      </c>
      <c r="DG9" s="314">
        <f t="shared" si="3"/>
        <v>13</v>
      </c>
      <c r="DH9" s="289">
        <f>MAX(I$3:I$109)</f>
        <v>13</v>
      </c>
      <c r="DJ9" s="288">
        <f>LOOKUP(DH9, 'Mortality Table'!A:A,('Mortality Table'!J:J/'Mortality Table'!I:I))</f>
        <v>2.4232760694289224E-4</v>
      </c>
      <c r="DK9" s="288">
        <f>LOOKUP(A9, 'Mortality Table'!A:A,('Mortality Table'!J:J/'Mortality Table'!I:I))</f>
        <v>2.2334783139636442E-4</v>
      </c>
      <c r="DL9" s="288">
        <f t="shared" si="4"/>
        <v>1.8979775546527818E-5</v>
      </c>
      <c r="DN9" s="288">
        <f>LOOKUP(DH9, 'Mortality Table'!A:A,('Mortality Table'!L:L/'Mortality Table'!K:K))</f>
        <v>2.4546805250780246E-4</v>
      </c>
      <c r="DO9" s="288">
        <f>LOOKUP(A9, 'Mortality Table'!A:A,('Mortality Table'!L:L/'Mortality Table'!K:K))</f>
        <v>2.2624230848624187E-4</v>
      </c>
      <c r="DP9" s="288">
        <f t="shared" si="5"/>
        <v>1.9225744021560582E-5</v>
      </c>
      <c r="DR9" s="288">
        <f>LOOKUP(DH9, 'Mortality Table'!A:A,('Mortality Table'!N:N/'Mortality Table'!M:M))</f>
        <v>2.5098487734644175E-4</v>
      </c>
      <c r="DS9" s="288">
        <f>LOOKUP(A9, 'Mortality Table'!A:A,('Mortality Table'!N:N/'Mortality Table'!M:M))</f>
        <v>2.3132704018251143E-4</v>
      </c>
      <c r="DT9" s="288">
        <f t="shared" si="6"/>
        <v>1.9657837163930319E-5</v>
      </c>
    </row>
    <row r="10" spans="1:124">
      <c r="A10" s="288">
        <v>7</v>
      </c>
      <c r="B10" s="288">
        <v>2.1234213373509813E-4</v>
      </c>
      <c r="C10" s="288">
        <f t="shared" si="2"/>
        <v>0</v>
      </c>
      <c r="D10" s="288">
        <f t="shared" si="2"/>
        <v>0</v>
      </c>
      <c r="E10" s="288">
        <f t="shared" si="2"/>
        <v>0</v>
      </c>
      <c r="F10" s="288">
        <f t="shared" si="2"/>
        <v>0</v>
      </c>
      <c r="G10" s="288">
        <f t="shared" si="2"/>
        <v>0</v>
      </c>
      <c r="H10" s="288">
        <f t="shared" si="2"/>
        <v>0</v>
      </c>
      <c r="I10" s="288">
        <f t="shared" si="2"/>
        <v>0</v>
      </c>
      <c r="J10" s="288">
        <f t="shared" si="2"/>
        <v>0</v>
      </c>
      <c r="K10" s="288">
        <f t="shared" si="2"/>
        <v>0</v>
      </c>
      <c r="L10" s="288">
        <f t="shared" si="2"/>
        <v>0</v>
      </c>
      <c r="M10" s="288">
        <f t="shared" si="2"/>
        <v>0</v>
      </c>
      <c r="N10" s="288">
        <f t="shared" si="2"/>
        <v>0</v>
      </c>
      <c r="O10" s="288">
        <f t="shared" si="2"/>
        <v>0</v>
      </c>
      <c r="P10" s="288">
        <f t="shared" si="2"/>
        <v>0</v>
      </c>
      <c r="Q10" s="288">
        <f t="shared" si="2"/>
        <v>0</v>
      </c>
      <c r="R10" s="288">
        <f t="shared" si="2"/>
        <v>0</v>
      </c>
      <c r="S10" s="288">
        <f t="shared" si="8"/>
        <v>0</v>
      </c>
      <c r="T10" s="288">
        <f t="shared" si="8"/>
        <v>0</v>
      </c>
      <c r="U10" s="288">
        <f t="shared" si="8"/>
        <v>0</v>
      </c>
      <c r="V10" s="288">
        <f t="shared" si="8"/>
        <v>0</v>
      </c>
      <c r="W10" s="288">
        <f t="shared" si="8"/>
        <v>0</v>
      </c>
      <c r="X10" s="288">
        <f t="shared" si="8"/>
        <v>0</v>
      </c>
      <c r="Y10" s="288">
        <f t="shared" si="8"/>
        <v>0</v>
      </c>
      <c r="Z10" s="288">
        <f t="shared" si="8"/>
        <v>0</v>
      </c>
      <c r="AA10" s="288">
        <f t="shared" si="8"/>
        <v>0</v>
      </c>
      <c r="AB10" s="288">
        <f t="shared" si="8"/>
        <v>0</v>
      </c>
      <c r="AC10" s="288">
        <f t="shared" si="8"/>
        <v>0</v>
      </c>
      <c r="AD10" s="288">
        <f t="shared" si="8"/>
        <v>0</v>
      </c>
      <c r="AE10" s="288">
        <f t="shared" si="8"/>
        <v>0</v>
      </c>
      <c r="AF10" s="288">
        <f t="shared" si="8"/>
        <v>0</v>
      </c>
      <c r="AG10" s="288">
        <f t="shared" si="8"/>
        <v>0</v>
      </c>
      <c r="AH10" s="288">
        <f t="shared" si="8"/>
        <v>0</v>
      </c>
      <c r="AI10" s="288">
        <f t="shared" si="9"/>
        <v>0</v>
      </c>
      <c r="AJ10" s="288">
        <f t="shared" si="9"/>
        <v>0</v>
      </c>
      <c r="AK10" s="288">
        <f t="shared" si="9"/>
        <v>0</v>
      </c>
      <c r="AL10" s="288">
        <f t="shared" si="9"/>
        <v>0</v>
      </c>
      <c r="AM10" s="288">
        <f t="shared" si="9"/>
        <v>0</v>
      </c>
      <c r="AN10" s="288">
        <f t="shared" si="9"/>
        <v>0</v>
      </c>
      <c r="AO10" s="288">
        <f t="shared" si="9"/>
        <v>0</v>
      </c>
      <c r="AP10" s="288">
        <f t="shared" si="9"/>
        <v>0</v>
      </c>
      <c r="AQ10" s="288">
        <f t="shared" si="9"/>
        <v>0</v>
      </c>
      <c r="AR10" s="288">
        <f t="shared" si="9"/>
        <v>0</v>
      </c>
      <c r="AS10" s="288">
        <f t="shared" si="9"/>
        <v>0</v>
      </c>
      <c r="AT10" s="288">
        <f t="shared" si="9"/>
        <v>0</v>
      </c>
      <c r="AU10" s="288">
        <f t="shared" si="9"/>
        <v>0</v>
      </c>
      <c r="AV10" s="288">
        <f t="shared" si="9"/>
        <v>0</v>
      </c>
      <c r="AW10" s="288">
        <f t="shared" si="9"/>
        <v>0</v>
      </c>
      <c r="AX10" s="288">
        <f t="shared" si="9"/>
        <v>0</v>
      </c>
      <c r="AY10" s="288">
        <f t="shared" si="10"/>
        <v>0</v>
      </c>
      <c r="AZ10" s="288">
        <f t="shared" si="10"/>
        <v>0</v>
      </c>
      <c r="BA10" s="288">
        <f t="shared" si="10"/>
        <v>0</v>
      </c>
      <c r="BB10" s="288">
        <f t="shared" si="10"/>
        <v>0</v>
      </c>
      <c r="BC10" s="288">
        <f t="shared" si="10"/>
        <v>0</v>
      </c>
      <c r="BD10" s="288">
        <f t="shared" si="10"/>
        <v>0</v>
      </c>
      <c r="BE10" s="288">
        <f t="shared" si="10"/>
        <v>0</v>
      </c>
      <c r="BF10" s="288">
        <f t="shared" si="10"/>
        <v>0</v>
      </c>
      <c r="BG10" s="288">
        <f t="shared" si="10"/>
        <v>0</v>
      </c>
      <c r="BH10" s="288">
        <f t="shared" si="10"/>
        <v>0</v>
      </c>
      <c r="BI10" s="288">
        <f t="shared" si="10"/>
        <v>0</v>
      </c>
      <c r="BJ10" s="288">
        <f t="shared" si="10"/>
        <v>0</v>
      </c>
      <c r="BK10" s="288">
        <f t="shared" si="10"/>
        <v>0</v>
      </c>
      <c r="BL10" s="288">
        <f t="shared" si="10"/>
        <v>0</v>
      </c>
      <c r="BM10" s="288">
        <f t="shared" si="10"/>
        <v>0</v>
      </c>
      <c r="BN10" s="288">
        <f t="shared" si="10"/>
        <v>0</v>
      </c>
      <c r="BO10" s="288">
        <f t="shared" si="7"/>
        <v>0</v>
      </c>
      <c r="BP10" s="288">
        <f t="shared" si="7"/>
        <v>0</v>
      </c>
      <c r="BQ10" s="288">
        <f t="shared" si="7"/>
        <v>0</v>
      </c>
      <c r="BR10" s="288">
        <f t="shared" si="7"/>
        <v>0</v>
      </c>
      <c r="BS10" s="288">
        <f t="shared" si="11"/>
        <v>0</v>
      </c>
      <c r="BT10" s="288">
        <f t="shared" si="11"/>
        <v>0</v>
      </c>
      <c r="BU10" s="288">
        <f t="shared" si="11"/>
        <v>0</v>
      </c>
      <c r="BV10" s="288">
        <f t="shared" si="11"/>
        <v>0</v>
      </c>
      <c r="BW10" s="288">
        <f t="shared" si="11"/>
        <v>0</v>
      </c>
      <c r="BX10" s="288">
        <f t="shared" si="11"/>
        <v>0</v>
      </c>
      <c r="BY10" s="288">
        <f t="shared" si="11"/>
        <v>0</v>
      </c>
      <c r="BZ10" s="288">
        <f t="shared" si="11"/>
        <v>0</v>
      </c>
      <c r="CA10" s="288">
        <f t="shared" si="11"/>
        <v>0</v>
      </c>
      <c r="CB10" s="288">
        <f t="shared" si="11"/>
        <v>0</v>
      </c>
      <c r="CC10" s="288">
        <f t="shared" si="11"/>
        <v>0</v>
      </c>
      <c r="CD10" s="288">
        <f t="shared" si="11"/>
        <v>0</v>
      </c>
      <c r="CE10" s="288">
        <f t="shared" si="11"/>
        <v>0</v>
      </c>
      <c r="CF10" s="288">
        <f t="shared" si="11"/>
        <v>0</v>
      </c>
      <c r="CG10" s="288">
        <f t="shared" si="11"/>
        <v>0</v>
      </c>
      <c r="CH10" s="288">
        <f t="shared" si="11"/>
        <v>0</v>
      </c>
      <c r="CI10" s="288">
        <f t="shared" si="12"/>
        <v>0</v>
      </c>
      <c r="CJ10" s="288">
        <f t="shared" si="12"/>
        <v>0</v>
      </c>
      <c r="CK10" s="288">
        <f t="shared" si="12"/>
        <v>0</v>
      </c>
      <c r="CL10" s="288">
        <f t="shared" si="12"/>
        <v>0</v>
      </c>
      <c r="CM10" s="288">
        <f t="shared" si="12"/>
        <v>0</v>
      </c>
      <c r="CN10" s="288">
        <f t="shared" si="12"/>
        <v>0</v>
      </c>
      <c r="CO10" s="288">
        <f t="shared" si="12"/>
        <v>0</v>
      </c>
      <c r="CP10" s="288">
        <f t="shared" si="12"/>
        <v>0</v>
      </c>
      <c r="CQ10" s="288">
        <f t="shared" si="12"/>
        <v>0</v>
      </c>
      <c r="CR10" s="288">
        <f t="shared" si="12"/>
        <v>0</v>
      </c>
      <c r="CS10" s="288">
        <f t="shared" si="12"/>
        <v>0</v>
      </c>
      <c r="CT10" s="288">
        <f t="shared" si="12"/>
        <v>0</v>
      </c>
      <c r="CU10" s="288">
        <f t="shared" si="12"/>
        <v>0</v>
      </c>
      <c r="CV10" s="288">
        <f t="shared" si="12"/>
        <v>0</v>
      </c>
      <c r="CW10" s="288">
        <f t="shared" si="12"/>
        <v>0</v>
      </c>
      <c r="CX10" s="288">
        <f t="shared" si="12"/>
        <v>0</v>
      </c>
      <c r="CY10" s="288">
        <f t="shared" si="13"/>
        <v>0</v>
      </c>
      <c r="CZ10" s="288">
        <f t="shared" si="13"/>
        <v>0</v>
      </c>
      <c r="DA10" s="288">
        <f t="shared" si="13"/>
        <v>0</v>
      </c>
      <c r="DB10" s="288">
        <f t="shared" si="13"/>
        <v>0</v>
      </c>
      <c r="DC10" s="288">
        <f t="shared" si="13"/>
        <v>0</v>
      </c>
      <c r="DD10" s="288">
        <f t="shared" si="13"/>
        <v>0</v>
      </c>
      <c r="DE10" s="288">
        <f t="shared" si="13"/>
        <v>0</v>
      </c>
      <c r="DG10" s="314">
        <f t="shared" si="3"/>
        <v>12</v>
      </c>
      <c r="DH10" s="289">
        <f>MAX(J$3:J$109)</f>
        <v>12</v>
      </c>
      <c r="DJ10" s="288">
        <f>LOOKUP(DH10, 'Mortality Table'!A:A,('Mortality Table'!J:J/'Mortality Table'!I:I))</f>
        <v>2.0500077529544717E-4</v>
      </c>
      <c r="DK10" s="288">
        <f>LOOKUP(A10, 'Mortality Table'!A:A,('Mortality Table'!J:J/'Mortality Table'!I:I))</f>
        <v>1.9547677862690268E-4</v>
      </c>
      <c r="DL10" s="288">
        <f t="shared" si="4"/>
        <v>9.5239966685444855E-6</v>
      </c>
      <c r="DN10" s="288">
        <f>LOOKUP(DH10, 'Mortality Table'!A:A,('Mortality Table'!L:L/'Mortality Table'!K:K))</f>
        <v>2.0765748364040874E-4</v>
      </c>
      <c r="DO10" s="288">
        <f>LOOKUP(A10, 'Mortality Table'!A:A,('Mortality Table'!L:L/'Mortality Table'!K:K))</f>
        <v>1.9801006069998674E-4</v>
      </c>
      <c r="DP10" s="288">
        <f t="shared" si="5"/>
        <v>9.6474229404219943E-6</v>
      </c>
      <c r="DR10" s="288">
        <f>LOOKUP(DH10, 'Mortality Table'!A:A,('Mortality Table'!N:N/'Mortality Table'!M:M))</f>
        <v>2.1232452667094864E-4</v>
      </c>
      <c r="DS10" s="288">
        <f>LOOKUP(A10, 'Mortality Table'!A:A,('Mortality Table'!N:N/'Mortality Table'!M:M))</f>
        <v>2.0246028063700049E-4</v>
      </c>
      <c r="DT10" s="288">
        <f t="shared" si="6"/>
        <v>9.8642460339481508E-6</v>
      </c>
    </row>
    <row r="11" spans="1:124">
      <c r="A11" s="288">
        <v>8</v>
      </c>
      <c r="B11" s="288">
        <v>2.1238723249322384E-4</v>
      </c>
      <c r="C11" s="288">
        <f t="shared" si="2"/>
        <v>0</v>
      </c>
      <c r="D11" s="288">
        <f t="shared" si="2"/>
        <v>0</v>
      </c>
      <c r="E11" s="288">
        <f t="shared" si="2"/>
        <v>0</v>
      </c>
      <c r="F11" s="288">
        <f t="shared" si="2"/>
        <v>0</v>
      </c>
      <c r="G11" s="288">
        <f t="shared" si="2"/>
        <v>0</v>
      </c>
      <c r="H11" s="288">
        <f t="shared" si="2"/>
        <v>0</v>
      </c>
      <c r="I11" s="288">
        <f t="shared" si="2"/>
        <v>0</v>
      </c>
      <c r="J11" s="288">
        <f t="shared" si="2"/>
        <v>0</v>
      </c>
      <c r="K11" s="288">
        <f t="shared" si="2"/>
        <v>0</v>
      </c>
      <c r="L11" s="288">
        <f t="shared" si="2"/>
        <v>0</v>
      </c>
      <c r="M11" s="288">
        <f t="shared" si="2"/>
        <v>0</v>
      </c>
      <c r="N11" s="288">
        <f t="shared" si="2"/>
        <v>0</v>
      </c>
      <c r="O11" s="288">
        <f t="shared" si="2"/>
        <v>0</v>
      </c>
      <c r="P11" s="288">
        <f t="shared" si="2"/>
        <v>0</v>
      </c>
      <c r="Q11" s="288">
        <f t="shared" si="2"/>
        <v>0</v>
      </c>
      <c r="R11" s="288">
        <f t="shared" si="2"/>
        <v>0</v>
      </c>
      <c r="S11" s="288">
        <f t="shared" si="8"/>
        <v>0</v>
      </c>
      <c r="T11" s="288">
        <f t="shared" si="8"/>
        <v>0</v>
      </c>
      <c r="U11" s="288">
        <f t="shared" si="8"/>
        <v>0</v>
      </c>
      <c r="V11" s="288">
        <f t="shared" si="8"/>
        <v>0</v>
      </c>
      <c r="W11" s="288">
        <f t="shared" si="8"/>
        <v>0</v>
      </c>
      <c r="X11" s="288">
        <f t="shared" si="8"/>
        <v>0</v>
      </c>
      <c r="Y11" s="288">
        <f t="shared" si="8"/>
        <v>0</v>
      </c>
      <c r="Z11" s="288">
        <f t="shared" si="8"/>
        <v>0</v>
      </c>
      <c r="AA11" s="288">
        <f t="shared" si="8"/>
        <v>0</v>
      </c>
      <c r="AB11" s="288">
        <f t="shared" si="8"/>
        <v>0</v>
      </c>
      <c r="AC11" s="288">
        <f t="shared" si="8"/>
        <v>0</v>
      </c>
      <c r="AD11" s="288">
        <f t="shared" si="8"/>
        <v>0</v>
      </c>
      <c r="AE11" s="288">
        <f t="shared" si="8"/>
        <v>0</v>
      </c>
      <c r="AF11" s="288">
        <f t="shared" si="8"/>
        <v>0</v>
      </c>
      <c r="AG11" s="288">
        <f t="shared" si="8"/>
        <v>0</v>
      </c>
      <c r="AH11" s="288">
        <f t="shared" si="8"/>
        <v>0</v>
      </c>
      <c r="AI11" s="288">
        <f t="shared" si="9"/>
        <v>0</v>
      </c>
      <c r="AJ11" s="288">
        <f t="shared" si="9"/>
        <v>0</v>
      </c>
      <c r="AK11" s="288">
        <f t="shared" si="9"/>
        <v>0</v>
      </c>
      <c r="AL11" s="288">
        <f t="shared" si="9"/>
        <v>0</v>
      </c>
      <c r="AM11" s="288">
        <f t="shared" si="9"/>
        <v>0</v>
      </c>
      <c r="AN11" s="288">
        <f t="shared" si="9"/>
        <v>0</v>
      </c>
      <c r="AO11" s="288">
        <f t="shared" si="9"/>
        <v>0</v>
      </c>
      <c r="AP11" s="288">
        <f t="shared" si="9"/>
        <v>0</v>
      </c>
      <c r="AQ11" s="288">
        <f t="shared" si="9"/>
        <v>0</v>
      </c>
      <c r="AR11" s="288">
        <f t="shared" si="9"/>
        <v>0</v>
      </c>
      <c r="AS11" s="288">
        <f t="shared" si="9"/>
        <v>0</v>
      </c>
      <c r="AT11" s="288">
        <f t="shared" si="9"/>
        <v>0</v>
      </c>
      <c r="AU11" s="288">
        <f t="shared" si="9"/>
        <v>0</v>
      </c>
      <c r="AV11" s="288">
        <f t="shared" si="9"/>
        <v>0</v>
      </c>
      <c r="AW11" s="288">
        <f t="shared" si="9"/>
        <v>0</v>
      </c>
      <c r="AX11" s="288">
        <f t="shared" si="9"/>
        <v>0</v>
      </c>
      <c r="AY11" s="288">
        <f t="shared" si="10"/>
        <v>0</v>
      </c>
      <c r="AZ11" s="288">
        <f t="shared" si="10"/>
        <v>0</v>
      </c>
      <c r="BA11" s="288">
        <f t="shared" si="10"/>
        <v>0</v>
      </c>
      <c r="BB11" s="288">
        <f t="shared" si="10"/>
        <v>0</v>
      </c>
      <c r="BC11" s="288">
        <f t="shared" si="10"/>
        <v>0</v>
      </c>
      <c r="BD11" s="288">
        <f t="shared" si="10"/>
        <v>0</v>
      </c>
      <c r="BE11" s="288">
        <f t="shared" si="10"/>
        <v>0</v>
      </c>
      <c r="BF11" s="288">
        <f t="shared" si="10"/>
        <v>0</v>
      </c>
      <c r="BG11" s="288">
        <f t="shared" si="10"/>
        <v>0</v>
      </c>
      <c r="BH11" s="288">
        <f t="shared" si="10"/>
        <v>0</v>
      </c>
      <c r="BI11" s="288">
        <f t="shared" si="10"/>
        <v>0</v>
      </c>
      <c r="BJ11" s="288">
        <f t="shared" si="10"/>
        <v>0</v>
      </c>
      <c r="BK11" s="288">
        <f t="shared" si="10"/>
        <v>0</v>
      </c>
      <c r="BL11" s="288">
        <f t="shared" si="10"/>
        <v>0</v>
      </c>
      <c r="BM11" s="288">
        <f t="shared" si="10"/>
        <v>0</v>
      </c>
      <c r="BN11" s="288">
        <f t="shared" si="10"/>
        <v>0</v>
      </c>
      <c r="BO11" s="288">
        <f t="shared" si="7"/>
        <v>0</v>
      </c>
      <c r="BP11" s="288">
        <f t="shared" si="7"/>
        <v>0</v>
      </c>
      <c r="BQ11" s="288">
        <f t="shared" si="7"/>
        <v>0</v>
      </c>
      <c r="BR11" s="288">
        <f t="shared" si="7"/>
        <v>0</v>
      </c>
      <c r="BS11" s="288">
        <f t="shared" si="11"/>
        <v>0</v>
      </c>
      <c r="BT11" s="288">
        <f t="shared" si="11"/>
        <v>0</v>
      </c>
      <c r="BU11" s="288">
        <f t="shared" si="11"/>
        <v>0</v>
      </c>
      <c r="BV11" s="288">
        <f t="shared" si="11"/>
        <v>0</v>
      </c>
      <c r="BW11" s="288">
        <f t="shared" si="11"/>
        <v>0</v>
      </c>
      <c r="BX11" s="288">
        <f t="shared" si="11"/>
        <v>0</v>
      </c>
      <c r="BY11" s="288">
        <f t="shared" si="11"/>
        <v>0</v>
      </c>
      <c r="BZ11" s="288">
        <f t="shared" si="11"/>
        <v>0</v>
      </c>
      <c r="CA11" s="288">
        <f t="shared" si="11"/>
        <v>0</v>
      </c>
      <c r="CB11" s="288">
        <f t="shared" si="11"/>
        <v>0</v>
      </c>
      <c r="CC11" s="288">
        <f t="shared" si="11"/>
        <v>0</v>
      </c>
      <c r="CD11" s="288">
        <f t="shared" si="11"/>
        <v>0</v>
      </c>
      <c r="CE11" s="288">
        <f t="shared" si="11"/>
        <v>0</v>
      </c>
      <c r="CF11" s="288">
        <f t="shared" si="11"/>
        <v>0</v>
      </c>
      <c r="CG11" s="288">
        <f t="shared" si="11"/>
        <v>0</v>
      </c>
      <c r="CH11" s="288">
        <f t="shared" si="11"/>
        <v>0</v>
      </c>
      <c r="CI11" s="288">
        <f t="shared" si="12"/>
        <v>0</v>
      </c>
      <c r="CJ11" s="288">
        <f t="shared" si="12"/>
        <v>0</v>
      </c>
      <c r="CK11" s="288">
        <f t="shared" si="12"/>
        <v>0</v>
      </c>
      <c r="CL11" s="288">
        <f t="shared" si="12"/>
        <v>0</v>
      </c>
      <c r="CM11" s="288">
        <f t="shared" si="12"/>
        <v>0</v>
      </c>
      <c r="CN11" s="288">
        <f t="shared" si="12"/>
        <v>0</v>
      </c>
      <c r="CO11" s="288">
        <f t="shared" si="12"/>
        <v>0</v>
      </c>
      <c r="CP11" s="288">
        <f t="shared" si="12"/>
        <v>0</v>
      </c>
      <c r="CQ11" s="288">
        <f t="shared" si="12"/>
        <v>0</v>
      </c>
      <c r="CR11" s="288">
        <f t="shared" si="12"/>
        <v>0</v>
      </c>
      <c r="CS11" s="288">
        <f t="shared" si="12"/>
        <v>0</v>
      </c>
      <c r="CT11" s="288">
        <f t="shared" si="12"/>
        <v>0</v>
      </c>
      <c r="CU11" s="288">
        <f t="shared" si="12"/>
        <v>0</v>
      </c>
      <c r="CV11" s="288">
        <f t="shared" si="12"/>
        <v>0</v>
      </c>
      <c r="CW11" s="288">
        <f t="shared" si="12"/>
        <v>0</v>
      </c>
      <c r="CX11" s="288">
        <f t="shared" si="12"/>
        <v>0</v>
      </c>
      <c r="CY11" s="288">
        <f t="shared" si="13"/>
        <v>0</v>
      </c>
      <c r="CZ11" s="288">
        <f t="shared" si="13"/>
        <v>0</v>
      </c>
      <c r="DA11" s="288">
        <f t="shared" si="13"/>
        <v>0</v>
      </c>
      <c r="DB11" s="288">
        <f t="shared" si="13"/>
        <v>0</v>
      </c>
      <c r="DC11" s="288">
        <f t="shared" si="13"/>
        <v>0</v>
      </c>
      <c r="DD11" s="288">
        <f t="shared" si="13"/>
        <v>0</v>
      </c>
      <c r="DE11" s="288">
        <f t="shared" si="13"/>
        <v>0</v>
      </c>
      <c r="DG11" s="314">
        <f t="shared" si="3"/>
        <v>12</v>
      </c>
      <c r="DH11" s="289">
        <f>MAX(K$3:K$109)</f>
        <v>12</v>
      </c>
      <c r="DJ11" s="288">
        <f>LOOKUP(DH11, 'Mortality Table'!A:A,('Mortality Table'!J:J/'Mortality Table'!I:I))</f>
        <v>2.0500077529544717E-4</v>
      </c>
      <c r="DK11" s="288">
        <f>LOOKUP(A11, 'Mortality Table'!A:A,('Mortality Table'!J:J/'Mortality Table'!I:I))</f>
        <v>1.9551829539893193E-4</v>
      </c>
      <c r="DL11" s="288">
        <f t="shared" si="4"/>
        <v>9.4824798965152419E-6</v>
      </c>
      <c r="DN11" s="288">
        <f>LOOKUP(DH11, 'Mortality Table'!A:A,('Mortality Table'!L:L/'Mortality Table'!K:K))</f>
        <v>2.0765748364040874E-4</v>
      </c>
      <c r="DO11" s="288">
        <f>LOOKUP(A11, 'Mortality Table'!A:A,('Mortality Table'!L:L/'Mortality Table'!K:K))</f>
        <v>1.9805211550878461E-4</v>
      </c>
      <c r="DP11" s="288">
        <f t="shared" si="5"/>
        <v>9.6053681316241295E-6</v>
      </c>
      <c r="DR11" s="288">
        <f>LOOKUP(DH11, 'Mortality Table'!A:A,('Mortality Table'!N:N/'Mortality Table'!M:M))</f>
        <v>2.1232452667094864E-4</v>
      </c>
      <c r="DS11" s="288">
        <f>LOOKUP(A11, 'Mortality Table'!A:A,('Mortality Table'!N:N/'Mortality Table'!M:M))</f>
        <v>2.0250328061569475E-4</v>
      </c>
      <c r="DT11" s="288">
        <f t="shared" si="6"/>
        <v>9.8212460552538896E-6</v>
      </c>
    </row>
    <row r="12" spans="1:124">
      <c r="A12" s="288">
        <v>9</v>
      </c>
      <c r="B12" s="288">
        <v>2.0231652420211422E-4</v>
      </c>
      <c r="C12" s="288">
        <f t="shared" si="2"/>
        <v>0</v>
      </c>
      <c r="D12" s="288">
        <f t="shared" si="2"/>
        <v>0</v>
      </c>
      <c r="E12" s="288">
        <f t="shared" si="2"/>
        <v>0</v>
      </c>
      <c r="F12" s="288">
        <f t="shared" si="2"/>
        <v>0</v>
      </c>
      <c r="G12" s="288">
        <f t="shared" si="2"/>
        <v>0</v>
      </c>
      <c r="H12" s="288">
        <f t="shared" si="2"/>
        <v>0</v>
      </c>
      <c r="I12" s="288">
        <f t="shared" si="2"/>
        <v>0</v>
      </c>
      <c r="J12" s="288">
        <f t="shared" si="2"/>
        <v>0</v>
      </c>
      <c r="K12" s="288">
        <f t="shared" si="2"/>
        <v>0</v>
      </c>
      <c r="L12" s="288">
        <f t="shared" si="2"/>
        <v>10</v>
      </c>
      <c r="M12" s="288">
        <f t="shared" si="2"/>
        <v>0</v>
      </c>
      <c r="N12" s="288">
        <f t="shared" si="2"/>
        <v>0</v>
      </c>
      <c r="O12" s="288">
        <f t="shared" si="2"/>
        <v>0</v>
      </c>
      <c r="P12" s="288">
        <f t="shared" si="2"/>
        <v>0</v>
      </c>
      <c r="Q12" s="288">
        <f t="shared" si="2"/>
        <v>0</v>
      </c>
      <c r="R12" s="288">
        <f t="shared" si="2"/>
        <v>0</v>
      </c>
      <c r="S12" s="288">
        <f t="shared" si="8"/>
        <v>0</v>
      </c>
      <c r="T12" s="288">
        <f t="shared" si="8"/>
        <v>0</v>
      </c>
      <c r="U12" s="288">
        <f t="shared" si="8"/>
        <v>0</v>
      </c>
      <c r="V12" s="288">
        <f t="shared" si="8"/>
        <v>0</v>
      </c>
      <c r="W12" s="288">
        <f t="shared" si="8"/>
        <v>0</v>
      </c>
      <c r="X12" s="288">
        <f t="shared" si="8"/>
        <v>0</v>
      </c>
      <c r="Y12" s="288">
        <f t="shared" si="8"/>
        <v>0</v>
      </c>
      <c r="Z12" s="288">
        <f t="shared" si="8"/>
        <v>0</v>
      </c>
      <c r="AA12" s="288">
        <f t="shared" si="8"/>
        <v>0</v>
      </c>
      <c r="AB12" s="288">
        <f t="shared" si="8"/>
        <v>0</v>
      </c>
      <c r="AC12" s="288">
        <f t="shared" si="8"/>
        <v>0</v>
      </c>
      <c r="AD12" s="288">
        <f t="shared" si="8"/>
        <v>0</v>
      </c>
      <c r="AE12" s="288">
        <f t="shared" si="8"/>
        <v>0</v>
      </c>
      <c r="AF12" s="288">
        <f t="shared" si="8"/>
        <v>0</v>
      </c>
      <c r="AG12" s="288">
        <f t="shared" si="8"/>
        <v>0</v>
      </c>
      <c r="AH12" s="288">
        <f t="shared" si="8"/>
        <v>0</v>
      </c>
      <c r="AI12" s="288">
        <f t="shared" si="9"/>
        <v>0</v>
      </c>
      <c r="AJ12" s="288">
        <f t="shared" si="9"/>
        <v>0</v>
      </c>
      <c r="AK12" s="288">
        <f t="shared" si="9"/>
        <v>0</v>
      </c>
      <c r="AL12" s="288">
        <f t="shared" si="9"/>
        <v>0</v>
      </c>
      <c r="AM12" s="288">
        <f t="shared" si="9"/>
        <v>0</v>
      </c>
      <c r="AN12" s="288">
        <f t="shared" si="9"/>
        <v>0</v>
      </c>
      <c r="AO12" s="288">
        <f t="shared" si="9"/>
        <v>0</v>
      </c>
      <c r="AP12" s="288">
        <f t="shared" si="9"/>
        <v>0</v>
      </c>
      <c r="AQ12" s="288">
        <f t="shared" si="9"/>
        <v>0</v>
      </c>
      <c r="AR12" s="288">
        <f t="shared" si="9"/>
        <v>0</v>
      </c>
      <c r="AS12" s="288">
        <f t="shared" si="9"/>
        <v>0</v>
      </c>
      <c r="AT12" s="288">
        <f t="shared" si="9"/>
        <v>0</v>
      </c>
      <c r="AU12" s="288">
        <f t="shared" si="9"/>
        <v>0</v>
      </c>
      <c r="AV12" s="288">
        <f t="shared" si="9"/>
        <v>0</v>
      </c>
      <c r="AW12" s="288">
        <f t="shared" si="9"/>
        <v>0</v>
      </c>
      <c r="AX12" s="288">
        <f t="shared" si="9"/>
        <v>0</v>
      </c>
      <c r="AY12" s="288">
        <f t="shared" si="10"/>
        <v>0</v>
      </c>
      <c r="AZ12" s="288">
        <f t="shared" si="10"/>
        <v>0</v>
      </c>
      <c r="BA12" s="288">
        <f t="shared" si="10"/>
        <v>0</v>
      </c>
      <c r="BB12" s="288">
        <f t="shared" si="10"/>
        <v>0</v>
      </c>
      <c r="BC12" s="288">
        <f t="shared" si="10"/>
        <v>0</v>
      </c>
      <c r="BD12" s="288">
        <f t="shared" si="10"/>
        <v>0</v>
      </c>
      <c r="BE12" s="288">
        <f t="shared" si="10"/>
        <v>0</v>
      </c>
      <c r="BF12" s="288">
        <f t="shared" si="10"/>
        <v>0</v>
      </c>
      <c r="BG12" s="288">
        <f t="shared" si="10"/>
        <v>0</v>
      </c>
      <c r="BH12" s="288">
        <f t="shared" si="10"/>
        <v>0</v>
      </c>
      <c r="BI12" s="288">
        <f t="shared" si="10"/>
        <v>0</v>
      </c>
      <c r="BJ12" s="288">
        <f t="shared" si="10"/>
        <v>0</v>
      </c>
      <c r="BK12" s="288">
        <f t="shared" si="10"/>
        <v>0</v>
      </c>
      <c r="BL12" s="288">
        <f t="shared" si="10"/>
        <v>0</v>
      </c>
      <c r="BM12" s="288">
        <f t="shared" si="10"/>
        <v>0</v>
      </c>
      <c r="BN12" s="288">
        <f t="shared" si="10"/>
        <v>0</v>
      </c>
      <c r="BO12" s="288">
        <f t="shared" si="7"/>
        <v>0</v>
      </c>
      <c r="BP12" s="288">
        <f t="shared" si="7"/>
        <v>0</v>
      </c>
      <c r="BQ12" s="288">
        <f t="shared" si="7"/>
        <v>0</v>
      </c>
      <c r="BR12" s="288">
        <f t="shared" si="7"/>
        <v>0</v>
      </c>
      <c r="BS12" s="288">
        <f t="shared" si="11"/>
        <v>0</v>
      </c>
      <c r="BT12" s="288">
        <f t="shared" si="11"/>
        <v>0</v>
      </c>
      <c r="BU12" s="288">
        <f t="shared" si="11"/>
        <v>0</v>
      </c>
      <c r="BV12" s="288">
        <f t="shared" si="11"/>
        <v>0</v>
      </c>
      <c r="BW12" s="288">
        <f t="shared" si="11"/>
        <v>0</v>
      </c>
      <c r="BX12" s="288">
        <f t="shared" si="11"/>
        <v>0</v>
      </c>
      <c r="BY12" s="288">
        <f t="shared" si="11"/>
        <v>0</v>
      </c>
      <c r="BZ12" s="288">
        <f t="shared" si="11"/>
        <v>0</v>
      </c>
      <c r="CA12" s="288">
        <f t="shared" si="11"/>
        <v>0</v>
      </c>
      <c r="CB12" s="288">
        <f t="shared" si="11"/>
        <v>0</v>
      </c>
      <c r="CC12" s="288">
        <f t="shared" si="11"/>
        <v>0</v>
      </c>
      <c r="CD12" s="288">
        <f t="shared" si="11"/>
        <v>0</v>
      </c>
      <c r="CE12" s="288">
        <f t="shared" si="11"/>
        <v>0</v>
      </c>
      <c r="CF12" s="288">
        <f t="shared" si="11"/>
        <v>0</v>
      </c>
      <c r="CG12" s="288">
        <f t="shared" si="11"/>
        <v>0</v>
      </c>
      <c r="CH12" s="288">
        <f t="shared" si="11"/>
        <v>0</v>
      </c>
      <c r="CI12" s="288">
        <f t="shared" si="12"/>
        <v>0</v>
      </c>
      <c r="CJ12" s="288">
        <f t="shared" si="12"/>
        <v>0</v>
      </c>
      <c r="CK12" s="288">
        <f t="shared" si="12"/>
        <v>0</v>
      </c>
      <c r="CL12" s="288">
        <f t="shared" si="12"/>
        <v>0</v>
      </c>
      <c r="CM12" s="288">
        <f t="shared" si="12"/>
        <v>0</v>
      </c>
      <c r="CN12" s="288">
        <f t="shared" si="12"/>
        <v>0</v>
      </c>
      <c r="CO12" s="288">
        <f t="shared" si="12"/>
        <v>0</v>
      </c>
      <c r="CP12" s="288">
        <f t="shared" si="12"/>
        <v>0</v>
      </c>
      <c r="CQ12" s="288">
        <f t="shared" si="12"/>
        <v>0</v>
      </c>
      <c r="CR12" s="288">
        <f t="shared" si="12"/>
        <v>0</v>
      </c>
      <c r="CS12" s="288">
        <f t="shared" si="12"/>
        <v>0</v>
      </c>
      <c r="CT12" s="288">
        <f t="shared" si="12"/>
        <v>0</v>
      </c>
      <c r="CU12" s="288">
        <f t="shared" si="12"/>
        <v>0</v>
      </c>
      <c r="CV12" s="288">
        <f t="shared" si="12"/>
        <v>0</v>
      </c>
      <c r="CW12" s="288">
        <f t="shared" si="12"/>
        <v>0</v>
      </c>
      <c r="CX12" s="288">
        <f t="shared" si="12"/>
        <v>0</v>
      </c>
      <c r="CY12" s="288">
        <f t="shared" si="13"/>
        <v>0</v>
      </c>
      <c r="CZ12" s="288">
        <f t="shared" si="13"/>
        <v>0</v>
      </c>
      <c r="DA12" s="288">
        <f t="shared" si="13"/>
        <v>0</v>
      </c>
      <c r="DB12" s="288">
        <f t="shared" si="13"/>
        <v>0</v>
      </c>
      <c r="DC12" s="288">
        <f t="shared" si="13"/>
        <v>0</v>
      </c>
      <c r="DD12" s="288">
        <f t="shared" si="13"/>
        <v>0</v>
      </c>
      <c r="DE12" s="288">
        <f t="shared" si="13"/>
        <v>0</v>
      </c>
      <c r="DG12" s="314">
        <f t="shared" si="3"/>
        <v>10</v>
      </c>
      <c r="DH12" s="289">
        <f>MAX(L$3:L$109)</f>
        <v>10</v>
      </c>
      <c r="DJ12" s="288">
        <f>LOOKUP(DH12, 'Mortality Table'!A:A,('Mortality Table'!J:J/'Mortality Table'!I:I))</f>
        <v>1.9559940280128288E-4</v>
      </c>
      <c r="DK12" s="288">
        <f>LOOKUP(A12, 'Mortality Table'!A:A,('Mortality Table'!J:J/'Mortality Table'!I:I))</f>
        <v>1.8624745696187823E-4</v>
      </c>
      <c r="DL12" s="288">
        <f t="shared" si="4"/>
        <v>9.351945839404654E-6</v>
      </c>
      <c r="DN12" s="288">
        <f>LOOKUP(DH12, 'Mortality Table'!A:A,('Mortality Table'!L:L/'Mortality Table'!K:K))</f>
        <v>1.9813427402283183E-4</v>
      </c>
      <c r="DO12" s="288">
        <f>LOOKUP(A12, 'Mortality Table'!A:A,('Mortality Table'!L:L/'Mortality Table'!K:K))</f>
        <v>1.8866113160493928E-4</v>
      </c>
      <c r="DP12" s="288">
        <f t="shared" si="5"/>
        <v>9.4731424178925517E-6</v>
      </c>
      <c r="DR12" s="288">
        <f>LOOKUP(DH12, 'Mortality Table'!A:A,('Mortality Table'!N:N/'Mortality Table'!M:M))</f>
        <v>2.0258728561903613E-4</v>
      </c>
      <c r="DS12" s="288">
        <f>LOOKUP(A12, 'Mortality Table'!A:A,('Mortality Table'!N:N/'Mortality Table'!M:M))</f>
        <v>1.9290123701291636E-4</v>
      </c>
      <c r="DT12" s="288">
        <f t="shared" si="6"/>
        <v>9.6860486061197684E-6</v>
      </c>
    </row>
    <row r="13" spans="1:124">
      <c r="A13" s="288">
        <v>10</v>
      </c>
      <c r="B13" s="288">
        <v>2.1247533768401882E-4</v>
      </c>
      <c r="C13" s="288">
        <f t="shared" si="2"/>
        <v>0</v>
      </c>
      <c r="D13" s="288">
        <f t="shared" si="2"/>
        <v>0</v>
      </c>
      <c r="E13" s="288">
        <f t="shared" si="2"/>
        <v>0</v>
      </c>
      <c r="F13" s="288">
        <f t="shared" si="2"/>
        <v>0</v>
      </c>
      <c r="G13" s="288">
        <f t="shared" si="2"/>
        <v>0</v>
      </c>
      <c r="H13" s="288">
        <f t="shared" si="2"/>
        <v>0</v>
      </c>
      <c r="I13" s="288">
        <f t="shared" si="2"/>
        <v>0</v>
      </c>
      <c r="J13" s="288">
        <f t="shared" si="2"/>
        <v>0</v>
      </c>
      <c r="K13" s="288">
        <f t="shared" si="2"/>
        <v>0</v>
      </c>
      <c r="L13" s="288">
        <f t="shared" si="2"/>
        <v>0</v>
      </c>
      <c r="M13" s="288">
        <f t="shared" si="2"/>
        <v>0</v>
      </c>
      <c r="N13" s="288">
        <f t="shared" si="2"/>
        <v>0</v>
      </c>
      <c r="O13" s="288">
        <f t="shared" si="2"/>
        <v>0</v>
      </c>
      <c r="P13" s="288">
        <f t="shared" si="2"/>
        <v>0</v>
      </c>
      <c r="Q13" s="288">
        <f t="shared" si="2"/>
        <v>0</v>
      </c>
      <c r="R13" s="288">
        <f t="shared" si="2"/>
        <v>0</v>
      </c>
      <c r="S13" s="288">
        <f t="shared" si="8"/>
        <v>0</v>
      </c>
      <c r="T13" s="288">
        <f t="shared" si="8"/>
        <v>0</v>
      </c>
      <c r="U13" s="288">
        <f t="shared" si="8"/>
        <v>0</v>
      </c>
      <c r="V13" s="288">
        <f t="shared" si="8"/>
        <v>0</v>
      </c>
      <c r="W13" s="288">
        <f t="shared" si="8"/>
        <v>0</v>
      </c>
      <c r="X13" s="288">
        <f t="shared" si="8"/>
        <v>0</v>
      </c>
      <c r="Y13" s="288">
        <f t="shared" si="8"/>
        <v>0</v>
      </c>
      <c r="Z13" s="288">
        <f t="shared" si="8"/>
        <v>0</v>
      </c>
      <c r="AA13" s="288">
        <f t="shared" si="8"/>
        <v>0</v>
      </c>
      <c r="AB13" s="288">
        <f t="shared" si="8"/>
        <v>0</v>
      </c>
      <c r="AC13" s="288">
        <f t="shared" si="8"/>
        <v>0</v>
      </c>
      <c r="AD13" s="288">
        <f t="shared" si="8"/>
        <v>0</v>
      </c>
      <c r="AE13" s="288">
        <f t="shared" si="8"/>
        <v>0</v>
      </c>
      <c r="AF13" s="288">
        <f t="shared" si="8"/>
        <v>0</v>
      </c>
      <c r="AG13" s="288">
        <f t="shared" si="8"/>
        <v>0</v>
      </c>
      <c r="AH13" s="288">
        <f t="shared" si="8"/>
        <v>0</v>
      </c>
      <c r="AI13" s="288">
        <f t="shared" si="9"/>
        <v>0</v>
      </c>
      <c r="AJ13" s="288">
        <f t="shared" si="9"/>
        <v>0</v>
      </c>
      <c r="AK13" s="288">
        <f t="shared" si="9"/>
        <v>0</v>
      </c>
      <c r="AL13" s="288">
        <f t="shared" si="9"/>
        <v>0</v>
      </c>
      <c r="AM13" s="288">
        <f t="shared" si="9"/>
        <v>0</v>
      </c>
      <c r="AN13" s="288">
        <f t="shared" si="9"/>
        <v>0</v>
      </c>
      <c r="AO13" s="288">
        <f t="shared" si="9"/>
        <v>0</v>
      </c>
      <c r="AP13" s="288">
        <f t="shared" si="9"/>
        <v>0</v>
      </c>
      <c r="AQ13" s="288">
        <f t="shared" si="9"/>
        <v>0</v>
      </c>
      <c r="AR13" s="288">
        <f t="shared" si="9"/>
        <v>0</v>
      </c>
      <c r="AS13" s="288">
        <f t="shared" si="9"/>
        <v>0</v>
      </c>
      <c r="AT13" s="288">
        <f t="shared" si="9"/>
        <v>0</v>
      </c>
      <c r="AU13" s="288">
        <f t="shared" si="9"/>
        <v>0</v>
      </c>
      <c r="AV13" s="288">
        <f t="shared" si="9"/>
        <v>0</v>
      </c>
      <c r="AW13" s="288">
        <f t="shared" si="9"/>
        <v>0</v>
      </c>
      <c r="AX13" s="288">
        <f t="shared" si="9"/>
        <v>0</v>
      </c>
      <c r="AY13" s="288">
        <f t="shared" si="10"/>
        <v>0</v>
      </c>
      <c r="AZ13" s="288">
        <f t="shared" si="10"/>
        <v>0</v>
      </c>
      <c r="BA13" s="288">
        <f t="shared" si="10"/>
        <v>0</v>
      </c>
      <c r="BB13" s="288">
        <f t="shared" si="10"/>
        <v>0</v>
      </c>
      <c r="BC13" s="288">
        <f t="shared" si="10"/>
        <v>0</v>
      </c>
      <c r="BD13" s="288">
        <f t="shared" si="10"/>
        <v>0</v>
      </c>
      <c r="BE13" s="288">
        <f t="shared" si="10"/>
        <v>0</v>
      </c>
      <c r="BF13" s="288">
        <f t="shared" si="10"/>
        <v>0</v>
      </c>
      <c r="BG13" s="288">
        <f t="shared" si="10"/>
        <v>0</v>
      </c>
      <c r="BH13" s="288">
        <f t="shared" si="10"/>
        <v>0</v>
      </c>
      <c r="BI13" s="288">
        <f t="shared" si="10"/>
        <v>0</v>
      </c>
      <c r="BJ13" s="288">
        <f t="shared" si="10"/>
        <v>0</v>
      </c>
      <c r="BK13" s="288">
        <f t="shared" si="10"/>
        <v>0</v>
      </c>
      <c r="BL13" s="288">
        <f t="shared" si="10"/>
        <v>0</v>
      </c>
      <c r="BM13" s="288">
        <f t="shared" si="10"/>
        <v>0</v>
      </c>
      <c r="BN13" s="288">
        <f t="shared" si="10"/>
        <v>0</v>
      </c>
      <c r="BO13" s="288">
        <f t="shared" si="7"/>
        <v>0</v>
      </c>
      <c r="BP13" s="288">
        <f t="shared" si="7"/>
        <v>0</v>
      </c>
      <c r="BQ13" s="288">
        <f t="shared" si="7"/>
        <v>0</v>
      </c>
      <c r="BR13" s="288">
        <f t="shared" si="7"/>
        <v>0</v>
      </c>
      <c r="BS13" s="288">
        <f t="shared" si="11"/>
        <v>0</v>
      </c>
      <c r="BT13" s="288">
        <f t="shared" si="11"/>
        <v>0</v>
      </c>
      <c r="BU13" s="288">
        <f t="shared" si="11"/>
        <v>0</v>
      </c>
      <c r="BV13" s="288">
        <f t="shared" si="11"/>
        <v>0</v>
      </c>
      <c r="BW13" s="288">
        <f t="shared" si="11"/>
        <v>0</v>
      </c>
      <c r="BX13" s="288">
        <f t="shared" si="11"/>
        <v>0</v>
      </c>
      <c r="BY13" s="288">
        <f t="shared" si="11"/>
        <v>0</v>
      </c>
      <c r="BZ13" s="288">
        <f t="shared" si="11"/>
        <v>0</v>
      </c>
      <c r="CA13" s="288">
        <f t="shared" si="11"/>
        <v>0</v>
      </c>
      <c r="CB13" s="288">
        <f t="shared" si="11"/>
        <v>0</v>
      </c>
      <c r="CC13" s="288">
        <f t="shared" si="11"/>
        <v>0</v>
      </c>
      <c r="CD13" s="288">
        <f t="shared" si="11"/>
        <v>0</v>
      </c>
      <c r="CE13" s="288">
        <f t="shared" si="11"/>
        <v>0</v>
      </c>
      <c r="CF13" s="288">
        <f t="shared" si="11"/>
        <v>0</v>
      </c>
      <c r="CG13" s="288">
        <f t="shared" si="11"/>
        <v>0</v>
      </c>
      <c r="CH13" s="288">
        <f t="shared" si="11"/>
        <v>0</v>
      </c>
      <c r="CI13" s="288">
        <f t="shared" si="12"/>
        <v>0</v>
      </c>
      <c r="CJ13" s="288">
        <f t="shared" si="12"/>
        <v>0</v>
      </c>
      <c r="CK13" s="288">
        <f t="shared" si="12"/>
        <v>0</v>
      </c>
      <c r="CL13" s="288">
        <f t="shared" si="12"/>
        <v>0</v>
      </c>
      <c r="CM13" s="288">
        <f t="shared" si="12"/>
        <v>0</v>
      </c>
      <c r="CN13" s="288">
        <f t="shared" si="12"/>
        <v>0</v>
      </c>
      <c r="CO13" s="288">
        <f t="shared" si="12"/>
        <v>0</v>
      </c>
      <c r="CP13" s="288">
        <f t="shared" si="12"/>
        <v>0</v>
      </c>
      <c r="CQ13" s="288">
        <f t="shared" si="12"/>
        <v>0</v>
      </c>
      <c r="CR13" s="288">
        <f t="shared" si="12"/>
        <v>0</v>
      </c>
      <c r="CS13" s="288">
        <f t="shared" si="12"/>
        <v>0</v>
      </c>
      <c r="CT13" s="288">
        <f t="shared" si="12"/>
        <v>0</v>
      </c>
      <c r="CU13" s="288">
        <f t="shared" si="12"/>
        <v>0</v>
      </c>
      <c r="CV13" s="288">
        <f t="shared" si="12"/>
        <v>0</v>
      </c>
      <c r="CW13" s="288">
        <f t="shared" si="12"/>
        <v>0</v>
      </c>
      <c r="CX13" s="288">
        <f t="shared" si="12"/>
        <v>0</v>
      </c>
      <c r="CY13" s="288">
        <f t="shared" si="13"/>
        <v>0</v>
      </c>
      <c r="CZ13" s="288">
        <f t="shared" si="13"/>
        <v>0</v>
      </c>
      <c r="DA13" s="288">
        <f t="shared" si="13"/>
        <v>0</v>
      </c>
      <c r="DB13" s="288">
        <f t="shared" si="13"/>
        <v>0</v>
      </c>
      <c r="DC13" s="288">
        <f t="shared" si="13"/>
        <v>0</v>
      </c>
      <c r="DD13" s="288">
        <f t="shared" si="13"/>
        <v>0</v>
      </c>
      <c r="DE13" s="288">
        <f t="shared" si="13"/>
        <v>0</v>
      </c>
      <c r="DG13" s="314">
        <f t="shared" si="3"/>
        <v>12</v>
      </c>
      <c r="DH13" s="289">
        <f>MAX(M$3:M$109)</f>
        <v>12</v>
      </c>
      <c r="DJ13" s="288">
        <f>LOOKUP(DH13, 'Mortality Table'!A:A,('Mortality Table'!J:J/'Mortality Table'!I:I))</f>
        <v>2.0500077529544717E-4</v>
      </c>
      <c r="DK13" s="288">
        <f>LOOKUP(A13, 'Mortality Table'!A:A,('Mortality Table'!J:J/'Mortality Table'!I:I))</f>
        <v>1.9559940280128288E-4</v>
      </c>
      <c r="DL13" s="288">
        <f t="shared" si="4"/>
        <v>9.4013724941642844E-6</v>
      </c>
      <c r="DN13" s="288">
        <f>LOOKUP(DH13, 'Mortality Table'!A:A,('Mortality Table'!L:L/'Mortality Table'!K:K))</f>
        <v>2.0765748364040874E-4</v>
      </c>
      <c r="DO13" s="288">
        <f>LOOKUP(A13, 'Mortality Table'!A:A,('Mortality Table'!L:L/'Mortality Table'!K:K))</f>
        <v>1.9813427402283183E-4</v>
      </c>
      <c r="DP13" s="288">
        <f t="shared" si="5"/>
        <v>9.5232096175769008E-6</v>
      </c>
      <c r="DR13" s="288">
        <f>LOOKUP(DH13, 'Mortality Table'!A:A,('Mortality Table'!N:N/'Mortality Table'!M:M))</f>
        <v>2.1232452667094864E-4</v>
      </c>
      <c r="DS13" s="288">
        <f>LOOKUP(A13, 'Mortality Table'!A:A,('Mortality Table'!N:N/'Mortality Table'!M:M))</f>
        <v>2.0258728561903613E-4</v>
      </c>
      <c r="DT13" s="288">
        <f t="shared" si="6"/>
        <v>9.7372410519125125E-6</v>
      </c>
    </row>
    <row r="14" spans="1:124">
      <c r="A14" s="288">
        <v>11</v>
      </c>
      <c r="B14" s="288">
        <v>2.1252049304754388E-4</v>
      </c>
      <c r="C14" s="288">
        <f t="shared" si="2"/>
        <v>0</v>
      </c>
      <c r="D14" s="288">
        <f t="shared" si="2"/>
        <v>0</v>
      </c>
      <c r="E14" s="288">
        <f t="shared" si="2"/>
        <v>0</v>
      </c>
      <c r="F14" s="288">
        <f t="shared" si="2"/>
        <v>0</v>
      </c>
      <c r="G14" s="288">
        <f t="shared" si="2"/>
        <v>0</v>
      </c>
      <c r="H14" s="288">
        <f t="shared" si="2"/>
        <v>0</v>
      </c>
      <c r="I14" s="288">
        <f t="shared" si="2"/>
        <v>0</v>
      </c>
      <c r="J14" s="288">
        <f t="shared" si="2"/>
        <v>12</v>
      </c>
      <c r="K14" s="288">
        <f t="shared" si="2"/>
        <v>12</v>
      </c>
      <c r="L14" s="288">
        <f t="shared" si="2"/>
        <v>0</v>
      </c>
      <c r="M14" s="288">
        <f t="shared" si="2"/>
        <v>12</v>
      </c>
      <c r="N14" s="288">
        <f t="shared" si="2"/>
        <v>12</v>
      </c>
      <c r="O14" s="288">
        <f t="shared" si="2"/>
        <v>0</v>
      </c>
      <c r="P14" s="288">
        <f t="shared" si="2"/>
        <v>0</v>
      </c>
      <c r="Q14" s="288">
        <f t="shared" si="2"/>
        <v>0</v>
      </c>
      <c r="R14" s="288">
        <f t="shared" si="2"/>
        <v>0</v>
      </c>
      <c r="S14" s="288">
        <f t="shared" si="8"/>
        <v>0</v>
      </c>
      <c r="T14" s="288">
        <f t="shared" si="8"/>
        <v>0</v>
      </c>
      <c r="U14" s="288">
        <f t="shared" si="8"/>
        <v>0</v>
      </c>
      <c r="V14" s="288">
        <f t="shared" si="8"/>
        <v>0</v>
      </c>
      <c r="W14" s="288">
        <f t="shared" si="8"/>
        <v>0</v>
      </c>
      <c r="X14" s="288">
        <f t="shared" si="8"/>
        <v>0</v>
      </c>
      <c r="Y14" s="288">
        <f t="shared" si="8"/>
        <v>0</v>
      </c>
      <c r="Z14" s="288">
        <f t="shared" si="8"/>
        <v>0</v>
      </c>
      <c r="AA14" s="288">
        <f t="shared" si="8"/>
        <v>0</v>
      </c>
      <c r="AB14" s="288">
        <f t="shared" si="8"/>
        <v>0</v>
      </c>
      <c r="AC14" s="288">
        <f t="shared" si="8"/>
        <v>0</v>
      </c>
      <c r="AD14" s="288">
        <f t="shared" si="8"/>
        <v>0</v>
      </c>
      <c r="AE14" s="288">
        <f t="shared" si="8"/>
        <v>0</v>
      </c>
      <c r="AF14" s="288">
        <f t="shared" si="8"/>
        <v>0</v>
      </c>
      <c r="AG14" s="288">
        <f t="shared" si="8"/>
        <v>0</v>
      </c>
      <c r="AH14" s="288">
        <f t="shared" si="8"/>
        <v>0</v>
      </c>
      <c r="AI14" s="288">
        <f t="shared" si="9"/>
        <v>0</v>
      </c>
      <c r="AJ14" s="288">
        <f t="shared" si="9"/>
        <v>0</v>
      </c>
      <c r="AK14" s="288">
        <f t="shared" si="9"/>
        <v>0</v>
      </c>
      <c r="AL14" s="288">
        <f t="shared" si="9"/>
        <v>0</v>
      </c>
      <c r="AM14" s="288">
        <f t="shared" si="9"/>
        <v>0</v>
      </c>
      <c r="AN14" s="288">
        <f t="shared" si="9"/>
        <v>0</v>
      </c>
      <c r="AO14" s="288">
        <f t="shared" si="9"/>
        <v>0</v>
      </c>
      <c r="AP14" s="288">
        <f t="shared" si="9"/>
        <v>0</v>
      </c>
      <c r="AQ14" s="288">
        <f t="shared" si="9"/>
        <v>0</v>
      </c>
      <c r="AR14" s="288">
        <f t="shared" si="9"/>
        <v>0</v>
      </c>
      <c r="AS14" s="288">
        <f t="shared" si="9"/>
        <v>0</v>
      </c>
      <c r="AT14" s="288">
        <f t="shared" si="9"/>
        <v>0</v>
      </c>
      <c r="AU14" s="288">
        <f t="shared" si="9"/>
        <v>0</v>
      </c>
      <c r="AV14" s="288">
        <f t="shared" si="9"/>
        <v>0</v>
      </c>
      <c r="AW14" s="288">
        <f t="shared" si="9"/>
        <v>0</v>
      </c>
      <c r="AX14" s="288">
        <f t="shared" si="9"/>
        <v>0</v>
      </c>
      <c r="AY14" s="288">
        <f t="shared" si="10"/>
        <v>0</v>
      </c>
      <c r="AZ14" s="288">
        <f t="shared" si="10"/>
        <v>0</v>
      </c>
      <c r="BA14" s="288">
        <f t="shared" si="10"/>
        <v>0</v>
      </c>
      <c r="BB14" s="288">
        <f t="shared" si="10"/>
        <v>0</v>
      </c>
      <c r="BC14" s="288">
        <f t="shared" si="10"/>
        <v>0</v>
      </c>
      <c r="BD14" s="288">
        <f t="shared" si="10"/>
        <v>0</v>
      </c>
      <c r="BE14" s="288">
        <f t="shared" si="10"/>
        <v>0</v>
      </c>
      <c r="BF14" s="288">
        <f t="shared" si="10"/>
        <v>0</v>
      </c>
      <c r="BG14" s="288">
        <f t="shared" si="10"/>
        <v>0</v>
      </c>
      <c r="BH14" s="288">
        <f t="shared" si="10"/>
        <v>0</v>
      </c>
      <c r="BI14" s="288">
        <f t="shared" si="10"/>
        <v>0</v>
      </c>
      <c r="BJ14" s="288">
        <f t="shared" si="10"/>
        <v>0</v>
      </c>
      <c r="BK14" s="288">
        <f t="shared" si="10"/>
        <v>0</v>
      </c>
      <c r="BL14" s="288">
        <f t="shared" si="10"/>
        <v>0</v>
      </c>
      <c r="BM14" s="288">
        <f t="shared" si="10"/>
        <v>0</v>
      </c>
      <c r="BN14" s="288">
        <f t="shared" si="10"/>
        <v>0</v>
      </c>
      <c r="BO14" s="288">
        <f t="shared" si="7"/>
        <v>0</v>
      </c>
      <c r="BP14" s="288">
        <f t="shared" si="7"/>
        <v>0</v>
      </c>
      <c r="BQ14" s="288">
        <f t="shared" si="7"/>
        <v>0</v>
      </c>
      <c r="BR14" s="288">
        <f t="shared" si="7"/>
        <v>0</v>
      </c>
      <c r="BS14" s="288">
        <f t="shared" si="11"/>
        <v>0</v>
      </c>
      <c r="BT14" s="288">
        <f t="shared" si="11"/>
        <v>0</v>
      </c>
      <c r="BU14" s="288">
        <f t="shared" si="11"/>
        <v>0</v>
      </c>
      <c r="BV14" s="288">
        <f t="shared" si="11"/>
        <v>0</v>
      </c>
      <c r="BW14" s="288">
        <f t="shared" si="11"/>
        <v>0</v>
      </c>
      <c r="BX14" s="288">
        <f t="shared" si="11"/>
        <v>0</v>
      </c>
      <c r="BY14" s="288">
        <f t="shared" si="11"/>
        <v>0</v>
      </c>
      <c r="BZ14" s="288">
        <f t="shared" si="11"/>
        <v>0</v>
      </c>
      <c r="CA14" s="288">
        <f t="shared" si="11"/>
        <v>0</v>
      </c>
      <c r="CB14" s="288">
        <f t="shared" si="11"/>
        <v>0</v>
      </c>
      <c r="CC14" s="288">
        <f t="shared" si="11"/>
        <v>0</v>
      </c>
      <c r="CD14" s="288">
        <f t="shared" si="11"/>
        <v>0</v>
      </c>
      <c r="CE14" s="288">
        <f t="shared" si="11"/>
        <v>0</v>
      </c>
      <c r="CF14" s="288">
        <f t="shared" si="11"/>
        <v>0</v>
      </c>
      <c r="CG14" s="288">
        <f t="shared" si="11"/>
        <v>0</v>
      </c>
      <c r="CH14" s="288">
        <f t="shared" si="11"/>
        <v>0</v>
      </c>
      <c r="CI14" s="288">
        <f t="shared" si="12"/>
        <v>0</v>
      </c>
      <c r="CJ14" s="288">
        <f t="shared" si="12"/>
        <v>0</v>
      </c>
      <c r="CK14" s="288">
        <f t="shared" si="12"/>
        <v>0</v>
      </c>
      <c r="CL14" s="288">
        <f t="shared" si="12"/>
        <v>0</v>
      </c>
      <c r="CM14" s="288">
        <f t="shared" si="12"/>
        <v>0</v>
      </c>
      <c r="CN14" s="288">
        <f t="shared" si="12"/>
        <v>0</v>
      </c>
      <c r="CO14" s="288">
        <f t="shared" si="12"/>
        <v>0</v>
      </c>
      <c r="CP14" s="288">
        <f t="shared" si="12"/>
        <v>0</v>
      </c>
      <c r="CQ14" s="288">
        <f t="shared" si="12"/>
        <v>0</v>
      </c>
      <c r="CR14" s="288">
        <f t="shared" si="12"/>
        <v>0</v>
      </c>
      <c r="CS14" s="288">
        <f t="shared" si="12"/>
        <v>0</v>
      </c>
      <c r="CT14" s="288">
        <f t="shared" si="12"/>
        <v>0</v>
      </c>
      <c r="CU14" s="288">
        <f t="shared" si="12"/>
        <v>0</v>
      </c>
      <c r="CV14" s="288">
        <f t="shared" si="12"/>
        <v>0</v>
      </c>
      <c r="CW14" s="288">
        <f t="shared" si="12"/>
        <v>0</v>
      </c>
      <c r="CX14" s="288">
        <f t="shared" si="12"/>
        <v>0</v>
      </c>
      <c r="CY14" s="288">
        <f t="shared" si="13"/>
        <v>0</v>
      </c>
      <c r="CZ14" s="288">
        <f t="shared" si="13"/>
        <v>0</v>
      </c>
      <c r="DA14" s="288">
        <f t="shared" si="13"/>
        <v>0</v>
      </c>
      <c r="DB14" s="288">
        <f t="shared" si="13"/>
        <v>0</v>
      </c>
      <c r="DC14" s="288">
        <f t="shared" si="13"/>
        <v>0</v>
      </c>
      <c r="DD14" s="288">
        <f t="shared" si="13"/>
        <v>0</v>
      </c>
      <c r="DE14" s="288">
        <f t="shared" si="13"/>
        <v>0</v>
      </c>
      <c r="DG14" s="314">
        <f t="shared" si="3"/>
        <v>12</v>
      </c>
      <c r="DH14" s="289">
        <f>MAX(N$3:N$109)</f>
        <v>12</v>
      </c>
      <c r="DJ14" s="288">
        <f>LOOKUP(DH14, 'Mortality Table'!A:A,('Mortality Table'!J:J/'Mortality Table'!I:I))</f>
        <v>2.0500077529544717E-4</v>
      </c>
      <c r="DK14" s="288">
        <f>LOOKUP(A14, 'Mortality Table'!A:A,('Mortality Table'!J:J/'Mortality Table'!I:I))</f>
        <v>1.9564097168280601E-4</v>
      </c>
      <c r="DL14" s="288">
        <f t="shared" si="4"/>
        <v>9.3598036126411562E-6</v>
      </c>
      <c r="DN14" s="288">
        <f>LOOKUP(DH14, 'Mortality Table'!A:A,('Mortality Table'!L:L/'Mortality Table'!K:K))</f>
        <v>2.0765748364040874E-4</v>
      </c>
      <c r="DO14" s="288">
        <f>LOOKUP(A14, 'Mortality Table'!A:A,('Mortality Table'!L:L/'Mortality Table'!K:K))</f>
        <v>1.9817638161643682E-4</v>
      </c>
      <c r="DP14" s="288">
        <f t="shared" si="5"/>
        <v>9.4811020239719118E-6</v>
      </c>
      <c r="DR14" s="288">
        <f>LOOKUP(DH14, 'Mortality Table'!A:A,('Mortality Table'!N:N/'Mortality Table'!M:M))</f>
        <v>2.1232452667094864E-4</v>
      </c>
      <c r="DS14" s="288">
        <f>LOOKUP(A14, 'Mortality Table'!A:A,('Mortality Table'!N:N/'Mortality Table'!M:M))</f>
        <v>2.0263033956886104E-4</v>
      </c>
      <c r="DT14" s="288">
        <f t="shared" si="6"/>
        <v>9.6941871020875996E-6</v>
      </c>
    </row>
    <row r="15" spans="1:124">
      <c r="A15" s="288">
        <v>12</v>
      </c>
      <c r="B15" s="288">
        <v>2.2268784225603028E-4</v>
      </c>
      <c r="C15" s="288">
        <f t="shared" si="2"/>
        <v>0</v>
      </c>
      <c r="D15" s="288">
        <f t="shared" si="2"/>
        <v>0</v>
      </c>
      <c r="E15" s="288">
        <f t="shared" si="2"/>
        <v>0</v>
      </c>
      <c r="F15" s="288">
        <f t="shared" si="2"/>
        <v>0</v>
      </c>
      <c r="G15" s="288">
        <f t="shared" si="2"/>
        <v>0</v>
      </c>
      <c r="H15" s="288">
        <f t="shared" si="2"/>
        <v>0</v>
      </c>
      <c r="I15" s="288">
        <f t="shared" si="2"/>
        <v>13</v>
      </c>
      <c r="J15" s="288">
        <f t="shared" si="2"/>
        <v>0</v>
      </c>
      <c r="K15" s="288">
        <f t="shared" si="2"/>
        <v>0</v>
      </c>
      <c r="L15" s="288">
        <f t="shared" si="2"/>
        <v>0</v>
      </c>
      <c r="M15" s="288">
        <f t="shared" si="2"/>
        <v>0</v>
      </c>
      <c r="N15" s="288">
        <f t="shared" si="2"/>
        <v>0</v>
      </c>
      <c r="O15" s="288">
        <f t="shared" si="2"/>
        <v>12</v>
      </c>
      <c r="P15" s="288">
        <f t="shared" si="2"/>
        <v>0</v>
      </c>
      <c r="Q15" s="288">
        <f t="shared" si="2"/>
        <v>0</v>
      </c>
      <c r="R15" s="288">
        <f t="shared" si="2"/>
        <v>0</v>
      </c>
      <c r="S15" s="288">
        <f t="shared" si="8"/>
        <v>0</v>
      </c>
      <c r="T15" s="288">
        <f t="shared" si="8"/>
        <v>0</v>
      </c>
      <c r="U15" s="288">
        <f t="shared" si="8"/>
        <v>0</v>
      </c>
      <c r="V15" s="288">
        <f t="shared" si="8"/>
        <v>0</v>
      </c>
      <c r="W15" s="288">
        <f t="shared" si="8"/>
        <v>0</v>
      </c>
      <c r="X15" s="288">
        <f t="shared" si="8"/>
        <v>0</v>
      </c>
      <c r="Y15" s="288">
        <f t="shared" si="8"/>
        <v>0</v>
      </c>
      <c r="Z15" s="288">
        <f t="shared" si="8"/>
        <v>0</v>
      </c>
      <c r="AA15" s="288">
        <f t="shared" si="8"/>
        <v>0</v>
      </c>
      <c r="AB15" s="288">
        <f t="shared" si="8"/>
        <v>0</v>
      </c>
      <c r="AC15" s="288">
        <f t="shared" si="8"/>
        <v>0</v>
      </c>
      <c r="AD15" s="288">
        <f t="shared" si="8"/>
        <v>0</v>
      </c>
      <c r="AE15" s="288">
        <f t="shared" si="8"/>
        <v>0</v>
      </c>
      <c r="AF15" s="288">
        <f t="shared" si="8"/>
        <v>0</v>
      </c>
      <c r="AG15" s="288">
        <f t="shared" si="8"/>
        <v>0</v>
      </c>
      <c r="AH15" s="288">
        <f t="shared" si="8"/>
        <v>0</v>
      </c>
      <c r="AI15" s="288">
        <f t="shared" si="9"/>
        <v>0</v>
      </c>
      <c r="AJ15" s="288">
        <f t="shared" si="9"/>
        <v>0</v>
      </c>
      <c r="AK15" s="288">
        <f t="shared" si="9"/>
        <v>0</v>
      </c>
      <c r="AL15" s="288">
        <f t="shared" si="9"/>
        <v>0</v>
      </c>
      <c r="AM15" s="288">
        <f t="shared" si="9"/>
        <v>0</v>
      </c>
      <c r="AN15" s="288">
        <f t="shared" si="9"/>
        <v>0</v>
      </c>
      <c r="AO15" s="288">
        <f t="shared" si="9"/>
        <v>0</v>
      </c>
      <c r="AP15" s="288">
        <f t="shared" si="9"/>
        <v>0</v>
      </c>
      <c r="AQ15" s="288">
        <f t="shared" si="9"/>
        <v>0</v>
      </c>
      <c r="AR15" s="288">
        <f t="shared" si="9"/>
        <v>0</v>
      </c>
      <c r="AS15" s="288">
        <f t="shared" si="9"/>
        <v>0</v>
      </c>
      <c r="AT15" s="288">
        <f t="shared" si="9"/>
        <v>0</v>
      </c>
      <c r="AU15" s="288">
        <f t="shared" si="9"/>
        <v>0</v>
      </c>
      <c r="AV15" s="288">
        <f t="shared" si="9"/>
        <v>0</v>
      </c>
      <c r="AW15" s="288">
        <f t="shared" si="9"/>
        <v>0</v>
      </c>
      <c r="AX15" s="288">
        <f t="shared" si="9"/>
        <v>0</v>
      </c>
      <c r="AY15" s="288">
        <f t="shared" si="10"/>
        <v>0</v>
      </c>
      <c r="AZ15" s="288">
        <f t="shared" si="10"/>
        <v>0</v>
      </c>
      <c r="BA15" s="288">
        <f t="shared" si="10"/>
        <v>0</v>
      </c>
      <c r="BB15" s="288">
        <f t="shared" si="10"/>
        <v>0</v>
      </c>
      <c r="BC15" s="288">
        <f t="shared" si="10"/>
        <v>0</v>
      </c>
      <c r="BD15" s="288">
        <f t="shared" si="10"/>
        <v>0</v>
      </c>
      <c r="BE15" s="288">
        <f t="shared" si="10"/>
        <v>0</v>
      </c>
      <c r="BF15" s="288">
        <f t="shared" si="10"/>
        <v>0</v>
      </c>
      <c r="BG15" s="288">
        <f t="shared" si="10"/>
        <v>0</v>
      </c>
      <c r="BH15" s="288">
        <f t="shared" si="10"/>
        <v>0</v>
      </c>
      <c r="BI15" s="288">
        <f t="shared" si="10"/>
        <v>0</v>
      </c>
      <c r="BJ15" s="288">
        <f t="shared" si="10"/>
        <v>0</v>
      </c>
      <c r="BK15" s="288">
        <f t="shared" si="10"/>
        <v>0</v>
      </c>
      <c r="BL15" s="288">
        <f t="shared" si="10"/>
        <v>0</v>
      </c>
      <c r="BM15" s="288">
        <f t="shared" si="10"/>
        <v>0</v>
      </c>
      <c r="BN15" s="288">
        <f t="shared" si="10"/>
        <v>0</v>
      </c>
      <c r="BO15" s="288">
        <f t="shared" si="7"/>
        <v>0</v>
      </c>
      <c r="BP15" s="288">
        <f t="shared" si="7"/>
        <v>0</v>
      </c>
      <c r="BQ15" s="288">
        <f t="shared" si="7"/>
        <v>0</v>
      </c>
      <c r="BR15" s="288">
        <f t="shared" si="7"/>
        <v>0</v>
      </c>
      <c r="BS15" s="288">
        <f t="shared" si="11"/>
        <v>0</v>
      </c>
      <c r="BT15" s="288">
        <f t="shared" si="11"/>
        <v>0</v>
      </c>
      <c r="BU15" s="288">
        <f t="shared" si="11"/>
        <v>0</v>
      </c>
      <c r="BV15" s="288">
        <f t="shared" si="11"/>
        <v>0</v>
      </c>
      <c r="BW15" s="288">
        <f t="shared" si="11"/>
        <v>0</v>
      </c>
      <c r="BX15" s="288">
        <f t="shared" si="11"/>
        <v>0</v>
      </c>
      <c r="BY15" s="288">
        <f t="shared" si="11"/>
        <v>0</v>
      </c>
      <c r="BZ15" s="288">
        <f t="shared" si="11"/>
        <v>0</v>
      </c>
      <c r="CA15" s="288">
        <f t="shared" si="11"/>
        <v>0</v>
      </c>
      <c r="CB15" s="288">
        <f t="shared" si="11"/>
        <v>0</v>
      </c>
      <c r="CC15" s="288">
        <f t="shared" si="11"/>
        <v>0</v>
      </c>
      <c r="CD15" s="288">
        <f t="shared" si="11"/>
        <v>0</v>
      </c>
      <c r="CE15" s="288">
        <f t="shared" si="11"/>
        <v>0</v>
      </c>
      <c r="CF15" s="288">
        <f t="shared" si="11"/>
        <v>0</v>
      </c>
      <c r="CG15" s="288">
        <f t="shared" si="11"/>
        <v>0</v>
      </c>
      <c r="CH15" s="288">
        <f t="shared" si="11"/>
        <v>0</v>
      </c>
      <c r="CI15" s="288">
        <f t="shared" si="12"/>
        <v>0</v>
      </c>
      <c r="CJ15" s="288">
        <f t="shared" si="12"/>
        <v>0</v>
      </c>
      <c r="CK15" s="288">
        <f t="shared" si="12"/>
        <v>0</v>
      </c>
      <c r="CL15" s="288">
        <f t="shared" si="12"/>
        <v>0</v>
      </c>
      <c r="CM15" s="288">
        <f t="shared" si="12"/>
        <v>0</v>
      </c>
      <c r="CN15" s="288">
        <f t="shared" si="12"/>
        <v>0</v>
      </c>
      <c r="CO15" s="288">
        <f t="shared" si="12"/>
        <v>0</v>
      </c>
      <c r="CP15" s="288">
        <f t="shared" si="12"/>
        <v>0</v>
      </c>
      <c r="CQ15" s="288">
        <f t="shared" si="12"/>
        <v>0</v>
      </c>
      <c r="CR15" s="288">
        <f t="shared" si="12"/>
        <v>0</v>
      </c>
      <c r="CS15" s="288">
        <f t="shared" si="12"/>
        <v>0</v>
      </c>
      <c r="CT15" s="288">
        <f t="shared" si="12"/>
        <v>0</v>
      </c>
      <c r="CU15" s="288">
        <f t="shared" si="12"/>
        <v>0</v>
      </c>
      <c r="CV15" s="288">
        <f t="shared" si="12"/>
        <v>0</v>
      </c>
      <c r="CW15" s="288">
        <f t="shared" si="12"/>
        <v>0</v>
      </c>
      <c r="CX15" s="288">
        <f t="shared" si="12"/>
        <v>0</v>
      </c>
      <c r="CY15" s="288">
        <f t="shared" si="13"/>
        <v>0</v>
      </c>
      <c r="CZ15" s="288">
        <f t="shared" si="13"/>
        <v>0</v>
      </c>
      <c r="DA15" s="288">
        <f t="shared" si="13"/>
        <v>0</v>
      </c>
      <c r="DB15" s="288">
        <f t="shared" si="13"/>
        <v>0</v>
      </c>
      <c r="DC15" s="288">
        <f t="shared" si="13"/>
        <v>0</v>
      </c>
      <c r="DD15" s="288">
        <f t="shared" si="13"/>
        <v>0</v>
      </c>
      <c r="DE15" s="288">
        <f t="shared" si="13"/>
        <v>0</v>
      </c>
      <c r="DG15" s="314">
        <f t="shared" si="3"/>
        <v>12</v>
      </c>
      <c r="DH15" s="289">
        <f>MAX(O$3:O$109)</f>
        <v>12</v>
      </c>
      <c r="DJ15" s="288">
        <f>LOOKUP(DH15, 'Mortality Table'!A:A,('Mortality Table'!J:J/'Mortality Table'!I:I))</f>
        <v>2.0500077529544717E-4</v>
      </c>
      <c r="DK15" s="288">
        <f>LOOKUP(A15, 'Mortality Table'!A:A,('Mortality Table'!J:J/'Mortality Table'!I:I))</f>
        <v>2.0500077529544717E-4</v>
      </c>
      <c r="DL15" s="288">
        <f t="shared" si="4"/>
        <v>0</v>
      </c>
      <c r="DN15" s="288">
        <f>LOOKUP(DH15, 'Mortality Table'!A:A,('Mortality Table'!L:L/'Mortality Table'!K:K))</f>
        <v>2.0765748364040874E-4</v>
      </c>
      <c r="DO15" s="288">
        <f>LOOKUP(A15, 'Mortality Table'!A:A,('Mortality Table'!L:L/'Mortality Table'!K:K))</f>
        <v>2.0765748364040874E-4</v>
      </c>
      <c r="DP15" s="288">
        <f t="shared" si="5"/>
        <v>0</v>
      </c>
      <c r="DR15" s="288">
        <f>LOOKUP(DH15, 'Mortality Table'!A:A,('Mortality Table'!N:N/'Mortality Table'!M:M))</f>
        <v>2.1232452667094864E-4</v>
      </c>
      <c r="DS15" s="288">
        <f>LOOKUP(A15, 'Mortality Table'!A:A,('Mortality Table'!N:N/'Mortality Table'!M:M))</f>
        <v>2.1232452667094864E-4</v>
      </c>
      <c r="DT15" s="288">
        <f t="shared" si="6"/>
        <v>0</v>
      </c>
    </row>
    <row r="16" spans="1:124">
      <c r="A16" s="288">
        <v>13</v>
      </c>
      <c r="B16" s="288">
        <v>2.6323516011784835E-4</v>
      </c>
      <c r="C16" s="288">
        <f t="shared" si="2"/>
        <v>0</v>
      </c>
      <c r="D16" s="288">
        <f t="shared" si="2"/>
        <v>0</v>
      </c>
      <c r="E16" s="288">
        <f t="shared" si="2"/>
        <v>0</v>
      </c>
      <c r="F16" s="288">
        <f t="shared" si="2"/>
        <v>0</v>
      </c>
      <c r="G16" s="288">
        <f t="shared" si="2"/>
        <v>14</v>
      </c>
      <c r="H16" s="288">
        <f t="shared" si="2"/>
        <v>13</v>
      </c>
      <c r="I16" s="288">
        <f t="shared" si="2"/>
        <v>0</v>
      </c>
      <c r="J16" s="288">
        <f t="shared" si="2"/>
        <v>0</v>
      </c>
      <c r="K16" s="288">
        <f t="shared" si="2"/>
        <v>0</v>
      </c>
      <c r="L16" s="288">
        <f t="shared" si="2"/>
        <v>0</v>
      </c>
      <c r="M16" s="288">
        <f t="shared" si="2"/>
        <v>0</v>
      </c>
      <c r="N16" s="288">
        <f t="shared" si="2"/>
        <v>0</v>
      </c>
      <c r="O16" s="288">
        <f t="shared" si="2"/>
        <v>0</v>
      </c>
      <c r="P16" s="288">
        <f t="shared" si="2"/>
        <v>13</v>
      </c>
      <c r="Q16" s="288">
        <f t="shared" si="2"/>
        <v>0</v>
      </c>
      <c r="R16" s="288">
        <f t="shared" si="2"/>
        <v>0</v>
      </c>
      <c r="S16" s="288">
        <f t="shared" si="8"/>
        <v>0</v>
      </c>
      <c r="T16" s="288">
        <f t="shared" si="8"/>
        <v>0</v>
      </c>
      <c r="U16" s="288">
        <f t="shared" si="8"/>
        <v>0</v>
      </c>
      <c r="V16" s="288">
        <f t="shared" si="8"/>
        <v>0</v>
      </c>
      <c r="W16" s="288">
        <f t="shared" si="8"/>
        <v>0</v>
      </c>
      <c r="X16" s="288">
        <f t="shared" si="8"/>
        <v>0</v>
      </c>
      <c r="Y16" s="288">
        <f t="shared" si="8"/>
        <v>0</v>
      </c>
      <c r="Z16" s="288">
        <f t="shared" si="8"/>
        <v>0</v>
      </c>
      <c r="AA16" s="288">
        <f t="shared" si="8"/>
        <v>0</v>
      </c>
      <c r="AB16" s="288">
        <f t="shared" si="8"/>
        <v>0</v>
      </c>
      <c r="AC16" s="288">
        <f t="shared" si="8"/>
        <v>0</v>
      </c>
      <c r="AD16" s="288">
        <f t="shared" si="8"/>
        <v>0</v>
      </c>
      <c r="AE16" s="288">
        <f t="shared" si="8"/>
        <v>0</v>
      </c>
      <c r="AF16" s="288">
        <f t="shared" si="8"/>
        <v>0</v>
      </c>
      <c r="AG16" s="288">
        <f t="shared" si="8"/>
        <v>0</v>
      </c>
      <c r="AH16" s="288">
        <f t="shared" si="8"/>
        <v>0</v>
      </c>
      <c r="AI16" s="288">
        <f t="shared" si="9"/>
        <v>0</v>
      </c>
      <c r="AJ16" s="288">
        <f t="shared" si="9"/>
        <v>0</v>
      </c>
      <c r="AK16" s="288">
        <f t="shared" si="9"/>
        <v>0</v>
      </c>
      <c r="AL16" s="288">
        <f t="shared" si="9"/>
        <v>0</v>
      </c>
      <c r="AM16" s="288">
        <f t="shared" si="9"/>
        <v>0</v>
      </c>
      <c r="AN16" s="288">
        <f t="shared" si="9"/>
        <v>0</v>
      </c>
      <c r="AO16" s="288">
        <f t="shared" si="9"/>
        <v>0</v>
      </c>
      <c r="AP16" s="288">
        <f t="shared" si="9"/>
        <v>0</v>
      </c>
      <c r="AQ16" s="288">
        <f t="shared" si="9"/>
        <v>0</v>
      </c>
      <c r="AR16" s="288">
        <f t="shared" si="9"/>
        <v>0</v>
      </c>
      <c r="AS16" s="288">
        <f t="shared" si="9"/>
        <v>0</v>
      </c>
      <c r="AT16" s="288">
        <f t="shared" si="9"/>
        <v>0</v>
      </c>
      <c r="AU16" s="288">
        <f t="shared" si="9"/>
        <v>0</v>
      </c>
      <c r="AV16" s="288">
        <f t="shared" si="9"/>
        <v>0</v>
      </c>
      <c r="AW16" s="288">
        <f t="shared" si="9"/>
        <v>0</v>
      </c>
      <c r="AX16" s="288">
        <f t="shared" si="9"/>
        <v>0</v>
      </c>
      <c r="AY16" s="288">
        <f t="shared" si="10"/>
        <v>0</v>
      </c>
      <c r="AZ16" s="288">
        <f t="shared" si="10"/>
        <v>0</v>
      </c>
      <c r="BA16" s="288">
        <f t="shared" si="10"/>
        <v>0</v>
      </c>
      <c r="BB16" s="288">
        <f t="shared" si="10"/>
        <v>0</v>
      </c>
      <c r="BC16" s="288">
        <f t="shared" si="10"/>
        <v>0</v>
      </c>
      <c r="BD16" s="288">
        <f t="shared" si="10"/>
        <v>0</v>
      </c>
      <c r="BE16" s="288">
        <f t="shared" si="10"/>
        <v>0</v>
      </c>
      <c r="BF16" s="288">
        <f t="shared" si="10"/>
        <v>0</v>
      </c>
      <c r="BG16" s="288">
        <f t="shared" si="10"/>
        <v>0</v>
      </c>
      <c r="BH16" s="288">
        <f t="shared" si="10"/>
        <v>0</v>
      </c>
      <c r="BI16" s="288">
        <f t="shared" si="10"/>
        <v>0</v>
      </c>
      <c r="BJ16" s="288">
        <f t="shared" si="10"/>
        <v>0</v>
      </c>
      <c r="BK16" s="288">
        <f t="shared" si="10"/>
        <v>0</v>
      </c>
      <c r="BL16" s="288">
        <f t="shared" si="10"/>
        <v>0</v>
      </c>
      <c r="BM16" s="288">
        <f t="shared" si="10"/>
        <v>0</v>
      </c>
      <c r="BN16" s="288">
        <f t="shared" si="10"/>
        <v>0</v>
      </c>
      <c r="BO16" s="288">
        <f t="shared" si="7"/>
        <v>0</v>
      </c>
      <c r="BP16" s="288">
        <f t="shared" si="7"/>
        <v>0</v>
      </c>
      <c r="BQ16" s="288">
        <f t="shared" si="7"/>
        <v>0</v>
      </c>
      <c r="BR16" s="288">
        <f t="shared" si="7"/>
        <v>0</v>
      </c>
      <c r="BS16" s="288">
        <f t="shared" si="11"/>
        <v>0</v>
      </c>
      <c r="BT16" s="288">
        <f t="shared" si="11"/>
        <v>0</v>
      </c>
      <c r="BU16" s="288">
        <f t="shared" si="11"/>
        <v>0</v>
      </c>
      <c r="BV16" s="288">
        <f t="shared" si="11"/>
        <v>0</v>
      </c>
      <c r="BW16" s="288">
        <f t="shared" si="11"/>
        <v>0</v>
      </c>
      <c r="BX16" s="288">
        <f t="shared" si="11"/>
        <v>0</v>
      </c>
      <c r="BY16" s="288">
        <f t="shared" si="11"/>
        <v>0</v>
      </c>
      <c r="BZ16" s="288">
        <f t="shared" si="11"/>
        <v>0</v>
      </c>
      <c r="CA16" s="288">
        <f t="shared" si="11"/>
        <v>0</v>
      </c>
      <c r="CB16" s="288">
        <f t="shared" si="11"/>
        <v>0</v>
      </c>
      <c r="CC16" s="288">
        <f t="shared" si="11"/>
        <v>0</v>
      </c>
      <c r="CD16" s="288">
        <f t="shared" si="11"/>
        <v>0</v>
      </c>
      <c r="CE16" s="288">
        <f t="shared" si="11"/>
        <v>0</v>
      </c>
      <c r="CF16" s="288">
        <f t="shared" si="11"/>
        <v>0</v>
      </c>
      <c r="CG16" s="288">
        <f t="shared" si="11"/>
        <v>0</v>
      </c>
      <c r="CH16" s="288">
        <f t="shared" si="11"/>
        <v>0</v>
      </c>
      <c r="CI16" s="288">
        <f t="shared" si="12"/>
        <v>0</v>
      </c>
      <c r="CJ16" s="288">
        <f t="shared" si="12"/>
        <v>0</v>
      </c>
      <c r="CK16" s="288">
        <f t="shared" si="12"/>
        <v>0</v>
      </c>
      <c r="CL16" s="288">
        <f t="shared" si="12"/>
        <v>0</v>
      </c>
      <c r="CM16" s="288">
        <f t="shared" si="12"/>
        <v>0</v>
      </c>
      <c r="CN16" s="288">
        <f t="shared" si="12"/>
        <v>0</v>
      </c>
      <c r="CO16" s="288">
        <f t="shared" si="12"/>
        <v>0</v>
      </c>
      <c r="CP16" s="288">
        <f t="shared" si="12"/>
        <v>0</v>
      </c>
      <c r="CQ16" s="288">
        <f t="shared" si="12"/>
        <v>0</v>
      </c>
      <c r="CR16" s="288">
        <f t="shared" si="12"/>
        <v>0</v>
      </c>
      <c r="CS16" s="288">
        <f t="shared" si="12"/>
        <v>0</v>
      </c>
      <c r="CT16" s="288">
        <f t="shared" si="12"/>
        <v>0</v>
      </c>
      <c r="CU16" s="288">
        <f t="shared" si="12"/>
        <v>0</v>
      </c>
      <c r="CV16" s="288">
        <f t="shared" si="12"/>
        <v>0</v>
      </c>
      <c r="CW16" s="288">
        <f t="shared" si="12"/>
        <v>0</v>
      </c>
      <c r="CX16" s="288">
        <f t="shared" si="12"/>
        <v>0</v>
      </c>
      <c r="CY16" s="288">
        <f t="shared" si="13"/>
        <v>0</v>
      </c>
      <c r="CZ16" s="288">
        <f t="shared" si="13"/>
        <v>0</v>
      </c>
      <c r="DA16" s="288">
        <f t="shared" si="13"/>
        <v>0</v>
      </c>
      <c r="DB16" s="288">
        <f t="shared" si="13"/>
        <v>0</v>
      </c>
      <c r="DC16" s="288">
        <f t="shared" si="13"/>
        <v>0</v>
      </c>
      <c r="DD16" s="288">
        <f t="shared" si="13"/>
        <v>0</v>
      </c>
      <c r="DE16" s="288">
        <f t="shared" si="13"/>
        <v>0</v>
      </c>
      <c r="DG16" s="314">
        <f t="shared" si="3"/>
        <v>13</v>
      </c>
      <c r="DH16" s="289">
        <f>MAX(P$3:P$109)</f>
        <v>13</v>
      </c>
      <c r="DJ16" s="288">
        <f>LOOKUP(DH16, 'Mortality Table'!A:A,('Mortality Table'!J:J/'Mortality Table'!I:I))</f>
        <v>2.4232760694289224E-4</v>
      </c>
      <c r="DK16" s="288">
        <f>LOOKUP(A16, 'Mortality Table'!A:A,('Mortality Table'!J:J/'Mortality Table'!I:I))</f>
        <v>2.4232760694289224E-4</v>
      </c>
      <c r="DL16" s="288">
        <f t="shared" si="4"/>
        <v>0</v>
      </c>
      <c r="DN16" s="288">
        <f>LOOKUP(DH16, 'Mortality Table'!A:A,('Mortality Table'!L:L/'Mortality Table'!K:K))</f>
        <v>2.4546805250780246E-4</v>
      </c>
      <c r="DO16" s="288">
        <f>LOOKUP(A16, 'Mortality Table'!A:A,('Mortality Table'!L:L/'Mortality Table'!K:K))</f>
        <v>2.4546805250780246E-4</v>
      </c>
      <c r="DP16" s="288">
        <f t="shared" si="5"/>
        <v>0</v>
      </c>
      <c r="DR16" s="288">
        <f>LOOKUP(DH16, 'Mortality Table'!A:A,('Mortality Table'!N:N/'Mortality Table'!M:M))</f>
        <v>2.5098487734644175E-4</v>
      </c>
      <c r="DS16" s="288">
        <f>LOOKUP(A16, 'Mortality Table'!A:A,('Mortality Table'!N:N/'Mortality Table'!M:M))</f>
        <v>2.5098487734644175E-4</v>
      </c>
      <c r="DT16" s="288">
        <f t="shared" si="6"/>
        <v>0</v>
      </c>
    </row>
    <row r="17" spans="1:124">
      <c r="A17" s="288">
        <v>14</v>
      </c>
      <c r="B17" s="288">
        <v>3.3419413641197021E-4</v>
      </c>
      <c r="C17" s="288">
        <f t="shared" si="2"/>
        <v>0</v>
      </c>
      <c r="D17" s="288">
        <f t="shared" si="2"/>
        <v>0</v>
      </c>
      <c r="E17" s="288">
        <f t="shared" si="2"/>
        <v>0</v>
      </c>
      <c r="F17" s="288">
        <f t="shared" si="2"/>
        <v>14</v>
      </c>
      <c r="G17" s="288">
        <f t="shared" si="2"/>
        <v>0</v>
      </c>
      <c r="H17" s="288">
        <f t="shared" si="2"/>
        <v>0</v>
      </c>
      <c r="I17" s="288">
        <f t="shared" si="2"/>
        <v>0</v>
      </c>
      <c r="J17" s="288">
        <f t="shared" si="2"/>
        <v>0</v>
      </c>
      <c r="K17" s="288">
        <f t="shared" si="2"/>
        <v>0</v>
      </c>
      <c r="L17" s="288">
        <f t="shared" si="2"/>
        <v>0</v>
      </c>
      <c r="M17" s="288">
        <f t="shared" si="2"/>
        <v>0</v>
      </c>
      <c r="N17" s="288">
        <f t="shared" si="2"/>
        <v>0</v>
      </c>
      <c r="O17" s="288">
        <f t="shared" si="2"/>
        <v>0</v>
      </c>
      <c r="P17" s="288">
        <f t="shared" si="2"/>
        <v>0</v>
      </c>
      <c r="Q17" s="288">
        <f t="shared" si="2"/>
        <v>14</v>
      </c>
      <c r="R17" s="288">
        <f t="shared" si="2"/>
        <v>0</v>
      </c>
      <c r="S17" s="288">
        <f t="shared" si="8"/>
        <v>0</v>
      </c>
      <c r="T17" s="288">
        <f t="shared" si="8"/>
        <v>0</v>
      </c>
      <c r="U17" s="288">
        <f t="shared" si="8"/>
        <v>0</v>
      </c>
      <c r="V17" s="288">
        <f t="shared" si="8"/>
        <v>0</v>
      </c>
      <c r="W17" s="288">
        <f t="shared" si="8"/>
        <v>0</v>
      </c>
      <c r="X17" s="288">
        <f t="shared" si="8"/>
        <v>0</v>
      </c>
      <c r="Y17" s="288">
        <f t="shared" si="8"/>
        <v>0</v>
      </c>
      <c r="Z17" s="288">
        <f t="shared" si="8"/>
        <v>0</v>
      </c>
      <c r="AA17" s="288">
        <f t="shared" si="8"/>
        <v>0</v>
      </c>
      <c r="AB17" s="288">
        <f t="shared" si="8"/>
        <v>0</v>
      </c>
      <c r="AC17" s="288">
        <f t="shared" si="8"/>
        <v>0</v>
      </c>
      <c r="AD17" s="288">
        <f t="shared" si="8"/>
        <v>0</v>
      </c>
      <c r="AE17" s="288">
        <f t="shared" si="8"/>
        <v>0</v>
      </c>
      <c r="AF17" s="288">
        <f t="shared" si="8"/>
        <v>0</v>
      </c>
      <c r="AG17" s="288">
        <f t="shared" si="8"/>
        <v>0</v>
      </c>
      <c r="AH17" s="288">
        <f t="shared" si="8"/>
        <v>0</v>
      </c>
      <c r="AI17" s="288">
        <f t="shared" si="9"/>
        <v>0</v>
      </c>
      <c r="AJ17" s="288">
        <f t="shared" si="9"/>
        <v>0</v>
      </c>
      <c r="AK17" s="288">
        <f t="shared" si="9"/>
        <v>0</v>
      </c>
      <c r="AL17" s="288">
        <f t="shared" si="9"/>
        <v>0</v>
      </c>
      <c r="AM17" s="288">
        <f t="shared" si="9"/>
        <v>0</v>
      </c>
      <c r="AN17" s="288">
        <f t="shared" si="9"/>
        <v>0</v>
      </c>
      <c r="AO17" s="288">
        <f t="shared" si="9"/>
        <v>0</v>
      </c>
      <c r="AP17" s="288">
        <f t="shared" si="9"/>
        <v>0</v>
      </c>
      <c r="AQ17" s="288">
        <f t="shared" si="9"/>
        <v>0</v>
      </c>
      <c r="AR17" s="288">
        <f t="shared" si="9"/>
        <v>0</v>
      </c>
      <c r="AS17" s="288">
        <f t="shared" si="9"/>
        <v>0</v>
      </c>
      <c r="AT17" s="288">
        <f t="shared" si="9"/>
        <v>0</v>
      </c>
      <c r="AU17" s="288">
        <f t="shared" si="9"/>
        <v>0</v>
      </c>
      <c r="AV17" s="288">
        <f t="shared" si="9"/>
        <v>0</v>
      </c>
      <c r="AW17" s="288">
        <f t="shared" si="9"/>
        <v>0</v>
      </c>
      <c r="AX17" s="288">
        <f t="shared" si="9"/>
        <v>0</v>
      </c>
      <c r="AY17" s="288">
        <f t="shared" si="10"/>
        <v>0</v>
      </c>
      <c r="AZ17" s="288">
        <f t="shared" si="10"/>
        <v>0</v>
      </c>
      <c r="BA17" s="288">
        <f t="shared" si="10"/>
        <v>0</v>
      </c>
      <c r="BB17" s="288">
        <f t="shared" si="10"/>
        <v>0</v>
      </c>
      <c r="BC17" s="288">
        <f t="shared" si="10"/>
        <v>0</v>
      </c>
      <c r="BD17" s="288">
        <f t="shared" si="10"/>
        <v>0</v>
      </c>
      <c r="BE17" s="288">
        <f t="shared" si="10"/>
        <v>0</v>
      </c>
      <c r="BF17" s="288">
        <f t="shared" si="10"/>
        <v>0</v>
      </c>
      <c r="BG17" s="288">
        <f t="shared" si="10"/>
        <v>0</v>
      </c>
      <c r="BH17" s="288">
        <f t="shared" si="10"/>
        <v>0</v>
      </c>
      <c r="BI17" s="288">
        <f t="shared" si="10"/>
        <v>0</v>
      </c>
      <c r="BJ17" s="288">
        <f t="shared" si="10"/>
        <v>0</v>
      </c>
      <c r="BK17" s="288">
        <f t="shared" si="10"/>
        <v>0</v>
      </c>
      <c r="BL17" s="288">
        <f t="shared" si="10"/>
        <v>0</v>
      </c>
      <c r="BM17" s="288">
        <f t="shared" si="10"/>
        <v>0</v>
      </c>
      <c r="BN17" s="288">
        <f t="shared" si="10"/>
        <v>0</v>
      </c>
      <c r="BO17" s="288">
        <f t="shared" si="7"/>
        <v>0</v>
      </c>
      <c r="BP17" s="288">
        <f t="shared" si="7"/>
        <v>0</v>
      </c>
      <c r="BQ17" s="288">
        <f t="shared" si="7"/>
        <v>0</v>
      </c>
      <c r="BR17" s="288">
        <f t="shared" si="7"/>
        <v>0</v>
      </c>
      <c r="BS17" s="288">
        <f t="shared" si="11"/>
        <v>0</v>
      </c>
      <c r="BT17" s="288">
        <f t="shared" si="11"/>
        <v>0</v>
      </c>
      <c r="BU17" s="288">
        <f t="shared" si="11"/>
        <v>0</v>
      </c>
      <c r="BV17" s="288">
        <f t="shared" si="11"/>
        <v>0</v>
      </c>
      <c r="BW17" s="288">
        <f t="shared" si="11"/>
        <v>0</v>
      </c>
      <c r="BX17" s="288">
        <f t="shared" si="11"/>
        <v>0</v>
      </c>
      <c r="BY17" s="288">
        <f t="shared" si="11"/>
        <v>0</v>
      </c>
      <c r="BZ17" s="288">
        <f t="shared" si="11"/>
        <v>0</v>
      </c>
      <c r="CA17" s="288">
        <f t="shared" si="11"/>
        <v>0</v>
      </c>
      <c r="CB17" s="288">
        <f t="shared" si="11"/>
        <v>0</v>
      </c>
      <c r="CC17" s="288">
        <f t="shared" si="11"/>
        <v>0</v>
      </c>
      <c r="CD17" s="288">
        <f t="shared" si="11"/>
        <v>0</v>
      </c>
      <c r="CE17" s="288">
        <f t="shared" si="11"/>
        <v>0</v>
      </c>
      <c r="CF17" s="288">
        <f t="shared" si="11"/>
        <v>0</v>
      </c>
      <c r="CG17" s="288">
        <f t="shared" si="11"/>
        <v>0</v>
      </c>
      <c r="CH17" s="288">
        <f t="shared" si="11"/>
        <v>0</v>
      </c>
      <c r="CI17" s="288">
        <f t="shared" si="12"/>
        <v>0</v>
      </c>
      <c r="CJ17" s="288">
        <f t="shared" si="12"/>
        <v>0</v>
      </c>
      <c r="CK17" s="288">
        <f t="shared" si="12"/>
        <v>0</v>
      </c>
      <c r="CL17" s="288">
        <f t="shared" si="12"/>
        <v>0</v>
      </c>
      <c r="CM17" s="288">
        <f t="shared" si="12"/>
        <v>0</v>
      </c>
      <c r="CN17" s="288">
        <f t="shared" si="12"/>
        <v>0</v>
      </c>
      <c r="CO17" s="288">
        <f t="shared" si="12"/>
        <v>0</v>
      </c>
      <c r="CP17" s="288">
        <f t="shared" si="12"/>
        <v>0</v>
      </c>
      <c r="CQ17" s="288">
        <f t="shared" si="12"/>
        <v>0</v>
      </c>
      <c r="CR17" s="288">
        <f t="shared" si="12"/>
        <v>0</v>
      </c>
      <c r="CS17" s="288">
        <f t="shared" si="12"/>
        <v>0</v>
      </c>
      <c r="CT17" s="288">
        <f t="shared" si="12"/>
        <v>0</v>
      </c>
      <c r="CU17" s="288">
        <f t="shared" si="12"/>
        <v>0</v>
      </c>
      <c r="CV17" s="288">
        <f t="shared" si="12"/>
        <v>0</v>
      </c>
      <c r="CW17" s="288">
        <f t="shared" si="12"/>
        <v>0</v>
      </c>
      <c r="CX17" s="288">
        <f t="shared" si="12"/>
        <v>0</v>
      </c>
      <c r="CY17" s="288">
        <f t="shared" si="13"/>
        <v>0</v>
      </c>
      <c r="CZ17" s="288">
        <f t="shared" si="13"/>
        <v>0</v>
      </c>
      <c r="DA17" s="288">
        <f t="shared" si="13"/>
        <v>0</v>
      </c>
      <c r="DB17" s="288">
        <f t="shared" si="13"/>
        <v>0</v>
      </c>
      <c r="DC17" s="288">
        <f t="shared" si="13"/>
        <v>0</v>
      </c>
      <c r="DD17" s="288">
        <f t="shared" si="13"/>
        <v>0</v>
      </c>
      <c r="DE17" s="288">
        <f t="shared" si="13"/>
        <v>0</v>
      </c>
      <c r="DG17" s="314">
        <f t="shared" si="3"/>
        <v>14</v>
      </c>
      <c r="DH17" s="289">
        <f>MAX(Q$3:Q$109)</f>
        <v>14</v>
      </c>
      <c r="DJ17" s="288">
        <f>LOOKUP(DH17, 'Mortality Table'!A:A,('Mortality Table'!J:J/'Mortality Table'!I:I))</f>
        <v>3.0765063943130974E-4</v>
      </c>
      <c r="DK17" s="288">
        <f>LOOKUP(A17, 'Mortality Table'!A:A,('Mortality Table'!J:J/'Mortality Table'!I:I))</f>
        <v>3.0765063943130974E-4</v>
      </c>
      <c r="DL17" s="288">
        <f t="shared" si="4"/>
        <v>0</v>
      </c>
      <c r="DN17" s="288">
        <f>LOOKUP(DH17, 'Mortality Table'!A:A,('Mortality Table'!L:L/'Mortality Table'!K:K))</f>
        <v>3.1163763908988157E-4</v>
      </c>
      <c r="DO17" s="288">
        <f>LOOKUP(A17, 'Mortality Table'!A:A,('Mortality Table'!L:L/'Mortality Table'!K:K))</f>
        <v>3.1163763908988157E-4</v>
      </c>
      <c r="DP17" s="288">
        <f t="shared" si="5"/>
        <v>0</v>
      </c>
      <c r="DR17" s="288">
        <f>LOOKUP(DH17, 'Mortality Table'!A:A,('Mortality Table'!N:N/'Mortality Table'!M:M))</f>
        <v>3.1864160661405178E-4</v>
      </c>
      <c r="DS17" s="288">
        <f>LOOKUP(A17, 'Mortality Table'!A:A,('Mortality Table'!N:N/'Mortality Table'!M:M))</f>
        <v>3.1864160661405178E-4</v>
      </c>
      <c r="DT17" s="288">
        <f t="shared" si="6"/>
        <v>0</v>
      </c>
    </row>
    <row r="18" spans="1:124">
      <c r="A18" s="288">
        <v>15</v>
      </c>
      <c r="B18" s="288">
        <v>4.5587162654996355E-4</v>
      </c>
      <c r="C18" s="288">
        <f t="shared" si="2"/>
        <v>0</v>
      </c>
      <c r="D18" s="288">
        <f t="shared" si="2"/>
        <v>0</v>
      </c>
      <c r="E18" s="288">
        <f t="shared" si="2"/>
        <v>15</v>
      </c>
      <c r="F18" s="288">
        <f t="shared" si="2"/>
        <v>0</v>
      </c>
      <c r="G18" s="288">
        <f t="shared" si="2"/>
        <v>0</v>
      </c>
      <c r="H18" s="288">
        <f t="shared" si="2"/>
        <v>0</v>
      </c>
      <c r="I18" s="288">
        <f t="shared" si="2"/>
        <v>0</v>
      </c>
      <c r="J18" s="288">
        <f t="shared" si="2"/>
        <v>0</v>
      </c>
      <c r="K18" s="288">
        <f t="shared" si="2"/>
        <v>0</v>
      </c>
      <c r="L18" s="288">
        <f t="shared" si="2"/>
        <v>0</v>
      </c>
      <c r="M18" s="288">
        <f t="shared" si="2"/>
        <v>0</v>
      </c>
      <c r="N18" s="288">
        <f t="shared" si="2"/>
        <v>0</v>
      </c>
      <c r="O18" s="288">
        <f t="shared" si="2"/>
        <v>0</v>
      </c>
      <c r="P18" s="288">
        <f t="shared" si="2"/>
        <v>0</v>
      </c>
      <c r="Q18" s="288">
        <f t="shared" si="2"/>
        <v>0</v>
      </c>
      <c r="R18" s="288">
        <f t="shared" si="2"/>
        <v>15</v>
      </c>
      <c r="S18" s="288">
        <f t="shared" si="8"/>
        <v>0</v>
      </c>
      <c r="T18" s="288">
        <f t="shared" si="8"/>
        <v>0</v>
      </c>
      <c r="U18" s="288">
        <f t="shared" si="8"/>
        <v>0</v>
      </c>
      <c r="V18" s="288">
        <f t="shared" si="8"/>
        <v>0</v>
      </c>
      <c r="W18" s="288">
        <f t="shared" si="8"/>
        <v>0</v>
      </c>
      <c r="X18" s="288">
        <f t="shared" si="8"/>
        <v>0</v>
      </c>
      <c r="Y18" s="288">
        <f t="shared" si="8"/>
        <v>0</v>
      </c>
      <c r="Z18" s="288">
        <f t="shared" si="8"/>
        <v>0</v>
      </c>
      <c r="AA18" s="288">
        <f t="shared" si="8"/>
        <v>0</v>
      </c>
      <c r="AB18" s="288">
        <f t="shared" si="8"/>
        <v>0</v>
      </c>
      <c r="AC18" s="288">
        <f t="shared" si="8"/>
        <v>0</v>
      </c>
      <c r="AD18" s="288">
        <f t="shared" si="8"/>
        <v>0</v>
      </c>
      <c r="AE18" s="288">
        <f t="shared" si="8"/>
        <v>0</v>
      </c>
      <c r="AF18" s="288">
        <f t="shared" si="8"/>
        <v>0</v>
      </c>
      <c r="AG18" s="288">
        <f t="shared" si="8"/>
        <v>0</v>
      </c>
      <c r="AH18" s="288">
        <f t="shared" si="8"/>
        <v>0</v>
      </c>
      <c r="AI18" s="288">
        <f t="shared" si="9"/>
        <v>0</v>
      </c>
      <c r="AJ18" s="288">
        <f t="shared" si="9"/>
        <v>0</v>
      </c>
      <c r="AK18" s="288">
        <f t="shared" si="9"/>
        <v>0</v>
      </c>
      <c r="AL18" s="288">
        <f t="shared" si="9"/>
        <v>0</v>
      </c>
      <c r="AM18" s="288">
        <f t="shared" si="9"/>
        <v>0</v>
      </c>
      <c r="AN18" s="288">
        <f t="shared" si="9"/>
        <v>0</v>
      </c>
      <c r="AO18" s="288">
        <f t="shared" si="9"/>
        <v>0</v>
      </c>
      <c r="AP18" s="288">
        <f t="shared" si="9"/>
        <v>0</v>
      </c>
      <c r="AQ18" s="288">
        <f t="shared" si="9"/>
        <v>0</v>
      </c>
      <c r="AR18" s="288">
        <f t="shared" si="9"/>
        <v>0</v>
      </c>
      <c r="AS18" s="288">
        <f t="shared" si="9"/>
        <v>0</v>
      </c>
      <c r="AT18" s="288">
        <f t="shared" si="9"/>
        <v>0</v>
      </c>
      <c r="AU18" s="288">
        <f t="shared" si="9"/>
        <v>0</v>
      </c>
      <c r="AV18" s="288">
        <f t="shared" si="9"/>
        <v>0</v>
      </c>
      <c r="AW18" s="288">
        <f t="shared" si="9"/>
        <v>0</v>
      </c>
      <c r="AX18" s="288">
        <f t="shared" si="9"/>
        <v>0</v>
      </c>
      <c r="AY18" s="288">
        <f t="shared" si="10"/>
        <v>0</v>
      </c>
      <c r="AZ18" s="288">
        <f t="shared" si="10"/>
        <v>0</v>
      </c>
      <c r="BA18" s="288">
        <f t="shared" si="10"/>
        <v>0</v>
      </c>
      <c r="BB18" s="288">
        <f t="shared" si="10"/>
        <v>0</v>
      </c>
      <c r="BC18" s="288">
        <f t="shared" si="10"/>
        <v>0</v>
      </c>
      <c r="BD18" s="288">
        <f t="shared" si="10"/>
        <v>0</v>
      </c>
      <c r="BE18" s="288">
        <f t="shared" si="10"/>
        <v>0</v>
      </c>
      <c r="BF18" s="288">
        <f t="shared" si="10"/>
        <v>0</v>
      </c>
      <c r="BG18" s="288">
        <f t="shared" si="10"/>
        <v>0</v>
      </c>
      <c r="BH18" s="288">
        <f t="shared" si="10"/>
        <v>0</v>
      </c>
      <c r="BI18" s="288">
        <f t="shared" si="10"/>
        <v>0</v>
      </c>
      <c r="BJ18" s="288">
        <f t="shared" si="10"/>
        <v>0</v>
      </c>
      <c r="BK18" s="288">
        <f t="shared" si="10"/>
        <v>0</v>
      </c>
      <c r="BL18" s="288">
        <f t="shared" si="10"/>
        <v>0</v>
      </c>
      <c r="BM18" s="288">
        <f t="shared" si="10"/>
        <v>0</v>
      </c>
      <c r="BN18" s="288">
        <f t="shared" si="10"/>
        <v>0</v>
      </c>
      <c r="BO18" s="288">
        <f t="shared" si="7"/>
        <v>0</v>
      </c>
      <c r="BP18" s="288">
        <f t="shared" si="7"/>
        <v>0</v>
      </c>
      <c r="BQ18" s="288">
        <f t="shared" si="7"/>
        <v>0</v>
      </c>
      <c r="BR18" s="288">
        <f t="shared" si="7"/>
        <v>0</v>
      </c>
      <c r="BS18" s="288">
        <f t="shared" si="11"/>
        <v>0</v>
      </c>
      <c r="BT18" s="288">
        <f t="shared" si="11"/>
        <v>0</v>
      </c>
      <c r="BU18" s="288">
        <f t="shared" si="11"/>
        <v>0</v>
      </c>
      <c r="BV18" s="288">
        <f t="shared" si="11"/>
        <v>0</v>
      </c>
      <c r="BW18" s="288">
        <f t="shared" si="11"/>
        <v>0</v>
      </c>
      <c r="BX18" s="288">
        <f t="shared" si="11"/>
        <v>0</v>
      </c>
      <c r="BY18" s="288">
        <f t="shared" si="11"/>
        <v>0</v>
      </c>
      <c r="BZ18" s="288">
        <f t="shared" si="11"/>
        <v>0</v>
      </c>
      <c r="CA18" s="288">
        <f t="shared" si="11"/>
        <v>0</v>
      </c>
      <c r="CB18" s="288">
        <f t="shared" si="11"/>
        <v>0</v>
      </c>
      <c r="CC18" s="288">
        <f t="shared" si="11"/>
        <v>0</v>
      </c>
      <c r="CD18" s="288">
        <f t="shared" si="11"/>
        <v>0</v>
      </c>
      <c r="CE18" s="288">
        <f t="shared" si="11"/>
        <v>0</v>
      </c>
      <c r="CF18" s="288">
        <f t="shared" si="11"/>
        <v>0</v>
      </c>
      <c r="CG18" s="288">
        <f t="shared" si="11"/>
        <v>0</v>
      </c>
      <c r="CH18" s="288">
        <f t="shared" si="11"/>
        <v>0</v>
      </c>
      <c r="CI18" s="288">
        <f t="shared" si="12"/>
        <v>0</v>
      </c>
      <c r="CJ18" s="288">
        <f t="shared" si="12"/>
        <v>0</v>
      </c>
      <c r="CK18" s="288">
        <f t="shared" si="12"/>
        <v>0</v>
      </c>
      <c r="CL18" s="288">
        <f t="shared" si="12"/>
        <v>0</v>
      </c>
      <c r="CM18" s="288">
        <f t="shared" si="12"/>
        <v>0</v>
      </c>
      <c r="CN18" s="288">
        <f t="shared" si="12"/>
        <v>0</v>
      </c>
      <c r="CO18" s="288">
        <f t="shared" si="12"/>
        <v>0</v>
      </c>
      <c r="CP18" s="288">
        <f t="shared" si="12"/>
        <v>0</v>
      </c>
      <c r="CQ18" s="288">
        <f t="shared" si="12"/>
        <v>0</v>
      </c>
      <c r="CR18" s="288">
        <f t="shared" si="12"/>
        <v>0</v>
      </c>
      <c r="CS18" s="288">
        <f t="shared" si="12"/>
        <v>0</v>
      </c>
      <c r="CT18" s="288">
        <f t="shared" si="12"/>
        <v>0</v>
      </c>
      <c r="CU18" s="288">
        <f t="shared" si="12"/>
        <v>0</v>
      </c>
      <c r="CV18" s="288">
        <f t="shared" si="12"/>
        <v>0</v>
      </c>
      <c r="CW18" s="288">
        <f t="shared" si="12"/>
        <v>0</v>
      </c>
      <c r="CX18" s="288">
        <f t="shared" si="12"/>
        <v>0</v>
      </c>
      <c r="CY18" s="288">
        <f t="shared" si="13"/>
        <v>0</v>
      </c>
      <c r="CZ18" s="288">
        <f t="shared" si="13"/>
        <v>0</v>
      </c>
      <c r="DA18" s="288">
        <f t="shared" si="13"/>
        <v>0</v>
      </c>
      <c r="DB18" s="288">
        <f t="shared" si="13"/>
        <v>0</v>
      </c>
      <c r="DC18" s="288">
        <f t="shared" si="13"/>
        <v>0</v>
      </c>
      <c r="DD18" s="288">
        <f t="shared" si="13"/>
        <v>0</v>
      </c>
      <c r="DE18" s="288">
        <f t="shared" si="13"/>
        <v>0</v>
      </c>
      <c r="DG18" s="314">
        <f t="shared" si="3"/>
        <v>15</v>
      </c>
      <c r="DH18" s="289">
        <f>MAX(R$3:R$109)</f>
        <v>15</v>
      </c>
      <c r="DJ18" s="288">
        <f>LOOKUP(DH18, 'Mortality Table'!A:A,('Mortality Table'!J:J/'Mortality Table'!I:I))</f>
        <v>4.1966384842191998E-4</v>
      </c>
      <c r="DK18" s="288">
        <f>LOOKUP(A18, 'Mortality Table'!A:A,('Mortality Table'!J:J/'Mortality Table'!I:I))</f>
        <v>4.1966384842191998E-4</v>
      </c>
      <c r="DL18" s="288">
        <f t="shared" si="4"/>
        <v>0</v>
      </c>
      <c r="DN18" s="288">
        <f>LOOKUP(DH18, 'Mortality Table'!A:A,('Mortality Table'!L:L/'Mortality Table'!K:K))</f>
        <v>4.2510248369817348E-4</v>
      </c>
      <c r="DO18" s="288">
        <f>LOOKUP(A18, 'Mortality Table'!A:A,('Mortality Table'!L:L/'Mortality Table'!K:K))</f>
        <v>4.2510248369817348E-4</v>
      </c>
      <c r="DP18" s="288">
        <f t="shared" si="5"/>
        <v>0</v>
      </c>
      <c r="DR18" s="288">
        <f>LOOKUP(DH18, 'Mortality Table'!A:A,('Mortality Table'!N:N/'Mortality Table'!M:M))</f>
        <v>4.3465654141392791E-4</v>
      </c>
      <c r="DS18" s="288">
        <f>LOOKUP(A18, 'Mortality Table'!A:A,('Mortality Table'!N:N/'Mortality Table'!M:M))</f>
        <v>4.3465654141392791E-4</v>
      </c>
      <c r="DT18" s="288">
        <f t="shared" si="6"/>
        <v>0</v>
      </c>
    </row>
    <row r="19" spans="1:124">
      <c r="A19" s="288">
        <v>16</v>
      </c>
      <c r="B19" s="288">
        <v>6.1824115459069393E-4</v>
      </c>
      <c r="C19" s="288">
        <f t="shared" si="2"/>
        <v>0</v>
      </c>
      <c r="D19" s="288">
        <f t="shared" si="2"/>
        <v>17</v>
      </c>
      <c r="E19" s="288">
        <f t="shared" si="2"/>
        <v>0</v>
      </c>
      <c r="F19" s="288">
        <f t="shared" si="2"/>
        <v>0</v>
      </c>
      <c r="G19" s="288">
        <f t="shared" si="2"/>
        <v>0</v>
      </c>
      <c r="H19" s="288">
        <f t="shared" si="2"/>
        <v>0</v>
      </c>
      <c r="I19" s="288">
        <f t="shared" si="2"/>
        <v>0</v>
      </c>
      <c r="J19" s="288">
        <f t="shared" si="2"/>
        <v>0</v>
      </c>
      <c r="K19" s="288">
        <f t="shared" si="2"/>
        <v>0</v>
      </c>
      <c r="L19" s="288">
        <f t="shared" si="2"/>
        <v>0</v>
      </c>
      <c r="M19" s="288">
        <f t="shared" si="2"/>
        <v>0</v>
      </c>
      <c r="N19" s="288">
        <f t="shared" si="2"/>
        <v>0</v>
      </c>
      <c r="O19" s="288">
        <f t="shared" si="2"/>
        <v>0</v>
      </c>
      <c r="P19" s="288">
        <f t="shared" si="2"/>
        <v>0</v>
      </c>
      <c r="Q19" s="288">
        <f t="shared" si="2"/>
        <v>0</v>
      </c>
      <c r="R19" s="288">
        <f t="shared" si="2"/>
        <v>0</v>
      </c>
      <c r="S19" s="288">
        <f t="shared" si="8"/>
        <v>16</v>
      </c>
      <c r="T19" s="288">
        <f t="shared" si="8"/>
        <v>0</v>
      </c>
      <c r="U19" s="288">
        <f t="shared" si="8"/>
        <v>0</v>
      </c>
      <c r="V19" s="288">
        <f t="shared" si="8"/>
        <v>0</v>
      </c>
      <c r="W19" s="288">
        <f t="shared" si="8"/>
        <v>0</v>
      </c>
      <c r="X19" s="288">
        <f t="shared" si="8"/>
        <v>0</v>
      </c>
      <c r="Y19" s="288">
        <f t="shared" si="8"/>
        <v>0</v>
      </c>
      <c r="Z19" s="288">
        <f t="shared" si="8"/>
        <v>0</v>
      </c>
      <c r="AA19" s="288">
        <f t="shared" si="8"/>
        <v>0</v>
      </c>
      <c r="AB19" s="288">
        <f t="shared" si="8"/>
        <v>0</v>
      </c>
      <c r="AC19" s="288">
        <f t="shared" si="8"/>
        <v>0</v>
      </c>
      <c r="AD19" s="288">
        <f t="shared" si="8"/>
        <v>0</v>
      </c>
      <c r="AE19" s="288">
        <f t="shared" si="8"/>
        <v>0</v>
      </c>
      <c r="AF19" s="288">
        <f t="shared" si="8"/>
        <v>0</v>
      </c>
      <c r="AG19" s="288">
        <f t="shared" si="8"/>
        <v>0</v>
      </c>
      <c r="AH19" s="288">
        <f t="shared" si="8"/>
        <v>0</v>
      </c>
      <c r="AI19" s="288">
        <f t="shared" si="9"/>
        <v>0</v>
      </c>
      <c r="AJ19" s="288">
        <f t="shared" si="9"/>
        <v>0</v>
      </c>
      <c r="AK19" s="288">
        <f t="shared" si="9"/>
        <v>0</v>
      </c>
      <c r="AL19" s="288">
        <f t="shared" si="9"/>
        <v>0</v>
      </c>
      <c r="AM19" s="288">
        <f t="shared" si="9"/>
        <v>0</v>
      </c>
      <c r="AN19" s="288">
        <f t="shared" si="9"/>
        <v>0</v>
      </c>
      <c r="AO19" s="288">
        <f t="shared" si="9"/>
        <v>0</v>
      </c>
      <c r="AP19" s="288">
        <f t="shared" si="9"/>
        <v>0</v>
      </c>
      <c r="AQ19" s="288">
        <f t="shared" si="9"/>
        <v>0</v>
      </c>
      <c r="AR19" s="288">
        <f t="shared" si="9"/>
        <v>0</v>
      </c>
      <c r="AS19" s="288">
        <f t="shared" si="9"/>
        <v>0</v>
      </c>
      <c r="AT19" s="288">
        <f t="shared" si="9"/>
        <v>0</v>
      </c>
      <c r="AU19" s="288">
        <f t="shared" si="9"/>
        <v>0</v>
      </c>
      <c r="AV19" s="288">
        <f t="shared" si="9"/>
        <v>0</v>
      </c>
      <c r="AW19" s="288">
        <f t="shared" si="9"/>
        <v>0</v>
      </c>
      <c r="AX19" s="288">
        <f t="shared" si="9"/>
        <v>0</v>
      </c>
      <c r="AY19" s="288">
        <f t="shared" si="10"/>
        <v>0</v>
      </c>
      <c r="AZ19" s="288">
        <f t="shared" si="10"/>
        <v>0</v>
      </c>
      <c r="BA19" s="288">
        <f t="shared" si="10"/>
        <v>0</v>
      </c>
      <c r="BB19" s="288">
        <f t="shared" si="10"/>
        <v>0</v>
      </c>
      <c r="BC19" s="288">
        <f t="shared" si="10"/>
        <v>0</v>
      </c>
      <c r="BD19" s="288">
        <f t="shared" si="10"/>
        <v>0</v>
      </c>
      <c r="BE19" s="288">
        <f t="shared" si="10"/>
        <v>0</v>
      </c>
      <c r="BF19" s="288">
        <f t="shared" si="10"/>
        <v>0</v>
      </c>
      <c r="BG19" s="288">
        <f t="shared" si="10"/>
        <v>0</v>
      </c>
      <c r="BH19" s="288">
        <f t="shared" si="10"/>
        <v>0</v>
      </c>
      <c r="BI19" s="288">
        <f t="shared" si="10"/>
        <v>0</v>
      </c>
      <c r="BJ19" s="288">
        <f t="shared" si="10"/>
        <v>0</v>
      </c>
      <c r="BK19" s="288">
        <f t="shared" si="10"/>
        <v>0</v>
      </c>
      <c r="BL19" s="288">
        <f t="shared" si="10"/>
        <v>0</v>
      </c>
      <c r="BM19" s="288">
        <f t="shared" si="10"/>
        <v>0</v>
      </c>
      <c r="BN19" s="288">
        <f t="shared" si="10"/>
        <v>0</v>
      </c>
      <c r="BO19" s="288">
        <f t="shared" si="7"/>
        <v>0</v>
      </c>
      <c r="BP19" s="288">
        <f t="shared" si="7"/>
        <v>0</v>
      </c>
      <c r="BQ19" s="288">
        <f t="shared" si="7"/>
        <v>0</v>
      </c>
      <c r="BR19" s="288">
        <f t="shared" si="7"/>
        <v>0</v>
      </c>
      <c r="BS19" s="288">
        <f t="shared" si="11"/>
        <v>0</v>
      </c>
      <c r="BT19" s="288">
        <f t="shared" si="11"/>
        <v>0</v>
      </c>
      <c r="BU19" s="288">
        <f t="shared" si="11"/>
        <v>0</v>
      </c>
      <c r="BV19" s="288">
        <f t="shared" si="11"/>
        <v>0</v>
      </c>
      <c r="BW19" s="288">
        <f t="shared" si="11"/>
        <v>0</v>
      </c>
      <c r="BX19" s="288">
        <f t="shared" si="11"/>
        <v>0</v>
      </c>
      <c r="BY19" s="288">
        <f t="shared" si="11"/>
        <v>0</v>
      </c>
      <c r="BZ19" s="288">
        <f t="shared" si="11"/>
        <v>0</v>
      </c>
      <c r="CA19" s="288">
        <f t="shared" si="11"/>
        <v>0</v>
      </c>
      <c r="CB19" s="288">
        <f t="shared" si="11"/>
        <v>0</v>
      </c>
      <c r="CC19" s="288">
        <f t="shared" si="11"/>
        <v>0</v>
      </c>
      <c r="CD19" s="288">
        <f t="shared" si="11"/>
        <v>0</v>
      </c>
      <c r="CE19" s="288">
        <f t="shared" si="11"/>
        <v>0</v>
      </c>
      <c r="CF19" s="288">
        <f t="shared" si="11"/>
        <v>0</v>
      </c>
      <c r="CG19" s="288">
        <f t="shared" si="11"/>
        <v>0</v>
      </c>
      <c r="CH19" s="288">
        <f t="shared" si="11"/>
        <v>0</v>
      </c>
      <c r="CI19" s="288">
        <f t="shared" si="12"/>
        <v>0</v>
      </c>
      <c r="CJ19" s="288">
        <f t="shared" si="12"/>
        <v>0</v>
      </c>
      <c r="CK19" s="288">
        <f t="shared" si="12"/>
        <v>0</v>
      </c>
      <c r="CL19" s="288">
        <f t="shared" si="12"/>
        <v>0</v>
      </c>
      <c r="CM19" s="288">
        <f t="shared" si="12"/>
        <v>0</v>
      </c>
      <c r="CN19" s="288">
        <f t="shared" si="12"/>
        <v>0</v>
      </c>
      <c r="CO19" s="288">
        <f t="shared" si="12"/>
        <v>0</v>
      </c>
      <c r="CP19" s="288">
        <f t="shared" si="12"/>
        <v>0</v>
      </c>
      <c r="CQ19" s="288">
        <f t="shared" si="12"/>
        <v>0</v>
      </c>
      <c r="CR19" s="288">
        <f t="shared" si="12"/>
        <v>0</v>
      </c>
      <c r="CS19" s="288">
        <f t="shared" si="12"/>
        <v>0</v>
      </c>
      <c r="CT19" s="288">
        <f t="shared" si="12"/>
        <v>0</v>
      </c>
      <c r="CU19" s="288">
        <f t="shared" si="12"/>
        <v>0</v>
      </c>
      <c r="CV19" s="288">
        <f t="shared" si="12"/>
        <v>0</v>
      </c>
      <c r="CW19" s="288">
        <f t="shared" si="12"/>
        <v>0</v>
      </c>
      <c r="CX19" s="288">
        <f t="shared" si="12"/>
        <v>0</v>
      </c>
      <c r="CY19" s="288">
        <f t="shared" si="13"/>
        <v>0</v>
      </c>
      <c r="CZ19" s="288">
        <f t="shared" si="13"/>
        <v>0</v>
      </c>
      <c r="DA19" s="288">
        <f t="shared" si="13"/>
        <v>0</v>
      </c>
      <c r="DB19" s="288">
        <f t="shared" si="13"/>
        <v>0</v>
      </c>
      <c r="DC19" s="288">
        <f t="shared" si="13"/>
        <v>0</v>
      </c>
      <c r="DD19" s="288">
        <f t="shared" si="13"/>
        <v>0</v>
      </c>
      <c r="DE19" s="288">
        <f t="shared" si="13"/>
        <v>0</v>
      </c>
      <c r="DG19" s="314">
        <f t="shared" si="3"/>
        <v>16</v>
      </c>
      <c r="DH19" s="289">
        <f>MAX(S$3:S$109)</f>
        <v>16</v>
      </c>
      <c r="DJ19" s="288">
        <f>LOOKUP(DH19, 'Mortality Table'!A:A,('Mortality Table'!J:J/'Mortality Table'!I:I))</f>
        <v>5.6913711465634642E-4</v>
      </c>
      <c r="DK19" s="288">
        <f>LOOKUP(A19, 'Mortality Table'!A:A,('Mortality Table'!J:J/'Mortality Table'!I:I))</f>
        <v>5.6913711465634642E-4</v>
      </c>
      <c r="DL19" s="288">
        <f t="shared" si="4"/>
        <v>0</v>
      </c>
      <c r="DN19" s="288">
        <f>LOOKUP(DH19, 'Mortality Table'!A:A,('Mortality Table'!L:L/'Mortality Table'!K:K))</f>
        <v>5.7651284930786519E-4</v>
      </c>
      <c r="DO19" s="288">
        <f>LOOKUP(A19, 'Mortality Table'!A:A,('Mortality Table'!L:L/'Mortality Table'!K:K))</f>
        <v>5.7651284930786519E-4</v>
      </c>
      <c r="DP19" s="288">
        <f t="shared" si="5"/>
        <v>0</v>
      </c>
      <c r="DR19" s="288">
        <f>LOOKUP(DH19, 'Mortality Table'!A:A,('Mortality Table'!N:N/'Mortality Table'!M:M))</f>
        <v>5.8946981203422753E-4</v>
      </c>
      <c r="DS19" s="288">
        <f>LOOKUP(A19, 'Mortality Table'!A:A,('Mortality Table'!N:N/'Mortality Table'!M:M))</f>
        <v>5.8946981203422753E-4</v>
      </c>
      <c r="DT19" s="288">
        <f t="shared" si="6"/>
        <v>0</v>
      </c>
    </row>
    <row r="20" spans="1:124">
      <c r="A20" s="288">
        <v>17</v>
      </c>
      <c r="B20" s="288">
        <v>8.7215788085917697E-4</v>
      </c>
      <c r="C20" s="288">
        <f t="shared" si="2"/>
        <v>0</v>
      </c>
      <c r="D20" s="288">
        <f t="shared" si="2"/>
        <v>0</v>
      </c>
      <c r="E20" s="288">
        <f t="shared" si="2"/>
        <v>0</v>
      </c>
      <c r="F20" s="288">
        <f t="shared" si="2"/>
        <v>0</v>
      </c>
      <c r="G20" s="288">
        <f t="shared" si="2"/>
        <v>0</v>
      </c>
      <c r="H20" s="288">
        <f t="shared" si="2"/>
        <v>0</v>
      </c>
      <c r="I20" s="288">
        <f t="shared" si="2"/>
        <v>0</v>
      </c>
      <c r="J20" s="288">
        <f t="shared" si="2"/>
        <v>0</v>
      </c>
      <c r="K20" s="288">
        <f t="shared" si="2"/>
        <v>0</v>
      </c>
      <c r="L20" s="288">
        <f t="shared" si="2"/>
        <v>0</v>
      </c>
      <c r="M20" s="288">
        <f t="shared" si="2"/>
        <v>0</v>
      </c>
      <c r="N20" s="288">
        <f t="shared" si="2"/>
        <v>0</v>
      </c>
      <c r="O20" s="288">
        <f t="shared" si="2"/>
        <v>0</v>
      </c>
      <c r="P20" s="288">
        <f t="shared" si="2"/>
        <v>0</v>
      </c>
      <c r="Q20" s="288">
        <f t="shared" si="2"/>
        <v>0</v>
      </c>
      <c r="R20" s="288">
        <f t="shared" si="2"/>
        <v>0</v>
      </c>
      <c r="S20" s="288">
        <f t="shared" si="8"/>
        <v>0</v>
      </c>
      <c r="T20" s="288">
        <f t="shared" si="8"/>
        <v>17</v>
      </c>
      <c r="U20" s="288">
        <f t="shared" si="8"/>
        <v>0</v>
      </c>
      <c r="V20" s="288">
        <f t="shared" si="8"/>
        <v>0</v>
      </c>
      <c r="W20" s="288">
        <f t="shared" si="8"/>
        <v>0</v>
      </c>
      <c r="X20" s="288">
        <f t="shared" si="8"/>
        <v>0</v>
      </c>
      <c r="Y20" s="288">
        <f t="shared" si="8"/>
        <v>0</v>
      </c>
      <c r="Z20" s="288">
        <f t="shared" si="8"/>
        <v>0</v>
      </c>
      <c r="AA20" s="288">
        <f t="shared" si="8"/>
        <v>0</v>
      </c>
      <c r="AB20" s="288">
        <f t="shared" si="8"/>
        <v>0</v>
      </c>
      <c r="AC20" s="288">
        <f t="shared" si="8"/>
        <v>0</v>
      </c>
      <c r="AD20" s="288">
        <f t="shared" si="8"/>
        <v>0</v>
      </c>
      <c r="AE20" s="288">
        <f t="shared" si="8"/>
        <v>0</v>
      </c>
      <c r="AF20" s="288">
        <f t="shared" si="8"/>
        <v>0</v>
      </c>
      <c r="AG20" s="288">
        <f t="shared" si="8"/>
        <v>0</v>
      </c>
      <c r="AH20" s="288">
        <f t="shared" si="8"/>
        <v>0</v>
      </c>
      <c r="AI20" s="288">
        <f t="shared" si="9"/>
        <v>0</v>
      </c>
      <c r="AJ20" s="288">
        <f t="shared" si="9"/>
        <v>0</v>
      </c>
      <c r="AK20" s="288">
        <f t="shared" si="9"/>
        <v>0</v>
      </c>
      <c r="AL20" s="288">
        <f t="shared" si="9"/>
        <v>0</v>
      </c>
      <c r="AM20" s="288">
        <f t="shared" si="9"/>
        <v>0</v>
      </c>
      <c r="AN20" s="288">
        <f t="shared" si="9"/>
        <v>0</v>
      </c>
      <c r="AO20" s="288">
        <f t="shared" si="9"/>
        <v>0</v>
      </c>
      <c r="AP20" s="288">
        <f t="shared" si="9"/>
        <v>0</v>
      </c>
      <c r="AQ20" s="288">
        <f t="shared" si="9"/>
        <v>0</v>
      </c>
      <c r="AR20" s="288">
        <f t="shared" si="9"/>
        <v>0</v>
      </c>
      <c r="AS20" s="288">
        <f t="shared" si="9"/>
        <v>0</v>
      </c>
      <c r="AT20" s="288">
        <f t="shared" si="9"/>
        <v>0</v>
      </c>
      <c r="AU20" s="288">
        <f t="shared" si="9"/>
        <v>0</v>
      </c>
      <c r="AV20" s="288">
        <f t="shared" si="9"/>
        <v>0</v>
      </c>
      <c r="AW20" s="288">
        <f t="shared" si="9"/>
        <v>0</v>
      </c>
      <c r="AX20" s="288">
        <f t="shared" si="9"/>
        <v>0</v>
      </c>
      <c r="AY20" s="288">
        <f t="shared" si="10"/>
        <v>0</v>
      </c>
      <c r="AZ20" s="288">
        <f t="shared" si="10"/>
        <v>0</v>
      </c>
      <c r="BA20" s="288">
        <f t="shared" si="10"/>
        <v>0</v>
      </c>
      <c r="BB20" s="288">
        <f t="shared" si="10"/>
        <v>0</v>
      </c>
      <c r="BC20" s="288">
        <f t="shared" si="10"/>
        <v>0</v>
      </c>
      <c r="BD20" s="288">
        <f t="shared" si="10"/>
        <v>0</v>
      </c>
      <c r="BE20" s="288">
        <f t="shared" si="10"/>
        <v>0</v>
      </c>
      <c r="BF20" s="288">
        <f t="shared" si="10"/>
        <v>0</v>
      </c>
      <c r="BG20" s="288">
        <f t="shared" si="10"/>
        <v>0</v>
      </c>
      <c r="BH20" s="288">
        <f t="shared" si="10"/>
        <v>0</v>
      </c>
      <c r="BI20" s="288">
        <f t="shared" si="10"/>
        <v>0</v>
      </c>
      <c r="BJ20" s="288">
        <f t="shared" si="10"/>
        <v>0</v>
      </c>
      <c r="BK20" s="288">
        <f t="shared" si="10"/>
        <v>0</v>
      </c>
      <c r="BL20" s="288">
        <f t="shared" si="10"/>
        <v>0</v>
      </c>
      <c r="BM20" s="288">
        <f t="shared" si="10"/>
        <v>0</v>
      </c>
      <c r="BN20" s="288">
        <f t="shared" si="10"/>
        <v>0</v>
      </c>
      <c r="BO20" s="288">
        <f t="shared" si="7"/>
        <v>0</v>
      </c>
      <c r="BP20" s="288">
        <f t="shared" si="7"/>
        <v>0</v>
      </c>
      <c r="BQ20" s="288">
        <f t="shared" si="7"/>
        <v>0</v>
      </c>
      <c r="BR20" s="288">
        <f t="shared" si="7"/>
        <v>0</v>
      </c>
      <c r="BS20" s="288">
        <f t="shared" si="11"/>
        <v>0</v>
      </c>
      <c r="BT20" s="288">
        <f t="shared" si="11"/>
        <v>0</v>
      </c>
      <c r="BU20" s="288">
        <f t="shared" si="11"/>
        <v>0</v>
      </c>
      <c r="BV20" s="288">
        <f t="shared" si="11"/>
        <v>0</v>
      </c>
      <c r="BW20" s="288">
        <f t="shared" si="11"/>
        <v>0</v>
      </c>
      <c r="BX20" s="288">
        <f t="shared" si="11"/>
        <v>0</v>
      </c>
      <c r="BY20" s="288">
        <f t="shared" si="11"/>
        <v>0</v>
      </c>
      <c r="BZ20" s="288">
        <f t="shared" si="11"/>
        <v>0</v>
      </c>
      <c r="CA20" s="288">
        <f t="shared" si="11"/>
        <v>0</v>
      </c>
      <c r="CB20" s="288">
        <f t="shared" si="11"/>
        <v>0</v>
      </c>
      <c r="CC20" s="288">
        <f t="shared" si="11"/>
        <v>0</v>
      </c>
      <c r="CD20" s="288">
        <f t="shared" si="11"/>
        <v>0</v>
      </c>
      <c r="CE20" s="288">
        <f t="shared" si="11"/>
        <v>0</v>
      </c>
      <c r="CF20" s="288">
        <f t="shared" si="11"/>
        <v>0</v>
      </c>
      <c r="CG20" s="288">
        <f t="shared" si="11"/>
        <v>0</v>
      </c>
      <c r="CH20" s="288">
        <f t="shared" si="11"/>
        <v>0</v>
      </c>
      <c r="CI20" s="288">
        <f t="shared" si="12"/>
        <v>0</v>
      </c>
      <c r="CJ20" s="288">
        <f t="shared" si="12"/>
        <v>0</v>
      </c>
      <c r="CK20" s="288">
        <f t="shared" si="12"/>
        <v>0</v>
      </c>
      <c r="CL20" s="288">
        <f t="shared" si="12"/>
        <v>0</v>
      </c>
      <c r="CM20" s="288">
        <f t="shared" si="12"/>
        <v>0</v>
      </c>
      <c r="CN20" s="288">
        <f t="shared" si="12"/>
        <v>0</v>
      </c>
      <c r="CO20" s="288">
        <f t="shared" si="12"/>
        <v>0</v>
      </c>
      <c r="CP20" s="288">
        <f t="shared" si="12"/>
        <v>0</v>
      </c>
      <c r="CQ20" s="288">
        <f t="shared" si="12"/>
        <v>0</v>
      </c>
      <c r="CR20" s="288">
        <f t="shared" si="12"/>
        <v>0</v>
      </c>
      <c r="CS20" s="288">
        <f t="shared" si="12"/>
        <v>0</v>
      </c>
      <c r="CT20" s="288">
        <f t="shared" si="12"/>
        <v>0</v>
      </c>
      <c r="CU20" s="288">
        <f t="shared" si="12"/>
        <v>0</v>
      </c>
      <c r="CV20" s="288">
        <f t="shared" si="12"/>
        <v>0</v>
      </c>
      <c r="CW20" s="288">
        <f t="shared" si="12"/>
        <v>0</v>
      </c>
      <c r="CX20" s="288">
        <f t="shared" si="12"/>
        <v>0</v>
      </c>
      <c r="CY20" s="288">
        <f t="shared" si="13"/>
        <v>0</v>
      </c>
      <c r="CZ20" s="288">
        <f t="shared" si="13"/>
        <v>0</v>
      </c>
      <c r="DA20" s="288">
        <f t="shared" si="13"/>
        <v>0</v>
      </c>
      <c r="DB20" s="288">
        <f t="shared" si="13"/>
        <v>0</v>
      </c>
      <c r="DC20" s="288">
        <f t="shared" si="13"/>
        <v>0</v>
      </c>
      <c r="DD20" s="288">
        <f t="shared" si="13"/>
        <v>0</v>
      </c>
      <c r="DE20" s="288">
        <f t="shared" si="13"/>
        <v>0</v>
      </c>
      <c r="DG20" s="314">
        <f t="shared" si="3"/>
        <v>17</v>
      </c>
      <c r="DH20" s="289">
        <f>MAX(T$3:T$109)</f>
        <v>17</v>
      </c>
      <c r="DJ20" s="288">
        <f>LOOKUP(DH20, 'Mortality Table'!A:A,('Mortality Table'!J:J/'Mortality Table'!I:I))</f>
        <v>8.0288640791894845E-4</v>
      </c>
      <c r="DK20" s="288">
        <f>LOOKUP(A20, 'Mortality Table'!A:A,('Mortality Table'!J:J/'Mortality Table'!I:I))</f>
        <v>8.0288640791894845E-4</v>
      </c>
      <c r="DL20" s="288">
        <f t="shared" si="4"/>
        <v>0</v>
      </c>
      <c r="DN20" s="288">
        <f>LOOKUP(DH20, 'Mortality Table'!A:A,('Mortality Table'!L:L/'Mortality Table'!K:K))</f>
        <v>8.1329141744586483E-4</v>
      </c>
      <c r="DO20" s="288">
        <f>LOOKUP(A20, 'Mortality Table'!A:A,('Mortality Table'!L:L/'Mortality Table'!K:K))</f>
        <v>8.1329141744586483E-4</v>
      </c>
      <c r="DP20" s="288">
        <f t="shared" si="5"/>
        <v>0</v>
      </c>
      <c r="DR20" s="288">
        <f>LOOKUP(DH20, 'Mortality Table'!A:A,('Mortality Table'!N:N/'Mortality Table'!M:M))</f>
        <v>8.3156991131493941E-4</v>
      </c>
      <c r="DS20" s="288">
        <f>LOOKUP(A20, 'Mortality Table'!A:A,('Mortality Table'!N:N/'Mortality Table'!M:M))</f>
        <v>8.3156991131493941E-4</v>
      </c>
      <c r="DT20" s="288">
        <f t="shared" si="6"/>
        <v>0</v>
      </c>
    </row>
    <row r="21" spans="1:124">
      <c r="A21" s="288">
        <v>18</v>
      </c>
      <c r="B21" s="288">
        <v>1.1571254567600488E-3</v>
      </c>
      <c r="C21" s="288">
        <f t="shared" si="2"/>
        <v>0</v>
      </c>
      <c r="D21" s="288">
        <f t="shared" si="2"/>
        <v>0</v>
      </c>
      <c r="E21" s="288">
        <f t="shared" si="2"/>
        <v>0</v>
      </c>
      <c r="F21" s="288">
        <f t="shared" si="2"/>
        <v>0</v>
      </c>
      <c r="G21" s="288">
        <f t="shared" si="2"/>
        <v>0</v>
      </c>
      <c r="H21" s="288">
        <f t="shared" si="2"/>
        <v>0</v>
      </c>
      <c r="I21" s="288">
        <f t="shared" si="2"/>
        <v>0</v>
      </c>
      <c r="J21" s="288">
        <f t="shared" si="2"/>
        <v>0</v>
      </c>
      <c r="K21" s="288">
        <f t="shared" si="2"/>
        <v>0</v>
      </c>
      <c r="L21" s="288">
        <f t="shared" si="2"/>
        <v>0</v>
      </c>
      <c r="M21" s="288">
        <f t="shared" si="2"/>
        <v>0</v>
      </c>
      <c r="N21" s="288">
        <f t="shared" si="2"/>
        <v>0</v>
      </c>
      <c r="O21" s="288">
        <f t="shared" si="2"/>
        <v>0</v>
      </c>
      <c r="P21" s="288">
        <f t="shared" si="2"/>
        <v>0</v>
      </c>
      <c r="Q21" s="288">
        <f t="shared" si="2"/>
        <v>0</v>
      </c>
      <c r="R21" s="288">
        <f t="shared" si="2"/>
        <v>0</v>
      </c>
      <c r="S21" s="288">
        <f t="shared" si="8"/>
        <v>0</v>
      </c>
      <c r="T21" s="288">
        <f t="shared" si="8"/>
        <v>0</v>
      </c>
      <c r="U21" s="288">
        <f t="shared" si="8"/>
        <v>18</v>
      </c>
      <c r="V21" s="288">
        <f t="shared" si="8"/>
        <v>0</v>
      </c>
      <c r="W21" s="288">
        <f t="shared" si="8"/>
        <v>0</v>
      </c>
      <c r="X21" s="288">
        <f t="shared" si="8"/>
        <v>0</v>
      </c>
      <c r="Y21" s="288">
        <f t="shared" si="8"/>
        <v>0</v>
      </c>
      <c r="Z21" s="288">
        <f t="shared" si="8"/>
        <v>0</v>
      </c>
      <c r="AA21" s="288">
        <f t="shared" si="8"/>
        <v>0</v>
      </c>
      <c r="AB21" s="288">
        <f t="shared" si="8"/>
        <v>0</v>
      </c>
      <c r="AC21" s="288">
        <f t="shared" si="8"/>
        <v>0</v>
      </c>
      <c r="AD21" s="288">
        <f t="shared" si="8"/>
        <v>0</v>
      </c>
      <c r="AE21" s="288">
        <f t="shared" si="8"/>
        <v>0</v>
      </c>
      <c r="AF21" s="288">
        <f t="shared" si="8"/>
        <v>0</v>
      </c>
      <c r="AG21" s="288">
        <f t="shared" si="8"/>
        <v>0</v>
      </c>
      <c r="AH21" s="288">
        <f t="shared" si="8"/>
        <v>0</v>
      </c>
      <c r="AI21" s="288">
        <f t="shared" si="9"/>
        <v>0</v>
      </c>
      <c r="AJ21" s="288">
        <f t="shared" si="9"/>
        <v>0</v>
      </c>
      <c r="AK21" s="288">
        <f t="shared" si="9"/>
        <v>0</v>
      </c>
      <c r="AL21" s="288">
        <f t="shared" si="9"/>
        <v>0</v>
      </c>
      <c r="AM21" s="288">
        <f t="shared" si="9"/>
        <v>0</v>
      </c>
      <c r="AN21" s="288">
        <f t="shared" si="9"/>
        <v>0</v>
      </c>
      <c r="AO21" s="288">
        <f t="shared" si="9"/>
        <v>0</v>
      </c>
      <c r="AP21" s="288">
        <f t="shared" si="9"/>
        <v>0</v>
      </c>
      <c r="AQ21" s="288">
        <f t="shared" si="9"/>
        <v>0</v>
      </c>
      <c r="AR21" s="288">
        <f t="shared" si="9"/>
        <v>0</v>
      </c>
      <c r="AS21" s="288">
        <f t="shared" si="9"/>
        <v>0</v>
      </c>
      <c r="AT21" s="288">
        <f t="shared" si="9"/>
        <v>0</v>
      </c>
      <c r="AU21" s="288">
        <f t="shared" si="9"/>
        <v>0</v>
      </c>
      <c r="AV21" s="288">
        <f t="shared" si="9"/>
        <v>0</v>
      </c>
      <c r="AW21" s="288">
        <f t="shared" si="9"/>
        <v>0</v>
      </c>
      <c r="AX21" s="288">
        <f t="shared" si="9"/>
        <v>0</v>
      </c>
      <c r="AY21" s="288">
        <f t="shared" si="10"/>
        <v>0</v>
      </c>
      <c r="AZ21" s="288">
        <f t="shared" si="10"/>
        <v>0</v>
      </c>
      <c r="BA21" s="288">
        <f t="shared" si="10"/>
        <v>0</v>
      </c>
      <c r="BB21" s="288">
        <f t="shared" si="10"/>
        <v>0</v>
      </c>
      <c r="BC21" s="288">
        <f t="shared" si="10"/>
        <v>0</v>
      </c>
      <c r="BD21" s="288">
        <f t="shared" si="10"/>
        <v>0</v>
      </c>
      <c r="BE21" s="288">
        <f t="shared" si="10"/>
        <v>0</v>
      </c>
      <c r="BF21" s="288">
        <f t="shared" si="10"/>
        <v>0</v>
      </c>
      <c r="BG21" s="288">
        <f t="shared" si="10"/>
        <v>0</v>
      </c>
      <c r="BH21" s="288">
        <f t="shared" si="10"/>
        <v>0</v>
      </c>
      <c r="BI21" s="288">
        <f t="shared" si="10"/>
        <v>0</v>
      </c>
      <c r="BJ21" s="288">
        <f t="shared" si="10"/>
        <v>0</v>
      </c>
      <c r="BK21" s="288">
        <f t="shared" si="10"/>
        <v>0</v>
      </c>
      <c r="BL21" s="288">
        <f t="shared" si="10"/>
        <v>0</v>
      </c>
      <c r="BM21" s="288">
        <f t="shared" si="10"/>
        <v>0</v>
      </c>
      <c r="BN21" s="288">
        <f t="shared" si="10"/>
        <v>0</v>
      </c>
      <c r="BO21" s="288">
        <f t="shared" si="7"/>
        <v>0</v>
      </c>
      <c r="BP21" s="288">
        <f t="shared" si="7"/>
        <v>0</v>
      </c>
      <c r="BQ21" s="288">
        <f t="shared" si="7"/>
        <v>0</v>
      </c>
      <c r="BR21" s="288">
        <f t="shared" si="7"/>
        <v>0</v>
      </c>
      <c r="BS21" s="288">
        <f t="shared" si="11"/>
        <v>0</v>
      </c>
      <c r="BT21" s="288">
        <f t="shared" si="11"/>
        <v>0</v>
      </c>
      <c r="BU21" s="288">
        <f t="shared" si="11"/>
        <v>0</v>
      </c>
      <c r="BV21" s="288">
        <f t="shared" si="11"/>
        <v>0</v>
      </c>
      <c r="BW21" s="288">
        <f t="shared" si="11"/>
        <v>0</v>
      </c>
      <c r="BX21" s="288">
        <f t="shared" si="11"/>
        <v>0</v>
      </c>
      <c r="BY21" s="288">
        <f t="shared" si="11"/>
        <v>0</v>
      </c>
      <c r="BZ21" s="288">
        <f t="shared" si="11"/>
        <v>0</v>
      </c>
      <c r="CA21" s="288">
        <f t="shared" si="11"/>
        <v>0</v>
      </c>
      <c r="CB21" s="288">
        <f t="shared" si="11"/>
        <v>0</v>
      </c>
      <c r="CC21" s="288">
        <f t="shared" si="11"/>
        <v>0</v>
      </c>
      <c r="CD21" s="288">
        <f t="shared" si="11"/>
        <v>0</v>
      </c>
      <c r="CE21" s="288">
        <f t="shared" si="11"/>
        <v>0</v>
      </c>
      <c r="CF21" s="288">
        <f t="shared" si="11"/>
        <v>0</v>
      </c>
      <c r="CG21" s="288">
        <f t="shared" si="11"/>
        <v>0</v>
      </c>
      <c r="CH21" s="288">
        <f t="shared" si="11"/>
        <v>0</v>
      </c>
      <c r="CI21" s="288">
        <f t="shared" si="12"/>
        <v>0</v>
      </c>
      <c r="CJ21" s="288">
        <f t="shared" si="12"/>
        <v>0</v>
      </c>
      <c r="CK21" s="288">
        <f t="shared" si="12"/>
        <v>0</v>
      </c>
      <c r="CL21" s="288">
        <f t="shared" si="12"/>
        <v>0</v>
      </c>
      <c r="CM21" s="288">
        <f t="shared" si="12"/>
        <v>0</v>
      </c>
      <c r="CN21" s="288">
        <f t="shared" si="12"/>
        <v>0</v>
      </c>
      <c r="CO21" s="288">
        <f t="shared" si="12"/>
        <v>0</v>
      </c>
      <c r="CP21" s="288">
        <f t="shared" si="12"/>
        <v>0</v>
      </c>
      <c r="CQ21" s="288">
        <f t="shared" si="12"/>
        <v>0</v>
      </c>
      <c r="CR21" s="288">
        <f t="shared" si="12"/>
        <v>0</v>
      </c>
      <c r="CS21" s="288">
        <f t="shared" si="12"/>
        <v>0</v>
      </c>
      <c r="CT21" s="288">
        <f t="shared" si="12"/>
        <v>0</v>
      </c>
      <c r="CU21" s="288">
        <f t="shared" si="12"/>
        <v>0</v>
      </c>
      <c r="CV21" s="288">
        <f t="shared" si="12"/>
        <v>0</v>
      </c>
      <c r="CW21" s="288">
        <f t="shared" si="12"/>
        <v>0</v>
      </c>
      <c r="CX21" s="288">
        <f t="shared" si="12"/>
        <v>0</v>
      </c>
      <c r="CY21" s="288">
        <f t="shared" si="13"/>
        <v>0</v>
      </c>
      <c r="CZ21" s="288">
        <f t="shared" si="13"/>
        <v>0</v>
      </c>
      <c r="DA21" s="288">
        <f t="shared" si="13"/>
        <v>0</v>
      </c>
      <c r="DB21" s="288">
        <f t="shared" si="13"/>
        <v>0</v>
      </c>
      <c r="DC21" s="288">
        <f t="shared" si="13"/>
        <v>0</v>
      </c>
      <c r="DD21" s="288">
        <f t="shared" si="13"/>
        <v>0</v>
      </c>
      <c r="DE21" s="288">
        <f t="shared" si="13"/>
        <v>0</v>
      </c>
      <c r="DG21" s="314">
        <f t="shared" si="3"/>
        <v>18</v>
      </c>
      <c r="DH21" s="289">
        <f>MAX(U$3:U$109)</f>
        <v>18</v>
      </c>
      <c r="DJ21" s="288">
        <f>LOOKUP(DH21, 'Mortality Table'!A:A,('Mortality Table'!J:J/'Mortality Table'!I:I))</f>
        <v>1.0652203252173053E-3</v>
      </c>
      <c r="DK21" s="288">
        <f>LOOKUP(A21, 'Mortality Table'!A:A,('Mortality Table'!J:J/'Mortality Table'!I:I))</f>
        <v>1.0652203252173053E-3</v>
      </c>
      <c r="DL21" s="288">
        <f t="shared" si="4"/>
        <v>0</v>
      </c>
      <c r="DN21" s="288">
        <f>LOOKUP(DH21, 'Mortality Table'!A:A,('Mortality Table'!L:L/'Mortality Table'!K:K))</f>
        <v>1.0790250521660145E-3</v>
      </c>
      <c r="DO21" s="288">
        <f>LOOKUP(A21, 'Mortality Table'!A:A,('Mortality Table'!L:L/'Mortality Table'!K:K))</f>
        <v>1.0790250521660145E-3</v>
      </c>
      <c r="DP21" s="288">
        <f t="shared" si="5"/>
        <v>0</v>
      </c>
      <c r="DR21" s="288">
        <f>LOOKUP(DH21, 'Mortality Table'!A:A,('Mortality Table'!N:N/'Mortality Table'!M:M))</f>
        <v>1.1032758340844245E-3</v>
      </c>
      <c r="DS21" s="288">
        <f>LOOKUP(A21, 'Mortality Table'!A:A,('Mortality Table'!N:N/'Mortality Table'!M:M))</f>
        <v>1.1032758340844245E-3</v>
      </c>
      <c r="DT21" s="288">
        <f t="shared" si="6"/>
        <v>0</v>
      </c>
    </row>
    <row r="22" spans="1:124">
      <c r="A22" s="288">
        <v>19</v>
      </c>
      <c r="B22" s="288">
        <v>1.3108956770928602E-3</v>
      </c>
      <c r="C22" s="288">
        <f t="shared" si="2"/>
        <v>0</v>
      </c>
      <c r="D22" s="288">
        <f t="shared" si="2"/>
        <v>0</v>
      </c>
      <c r="E22" s="288">
        <f t="shared" si="2"/>
        <v>0</v>
      </c>
      <c r="F22" s="288">
        <f t="shared" si="2"/>
        <v>0</v>
      </c>
      <c r="G22" s="288">
        <f t="shared" si="2"/>
        <v>0</v>
      </c>
      <c r="H22" s="288">
        <f t="shared" si="2"/>
        <v>0</v>
      </c>
      <c r="I22" s="288">
        <f t="shared" si="2"/>
        <v>0</v>
      </c>
      <c r="J22" s="288">
        <f t="shared" si="2"/>
        <v>0</v>
      </c>
      <c r="K22" s="288">
        <f t="shared" si="2"/>
        <v>0</v>
      </c>
      <c r="L22" s="288">
        <f t="shared" si="2"/>
        <v>0</v>
      </c>
      <c r="M22" s="288">
        <f t="shared" si="2"/>
        <v>0</v>
      </c>
      <c r="N22" s="288">
        <f t="shared" si="2"/>
        <v>0</v>
      </c>
      <c r="O22" s="288">
        <f t="shared" ref="O22:AD38" si="14">IF(O$2&gt;$B22,(IF(O$2&lt;=$B23,(IF(AVERAGE($B22,$B23)&gt;O$2,$A22,$A23)),0)),0)</f>
        <v>0</v>
      </c>
      <c r="P22" s="288">
        <f t="shared" si="14"/>
        <v>0</v>
      </c>
      <c r="Q22" s="288">
        <f t="shared" si="14"/>
        <v>0</v>
      </c>
      <c r="R22" s="288">
        <f t="shared" si="14"/>
        <v>0</v>
      </c>
      <c r="S22" s="288">
        <f t="shared" si="8"/>
        <v>0</v>
      </c>
      <c r="T22" s="288">
        <f t="shared" si="8"/>
        <v>0</v>
      </c>
      <c r="U22" s="288">
        <f t="shared" si="8"/>
        <v>0</v>
      </c>
      <c r="V22" s="288">
        <f t="shared" si="8"/>
        <v>19</v>
      </c>
      <c r="W22" s="288">
        <f t="shared" si="8"/>
        <v>0</v>
      </c>
      <c r="X22" s="288">
        <f t="shared" si="8"/>
        <v>0</v>
      </c>
      <c r="Y22" s="288">
        <f t="shared" si="8"/>
        <v>0</v>
      </c>
      <c r="Z22" s="288">
        <f t="shared" si="8"/>
        <v>0</v>
      </c>
      <c r="AA22" s="288">
        <f t="shared" si="8"/>
        <v>0</v>
      </c>
      <c r="AB22" s="288">
        <f t="shared" si="8"/>
        <v>0</v>
      </c>
      <c r="AC22" s="288">
        <f t="shared" si="8"/>
        <v>0</v>
      </c>
      <c r="AD22" s="288">
        <f t="shared" si="8"/>
        <v>0</v>
      </c>
      <c r="AE22" s="288">
        <f t="shared" si="8"/>
        <v>0</v>
      </c>
      <c r="AF22" s="288">
        <f t="shared" si="8"/>
        <v>0</v>
      </c>
      <c r="AG22" s="288">
        <f t="shared" si="8"/>
        <v>0</v>
      </c>
      <c r="AH22" s="288">
        <f t="shared" ref="AH22:AW38" si="15">IF(AH$2&gt;$B22,(IF(AH$2&lt;=$B23,(IF(AVERAGE($B22,$B23)&gt;AH$2,$A22,$A23)),0)),0)</f>
        <v>0</v>
      </c>
      <c r="AI22" s="288">
        <f t="shared" si="9"/>
        <v>0</v>
      </c>
      <c r="AJ22" s="288">
        <f t="shared" si="9"/>
        <v>0</v>
      </c>
      <c r="AK22" s="288">
        <f t="shared" si="9"/>
        <v>0</v>
      </c>
      <c r="AL22" s="288">
        <f t="shared" si="9"/>
        <v>0</v>
      </c>
      <c r="AM22" s="288">
        <f t="shared" si="9"/>
        <v>0</v>
      </c>
      <c r="AN22" s="288">
        <f t="shared" si="9"/>
        <v>0</v>
      </c>
      <c r="AO22" s="288">
        <f t="shared" si="9"/>
        <v>0</v>
      </c>
      <c r="AP22" s="288">
        <f t="shared" si="9"/>
        <v>0</v>
      </c>
      <c r="AQ22" s="288">
        <f t="shared" si="9"/>
        <v>0</v>
      </c>
      <c r="AR22" s="288">
        <f t="shared" si="9"/>
        <v>0</v>
      </c>
      <c r="AS22" s="288">
        <f t="shared" si="9"/>
        <v>0</v>
      </c>
      <c r="AT22" s="288">
        <f t="shared" si="9"/>
        <v>0</v>
      </c>
      <c r="AU22" s="288">
        <f t="shared" si="9"/>
        <v>0</v>
      </c>
      <c r="AV22" s="288">
        <f t="shared" si="9"/>
        <v>0</v>
      </c>
      <c r="AW22" s="288">
        <f t="shared" si="9"/>
        <v>0</v>
      </c>
      <c r="AX22" s="288">
        <f t="shared" ref="AX22:BM38" si="16">IF(AX$2&gt;$B22,(IF(AX$2&lt;=$B23,(IF(AVERAGE($B22,$B23)&gt;AX$2,$A22,$A23)),0)),0)</f>
        <v>0</v>
      </c>
      <c r="AY22" s="288">
        <f t="shared" si="10"/>
        <v>0</v>
      </c>
      <c r="AZ22" s="288">
        <f t="shared" si="10"/>
        <v>0</v>
      </c>
      <c r="BA22" s="288">
        <f t="shared" si="10"/>
        <v>0</v>
      </c>
      <c r="BB22" s="288">
        <f t="shared" si="10"/>
        <v>0</v>
      </c>
      <c r="BC22" s="288">
        <f t="shared" si="10"/>
        <v>0</v>
      </c>
      <c r="BD22" s="288">
        <f t="shared" si="10"/>
        <v>0</v>
      </c>
      <c r="BE22" s="288">
        <f t="shared" si="10"/>
        <v>0</v>
      </c>
      <c r="BF22" s="288">
        <f t="shared" si="10"/>
        <v>0</v>
      </c>
      <c r="BG22" s="288">
        <f t="shared" si="10"/>
        <v>0</v>
      </c>
      <c r="BH22" s="288">
        <f t="shared" si="10"/>
        <v>0</v>
      </c>
      <c r="BI22" s="288">
        <f t="shared" si="10"/>
        <v>0</v>
      </c>
      <c r="BJ22" s="288">
        <f t="shared" si="10"/>
        <v>0</v>
      </c>
      <c r="BK22" s="288">
        <f t="shared" si="10"/>
        <v>0</v>
      </c>
      <c r="BL22" s="288">
        <f t="shared" si="10"/>
        <v>0</v>
      </c>
      <c r="BM22" s="288">
        <f t="shared" si="10"/>
        <v>0</v>
      </c>
      <c r="BN22" s="288">
        <f t="shared" ref="BN22:CC51" si="17">IF(BN$2&gt;$B22,(IF(BN$2&lt;=$B23,(IF(AVERAGE($B22,$B23)&gt;BN$2,$A22,$A23)),0)),0)</f>
        <v>0</v>
      </c>
      <c r="BO22" s="288">
        <f t="shared" si="7"/>
        <v>0</v>
      </c>
      <c r="BP22" s="288">
        <f t="shared" si="7"/>
        <v>0</v>
      </c>
      <c r="BQ22" s="288">
        <f t="shared" si="7"/>
        <v>0</v>
      </c>
      <c r="BR22" s="288">
        <f t="shared" si="7"/>
        <v>0</v>
      </c>
      <c r="BS22" s="288">
        <f t="shared" si="11"/>
        <v>0</v>
      </c>
      <c r="BT22" s="288">
        <f t="shared" si="11"/>
        <v>0</v>
      </c>
      <c r="BU22" s="288">
        <f t="shared" si="11"/>
        <v>0</v>
      </c>
      <c r="BV22" s="288">
        <f t="shared" si="11"/>
        <v>0</v>
      </c>
      <c r="BW22" s="288">
        <f t="shared" si="11"/>
        <v>0</v>
      </c>
      <c r="BX22" s="288">
        <f t="shared" si="11"/>
        <v>0</v>
      </c>
      <c r="BY22" s="288">
        <f t="shared" si="11"/>
        <v>0</v>
      </c>
      <c r="BZ22" s="288">
        <f t="shared" si="11"/>
        <v>0</v>
      </c>
      <c r="CA22" s="288">
        <f t="shared" si="11"/>
        <v>0</v>
      </c>
      <c r="CB22" s="288">
        <f t="shared" si="11"/>
        <v>0</v>
      </c>
      <c r="CC22" s="288">
        <f t="shared" si="11"/>
        <v>0</v>
      </c>
      <c r="CD22" s="288">
        <f t="shared" si="11"/>
        <v>0</v>
      </c>
      <c r="CE22" s="288">
        <f t="shared" si="11"/>
        <v>0</v>
      </c>
      <c r="CF22" s="288">
        <f t="shared" si="11"/>
        <v>0</v>
      </c>
      <c r="CG22" s="288">
        <f t="shared" si="11"/>
        <v>0</v>
      </c>
      <c r="CH22" s="288">
        <f t="shared" si="11"/>
        <v>0</v>
      </c>
      <c r="CI22" s="288">
        <f t="shared" si="12"/>
        <v>0</v>
      </c>
      <c r="CJ22" s="288">
        <f t="shared" si="12"/>
        <v>0</v>
      </c>
      <c r="CK22" s="288">
        <f t="shared" si="12"/>
        <v>0</v>
      </c>
      <c r="CL22" s="288">
        <f t="shared" si="12"/>
        <v>0</v>
      </c>
      <c r="CM22" s="288">
        <f t="shared" si="12"/>
        <v>0</v>
      </c>
      <c r="CN22" s="288">
        <f t="shared" si="12"/>
        <v>0</v>
      </c>
      <c r="CO22" s="288">
        <f t="shared" si="12"/>
        <v>0</v>
      </c>
      <c r="CP22" s="288">
        <f t="shared" si="12"/>
        <v>0</v>
      </c>
      <c r="CQ22" s="288">
        <f t="shared" si="12"/>
        <v>0</v>
      </c>
      <c r="CR22" s="288">
        <f t="shared" si="12"/>
        <v>0</v>
      </c>
      <c r="CS22" s="288">
        <f t="shared" si="12"/>
        <v>0</v>
      </c>
      <c r="CT22" s="288">
        <f t="shared" si="12"/>
        <v>0</v>
      </c>
      <c r="CU22" s="288">
        <f t="shared" si="12"/>
        <v>0</v>
      </c>
      <c r="CV22" s="288">
        <f t="shared" si="12"/>
        <v>0</v>
      </c>
      <c r="CW22" s="288">
        <f t="shared" si="12"/>
        <v>0</v>
      </c>
      <c r="CX22" s="288">
        <f t="shared" si="12"/>
        <v>0</v>
      </c>
      <c r="CY22" s="288">
        <f t="shared" si="13"/>
        <v>0</v>
      </c>
      <c r="CZ22" s="288">
        <f t="shared" si="13"/>
        <v>0</v>
      </c>
      <c r="DA22" s="288">
        <f t="shared" si="13"/>
        <v>0</v>
      </c>
      <c r="DB22" s="288">
        <f t="shared" si="13"/>
        <v>0</v>
      </c>
      <c r="DC22" s="288">
        <f t="shared" si="13"/>
        <v>0</v>
      </c>
      <c r="DD22" s="288">
        <f t="shared" si="13"/>
        <v>0</v>
      </c>
      <c r="DE22" s="288">
        <f t="shared" si="13"/>
        <v>0</v>
      </c>
      <c r="DG22" s="314">
        <f t="shared" si="3"/>
        <v>19</v>
      </c>
      <c r="DH22" s="289">
        <f>MAX(V$3:V$109)</f>
        <v>19</v>
      </c>
      <c r="DJ22" s="288">
        <f>LOOKUP(DH22, 'Mortality Table'!A:A,('Mortality Table'!J:J/'Mortality Table'!I:I))</f>
        <v>1.2067772870443241E-3</v>
      </c>
      <c r="DK22" s="288">
        <f>LOOKUP(A22, 'Mortality Table'!A:A,('Mortality Table'!J:J/'Mortality Table'!I:I))</f>
        <v>1.2067772870443241E-3</v>
      </c>
      <c r="DL22" s="288">
        <f t="shared" si="4"/>
        <v>0</v>
      </c>
      <c r="DN22" s="288">
        <f>LOOKUP(DH22, 'Mortality Table'!A:A,('Mortality Table'!L:L/'Mortality Table'!K:K))</f>
        <v>1.2224165219905335E-3</v>
      </c>
      <c r="DO22" s="288">
        <f>LOOKUP(A22, 'Mortality Table'!A:A,('Mortality Table'!L:L/'Mortality Table'!K:K))</f>
        <v>1.2224165219905335E-3</v>
      </c>
      <c r="DP22" s="288">
        <f t="shared" si="5"/>
        <v>0</v>
      </c>
      <c r="DR22" s="288">
        <f>LOOKUP(DH22, 'Mortality Table'!A:A,('Mortality Table'!N:N/'Mortality Table'!M:M))</f>
        <v>1.2498899865118122E-3</v>
      </c>
      <c r="DS22" s="288">
        <f>LOOKUP(A22, 'Mortality Table'!A:A,('Mortality Table'!N:N/'Mortality Table'!M:M))</f>
        <v>1.2498899865118122E-3</v>
      </c>
      <c r="DT22" s="288">
        <f t="shared" si="6"/>
        <v>0</v>
      </c>
    </row>
    <row r="23" spans="1:124">
      <c r="A23" s="288">
        <v>20</v>
      </c>
      <c r="B23" s="288">
        <v>1.4245449087782493E-3</v>
      </c>
      <c r="C23" s="288">
        <f t="shared" ref="C23:R42" si="18">IF(C$2&gt;$B23,(IF(C$2&lt;=$B24,(IF(AVERAGE($B23,$B24)&gt;C$2,$A23,$A24)),0)),0)</f>
        <v>0</v>
      </c>
      <c r="D23" s="288">
        <f t="shared" si="18"/>
        <v>0</v>
      </c>
      <c r="E23" s="288">
        <f t="shared" si="18"/>
        <v>0</v>
      </c>
      <c r="F23" s="288">
        <f t="shared" si="18"/>
        <v>0</v>
      </c>
      <c r="G23" s="288">
        <f t="shared" si="18"/>
        <v>0</v>
      </c>
      <c r="H23" s="288">
        <f t="shared" si="18"/>
        <v>0</v>
      </c>
      <c r="I23" s="288">
        <f t="shared" si="18"/>
        <v>0</v>
      </c>
      <c r="J23" s="288">
        <f t="shared" si="18"/>
        <v>0</v>
      </c>
      <c r="K23" s="288">
        <f t="shared" si="18"/>
        <v>0</v>
      </c>
      <c r="L23" s="288">
        <f t="shared" si="18"/>
        <v>0</v>
      </c>
      <c r="M23" s="288">
        <f t="shared" si="18"/>
        <v>0</v>
      </c>
      <c r="N23" s="288">
        <f t="shared" si="18"/>
        <v>0</v>
      </c>
      <c r="O23" s="288">
        <f t="shared" si="14"/>
        <v>0</v>
      </c>
      <c r="P23" s="288">
        <f t="shared" si="14"/>
        <v>0</v>
      </c>
      <c r="Q23" s="288">
        <f t="shared" si="14"/>
        <v>0</v>
      </c>
      <c r="R23" s="288">
        <f t="shared" si="14"/>
        <v>0</v>
      </c>
      <c r="S23" s="288">
        <f t="shared" si="14"/>
        <v>0</v>
      </c>
      <c r="T23" s="288">
        <f t="shared" si="14"/>
        <v>0</v>
      </c>
      <c r="U23" s="288">
        <f t="shared" si="14"/>
        <v>0</v>
      </c>
      <c r="V23" s="288">
        <f t="shared" si="14"/>
        <v>0</v>
      </c>
      <c r="W23" s="288">
        <f t="shared" si="14"/>
        <v>20</v>
      </c>
      <c r="X23" s="288">
        <f t="shared" si="14"/>
        <v>0</v>
      </c>
      <c r="Y23" s="288">
        <f t="shared" si="14"/>
        <v>0</v>
      </c>
      <c r="Z23" s="288">
        <f t="shared" si="14"/>
        <v>0</v>
      </c>
      <c r="AA23" s="288">
        <f t="shared" si="14"/>
        <v>0</v>
      </c>
      <c r="AB23" s="288">
        <f t="shared" si="14"/>
        <v>0</v>
      </c>
      <c r="AC23" s="288">
        <f t="shared" si="14"/>
        <v>0</v>
      </c>
      <c r="AD23" s="288">
        <f t="shared" si="14"/>
        <v>0</v>
      </c>
      <c r="AE23" s="288">
        <f t="shared" ref="AE23:AT51" si="19">IF(AE$2&gt;$B23,(IF(AE$2&lt;=$B24,(IF(AVERAGE($B23,$B24)&gt;AE$2,$A23,$A24)),0)),0)</f>
        <v>0</v>
      </c>
      <c r="AF23" s="288">
        <f t="shared" si="19"/>
        <v>0</v>
      </c>
      <c r="AG23" s="288">
        <f t="shared" si="19"/>
        <v>0</v>
      </c>
      <c r="AH23" s="288">
        <f t="shared" si="15"/>
        <v>0</v>
      </c>
      <c r="AI23" s="288">
        <f t="shared" si="15"/>
        <v>0</v>
      </c>
      <c r="AJ23" s="288">
        <f t="shared" si="15"/>
        <v>0</v>
      </c>
      <c r="AK23" s="288">
        <f t="shared" si="15"/>
        <v>0</v>
      </c>
      <c r="AL23" s="288">
        <f t="shared" si="15"/>
        <v>0</v>
      </c>
      <c r="AM23" s="288">
        <f t="shared" si="15"/>
        <v>0</v>
      </c>
      <c r="AN23" s="288">
        <f t="shared" si="15"/>
        <v>0</v>
      </c>
      <c r="AO23" s="288">
        <f t="shared" si="15"/>
        <v>0</v>
      </c>
      <c r="AP23" s="288">
        <f t="shared" si="15"/>
        <v>0</v>
      </c>
      <c r="AQ23" s="288">
        <f t="shared" si="15"/>
        <v>0</v>
      </c>
      <c r="AR23" s="288">
        <f t="shared" si="15"/>
        <v>0</v>
      </c>
      <c r="AS23" s="288">
        <f t="shared" si="15"/>
        <v>0</v>
      </c>
      <c r="AT23" s="288">
        <f t="shared" si="15"/>
        <v>0</v>
      </c>
      <c r="AU23" s="288">
        <f t="shared" si="15"/>
        <v>0</v>
      </c>
      <c r="AV23" s="288">
        <f t="shared" si="15"/>
        <v>0</v>
      </c>
      <c r="AW23" s="288">
        <f t="shared" si="15"/>
        <v>0</v>
      </c>
      <c r="AX23" s="288">
        <f t="shared" si="16"/>
        <v>0</v>
      </c>
      <c r="AY23" s="288">
        <f t="shared" si="16"/>
        <v>0</v>
      </c>
      <c r="AZ23" s="288">
        <f t="shared" si="16"/>
        <v>0</v>
      </c>
      <c r="BA23" s="288">
        <f t="shared" si="16"/>
        <v>0</v>
      </c>
      <c r="BB23" s="288">
        <f t="shared" si="16"/>
        <v>0</v>
      </c>
      <c r="BC23" s="288">
        <f t="shared" si="16"/>
        <v>0</v>
      </c>
      <c r="BD23" s="288">
        <f t="shared" si="16"/>
        <v>0</v>
      </c>
      <c r="BE23" s="288">
        <f t="shared" si="16"/>
        <v>0</v>
      </c>
      <c r="BF23" s="288">
        <f t="shared" si="16"/>
        <v>0</v>
      </c>
      <c r="BG23" s="288">
        <f t="shared" si="16"/>
        <v>0</v>
      </c>
      <c r="BH23" s="288">
        <f t="shared" si="16"/>
        <v>0</v>
      </c>
      <c r="BI23" s="288">
        <f t="shared" si="16"/>
        <v>0</v>
      </c>
      <c r="BJ23" s="288">
        <f t="shared" si="16"/>
        <v>0</v>
      </c>
      <c r="BK23" s="288">
        <f t="shared" si="16"/>
        <v>0</v>
      </c>
      <c r="BL23" s="288">
        <f t="shared" si="16"/>
        <v>0</v>
      </c>
      <c r="BM23" s="288">
        <f t="shared" si="16"/>
        <v>0</v>
      </c>
      <c r="BN23" s="288">
        <f t="shared" si="17"/>
        <v>0</v>
      </c>
      <c r="BO23" s="288">
        <f t="shared" si="7"/>
        <v>0</v>
      </c>
      <c r="BP23" s="288">
        <f t="shared" si="7"/>
        <v>0</v>
      </c>
      <c r="BQ23" s="288">
        <f t="shared" si="7"/>
        <v>0</v>
      </c>
      <c r="BR23" s="288">
        <f t="shared" si="7"/>
        <v>0</v>
      </c>
      <c r="BS23" s="288">
        <f t="shared" si="11"/>
        <v>0</v>
      </c>
      <c r="BT23" s="288">
        <f t="shared" si="11"/>
        <v>0</v>
      </c>
      <c r="BU23" s="288">
        <f t="shared" si="11"/>
        <v>0</v>
      </c>
      <c r="BV23" s="288">
        <f t="shared" si="11"/>
        <v>0</v>
      </c>
      <c r="BW23" s="288">
        <f t="shared" si="11"/>
        <v>0</v>
      </c>
      <c r="BX23" s="288">
        <f t="shared" si="11"/>
        <v>0</v>
      </c>
      <c r="BY23" s="288">
        <f t="shared" si="11"/>
        <v>0</v>
      </c>
      <c r="BZ23" s="288">
        <f t="shared" si="11"/>
        <v>0</v>
      </c>
      <c r="CA23" s="288">
        <f t="shared" si="11"/>
        <v>0</v>
      </c>
      <c r="CB23" s="288">
        <f t="shared" si="11"/>
        <v>0</v>
      </c>
      <c r="CC23" s="288">
        <f t="shared" si="11"/>
        <v>0</v>
      </c>
      <c r="CD23" s="288">
        <f t="shared" si="11"/>
        <v>0</v>
      </c>
      <c r="CE23" s="288">
        <f t="shared" si="11"/>
        <v>0</v>
      </c>
      <c r="CF23" s="288">
        <f t="shared" si="11"/>
        <v>0</v>
      </c>
      <c r="CG23" s="288">
        <f t="shared" si="11"/>
        <v>0</v>
      </c>
      <c r="CH23" s="288">
        <f t="shared" si="11"/>
        <v>0</v>
      </c>
      <c r="CI23" s="288">
        <f t="shared" si="12"/>
        <v>0</v>
      </c>
      <c r="CJ23" s="288">
        <f t="shared" si="12"/>
        <v>0</v>
      </c>
      <c r="CK23" s="288">
        <f t="shared" si="12"/>
        <v>0</v>
      </c>
      <c r="CL23" s="288">
        <f t="shared" si="12"/>
        <v>0</v>
      </c>
      <c r="CM23" s="288">
        <f t="shared" si="12"/>
        <v>0</v>
      </c>
      <c r="CN23" s="288">
        <f t="shared" si="12"/>
        <v>0</v>
      </c>
      <c r="CO23" s="288">
        <f t="shared" si="12"/>
        <v>0</v>
      </c>
      <c r="CP23" s="288">
        <f t="shared" si="12"/>
        <v>0</v>
      </c>
      <c r="CQ23" s="288">
        <f t="shared" si="12"/>
        <v>0</v>
      </c>
      <c r="CR23" s="288">
        <f t="shared" si="12"/>
        <v>0</v>
      </c>
      <c r="CS23" s="288">
        <f t="shared" si="12"/>
        <v>0</v>
      </c>
      <c r="CT23" s="288">
        <f t="shared" si="12"/>
        <v>0</v>
      </c>
      <c r="CU23" s="288">
        <f t="shared" si="12"/>
        <v>0</v>
      </c>
      <c r="CV23" s="288">
        <f t="shared" si="12"/>
        <v>0</v>
      </c>
      <c r="CW23" s="288">
        <f t="shared" si="12"/>
        <v>0</v>
      </c>
      <c r="CX23" s="288">
        <f t="shared" si="12"/>
        <v>0</v>
      </c>
      <c r="CY23" s="288">
        <f t="shared" si="13"/>
        <v>0</v>
      </c>
      <c r="CZ23" s="288">
        <f t="shared" si="13"/>
        <v>0</v>
      </c>
      <c r="DA23" s="288">
        <f t="shared" si="13"/>
        <v>0</v>
      </c>
      <c r="DB23" s="288">
        <f t="shared" si="13"/>
        <v>0</v>
      </c>
      <c r="DC23" s="288">
        <f t="shared" si="13"/>
        <v>0</v>
      </c>
      <c r="DD23" s="288">
        <f t="shared" si="13"/>
        <v>0</v>
      </c>
      <c r="DE23" s="288">
        <f t="shared" si="13"/>
        <v>0</v>
      </c>
      <c r="DG23" s="314">
        <f t="shared" si="3"/>
        <v>20</v>
      </c>
      <c r="DH23" s="289">
        <f>MAX(W$3:W$109)</f>
        <v>20</v>
      </c>
      <c r="DJ23" s="288">
        <f>LOOKUP(DH23, 'Mortality Table'!A:A,('Mortality Table'!J:J/'Mortality Table'!I:I))</f>
        <v>1.3113998850775392E-3</v>
      </c>
      <c r="DK23" s="288">
        <f>LOOKUP(A23, 'Mortality Table'!A:A,('Mortality Table'!J:J/'Mortality Table'!I:I))</f>
        <v>1.3113998850775392E-3</v>
      </c>
      <c r="DL23" s="288">
        <f t="shared" si="4"/>
        <v>0</v>
      </c>
      <c r="DN23" s="288">
        <f>LOOKUP(DH23, 'Mortality Table'!A:A,('Mortality Table'!L:L/'Mortality Table'!K:K))</f>
        <v>1.3283949769899758E-3</v>
      </c>
      <c r="DO23" s="288">
        <f>LOOKUP(A23, 'Mortality Table'!A:A,('Mortality Table'!L:L/'Mortality Table'!K:K))</f>
        <v>1.3283949769899758E-3</v>
      </c>
      <c r="DP23" s="288">
        <f t="shared" si="5"/>
        <v>0</v>
      </c>
      <c r="DR23" s="288">
        <f>LOOKUP(DH23, 'Mortality Table'!A:A,('Mortality Table'!N:N/'Mortality Table'!M:M))</f>
        <v>1.3582502772203355E-3</v>
      </c>
      <c r="DS23" s="288">
        <f>LOOKUP(A23, 'Mortality Table'!A:A,('Mortality Table'!N:N/'Mortality Table'!M:M))</f>
        <v>1.3582502772203355E-3</v>
      </c>
      <c r="DT23" s="288">
        <f t="shared" si="6"/>
        <v>0</v>
      </c>
    </row>
    <row r="24" spans="1:124">
      <c r="A24" s="288">
        <v>21</v>
      </c>
      <c r="B24" s="288">
        <v>1.5284754985377584E-3</v>
      </c>
      <c r="C24" s="288">
        <f t="shared" si="18"/>
        <v>0</v>
      </c>
      <c r="D24" s="288">
        <f t="shared" si="18"/>
        <v>0</v>
      </c>
      <c r="E24" s="288">
        <f t="shared" si="18"/>
        <v>0</v>
      </c>
      <c r="F24" s="288">
        <f t="shared" si="18"/>
        <v>0</v>
      </c>
      <c r="G24" s="288">
        <f t="shared" si="18"/>
        <v>0</v>
      </c>
      <c r="H24" s="288">
        <f t="shared" si="18"/>
        <v>0</v>
      </c>
      <c r="I24" s="288">
        <f t="shared" si="18"/>
        <v>0</v>
      </c>
      <c r="J24" s="288">
        <f t="shared" si="18"/>
        <v>0</v>
      </c>
      <c r="K24" s="288">
        <f t="shared" si="18"/>
        <v>0</v>
      </c>
      <c r="L24" s="288">
        <f t="shared" si="18"/>
        <v>0</v>
      </c>
      <c r="M24" s="288">
        <f t="shared" si="18"/>
        <v>0</v>
      </c>
      <c r="N24" s="288">
        <f t="shared" si="18"/>
        <v>0</v>
      </c>
      <c r="O24" s="288">
        <f t="shared" si="14"/>
        <v>0</v>
      </c>
      <c r="P24" s="288">
        <f t="shared" si="14"/>
        <v>0</v>
      </c>
      <c r="Q24" s="288">
        <f t="shared" si="14"/>
        <v>0</v>
      </c>
      <c r="R24" s="288">
        <f t="shared" si="14"/>
        <v>0</v>
      </c>
      <c r="S24" s="288">
        <f t="shared" si="14"/>
        <v>0</v>
      </c>
      <c r="T24" s="288">
        <f t="shared" si="14"/>
        <v>0</v>
      </c>
      <c r="U24" s="288">
        <f t="shared" si="14"/>
        <v>0</v>
      </c>
      <c r="V24" s="288">
        <f t="shared" si="14"/>
        <v>0</v>
      </c>
      <c r="W24" s="288">
        <f t="shared" si="14"/>
        <v>0</v>
      </c>
      <c r="X24" s="288">
        <f t="shared" si="14"/>
        <v>22</v>
      </c>
      <c r="Y24" s="288">
        <f t="shared" si="14"/>
        <v>0</v>
      </c>
      <c r="Z24" s="288">
        <f t="shared" si="14"/>
        <v>0</v>
      </c>
      <c r="AA24" s="288">
        <f t="shared" si="14"/>
        <v>0</v>
      </c>
      <c r="AB24" s="288">
        <f t="shared" si="14"/>
        <v>22</v>
      </c>
      <c r="AC24" s="288">
        <f t="shared" si="14"/>
        <v>22</v>
      </c>
      <c r="AD24" s="288">
        <f t="shared" si="14"/>
        <v>0</v>
      </c>
      <c r="AE24" s="288">
        <f t="shared" si="19"/>
        <v>0</v>
      </c>
      <c r="AF24" s="288">
        <f t="shared" si="19"/>
        <v>0</v>
      </c>
      <c r="AG24" s="288">
        <f t="shared" si="19"/>
        <v>0</v>
      </c>
      <c r="AH24" s="288">
        <f t="shared" si="15"/>
        <v>0</v>
      </c>
      <c r="AI24" s="288">
        <f t="shared" si="15"/>
        <v>0</v>
      </c>
      <c r="AJ24" s="288">
        <f t="shared" si="15"/>
        <v>0</v>
      </c>
      <c r="AK24" s="288">
        <f t="shared" si="15"/>
        <v>0</v>
      </c>
      <c r="AL24" s="288">
        <f t="shared" si="15"/>
        <v>0</v>
      </c>
      <c r="AM24" s="288">
        <f t="shared" si="15"/>
        <v>0</v>
      </c>
      <c r="AN24" s="288">
        <f t="shared" si="15"/>
        <v>0</v>
      </c>
      <c r="AO24" s="288">
        <f t="shared" si="15"/>
        <v>0</v>
      </c>
      <c r="AP24" s="288">
        <f t="shared" si="15"/>
        <v>0</v>
      </c>
      <c r="AQ24" s="288">
        <f t="shared" si="15"/>
        <v>0</v>
      </c>
      <c r="AR24" s="288">
        <f t="shared" si="15"/>
        <v>0</v>
      </c>
      <c r="AS24" s="288">
        <f t="shared" si="15"/>
        <v>0</v>
      </c>
      <c r="AT24" s="288">
        <f t="shared" si="15"/>
        <v>0</v>
      </c>
      <c r="AU24" s="288">
        <f t="shared" si="15"/>
        <v>0</v>
      </c>
      <c r="AV24" s="288">
        <f t="shared" si="15"/>
        <v>0</v>
      </c>
      <c r="AW24" s="288">
        <f t="shared" si="15"/>
        <v>0</v>
      </c>
      <c r="AX24" s="288">
        <f t="shared" si="16"/>
        <v>0</v>
      </c>
      <c r="AY24" s="288">
        <f t="shared" si="16"/>
        <v>0</v>
      </c>
      <c r="AZ24" s="288">
        <f t="shared" si="16"/>
        <v>0</v>
      </c>
      <c r="BA24" s="288">
        <f t="shared" si="16"/>
        <v>0</v>
      </c>
      <c r="BB24" s="288">
        <f t="shared" si="16"/>
        <v>0</v>
      </c>
      <c r="BC24" s="288">
        <f t="shared" si="16"/>
        <v>0</v>
      </c>
      <c r="BD24" s="288">
        <f t="shared" si="16"/>
        <v>0</v>
      </c>
      <c r="BE24" s="288">
        <f t="shared" si="16"/>
        <v>0</v>
      </c>
      <c r="BF24" s="288">
        <f t="shared" si="16"/>
        <v>0</v>
      </c>
      <c r="BG24" s="288">
        <f t="shared" si="16"/>
        <v>0</v>
      </c>
      <c r="BH24" s="288">
        <f t="shared" si="16"/>
        <v>0</v>
      </c>
      <c r="BI24" s="288">
        <f t="shared" si="16"/>
        <v>0</v>
      </c>
      <c r="BJ24" s="288">
        <f t="shared" si="16"/>
        <v>0</v>
      </c>
      <c r="BK24" s="288">
        <f t="shared" si="16"/>
        <v>0</v>
      </c>
      <c r="BL24" s="288">
        <f t="shared" si="16"/>
        <v>0</v>
      </c>
      <c r="BM24" s="288">
        <f t="shared" si="16"/>
        <v>0</v>
      </c>
      <c r="BN24" s="288">
        <f t="shared" si="17"/>
        <v>0</v>
      </c>
      <c r="BO24" s="288">
        <f t="shared" si="7"/>
        <v>0</v>
      </c>
      <c r="BP24" s="288">
        <f t="shared" si="7"/>
        <v>0</v>
      </c>
      <c r="BQ24" s="288">
        <f t="shared" si="7"/>
        <v>0</v>
      </c>
      <c r="BR24" s="288">
        <f t="shared" si="7"/>
        <v>0</v>
      </c>
      <c r="BS24" s="288">
        <f t="shared" si="11"/>
        <v>0</v>
      </c>
      <c r="BT24" s="288">
        <f t="shared" si="11"/>
        <v>0</v>
      </c>
      <c r="BU24" s="288">
        <f t="shared" si="11"/>
        <v>0</v>
      </c>
      <c r="BV24" s="288">
        <f t="shared" si="11"/>
        <v>0</v>
      </c>
      <c r="BW24" s="288">
        <f t="shared" si="11"/>
        <v>0</v>
      </c>
      <c r="BX24" s="288">
        <f t="shared" si="11"/>
        <v>0</v>
      </c>
      <c r="BY24" s="288">
        <f t="shared" si="11"/>
        <v>0</v>
      </c>
      <c r="BZ24" s="288">
        <f t="shared" si="11"/>
        <v>0</v>
      </c>
      <c r="CA24" s="288">
        <f t="shared" si="11"/>
        <v>0</v>
      </c>
      <c r="CB24" s="288">
        <f t="shared" si="11"/>
        <v>0</v>
      </c>
      <c r="CC24" s="288">
        <f t="shared" si="11"/>
        <v>0</v>
      </c>
      <c r="CD24" s="288">
        <f t="shared" si="11"/>
        <v>0</v>
      </c>
      <c r="CE24" s="288">
        <f t="shared" si="11"/>
        <v>0</v>
      </c>
      <c r="CF24" s="288">
        <f t="shared" si="11"/>
        <v>0</v>
      </c>
      <c r="CG24" s="288">
        <f t="shared" si="11"/>
        <v>0</v>
      </c>
      <c r="CH24" s="288">
        <f t="shared" ref="CH24:CW40" si="20">IF(CH$2&gt;$B24,(IF(CH$2&lt;=$B25,(IF(AVERAGE($B24,$B25)&gt;CH$2,$A24,$A25)),0)),0)</f>
        <v>0</v>
      </c>
      <c r="CI24" s="288">
        <f t="shared" si="12"/>
        <v>0</v>
      </c>
      <c r="CJ24" s="288">
        <f t="shared" si="12"/>
        <v>0</v>
      </c>
      <c r="CK24" s="288">
        <f t="shared" si="12"/>
        <v>0</v>
      </c>
      <c r="CL24" s="288">
        <f t="shared" si="12"/>
        <v>0</v>
      </c>
      <c r="CM24" s="288">
        <f t="shared" si="12"/>
        <v>0</v>
      </c>
      <c r="CN24" s="288">
        <f t="shared" si="12"/>
        <v>0</v>
      </c>
      <c r="CO24" s="288">
        <f t="shared" si="12"/>
        <v>0</v>
      </c>
      <c r="CP24" s="288">
        <f t="shared" si="12"/>
        <v>0</v>
      </c>
      <c r="CQ24" s="288">
        <f t="shared" si="12"/>
        <v>0</v>
      </c>
      <c r="CR24" s="288">
        <f t="shared" si="12"/>
        <v>0</v>
      </c>
      <c r="CS24" s="288">
        <f t="shared" si="12"/>
        <v>0</v>
      </c>
      <c r="CT24" s="288">
        <f t="shared" si="12"/>
        <v>0</v>
      </c>
      <c r="CU24" s="288">
        <f t="shared" si="12"/>
        <v>0</v>
      </c>
      <c r="CV24" s="288">
        <f t="shared" si="12"/>
        <v>0</v>
      </c>
      <c r="CW24" s="288">
        <f t="shared" si="12"/>
        <v>0</v>
      </c>
      <c r="CX24" s="288">
        <f t="shared" ref="CX24:DA87" si="21">IF(CX$2&gt;$B24,(IF(CX$2&lt;=$B25,(IF(AVERAGE($B24,$B25)&gt;CX$2,$A24,$A25)),0)),0)</f>
        <v>0</v>
      </c>
      <c r="CY24" s="288">
        <f t="shared" si="13"/>
        <v>0</v>
      </c>
      <c r="CZ24" s="288">
        <f t="shared" si="13"/>
        <v>0</v>
      </c>
      <c r="DA24" s="288">
        <f t="shared" si="13"/>
        <v>0</v>
      </c>
      <c r="DB24" s="288">
        <f t="shared" si="13"/>
        <v>0</v>
      </c>
      <c r="DC24" s="288">
        <f t="shared" si="13"/>
        <v>0</v>
      </c>
      <c r="DD24" s="288">
        <f t="shared" si="13"/>
        <v>0</v>
      </c>
      <c r="DE24" s="288">
        <f t="shared" si="13"/>
        <v>0</v>
      </c>
      <c r="DG24" s="314">
        <f t="shared" si="3"/>
        <v>27</v>
      </c>
      <c r="DH24" s="289">
        <f>MAX(X$3:X$109)</f>
        <v>27</v>
      </c>
      <c r="DJ24" s="288">
        <f>LOOKUP(DH24, 'Mortality Table'!A:A,('Mortality Table'!J:J/'Mortality Table'!I:I))</f>
        <v>1.4392559494820643E-3</v>
      </c>
      <c r="DK24" s="288">
        <f>LOOKUP(A24, 'Mortality Table'!A:A,('Mortality Table'!J:J/'Mortality Table'!I:I))</f>
        <v>1.4070757480333467E-3</v>
      </c>
      <c r="DL24" s="288">
        <f t="shared" si="4"/>
        <v>3.2180201448717659E-5</v>
      </c>
      <c r="DN24" s="288">
        <f>LOOKUP(DH24, 'Mortality Table'!A:A,('Mortality Table'!L:L/'Mortality Table'!K:K))</f>
        <v>1.4579079925585532E-3</v>
      </c>
      <c r="DO24" s="288">
        <f>LOOKUP(A24, 'Mortality Table'!A:A,('Mortality Table'!L:L/'Mortality Table'!K:K))</f>
        <v>1.4253107516639699E-3</v>
      </c>
      <c r="DP24" s="288">
        <f t="shared" si="5"/>
        <v>3.2597240894583239E-5</v>
      </c>
      <c r="DR24" s="288">
        <f>LOOKUP(DH24, 'Mortality Table'!A:A,('Mortality Table'!N:N/'Mortality Table'!M:M))</f>
        <v>1.4906740610698198E-3</v>
      </c>
      <c r="DS24" s="288">
        <f>LOOKUP(A24, 'Mortality Table'!A:A,('Mortality Table'!N:N/'Mortality Table'!M:M))</f>
        <v>1.4573442064342585E-3</v>
      </c>
      <c r="DT24" s="288">
        <f t="shared" si="6"/>
        <v>3.3329854635561233E-5</v>
      </c>
    </row>
    <row r="25" spans="1:124">
      <c r="A25" s="288">
        <v>22</v>
      </c>
      <c r="B25" s="288">
        <v>1.6022533601396103E-3</v>
      </c>
      <c r="C25" s="288">
        <f t="shared" si="18"/>
        <v>0</v>
      </c>
      <c r="D25" s="288">
        <f t="shared" si="18"/>
        <v>0</v>
      </c>
      <c r="E25" s="288">
        <f t="shared" si="18"/>
        <v>0</v>
      </c>
      <c r="F25" s="288">
        <f t="shared" si="18"/>
        <v>0</v>
      </c>
      <c r="G25" s="288">
        <f t="shared" si="18"/>
        <v>0</v>
      </c>
      <c r="H25" s="288">
        <f t="shared" si="18"/>
        <v>0</v>
      </c>
      <c r="I25" s="288">
        <f t="shared" si="18"/>
        <v>0</v>
      </c>
      <c r="J25" s="288">
        <f t="shared" si="18"/>
        <v>0</v>
      </c>
      <c r="K25" s="288">
        <f t="shared" si="18"/>
        <v>0</v>
      </c>
      <c r="L25" s="288">
        <f t="shared" si="18"/>
        <v>0</v>
      </c>
      <c r="M25" s="288">
        <f t="shared" si="18"/>
        <v>0</v>
      </c>
      <c r="N25" s="288">
        <f t="shared" si="18"/>
        <v>0</v>
      </c>
      <c r="O25" s="288">
        <f t="shared" si="14"/>
        <v>0</v>
      </c>
      <c r="P25" s="288">
        <f t="shared" si="14"/>
        <v>0</v>
      </c>
      <c r="Q25" s="288">
        <f t="shared" si="14"/>
        <v>0</v>
      </c>
      <c r="R25" s="288">
        <f t="shared" si="14"/>
        <v>0</v>
      </c>
      <c r="S25" s="288">
        <f t="shared" si="14"/>
        <v>0</v>
      </c>
      <c r="T25" s="288">
        <f t="shared" si="14"/>
        <v>0</v>
      </c>
      <c r="U25" s="288">
        <f t="shared" si="14"/>
        <v>0</v>
      </c>
      <c r="V25" s="288">
        <f t="shared" si="14"/>
        <v>0</v>
      </c>
      <c r="W25" s="288">
        <f t="shared" si="14"/>
        <v>0</v>
      </c>
      <c r="X25" s="288">
        <f t="shared" si="14"/>
        <v>0</v>
      </c>
      <c r="Y25" s="288">
        <f t="shared" si="14"/>
        <v>0</v>
      </c>
      <c r="Z25" s="288">
        <f t="shared" si="14"/>
        <v>0</v>
      </c>
      <c r="AA25" s="288">
        <f t="shared" si="14"/>
        <v>0</v>
      </c>
      <c r="AB25" s="288">
        <f t="shared" si="14"/>
        <v>0</v>
      </c>
      <c r="AC25" s="288">
        <f t="shared" si="14"/>
        <v>0</v>
      </c>
      <c r="AD25" s="288">
        <f t="shared" si="14"/>
        <v>0</v>
      </c>
      <c r="AE25" s="288">
        <f t="shared" si="19"/>
        <v>0</v>
      </c>
      <c r="AF25" s="288">
        <f t="shared" si="19"/>
        <v>0</v>
      </c>
      <c r="AG25" s="288">
        <f t="shared" si="19"/>
        <v>0</v>
      </c>
      <c r="AH25" s="288">
        <f t="shared" si="15"/>
        <v>0</v>
      </c>
      <c r="AI25" s="288">
        <f t="shared" si="15"/>
        <v>0</v>
      </c>
      <c r="AJ25" s="288">
        <f t="shared" si="15"/>
        <v>0</v>
      </c>
      <c r="AK25" s="288">
        <f t="shared" si="15"/>
        <v>0</v>
      </c>
      <c r="AL25" s="288">
        <f t="shared" si="15"/>
        <v>0</v>
      </c>
      <c r="AM25" s="288">
        <f t="shared" si="15"/>
        <v>0</v>
      </c>
      <c r="AN25" s="288">
        <f t="shared" si="15"/>
        <v>0</v>
      </c>
      <c r="AO25" s="288">
        <f t="shared" si="15"/>
        <v>0</v>
      </c>
      <c r="AP25" s="288">
        <f t="shared" si="15"/>
        <v>0</v>
      </c>
      <c r="AQ25" s="288">
        <f t="shared" si="15"/>
        <v>0</v>
      </c>
      <c r="AR25" s="288">
        <f t="shared" si="15"/>
        <v>0</v>
      </c>
      <c r="AS25" s="288">
        <f t="shared" si="15"/>
        <v>0</v>
      </c>
      <c r="AT25" s="288">
        <f t="shared" si="15"/>
        <v>0</v>
      </c>
      <c r="AU25" s="288">
        <f t="shared" si="15"/>
        <v>0</v>
      </c>
      <c r="AV25" s="288">
        <f t="shared" si="15"/>
        <v>0</v>
      </c>
      <c r="AW25" s="288">
        <f t="shared" si="15"/>
        <v>0</v>
      </c>
      <c r="AX25" s="288">
        <f t="shared" si="16"/>
        <v>0</v>
      </c>
      <c r="AY25" s="288">
        <f t="shared" si="16"/>
        <v>0</v>
      </c>
      <c r="AZ25" s="288">
        <f t="shared" si="16"/>
        <v>0</v>
      </c>
      <c r="BA25" s="288">
        <f t="shared" si="16"/>
        <v>0</v>
      </c>
      <c r="BB25" s="288">
        <f t="shared" si="16"/>
        <v>0</v>
      </c>
      <c r="BC25" s="288">
        <f t="shared" si="16"/>
        <v>0</v>
      </c>
      <c r="BD25" s="288">
        <f t="shared" si="16"/>
        <v>0</v>
      </c>
      <c r="BE25" s="288">
        <f t="shared" si="16"/>
        <v>0</v>
      </c>
      <c r="BF25" s="288">
        <f t="shared" si="16"/>
        <v>0</v>
      </c>
      <c r="BG25" s="288">
        <f t="shared" si="16"/>
        <v>0</v>
      </c>
      <c r="BH25" s="288">
        <f t="shared" si="16"/>
        <v>0</v>
      </c>
      <c r="BI25" s="288">
        <f t="shared" si="16"/>
        <v>0</v>
      </c>
      <c r="BJ25" s="288">
        <f t="shared" si="16"/>
        <v>0</v>
      </c>
      <c r="BK25" s="288">
        <f t="shared" si="16"/>
        <v>0</v>
      </c>
      <c r="BL25" s="288">
        <f t="shared" si="16"/>
        <v>0</v>
      </c>
      <c r="BM25" s="288">
        <f t="shared" si="16"/>
        <v>0</v>
      </c>
      <c r="BN25" s="288">
        <f t="shared" si="17"/>
        <v>0</v>
      </c>
      <c r="BO25" s="288">
        <f t="shared" si="7"/>
        <v>0</v>
      </c>
      <c r="BP25" s="288">
        <f t="shared" si="7"/>
        <v>0</v>
      </c>
      <c r="BQ25" s="288">
        <f t="shared" si="7"/>
        <v>0</v>
      </c>
      <c r="BR25" s="288">
        <f t="shared" si="7"/>
        <v>0</v>
      </c>
      <c r="BS25" s="288">
        <f t="shared" si="7"/>
        <v>0</v>
      </c>
      <c r="BT25" s="288">
        <f t="shared" si="7"/>
        <v>0</v>
      </c>
      <c r="BU25" s="288">
        <f t="shared" si="7"/>
        <v>0</v>
      </c>
      <c r="BV25" s="288">
        <f t="shared" si="7"/>
        <v>0</v>
      </c>
      <c r="BW25" s="288">
        <f t="shared" si="7"/>
        <v>0</v>
      </c>
      <c r="BX25" s="288">
        <f t="shared" si="7"/>
        <v>0</v>
      </c>
      <c r="BY25" s="288">
        <f t="shared" si="7"/>
        <v>0</v>
      </c>
      <c r="BZ25" s="288">
        <f t="shared" si="7"/>
        <v>0</v>
      </c>
      <c r="CA25" s="288">
        <f t="shared" si="7"/>
        <v>0</v>
      </c>
      <c r="CB25" s="288">
        <f t="shared" si="7"/>
        <v>0</v>
      </c>
      <c r="CC25" s="288">
        <f t="shared" si="7"/>
        <v>0</v>
      </c>
      <c r="CD25" s="288">
        <f t="shared" si="7"/>
        <v>0</v>
      </c>
      <c r="CE25" s="288">
        <f t="shared" ref="CE25:CT53" si="22">IF(CE$2&gt;$B25,(IF(CE$2&lt;=$B26,(IF(AVERAGE($B25,$B26)&gt;CE$2,$A25,$A26)),0)),0)</f>
        <v>0</v>
      </c>
      <c r="CF25" s="288">
        <f t="shared" si="22"/>
        <v>0</v>
      </c>
      <c r="CG25" s="288">
        <f t="shared" si="22"/>
        <v>0</v>
      </c>
      <c r="CH25" s="288">
        <f t="shared" si="20"/>
        <v>0</v>
      </c>
      <c r="CI25" s="288">
        <f t="shared" si="20"/>
        <v>0</v>
      </c>
      <c r="CJ25" s="288">
        <f t="shared" si="20"/>
        <v>0</v>
      </c>
      <c r="CK25" s="288">
        <f t="shared" si="20"/>
        <v>0</v>
      </c>
      <c r="CL25" s="288">
        <f t="shared" si="20"/>
        <v>0</v>
      </c>
      <c r="CM25" s="288">
        <f t="shared" si="20"/>
        <v>0</v>
      </c>
      <c r="CN25" s="288">
        <f t="shared" si="20"/>
        <v>0</v>
      </c>
      <c r="CO25" s="288">
        <f t="shared" si="20"/>
        <v>0</v>
      </c>
      <c r="CP25" s="288">
        <f t="shared" si="20"/>
        <v>0</v>
      </c>
      <c r="CQ25" s="288">
        <f t="shared" si="20"/>
        <v>0</v>
      </c>
      <c r="CR25" s="288">
        <f t="shared" si="20"/>
        <v>0</v>
      </c>
      <c r="CS25" s="288">
        <f t="shared" si="20"/>
        <v>0</v>
      </c>
      <c r="CT25" s="288">
        <f t="shared" si="20"/>
        <v>0</v>
      </c>
      <c r="CU25" s="288">
        <f t="shared" si="20"/>
        <v>0</v>
      </c>
      <c r="CV25" s="288">
        <f t="shared" si="20"/>
        <v>0</v>
      </c>
      <c r="CW25" s="288">
        <f t="shared" si="20"/>
        <v>0</v>
      </c>
      <c r="CX25" s="288">
        <f t="shared" si="21"/>
        <v>0</v>
      </c>
      <c r="CY25" s="288">
        <f t="shared" si="13"/>
        <v>0</v>
      </c>
      <c r="CZ25" s="288">
        <f t="shared" si="13"/>
        <v>0</v>
      </c>
      <c r="DA25" s="288">
        <f t="shared" si="13"/>
        <v>0</v>
      </c>
      <c r="DB25" s="288">
        <f t="shared" si="13"/>
        <v>0</v>
      </c>
      <c r="DC25" s="288">
        <f t="shared" si="13"/>
        <v>0</v>
      </c>
      <c r="DD25" s="288">
        <f t="shared" si="13"/>
        <v>0</v>
      </c>
      <c r="DE25" s="288">
        <f t="shared" si="13"/>
        <v>0</v>
      </c>
      <c r="DG25" s="314">
        <f t="shared" si="3"/>
        <v>30</v>
      </c>
      <c r="DH25" s="289">
        <f>MAX(Y$3:Y$109)</f>
        <v>30</v>
      </c>
      <c r="DJ25" s="288">
        <f>LOOKUP(DH25, 'Mortality Table'!A:A,('Mortality Table'!J:J/'Mortality Table'!I:I))</f>
        <v>1.5412838919328282E-3</v>
      </c>
      <c r="DK25" s="288">
        <f>LOOKUP(A25, 'Mortality Table'!A:A,('Mortality Table'!J:J/'Mortality Table'!I:I))</f>
        <v>1.4749937747868271E-3</v>
      </c>
      <c r="DL25" s="288">
        <f t="shared" si="4"/>
        <v>6.6290117146001115E-5</v>
      </c>
      <c r="DN25" s="288">
        <f>LOOKUP(DH25, 'Mortality Table'!A:A,('Mortality Table'!L:L/'Mortality Table'!K:K))</f>
        <v>1.5612581665264294E-3</v>
      </c>
      <c r="DO25" s="288">
        <f>LOOKUP(A25, 'Mortality Table'!A:A,('Mortality Table'!L:L/'Mortality Table'!K:K))</f>
        <v>1.4941089623493849E-3</v>
      </c>
      <c r="DP25" s="288">
        <f t="shared" si="5"/>
        <v>6.7149204177044484E-5</v>
      </c>
      <c r="DR25" s="288">
        <f>LOOKUP(DH25, 'Mortality Table'!A:A,('Mortality Table'!N:N/'Mortality Table'!M:M))</f>
        <v>1.5963470008762593E-3</v>
      </c>
      <c r="DS25" s="288">
        <f>LOOKUP(A25, 'Mortality Table'!A:A,('Mortality Table'!N:N/'Mortality Table'!M:M))</f>
        <v>1.5276886373861635E-3</v>
      </c>
      <c r="DT25" s="288">
        <f t="shared" si="6"/>
        <v>6.8658363490095749E-5</v>
      </c>
    </row>
    <row r="26" spans="1:124">
      <c r="A26" s="288">
        <v>23</v>
      </c>
      <c r="B26" s="288">
        <v>1.5639374425022998E-3</v>
      </c>
      <c r="C26" s="288">
        <f t="shared" si="18"/>
        <v>0</v>
      </c>
      <c r="D26" s="288">
        <f t="shared" si="18"/>
        <v>0</v>
      </c>
      <c r="E26" s="288">
        <f t="shared" si="18"/>
        <v>0</v>
      </c>
      <c r="F26" s="288">
        <f t="shared" si="18"/>
        <v>0</v>
      </c>
      <c r="G26" s="288">
        <f t="shared" si="18"/>
        <v>0</v>
      </c>
      <c r="H26" s="288">
        <f t="shared" si="18"/>
        <v>0</v>
      </c>
      <c r="I26" s="288">
        <f t="shared" si="18"/>
        <v>0</v>
      </c>
      <c r="J26" s="288">
        <f t="shared" si="18"/>
        <v>0</v>
      </c>
      <c r="K26" s="288">
        <f t="shared" si="18"/>
        <v>0</v>
      </c>
      <c r="L26" s="288">
        <f t="shared" si="18"/>
        <v>0</v>
      </c>
      <c r="M26" s="288">
        <f t="shared" si="18"/>
        <v>0</v>
      </c>
      <c r="N26" s="288">
        <f t="shared" si="18"/>
        <v>0</v>
      </c>
      <c r="O26" s="288">
        <f t="shared" si="14"/>
        <v>0</v>
      </c>
      <c r="P26" s="288">
        <f t="shared" si="14"/>
        <v>0</v>
      </c>
      <c r="Q26" s="288">
        <f t="shared" si="14"/>
        <v>0</v>
      </c>
      <c r="R26" s="288">
        <f t="shared" si="14"/>
        <v>0</v>
      </c>
      <c r="S26" s="288">
        <f t="shared" si="14"/>
        <v>0</v>
      </c>
      <c r="T26" s="288">
        <f t="shared" si="14"/>
        <v>0</v>
      </c>
      <c r="U26" s="288">
        <f t="shared" si="14"/>
        <v>0</v>
      </c>
      <c r="V26" s="288">
        <f t="shared" si="14"/>
        <v>0</v>
      </c>
      <c r="W26" s="288">
        <f t="shared" si="14"/>
        <v>0</v>
      </c>
      <c r="X26" s="288">
        <f t="shared" si="14"/>
        <v>0</v>
      </c>
      <c r="Y26" s="288">
        <f t="shared" si="14"/>
        <v>0</v>
      </c>
      <c r="Z26" s="288">
        <f t="shared" si="14"/>
        <v>0</v>
      </c>
      <c r="AA26" s="288">
        <f t="shared" si="14"/>
        <v>0</v>
      </c>
      <c r="AB26" s="288">
        <f t="shared" si="14"/>
        <v>0</v>
      </c>
      <c r="AC26" s="288">
        <f t="shared" si="14"/>
        <v>0</v>
      </c>
      <c r="AD26" s="288">
        <f t="shared" si="14"/>
        <v>0</v>
      </c>
      <c r="AE26" s="288">
        <f t="shared" si="19"/>
        <v>0</v>
      </c>
      <c r="AF26" s="288">
        <f t="shared" si="19"/>
        <v>0</v>
      </c>
      <c r="AG26" s="288">
        <f t="shared" si="19"/>
        <v>0</v>
      </c>
      <c r="AH26" s="288">
        <f t="shared" si="15"/>
        <v>0</v>
      </c>
      <c r="AI26" s="288">
        <f t="shared" si="15"/>
        <v>0</v>
      </c>
      <c r="AJ26" s="288">
        <f t="shared" si="15"/>
        <v>0</v>
      </c>
      <c r="AK26" s="288">
        <f t="shared" si="15"/>
        <v>0</v>
      </c>
      <c r="AL26" s="288">
        <f t="shared" si="15"/>
        <v>0</v>
      </c>
      <c r="AM26" s="288">
        <f t="shared" si="15"/>
        <v>0</v>
      </c>
      <c r="AN26" s="288">
        <f t="shared" si="15"/>
        <v>0</v>
      </c>
      <c r="AO26" s="288">
        <f t="shared" si="15"/>
        <v>0</v>
      </c>
      <c r="AP26" s="288">
        <f t="shared" si="15"/>
        <v>0</v>
      </c>
      <c r="AQ26" s="288">
        <f t="shared" si="15"/>
        <v>0</v>
      </c>
      <c r="AR26" s="288">
        <f t="shared" si="15"/>
        <v>0</v>
      </c>
      <c r="AS26" s="288">
        <f t="shared" si="15"/>
        <v>0</v>
      </c>
      <c r="AT26" s="288">
        <f t="shared" si="15"/>
        <v>0</v>
      </c>
      <c r="AU26" s="288">
        <f t="shared" si="15"/>
        <v>0</v>
      </c>
      <c r="AV26" s="288">
        <f t="shared" si="15"/>
        <v>0</v>
      </c>
      <c r="AW26" s="288">
        <f t="shared" si="15"/>
        <v>0</v>
      </c>
      <c r="AX26" s="288">
        <f t="shared" si="16"/>
        <v>0</v>
      </c>
      <c r="AY26" s="288">
        <f t="shared" si="16"/>
        <v>0</v>
      </c>
      <c r="AZ26" s="288">
        <f t="shared" si="16"/>
        <v>0</v>
      </c>
      <c r="BA26" s="288">
        <f t="shared" si="16"/>
        <v>0</v>
      </c>
      <c r="BB26" s="288">
        <f t="shared" si="16"/>
        <v>0</v>
      </c>
      <c r="BC26" s="288">
        <f t="shared" si="16"/>
        <v>0</v>
      </c>
      <c r="BD26" s="288">
        <f t="shared" si="16"/>
        <v>0</v>
      </c>
      <c r="BE26" s="288">
        <f t="shared" si="16"/>
        <v>0</v>
      </c>
      <c r="BF26" s="288">
        <f t="shared" si="16"/>
        <v>0</v>
      </c>
      <c r="BG26" s="288">
        <f t="shared" si="16"/>
        <v>0</v>
      </c>
      <c r="BH26" s="288">
        <f t="shared" si="16"/>
        <v>0</v>
      </c>
      <c r="BI26" s="288">
        <f t="shared" si="16"/>
        <v>0</v>
      </c>
      <c r="BJ26" s="288">
        <f t="shared" si="16"/>
        <v>0</v>
      </c>
      <c r="BK26" s="288">
        <f t="shared" si="16"/>
        <v>0</v>
      </c>
      <c r="BL26" s="288">
        <f t="shared" si="16"/>
        <v>0</v>
      </c>
      <c r="BM26" s="288">
        <f t="shared" si="16"/>
        <v>0</v>
      </c>
      <c r="BN26" s="288">
        <f t="shared" si="17"/>
        <v>0</v>
      </c>
      <c r="BO26" s="288">
        <f t="shared" si="7"/>
        <v>0</v>
      </c>
      <c r="BP26" s="288">
        <f t="shared" si="7"/>
        <v>0</v>
      </c>
      <c r="BQ26" s="288">
        <f t="shared" si="7"/>
        <v>0</v>
      </c>
      <c r="BR26" s="288">
        <f t="shared" si="7"/>
        <v>0</v>
      </c>
      <c r="BS26" s="288">
        <f t="shared" si="7"/>
        <v>0</v>
      </c>
      <c r="BT26" s="288">
        <f t="shared" si="7"/>
        <v>0</v>
      </c>
      <c r="BU26" s="288">
        <f t="shared" si="7"/>
        <v>0</v>
      </c>
      <c r="BV26" s="288">
        <f t="shared" si="7"/>
        <v>0</v>
      </c>
      <c r="BW26" s="288">
        <f t="shared" si="7"/>
        <v>0</v>
      </c>
      <c r="BX26" s="288">
        <f t="shared" si="7"/>
        <v>0</v>
      </c>
      <c r="BY26" s="288">
        <f t="shared" si="7"/>
        <v>0</v>
      </c>
      <c r="BZ26" s="288">
        <f t="shared" si="7"/>
        <v>0</v>
      </c>
      <c r="CA26" s="288">
        <f t="shared" si="7"/>
        <v>0</v>
      </c>
      <c r="CB26" s="288">
        <f t="shared" si="7"/>
        <v>0</v>
      </c>
      <c r="CC26" s="288">
        <f t="shared" si="7"/>
        <v>0</v>
      </c>
      <c r="CD26" s="288">
        <f t="shared" si="7"/>
        <v>0</v>
      </c>
      <c r="CE26" s="288">
        <f t="shared" si="22"/>
        <v>0</v>
      </c>
      <c r="CF26" s="288">
        <f t="shared" si="22"/>
        <v>0</v>
      </c>
      <c r="CG26" s="288">
        <f t="shared" si="22"/>
        <v>0</v>
      </c>
      <c r="CH26" s="288">
        <f t="shared" si="20"/>
        <v>0</v>
      </c>
      <c r="CI26" s="288">
        <f t="shared" si="20"/>
        <v>0</v>
      </c>
      <c r="CJ26" s="288">
        <f t="shared" si="20"/>
        <v>0</v>
      </c>
      <c r="CK26" s="288">
        <f t="shared" si="20"/>
        <v>0</v>
      </c>
      <c r="CL26" s="288">
        <f t="shared" si="20"/>
        <v>0</v>
      </c>
      <c r="CM26" s="288">
        <f t="shared" si="20"/>
        <v>0</v>
      </c>
      <c r="CN26" s="288">
        <f t="shared" si="20"/>
        <v>0</v>
      </c>
      <c r="CO26" s="288">
        <f t="shared" si="20"/>
        <v>0</v>
      </c>
      <c r="CP26" s="288">
        <f t="shared" si="20"/>
        <v>0</v>
      </c>
      <c r="CQ26" s="288">
        <f t="shared" si="20"/>
        <v>0</v>
      </c>
      <c r="CR26" s="288">
        <f t="shared" si="20"/>
        <v>0</v>
      </c>
      <c r="CS26" s="288">
        <f t="shared" si="20"/>
        <v>0</v>
      </c>
      <c r="CT26" s="288">
        <f t="shared" si="20"/>
        <v>0</v>
      </c>
      <c r="CU26" s="288">
        <f t="shared" si="20"/>
        <v>0</v>
      </c>
      <c r="CV26" s="288">
        <f t="shared" si="20"/>
        <v>0</v>
      </c>
      <c r="CW26" s="288">
        <f t="shared" si="20"/>
        <v>0</v>
      </c>
      <c r="CX26" s="288">
        <f t="shared" si="21"/>
        <v>0</v>
      </c>
      <c r="CY26" s="288">
        <f t="shared" si="13"/>
        <v>0</v>
      </c>
      <c r="CZ26" s="288">
        <f t="shared" si="13"/>
        <v>0</v>
      </c>
      <c r="DA26" s="288">
        <f t="shared" si="13"/>
        <v>0</v>
      </c>
      <c r="DB26" s="288">
        <f t="shared" si="13"/>
        <v>0</v>
      </c>
      <c r="DC26" s="288">
        <f t="shared" si="13"/>
        <v>0</v>
      </c>
      <c r="DD26" s="288">
        <f t="shared" si="13"/>
        <v>0</v>
      </c>
      <c r="DE26" s="288">
        <f t="shared" si="13"/>
        <v>0</v>
      </c>
      <c r="DG26" s="314">
        <f t="shared" si="3"/>
        <v>29</v>
      </c>
      <c r="DH26" s="289">
        <f>MAX(Z$3:Z$109)</f>
        <v>29</v>
      </c>
      <c r="DJ26" s="288">
        <f>LOOKUP(DH26, 'Mortality Table'!A:A,('Mortality Table'!J:J/'Mortality Table'!I:I))</f>
        <v>1.4912936461475596E-3</v>
      </c>
      <c r="DK26" s="288">
        <f>LOOKUP(A26, 'Mortality Table'!A:A,('Mortality Table'!J:J/'Mortality Table'!I:I))</f>
        <v>1.4397211135484366E-3</v>
      </c>
      <c r="DL26" s="288">
        <f t="shared" si="4"/>
        <v>5.1572532599122953E-5</v>
      </c>
      <c r="DN26" s="288">
        <f>LOOKUP(DH26, 'Mortality Table'!A:A,('Mortality Table'!L:L/'Mortality Table'!K:K))</f>
        <v>1.5106200719564281E-3</v>
      </c>
      <c r="DO26" s="288">
        <f>LOOKUP(A26, 'Mortality Table'!A:A,('Mortality Table'!L:L/'Mortality Table'!K:K))</f>
        <v>1.4583791849204532E-3</v>
      </c>
      <c r="DP26" s="288">
        <f t="shared" si="5"/>
        <v>5.2240887035974893E-5</v>
      </c>
      <c r="DR26" s="288">
        <f>LOOKUP(DH26, 'Mortality Table'!A:A,('Mortality Table'!N:N/'Mortality Table'!M:M))</f>
        <v>1.5445708294972752E-3</v>
      </c>
      <c r="DS26" s="288">
        <f>LOOKUP(A26, 'Mortality Table'!A:A,('Mortality Table'!N:N/'Mortality Table'!M:M))</f>
        <v>1.4911558433463726E-3</v>
      </c>
      <c r="DT26" s="288">
        <f t="shared" si="6"/>
        <v>5.3414986150902583E-5</v>
      </c>
    </row>
    <row r="27" spans="1:124">
      <c r="A27" s="288">
        <v>24</v>
      </c>
      <c r="B27" s="288">
        <v>1.5663871740532571E-3</v>
      </c>
      <c r="C27" s="288">
        <f t="shared" si="18"/>
        <v>0</v>
      </c>
      <c r="D27" s="288">
        <f t="shared" si="18"/>
        <v>0</v>
      </c>
      <c r="E27" s="288">
        <f t="shared" si="18"/>
        <v>0</v>
      </c>
      <c r="F27" s="288">
        <f t="shared" si="18"/>
        <v>0</v>
      </c>
      <c r="G27" s="288">
        <f t="shared" si="18"/>
        <v>0</v>
      </c>
      <c r="H27" s="288">
        <f t="shared" si="18"/>
        <v>0</v>
      </c>
      <c r="I27" s="288">
        <f t="shared" si="18"/>
        <v>0</v>
      </c>
      <c r="J27" s="288">
        <f t="shared" si="18"/>
        <v>0</v>
      </c>
      <c r="K27" s="288">
        <f t="shared" si="18"/>
        <v>0</v>
      </c>
      <c r="L27" s="288">
        <f t="shared" si="18"/>
        <v>0</v>
      </c>
      <c r="M27" s="288">
        <f t="shared" si="18"/>
        <v>0</v>
      </c>
      <c r="N27" s="288">
        <f t="shared" si="18"/>
        <v>0</v>
      </c>
      <c r="O27" s="288">
        <f t="shared" si="14"/>
        <v>0</v>
      </c>
      <c r="P27" s="288">
        <f t="shared" si="14"/>
        <v>0</v>
      </c>
      <c r="Q27" s="288">
        <f t="shared" si="14"/>
        <v>0</v>
      </c>
      <c r="R27" s="288">
        <f t="shared" si="14"/>
        <v>0</v>
      </c>
      <c r="S27" s="288">
        <f t="shared" si="14"/>
        <v>0</v>
      </c>
      <c r="T27" s="288">
        <f t="shared" si="14"/>
        <v>0</v>
      </c>
      <c r="U27" s="288">
        <f t="shared" si="14"/>
        <v>0</v>
      </c>
      <c r="V27" s="288">
        <f t="shared" si="14"/>
        <v>0</v>
      </c>
      <c r="W27" s="288">
        <f t="shared" si="14"/>
        <v>0</v>
      </c>
      <c r="X27" s="288">
        <f t="shared" si="14"/>
        <v>0</v>
      </c>
      <c r="Y27" s="288">
        <f t="shared" si="14"/>
        <v>0</v>
      </c>
      <c r="Z27" s="288">
        <f t="shared" si="14"/>
        <v>0</v>
      </c>
      <c r="AA27" s="288">
        <f t="shared" si="14"/>
        <v>0</v>
      </c>
      <c r="AB27" s="288">
        <f t="shared" si="14"/>
        <v>0</v>
      </c>
      <c r="AC27" s="288">
        <f t="shared" si="14"/>
        <v>0</v>
      </c>
      <c r="AD27" s="288">
        <f t="shared" si="14"/>
        <v>0</v>
      </c>
      <c r="AE27" s="288">
        <f t="shared" si="19"/>
        <v>0</v>
      </c>
      <c r="AF27" s="288">
        <f t="shared" si="19"/>
        <v>0</v>
      </c>
      <c r="AG27" s="288">
        <f t="shared" si="19"/>
        <v>0</v>
      </c>
      <c r="AH27" s="288">
        <f t="shared" si="15"/>
        <v>0</v>
      </c>
      <c r="AI27" s="288">
        <f t="shared" si="15"/>
        <v>0</v>
      </c>
      <c r="AJ27" s="288">
        <f t="shared" si="15"/>
        <v>0</v>
      </c>
      <c r="AK27" s="288">
        <f t="shared" si="15"/>
        <v>0</v>
      </c>
      <c r="AL27" s="288">
        <f t="shared" si="15"/>
        <v>0</v>
      </c>
      <c r="AM27" s="288">
        <f t="shared" si="15"/>
        <v>0</v>
      </c>
      <c r="AN27" s="288">
        <f t="shared" si="15"/>
        <v>0</v>
      </c>
      <c r="AO27" s="288">
        <f t="shared" si="15"/>
        <v>0</v>
      </c>
      <c r="AP27" s="288">
        <f t="shared" si="15"/>
        <v>0</v>
      </c>
      <c r="AQ27" s="288">
        <f t="shared" si="15"/>
        <v>0</v>
      </c>
      <c r="AR27" s="288">
        <f t="shared" si="15"/>
        <v>0</v>
      </c>
      <c r="AS27" s="288">
        <f t="shared" si="15"/>
        <v>0</v>
      </c>
      <c r="AT27" s="288">
        <f t="shared" si="15"/>
        <v>0</v>
      </c>
      <c r="AU27" s="288">
        <f t="shared" si="15"/>
        <v>0</v>
      </c>
      <c r="AV27" s="288">
        <f t="shared" si="15"/>
        <v>0</v>
      </c>
      <c r="AW27" s="288">
        <f t="shared" si="15"/>
        <v>0</v>
      </c>
      <c r="AX27" s="288">
        <f t="shared" si="16"/>
        <v>0</v>
      </c>
      <c r="AY27" s="288">
        <f t="shared" si="16"/>
        <v>0</v>
      </c>
      <c r="AZ27" s="288">
        <f t="shared" si="16"/>
        <v>0</v>
      </c>
      <c r="BA27" s="288">
        <f t="shared" si="16"/>
        <v>0</v>
      </c>
      <c r="BB27" s="288">
        <f t="shared" si="16"/>
        <v>0</v>
      </c>
      <c r="BC27" s="288">
        <f t="shared" si="16"/>
        <v>0</v>
      </c>
      <c r="BD27" s="288">
        <f t="shared" si="16"/>
        <v>0</v>
      </c>
      <c r="BE27" s="288">
        <f t="shared" si="16"/>
        <v>0</v>
      </c>
      <c r="BF27" s="288">
        <f t="shared" si="16"/>
        <v>0</v>
      </c>
      <c r="BG27" s="288">
        <f t="shared" si="16"/>
        <v>0</v>
      </c>
      <c r="BH27" s="288">
        <f t="shared" si="16"/>
        <v>0</v>
      </c>
      <c r="BI27" s="288">
        <f t="shared" si="16"/>
        <v>0</v>
      </c>
      <c r="BJ27" s="288">
        <f t="shared" si="16"/>
        <v>0</v>
      </c>
      <c r="BK27" s="288">
        <f t="shared" si="16"/>
        <v>0</v>
      </c>
      <c r="BL27" s="288">
        <f t="shared" si="16"/>
        <v>0</v>
      </c>
      <c r="BM27" s="288">
        <f t="shared" si="16"/>
        <v>0</v>
      </c>
      <c r="BN27" s="288">
        <f t="shared" si="17"/>
        <v>0</v>
      </c>
      <c r="BO27" s="288">
        <f t="shared" si="7"/>
        <v>0</v>
      </c>
      <c r="BP27" s="288">
        <f t="shared" si="7"/>
        <v>0</v>
      </c>
      <c r="BQ27" s="288">
        <f t="shared" si="7"/>
        <v>0</v>
      </c>
      <c r="BR27" s="288">
        <f t="shared" si="7"/>
        <v>0</v>
      </c>
      <c r="BS27" s="288">
        <f t="shared" si="7"/>
        <v>0</v>
      </c>
      <c r="BT27" s="288">
        <f t="shared" si="7"/>
        <v>0</v>
      </c>
      <c r="BU27" s="288">
        <f t="shared" si="7"/>
        <v>0</v>
      </c>
      <c r="BV27" s="288">
        <f t="shared" si="7"/>
        <v>0</v>
      </c>
      <c r="BW27" s="288">
        <f t="shared" si="7"/>
        <v>0</v>
      </c>
      <c r="BX27" s="288">
        <f t="shared" si="7"/>
        <v>0</v>
      </c>
      <c r="BY27" s="288">
        <f t="shared" si="7"/>
        <v>0</v>
      </c>
      <c r="BZ27" s="288">
        <f t="shared" si="7"/>
        <v>0</v>
      </c>
      <c r="CA27" s="288">
        <f t="shared" si="7"/>
        <v>0</v>
      </c>
      <c r="CB27" s="288">
        <f t="shared" si="7"/>
        <v>0</v>
      </c>
      <c r="CC27" s="288">
        <f t="shared" si="7"/>
        <v>0</v>
      </c>
      <c r="CD27" s="288">
        <f t="shared" si="7"/>
        <v>0</v>
      </c>
      <c r="CE27" s="288">
        <f t="shared" si="22"/>
        <v>0</v>
      </c>
      <c r="CF27" s="288">
        <f t="shared" si="22"/>
        <v>0</v>
      </c>
      <c r="CG27" s="288">
        <f t="shared" si="22"/>
        <v>0</v>
      </c>
      <c r="CH27" s="288">
        <f t="shared" si="20"/>
        <v>0</v>
      </c>
      <c r="CI27" s="288">
        <f t="shared" si="20"/>
        <v>0</v>
      </c>
      <c r="CJ27" s="288">
        <f t="shared" si="20"/>
        <v>0</v>
      </c>
      <c r="CK27" s="288">
        <f t="shared" si="20"/>
        <v>0</v>
      </c>
      <c r="CL27" s="288">
        <f t="shared" si="20"/>
        <v>0</v>
      </c>
      <c r="CM27" s="288">
        <f t="shared" si="20"/>
        <v>0</v>
      </c>
      <c r="CN27" s="288">
        <f t="shared" si="20"/>
        <v>0</v>
      </c>
      <c r="CO27" s="288">
        <f t="shared" si="20"/>
        <v>0</v>
      </c>
      <c r="CP27" s="288">
        <f t="shared" si="20"/>
        <v>0</v>
      </c>
      <c r="CQ27" s="288">
        <f t="shared" si="20"/>
        <v>0</v>
      </c>
      <c r="CR27" s="288">
        <f t="shared" si="20"/>
        <v>0</v>
      </c>
      <c r="CS27" s="288">
        <f t="shared" si="20"/>
        <v>0</v>
      </c>
      <c r="CT27" s="288">
        <f t="shared" si="20"/>
        <v>0</v>
      </c>
      <c r="CU27" s="288">
        <f t="shared" si="20"/>
        <v>0</v>
      </c>
      <c r="CV27" s="288">
        <f t="shared" si="20"/>
        <v>0</v>
      </c>
      <c r="CW27" s="288">
        <f t="shared" si="20"/>
        <v>0</v>
      </c>
      <c r="CX27" s="288">
        <f t="shared" si="21"/>
        <v>0</v>
      </c>
      <c r="CY27" s="288">
        <f t="shared" si="13"/>
        <v>0</v>
      </c>
      <c r="CZ27" s="288">
        <f t="shared" si="13"/>
        <v>0</v>
      </c>
      <c r="DA27" s="288">
        <f t="shared" si="13"/>
        <v>0</v>
      </c>
      <c r="DB27" s="288">
        <f t="shared" si="13"/>
        <v>0</v>
      </c>
      <c r="DC27" s="288">
        <f t="shared" si="13"/>
        <v>0</v>
      </c>
      <c r="DD27" s="288">
        <f t="shared" si="13"/>
        <v>0</v>
      </c>
      <c r="DE27" s="288">
        <f t="shared" si="13"/>
        <v>0</v>
      </c>
      <c r="DG27" s="314">
        <f t="shared" si="3"/>
        <v>29</v>
      </c>
      <c r="DH27" s="289">
        <f>MAX(AA$3:AA$109)</f>
        <v>29</v>
      </c>
      <c r="DJ27" s="288">
        <f>LOOKUP(DH27, 'Mortality Table'!A:A,('Mortality Table'!J:J/'Mortality Table'!I:I))</f>
        <v>1.4912936461475596E-3</v>
      </c>
      <c r="DK27" s="288">
        <f>LOOKUP(A27, 'Mortality Table'!A:A,('Mortality Table'!J:J/'Mortality Table'!I:I))</f>
        <v>1.4419762742349125E-3</v>
      </c>
      <c r="DL27" s="288">
        <f t="shared" si="4"/>
        <v>4.9317371912647057E-5</v>
      </c>
      <c r="DN27" s="288">
        <f>LOOKUP(DH27, 'Mortality Table'!A:A,('Mortality Table'!L:L/'Mortality Table'!K:K))</f>
        <v>1.5106200719564281E-3</v>
      </c>
      <c r="DO27" s="288">
        <f>LOOKUP(A27, 'Mortality Table'!A:A,('Mortality Table'!L:L/'Mortality Table'!K:K))</f>
        <v>1.4606635713706189E-3</v>
      </c>
      <c r="DP27" s="288">
        <f t="shared" si="5"/>
        <v>4.9956500585809221E-5</v>
      </c>
      <c r="DR27" s="288">
        <f>LOOKUP(DH27, 'Mortality Table'!A:A,('Mortality Table'!N:N/'Mortality Table'!M:M))</f>
        <v>1.5445708294972752E-3</v>
      </c>
      <c r="DS27" s="288">
        <f>LOOKUP(A27, 'Mortality Table'!A:A,('Mortality Table'!N:N/'Mortality Table'!M:M))</f>
        <v>1.4934915707339048E-3</v>
      </c>
      <c r="DT27" s="288">
        <f t="shared" si="6"/>
        <v>5.1079258763370421E-5</v>
      </c>
    </row>
    <row r="28" spans="1:124">
      <c r="A28" s="288">
        <v>25</v>
      </c>
      <c r="B28" s="288">
        <v>1.548336819654649E-3</v>
      </c>
      <c r="C28" s="288">
        <f t="shared" si="18"/>
        <v>0</v>
      </c>
      <c r="D28" s="288">
        <f t="shared" si="18"/>
        <v>0</v>
      </c>
      <c r="E28" s="288">
        <f t="shared" si="18"/>
        <v>0</v>
      </c>
      <c r="F28" s="288">
        <f t="shared" si="18"/>
        <v>0</v>
      </c>
      <c r="G28" s="288">
        <f t="shared" si="18"/>
        <v>0</v>
      </c>
      <c r="H28" s="288">
        <f t="shared" si="18"/>
        <v>0</v>
      </c>
      <c r="I28" s="288">
        <f t="shared" si="18"/>
        <v>0</v>
      </c>
      <c r="J28" s="288">
        <f t="shared" si="18"/>
        <v>0</v>
      </c>
      <c r="K28" s="288">
        <f t="shared" si="18"/>
        <v>0</v>
      </c>
      <c r="L28" s="288">
        <f t="shared" si="18"/>
        <v>0</v>
      </c>
      <c r="M28" s="288">
        <f t="shared" si="18"/>
        <v>0</v>
      </c>
      <c r="N28" s="288">
        <f t="shared" si="18"/>
        <v>0</v>
      </c>
      <c r="O28" s="288">
        <f t="shared" si="14"/>
        <v>0</v>
      </c>
      <c r="P28" s="288">
        <f t="shared" si="14"/>
        <v>0</v>
      </c>
      <c r="Q28" s="288">
        <f t="shared" si="14"/>
        <v>0</v>
      </c>
      <c r="R28" s="288">
        <f t="shared" si="14"/>
        <v>0</v>
      </c>
      <c r="S28" s="288">
        <f t="shared" si="14"/>
        <v>0</v>
      </c>
      <c r="T28" s="288">
        <f t="shared" si="14"/>
        <v>0</v>
      </c>
      <c r="U28" s="288">
        <f t="shared" si="14"/>
        <v>0</v>
      </c>
      <c r="V28" s="288">
        <f t="shared" si="14"/>
        <v>0</v>
      </c>
      <c r="W28" s="288">
        <f t="shared" si="14"/>
        <v>0</v>
      </c>
      <c r="X28" s="288">
        <f t="shared" si="14"/>
        <v>0</v>
      </c>
      <c r="Y28" s="288">
        <f t="shared" si="14"/>
        <v>0</v>
      </c>
      <c r="Z28" s="288">
        <f t="shared" si="14"/>
        <v>0</v>
      </c>
      <c r="AA28" s="288">
        <f t="shared" si="14"/>
        <v>0</v>
      </c>
      <c r="AB28" s="288">
        <f t="shared" si="14"/>
        <v>0</v>
      </c>
      <c r="AC28" s="288">
        <f t="shared" si="14"/>
        <v>0</v>
      </c>
      <c r="AD28" s="288">
        <f t="shared" si="14"/>
        <v>0</v>
      </c>
      <c r="AE28" s="288">
        <f t="shared" si="19"/>
        <v>0</v>
      </c>
      <c r="AF28" s="288">
        <f t="shared" si="19"/>
        <v>0</v>
      </c>
      <c r="AG28" s="288">
        <f t="shared" si="19"/>
        <v>0</v>
      </c>
      <c r="AH28" s="288">
        <f t="shared" si="15"/>
        <v>0</v>
      </c>
      <c r="AI28" s="288">
        <f t="shared" si="15"/>
        <v>0</v>
      </c>
      <c r="AJ28" s="288">
        <f t="shared" si="15"/>
        <v>0</v>
      </c>
      <c r="AK28" s="288">
        <f t="shared" si="15"/>
        <v>0</v>
      </c>
      <c r="AL28" s="288">
        <f t="shared" si="15"/>
        <v>0</v>
      </c>
      <c r="AM28" s="288">
        <f t="shared" si="15"/>
        <v>0</v>
      </c>
      <c r="AN28" s="288">
        <f t="shared" si="15"/>
        <v>0</v>
      </c>
      <c r="AO28" s="288">
        <f t="shared" si="15"/>
        <v>0</v>
      </c>
      <c r="AP28" s="288">
        <f t="shared" si="15"/>
        <v>0</v>
      </c>
      <c r="AQ28" s="288">
        <f t="shared" si="15"/>
        <v>0</v>
      </c>
      <c r="AR28" s="288">
        <f t="shared" si="15"/>
        <v>0</v>
      </c>
      <c r="AS28" s="288">
        <f t="shared" si="15"/>
        <v>0</v>
      </c>
      <c r="AT28" s="288">
        <f t="shared" si="15"/>
        <v>0</v>
      </c>
      <c r="AU28" s="288">
        <f t="shared" si="15"/>
        <v>0</v>
      </c>
      <c r="AV28" s="288">
        <f t="shared" si="15"/>
        <v>0</v>
      </c>
      <c r="AW28" s="288">
        <f t="shared" si="15"/>
        <v>0</v>
      </c>
      <c r="AX28" s="288">
        <f t="shared" si="16"/>
        <v>0</v>
      </c>
      <c r="AY28" s="288">
        <f t="shared" si="16"/>
        <v>0</v>
      </c>
      <c r="AZ28" s="288">
        <f t="shared" si="16"/>
        <v>0</v>
      </c>
      <c r="BA28" s="288">
        <f t="shared" si="16"/>
        <v>0</v>
      </c>
      <c r="BB28" s="288">
        <f t="shared" si="16"/>
        <v>0</v>
      </c>
      <c r="BC28" s="288">
        <f t="shared" si="16"/>
        <v>0</v>
      </c>
      <c r="BD28" s="288">
        <f t="shared" si="16"/>
        <v>0</v>
      </c>
      <c r="BE28" s="288">
        <f t="shared" si="16"/>
        <v>0</v>
      </c>
      <c r="BF28" s="288">
        <f t="shared" si="16"/>
        <v>0</v>
      </c>
      <c r="BG28" s="288">
        <f t="shared" si="16"/>
        <v>0</v>
      </c>
      <c r="BH28" s="288">
        <f t="shared" si="16"/>
        <v>0</v>
      </c>
      <c r="BI28" s="288">
        <f t="shared" si="16"/>
        <v>0</v>
      </c>
      <c r="BJ28" s="288">
        <f t="shared" si="16"/>
        <v>0</v>
      </c>
      <c r="BK28" s="288">
        <f t="shared" si="16"/>
        <v>0</v>
      </c>
      <c r="BL28" s="288">
        <f t="shared" si="16"/>
        <v>0</v>
      </c>
      <c r="BM28" s="288">
        <f t="shared" si="16"/>
        <v>0</v>
      </c>
      <c r="BN28" s="288">
        <f t="shared" si="17"/>
        <v>0</v>
      </c>
      <c r="BO28" s="288">
        <f t="shared" si="7"/>
        <v>0</v>
      </c>
      <c r="BP28" s="288">
        <f t="shared" si="7"/>
        <v>0</v>
      </c>
      <c r="BQ28" s="288">
        <f t="shared" si="7"/>
        <v>0</v>
      </c>
      <c r="BR28" s="288">
        <f t="shared" si="7"/>
        <v>0</v>
      </c>
      <c r="BS28" s="288">
        <f t="shared" si="7"/>
        <v>0</v>
      </c>
      <c r="BT28" s="288">
        <f t="shared" si="7"/>
        <v>0</v>
      </c>
      <c r="BU28" s="288">
        <f t="shared" si="7"/>
        <v>0</v>
      </c>
      <c r="BV28" s="288">
        <f t="shared" si="7"/>
        <v>0</v>
      </c>
      <c r="BW28" s="288">
        <f t="shared" si="7"/>
        <v>0</v>
      </c>
      <c r="BX28" s="288">
        <f t="shared" si="7"/>
        <v>0</v>
      </c>
      <c r="BY28" s="288">
        <f t="shared" si="7"/>
        <v>0</v>
      </c>
      <c r="BZ28" s="288">
        <f t="shared" si="7"/>
        <v>0</v>
      </c>
      <c r="CA28" s="288">
        <f t="shared" si="7"/>
        <v>0</v>
      </c>
      <c r="CB28" s="288">
        <f t="shared" si="7"/>
        <v>0</v>
      </c>
      <c r="CC28" s="288">
        <f t="shared" si="7"/>
        <v>0</v>
      </c>
      <c r="CD28" s="288">
        <f t="shared" si="7"/>
        <v>0</v>
      </c>
      <c r="CE28" s="288">
        <f t="shared" si="22"/>
        <v>0</v>
      </c>
      <c r="CF28" s="288">
        <f t="shared" si="22"/>
        <v>0</v>
      </c>
      <c r="CG28" s="288">
        <f t="shared" si="22"/>
        <v>0</v>
      </c>
      <c r="CH28" s="288">
        <f t="shared" si="20"/>
        <v>0</v>
      </c>
      <c r="CI28" s="288">
        <f t="shared" si="20"/>
        <v>0</v>
      </c>
      <c r="CJ28" s="288">
        <f t="shared" si="20"/>
        <v>0</v>
      </c>
      <c r="CK28" s="288">
        <f t="shared" si="20"/>
        <v>0</v>
      </c>
      <c r="CL28" s="288">
        <f t="shared" si="20"/>
        <v>0</v>
      </c>
      <c r="CM28" s="288">
        <f t="shared" si="20"/>
        <v>0</v>
      </c>
      <c r="CN28" s="288">
        <f t="shared" si="20"/>
        <v>0</v>
      </c>
      <c r="CO28" s="288">
        <f t="shared" si="20"/>
        <v>0</v>
      </c>
      <c r="CP28" s="288">
        <f t="shared" si="20"/>
        <v>0</v>
      </c>
      <c r="CQ28" s="288">
        <f t="shared" si="20"/>
        <v>0</v>
      </c>
      <c r="CR28" s="288">
        <f t="shared" si="20"/>
        <v>0</v>
      </c>
      <c r="CS28" s="288">
        <f t="shared" si="20"/>
        <v>0</v>
      </c>
      <c r="CT28" s="288">
        <f t="shared" si="20"/>
        <v>0</v>
      </c>
      <c r="CU28" s="288">
        <f t="shared" si="20"/>
        <v>0</v>
      </c>
      <c r="CV28" s="288">
        <f t="shared" si="20"/>
        <v>0</v>
      </c>
      <c r="CW28" s="288">
        <f t="shared" si="20"/>
        <v>0</v>
      </c>
      <c r="CX28" s="288">
        <f t="shared" si="21"/>
        <v>0</v>
      </c>
      <c r="CY28" s="288">
        <f t="shared" si="13"/>
        <v>0</v>
      </c>
      <c r="CZ28" s="288">
        <f t="shared" si="13"/>
        <v>0</v>
      </c>
      <c r="DA28" s="288">
        <f t="shared" si="13"/>
        <v>0</v>
      </c>
      <c r="DB28" s="288">
        <f t="shared" si="13"/>
        <v>0</v>
      </c>
      <c r="DC28" s="288">
        <f t="shared" si="13"/>
        <v>0</v>
      </c>
      <c r="DD28" s="288">
        <f t="shared" si="13"/>
        <v>0</v>
      </c>
      <c r="DE28" s="288">
        <f t="shared" si="13"/>
        <v>0</v>
      </c>
      <c r="DG28" s="314">
        <f t="shared" si="3"/>
        <v>28</v>
      </c>
      <c r="DH28" s="289">
        <f>MAX(AB$3:AB$109)</f>
        <v>28</v>
      </c>
      <c r="DJ28" s="288">
        <f>LOOKUP(DH28, 'Mortality Table'!A:A,('Mortality Table'!J:J/'Mortality Table'!I:I))</f>
        <v>1.4604768842726064E-3</v>
      </c>
      <c r="DK28" s="288">
        <f>LOOKUP(A28, 'Mortality Table'!A:A,('Mortality Table'!J:J/'Mortality Table'!I:I))</f>
        <v>1.4253595761314845E-3</v>
      </c>
      <c r="DL28" s="288">
        <f t="shared" si="4"/>
        <v>3.5117308141121868E-5</v>
      </c>
      <c r="DN28" s="288">
        <f>LOOKUP(DH28, 'Mortality Table'!A:A,('Mortality Table'!L:L/'Mortality Table'!K:K))</f>
        <v>1.4794039401360693E-3</v>
      </c>
      <c r="DO28" s="288">
        <f>LOOKUP(A28, 'Mortality Table'!A:A,('Mortality Table'!L:L/'Mortality Table'!K:K))</f>
        <v>1.4438315291034752E-3</v>
      </c>
      <c r="DP28" s="288">
        <f t="shared" si="5"/>
        <v>3.5572411032594019E-5</v>
      </c>
      <c r="DR28" s="288">
        <f>LOOKUP(DH28, 'Mortality Table'!A:A,('Mortality Table'!N:N/'Mortality Table'!M:M))</f>
        <v>1.5126531239705488E-3</v>
      </c>
      <c r="DS28" s="288">
        <f>LOOKUP(A28, 'Mortality Table'!A:A,('Mortality Table'!N:N/'Mortality Table'!M:M))</f>
        <v>1.4762812330922069E-3</v>
      </c>
      <c r="DT28" s="288">
        <f t="shared" si="6"/>
        <v>3.6371890878341903E-5</v>
      </c>
    </row>
    <row r="29" spans="1:124">
      <c r="A29" s="288">
        <v>26</v>
      </c>
      <c r="B29" s="288">
        <v>1.5507378842184178E-3</v>
      </c>
      <c r="C29" s="288">
        <f t="shared" si="18"/>
        <v>0</v>
      </c>
      <c r="D29" s="288">
        <f t="shared" si="18"/>
        <v>0</v>
      </c>
      <c r="E29" s="288">
        <f t="shared" si="18"/>
        <v>0</v>
      </c>
      <c r="F29" s="288">
        <f t="shared" si="18"/>
        <v>0</v>
      </c>
      <c r="G29" s="288">
        <f t="shared" si="18"/>
        <v>0</v>
      </c>
      <c r="H29" s="288">
        <f t="shared" si="18"/>
        <v>0</v>
      </c>
      <c r="I29" s="288">
        <f t="shared" si="18"/>
        <v>0</v>
      </c>
      <c r="J29" s="288">
        <f t="shared" si="18"/>
        <v>0</v>
      </c>
      <c r="K29" s="288">
        <f t="shared" si="18"/>
        <v>0</v>
      </c>
      <c r="L29" s="288">
        <f t="shared" si="18"/>
        <v>0</v>
      </c>
      <c r="M29" s="288">
        <f t="shared" si="18"/>
        <v>0</v>
      </c>
      <c r="N29" s="288">
        <f t="shared" si="18"/>
        <v>0</v>
      </c>
      <c r="O29" s="288">
        <f t="shared" si="14"/>
        <v>0</v>
      </c>
      <c r="P29" s="288">
        <f t="shared" si="14"/>
        <v>0</v>
      </c>
      <c r="Q29" s="288">
        <f t="shared" si="14"/>
        <v>0</v>
      </c>
      <c r="R29" s="288">
        <f t="shared" si="14"/>
        <v>0</v>
      </c>
      <c r="S29" s="288">
        <f t="shared" si="14"/>
        <v>0</v>
      </c>
      <c r="T29" s="288">
        <f t="shared" si="14"/>
        <v>0</v>
      </c>
      <c r="U29" s="288">
        <f t="shared" si="14"/>
        <v>0</v>
      </c>
      <c r="V29" s="288">
        <f t="shared" si="14"/>
        <v>0</v>
      </c>
      <c r="W29" s="288">
        <f t="shared" si="14"/>
        <v>0</v>
      </c>
      <c r="X29" s="288">
        <f t="shared" si="14"/>
        <v>0</v>
      </c>
      <c r="Y29" s="288">
        <f t="shared" si="14"/>
        <v>0</v>
      </c>
      <c r="Z29" s="288">
        <f t="shared" si="14"/>
        <v>0</v>
      </c>
      <c r="AA29" s="288">
        <f t="shared" si="14"/>
        <v>0</v>
      </c>
      <c r="AB29" s="288">
        <f t="shared" si="14"/>
        <v>0</v>
      </c>
      <c r="AC29" s="288">
        <f t="shared" si="14"/>
        <v>0</v>
      </c>
      <c r="AD29" s="288">
        <f t="shared" si="14"/>
        <v>0</v>
      </c>
      <c r="AE29" s="288">
        <f t="shared" si="19"/>
        <v>0</v>
      </c>
      <c r="AF29" s="288">
        <f t="shared" si="19"/>
        <v>0</v>
      </c>
      <c r="AG29" s="288">
        <f t="shared" si="19"/>
        <v>0</v>
      </c>
      <c r="AH29" s="288">
        <f t="shared" si="15"/>
        <v>0</v>
      </c>
      <c r="AI29" s="288">
        <f t="shared" si="15"/>
        <v>0</v>
      </c>
      <c r="AJ29" s="288">
        <f t="shared" si="15"/>
        <v>0</v>
      </c>
      <c r="AK29" s="288">
        <f t="shared" si="15"/>
        <v>0</v>
      </c>
      <c r="AL29" s="288">
        <f t="shared" si="15"/>
        <v>0</v>
      </c>
      <c r="AM29" s="288">
        <f t="shared" si="15"/>
        <v>0</v>
      </c>
      <c r="AN29" s="288">
        <f t="shared" si="15"/>
        <v>0</v>
      </c>
      <c r="AO29" s="288">
        <f t="shared" si="15"/>
        <v>0</v>
      </c>
      <c r="AP29" s="288">
        <f t="shared" si="15"/>
        <v>0</v>
      </c>
      <c r="AQ29" s="288">
        <f t="shared" si="15"/>
        <v>0</v>
      </c>
      <c r="AR29" s="288">
        <f t="shared" si="15"/>
        <v>0</v>
      </c>
      <c r="AS29" s="288">
        <f t="shared" si="15"/>
        <v>0</v>
      </c>
      <c r="AT29" s="288">
        <f t="shared" si="15"/>
        <v>0</v>
      </c>
      <c r="AU29" s="288">
        <f t="shared" si="15"/>
        <v>0</v>
      </c>
      <c r="AV29" s="288">
        <f t="shared" si="15"/>
        <v>0</v>
      </c>
      <c r="AW29" s="288">
        <f t="shared" si="15"/>
        <v>0</v>
      </c>
      <c r="AX29" s="288">
        <f t="shared" si="16"/>
        <v>0</v>
      </c>
      <c r="AY29" s="288">
        <f t="shared" si="16"/>
        <v>0</v>
      </c>
      <c r="AZ29" s="288">
        <f t="shared" si="16"/>
        <v>0</v>
      </c>
      <c r="BA29" s="288">
        <f t="shared" si="16"/>
        <v>0</v>
      </c>
      <c r="BB29" s="288">
        <f t="shared" si="16"/>
        <v>0</v>
      </c>
      <c r="BC29" s="288">
        <f t="shared" si="16"/>
        <v>0</v>
      </c>
      <c r="BD29" s="288">
        <f t="shared" si="16"/>
        <v>0</v>
      </c>
      <c r="BE29" s="288">
        <f t="shared" si="16"/>
        <v>0</v>
      </c>
      <c r="BF29" s="288">
        <f t="shared" si="16"/>
        <v>0</v>
      </c>
      <c r="BG29" s="288">
        <f t="shared" si="16"/>
        <v>0</v>
      </c>
      <c r="BH29" s="288">
        <f t="shared" si="16"/>
        <v>0</v>
      </c>
      <c r="BI29" s="288">
        <f t="shared" si="16"/>
        <v>0</v>
      </c>
      <c r="BJ29" s="288">
        <f t="shared" si="16"/>
        <v>0</v>
      </c>
      <c r="BK29" s="288">
        <f t="shared" si="16"/>
        <v>0</v>
      </c>
      <c r="BL29" s="288">
        <f t="shared" si="16"/>
        <v>0</v>
      </c>
      <c r="BM29" s="288">
        <f t="shared" si="16"/>
        <v>0</v>
      </c>
      <c r="BN29" s="288">
        <f t="shared" si="17"/>
        <v>0</v>
      </c>
      <c r="BO29" s="288">
        <f t="shared" si="7"/>
        <v>0</v>
      </c>
      <c r="BP29" s="288">
        <f t="shared" si="7"/>
        <v>0</v>
      </c>
      <c r="BQ29" s="288">
        <f t="shared" si="7"/>
        <v>0</v>
      </c>
      <c r="BR29" s="288">
        <f t="shared" si="7"/>
        <v>0</v>
      </c>
      <c r="BS29" s="288">
        <f t="shared" si="7"/>
        <v>0</v>
      </c>
      <c r="BT29" s="288">
        <f t="shared" si="7"/>
        <v>0</v>
      </c>
      <c r="BU29" s="288">
        <f t="shared" si="7"/>
        <v>0</v>
      </c>
      <c r="BV29" s="288">
        <f t="shared" si="7"/>
        <v>0</v>
      </c>
      <c r="BW29" s="288">
        <f t="shared" si="7"/>
        <v>0</v>
      </c>
      <c r="BX29" s="288">
        <f t="shared" si="7"/>
        <v>0</v>
      </c>
      <c r="BY29" s="288">
        <f t="shared" si="7"/>
        <v>0</v>
      </c>
      <c r="BZ29" s="288">
        <f t="shared" si="7"/>
        <v>0</v>
      </c>
      <c r="CA29" s="288">
        <f t="shared" si="7"/>
        <v>0</v>
      </c>
      <c r="CB29" s="288">
        <f t="shared" si="7"/>
        <v>0</v>
      </c>
      <c r="CC29" s="288">
        <f t="shared" si="7"/>
        <v>0</v>
      </c>
      <c r="CD29" s="288">
        <f t="shared" si="7"/>
        <v>0</v>
      </c>
      <c r="CE29" s="288">
        <f t="shared" si="22"/>
        <v>0</v>
      </c>
      <c r="CF29" s="288">
        <f t="shared" si="22"/>
        <v>0</v>
      </c>
      <c r="CG29" s="288">
        <f t="shared" si="22"/>
        <v>0</v>
      </c>
      <c r="CH29" s="288">
        <f t="shared" si="20"/>
        <v>0</v>
      </c>
      <c r="CI29" s="288">
        <f t="shared" si="20"/>
        <v>0</v>
      </c>
      <c r="CJ29" s="288">
        <f t="shared" si="20"/>
        <v>0</v>
      </c>
      <c r="CK29" s="288">
        <f t="shared" si="20"/>
        <v>0</v>
      </c>
      <c r="CL29" s="288">
        <f t="shared" si="20"/>
        <v>0</v>
      </c>
      <c r="CM29" s="288">
        <f t="shared" si="20"/>
        <v>0</v>
      </c>
      <c r="CN29" s="288">
        <f t="shared" si="20"/>
        <v>0</v>
      </c>
      <c r="CO29" s="288">
        <f t="shared" si="20"/>
        <v>0</v>
      </c>
      <c r="CP29" s="288">
        <f t="shared" si="20"/>
        <v>0</v>
      </c>
      <c r="CQ29" s="288">
        <f t="shared" si="20"/>
        <v>0</v>
      </c>
      <c r="CR29" s="288">
        <f t="shared" si="20"/>
        <v>0</v>
      </c>
      <c r="CS29" s="288">
        <f t="shared" si="20"/>
        <v>0</v>
      </c>
      <c r="CT29" s="288">
        <f t="shared" si="20"/>
        <v>0</v>
      </c>
      <c r="CU29" s="288">
        <f t="shared" si="20"/>
        <v>0</v>
      </c>
      <c r="CV29" s="288">
        <f t="shared" si="20"/>
        <v>0</v>
      </c>
      <c r="CW29" s="288">
        <f t="shared" si="20"/>
        <v>0</v>
      </c>
      <c r="CX29" s="288">
        <f t="shared" si="21"/>
        <v>0</v>
      </c>
      <c r="CY29" s="288">
        <f t="shared" si="13"/>
        <v>0</v>
      </c>
      <c r="CZ29" s="288">
        <f t="shared" si="13"/>
        <v>0</v>
      </c>
      <c r="DA29" s="288">
        <f t="shared" si="13"/>
        <v>0</v>
      </c>
      <c r="DB29" s="288">
        <f t="shared" si="13"/>
        <v>0</v>
      </c>
      <c r="DC29" s="288">
        <f t="shared" si="13"/>
        <v>0</v>
      </c>
      <c r="DD29" s="288">
        <f t="shared" si="13"/>
        <v>0</v>
      </c>
      <c r="DE29" s="288">
        <f t="shared" si="13"/>
        <v>0</v>
      </c>
      <c r="DG29" s="314">
        <f t="shared" si="3"/>
        <v>28</v>
      </c>
      <c r="DH29" s="289">
        <f>MAX(AC$3:AC$109)</f>
        <v>28</v>
      </c>
      <c r="DJ29" s="288">
        <f>LOOKUP(DH29, 'Mortality Table'!A:A,('Mortality Table'!J:J/'Mortality Table'!I:I))</f>
        <v>1.4604768842726064E-3</v>
      </c>
      <c r="DK29" s="288">
        <f>LOOKUP(A29, 'Mortality Table'!A:A,('Mortality Table'!J:J/'Mortality Table'!I:I))</f>
        <v>1.4275699352248249E-3</v>
      </c>
      <c r="DL29" s="288">
        <f t="shared" si="4"/>
        <v>3.2906949047781416E-5</v>
      </c>
      <c r="DN29" s="288">
        <f>LOOKUP(DH29, 'Mortality Table'!A:A,('Mortality Table'!L:L/'Mortality Table'!K:K))</f>
        <v>1.4794039401360693E-3</v>
      </c>
      <c r="DO29" s="288">
        <f>LOOKUP(A29, 'Mortality Table'!A:A,('Mortality Table'!L:L/'Mortality Table'!K:K))</f>
        <v>1.4460705333540851E-3</v>
      </c>
      <c r="DP29" s="288">
        <f t="shared" si="5"/>
        <v>3.3333406781984156E-5</v>
      </c>
      <c r="DR29" s="288">
        <f>LOOKUP(DH29, 'Mortality Table'!A:A,('Mortality Table'!N:N/'Mortality Table'!M:M))</f>
        <v>1.5126531239705488E-3</v>
      </c>
      <c r="DS29" s="288">
        <f>LOOKUP(A29, 'Mortality Table'!A:A,('Mortality Table'!N:N/'Mortality Table'!M:M))</f>
        <v>1.478570558328124E-3</v>
      </c>
      <c r="DT29" s="288">
        <f t="shared" si="6"/>
        <v>3.4082565642424775E-5</v>
      </c>
    </row>
    <row r="30" spans="1:124">
      <c r="A30" s="288">
        <v>27</v>
      </c>
      <c r="B30" s="288">
        <v>1.5634321449877599E-3</v>
      </c>
      <c r="C30" s="288">
        <f t="shared" si="18"/>
        <v>0</v>
      </c>
      <c r="D30" s="288">
        <f t="shared" si="18"/>
        <v>0</v>
      </c>
      <c r="E30" s="288">
        <f t="shared" si="18"/>
        <v>0</v>
      </c>
      <c r="F30" s="288">
        <f t="shared" si="18"/>
        <v>0</v>
      </c>
      <c r="G30" s="288">
        <f t="shared" si="18"/>
        <v>0</v>
      </c>
      <c r="H30" s="288">
        <f t="shared" si="18"/>
        <v>0</v>
      </c>
      <c r="I30" s="288">
        <f t="shared" si="18"/>
        <v>0</v>
      </c>
      <c r="J30" s="288">
        <f t="shared" si="18"/>
        <v>0</v>
      </c>
      <c r="K30" s="288">
        <f t="shared" si="18"/>
        <v>0</v>
      </c>
      <c r="L30" s="288">
        <f t="shared" si="18"/>
        <v>0</v>
      </c>
      <c r="M30" s="288">
        <f t="shared" si="18"/>
        <v>0</v>
      </c>
      <c r="N30" s="288">
        <f t="shared" si="18"/>
        <v>0</v>
      </c>
      <c r="O30" s="288">
        <f t="shared" si="14"/>
        <v>0</v>
      </c>
      <c r="P30" s="288">
        <f t="shared" si="14"/>
        <v>0</v>
      </c>
      <c r="Q30" s="288">
        <f t="shared" si="14"/>
        <v>0</v>
      </c>
      <c r="R30" s="288">
        <f t="shared" si="14"/>
        <v>0</v>
      </c>
      <c r="S30" s="288">
        <f t="shared" si="14"/>
        <v>0</v>
      </c>
      <c r="T30" s="288">
        <f t="shared" si="14"/>
        <v>0</v>
      </c>
      <c r="U30" s="288">
        <f t="shared" si="14"/>
        <v>0</v>
      </c>
      <c r="V30" s="288">
        <f t="shared" si="14"/>
        <v>0</v>
      </c>
      <c r="W30" s="288">
        <f t="shared" si="14"/>
        <v>0</v>
      </c>
      <c r="X30" s="288">
        <f t="shared" si="14"/>
        <v>27</v>
      </c>
      <c r="Y30" s="288">
        <f t="shared" si="14"/>
        <v>0</v>
      </c>
      <c r="Z30" s="288">
        <f t="shared" si="14"/>
        <v>0</v>
      </c>
      <c r="AA30" s="288">
        <f t="shared" si="14"/>
        <v>0</v>
      </c>
      <c r="AB30" s="288">
        <f t="shared" si="14"/>
        <v>0</v>
      </c>
      <c r="AC30" s="288">
        <f t="shared" si="14"/>
        <v>0</v>
      </c>
      <c r="AD30" s="288">
        <f t="shared" si="14"/>
        <v>0</v>
      </c>
      <c r="AE30" s="288">
        <f t="shared" si="19"/>
        <v>0</v>
      </c>
      <c r="AF30" s="288">
        <f t="shared" si="19"/>
        <v>0</v>
      </c>
      <c r="AG30" s="288">
        <f t="shared" si="19"/>
        <v>0</v>
      </c>
      <c r="AH30" s="288">
        <f t="shared" si="15"/>
        <v>0</v>
      </c>
      <c r="AI30" s="288">
        <f t="shared" si="15"/>
        <v>0</v>
      </c>
      <c r="AJ30" s="288">
        <f t="shared" si="15"/>
        <v>0</v>
      </c>
      <c r="AK30" s="288">
        <f t="shared" si="15"/>
        <v>0</v>
      </c>
      <c r="AL30" s="288">
        <f t="shared" si="15"/>
        <v>0</v>
      </c>
      <c r="AM30" s="288">
        <f t="shared" si="15"/>
        <v>0</v>
      </c>
      <c r="AN30" s="288">
        <f t="shared" si="15"/>
        <v>0</v>
      </c>
      <c r="AO30" s="288">
        <f t="shared" si="15"/>
        <v>0</v>
      </c>
      <c r="AP30" s="288">
        <f t="shared" si="15"/>
        <v>0</v>
      </c>
      <c r="AQ30" s="288">
        <f t="shared" si="15"/>
        <v>0</v>
      </c>
      <c r="AR30" s="288">
        <f t="shared" si="15"/>
        <v>0</v>
      </c>
      <c r="AS30" s="288">
        <f t="shared" si="15"/>
        <v>0</v>
      </c>
      <c r="AT30" s="288">
        <f t="shared" si="15"/>
        <v>0</v>
      </c>
      <c r="AU30" s="288">
        <f t="shared" si="15"/>
        <v>0</v>
      </c>
      <c r="AV30" s="288">
        <f t="shared" si="15"/>
        <v>0</v>
      </c>
      <c r="AW30" s="288">
        <f t="shared" si="15"/>
        <v>0</v>
      </c>
      <c r="AX30" s="288">
        <f t="shared" si="16"/>
        <v>0</v>
      </c>
      <c r="AY30" s="288">
        <f t="shared" si="16"/>
        <v>0</v>
      </c>
      <c r="AZ30" s="288">
        <f t="shared" si="16"/>
        <v>0</v>
      </c>
      <c r="BA30" s="288">
        <f t="shared" si="16"/>
        <v>0</v>
      </c>
      <c r="BB30" s="288">
        <f t="shared" si="16"/>
        <v>0</v>
      </c>
      <c r="BC30" s="288">
        <f t="shared" si="16"/>
        <v>0</v>
      </c>
      <c r="BD30" s="288">
        <f t="shared" si="16"/>
        <v>0</v>
      </c>
      <c r="BE30" s="288">
        <f t="shared" si="16"/>
        <v>0</v>
      </c>
      <c r="BF30" s="288">
        <f t="shared" si="16"/>
        <v>0</v>
      </c>
      <c r="BG30" s="288">
        <f t="shared" si="16"/>
        <v>0</v>
      </c>
      <c r="BH30" s="288">
        <f t="shared" si="16"/>
        <v>0</v>
      </c>
      <c r="BI30" s="288">
        <f t="shared" si="16"/>
        <v>0</v>
      </c>
      <c r="BJ30" s="288">
        <f t="shared" si="16"/>
        <v>0</v>
      </c>
      <c r="BK30" s="288">
        <f t="shared" si="16"/>
        <v>0</v>
      </c>
      <c r="BL30" s="288">
        <f t="shared" si="16"/>
        <v>0</v>
      </c>
      <c r="BM30" s="288">
        <f t="shared" si="16"/>
        <v>0</v>
      </c>
      <c r="BN30" s="288">
        <f t="shared" si="17"/>
        <v>0</v>
      </c>
      <c r="BO30" s="288">
        <f t="shared" si="7"/>
        <v>0</v>
      </c>
      <c r="BP30" s="288">
        <f t="shared" si="7"/>
        <v>0</v>
      </c>
      <c r="BQ30" s="288">
        <f t="shared" si="7"/>
        <v>0</v>
      </c>
      <c r="BR30" s="288">
        <f t="shared" si="7"/>
        <v>0</v>
      </c>
      <c r="BS30" s="288">
        <f t="shared" si="7"/>
        <v>0</v>
      </c>
      <c r="BT30" s="288">
        <f t="shared" si="7"/>
        <v>0</v>
      </c>
      <c r="BU30" s="288">
        <f t="shared" si="7"/>
        <v>0</v>
      </c>
      <c r="BV30" s="288">
        <f t="shared" si="7"/>
        <v>0</v>
      </c>
      <c r="BW30" s="288">
        <f t="shared" si="7"/>
        <v>0</v>
      </c>
      <c r="BX30" s="288">
        <f t="shared" si="7"/>
        <v>0</v>
      </c>
      <c r="BY30" s="288">
        <f t="shared" si="7"/>
        <v>0</v>
      </c>
      <c r="BZ30" s="288">
        <f t="shared" si="7"/>
        <v>0</v>
      </c>
      <c r="CA30" s="288">
        <f t="shared" si="7"/>
        <v>0</v>
      </c>
      <c r="CB30" s="288">
        <f t="shared" si="7"/>
        <v>0</v>
      </c>
      <c r="CC30" s="288">
        <f t="shared" si="7"/>
        <v>0</v>
      </c>
      <c r="CD30" s="288">
        <f t="shared" si="7"/>
        <v>0</v>
      </c>
      <c r="CE30" s="288">
        <f t="shared" si="22"/>
        <v>0</v>
      </c>
      <c r="CF30" s="288">
        <f t="shared" si="22"/>
        <v>0</v>
      </c>
      <c r="CG30" s="288">
        <f t="shared" si="22"/>
        <v>0</v>
      </c>
      <c r="CH30" s="288">
        <f t="shared" si="20"/>
        <v>0</v>
      </c>
      <c r="CI30" s="288">
        <f t="shared" si="20"/>
        <v>0</v>
      </c>
      <c r="CJ30" s="288">
        <f t="shared" si="20"/>
        <v>0</v>
      </c>
      <c r="CK30" s="288">
        <f t="shared" si="20"/>
        <v>0</v>
      </c>
      <c r="CL30" s="288">
        <f t="shared" si="20"/>
        <v>0</v>
      </c>
      <c r="CM30" s="288">
        <f t="shared" si="20"/>
        <v>0</v>
      </c>
      <c r="CN30" s="288">
        <f t="shared" si="20"/>
        <v>0</v>
      </c>
      <c r="CO30" s="288">
        <f t="shared" si="20"/>
        <v>0</v>
      </c>
      <c r="CP30" s="288">
        <f t="shared" si="20"/>
        <v>0</v>
      </c>
      <c r="CQ30" s="288">
        <f t="shared" si="20"/>
        <v>0</v>
      </c>
      <c r="CR30" s="288">
        <f t="shared" si="20"/>
        <v>0</v>
      </c>
      <c r="CS30" s="288">
        <f t="shared" si="20"/>
        <v>0</v>
      </c>
      <c r="CT30" s="288">
        <f t="shared" si="20"/>
        <v>0</v>
      </c>
      <c r="CU30" s="288">
        <f t="shared" si="20"/>
        <v>0</v>
      </c>
      <c r="CV30" s="288">
        <f t="shared" si="20"/>
        <v>0</v>
      </c>
      <c r="CW30" s="288">
        <f t="shared" si="20"/>
        <v>0</v>
      </c>
      <c r="CX30" s="288">
        <f t="shared" si="21"/>
        <v>0</v>
      </c>
      <c r="CY30" s="288">
        <f t="shared" si="13"/>
        <v>0</v>
      </c>
      <c r="CZ30" s="288">
        <f t="shared" si="13"/>
        <v>0</v>
      </c>
      <c r="DA30" s="288">
        <f t="shared" si="13"/>
        <v>0</v>
      </c>
      <c r="DB30" s="288">
        <f t="shared" si="13"/>
        <v>0</v>
      </c>
      <c r="DC30" s="288">
        <f t="shared" si="13"/>
        <v>0</v>
      </c>
      <c r="DD30" s="288">
        <f t="shared" si="13"/>
        <v>0</v>
      </c>
      <c r="DE30" s="288">
        <f t="shared" si="13"/>
        <v>0</v>
      </c>
      <c r="DG30" s="314">
        <f t="shared" si="3"/>
        <v>29</v>
      </c>
      <c r="DH30" s="289">
        <f>MAX(AD$3:AD$109)</f>
        <v>29</v>
      </c>
      <c r="DJ30" s="288">
        <f>LOOKUP(DH30, 'Mortality Table'!A:A,('Mortality Table'!J:J/'Mortality Table'!I:I))</f>
        <v>1.4912936461475596E-3</v>
      </c>
      <c r="DK30" s="288">
        <f>LOOKUP(A30, 'Mortality Table'!A:A,('Mortality Table'!J:J/'Mortality Table'!I:I))</f>
        <v>1.4392559494820643E-3</v>
      </c>
      <c r="DL30" s="288">
        <f t="shared" si="4"/>
        <v>5.2037696665495261E-5</v>
      </c>
      <c r="DN30" s="288">
        <f>LOOKUP(DH30, 'Mortality Table'!A:A,('Mortality Table'!L:L/'Mortality Table'!K:K))</f>
        <v>1.5106200719564281E-3</v>
      </c>
      <c r="DO30" s="288">
        <f>LOOKUP(A30, 'Mortality Table'!A:A,('Mortality Table'!L:L/'Mortality Table'!K:K))</f>
        <v>1.4579079925585532E-3</v>
      </c>
      <c r="DP30" s="288">
        <f t="shared" si="5"/>
        <v>5.2712079397874891E-5</v>
      </c>
      <c r="DR30" s="288">
        <f>LOOKUP(DH30, 'Mortality Table'!A:A,('Mortality Table'!N:N/'Mortality Table'!M:M))</f>
        <v>1.5445708294972752E-3</v>
      </c>
      <c r="DS30" s="288">
        <f>LOOKUP(A30, 'Mortality Table'!A:A,('Mortality Table'!N:N/'Mortality Table'!M:M))</f>
        <v>1.4906740610698198E-3</v>
      </c>
      <c r="DT30" s="288">
        <f t="shared" si="6"/>
        <v>5.3896768427455456E-5</v>
      </c>
    </row>
    <row r="31" spans="1:124">
      <c r="A31" s="288">
        <v>28</v>
      </c>
      <c r="B31" s="288">
        <v>1.5864839806325332E-3</v>
      </c>
      <c r="C31" s="288">
        <f t="shared" si="18"/>
        <v>0</v>
      </c>
      <c r="D31" s="288">
        <f t="shared" si="18"/>
        <v>0</v>
      </c>
      <c r="E31" s="288">
        <f t="shared" si="18"/>
        <v>0</v>
      </c>
      <c r="F31" s="288">
        <f t="shared" si="18"/>
        <v>0</v>
      </c>
      <c r="G31" s="288">
        <f t="shared" si="18"/>
        <v>0</v>
      </c>
      <c r="H31" s="288">
        <f t="shared" si="18"/>
        <v>0</v>
      </c>
      <c r="I31" s="288">
        <f t="shared" si="18"/>
        <v>0</v>
      </c>
      <c r="J31" s="288">
        <f t="shared" si="18"/>
        <v>0</v>
      </c>
      <c r="K31" s="288">
        <f t="shared" si="18"/>
        <v>0</v>
      </c>
      <c r="L31" s="288">
        <f t="shared" si="18"/>
        <v>0</v>
      </c>
      <c r="M31" s="288">
        <f t="shared" si="18"/>
        <v>0</v>
      </c>
      <c r="N31" s="288">
        <f t="shared" si="18"/>
        <v>0</v>
      </c>
      <c r="O31" s="288">
        <f t="shared" si="14"/>
        <v>0</v>
      </c>
      <c r="P31" s="288">
        <f t="shared" si="14"/>
        <v>0</v>
      </c>
      <c r="Q31" s="288">
        <f t="shared" si="14"/>
        <v>0</v>
      </c>
      <c r="R31" s="288">
        <f t="shared" si="14"/>
        <v>0</v>
      </c>
      <c r="S31" s="288">
        <f t="shared" si="14"/>
        <v>0</v>
      </c>
      <c r="T31" s="288">
        <f t="shared" si="14"/>
        <v>0</v>
      </c>
      <c r="U31" s="288">
        <f t="shared" si="14"/>
        <v>0</v>
      </c>
      <c r="V31" s="288">
        <f t="shared" si="14"/>
        <v>0</v>
      </c>
      <c r="W31" s="288">
        <f t="shared" si="14"/>
        <v>0</v>
      </c>
      <c r="X31" s="288">
        <f t="shared" si="14"/>
        <v>0</v>
      </c>
      <c r="Y31" s="288">
        <f t="shared" si="14"/>
        <v>0</v>
      </c>
      <c r="Z31" s="288">
        <f t="shared" si="14"/>
        <v>29</v>
      </c>
      <c r="AA31" s="288">
        <f t="shared" si="14"/>
        <v>29</v>
      </c>
      <c r="AB31" s="288">
        <f t="shared" si="14"/>
        <v>28</v>
      </c>
      <c r="AC31" s="288">
        <f t="shared" si="14"/>
        <v>28</v>
      </c>
      <c r="AD31" s="288">
        <f t="shared" si="14"/>
        <v>29</v>
      </c>
      <c r="AE31" s="288">
        <f t="shared" si="19"/>
        <v>0</v>
      </c>
      <c r="AF31" s="288">
        <f t="shared" si="19"/>
        <v>0</v>
      </c>
      <c r="AG31" s="288">
        <f t="shared" si="19"/>
        <v>0</v>
      </c>
      <c r="AH31" s="288">
        <f t="shared" si="15"/>
        <v>0</v>
      </c>
      <c r="AI31" s="288">
        <f t="shared" si="15"/>
        <v>0</v>
      </c>
      <c r="AJ31" s="288">
        <f t="shared" si="15"/>
        <v>0</v>
      </c>
      <c r="AK31" s="288">
        <f t="shared" si="15"/>
        <v>0</v>
      </c>
      <c r="AL31" s="288">
        <f t="shared" si="15"/>
        <v>0</v>
      </c>
      <c r="AM31" s="288">
        <f t="shared" si="15"/>
        <v>0</v>
      </c>
      <c r="AN31" s="288">
        <f t="shared" si="15"/>
        <v>0</v>
      </c>
      <c r="AO31" s="288">
        <f t="shared" si="15"/>
        <v>0</v>
      </c>
      <c r="AP31" s="288">
        <f t="shared" si="15"/>
        <v>0</v>
      </c>
      <c r="AQ31" s="288">
        <f t="shared" si="15"/>
        <v>0</v>
      </c>
      <c r="AR31" s="288">
        <f t="shared" si="15"/>
        <v>0</v>
      </c>
      <c r="AS31" s="288">
        <f t="shared" si="15"/>
        <v>0</v>
      </c>
      <c r="AT31" s="288">
        <f t="shared" si="15"/>
        <v>0</v>
      </c>
      <c r="AU31" s="288">
        <f t="shared" si="15"/>
        <v>0</v>
      </c>
      <c r="AV31" s="288">
        <f t="shared" si="15"/>
        <v>0</v>
      </c>
      <c r="AW31" s="288">
        <f t="shared" si="15"/>
        <v>0</v>
      </c>
      <c r="AX31" s="288">
        <f t="shared" si="16"/>
        <v>0</v>
      </c>
      <c r="AY31" s="288">
        <f t="shared" si="16"/>
        <v>0</v>
      </c>
      <c r="AZ31" s="288">
        <f t="shared" si="16"/>
        <v>0</v>
      </c>
      <c r="BA31" s="288">
        <f t="shared" si="16"/>
        <v>0</v>
      </c>
      <c r="BB31" s="288">
        <f t="shared" si="16"/>
        <v>0</v>
      </c>
      <c r="BC31" s="288">
        <f t="shared" si="16"/>
        <v>0</v>
      </c>
      <c r="BD31" s="288">
        <f t="shared" si="16"/>
        <v>0</v>
      </c>
      <c r="BE31" s="288">
        <f t="shared" si="16"/>
        <v>0</v>
      </c>
      <c r="BF31" s="288">
        <f t="shared" si="16"/>
        <v>0</v>
      </c>
      <c r="BG31" s="288">
        <f t="shared" si="16"/>
        <v>0</v>
      </c>
      <c r="BH31" s="288">
        <f t="shared" si="16"/>
        <v>0</v>
      </c>
      <c r="BI31" s="288">
        <f t="shared" si="16"/>
        <v>0</v>
      </c>
      <c r="BJ31" s="288">
        <f t="shared" si="16"/>
        <v>0</v>
      </c>
      <c r="BK31" s="288">
        <f t="shared" si="16"/>
        <v>0</v>
      </c>
      <c r="BL31" s="288">
        <f t="shared" si="16"/>
        <v>0</v>
      </c>
      <c r="BM31" s="288">
        <f t="shared" si="16"/>
        <v>0</v>
      </c>
      <c r="BN31" s="288">
        <f t="shared" si="17"/>
        <v>0</v>
      </c>
      <c r="BO31" s="288">
        <f t="shared" si="7"/>
        <v>0</v>
      </c>
      <c r="BP31" s="288">
        <f t="shared" si="7"/>
        <v>0</v>
      </c>
      <c r="BQ31" s="288">
        <f t="shared" si="7"/>
        <v>0</v>
      </c>
      <c r="BR31" s="288">
        <f t="shared" si="7"/>
        <v>0</v>
      </c>
      <c r="BS31" s="288">
        <f t="shared" si="7"/>
        <v>0</v>
      </c>
      <c r="BT31" s="288">
        <f t="shared" si="7"/>
        <v>0</v>
      </c>
      <c r="BU31" s="288">
        <f t="shared" si="7"/>
        <v>0</v>
      </c>
      <c r="BV31" s="288">
        <f t="shared" si="7"/>
        <v>0</v>
      </c>
      <c r="BW31" s="288">
        <f t="shared" si="7"/>
        <v>0</v>
      </c>
      <c r="BX31" s="288">
        <f t="shared" si="7"/>
        <v>0</v>
      </c>
      <c r="BY31" s="288">
        <f t="shared" si="7"/>
        <v>0</v>
      </c>
      <c r="BZ31" s="288">
        <f t="shared" si="7"/>
        <v>0</v>
      </c>
      <c r="CA31" s="288">
        <f t="shared" si="7"/>
        <v>0</v>
      </c>
      <c r="CB31" s="288">
        <f t="shared" si="7"/>
        <v>0</v>
      </c>
      <c r="CC31" s="288">
        <f t="shared" si="7"/>
        <v>0</v>
      </c>
      <c r="CD31" s="288">
        <f t="shared" si="7"/>
        <v>0</v>
      </c>
      <c r="CE31" s="288">
        <f t="shared" si="22"/>
        <v>0</v>
      </c>
      <c r="CF31" s="288">
        <f t="shared" si="22"/>
        <v>0</v>
      </c>
      <c r="CG31" s="288">
        <f t="shared" si="22"/>
        <v>0</v>
      </c>
      <c r="CH31" s="288">
        <f t="shared" si="20"/>
        <v>0</v>
      </c>
      <c r="CI31" s="288">
        <f t="shared" si="20"/>
        <v>0</v>
      </c>
      <c r="CJ31" s="288">
        <f t="shared" si="20"/>
        <v>0</v>
      </c>
      <c r="CK31" s="288">
        <f t="shared" si="20"/>
        <v>0</v>
      </c>
      <c r="CL31" s="288">
        <f t="shared" si="20"/>
        <v>0</v>
      </c>
      <c r="CM31" s="288">
        <f t="shared" si="20"/>
        <v>0</v>
      </c>
      <c r="CN31" s="288">
        <f t="shared" si="20"/>
        <v>0</v>
      </c>
      <c r="CO31" s="288">
        <f t="shared" si="20"/>
        <v>0</v>
      </c>
      <c r="CP31" s="288">
        <f t="shared" si="20"/>
        <v>0</v>
      </c>
      <c r="CQ31" s="288">
        <f t="shared" si="20"/>
        <v>0</v>
      </c>
      <c r="CR31" s="288">
        <f t="shared" si="20"/>
        <v>0</v>
      </c>
      <c r="CS31" s="288">
        <f t="shared" si="20"/>
        <v>0</v>
      </c>
      <c r="CT31" s="288">
        <f t="shared" si="20"/>
        <v>0</v>
      </c>
      <c r="CU31" s="288">
        <f t="shared" si="20"/>
        <v>0</v>
      </c>
      <c r="CV31" s="288">
        <f t="shared" si="20"/>
        <v>0</v>
      </c>
      <c r="CW31" s="288">
        <f t="shared" si="20"/>
        <v>0</v>
      </c>
      <c r="CX31" s="288">
        <f t="shared" si="21"/>
        <v>0</v>
      </c>
      <c r="CY31" s="288">
        <f t="shared" si="13"/>
        <v>0</v>
      </c>
      <c r="CZ31" s="288">
        <f t="shared" si="13"/>
        <v>0</v>
      </c>
      <c r="DA31" s="288">
        <f t="shared" si="13"/>
        <v>0</v>
      </c>
      <c r="DB31" s="288">
        <f t="shared" si="13"/>
        <v>0</v>
      </c>
      <c r="DC31" s="288">
        <f t="shared" si="13"/>
        <v>0</v>
      </c>
      <c r="DD31" s="288">
        <f t="shared" si="13"/>
        <v>0</v>
      </c>
      <c r="DE31" s="288">
        <f t="shared" si="13"/>
        <v>0</v>
      </c>
      <c r="DG31" s="314">
        <f t="shared" si="3"/>
        <v>29</v>
      </c>
      <c r="DH31" s="289">
        <f>MAX(AE$3:AE$109)</f>
        <v>29</v>
      </c>
      <c r="DJ31" s="288">
        <f>LOOKUP(DH31, 'Mortality Table'!A:A,('Mortality Table'!J:J/'Mortality Table'!I:I))</f>
        <v>1.4912936461475596E-3</v>
      </c>
      <c r="DK31" s="288">
        <f>LOOKUP(A31, 'Mortality Table'!A:A,('Mortality Table'!J:J/'Mortality Table'!I:I))</f>
        <v>1.4604768842726064E-3</v>
      </c>
      <c r="DL31" s="288">
        <f t="shared" si="4"/>
        <v>3.0816761874953233E-5</v>
      </c>
      <c r="DN31" s="288">
        <f>LOOKUP(DH31, 'Mortality Table'!A:A,('Mortality Table'!L:L/'Mortality Table'!K:K))</f>
        <v>1.5106200719564281E-3</v>
      </c>
      <c r="DO31" s="288">
        <f>LOOKUP(A31, 'Mortality Table'!A:A,('Mortality Table'!L:L/'Mortality Table'!K:K))</f>
        <v>1.4794039401360693E-3</v>
      </c>
      <c r="DP31" s="288">
        <f t="shared" si="5"/>
        <v>3.1216131820358808E-5</v>
      </c>
      <c r="DR31" s="288">
        <f>LOOKUP(DH31, 'Mortality Table'!A:A,('Mortality Table'!N:N/'Mortality Table'!M:M))</f>
        <v>1.5445708294972752E-3</v>
      </c>
      <c r="DS31" s="288">
        <f>LOOKUP(A31, 'Mortality Table'!A:A,('Mortality Table'!N:N/'Mortality Table'!M:M))</f>
        <v>1.5126531239705488E-3</v>
      </c>
      <c r="DT31" s="288">
        <f t="shared" si="6"/>
        <v>3.1917705526726464E-5</v>
      </c>
    </row>
    <row r="32" spans="1:124">
      <c r="A32" s="288">
        <v>29</v>
      </c>
      <c r="B32" s="288">
        <v>1.6199595526022535E-3</v>
      </c>
      <c r="C32" s="288">
        <f t="shared" si="18"/>
        <v>0</v>
      </c>
      <c r="D32" s="288">
        <f t="shared" si="18"/>
        <v>0</v>
      </c>
      <c r="E32" s="288">
        <f t="shared" si="18"/>
        <v>0</v>
      </c>
      <c r="F32" s="288">
        <f t="shared" si="18"/>
        <v>0</v>
      </c>
      <c r="G32" s="288">
        <f t="shared" si="18"/>
        <v>0</v>
      </c>
      <c r="H32" s="288">
        <f t="shared" si="18"/>
        <v>0</v>
      </c>
      <c r="I32" s="288">
        <f t="shared" si="18"/>
        <v>0</v>
      </c>
      <c r="J32" s="288">
        <f t="shared" si="18"/>
        <v>0</v>
      </c>
      <c r="K32" s="288">
        <f t="shared" si="18"/>
        <v>0</v>
      </c>
      <c r="L32" s="288">
        <f t="shared" si="18"/>
        <v>0</v>
      </c>
      <c r="M32" s="288">
        <f t="shared" si="18"/>
        <v>0</v>
      </c>
      <c r="N32" s="288">
        <f t="shared" si="18"/>
        <v>0</v>
      </c>
      <c r="O32" s="288">
        <f t="shared" si="14"/>
        <v>0</v>
      </c>
      <c r="P32" s="288">
        <f t="shared" si="14"/>
        <v>0</v>
      </c>
      <c r="Q32" s="288">
        <f t="shared" si="14"/>
        <v>0</v>
      </c>
      <c r="R32" s="288">
        <f t="shared" si="14"/>
        <v>0</v>
      </c>
      <c r="S32" s="288">
        <f t="shared" si="14"/>
        <v>0</v>
      </c>
      <c r="T32" s="288">
        <f t="shared" si="14"/>
        <v>0</v>
      </c>
      <c r="U32" s="288">
        <f t="shared" si="14"/>
        <v>0</v>
      </c>
      <c r="V32" s="288">
        <f t="shared" si="14"/>
        <v>0</v>
      </c>
      <c r="W32" s="288">
        <f t="shared" si="14"/>
        <v>0</v>
      </c>
      <c r="X32" s="288">
        <f t="shared" si="14"/>
        <v>0</v>
      </c>
      <c r="Y32" s="288">
        <f t="shared" si="14"/>
        <v>30</v>
      </c>
      <c r="Z32" s="288">
        <f t="shared" si="14"/>
        <v>0</v>
      </c>
      <c r="AA32" s="288">
        <f t="shared" si="14"/>
        <v>0</v>
      </c>
      <c r="AB32" s="288">
        <f t="shared" si="14"/>
        <v>0</v>
      </c>
      <c r="AC32" s="288">
        <f t="shared" si="14"/>
        <v>0</v>
      </c>
      <c r="AD32" s="288">
        <f t="shared" si="14"/>
        <v>0</v>
      </c>
      <c r="AE32" s="288">
        <f t="shared" si="19"/>
        <v>29</v>
      </c>
      <c r="AF32" s="288">
        <f t="shared" si="19"/>
        <v>30</v>
      </c>
      <c r="AG32" s="288">
        <f t="shared" si="19"/>
        <v>0</v>
      </c>
      <c r="AH32" s="288">
        <f t="shared" si="15"/>
        <v>0</v>
      </c>
      <c r="AI32" s="288">
        <f t="shared" si="15"/>
        <v>0</v>
      </c>
      <c r="AJ32" s="288">
        <f t="shared" si="15"/>
        <v>0</v>
      </c>
      <c r="AK32" s="288">
        <f t="shared" si="15"/>
        <v>0</v>
      </c>
      <c r="AL32" s="288">
        <f t="shared" si="15"/>
        <v>0</v>
      </c>
      <c r="AM32" s="288">
        <f t="shared" si="15"/>
        <v>0</v>
      </c>
      <c r="AN32" s="288">
        <f t="shared" si="15"/>
        <v>0</v>
      </c>
      <c r="AO32" s="288">
        <f t="shared" si="15"/>
        <v>0</v>
      </c>
      <c r="AP32" s="288">
        <f t="shared" si="15"/>
        <v>0</v>
      </c>
      <c r="AQ32" s="288">
        <f t="shared" si="15"/>
        <v>0</v>
      </c>
      <c r="AR32" s="288">
        <f t="shared" si="15"/>
        <v>0</v>
      </c>
      <c r="AS32" s="288">
        <f t="shared" si="15"/>
        <v>0</v>
      </c>
      <c r="AT32" s="288">
        <f t="shared" si="15"/>
        <v>0</v>
      </c>
      <c r="AU32" s="288">
        <f t="shared" si="15"/>
        <v>0</v>
      </c>
      <c r="AV32" s="288">
        <f t="shared" si="15"/>
        <v>0</v>
      </c>
      <c r="AW32" s="288">
        <f t="shared" si="15"/>
        <v>0</v>
      </c>
      <c r="AX32" s="288">
        <f t="shared" si="16"/>
        <v>0</v>
      </c>
      <c r="AY32" s="288">
        <f t="shared" si="16"/>
        <v>0</v>
      </c>
      <c r="AZ32" s="288">
        <f t="shared" si="16"/>
        <v>0</v>
      </c>
      <c r="BA32" s="288">
        <f t="shared" si="16"/>
        <v>0</v>
      </c>
      <c r="BB32" s="288">
        <f t="shared" si="16"/>
        <v>0</v>
      </c>
      <c r="BC32" s="288">
        <f t="shared" si="16"/>
        <v>0</v>
      </c>
      <c r="BD32" s="288">
        <f t="shared" si="16"/>
        <v>0</v>
      </c>
      <c r="BE32" s="288">
        <f t="shared" si="16"/>
        <v>0</v>
      </c>
      <c r="BF32" s="288">
        <f t="shared" si="16"/>
        <v>0</v>
      </c>
      <c r="BG32" s="288">
        <f t="shared" si="16"/>
        <v>0</v>
      </c>
      <c r="BH32" s="288">
        <f t="shared" si="16"/>
        <v>0</v>
      </c>
      <c r="BI32" s="288">
        <f t="shared" si="16"/>
        <v>0</v>
      </c>
      <c r="BJ32" s="288">
        <f t="shared" si="16"/>
        <v>0</v>
      </c>
      <c r="BK32" s="288">
        <f t="shared" si="16"/>
        <v>0</v>
      </c>
      <c r="BL32" s="288">
        <f t="shared" si="16"/>
        <v>0</v>
      </c>
      <c r="BM32" s="288">
        <f t="shared" si="16"/>
        <v>0</v>
      </c>
      <c r="BN32" s="288">
        <f t="shared" si="17"/>
        <v>0</v>
      </c>
      <c r="BO32" s="288">
        <f t="shared" si="7"/>
        <v>0</v>
      </c>
      <c r="BP32" s="288">
        <f t="shared" si="7"/>
        <v>0</v>
      </c>
      <c r="BQ32" s="288">
        <f t="shared" si="7"/>
        <v>0</v>
      </c>
      <c r="BR32" s="288">
        <f t="shared" si="7"/>
        <v>0</v>
      </c>
      <c r="BS32" s="288">
        <f t="shared" si="7"/>
        <v>0</v>
      </c>
      <c r="BT32" s="288">
        <f t="shared" si="7"/>
        <v>0</v>
      </c>
      <c r="BU32" s="288">
        <f t="shared" si="7"/>
        <v>0</v>
      </c>
      <c r="BV32" s="288">
        <f t="shared" si="7"/>
        <v>0</v>
      </c>
      <c r="BW32" s="288">
        <f t="shared" si="7"/>
        <v>0</v>
      </c>
      <c r="BX32" s="288">
        <f t="shared" si="7"/>
        <v>0</v>
      </c>
      <c r="BY32" s="288">
        <f t="shared" si="7"/>
        <v>0</v>
      </c>
      <c r="BZ32" s="288">
        <f t="shared" si="7"/>
        <v>0</v>
      </c>
      <c r="CA32" s="288">
        <f t="shared" si="7"/>
        <v>0</v>
      </c>
      <c r="CB32" s="288">
        <f t="shared" si="7"/>
        <v>0</v>
      </c>
      <c r="CC32" s="288">
        <f t="shared" si="7"/>
        <v>0</v>
      </c>
      <c r="CD32" s="288">
        <f t="shared" si="7"/>
        <v>0</v>
      </c>
      <c r="CE32" s="288">
        <f t="shared" si="22"/>
        <v>0</v>
      </c>
      <c r="CF32" s="288">
        <f t="shared" si="22"/>
        <v>0</v>
      </c>
      <c r="CG32" s="288">
        <f t="shared" si="22"/>
        <v>0</v>
      </c>
      <c r="CH32" s="288">
        <f t="shared" si="20"/>
        <v>0</v>
      </c>
      <c r="CI32" s="288">
        <f t="shared" si="20"/>
        <v>0</v>
      </c>
      <c r="CJ32" s="288">
        <f t="shared" si="20"/>
        <v>0</v>
      </c>
      <c r="CK32" s="288">
        <f t="shared" si="20"/>
        <v>0</v>
      </c>
      <c r="CL32" s="288">
        <f t="shared" si="20"/>
        <v>0</v>
      </c>
      <c r="CM32" s="288">
        <f t="shared" si="20"/>
        <v>0</v>
      </c>
      <c r="CN32" s="288">
        <f t="shared" si="20"/>
        <v>0</v>
      </c>
      <c r="CO32" s="288">
        <f t="shared" si="20"/>
        <v>0</v>
      </c>
      <c r="CP32" s="288">
        <f t="shared" si="20"/>
        <v>0</v>
      </c>
      <c r="CQ32" s="288">
        <f t="shared" si="20"/>
        <v>0</v>
      </c>
      <c r="CR32" s="288">
        <f t="shared" si="20"/>
        <v>0</v>
      </c>
      <c r="CS32" s="288">
        <f t="shared" si="20"/>
        <v>0</v>
      </c>
      <c r="CT32" s="288">
        <f t="shared" si="20"/>
        <v>0</v>
      </c>
      <c r="CU32" s="288">
        <f t="shared" si="20"/>
        <v>0</v>
      </c>
      <c r="CV32" s="288">
        <f t="shared" si="20"/>
        <v>0</v>
      </c>
      <c r="CW32" s="288">
        <f t="shared" si="20"/>
        <v>0</v>
      </c>
      <c r="CX32" s="288">
        <f t="shared" si="21"/>
        <v>0</v>
      </c>
      <c r="CY32" s="288">
        <f t="shared" si="13"/>
        <v>0</v>
      </c>
      <c r="CZ32" s="288">
        <f t="shared" si="13"/>
        <v>0</v>
      </c>
      <c r="DA32" s="288">
        <f t="shared" si="13"/>
        <v>0</v>
      </c>
      <c r="DB32" s="288">
        <f t="shared" si="13"/>
        <v>0</v>
      </c>
      <c r="DC32" s="288">
        <f t="shared" si="13"/>
        <v>0</v>
      </c>
      <c r="DD32" s="288">
        <f t="shared" si="13"/>
        <v>0</v>
      </c>
      <c r="DE32" s="288">
        <f t="shared" si="13"/>
        <v>0</v>
      </c>
      <c r="DG32" s="314">
        <f t="shared" si="3"/>
        <v>30</v>
      </c>
      <c r="DH32" s="289">
        <f>MAX(AF$3:AF$109)</f>
        <v>30</v>
      </c>
      <c r="DJ32" s="288">
        <f>LOOKUP(DH32, 'Mortality Table'!A:A,('Mortality Table'!J:J/'Mortality Table'!I:I))</f>
        <v>1.5412838919328282E-3</v>
      </c>
      <c r="DK32" s="288">
        <f>LOOKUP(A32, 'Mortality Table'!A:A,('Mortality Table'!J:J/'Mortality Table'!I:I))</f>
        <v>1.4912936461475596E-3</v>
      </c>
      <c r="DL32" s="288">
        <f t="shared" si="4"/>
        <v>4.999024578526863E-5</v>
      </c>
      <c r="DN32" s="288">
        <f>LOOKUP(DH32, 'Mortality Table'!A:A,('Mortality Table'!L:L/'Mortality Table'!K:K))</f>
        <v>1.5612581665264294E-3</v>
      </c>
      <c r="DO32" s="288">
        <f>LOOKUP(A32, 'Mortality Table'!A:A,('Mortality Table'!L:L/'Mortality Table'!K:K))</f>
        <v>1.5106200719564281E-3</v>
      </c>
      <c r="DP32" s="288">
        <f t="shared" si="5"/>
        <v>5.0638094570001338E-5</v>
      </c>
      <c r="DR32" s="288">
        <f>LOOKUP(DH32, 'Mortality Table'!A:A,('Mortality Table'!N:N/'Mortality Table'!M:M))</f>
        <v>1.5963470008762593E-3</v>
      </c>
      <c r="DS32" s="288">
        <f>LOOKUP(A32, 'Mortality Table'!A:A,('Mortality Table'!N:N/'Mortality Table'!M:M))</f>
        <v>1.5445708294972752E-3</v>
      </c>
      <c r="DT32" s="288">
        <f t="shared" si="6"/>
        <v>5.1776171378984043E-5</v>
      </c>
    </row>
    <row r="33" spans="1:124">
      <c r="A33" s="288">
        <v>30</v>
      </c>
      <c r="B33" s="288">
        <v>1.6742628592689053E-3</v>
      </c>
      <c r="C33" s="288">
        <f t="shared" si="18"/>
        <v>0</v>
      </c>
      <c r="D33" s="288">
        <f t="shared" si="18"/>
        <v>0</v>
      </c>
      <c r="E33" s="288">
        <f t="shared" si="18"/>
        <v>0</v>
      </c>
      <c r="F33" s="288">
        <f t="shared" si="18"/>
        <v>0</v>
      </c>
      <c r="G33" s="288">
        <f t="shared" si="18"/>
        <v>0</v>
      </c>
      <c r="H33" s="288">
        <f t="shared" si="18"/>
        <v>0</v>
      </c>
      <c r="I33" s="288">
        <f t="shared" si="18"/>
        <v>0</v>
      </c>
      <c r="J33" s="288">
        <f t="shared" si="18"/>
        <v>0</v>
      </c>
      <c r="K33" s="288">
        <f t="shared" si="18"/>
        <v>0</v>
      </c>
      <c r="L33" s="288">
        <f t="shared" si="18"/>
        <v>0</v>
      </c>
      <c r="M33" s="288">
        <f t="shared" si="18"/>
        <v>0</v>
      </c>
      <c r="N33" s="288">
        <f t="shared" si="18"/>
        <v>0</v>
      </c>
      <c r="O33" s="288">
        <f t="shared" si="14"/>
        <v>0</v>
      </c>
      <c r="P33" s="288">
        <f t="shared" si="14"/>
        <v>0</v>
      </c>
      <c r="Q33" s="288">
        <f t="shared" si="14"/>
        <v>0</v>
      </c>
      <c r="R33" s="288">
        <f t="shared" si="14"/>
        <v>0</v>
      </c>
      <c r="S33" s="288">
        <f t="shared" si="14"/>
        <v>0</v>
      </c>
      <c r="T33" s="288">
        <f t="shared" si="14"/>
        <v>0</v>
      </c>
      <c r="U33" s="288">
        <f t="shared" si="14"/>
        <v>0</v>
      </c>
      <c r="V33" s="288">
        <f t="shared" si="14"/>
        <v>0</v>
      </c>
      <c r="W33" s="288">
        <f t="shared" si="14"/>
        <v>0</v>
      </c>
      <c r="X33" s="288">
        <f t="shared" si="14"/>
        <v>0</v>
      </c>
      <c r="Y33" s="288">
        <f t="shared" si="14"/>
        <v>0</v>
      </c>
      <c r="Z33" s="288">
        <f t="shared" si="14"/>
        <v>0</v>
      </c>
      <c r="AA33" s="288">
        <f t="shared" si="14"/>
        <v>0</v>
      </c>
      <c r="AB33" s="288">
        <f t="shared" si="14"/>
        <v>0</v>
      </c>
      <c r="AC33" s="288">
        <f t="shared" si="14"/>
        <v>0</v>
      </c>
      <c r="AD33" s="288">
        <f t="shared" si="14"/>
        <v>0</v>
      </c>
      <c r="AE33" s="288">
        <f t="shared" si="19"/>
        <v>0</v>
      </c>
      <c r="AF33" s="288">
        <f t="shared" si="19"/>
        <v>0</v>
      </c>
      <c r="AG33" s="288">
        <f t="shared" si="19"/>
        <v>31</v>
      </c>
      <c r="AH33" s="288">
        <f t="shared" si="15"/>
        <v>0</v>
      </c>
      <c r="AI33" s="288">
        <f t="shared" si="15"/>
        <v>0</v>
      </c>
      <c r="AJ33" s="288">
        <f t="shared" si="15"/>
        <v>0</v>
      </c>
      <c r="AK33" s="288">
        <f t="shared" si="15"/>
        <v>0</v>
      </c>
      <c r="AL33" s="288">
        <f t="shared" si="15"/>
        <v>0</v>
      </c>
      <c r="AM33" s="288">
        <f t="shared" si="15"/>
        <v>0</v>
      </c>
      <c r="AN33" s="288">
        <f t="shared" si="15"/>
        <v>0</v>
      </c>
      <c r="AO33" s="288">
        <f t="shared" si="15"/>
        <v>0</v>
      </c>
      <c r="AP33" s="288">
        <f t="shared" si="15"/>
        <v>0</v>
      </c>
      <c r="AQ33" s="288">
        <f t="shared" si="15"/>
        <v>0</v>
      </c>
      <c r="AR33" s="288">
        <f t="shared" si="15"/>
        <v>0</v>
      </c>
      <c r="AS33" s="288">
        <f t="shared" si="15"/>
        <v>0</v>
      </c>
      <c r="AT33" s="288">
        <f t="shared" si="15"/>
        <v>0</v>
      </c>
      <c r="AU33" s="288">
        <f t="shared" si="15"/>
        <v>0</v>
      </c>
      <c r="AV33" s="288">
        <f t="shared" si="15"/>
        <v>0</v>
      </c>
      <c r="AW33" s="288">
        <f t="shared" si="15"/>
        <v>0</v>
      </c>
      <c r="AX33" s="288">
        <f t="shared" si="16"/>
        <v>0</v>
      </c>
      <c r="AY33" s="288">
        <f t="shared" si="16"/>
        <v>0</v>
      </c>
      <c r="AZ33" s="288">
        <f t="shared" si="16"/>
        <v>0</v>
      </c>
      <c r="BA33" s="288">
        <f t="shared" si="16"/>
        <v>0</v>
      </c>
      <c r="BB33" s="288">
        <f t="shared" si="16"/>
        <v>0</v>
      </c>
      <c r="BC33" s="288">
        <f t="shared" si="16"/>
        <v>0</v>
      </c>
      <c r="BD33" s="288">
        <f t="shared" si="16"/>
        <v>0</v>
      </c>
      <c r="BE33" s="288">
        <f t="shared" si="16"/>
        <v>0</v>
      </c>
      <c r="BF33" s="288">
        <f t="shared" si="16"/>
        <v>0</v>
      </c>
      <c r="BG33" s="288">
        <f t="shared" si="16"/>
        <v>0</v>
      </c>
      <c r="BH33" s="288">
        <f t="shared" si="16"/>
        <v>0</v>
      </c>
      <c r="BI33" s="288">
        <f t="shared" si="16"/>
        <v>0</v>
      </c>
      <c r="BJ33" s="288">
        <f t="shared" si="16"/>
        <v>0</v>
      </c>
      <c r="BK33" s="288">
        <f t="shared" si="16"/>
        <v>0</v>
      </c>
      <c r="BL33" s="288">
        <f t="shared" si="16"/>
        <v>0</v>
      </c>
      <c r="BM33" s="288">
        <f t="shared" si="16"/>
        <v>0</v>
      </c>
      <c r="BN33" s="288">
        <f t="shared" si="17"/>
        <v>0</v>
      </c>
      <c r="BO33" s="288">
        <f t="shared" si="7"/>
        <v>0</v>
      </c>
      <c r="BP33" s="288">
        <f t="shared" si="7"/>
        <v>0</v>
      </c>
      <c r="BQ33" s="288">
        <f t="shared" si="7"/>
        <v>0</v>
      </c>
      <c r="BR33" s="288">
        <f t="shared" si="7"/>
        <v>0</v>
      </c>
      <c r="BS33" s="288">
        <f t="shared" si="7"/>
        <v>0</v>
      </c>
      <c r="BT33" s="288">
        <f t="shared" si="7"/>
        <v>0</v>
      </c>
      <c r="BU33" s="288">
        <f t="shared" si="7"/>
        <v>0</v>
      </c>
      <c r="BV33" s="288">
        <f t="shared" si="7"/>
        <v>0</v>
      </c>
      <c r="BW33" s="288">
        <f t="shared" si="7"/>
        <v>0</v>
      </c>
      <c r="BX33" s="288">
        <f t="shared" si="7"/>
        <v>0</v>
      </c>
      <c r="BY33" s="288">
        <f t="shared" si="7"/>
        <v>0</v>
      </c>
      <c r="BZ33" s="288">
        <f t="shared" si="7"/>
        <v>0</v>
      </c>
      <c r="CA33" s="288">
        <f t="shared" si="7"/>
        <v>0</v>
      </c>
      <c r="CB33" s="288">
        <f t="shared" si="7"/>
        <v>0</v>
      </c>
      <c r="CC33" s="288">
        <f t="shared" si="7"/>
        <v>0</v>
      </c>
      <c r="CD33" s="288">
        <f t="shared" si="7"/>
        <v>0</v>
      </c>
      <c r="CE33" s="288">
        <f t="shared" si="22"/>
        <v>0</v>
      </c>
      <c r="CF33" s="288">
        <f t="shared" si="22"/>
        <v>0</v>
      </c>
      <c r="CG33" s="288">
        <f t="shared" si="22"/>
        <v>0</v>
      </c>
      <c r="CH33" s="288">
        <f t="shared" si="20"/>
        <v>0</v>
      </c>
      <c r="CI33" s="288">
        <f t="shared" si="20"/>
        <v>0</v>
      </c>
      <c r="CJ33" s="288">
        <f t="shared" si="20"/>
        <v>0</v>
      </c>
      <c r="CK33" s="288">
        <f t="shared" si="20"/>
        <v>0</v>
      </c>
      <c r="CL33" s="288">
        <f t="shared" si="20"/>
        <v>0</v>
      </c>
      <c r="CM33" s="288">
        <f t="shared" si="20"/>
        <v>0</v>
      </c>
      <c r="CN33" s="288">
        <f t="shared" si="20"/>
        <v>0</v>
      </c>
      <c r="CO33" s="288">
        <f t="shared" si="20"/>
        <v>0</v>
      </c>
      <c r="CP33" s="288">
        <f t="shared" si="20"/>
        <v>0</v>
      </c>
      <c r="CQ33" s="288">
        <f t="shared" si="20"/>
        <v>0</v>
      </c>
      <c r="CR33" s="288">
        <f t="shared" si="20"/>
        <v>0</v>
      </c>
      <c r="CS33" s="288">
        <f t="shared" si="20"/>
        <v>0</v>
      </c>
      <c r="CT33" s="288">
        <f t="shared" si="20"/>
        <v>0</v>
      </c>
      <c r="CU33" s="288">
        <f t="shared" si="20"/>
        <v>0</v>
      </c>
      <c r="CV33" s="288">
        <f t="shared" si="20"/>
        <v>0</v>
      </c>
      <c r="CW33" s="288">
        <f t="shared" si="20"/>
        <v>0</v>
      </c>
      <c r="CX33" s="288">
        <f t="shared" si="21"/>
        <v>0</v>
      </c>
      <c r="CY33" s="288">
        <f t="shared" si="13"/>
        <v>0</v>
      </c>
      <c r="CZ33" s="288">
        <f t="shared" si="13"/>
        <v>0</v>
      </c>
      <c r="DA33" s="288">
        <f t="shared" si="13"/>
        <v>0</v>
      </c>
      <c r="DB33" s="288">
        <f t="shared" si="13"/>
        <v>0</v>
      </c>
      <c r="DC33" s="288">
        <f t="shared" si="13"/>
        <v>0</v>
      </c>
      <c r="DD33" s="288">
        <f t="shared" si="13"/>
        <v>0</v>
      </c>
      <c r="DE33" s="288">
        <f t="shared" si="13"/>
        <v>0</v>
      </c>
      <c r="DG33" s="314">
        <f t="shared" si="3"/>
        <v>31</v>
      </c>
      <c r="DH33" s="289">
        <f>MAX(AG$3:AG$109)</f>
        <v>31</v>
      </c>
      <c r="DJ33" s="288">
        <f>LOOKUP(DH33, 'Mortality Table'!A:A,('Mortality Table'!J:J/'Mortality Table'!I:I))</f>
        <v>1.6010490574957655E-3</v>
      </c>
      <c r="DK33" s="288">
        <f>LOOKUP(A33, 'Mortality Table'!A:A,('Mortality Table'!J:J/'Mortality Table'!I:I))</f>
        <v>1.5412838919328282E-3</v>
      </c>
      <c r="DL33" s="288">
        <f t="shared" si="4"/>
        <v>5.976516556293731E-5</v>
      </c>
      <c r="DN33" s="288">
        <f>LOOKUP(DH33, 'Mortality Table'!A:A,('Mortality Table'!L:L/'Mortality Table'!K:K))</f>
        <v>1.6217978589849857E-3</v>
      </c>
      <c r="DO33" s="288">
        <f>LOOKUP(A33, 'Mortality Table'!A:A,('Mortality Table'!L:L/'Mortality Table'!K:K))</f>
        <v>1.5612581665264294E-3</v>
      </c>
      <c r="DP33" s="288">
        <f t="shared" si="5"/>
        <v>6.0539692458556286E-5</v>
      </c>
      <c r="DR33" s="288">
        <f>LOOKUP(DH33, 'Mortality Table'!A:A,('Mortality Table'!N:N/'Mortality Table'!M:M))</f>
        <v>1.6582473057471707E-3</v>
      </c>
      <c r="DS33" s="288">
        <f>LOOKUP(A33, 'Mortality Table'!A:A,('Mortality Table'!N:N/'Mortality Table'!M:M))</f>
        <v>1.5963470008762593E-3</v>
      </c>
      <c r="DT33" s="288">
        <f t="shared" si="6"/>
        <v>6.1900304870911435E-5</v>
      </c>
    </row>
    <row r="34" spans="1:124">
      <c r="A34" s="288">
        <v>31</v>
      </c>
      <c r="B34" s="288">
        <v>1.7391844467219478E-3</v>
      </c>
      <c r="C34" s="288">
        <f t="shared" si="18"/>
        <v>0</v>
      </c>
      <c r="D34" s="288">
        <f t="shared" si="18"/>
        <v>0</v>
      </c>
      <c r="E34" s="288">
        <f t="shared" si="18"/>
        <v>0</v>
      </c>
      <c r="F34" s="288">
        <f t="shared" si="18"/>
        <v>0</v>
      </c>
      <c r="G34" s="288">
        <f t="shared" si="18"/>
        <v>0</v>
      </c>
      <c r="H34" s="288">
        <f t="shared" si="18"/>
        <v>0</v>
      </c>
      <c r="I34" s="288">
        <f t="shared" si="18"/>
        <v>0</v>
      </c>
      <c r="J34" s="288">
        <f t="shared" si="18"/>
        <v>0</v>
      </c>
      <c r="K34" s="288">
        <f t="shared" si="18"/>
        <v>0</v>
      </c>
      <c r="L34" s="288">
        <f t="shared" si="18"/>
        <v>0</v>
      </c>
      <c r="M34" s="288">
        <f t="shared" si="18"/>
        <v>0</v>
      </c>
      <c r="N34" s="288">
        <f t="shared" si="18"/>
        <v>0</v>
      </c>
      <c r="O34" s="288">
        <f t="shared" si="14"/>
        <v>0</v>
      </c>
      <c r="P34" s="288">
        <f t="shared" si="14"/>
        <v>0</v>
      </c>
      <c r="Q34" s="288">
        <f t="shared" si="14"/>
        <v>0</v>
      </c>
      <c r="R34" s="288">
        <f t="shared" si="14"/>
        <v>0</v>
      </c>
      <c r="S34" s="288">
        <f t="shared" si="14"/>
        <v>0</v>
      </c>
      <c r="T34" s="288">
        <f t="shared" si="14"/>
        <v>0</v>
      </c>
      <c r="U34" s="288">
        <f t="shared" si="14"/>
        <v>0</v>
      </c>
      <c r="V34" s="288">
        <f t="shared" si="14"/>
        <v>0</v>
      </c>
      <c r="W34" s="288">
        <f t="shared" si="14"/>
        <v>0</v>
      </c>
      <c r="X34" s="288">
        <f t="shared" si="14"/>
        <v>0</v>
      </c>
      <c r="Y34" s="288">
        <f t="shared" si="14"/>
        <v>0</v>
      </c>
      <c r="Z34" s="288">
        <f t="shared" si="14"/>
        <v>0</v>
      </c>
      <c r="AA34" s="288">
        <f t="shared" si="14"/>
        <v>0</v>
      </c>
      <c r="AB34" s="288">
        <f t="shared" si="14"/>
        <v>0</v>
      </c>
      <c r="AC34" s="288">
        <f t="shared" si="14"/>
        <v>0</v>
      </c>
      <c r="AD34" s="288">
        <f t="shared" si="14"/>
        <v>0</v>
      </c>
      <c r="AE34" s="288">
        <f t="shared" si="19"/>
        <v>0</v>
      </c>
      <c r="AF34" s="288">
        <f t="shared" si="19"/>
        <v>0</v>
      </c>
      <c r="AG34" s="288">
        <f t="shared" si="19"/>
        <v>0</v>
      </c>
      <c r="AH34" s="288">
        <f t="shared" si="15"/>
        <v>32</v>
      </c>
      <c r="AI34" s="288">
        <f t="shared" si="15"/>
        <v>0</v>
      </c>
      <c r="AJ34" s="288">
        <f t="shared" si="15"/>
        <v>0</v>
      </c>
      <c r="AK34" s="288">
        <f t="shared" si="15"/>
        <v>0</v>
      </c>
      <c r="AL34" s="288">
        <f t="shared" si="15"/>
        <v>0</v>
      </c>
      <c r="AM34" s="288">
        <f t="shared" si="15"/>
        <v>0</v>
      </c>
      <c r="AN34" s="288">
        <f t="shared" si="15"/>
        <v>0</v>
      </c>
      <c r="AO34" s="288">
        <f t="shared" si="15"/>
        <v>0</v>
      </c>
      <c r="AP34" s="288">
        <f t="shared" si="15"/>
        <v>0</v>
      </c>
      <c r="AQ34" s="288">
        <f t="shared" si="15"/>
        <v>0</v>
      </c>
      <c r="AR34" s="288">
        <f t="shared" si="15"/>
        <v>0</v>
      </c>
      <c r="AS34" s="288">
        <f t="shared" si="15"/>
        <v>0</v>
      </c>
      <c r="AT34" s="288">
        <f t="shared" si="15"/>
        <v>0</v>
      </c>
      <c r="AU34" s="288">
        <f t="shared" si="15"/>
        <v>0</v>
      </c>
      <c r="AV34" s="288">
        <f t="shared" si="15"/>
        <v>0</v>
      </c>
      <c r="AW34" s="288">
        <f t="shared" si="15"/>
        <v>0</v>
      </c>
      <c r="AX34" s="288">
        <f t="shared" si="16"/>
        <v>0</v>
      </c>
      <c r="AY34" s="288">
        <f t="shared" si="16"/>
        <v>0</v>
      </c>
      <c r="AZ34" s="288">
        <f t="shared" si="16"/>
        <v>0</v>
      </c>
      <c r="BA34" s="288">
        <f t="shared" si="16"/>
        <v>0</v>
      </c>
      <c r="BB34" s="288">
        <f t="shared" si="16"/>
        <v>0</v>
      </c>
      <c r="BC34" s="288">
        <f t="shared" si="16"/>
        <v>0</v>
      </c>
      <c r="BD34" s="288">
        <f t="shared" si="16"/>
        <v>0</v>
      </c>
      <c r="BE34" s="288">
        <f t="shared" si="16"/>
        <v>0</v>
      </c>
      <c r="BF34" s="288">
        <f t="shared" si="16"/>
        <v>0</v>
      </c>
      <c r="BG34" s="288">
        <f t="shared" si="16"/>
        <v>0</v>
      </c>
      <c r="BH34" s="288">
        <f t="shared" si="16"/>
        <v>0</v>
      </c>
      <c r="BI34" s="288">
        <f t="shared" si="16"/>
        <v>0</v>
      </c>
      <c r="BJ34" s="288">
        <f t="shared" si="16"/>
        <v>0</v>
      </c>
      <c r="BK34" s="288">
        <f t="shared" si="16"/>
        <v>0</v>
      </c>
      <c r="BL34" s="288">
        <f t="shared" si="16"/>
        <v>0</v>
      </c>
      <c r="BM34" s="288">
        <f t="shared" si="16"/>
        <v>0</v>
      </c>
      <c r="BN34" s="288">
        <f t="shared" si="17"/>
        <v>0</v>
      </c>
      <c r="BO34" s="288">
        <f t="shared" si="7"/>
        <v>0</v>
      </c>
      <c r="BP34" s="288">
        <f t="shared" si="7"/>
        <v>0</v>
      </c>
      <c r="BQ34" s="288">
        <f t="shared" si="7"/>
        <v>0</v>
      </c>
      <c r="BR34" s="288">
        <f t="shared" si="7"/>
        <v>0</v>
      </c>
      <c r="BS34" s="288">
        <f t="shared" si="7"/>
        <v>0</v>
      </c>
      <c r="BT34" s="288">
        <f t="shared" si="7"/>
        <v>0</v>
      </c>
      <c r="BU34" s="288">
        <f t="shared" si="7"/>
        <v>0</v>
      </c>
      <c r="BV34" s="288">
        <f t="shared" si="7"/>
        <v>0</v>
      </c>
      <c r="BW34" s="288">
        <f t="shared" si="7"/>
        <v>0</v>
      </c>
      <c r="BX34" s="288">
        <f t="shared" si="7"/>
        <v>0</v>
      </c>
      <c r="BY34" s="288">
        <f t="shared" si="7"/>
        <v>0</v>
      </c>
      <c r="BZ34" s="288">
        <f t="shared" si="7"/>
        <v>0</v>
      </c>
      <c r="CA34" s="288">
        <f t="shared" si="7"/>
        <v>0</v>
      </c>
      <c r="CB34" s="288">
        <f t="shared" si="7"/>
        <v>0</v>
      </c>
      <c r="CC34" s="288">
        <f t="shared" si="7"/>
        <v>0</v>
      </c>
      <c r="CD34" s="288">
        <f t="shared" si="7"/>
        <v>0</v>
      </c>
      <c r="CE34" s="288">
        <f t="shared" si="22"/>
        <v>0</v>
      </c>
      <c r="CF34" s="288">
        <f t="shared" si="22"/>
        <v>0</v>
      </c>
      <c r="CG34" s="288">
        <f t="shared" si="22"/>
        <v>0</v>
      </c>
      <c r="CH34" s="288">
        <f t="shared" si="20"/>
        <v>0</v>
      </c>
      <c r="CI34" s="288">
        <f t="shared" si="20"/>
        <v>0</v>
      </c>
      <c r="CJ34" s="288">
        <f t="shared" si="20"/>
        <v>0</v>
      </c>
      <c r="CK34" s="288">
        <f t="shared" si="20"/>
        <v>0</v>
      </c>
      <c r="CL34" s="288">
        <f t="shared" si="20"/>
        <v>0</v>
      </c>
      <c r="CM34" s="288">
        <f t="shared" si="20"/>
        <v>0</v>
      </c>
      <c r="CN34" s="288">
        <f t="shared" si="20"/>
        <v>0</v>
      </c>
      <c r="CO34" s="288">
        <f t="shared" si="20"/>
        <v>0</v>
      </c>
      <c r="CP34" s="288">
        <f t="shared" si="20"/>
        <v>0</v>
      </c>
      <c r="CQ34" s="288">
        <f t="shared" si="20"/>
        <v>0</v>
      </c>
      <c r="CR34" s="288">
        <f t="shared" si="20"/>
        <v>0</v>
      </c>
      <c r="CS34" s="288">
        <f t="shared" si="20"/>
        <v>0</v>
      </c>
      <c r="CT34" s="288">
        <f t="shared" si="20"/>
        <v>0</v>
      </c>
      <c r="CU34" s="288">
        <f t="shared" si="20"/>
        <v>0</v>
      </c>
      <c r="CV34" s="288">
        <f t="shared" si="20"/>
        <v>0</v>
      </c>
      <c r="CW34" s="288">
        <f t="shared" si="20"/>
        <v>0</v>
      </c>
      <c r="CX34" s="288">
        <f t="shared" si="21"/>
        <v>0</v>
      </c>
      <c r="CY34" s="288">
        <f t="shared" si="13"/>
        <v>0</v>
      </c>
      <c r="CZ34" s="288">
        <f t="shared" si="13"/>
        <v>0</v>
      </c>
      <c r="DA34" s="288">
        <f t="shared" si="13"/>
        <v>0</v>
      </c>
      <c r="DB34" s="288">
        <f t="shared" si="13"/>
        <v>0</v>
      </c>
      <c r="DC34" s="288">
        <f t="shared" si="13"/>
        <v>0</v>
      </c>
      <c r="DD34" s="288">
        <f t="shared" si="13"/>
        <v>0</v>
      </c>
      <c r="DE34" s="288">
        <f t="shared" si="13"/>
        <v>0</v>
      </c>
      <c r="DG34" s="314">
        <f t="shared" si="3"/>
        <v>32</v>
      </c>
      <c r="DH34" s="289">
        <f>MAX(AH$3:AH$109)</f>
        <v>32</v>
      </c>
      <c r="DJ34" s="288">
        <f>LOOKUP(DH34, 'Mortality Table'!A:A,('Mortality Table'!J:J/'Mortality Table'!I:I))</f>
        <v>1.6611183722148757E-3</v>
      </c>
      <c r="DK34" s="288">
        <f>LOOKUP(A34, 'Mortality Table'!A:A,('Mortality Table'!J:J/'Mortality Table'!I:I))</f>
        <v>1.6010490574957655E-3</v>
      </c>
      <c r="DL34" s="288">
        <f t="shared" si="4"/>
        <v>6.0069314719110199E-5</v>
      </c>
      <c r="DN34" s="288">
        <f>LOOKUP(DH34, 'Mortality Table'!A:A,('Mortality Table'!L:L/'Mortality Table'!K:K))</f>
        <v>1.6826456422218878E-3</v>
      </c>
      <c r="DO34" s="288">
        <f>LOOKUP(A34, 'Mortality Table'!A:A,('Mortality Table'!L:L/'Mortality Table'!K:K))</f>
        <v>1.6217978589849857E-3</v>
      </c>
      <c r="DP34" s="288">
        <f t="shared" si="5"/>
        <v>6.0847783236902143E-5</v>
      </c>
      <c r="DR34" s="288">
        <f>LOOKUP(DH34, 'Mortality Table'!A:A,('Mortality Table'!N:N/'Mortality Table'!M:M))</f>
        <v>1.7204626256492658E-3</v>
      </c>
      <c r="DS34" s="288">
        <f>LOOKUP(A34, 'Mortality Table'!A:A,('Mortality Table'!N:N/'Mortality Table'!M:M))</f>
        <v>1.6582473057471707E-3</v>
      </c>
      <c r="DT34" s="288">
        <f t="shared" si="6"/>
        <v>6.2215319902095062E-5</v>
      </c>
    </row>
    <row r="35" spans="1:124">
      <c r="A35" s="288">
        <v>32</v>
      </c>
      <c r="B35" s="288">
        <v>1.8044364247270012E-3</v>
      </c>
      <c r="C35" s="288">
        <f t="shared" si="18"/>
        <v>0</v>
      </c>
      <c r="D35" s="288">
        <f t="shared" si="18"/>
        <v>0</v>
      </c>
      <c r="E35" s="288">
        <f t="shared" si="18"/>
        <v>0</v>
      </c>
      <c r="F35" s="288">
        <f t="shared" si="18"/>
        <v>0</v>
      </c>
      <c r="G35" s="288">
        <f t="shared" si="18"/>
        <v>0</v>
      </c>
      <c r="H35" s="288">
        <f t="shared" si="18"/>
        <v>0</v>
      </c>
      <c r="I35" s="288">
        <f t="shared" si="18"/>
        <v>0</v>
      </c>
      <c r="J35" s="288">
        <f t="shared" si="18"/>
        <v>0</v>
      </c>
      <c r="K35" s="288">
        <f t="shared" si="18"/>
        <v>0</v>
      </c>
      <c r="L35" s="288">
        <f t="shared" si="18"/>
        <v>0</v>
      </c>
      <c r="M35" s="288">
        <f t="shared" si="18"/>
        <v>0</v>
      </c>
      <c r="N35" s="288">
        <f t="shared" si="18"/>
        <v>0</v>
      </c>
      <c r="O35" s="288">
        <f t="shared" si="14"/>
        <v>0</v>
      </c>
      <c r="P35" s="288">
        <f t="shared" si="14"/>
        <v>0</v>
      </c>
      <c r="Q35" s="288">
        <f t="shared" si="14"/>
        <v>0</v>
      </c>
      <c r="R35" s="288">
        <f t="shared" si="14"/>
        <v>0</v>
      </c>
      <c r="S35" s="288">
        <f t="shared" si="14"/>
        <v>0</v>
      </c>
      <c r="T35" s="288">
        <f t="shared" si="14"/>
        <v>0</v>
      </c>
      <c r="U35" s="288">
        <f t="shared" si="14"/>
        <v>0</v>
      </c>
      <c r="V35" s="288">
        <f t="shared" si="14"/>
        <v>0</v>
      </c>
      <c r="W35" s="288">
        <f t="shared" si="14"/>
        <v>0</v>
      </c>
      <c r="X35" s="288">
        <f t="shared" si="14"/>
        <v>0</v>
      </c>
      <c r="Y35" s="288">
        <f t="shared" si="14"/>
        <v>0</v>
      </c>
      <c r="Z35" s="288">
        <f t="shared" si="14"/>
        <v>0</v>
      </c>
      <c r="AA35" s="288">
        <f t="shared" si="14"/>
        <v>0</v>
      </c>
      <c r="AB35" s="288">
        <f t="shared" si="14"/>
        <v>0</v>
      </c>
      <c r="AC35" s="288">
        <f t="shared" si="14"/>
        <v>0</v>
      </c>
      <c r="AD35" s="288">
        <f t="shared" si="14"/>
        <v>0</v>
      </c>
      <c r="AE35" s="288">
        <f t="shared" si="19"/>
        <v>0</v>
      </c>
      <c r="AF35" s="288">
        <f t="shared" si="19"/>
        <v>0</v>
      </c>
      <c r="AG35" s="288">
        <f t="shared" si="19"/>
        <v>0</v>
      </c>
      <c r="AH35" s="288">
        <f t="shared" si="15"/>
        <v>0</v>
      </c>
      <c r="AI35" s="288">
        <f t="shared" si="15"/>
        <v>33</v>
      </c>
      <c r="AJ35" s="288">
        <f t="shared" si="15"/>
        <v>0</v>
      </c>
      <c r="AK35" s="288">
        <f t="shared" si="15"/>
        <v>0</v>
      </c>
      <c r="AL35" s="288">
        <f t="shared" si="15"/>
        <v>0</v>
      </c>
      <c r="AM35" s="288">
        <f t="shared" si="15"/>
        <v>0</v>
      </c>
      <c r="AN35" s="288">
        <f t="shared" si="15"/>
        <v>0</v>
      </c>
      <c r="AO35" s="288">
        <f t="shared" si="15"/>
        <v>0</v>
      </c>
      <c r="AP35" s="288">
        <f t="shared" si="15"/>
        <v>0</v>
      </c>
      <c r="AQ35" s="288">
        <f t="shared" si="15"/>
        <v>0</v>
      </c>
      <c r="AR35" s="288">
        <f t="shared" si="15"/>
        <v>0</v>
      </c>
      <c r="AS35" s="288">
        <f t="shared" si="15"/>
        <v>0</v>
      </c>
      <c r="AT35" s="288">
        <f t="shared" si="15"/>
        <v>0</v>
      </c>
      <c r="AU35" s="288">
        <f t="shared" si="15"/>
        <v>0</v>
      </c>
      <c r="AV35" s="288">
        <f t="shared" si="15"/>
        <v>0</v>
      </c>
      <c r="AW35" s="288">
        <f t="shared" si="15"/>
        <v>0</v>
      </c>
      <c r="AX35" s="288">
        <f t="shared" si="16"/>
        <v>0</v>
      </c>
      <c r="AY35" s="288">
        <f t="shared" si="16"/>
        <v>0</v>
      </c>
      <c r="AZ35" s="288">
        <f t="shared" si="16"/>
        <v>0</v>
      </c>
      <c r="BA35" s="288">
        <f t="shared" si="16"/>
        <v>0</v>
      </c>
      <c r="BB35" s="288">
        <f t="shared" si="16"/>
        <v>0</v>
      </c>
      <c r="BC35" s="288">
        <f t="shared" si="16"/>
        <v>0</v>
      </c>
      <c r="BD35" s="288">
        <f t="shared" si="16"/>
        <v>0</v>
      </c>
      <c r="BE35" s="288">
        <f t="shared" si="16"/>
        <v>0</v>
      </c>
      <c r="BF35" s="288">
        <f t="shared" si="16"/>
        <v>0</v>
      </c>
      <c r="BG35" s="288">
        <f t="shared" si="16"/>
        <v>0</v>
      </c>
      <c r="BH35" s="288">
        <f t="shared" si="16"/>
        <v>0</v>
      </c>
      <c r="BI35" s="288">
        <f t="shared" si="16"/>
        <v>0</v>
      </c>
      <c r="BJ35" s="288">
        <f t="shared" si="16"/>
        <v>0</v>
      </c>
      <c r="BK35" s="288">
        <f t="shared" si="16"/>
        <v>0</v>
      </c>
      <c r="BL35" s="288">
        <f t="shared" si="16"/>
        <v>0</v>
      </c>
      <c r="BM35" s="288">
        <f t="shared" si="16"/>
        <v>0</v>
      </c>
      <c r="BN35" s="288">
        <f t="shared" si="17"/>
        <v>0</v>
      </c>
      <c r="BO35" s="288">
        <f t="shared" si="7"/>
        <v>0</v>
      </c>
      <c r="BP35" s="288">
        <f t="shared" si="7"/>
        <v>0</v>
      </c>
      <c r="BQ35" s="288">
        <f t="shared" si="7"/>
        <v>0</v>
      </c>
      <c r="BR35" s="288">
        <f t="shared" si="7"/>
        <v>0</v>
      </c>
      <c r="BS35" s="288">
        <f t="shared" si="7"/>
        <v>0</v>
      </c>
      <c r="BT35" s="288">
        <f t="shared" si="7"/>
        <v>0</v>
      </c>
      <c r="BU35" s="288">
        <f t="shared" si="7"/>
        <v>0</v>
      </c>
      <c r="BV35" s="288">
        <f t="shared" si="7"/>
        <v>0</v>
      </c>
      <c r="BW35" s="288">
        <f t="shared" si="7"/>
        <v>0</v>
      </c>
      <c r="BX35" s="288">
        <f t="shared" si="7"/>
        <v>0</v>
      </c>
      <c r="BY35" s="288">
        <f t="shared" si="7"/>
        <v>0</v>
      </c>
      <c r="BZ35" s="288">
        <f t="shared" si="7"/>
        <v>0</v>
      </c>
      <c r="CA35" s="288">
        <f t="shared" si="7"/>
        <v>0</v>
      </c>
      <c r="CB35" s="288">
        <f t="shared" si="7"/>
        <v>0</v>
      </c>
      <c r="CC35" s="288">
        <f t="shared" si="7"/>
        <v>0</v>
      </c>
      <c r="CD35" s="288">
        <f t="shared" si="7"/>
        <v>0</v>
      </c>
      <c r="CE35" s="288">
        <f t="shared" si="22"/>
        <v>0</v>
      </c>
      <c r="CF35" s="288">
        <f t="shared" si="22"/>
        <v>0</v>
      </c>
      <c r="CG35" s="288">
        <f t="shared" si="22"/>
        <v>0</v>
      </c>
      <c r="CH35" s="288">
        <f t="shared" si="20"/>
        <v>0</v>
      </c>
      <c r="CI35" s="288">
        <f t="shared" si="20"/>
        <v>0</v>
      </c>
      <c r="CJ35" s="288">
        <f t="shared" si="20"/>
        <v>0</v>
      </c>
      <c r="CK35" s="288">
        <f t="shared" si="20"/>
        <v>0</v>
      </c>
      <c r="CL35" s="288">
        <f t="shared" si="20"/>
        <v>0</v>
      </c>
      <c r="CM35" s="288">
        <f t="shared" si="20"/>
        <v>0</v>
      </c>
      <c r="CN35" s="288">
        <f t="shared" si="20"/>
        <v>0</v>
      </c>
      <c r="CO35" s="288">
        <f t="shared" si="20"/>
        <v>0</v>
      </c>
      <c r="CP35" s="288">
        <f t="shared" si="20"/>
        <v>0</v>
      </c>
      <c r="CQ35" s="288">
        <f t="shared" si="20"/>
        <v>0</v>
      </c>
      <c r="CR35" s="288">
        <f t="shared" si="20"/>
        <v>0</v>
      </c>
      <c r="CS35" s="288">
        <f t="shared" si="20"/>
        <v>0</v>
      </c>
      <c r="CT35" s="288">
        <f t="shared" si="20"/>
        <v>0</v>
      </c>
      <c r="CU35" s="288">
        <f t="shared" si="20"/>
        <v>0</v>
      </c>
      <c r="CV35" s="288">
        <f t="shared" si="20"/>
        <v>0</v>
      </c>
      <c r="CW35" s="288">
        <f t="shared" si="20"/>
        <v>0</v>
      </c>
      <c r="CX35" s="288">
        <f t="shared" si="21"/>
        <v>0</v>
      </c>
      <c r="CY35" s="288">
        <f t="shared" si="13"/>
        <v>0</v>
      </c>
      <c r="CZ35" s="288">
        <f t="shared" si="13"/>
        <v>0</v>
      </c>
      <c r="DA35" s="288">
        <f t="shared" si="13"/>
        <v>0</v>
      </c>
      <c r="DB35" s="288">
        <f t="shared" si="13"/>
        <v>0</v>
      </c>
      <c r="DC35" s="288">
        <f t="shared" si="13"/>
        <v>0</v>
      </c>
      <c r="DD35" s="288">
        <f t="shared" si="13"/>
        <v>0</v>
      </c>
      <c r="DE35" s="288">
        <f t="shared" si="13"/>
        <v>0</v>
      </c>
      <c r="DG35" s="314">
        <f t="shared" si="3"/>
        <v>33</v>
      </c>
      <c r="DH35" s="289">
        <f>MAX(AI$3:AI$109)</f>
        <v>33</v>
      </c>
      <c r="DJ35" s="288">
        <f>LOOKUP(DH35, 'Mortality Table'!A:A,('Mortality Table'!J:J/'Mortality Table'!I:I))</f>
        <v>1.7597603209525893E-3</v>
      </c>
      <c r="DK35" s="288">
        <f>LOOKUP(A35, 'Mortality Table'!A:A,('Mortality Table'!J:J/'Mortality Table'!I:I))</f>
        <v>1.6611183722148757E-3</v>
      </c>
      <c r="DL35" s="288">
        <f t="shared" si="4"/>
        <v>9.8641948737713614E-5</v>
      </c>
      <c r="DN35" s="288">
        <f>LOOKUP(DH35, 'Mortality Table'!A:A,('Mortality Table'!L:L/'Mortality Table'!K:K))</f>
        <v>1.7825659416780175E-3</v>
      </c>
      <c r="DO35" s="288">
        <f>LOOKUP(A35, 'Mortality Table'!A:A,('Mortality Table'!L:L/'Mortality Table'!K:K))</f>
        <v>1.6826456422218878E-3</v>
      </c>
      <c r="DP35" s="288">
        <f t="shared" si="5"/>
        <v>9.9920299456129685E-5</v>
      </c>
      <c r="DR35" s="288">
        <f>LOOKUP(DH35, 'Mortality Table'!A:A,('Mortality Table'!N:N/'Mortality Table'!M:M))</f>
        <v>1.822628605487392E-3</v>
      </c>
      <c r="DS35" s="288">
        <f>LOOKUP(A35, 'Mortality Table'!A:A,('Mortality Table'!N:N/'Mortality Table'!M:M))</f>
        <v>1.7204626256492658E-3</v>
      </c>
      <c r="DT35" s="288">
        <f t="shared" si="6"/>
        <v>1.021659798381262E-4</v>
      </c>
    </row>
    <row r="36" spans="1:124">
      <c r="A36" s="288">
        <v>33</v>
      </c>
      <c r="B36" s="288">
        <v>1.9115890083632018E-3</v>
      </c>
      <c r="C36" s="288">
        <f t="shared" si="18"/>
        <v>0</v>
      </c>
      <c r="D36" s="288">
        <f t="shared" si="18"/>
        <v>0</v>
      </c>
      <c r="E36" s="288">
        <f t="shared" si="18"/>
        <v>0</v>
      </c>
      <c r="F36" s="288">
        <f t="shared" si="18"/>
        <v>0</v>
      </c>
      <c r="G36" s="288">
        <f t="shared" si="18"/>
        <v>0</v>
      </c>
      <c r="H36" s="288">
        <f t="shared" si="18"/>
        <v>0</v>
      </c>
      <c r="I36" s="288">
        <f t="shared" si="18"/>
        <v>0</v>
      </c>
      <c r="J36" s="288">
        <f t="shared" si="18"/>
        <v>0</v>
      </c>
      <c r="K36" s="288">
        <f t="shared" si="18"/>
        <v>0</v>
      </c>
      <c r="L36" s="288">
        <f t="shared" si="18"/>
        <v>0</v>
      </c>
      <c r="M36" s="288">
        <f t="shared" si="18"/>
        <v>0</v>
      </c>
      <c r="N36" s="288">
        <f t="shared" si="18"/>
        <v>0</v>
      </c>
      <c r="O36" s="288">
        <f t="shared" si="14"/>
        <v>0</v>
      </c>
      <c r="P36" s="288">
        <f t="shared" si="14"/>
        <v>0</v>
      </c>
      <c r="Q36" s="288">
        <f t="shared" si="14"/>
        <v>0</v>
      </c>
      <c r="R36" s="288">
        <f t="shared" si="14"/>
        <v>0</v>
      </c>
      <c r="S36" s="288">
        <f t="shared" si="14"/>
        <v>0</v>
      </c>
      <c r="T36" s="288">
        <f t="shared" si="14"/>
        <v>0</v>
      </c>
      <c r="U36" s="288">
        <f t="shared" si="14"/>
        <v>0</v>
      </c>
      <c r="V36" s="288">
        <f t="shared" si="14"/>
        <v>0</v>
      </c>
      <c r="W36" s="288">
        <f t="shared" si="14"/>
        <v>0</v>
      </c>
      <c r="X36" s="288">
        <f t="shared" si="14"/>
        <v>0</v>
      </c>
      <c r="Y36" s="288">
        <f t="shared" si="14"/>
        <v>0</v>
      </c>
      <c r="Z36" s="288">
        <f t="shared" si="14"/>
        <v>0</v>
      </c>
      <c r="AA36" s="288">
        <f t="shared" si="14"/>
        <v>0</v>
      </c>
      <c r="AB36" s="288">
        <f t="shared" si="14"/>
        <v>0</v>
      </c>
      <c r="AC36" s="288">
        <f t="shared" si="14"/>
        <v>0</v>
      </c>
      <c r="AD36" s="288">
        <f t="shared" si="14"/>
        <v>0</v>
      </c>
      <c r="AE36" s="288">
        <f t="shared" si="19"/>
        <v>0</v>
      </c>
      <c r="AF36" s="288">
        <f t="shared" si="19"/>
        <v>0</v>
      </c>
      <c r="AG36" s="288">
        <f t="shared" si="19"/>
        <v>0</v>
      </c>
      <c r="AH36" s="288">
        <f t="shared" si="15"/>
        <v>0</v>
      </c>
      <c r="AI36" s="288">
        <f t="shared" si="15"/>
        <v>0</v>
      </c>
      <c r="AJ36" s="288">
        <f t="shared" si="15"/>
        <v>34</v>
      </c>
      <c r="AK36" s="288">
        <f t="shared" si="15"/>
        <v>0</v>
      </c>
      <c r="AL36" s="288">
        <f t="shared" si="15"/>
        <v>0</v>
      </c>
      <c r="AM36" s="288">
        <f t="shared" si="15"/>
        <v>0</v>
      </c>
      <c r="AN36" s="288">
        <f t="shared" si="15"/>
        <v>0</v>
      </c>
      <c r="AO36" s="288">
        <f t="shared" si="15"/>
        <v>0</v>
      </c>
      <c r="AP36" s="288">
        <f t="shared" si="15"/>
        <v>0</v>
      </c>
      <c r="AQ36" s="288">
        <f t="shared" si="15"/>
        <v>0</v>
      </c>
      <c r="AR36" s="288">
        <f t="shared" si="15"/>
        <v>0</v>
      </c>
      <c r="AS36" s="288">
        <f t="shared" si="15"/>
        <v>0</v>
      </c>
      <c r="AT36" s="288">
        <f t="shared" si="15"/>
        <v>0</v>
      </c>
      <c r="AU36" s="288">
        <f t="shared" si="15"/>
        <v>0</v>
      </c>
      <c r="AV36" s="288">
        <f t="shared" si="15"/>
        <v>0</v>
      </c>
      <c r="AW36" s="288">
        <f t="shared" si="15"/>
        <v>0</v>
      </c>
      <c r="AX36" s="288">
        <f t="shared" si="16"/>
        <v>0</v>
      </c>
      <c r="AY36" s="288">
        <f t="shared" si="16"/>
        <v>0</v>
      </c>
      <c r="AZ36" s="288">
        <f t="shared" si="16"/>
        <v>0</v>
      </c>
      <c r="BA36" s="288">
        <f t="shared" si="16"/>
        <v>0</v>
      </c>
      <c r="BB36" s="288">
        <f t="shared" si="16"/>
        <v>0</v>
      </c>
      <c r="BC36" s="288">
        <f t="shared" si="16"/>
        <v>0</v>
      </c>
      <c r="BD36" s="288">
        <f t="shared" si="16"/>
        <v>0</v>
      </c>
      <c r="BE36" s="288">
        <f t="shared" si="16"/>
        <v>0</v>
      </c>
      <c r="BF36" s="288">
        <f t="shared" si="16"/>
        <v>0</v>
      </c>
      <c r="BG36" s="288">
        <f t="shared" si="16"/>
        <v>0</v>
      </c>
      <c r="BH36" s="288">
        <f t="shared" si="16"/>
        <v>0</v>
      </c>
      <c r="BI36" s="288">
        <f t="shared" si="16"/>
        <v>0</v>
      </c>
      <c r="BJ36" s="288">
        <f t="shared" si="16"/>
        <v>0</v>
      </c>
      <c r="BK36" s="288">
        <f t="shared" si="16"/>
        <v>0</v>
      </c>
      <c r="BL36" s="288">
        <f t="shared" si="16"/>
        <v>0</v>
      </c>
      <c r="BM36" s="288">
        <f t="shared" si="16"/>
        <v>0</v>
      </c>
      <c r="BN36" s="288">
        <f t="shared" si="17"/>
        <v>0</v>
      </c>
      <c r="BO36" s="288">
        <f t="shared" si="7"/>
        <v>0</v>
      </c>
      <c r="BP36" s="288">
        <f t="shared" si="7"/>
        <v>0</v>
      </c>
      <c r="BQ36" s="288">
        <f t="shared" si="7"/>
        <v>0</v>
      </c>
      <c r="BR36" s="288">
        <f t="shared" si="7"/>
        <v>0</v>
      </c>
      <c r="BS36" s="288">
        <f t="shared" si="7"/>
        <v>0</v>
      </c>
      <c r="BT36" s="288">
        <f t="shared" si="7"/>
        <v>0</v>
      </c>
      <c r="BU36" s="288">
        <f t="shared" si="7"/>
        <v>0</v>
      </c>
      <c r="BV36" s="288">
        <f t="shared" si="7"/>
        <v>0</v>
      </c>
      <c r="BW36" s="288">
        <f t="shared" si="7"/>
        <v>0</v>
      </c>
      <c r="BX36" s="288">
        <f t="shared" si="7"/>
        <v>0</v>
      </c>
      <c r="BY36" s="288">
        <f t="shared" si="7"/>
        <v>0</v>
      </c>
      <c r="BZ36" s="288">
        <f t="shared" si="7"/>
        <v>0</v>
      </c>
      <c r="CA36" s="288">
        <f t="shared" si="7"/>
        <v>0</v>
      </c>
      <c r="CB36" s="288">
        <f t="shared" si="7"/>
        <v>0</v>
      </c>
      <c r="CC36" s="288">
        <f t="shared" si="7"/>
        <v>0</v>
      </c>
      <c r="CD36" s="288">
        <f t="shared" ref="CD36:CD68" si="23">IF(CD$2&gt;$B36,(IF(CD$2&lt;=$B37,(IF(AVERAGE($B36,$B37)&gt;CD$2,$A36,$A37)),0)),0)</f>
        <v>0</v>
      </c>
      <c r="CE36" s="288">
        <f t="shared" si="22"/>
        <v>0</v>
      </c>
      <c r="CF36" s="288">
        <f t="shared" si="22"/>
        <v>0</v>
      </c>
      <c r="CG36" s="288">
        <f t="shared" si="22"/>
        <v>0</v>
      </c>
      <c r="CH36" s="288">
        <f t="shared" si="20"/>
        <v>0</v>
      </c>
      <c r="CI36" s="288">
        <f t="shared" si="20"/>
        <v>0</v>
      </c>
      <c r="CJ36" s="288">
        <f t="shared" si="20"/>
        <v>0</v>
      </c>
      <c r="CK36" s="288">
        <f t="shared" si="20"/>
        <v>0</v>
      </c>
      <c r="CL36" s="288">
        <f t="shared" si="20"/>
        <v>0</v>
      </c>
      <c r="CM36" s="288">
        <f t="shared" si="20"/>
        <v>0</v>
      </c>
      <c r="CN36" s="288">
        <f t="shared" si="20"/>
        <v>0</v>
      </c>
      <c r="CO36" s="288">
        <f t="shared" si="20"/>
        <v>0</v>
      </c>
      <c r="CP36" s="288">
        <f t="shared" si="20"/>
        <v>0</v>
      </c>
      <c r="CQ36" s="288">
        <f t="shared" si="20"/>
        <v>0</v>
      </c>
      <c r="CR36" s="288">
        <f t="shared" si="20"/>
        <v>0</v>
      </c>
      <c r="CS36" s="288">
        <f t="shared" si="20"/>
        <v>0</v>
      </c>
      <c r="CT36" s="288">
        <f t="shared" si="20"/>
        <v>0</v>
      </c>
      <c r="CU36" s="288">
        <f t="shared" si="20"/>
        <v>0</v>
      </c>
      <c r="CV36" s="288">
        <f t="shared" si="20"/>
        <v>0</v>
      </c>
      <c r="CW36" s="288">
        <f t="shared" si="20"/>
        <v>0</v>
      </c>
      <c r="CX36" s="288">
        <f t="shared" si="21"/>
        <v>0</v>
      </c>
      <c r="CY36" s="288">
        <f t="shared" si="13"/>
        <v>0</v>
      </c>
      <c r="CZ36" s="288">
        <f t="shared" si="13"/>
        <v>0</v>
      </c>
      <c r="DA36" s="288">
        <f t="shared" si="13"/>
        <v>0</v>
      </c>
      <c r="DB36" s="288">
        <f t="shared" si="13"/>
        <v>0</v>
      </c>
      <c r="DC36" s="288">
        <f t="shared" si="13"/>
        <v>0</v>
      </c>
      <c r="DD36" s="288">
        <f t="shared" si="13"/>
        <v>0</v>
      </c>
      <c r="DE36" s="288">
        <f t="shared" si="13"/>
        <v>0</v>
      </c>
      <c r="DG36" s="314">
        <f t="shared" si="3"/>
        <v>34</v>
      </c>
      <c r="DH36" s="289">
        <f>MAX(AJ$3:AJ$109)</f>
        <v>34</v>
      </c>
      <c r="DJ36" s="288">
        <f>LOOKUP(DH36, 'Mortality Table'!A:A,('Mortality Table'!J:J/'Mortality Table'!I:I))</f>
        <v>1.8493707909189702E-3</v>
      </c>
      <c r="DK36" s="288">
        <f>LOOKUP(A36, 'Mortality Table'!A:A,('Mortality Table'!J:J/'Mortality Table'!I:I))</f>
        <v>1.7597603209525893E-3</v>
      </c>
      <c r="DL36" s="288">
        <f t="shared" si="4"/>
        <v>8.9610469966380866E-5</v>
      </c>
      <c r="DN36" s="288">
        <f>LOOKUP(DH36, 'Mortality Table'!A:A,('Mortality Table'!L:L/'Mortality Table'!K:K))</f>
        <v>1.8733377188785425E-3</v>
      </c>
      <c r="DO36" s="288">
        <f>LOOKUP(A36, 'Mortality Table'!A:A,('Mortality Table'!L:L/'Mortality Table'!K:K))</f>
        <v>1.7825659416780175E-3</v>
      </c>
      <c r="DP36" s="288">
        <f t="shared" si="5"/>
        <v>9.0771777200524982E-5</v>
      </c>
      <c r="DR36" s="288">
        <f>LOOKUP(DH36, 'Mortality Table'!A:A,('Mortality Table'!N:N/'Mortality Table'!M:M))</f>
        <v>1.9154404526277363E-3</v>
      </c>
      <c r="DS36" s="288">
        <f>LOOKUP(A36, 'Mortality Table'!A:A,('Mortality Table'!N:N/'Mortality Table'!M:M))</f>
        <v>1.822628605487392E-3</v>
      </c>
      <c r="DT36" s="288">
        <f t="shared" si="6"/>
        <v>9.2811847140344354E-5</v>
      </c>
    </row>
    <row r="37" spans="1:124">
      <c r="A37" s="288">
        <v>34</v>
      </c>
      <c r="B37" s="288">
        <v>2.0089308948590106E-3</v>
      </c>
      <c r="C37" s="288">
        <f t="shared" si="18"/>
        <v>0</v>
      </c>
      <c r="D37" s="288">
        <f t="shared" si="18"/>
        <v>0</v>
      </c>
      <c r="E37" s="288">
        <f t="shared" si="18"/>
        <v>0</v>
      </c>
      <c r="F37" s="288">
        <f t="shared" si="18"/>
        <v>0</v>
      </c>
      <c r="G37" s="288">
        <f t="shared" si="18"/>
        <v>0</v>
      </c>
      <c r="H37" s="288">
        <f t="shared" si="18"/>
        <v>0</v>
      </c>
      <c r="I37" s="288">
        <f t="shared" si="18"/>
        <v>0</v>
      </c>
      <c r="J37" s="288">
        <f t="shared" si="18"/>
        <v>0</v>
      </c>
      <c r="K37" s="288">
        <f t="shared" si="18"/>
        <v>0</v>
      </c>
      <c r="L37" s="288">
        <f t="shared" si="18"/>
        <v>0</v>
      </c>
      <c r="M37" s="288">
        <f t="shared" si="18"/>
        <v>0</v>
      </c>
      <c r="N37" s="288">
        <f t="shared" si="18"/>
        <v>0</v>
      </c>
      <c r="O37" s="288">
        <f t="shared" si="14"/>
        <v>0</v>
      </c>
      <c r="P37" s="288">
        <f t="shared" si="14"/>
        <v>0</v>
      </c>
      <c r="Q37" s="288">
        <f t="shared" si="14"/>
        <v>0</v>
      </c>
      <c r="R37" s="288">
        <f t="shared" si="14"/>
        <v>0</v>
      </c>
      <c r="S37" s="288">
        <f t="shared" si="14"/>
        <v>0</v>
      </c>
      <c r="T37" s="288">
        <f t="shared" si="14"/>
        <v>0</v>
      </c>
      <c r="U37" s="288">
        <f t="shared" si="14"/>
        <v>0</v>
      </c>
      <c r="V37" s="288">
        <f t="shared" si="14"/>
        <v>0</v>
      </c>
      <c r="W37" s="288">
        <f t="shared" si="14"/>
        <v>0</v>
      </c>
      <c r="X37" s="288">
        <f t="shared" si="14"/>
        <v>0</v>
      </c>
      <c r="Y37" s="288">
        <f t="shared" si="14"/>
        <v>0</v>
      </c>
      <c r="Z37" s="288">
        <f t="shared" si="14"/>
        <v>0</v>
      </c>
      <c r="AA37" s="288">
        <f t="shared" si="14"/>
        <v>0</v>
      </c>
      <c r="AB37" s="288">
        <f t="shared" si="14"/>
        <v>0</v>
      </c>
      <c r="AC37" s="288">
        <f t="shared" si="14"/>
        <v>0</v>
      </c>
      <c r="AD37" s="288">
        <f t="shared" si="14"/>
        <v>0</v>
      </c>
      <c r="AE37" s="288">
        <f t="shared" si="19"/>
        <v>0</v>
      </c>
      <c r="AF37" s="288">
        <f t="shared" si="19"/>
        <v>0</v>
      </c>
      <c r="AG37" s="288">
        <f t="shared" si="19"/>
        <v>0</v>
      </c>
      <c r="AH37" s="288">
        <f t="shared" si="15"/>
        <v>0</v>
      </c>
      <c r="AI37" s="288">
        <f t="shared" si="15"/>
        <v>0</v>
      </c>
      <c r="AJ37" s="288">
        <f t="shared" si="15"/>
        <v>0</v>
      </c>
      <c r="AK37" s="288">
        <f t="shared" si="15"/>
        <v>35</v>
      </c>
      <c r="AL37" s="288">
        <f t="shared" si="15"/>
        <v>0</v>
      </c>
      <c r="AM37" s="288">
        <f t="shared" si="15"/>
        <v>0</v>
      </c>
      <c r="AN37" s="288">
        <f t="shared" si="15"/>
        <v>0</v>
      </c>
      <c r="AO37" s="288">
        <f t="shared" si="15"/>
        <v>0</v>
      </c>
      <c r="AP37" s="288">
        <f t="shared" si="15"/>
        <v>0</v>
      </c>
      <c r="AQ37" s="288">
        <f t="shared" si="15"/>
        <v>0</v>
      </c>
      <c r="AR37" s="288">
        <f t="shared" si="15"/>
        <v>0</v>
      </c>
      <c r="AS37" s="288">
        <f t="shared" si="15"/>
        <v>0</v>
      </c>
      <c r="AT37" s="288">
        <f t="shared" si="15"/>
        <v>0</v>
      </c>
      <c r="AU37" s="288">
        <f t="shared" si="15"/>
        <v>0</v>
      </c>
      <c r="AV37" s="288">
        <f t="shared" si="15"/>
        <v>0</v>
      </c>
      <c r="AW37" s="288">
        <f t="shared" si="15"/>
        <v>0</v>
      </c>
      <c r="AX37" s="288">
        <f t="shared" si="16"/>
        <v>0</v>
      </c>
      <c r="AY37" s="288">
        <f t="shared" si="16"/>
        <v>0</v>
      </c>
      <c r="AZ37" s="288">
        <f t="shared" si="16"/>
        <v>0</v>
      </c>
      <c r="BA37" s="288">
        <f t="shared" si="16"/>
        <v>0</v>
      </c>
      <c r="BB37" s="288">
        <f t="shared" si="16"/>
        <v>0</v>
      </c>
      <c r="BC37" s="288">
        <f t="shared" si="16"/>
        <v>0</v>
      </c>
      <c r="BD37" s="288">
        <f t="shared" si="16"/>
        <v>0</v>
      </c>
      <c r="BE37" s="288">
        <f t="shared" si="16"/>
        <v>0</v>
      </c>
      <c r="BF37" s="288">
        <f t="shared" si="16"/>
        <v>0</v>
      </c>
      <c r="BG37" s="288">
        <f t="shared" si="16"/>
        <v>0</v>
      </c>
      <c r="BH37" s="288">
        <f t="shared" si="16"/>
        <v>0</v>
      </c>
      <c r="BI37" s="288">
        <f t="shared" si="16"/>
        <v>0</v>
      </c>
      <c r="BJ37" s="288">
        <f t="shared" si="16"/>
        <v>0</v>
      </c>
      <c r="BK37" s="288">
        <f t="shared" si="16"/>
        <v>0</v>
      </c>
      <c r="BL37" s="288">
        <f t="shared" si="16"/>
        <v>0</v>
      </c>
      <c r="BM37" s="288">
        <f t="shared" si="16"/>
        <v>0</v>
      </c>
      <c r="BN37" s="288">
        <f t="shared" si="17"/>
        <v>0</v>
      </c>
      <c r="BO37" s="288">
        <f t="shared" si="17"/>
        <v>0</v>
      </c>
      <c r="BP37" s="288">
        <f t="shared" si="17"/>
        <v>0</v>
      </c>
      <c r="BQ37" s="288">
        <f t="shared" si="17"/>
        <v>0</v>
      </c>
      <c r="BR37" s="288">
        <f t="shared" si="17"/>
        <v>0</v>
      </c>
      <c r="BS37" s="288">
        <f t="shared" si="17"/>
        <v>0</v>
      </c>
      <c r="BT37" s="288">
        <f t="shared" si="17"/>
        <v>0</v>
      </c>
      <c r="BU37" s="288">
        <f t="shared" si="17"/>
        <v>0</v>
      </c>
      <c r="BV37" s="288">
        <f t="shared" si="17"/>
        <v>0</v>
      </c>
      <c r="BW37" s="288">
        <f t="shared" si="17"/>
        <v>0</v>
      </c>
      <c r="BX37" s="288">
        <f t="shared" si="17"/>
        <v>0</v>
      </c>
      <c r="BY37" s="288">
        <f t="shared" si="17"/>
        <v>0</v>
      </c>
      <c r="BZ37" s="288">
        <f t="shared" si="17"/>
        <v>0</v>
      </c>
      <c r="CA37" s="288">
        <f t="shared" si="17"/>
        <v>0</v>
      </c>
      <c r="CB37" s="288">
        <f t="shared" si="17"/>
        <v>0</v>
      </c>
      <c r="CC37" s="288">
        <f t="shared" si="17"/>
        <v>0</v>
      </c>
      <c r="CD37" s="288">
        <f t="shared" si="23"/>
        <v>0</v>
      </c>
      <c r="CE37" s="288">
        <f t="shared" si="22"/>
        <v>0</v>
      </c>
      <c r="CF37" s="288">
        <f t="shared" si="22"/>
        <v>0</v>
      </c>
      <c r="CG37" s="288">
        <f t="shared" si="22"/>
        <v>0</v>
      </c>
      <c r="CH37" s="288">
        <f t="shared" si="20"/>
        <v>0</v>
      </c>
      <c r="CI37" s="288">
        <f t="shared" si="20"/>
        <v>0</v>
      </c>
      <c r="CJ37" s="288">
        <f t="shared" si="20"/>
        <v>0</v>
      </c>
      <c r="CK37" s="288">
        <f t="shared" si="20"/>
        <v>0</v>
      </c>
      <c r="CL37" s="288">
        <f t="shared" si="20"/>
        <v>0</v>
      </c>
      <c r="CM37" s="288">
        <f t="shared" si="20"/>
        <v>0</v>
      </c>
      <c r="CN37" s="288">
        <f t="shared" si="20"/>
        <v>0</v>
      </c>
      <c r="CO37" s="288">
        <f t="shared" si="20"/>
        <v>0</v>
      </c>
      <c r="CP37" s="288">
        <f t="shared" si="20"/>
        <v>0</v>
      </c>
      <c r="CQ37" s="288">
        <f t="shared" si="20"/>
        <v>0</v>
      </c>
      <c r="CR37" s="288">
        <f t="shared" si="20"/>
        <v>0</v>
      </c>
      <c r="CS37" s="288">
        <f t="shared" si="20"/>
        <v>0</v>
      </c>
      <c r="CT37" s="288">
        <f t="shared" si="20"/>
        <v>0</v>
      </c>
      <c r="CU37" s="288">
        <f t="shared" si="20"/>
        <v>0</v>
      </c>
      <c r="CV37" s="288">
        <f t="shared" si="20"/>
        <v>0</v>
      </c>
      <c r="CW37" s="288">
        <f t="shared" si="20"/>
        <v>0</v>
      </c>
      <c r="CX37" s="288">
        <f t="shared" si="21"/>
        <v>0</v>
      </c>
      <c r="CY37" s="288">
        <f t="shared" si="13"/>
        <v>0</v>
      </c>
      <c r="CZ37" s="288">
        <f t="shared" si="13"/>
        <v>0</v>
      </c>
      <c r="DA37" s="288">
        <f t="shared" si="13"/>
        <v>0</v>
      </c>
      <c r="DB37" s="288">
        <f t="shared" si="13"/>
        <v>0</v>
      </c>
      <c r="DC37" s="288">
        <f t="shared" si="13"/>
        <v>0</v>
      </c>
      <c r="DD37" s="288">
        <f t="shared" si="13"/>
        <v>0</v>
      </c>
      <c r="DE37" s="288">
        <f t="shared" si="13"/>
        <v>0</v>
      </c>
      <c r="DG37" s="314">
        <f t="shared" si="3"/>
        <v>35</v>
      </c>
      <c r="DH37" s="289">
        <f>MAX(AK$3:AK$109)</f>
        <v>35</v>
      </c>
      <c r="DJ37" s="288">
        <f>LOOKUP(DH37, 'Mortality Table'!A:A,('Mortality Table'!J:J/'Mortality Table'!I:I))</f>
        <v>1.9395072155808562E-3</v>
      </c>
      <c r="DK37" s="288">
        <f>LOOKUP(A37, 'Mortality Table'!A:A,('Mortality Table'!J:J/'Mortality Table'!I:I))</f>
        <v>1.8493707909189702E-3</v>
      </c>
      <c r="DL37" s="288">
        <f t="shared" si="4"/>
        <v>9.0136424661885943E-5</v>
      </c>
      <c r="DN37" s="288">
        <f>LOOKUP(DH37, 'Mortality Table'!A:A,('Mortality Table'!L:L/'Mortality Table'!K:K))</f>
        <v>1.9646422668864942E-3</v>
      </c>
      <c r="DO37" s="288">
        <f>LOOKUP(A37, 'Mortality Table'!A:A,('Mortality Table'!L:L/'Mortality Table'!K:K))</f>
        <v>1.8733377188785425E-3</v>
      </c>
      <c r="DP37" s="288">
        <f t="shared" si="5"/>
        <v>9.1304548007951685E-5</v>
      </c>
      <c r="DR37" s="288">
        <f>LOOKUP(DH37, 'Mortality Table'!A:A,('Mortality Table'!N:N/'Mortality Table'!M:M))</f>
        <v>2.0087970444482533E-3</v>
      </c>
      <c r="DS37" s="288">
        <f>LOOKUP(A37, 'Mortality Table'!A:A,('Mortality Table'!N:N/'Mortality Table'!M:M))</f>
        <v>1.9154404526277363E-3</v>
      </c>
      <c r="DT37" s="288">
        <f t="shared" si="6"/>
        <v>9.3356591820517023E-5</v>
      </c>
    </row>
    <row r="38" spans="1:124">
      <c r="A38" s="288">
        <v>35</v>
      </c>
      <c r="B38" s="288">
        <v>2.1068441143953774E-3</v>
      </c>
      <c r="C38" s="288">
        <f t="shared" si="18"/>
        <v>0</v>
      </c>
      <c r="D38" s="288">
        <f t="shared" si="18"/>
        <v>0</v>
      </c>
      <c r="E38" s="288">
        <f t="shared" si="18"/>
        <v>0</v>
      </c>
      <c r="F38" s="288">
        <f t="shared" si="18"/>
        <v>0</v>
      </c>
      <c r="G38" s="288">
        <f t="shared" si="18"/>
        <v>0</v>
      </c>
      <c r="H38" s="288">
        <f t="shared" si="18"/>
        <v>0</v>
      </c>
      <c r="I38" s="288">
        <f t="shared" si="18"/>
        <v>0</v>
      </c>
      <c r="J38" s="288">
        <f t="shared" si="18"/>
        <v>0</v>
      </c>
      <c r="K38" s="288">
        <f t="shared" si="18"/>
        <v>0</v>
      </c>
      <c r="L38" s="288">
        <f t="shared" si="18"/>
        <v>0</v>
      </c>
      <c r="M38" s="288">
        <f t="shared" si="18"/>
        <v>0</v>
      </c>
      <c r="N38" s="288">
        <f t="shared" si="18"/>
        <v>0</v>
      </c>
      <c r="O38" s="288">
        <f t="shared" si="14"/>
        <v>0</v>
      </c>
      <c r="P38" s="288">
        <f t="shared" si="14"/>
        <v>0</v>
      </c>
      <c r="Q38" s="288">
        <f t="shared" si="14"/>
        <v>0</v>
      </c>
      <c r="R38" s="288">
        <f t="shared" si="14"/>
        <v>0</v>
      </c>
      <c r="S38" s="288">
        <f t="shared" si="14"/>
        <v>0</v>
      </c>
      <c r="T38" s="288">
        <f t="shared" si="14"/>
        <v>0</v>
      </c>
      <c r="U38" s="288">
        <f t="shared" si="14"/>
        <v>0</v>
      </c>
      <c r="V38" s="288">
        <f t="shared" si="14"/>
        <v>0</v>
      </c>
      <c r="W38" s="288">
        <f t="shared" si="14"/>
        <v>0</v>
      </c>
      <c r="X38" s="288">
        <f t="shared" si="14"/>
        <v>0</v>
      </c>
      <c r="Y38" s="288">
        <f t="shared" si="14"/>
        <v>0</v>
      </c>
      <c r="Z38" s="288">
        <f t="shared" ref="Z38:AO63" si="24">IF(Z$2&gt;$B38,(IF(Z$2&lt;=$B39,(IF(AVERAGE($B38,$B39)&gt;Z$2,$A38,$A39)),0)),0)</f>
        <v>0</v>
      </c>
      <c r="AA38" s="288">
        <f t="shared" si="24"/>
        <v>0</v>
      </c>
      <c r="AB38" s="288">
        <f t="shared" si="24"/>
        <v>0</v>
      </c>
      <c r="AC38" s="288">
        <f t="shared" si="24"/>
        <v>0</v>
      </c>
      <c r="AD38" s="288">
        <f t="shared" si="24"/>
        <v>0</v>
      </c>
      <c r="AE38" s="288">
        <f t="shared" si="19"/>
        <v>0</v>
      </c>
      <c r="AF38" s="288">
        <f t="shared" si="19"/>
        <v>0</v>
      </c>
      <c r="AG38" s="288">
        <f t="shared" si="19"/>
        <v>0</v>
      </c>
      <c r="AH38" s="288">
        <f t="shared" si="15"/>
        <v>0</v>
      </c>
      <c r="AI38" s="288">
        <f t="shared" si="15"/>
        <v>0</v>
      </c>
      <c r="AJ38" s="288">
        <f t="shared" si="15"/>
        <v>0</v>
      </c>
      <c r="AK38" s="288">
        <f t="shared" si="15"/>
        <v>0</v>
      </c>
      <c r="AL38" s="288">
        <f t="shared" si="15"/>
        <v>36</v>
      </c>
      <c r="AM38" s="288">
        <f t="shared" si="15"/>
        <v>0</v>
      </c>
      <c r="AN38" s="288">
        <f t="shared" si="15"/>
        <v>0</v>
      </c>
      <c r="AO38" s="288">
        <f t="shared" si="15"/>
        <v>0</v>
      </c>
      <c r="AP38" s="288">
        <f t="shared" si="15"/>
        <v>0</v>
      </c>
      <c r="AQ38" s="288">
        <f t="shared" si="15"/>
        <v>0</v>
      </c>
      <c r="AR38" s="288">
        <f t="shared" si="15"/>
        <v>0</v>
      </c>
      <c r="AS38" s="288">
        <f t="shared" si="15"/>
        <v>0</v>
      </c>
      <c r="AT38" s="288">
        <f t="shared" si="15"/>
        <v>0</v>
      </c>
      <c r="AU38" s="288">
        <f t="shared" si="15"/>
        <v>0</v>
      </c>
      <c r="AV38" s="288">
        <f t="shared" ref="AV38:BK54" si="25">IF(AV$2&gt;$B38,(IF(AV$2&lt;=$B39,(IF(AVERAGE($B38,$B39)&gt;AV$2,$A38,$A39)),0)),0)</f>
        <v>0</v>
      </c>
      <c r="AW38" s="288">
        <f t="shared" si="25"/>
        <v>0</v>
      </c>
      <c r="AX38" s="288">
        <f t="shared" si="16"/>
        <v>0</v>
      </c>
      <c r="AY38" s="288">
        <f t="shared" si="16"/>
        <v>0</v>
      </c>
      <c r="AZ38" s="288">
        <f t="shared" si="16"/>
        <v>0</v>
      </c>
      <c r="BA38" s="288">
        <f t="shared" si="16"/>
        <v>0</v>
      </c>
      <c r="BB38" s="288">
        <f t="shared" si="16"/>
        <v>0</v>
      </c>
      <c r="BC38" s="288">
        <f t="shared" si="16"/>
        <v>0</v>
      </c>
      <c r="BD38" s="288">
        <f t="shared" si="16"/>
        <v>0</v>
      </c>
      <c r="BE38" s="288">
        <f t="shared" si="16"/>
        <v>0</v>
      </c>
      <c r="BF38" s="288">
        <f t="shared" si="16"/>
        <v>0</v>
      </c>
      <c r="BG38" s="288">
        <f t="shared" si="16"/>
        <v>0</v>
      </c>
      <c r="BH38" s="288">
        <f t="shared" si="16"/>
        <v>0</v>
      </c>
      <c r="BI38" s="288">
        <f t="shared" si="16"/>
        <v>0</v>
      </c>
      <c r="BJ38" s="288">
        <f t="shared" si="16"/>
        <v>0</v>
      </c>
      <c r="BK38" s="288">
        <f t="shared" si="16"/>
        <v>0</v>
      </c>
      <c r="BL38" s="288">
        <f t="shared" ref="BL38:CA66" si="26">IF(BL$2&gt;$B38,(IF(BL$2&lt;=$B39,(IF(AVERAGE($B38,$B39)&gt;BL$2,$A38,$A39)),0)),0)</f>
        <v>0</v>
      </c>
      <c r="BM38" s="288">
        <f t="shared" si="26"/>
        <v>0</v>
      </c>
      <c r="BN38" s="288">
        <f t="shared" si="17"/>
        <v>0</v>
      </c>
      <c r="BO38" s="288">
        <f t="shared" si="17"/>
        <v>0</v>
      </c>
      <c r="BP38" s="288">
        <f t="shared" si="17"/>
        <v>0</v>
      </c>
      <c r="BQ38" s="288">
        <f t="shared" si="17"/>
        <v>0</v>
      </c>
      <c r="BR38" s="288">
        <f t="shared" si="17"/>
        <v>0</v>
      </c>
      <c r="BS38" s="288">
        <f t="shared" si="17"/>
        <v>0</v>
      </c>
      <c r="BT38" s="288">
        <f t="shared" si="17"/>
        <v>0</v>
      </c>
      <c r="BU38" s="288">
        <f t="shared" si="17"/>
        <v>0</v>
      </c>
      <c r="BV38" s="288">
        <f t="shared" si="17"/>
        <v>0</v>
      </c>
      <c r="BW38" s="288">
        <f t="shared" si="17"/>
        <v>0</v>
      </c>
      <c r="BX38" s="288">
        <f t="shared" si="17"/>
        <v>0</v>
      </c>
      <c r="BY38" s="288">
        <f t="shared" si="17"/>
        <v>0</v>
      </c>
      <c r="BZ38" s="288">
        <f t="shared" si="17"/>
        <v>0</v>
      </c>
      <c r="CA38" s="288">
        <f t="shared" si="17"/>
        <v>0</v>
      </c>
      <c r="CB38" s="288">
        <f t="shared" si="17"/>
        <v>0</v>
      </c>
      <c r="CC38" s="288">
        <f t="shared" si="17"/>
        <v>0</v>
      </c>
      <c r="CD38" s="288">
        <f t="shared" si="23"/>
        <v>0</v>
      </c>
      <c r="CE38" s="288">
        <f t="shared" si="22"/>
        <v>0</v>
      </c>
      <c r="CF38" s="288">
        <f t="shared" si="22"/>
        <v>0</v>
      </c>
      <c r="CG38" s="288">
        <f t="shared" si="22"/>
        <v>0</v>
      </c>
      <c r="CH38" s="288">
        <f t="shared" si="20"/>
        <v>0</v>
      </c>
      <c r="CI38" s="288">
        <f t="shared" si="20"/>
        <v>0</v>
      </c>
      <c r="CJ38" s="288">
        <f t="shared" si="20"/>
        <v>0</v>
      </c>
      <c r="CK38" s="288">
        <f t="shared" si="20"/>
        <v>0</v>
      </c>
      <c r="CL38" s="288">
        <f t="shared" si="20"/>
        <v>0</v>
      </c>
      <c r="CM38" s="288">
        <f t="shared" si="20"/>
        <v>0</v>
      </c>
      <c r="CN38" s="288">
        <f t="shared" si="20"/>
        <v>0</v>
      </c>
      <c r="CO38" s="288">
        <f t="shared" si="20"/>
        <v>0</v>
      </c>
      <c r="CP38" s="288">
        <f t="shared" si="20"/>
        <v>0</v>
      </c>
      <c r="CQ38" s="288">
        <f t="shared" si="20"/>
        <v>0</v>
      </c>
      <c r="CR38" s="288">
        <f t="shared" si="20"/>
        <v>0</v>
      </c>
      <c r="CS38" s="288">
        <f t="shared" si="20"/>
        <v>0</v>
      </c>
      <c r="CT38" s="288">
        <f t="shared" si="20"/>
        <v>0</v>
      </c>
      <c r="CU38" s="288">
        <f t="shared" si="20"/>
        <v>0</v>
      </c>
      <c r="CV38" s="288">
        <f t="shared" si="20"/>
        <v>0</v>
      </c>
      <c r="CW38" s="288">
        <f t="shared" si="20"/>
        <v>0</v>
      </c>
      <c r="CX38" s="288">
        <f t="shared" si="21"/>
        <v>0</v>
      </c>
      <c r="CY38" s="288">
        <f t="shared" si="13"/>
        <v>0</v>
      </c>
      <c r="CZ38" s="288">
        <f t="shared" si="13"/>
        <v>0</v>
      </c>
      <c r="DA38" s="288">
        <f t="shared" si="13"/>
        <v>0</v>
      </c>
      <c r="DB38" s="288">
        <f t="shared" si="13"/>
        <v>0</v>
      </c>
      <c r="DC38" s="288">
        <f t="shared" si="13"/>
        <v>0</v>
      </c>
      <c r="DD38" s="288">
        <f t="shared" si="13"/>
        <v>0</v>
      </c>
      <c r="DE38" s="288">
        <f t="shared" si="13"/>
        <v>0</v>
      </c>
      <c r="DG38" s="314">
        <f t="shared" si="3"/>
        <v>36</v>
      </c>
      <c r="DH38" s="289">
        <f>MAX(AL$3:AL$109)</f>
        <v>36</v>
      </c>
      <c r="DJ38" s="288">
        <f>LOOKUP(DH38, 'Mortality Table'!A:A,('Mortality Table'!J:J/'Mortality Table'!I:I))</f>
        <v>2.0494417995353367E-3</v>
      </c>
      <c r="DK38" s="288">
        <f>LOOKUP(A38, 'Mortality Table'!A:A,('Mortality Table'!J:J/'Mortality Table'!I:I))</f>
        <v>1.9395072155808562E-3</v>
      </c>
      <c r="DL38" s="288">
        <f t="shared" si="4"/>
        <v>1.0993458395448059E-4</v>
      </c>
      <c r="DN38" s="288">
        <f>LOOKUP(DH38, 'Mortality Table'!A:A,('Mortality Table'!L:L/'Mortality Table'!K:K))</f>
        <v>2.0760015485094137E-3</v>
      </c>
      <c r="DO38" s="288">
        <f>LOOKUP(A38, 'Mortality Table'!A:A,('Mortality Table'!L:L/'Mortality Table'!K:K))</f>
        <v>1.9646422668864942E-3</v>
      </c>
      <c r="DP38" s="288">
        <f t="shared" si="5"/>
        <v>1.1135928162291954E-4</v>
      </c>
      <c r="DR38" s="288">
        <f>LOOKUP(DH38, 'Mortality Table'!A:A,('Mortality Table'!N:N/'Mortality Table'!M:M))</f>
        <v>2.1226590943320277E-3</v>
      </c>
      <c r="DS38" s="288">
        <f>LOOKUP(A38, 'Mortality Table'!A:A,('Mortality Table'!N:N/'Mortality Table'!M:M))</f>
        <v>2.0087970444482533E-3</v>
      </c>
      <c r="DT38" s="288">
        <f t="shared" si="6"/>
        <v>1.1386204988377436E-4</v>
      </c>
    </row>
    <row r="39" spans="1:124">
      <c r="A39" s="288">
        <v>36</v>
      </c>
      <c r="B39" s="288">
        <v>2.226263639784272E-3</v>
      </c>
      <c r="C39" s="288">
        <f t="shared" si="18"/>
        <v>0</v>
      </c>
      <c r="D39" s="288">
        <f t="shared" si="18"/>
        <v>0</v>
      </c>
      <c r="E39" s="288">
        <f t="shared" si="18"/>
        <v>0</v>
      </c>
      <c r="F39" s="288">
        <f t="shared" si="18"/>
        <v>0</v>
      </c>
      <c r="G39" s="288">
        <f t="shared" si="18"/>
        <v>0</v>
      </c>
      <c r="H39" s="288">
        <f t="shared" si="18"/>
        <v>0</v>
      </c>
      <c r="I39" s="288">
        <f t="shared" si="18"/>
        <v>0</v>
      </c>
      <c r="J39" s="288">
        <f t="shared" si="18"/>
        <v>0</v>
      </c>
      <c r="K39" s="288">
        <f t="shared" si="18"/>
        <v>0</v>
      </c>
      <c r="L39" s="288">
        <f t="shared" si="18"/>
        <v>0</v>
      </c>
      <c r="M39" s="288">
        <f t="shared" si="18"/>
        <v>0</v>
      </c>
      <c r="N39" s="288">
        <f t="shared" si="18"/>
        <v>0</v>
      </c>
      <c r="O39" s="288">
        <f t="shared" si="18"/>
        <v>0</v>
      </c>
      <c r="P39" s="288">
        <f t="shared" si="18"/>
        <v>0</v>
      </c>
      <c r="Q39" s="288">
        <f t="shared" si="18"/>
        <v>0</v>
      </c>
      <c r="R39" s="288">
        <f t="shared" si="18"/>
        <v>0</v>
      </c>
      <c r="S39" s="288">
        <f t="shared" ref="S39:AH68" si="27">IF(S$2&gt;$B39,(IF(S$2&lt;=$B40,(IF(AVERAGE($B39,$B40)&gt;S$2,$A39,$A40)),0)),0)</f>
        <v>0</v>
      </c>
      <c r="T39" s="288">
        <f t="shared" si="27"/>
        <v>0</v>
      </c>
      <c r="U39" s="288">
        <f t="shared" si="27"/>
        <v>0</v>
      </c>
      <c r="V39" s="288">
        <f t="shared" si="27"/>
        <v>0</v>
      </c>
      <c r="W39" s="288">
        <f t="shared" si="27"/>
        <v>0</v>
      </c>
      <c r="X39" s="288">
        <f t="shared" si="27"/>
        <v>0</v>
      </c>
      <c r="Y39" s="288">
        <f t="shared" si="27"/>
        <v>0</v>
      </c>
      <c r="Z39" s="288">
        <f t="shared" si="24"/>
        <v>0</v>
      </c>
      <c r="AA39" s="288">
        <f t="shared" si="24"/>
        <v>0</v>
      </c>
      <c r="AB39" s="288">
        <f t="shared" si="24"/>
        <v>0</v>
      </c>
      <c r="AC39" s="288">
        <f t="shared" si="24"/>
        <v>0</v>
      </c>
      <c r="AD39" s="288">
        <f t="shared" si="24"/>
        <v>0</v>
      </c>
      <c r="AE39" s="288">
        <f t="shared" si="19"/>
        <v>0</v>
      </c>
      <c r="AF39" s="288">
        <f t="shared" si="19"/>
        <v>0</v>
      </c>
      <c r="AG39" s="288">
        <f t="shared" si="19"/>
        <v>0</v>
      </c>
      <c r="AH39" s="288">
        <f t="shared" si="19"/>
        <v>0</v>
      </c>
      <c r="AI39" s="288">
        <f t="shared" si="19"/>
        <v>0</v>
      </c>
      <c r="AJ39" s="288">
        <f t="shared" si="19"/>
        <v>0</v>
      </c>
      <c r="AK39" s="288">
        <f t="shared" si="19"/>
        <v>0</v>
      </c>
      <c r="AL39" s="288">
        <f t="shared" si="19"/>
        <v>0</v>
      </c>
      <c r="AM39" s="288">
        <f t="shared" si="19"/>
        <v>36</v>
      </c>
      <c r="AN39" s="288">
        <f t="shared" si="19"/>
        <v>0</v>
      </c>
      <c r="AO39" s="288">
        <f t="shared" si="19"/>
        <v>0</v>
      </c>
      <c r="AP39" s="288">
        <f t="shared" si="19"/>
        <v>0</v>
      </c>
      <c r="AQ39" s="288">
        <f t="shared" si="19"/>
        <v>0</v>
      </c>
      <c r="AR39" s="288">
        <f t="shared" si="19"/>
        <v>0</v>
      </c>
      <c r="AS39" s="288">
        <f t="shared" si="19"/>
        <v>0</v>
      </c>
      <c r="AT39" s="288">
        <f t="shared" si="19"/>
        <v>0</v>
      </c>
      <c r="AU39" s="288">
        <f t="shared" ref="AU39:BH72" si="28">IF(AU$2&gt;$B39,(IF(AU$2&lt;=$B40,(IF(AVERAGE($B39,$B40)&gt;AU$2,$A39,$A40)),0)),0)</f>
        <v>0</v>
      </c>
      <c r="AV39" s="288">
        <f t="shared" si="25"/>
        <v>0</v>
      </c>
      <c r="AW39" s="288">
        <f t="shared" si="25"/>
        <v>0</v>
      </c>
      <c r="AX39" s="288">
        <f t="shared" si="25"/>
        <v>0</v>
      </c>
      <c r="AY39" s="288">
        <f t="shared" si="25"/>
        <v>0</v>
      </c>
      <c r="AZ39" s="288">
        <f t="shared" si="25"/>
        <v>0</v>
      </c>
      <c r="BA39" s="288">
        <f t="shared" si="25"/>
        <v>0</v>
      </c>
      <c r="BB39" s="288">
        <f t="shared" si="25"/>
        <v>0</v>
      </c>
      <c r="BC39" s="288">
        <f t="shared" si="25"/>
        <v>0</v>
      </c>
      <c r="BD39" s="288">
        <f t="shared" si="25"/>
        <v>0</v>
      </c>
      <c r="BE39" s="288">
        <f t="shared" si="25"/>
        <v>0</v>
      </c>
      <c r="BF39" s="288">
        <f t="shared" si="25"/>
        <v>0</v>
      </c>
      <c r="BG39" s="288">
        <f t="shared" si="25"/>
        <v>0</v>
      </c>
      <c r="BH39" s="288">
        <f t="shared" si="25"/>
        <v>0</v>
      </c>
      <c r="BI39" s="288">
        <f t="shared" si="25"/>
        <v>0</v>
      </c>
      <c r="BJ39" s="288">
        <f t="shared" si="25"/>
        <v>0</v>
      </c>
      <c r="BK39" s="288">
        <f t="shared" si="25"/>
        <v>0</v>
      </c>
      <c r="BL39" s="288">
        <f t="shared" si="26"/>
        <v>0</v>
      </c>
      <c r="BM39" s="288">
        <f t="shared" si="26"/>
        <v>0</v>
      </c>
      <c r="BN39" s="288">
        <f t="shared" si="17"/>
        <v>0</v>
      </c>
      <c r="BO39" s="288">
        <f t="shared" si="17"/>
        <v>0</v>
      </c>
      <c r="BP39" s="288">
        <f t="shared" si="17"/>
        <v>0</v>
      </c>
      <c r="BQ39" s="288">
        <f t="shared" si="17"/>
        <v>0</v>
      </c>
      <c r="BR39" s="288">
        <f t="shared" si="17"/>
        <v>0</v>
      </c>
      <c r="BS39" s="288">
        <f t="shared" si="17"/>
        <v>0</v>
      </c>
      <c r="BT39" s="288">
        <f t="shared" si="17"/>
        <v>0</v>
      </c>
      <c r="BU39" s="288">
        <f t="shared" si="17"/>
        <v>0</v>
      </c>
      <c r="BV39" s="288">
        <f t="shared" si="17"/>
        <v>0</v>
      </c>
      <c r="BW39" s="288">
        <f t="shared" si="17"/>
        <v>0</v>
      </c>
      <c r="BX39" s="288">
        <f t="shared" si="17"/>
        <v>0</v>
      </c>
      <c r="BY39" s="288">
        <f t="shared" si="17"/>
        <v>0</v>
      </c>
      <c r="BZ39" s="288">
        <f t="shared" si="17"/>
        <v>0</v>
      </c>
      <c r="CA39" s="288">
        <f t="shared" si="17"/>
        <v>0</v>
      </c>
      <c r="CB39" s="288">
        <f t="shared" si="17"/>
        <v>0</v>
      </c>
      <c r="CC39" s="288">
        <f t="shared" si="17"/>
        <v>0</v>
      </c>
      <c r="CD39" s="288">
        <f t="shared" si="23"/>
        <v>0</v>
      </c>
      <c r="CE39" s="288">
        <f t="shared" si="22"/>
        <v>0</v>
      </c>
      <c r="CF39" s="288">
        <f t="shared" si="22"/>
        <v>0</v>
      </c>
      <c r="CG39" s="288">
        <f t="shared" si="22"/>
        <v>0</v>
      </c>
      <c r="CH39" s="288">
        <f t="shared" si="20"/>
        <v>0</v>
      </c>
      <c r="CI39" s="288">
        <f t="shared" si="20"/>
        <v>0</v>
      </c>
      <c r="CJ39" s="288">
        <f t="shared" si="20"/>
        <v>0</v>
      </c>
      <c r="CK39" s="288">
        <f t="shared" si="20"/>
        <v>0</v>
      </c>
      <c r="CL39" s="288">
        <f t="shared" si="20"/>
        <v>0</v>
      </c>
      <c r="CM39" s="288">
        <f t="shared" si="20"/>
        <v>0</v>
      </c>
      <c r="CN39" s="288">
        <f t="shared" si="20"/>
        <v>0</v>
      </c>
      <c r="CO39" s="288">
        <f t="shared" si="20"/>
        <v>0</v>
      </c>
      <c r="CP39" s="288">
        <f t="shared" si="20"/>
        <v>0</v>
      </c>
      <c r="CQ39" s="288">
        <f t="shared" si="20"/>
        <v>0</v>
      </c>
      <c r="CR39" s="288">
        <f t="shared" si="20"/>
        <v>0</v>
      </c>
      <c r="CS39" s="288">
        <f t="shared" si="20"/>
        <v>0</v>
      </c>
      <c r="CT39" s="288">
        <f t="shared" si="20"/>
        <v>0</v>
      </c>
      <c r="CU39" s="288">
        <f t="shared" si="20"/>
        <v>0</v>
      </c>
      <c r="CV39" s="288">
        <f t="shared" si="20"/>
        <v>0</v>
      </c>
      <c r="CW39" s="288">
        <f t="shared" si="20"/>
        <v>0</v>
      </c>
      <c r="CX39" s="288">
        <f t="shared" si="21"/>
        <v>0</v>
      </c>
      <c r="CY39" s="288">
        <f t="shared" si="13"/>
        <v>0</v>
      </c>
      <c r="CZ39" s="288">
        <f t="shared" si="13"/>
        <v>0</v>
      </c>
      <c r="DA39" s="288">
        <f t="shared" si="13"/>
        <v>0</v>
      </c>
      <c r="DB39" s="288">
        <f t="shared" si="13"/>
        <v>0</v>
      </c>
      <c r="DC39" s="288">
        <f t="shared" si="13"/>
        <v>0</v>
      </c>
      <c r="DD39" s="288">
        <f t="shared" si="13"/>
        <v>0</v>
      </c>
      <c r="DE39" s="288">
        <f t="shared" si="13"/>
        <v>0</v>
      </c>
      <c r="DG39" s="314">
        <f t="shared" si="3"/>
        <v>36</v>
      </c>
      <c r="DH39" s="289">
        <f>MAX(AM$3:AM$109)</f>
        <v>36</v>
      </c>
      <c r="DJ39" s="288">
        <f>LOOKUP(DH39, 'Mortality Table'!A:A,('Mortality Table'!J:J/'Mortality Table'!I:I))</f>
        <v>2.0494417995353367E-3</v>
      </c>
      <c r="DK39" s="288">
        <f>LOOKUP(A39, 'Mortality Table'!A:A,('Mortality Table'!J:J/'Mortality Table'!I:I))</f>
        <v>2.0494417995353367E-3</v>
      </c>
      <c r="DL39" s="288">
        <f t="shared" si="4"/>
        <v>0</v>
      </c>
      <c r="DN39" s="288">
        <f>LOOKUP(DH39, 'Mortality Table'!A:A,('Mortality Table'!L:L/'Mortality Table'!K:K))</f>
        <v>2.0760015485094137E-3</v>
      </c>
      <c r="DO39" s="288">
        <f>LOOKUP(A39, 'Mortality Table'!A:A,('Mortality Table'!L:L/'Mortality Table'!K:K))</f>
        <v>2.0760015485094137E-3</v>
      </c>
      <c r="DP39" s="288">
        <f t="shared" si="5"/>
        <v>0</v>
      </c>
      <c r="DR39" s="288">
        <f>LOOKUP(DH39, 'Mortality Table'!A:A,('Mortality Table'!N:N/'Mortality Table'!M:M))</f>
        <v>2.1226590943320277E-3</v>
      </c>
      <c r="DS39" s="288">
        <f>LOOKUP(A39, 'Mortality Table'!A:A,('Mortality Table'!N:N/'Mortality Table'!M:M))</f>
        <v>2.1226590943320277E-3</v>
      </c>
      <c r="DT39" s="288">
        <f t="shared" si="6"/>
        <v>0</v>
      </c>
    </row>
    <row r="40" spans="1:124">
      <c r="A40" s="288">
        <v>37</v>
      </c>
      <c r="B40" s="288">
        <v>2.3674093627897718E-3</v>
      </c>
      <c r="C40" s="288">
        <f t="shared" si="18"/>
        <v>0</v>
      </c>
      <c r="D40" s="288">
        <f t="shared" si="18"/>
        <v>0</v>
      </c>
      <c r="E40" s="288">
        <f t="shared" si="18"/>
        <v>0</v>
      </c>
      <c r="F40" s="288">
        <f t="shared" si="18"/>
        <v>0</v>
      </c>
      <c r="G40" s="288">
        <f t="shared" si="18"/>
        <v>0</v>
      </c>
      <c r="H40" s="288">
        <f t="shared" si="18"/>
        <v>0</v>
      </c>
      <c r="I40" s="288">
        <f t="shared" si="18"/>
        <v>0</v>
      </c>
      <c r="J40" s="288">
        <f t="shared" si="18"/>
        <v>0</v>
      </c>
      <c r="K40" s="288">
        <f t="shared" si="18"/>
        <v>0</v>
      </c>
      <c r="L40" s="288">
        <f t="shared" si="18"/>
        <v>0</v>
      </c>
      <c r="M40" s="288">
        <f t="shared" si="18"/>
        <v>0</v>
      </c>
      <c r="N40" s="288">
        <f t="shared" si="18"/>
        <v>0</v>
      </c>
      <c r="O40" s="288">
        <f t="shared" si="18"/>
        <v>0</v>
      </c>
      <c r="P40" s="288">
        <f t="shared" si="18"/>
        <v>0</v>
      </c>
      <c r="Q40" s="288">
        <f t="shared" si="18"/>
        <v>0</v>
      </c>
      <c r="R40" s="288">
        <f t="shared" si="18"/>
        <v>0</v>
      </c>
      <c r="S40" s="288">
        <f t="shared" si="27"/>
        <v>0</v>
      </c>
      <c r="T40" s="288">
        <f t="shared" si="27"/>
        <v>0</v>
      </c>
      <c r="U40" s="288">
        <f t="shared" si="27"/>
        <v>0</v>
      </c>
      <c r="V40" s="288">
        <f t="shared" si="27"/>
        <v>0</v>
      </c>
      <c r="W40" s="288">
        <f t="shared" si="27"/>
        <v>0</v>
      </c>
      <c r="X40" s="288">
        <f t="shared" si="27"/>
        <v>0</v>
      </c>
      <c r="Y40" s="288">
        <f t="shared" si="27"/>
        <v>0</v>
      </c>
      <c r="Z40" s="288">
        <f t="shared" si="24"/>
        <v>0</v>
      </c>
      <c r="AA40" s="288">
        <f t="shared" si="24"/>
        <v>0</v>
      </c>
      <c r="AB40" s="288">
        <f t="shared" si="24"/>
        <v>0</v>
      </c>
      <c r="AC40" s="288">
        <f t="shared" si="24"/>
        <v>0</v>
      </c>
      <c r="AD40" s="288">
        <f t="shared" si="24"/>
        <v>0</v>
      </c>
      <c r="AE40" s="288">
        <f t="shared" si="19"/>
        <v>0</v>
      </c>
      <c r="AF40" s="288">
        <f t="shared" si="19"/>
        <v>0</v>
      </c>
      <c r="AG40" s="288">
        <f t="shared" si="19"/>
        <v>0</v>
      </c>
      <c r="AH40" s="288">
        <f t="shared" si="19"/>
        <v>0</v>
      </c>
      <c r="AI40" s="288">
        <f t="shared" si="19"/>
        <v>0</v>
      </c>
      <c r="AJ40" s="288">
        <f t="shared" si="19"/>
        <v>0</v>
      </c>
      <c r="AK40" s="288">
        <f t="shared" si="19"/>
        <v>0</v>
      </c>
      <c r="AL40" s="288">
        <f t="shared" si="19"/>
        <v>0</v>
      </c>
      <c r="AM40" s="288">
        <f t="shared" si="19"/>
        <v>0</v>
      </c>
      <c r="AN40" s="288">
        <f t="shared" si="19"/>
        <v>37</v>
      </c>
      <c r="AO40" s="288">
        <f t="shared" si="19"/>
        <v>0</v>
      </c>
      <c r="AP40" s="288">
        <f t="shared" si="19"/>
        <v>0</v>
      </c>
      <c r="AQ40" s="288">
        <f t="shared" si="19"/>
        <v>0</v>
      </c>
      <c r="AR40" s="288">
        <f t="shared" si="19"/>
        <v>0</v>
      </c>
      <c r="AS40" s="288">
        <f t="shared" si="19"/>
        <v>0</v>
      </c>
      <c r="AT40" s="288">
        <f t="shared" si="19"/>
        <v>0</v>
      </c>
      <c r="AU40" s="288">
        <f t="shared" si="28"/>
        <v>0</v>
      </c>
      <c r="AV40" s="288">
        <f t="shared" si="25"/>
        <v>0</v>
      </c>
      <c r="AW40" s="288">
        <f t="shared" si="25"/>
        <v>0</v>
      </c>
      <c r="AX40" s="288">
        <f t="shared" si="25"/>
        <v>0</v>
      </c>
      <c r="AY40" s="288">
        <f t="shared" si="25"/>
        <v>0</v>
      </c>
      <c r="AZ40" s="288">
        <f t="shared" si="25"/>
        <v>0</v>
      </c>
      <c r="BA40" s="288">
        <f t="shared" si="25"/>
        <v>0</v>
      </c>
      <c r="BB40" s="288">
        <f t="shared" si="25"/>
        <v>0</v>
      </c>
      <c r="BC40" s="288">
        <f t="shared" si="25"/>
        <v>0</v>
      </c>
      <c r="BD40" s="288">
        <f t="shared" si="25"/>
        <v>0</v>
      </c>
      <c r="BE40" s="288">
        <f t="shared" si="25"/>
        <v>0</v>
      </c>
      <c r="BF40" s="288">
        <f t="shared" si="25"/>
        <v>0</v>
      </c>
      <c r="BG40" s="288">
        <f t="shared" si="25"/>
        <v>0</v>
      </c>
      <c r="BH40" s="288">
        <f t="shared" si="25"/>
        <v>0</v>
      </c>
      <c r="BI40" s="288">
        <f t="shared" si="25"/>
        <v>0</v>
      </c>
      <c r="BJ40" s="288">
        <f t="shared" si="25"/>
        <v>0</v>
      </c>
      <c r="BK40" s="288">
        <f t="shared" si="25"/>
        <v>0</v>
      </c>
      <c r="BL40" s="288">
        <f t="shared" si="26"/>
        <v>0</v>
      </c>
      <c r="BM40" s="288">
        <f t="shared" si="26"/>
        <v>0</v>
      </c>
      <c r="BN40" s="288">
        <f t="shared" si="17"/>
        <v>0</v>
      </c>
      <c r="BO40" s="288">
        <f t="shared" si="17"/>
        <v>0</v>
      </c>
      <c r="BP40" s="288">
        <f t="shared" si="17"/>
        <v>0</v>
      </c>
      <c r="BQ40" s="288">
        <f t="shared" si="17"/>
        <v>0</v>
      </c>
      <c r="BR40" s="288">
        <f t="shared" si="17"/>
        <v>0</v>
      </c>
      <c r="BS40" s="288">
        <f t="shared" si="17"/>
        <v>0</v>
      </c>
      <c r="BT40" s="288">
        <f t="shared" si="17"/>
        <v>0</v>
      </c>
      <c r="BU40" s="288">
        <f t="shared" si="17"/>
        <v>0</v>
      </c>
      <c r="BV40" s="288">
        <f t="shared" si="17"/>
        <v>0</v>
      </c>
      <c r="BW40" s="288">
        <f t="shared" si="17"/>
        <v>0</v>
      </c>
      <c r="BX40" s="288">
        <f t="shared" si="17"/>
        <v>0</v>
      </c>
      <c r="BY40" s="288">
        <f t="shared" si="17"/>
        <v>0</v>
      </c>
      <c r="BZ40" s="288">
        <f t="shared" si="17"/>
        <v>0</v>
      </c>
      <c r="CA40" s="288">
        <f t="shared" si="17"/>
        <v>0</v>
      </c>
      <c r="CB40" s="288">
        <f t="shared" si="17"/>
        <v>0</v>
      </c>
      <c r="CC40" s="288">
        <f t="shared" si="17"/>
        <v>0</v>
      </c>
      <c r="CD40" s="288">
        <f t="shared" si="23"/>
        <v>0</v>
      </c>
      <c r="CE40" s="288">
        <f t="shared" si="22"/>
        <v>0</v>
      </c>
      <c r="CF40" s="288">
        <f t="shared" si="22"/>
        <v>0</v>
      </c>
      <c r="CG40" s="288">
        <f t="shared" si="22"/>
        <v>0</v>
      </c>
      <c r="CH40" s="288">
        <f t="shared" si="20"/>
        <v>0</v>
      </c>
      <c r="CI40" s="288">
        <f t="shared" si="20"/>
        <v>0</v>
      </c>
      <c r="CJ40" s="288">
        <f t="shared" si="20"/>
        <v>0</v>
      </c>
      <c r="CK40" s="288">
        <f t="shared" si="20"/>
        <v>0</v>
      </c>
      <c r="CL40" s="288">
        <f t="shared" si="20"/>
        <v>0</v>
      </c>
      <c r="CM40" s="288">
        <f t="shared" si="20"/>
        <v>0</v>
      </c>
      <c r="CN40" s="288">
        <f t="shared" si="20"/>
        <v>0</v>
      </c>
      <c r="CO40" s="288">
        <f t="shared" si="20"/>
        <v>0</v>
      </c>
      <c r="CP40" s="288">
        <f t="shared" si="20"/>
        <v>0</v>
      </c>
      <c r="CQ40" s="288">
        <f t="shared" si="20"/>
        <v>0</v>
      </c>
      <c r="CR40" s="288">
        <f t="shared" si="20"/>
        <v>0</v>
      </c>
      <c r="CS40" s="288">
        <f t="shared" si="20"/>
        <v>0</v>
      </c>
      <c r="CT40" s="288">
        <f t="shared" si="20"/>
        <v>0</v>
      </c>
      <c r="CU40" s="288">
        <f t="shared" si="20"/>
        <v>0</v>
      </c>
      <c r="CV40" s="288">
        <f t="shared" ref="CV40:DA103" si="29">IF(CV$2&gt;$B40,(IF(CV$2&lt;=$B41,(IF(AVERAGE($B40,$B41)&gt;CV$2,$A40,$A41)),0)),0)</f>
        <v>0</v>
      </c>
      <c r="CW40" s="288">
        <f t="shared" si="29"/>
        <v>0</v>
      </c>
      <c r="CX40" s="288">
        <f t="shared" si="21"/>
        <v>0</v>
      </c>
      <c r="CY40" s="288">
        <f t="shared" si="13"/>
        <v>0</v>
      </c>
      <c r="CZ40" s="288">
        <f t="shared" si="13"/>
        <v>0</v>
      </c>
      <c r="DA40" s="288">
        <f t="shared" si="13"/>
        <v>0</v>
      </c>
      <c r="DB40" s="288">
        <f t="shared" si="13"/>
        <v>0</v>
      </c>
      <c r="DC40" s="288">
        <f t="shared" si="13"/>
        <v>0</v>
      </c>
      <c r="DD40" s="288">
        <f t="shared" si="13"/>
        <v>0</v>
      </c>
      <c r="DE40" s="288">
        <f t="shared" si="13"/>
        <v>0</v>
      </c>
      <c r="DG40" s="314">
        <f t="shared" si="3"/>
        <v>37</v>
      </c>
      <c r="DH40" s="289">
        <f>MAX(AN$3:AN$109)</f>
        <v>37</v>
      </c>
      <c r="DJ40" s="288">
        <f>LOOKUP(DH40, 'Mortality Table'!A:A,('Mortality Table'!J:J/'Mortality Table'!I:I))</f>
        <v>2.1793769695591077E-3</v>
      </c>
      <c r="DK40" s="288">
        <f>LOOKUP(A40, 'Mortality Table'!A:A,('Mortality Table'!J:J/'Mortality Table'!I:I))</f>
        <v>2.1793769695591077E-3</v>
      </c>
      <c r="DL40" s="288">
        <f t="shared" si="4"/>
        <v>0</v>
      </c>
      <c r="DN40" s="288">
        <f>LOOKUP(DH40, 'Mortality Table'!A:A,('Mortality Table'!L:L/'Mortality Table'!K:K))</f>
        <v>2.2076206138745983E-3</v>
      </c>
      <c r="DO40" s="288">
        <f>LOOKUP(A40, 'Mortality Table'!A:A,('Mortality Table'!L:L/'Mortality Table'!K:K))</f>
        <v>2.2076206138745983E-3</v>
      </c>
      <c r="DP40" s="288">
        <f t="shared" si="5"/>
        <v>0</v>
      </c>
      <c r="DR40" s="288">
        <f>LOOKUP(DH40, 'Mortality Table'!A:A,('Mortality Table'!N:N/'Mortality Table'!M:M))</f>
        <v>2.2572362608497937E-3</v>
      </c>
      <c r="DS40" s="288">
        <f>LOOKUP(A40, 'Mortality Table'!A:A,('Mortality Table'!N:N/'Mortality Table'!M:M))</f>
        <v>2.2572362608497937E-3</v>
      </c>
      <c r="DT40" s="288">
        <f t="shared" si="6"/>
        <v>0</v>
      </c>
    </row>
    <row r="41" spans="1:124">
      <c r="A41" s="288">
        <v>38</v>
      </c>
      <c r="B41" s="288">
        <v>2.5200289803332739E-3</v>
      </c>
      <c r="C41" s="288">
        <f t="shared" si="18"/>
        <v>0</v>
      </c>
      <c r="D41" s="288">
        <f t="shared" si="18"/>
        <v>0</v>
      </c>
      <c r="E41" s="288">
        <f t="shared" si="18"/>
        <v>0</v>
      </c>
      <c r="F41" s="288">
        <f t="shared" si="18"/>
        <v>0</v>
      </c>
      <c r="G41" s="288">
        <f t="shared" si="18"/>
        <v>0</v>
      </c>
      <c r="H41" s="288">
        <f t="shared" si="18"/>
        <v>0</v>
      </c>
      <c r="I41" s="288">
        <f t="shared" si="18"/>
        <v>0</v>
      </c>
      <c r="J41" s="288">
        <f t="shared" si="18"/>
        <v>0</v>
      </c>
      <c r="K41" s="288">
        <f t="shared" si="18"/>
        <v>0</v>
      </c>
      <c r="L41" s="288">
        <f t="shared" si="18"/>
        <v>0</v>
      </c>
      <c r="M41" s="288">
        <f t="shared" si="18"/>
        <v>0</v>
      </c>
      <c r="N41" s="288">
        <f t="shared" si="18"/>
        <v>0</v>
      </c>
      <c r="O41" s="288">
        <f t="shared" si="18"/>
        <v>0</v>
      </c>
      <c r="P41" s="288">
        <f t="shared" si="18"/>
        <v>0</v>
      </c>
      <c r="Q41" s="288">
        <f t="shared" si="18"/>
        <v>0</v>
      </c>
      <c r="R41" s="288">
        <f t="shared" si="18"/>
        <v>0</v>
      </c>
      <c r="S41" s="288">
        <f t="shared" si="27"/>
        <v>0</v>
      </c>
      <c r="T41" s="288">
        <f t="shared" si="27"/>
        <v>0</v>
      </c>
      <c r="U41" s="288">
        <f t="shared" si="27"/>
        <v>0</v>
      </c>
      <c r="V41" s="288">
        <f t="shared" si="27"/>
        <v>0</v>
      </c>
      <c r="W41" s="288">
        <f t="shared" si="27"/>
        <v>0</v>
      </c>
      <c r="X41" s="288">
        <f t="shared" si="27"/>
        <v>0</v>
      </c>
      <c r="Y41" s="288">
        <f t="shared" si="27"/>
        <v>0</v>
      </c>
      <c r="Z41" s="288">
        <f t="shared" si="24"/>
        <v>0</v>
      </c>
      <c r="AA41" s="288">
        <f t="shared" si="24"/>
        <v>0</v>
      </c>
      <c r="AB41" s="288">
        <f t="shared" si="24"/>
        <v>0</v>
      </c>
      <c r="AC41" s="288">
        <f t="shared" si="24"/>
        <v>0</v>
      </c>
      <c r="AD41" s="288">
        <f t="shared" si="24"/>
        <v>0</v>
      </c>
      <c r="AE41" s="288">
        <f t="shared" si="19"/>
        <v>0</v>
      </c>
      <c r="AF41" s="288">
        <f t="shared" si="19"/>
        <v>0</v>
      </c>
      <c r="AG41" s="288">
        <f t="shared" si="19"/>
        <v>0</v>
      </c>
      <c r="AH41" s="288">
        <f t="shared" si="19"/>
        <v>0</v>
      </c>
      <c r="AI41" s="288">
        <f t="shared" si="19"/>
        <v>0</v>
      </c>
      <c r="AJ41" s="288">
        <f t="shared" si="19"/>
        <v>0</v>
      </c>
      <c r="AK41" s="288">
        <f t="shared" si="19"/>
        <v>0</v>
      </c>
      <c r="AL41" s="288">
        <f t="shared" si="19"/>
        <v>0</v>
      </c>
      <c r="AM41" s="288">
        <f t="shared" si="19"/>
        <v>0</v>
      </c>
      <c r="AN41" s="288">
        <f t="shared" si="19"/>
        <v>0</v>
      </c>
      <c r="AO41" s="288">
        <f t="shared" si="19"/>
        <v>39</v>
      </c>
      <c r="AP41" s="288">
        <f t="shared" si="19"/>
        <v>0</v>
      </c>
      <c r="AQ41" s="288">
        <f t="shared" si="19"/>
        <v>0</v>
      </c>
      <c r="AR41" s="288">
        <f t="shared" si="19"/>
        <v>0</v>
      </c>
      <c r="AS41" s="288">
        <f t="shared" si="19"/>
        <v>0</v>
      </c>
      <c r="AT41" s="288">
        <f t="shared" si="19"/>
        <v>0</v>
      </c>
      <c r="AU41" s="288">
        <f t="shared" si="28"/>
        <v>0</v>
      </c>
      <c r="AV41" s="288">
        <f t="shared" si="25"/>
        <v>0</v>
      </c>
      <c r="AW41" s="288">
        <f t="shared" si="25"/>
        <v>0</v>
      </c>
      <c r="AX41" s="288">
        <f t="shared" si="25"/>
        <v>0</v>
      </c>
      <c r="AY41" s="288">
        <f t="shared" si="25"/>
        <v>0</v>
      </c>
      <c r="AZ41" s="288">
        <f t="shared" si="25"/>
        <v>0</v>
      </c>
      <c r="BA41" s="288">
        <f t="shared" si="25"/>
        <v>0</v>
      </c>
      <c r="BB41" s="288">
        <f t="shared" si="25"/>
        <v>0</v>
      </c>
      <c r="BC41" s="288">
        <f t="shared" si="25"/>
        <v>0</v>
      </c>
      <c r="BD41" s="288">
        <f t="shared" si="25"/>
        <v>0</v>
      </c>
      <c r="BE41" s="288">
        <f t="shared" si="25"/>
        <v>0</v>
      </c>
      <c r="BF41" s="288">
        <f t="shared" si="25"/>
        <v>0</v>
      </c>
      <c r="BG41" s="288">
        <f t="shared" si="25"/>
        <v>0</v>
      </c>
      <c r="BH41" s="288">
        <f t="shared" si="25"/>
        <v>0</v>
      </c>
      <c r="BI41" s="288">
        <f t="shared" si="25"/>
        <v>0</v>
      </c>
      <c r="BJ41" s="288">
        <f t="shared" si="25"/>
        <v>0</v>
      </c>
      <c r="BK41" s="288">
        <f t="shared" si="25"/>
        <v>0</v>
      </c>
      <c r="BL41" s="288">
        <f t="shared" si="26"/>
        <v>0</v>
      </c>
      <c r="BM41" s="288">
        <f t="shared" si="26"/>
        <v>0</v>
      </c>
      <c r="BN41" s="288">
        <f t="shared" si="17"/>
        <v>0</v>
      </c>
      <c r="BO41" s="288">
        <f t="shared" si="17"/>
        <v>0</v>
      </c>
      <c r="BP41" s="288">
        <f t="shared" si="17"/>
        <v>0</v>
      </c>
      <c r="BQ41" s="288">
        <f t="shared" si="17"/>
        <v>0</v>
      </c>
      <c r="BR41" s="288">
        <f t="shared" si="17"/>
        <v>0</v>
      </c>
      <c r="BS41" s="288">
        <f t="shared" si="17"/>
        <v>0</v>
      </c>
      <c r="BT41" s="288">
        <f t="shared" si="17"/>
        <v>0</v>
      </c>
      <c r="BU41" s="288">
        <f t="shared" si="17"/>
        <v>0</v>
      </c>
      <c r="BV41" s="288">
        <f t="shared" si="17"/>
        <v>0</v>
      </c>
      <c r="BW41" s="288">
        <f t="shared" si="17"/>
        <v>0</v>
      </c>
      <c r="BX41" s="288">
        <f t="shared" si="17"/>
        <v>0</v>
      </c>
      <c r="BY41" s="288">
        <f t="shared" si="17"/>
        <v>0</v>
      </c>
      <c r="BZ41" s="288">
        <f t="shared" si="17"/>
        <v>0</v>
      </c>
      <c r="CA41" s="288">
        <f t="shared" si="17"/>
        <v>0</v>
      </c>
      <c r="CB41" s="288">
        <f t="shared" si="17"/>
        <v>0</v>
      </c>
      <c r="CC41" s="288">
        <f t="shared" si="17"/>
        <v>0</v>
      </c>
      <c r="CD41" s="288">
        <f t="shared" si="23"/>
        <v>0</v>
      </c>
      <c r="CE41" s="288">
        <f t="shared" si="22"/>
        <v>0</v>
      </c>
      <c r="CF41" s="288">
        <f t="shared" si="22"/>
        <v>0</v>
      </c>
      <c r="CG41" s="288">
        <f t="shared" si="22"/>
        <v>0</v>
      </c>
      <c r="CH41" s="288">
        <f t="shared" si="22"/>
        <v>0</v>
      </c>
      <c r="CI41" s="288">
        <f t="shared" si="22"/>
        <v>0</v>
      </c>
      <c r="CJ41" s="288">
        <f t="shared" si="22"/>
        <v>0</v>
      </c>
      <c r="CK41" s="288">
        <f t="shared" si="22"/>
        <v>0</v>
      </c>
      <c r="CL41" s="288">
        <f t="shared" si="22"/>
        <v>0</v>
      </c>
      <c r="CM41" s="288">
        <f t="shared" si="22"/>
        <v>0</v>
      </c>
      <c r="CN41" s="288">
        <f t="shared" si="22"/>
        <v>0</v>
      </c>
      <c r="CO41" s="288">
        <f t="shared" si="22"/>
        <v>0</v>
      </c>
      <c r="CP41" s="288">
        <f t="shared" si="22"/>
        <v>0</v>
      </c>
      <c r="CQ41" s="288">
        <f t="shared" si="22"/>
        <v>0</v>
      </c>
      <c r="CR41" s="288">
        <f t="shared" si="22"/>
        <v>0</v>
      </c>
      <c r="CS41" s="288">
        <f t="shared" si="22"/>
        <v>0</v>
      </c>
      <c r="CT41" s="288">
        <f t="shared" si="22"/>
        <v>0</v>
      </c>
      <c r="CU41" s="288">
        <f t="shared" ref="CU41:CU72" si="30">IF(CU$2&gt;$B41,(IF(CU$2&lt;=$B42,(IF(AVERAGE($B41,$B42)&gt;CU$2,$A41,$A42)),0)),0)</f>
        <v>0</v>
      </c>
      <c r="CV41" s="288">
        <f t="shared" si="29"/>
        <v>0</v>
      </c>
      <c r="CW41" s="288">
        <f t="shared" si="29"/>
        <v>0</v>
      </c>
      <c r="CX41" s="288">
        <f t="shared" si="21"/>
        <v>0</v>
      </c>
      <c r="CY41" s="288">
        <f t="shared" si="13"/>
        <v>0</v>
      </c>
      <c r="CZ41" s="288">
        <f t="shared" si="13"/>
        <v>0</v>
      </c>
      <c r="DA41" s="288">
        <f t="shared" si="13"/>
        <v>0</v>
      </c>
      <c r="DB41" s="288">
        <f t="shared" si="13"/>
        <v>0</v>
      </c>
      <c r="DC41" s="288">
        <f t="shared" si="13"/>
        <v>0</v>
      </c>
      <c r="DD41" s="288">
        <f t="shared" si="13"/>
        <v>0</v>
      </c>
      <c r="DE41" s="288">
        <f t="shared" si="13"/>
        <v>0</v>
      </c>
      <c r="DG41" s="314">
        <f t="shared" si="3"/>
        <v>39</v>
      </c>
      <c r="DH41" s="289">
        <f>MAX(AO$3:AO$109)</f>
        <v>39</v>
      </c>
      <c r="DJ41" s="288">
        <f>LOOKUP(DH41, 'Mortality Table'!A:A,('Mortality Table'!J:J/'Mortality Table'!I:I))</f>
        <v>2.4323318535583146E-3</v>
      </c>
      <c r="DK41" s="288">
        <f>LOOKUP(A41, 'Mortality Table'!A:A,('Mortality Table'!J:J/'Mortality Table'!I:I))</f>
        <v>2.3198747156630058E-3</v>
      </c>
      <c r="DL41" s="288">
        <f t="shared" si="4"/>
        <v>1.1245713789530872E-4</v>
      </c>
      <c r="DN41" s="288">
        <f>LOOKUP(DH41, 'Mortality Table'!A:A,('Mortality Table'!L:L/'Mortality Table'!K:K))</f>
        <v>2.4638536676770684E-3</v>
      </c>
      <c r="DO41" s="288">
        <f>LOOKUP(A41, 'Mortality Table'!A:A,('Mortality Table'!L:L/'Mortality Table'!K:K))</f>
        <v>2.3499391410657122E-3</v>
      </c>
      <c r="DP41" s="288">
        <f t="shared" si="5"/>
        <v>1.139145266113562E-4</v>
      </c>
      <c r="DR41" s="288">
        <f>LOOKUP(DH41, 'Mortality Table'!A:A,('Mortality Table'!N:N/'Mortality Table'!M:M))</f>
        <v>2.5192280798408753E-3</v>
      </c>
      <c r="DS41" s="288">
        <f>LOOKUP(A41, 'Mortality Table'!A:A,('Mortality Table'!N:N/'Mortality Table'!M:M))</f>
        <v>2.4027533565624936E-3</v>
      </c>
      <c r="DT41" s="288">
        <f t="shared" si="6"/>
        <v>1.1647472327838172E-4</v>
      </c>
    </row>
    <row r="42" spans="1:124">
      <c r="A42" s="288">
        <v>39</v>
      </c>
      <c r="B42" s="288">
        <v>2.6421887006958114E-3</v>
      </c>
      <c r="C42" s="288">
        <f t="shared" si="18"/>
        <v>0</v>
      </c>
      <c r="D42" s="288">
        <f t="shared" si="18"/>
        <v>0</v>
      </c>
      <c r="E42" s="288">
        <f t="shared" si="18"/>
        <v>0</v>
      </c>
      <c r="F42" s="288">
        <f t="shared" si="18"/>
        <v>0</v>
      </c>
      <c r="G42" s="288">
        <f t="shared" si="18"/>
        <v>0</v>
      </c>
      <c r="H42" s="288">
        <f t="shared" si="18"/>
        <v>0</v>
      </c>
      <c r="I42" s="288">
        <f t="shared" si="18"/>
        <v>0</v>
      </c>
      <c r="J42" s="288">
        <f t="shared" si="18"/>
        <v>0</v>
      </c>
      <c r="K42" s="288">
        <f t="shared" si="18"/>
        <v>0</v>
      </c>
      <c r="L42" s="288">
        <f t="shared" si="18"/>
        <v>0</v>
      </c>
      <c r="M42" s="288">
        <f t="shared" si="18"/>
        <v>0</v>
      </c>
      <c r="N42" s="288">
        <f t="shared" si="18"/>
        <v>0</v>
      </c>
      <c r="O42" s="288">
        <f t="shared" si="18"/>
        <v>0</v>
      </c>
      <c r="P42" s="288">
        <f t="shared" si="18"/>
        <v>0</v>
      </c>
      <c r="Q42" s="288">
        <f t="shared" si="18"/>
        <v>0</v>
      </c>
      <c r="R42" s="288">
        <f t="shared" ref="R42:R83" si="31">IF(R$2&gt;$B42,(IF(R$2&lt;=$B43,(IF(AVERAGE($B42,$B43)&gt;R$2,$A42,$A43)),0)),0)</f>
        <v>0</v>
      </c>
      <c r="S42" s="288">
        <f t="shared" si="27"/>
        <v>0</v>
      </c>
      <c r="T42" s="288">
        <f t="shared" si="27"/>
        <v>0</v>
      </c>
      <c r="U42" s="288">
        <f t="shared" si="27"/>
        <v>0</v>
      </c>
      <c r="V42" s="288">
        <f t="shared" si="27"/>
        <v>0</v>
      </c>
      <c r="W42" s="288">
        <f t="shared" si="27"/>
        <v>0</v>
      </c>
      <c r="X42" s="288">
        <f t="shared" si="27"/>
        <v>0</v>
      </c>
      <c r="Y42" s="288">
        <f t="shared" si="27"/>
        <v>0</v>
      </c>
      <c r="Z42" s="288">
        <f t="shared" si="24"/>
        <v>0</v>
      </c>
      <c r="AA42" s="288">
        <f t="shared" si="24"/>
        <v>0</v>
      </c>
      <c r="AB42" s="288">
        <f t="shared" si="24"/>
        <v>0</v>
      </c>
      <c r="AC42" s="288">
        <f t="shared" si="24"/>
        <v>0</v>
      </c>
      <c r="AD42" s="288">
        <f t="shared" si="24"/>
        <v>0</v>
      </c>
      <c r="AE42" s="288">
        <f t="shared" si="19"/>
        <v>0</v>
      </c>
      <c r="AF42" s="288">
        <f t="shared" si="19"/>
        <v>0</v>
      </c>
      <c r="AG42" s="288">
        <f t="shared" si="19"/>
        <v>0</v>
      </c>
      <c r="AH42" s="288">
        <f t="shared" si="19"/>
        <v>0</v>
      </c>
      <c r="AI42" s="288">
        <f t="shared" si="19"/>
        <v>0</v>
      </c>
      <c r="AJ42" s="288">
        <f t="shared" si="19"/>
        <v>0</v>
      </c>
      <c r="AK42" s="288">
        <f t="shared" si="19"/>
        <v>0</v>
      </c>
      <c r="AL42" s="288">
        <f t="shared" si="19"/>
        <v>0</v>
      </c>
      <c r="AM42" s="288">
        <f t="shared" si="19"/>
        <v>0</v>
      </c>
      <c r="AN42" s="288">
        <f t="shared" si="19"/>
        <v>0</v>
      </c>
      <c r="AO42" s="288">
        <f t="shared" si="19"/>
        <v>0</v>
      </c>
      <c r="AP42" s="288">
        <f t="shared" si="19"/>
        <v>39</v>
      </c>
      <c r="AQ42" s="288">
        <f t="shared" si="19"/>
        <v>0</v>
      </c>
      <c r="AR42" s="288">
        <f t="shared" si="19"/>
        <v>0</v>
      </c>
      <c r="AS42" s="288">
        <f t="shared" si="19"/>
        <v>0</v>
      </c>
      <c r="AT42" s="288">
        <f t="shared" si="19"/>
        <v>0</v>
      </c>
      <c r="AU42" s="288">
        <f t="shared" si="28"/>
        <v>0</v>
      </c>
      <c r="AV42" s="288">
        <f t="shared" si="25"/>
        <v>0</v>
      </c>
      <c r="AW42" s="288">
        <f t="shared" si="25"/>
        <v>0</v>
      </c>
      <c r="AX42" s="288">
        <f t="shared" si="25"/>
        <v>0</v>
      </c>
      <c r="AY42" s="288">
        <f t="shared" si="25"/>
        <v>0</v>
      </c>
      <c r="AZ42" s="288">
        <f t="shared" si="25"/>
        <v>0</v>
      </c>
      <c r="BA42" s="288">
        <f t="shared" si="25"/>
        <v>0</v>
      </c>
      <c r="BB42" s="288">
        <f t="shared" si="25"/>
        <v>0</v>
      </c>
      <c r="BC42" s="288">
        <f t="shared" si="25"/>
        <v>0</v>
      </c>
      <c r="BD42" s="288">
        <f t="shared" si="25"/>
        <v>0</v>
      </c>
      <c r="BE42" s="288">
        <f t="shared" si="25"/>
        <v>0</v>
      </c>
      <c r="BF42" s="288">
        <f t="shared" si="25"/>
        <v>0</v>
      </c>
      <c r="BG42" s="288">
        <f t="shared" si="25"/>
        <v>0</v>
      </c>
      <c r="BH42" s="288">
        <f t="shared" si="25"/>
        <v>0</v>
      </c>
      <c r="BI42" s="288">
        <f t="shared" si="25"/>
        <v>0</v>
      </c>
      <c r="BJ42" s="288">
        <f t="shared" si="25"/>
        <v>0</v>
      </c>
      <c r="BK42" s="288">
        <f t="shared" si="25"/>
        <v>0</v>
      </c>
      <c r="BL42" s="288">
        <f t="shared" si="26"/>
        <v>0</v>
      </c>
      <c r="BM42" s="288">
        <f t="shared" si="26"/>
        <v>0</v>
      </c>
      <c r="BN42" s="288">
        <f t="shared" si="17"/>
        <v>0</v>
      </c>
      <c r="BO42" s="288">
        <f t="shared" si="17"/>
        <v>0</v>
      </c>
      <c r="BP42" s="288">
        <f t="shared" si="17"/>
        <v>0</v>
      </c>
      <c r="BQ42" s="288">
        <f t="shared" si="17"/>
        <v>0</v>
      </c>
      <c r="BR42" s="288">
        <f t="shared" si="17"/>
        <v>0</v>
      </c>
      <c r="BS42" s="288">
        <f t="shared" si="17"/>
        <v>0</v>
      </c>
      <c r="BT42" s="288">
        <f t="shared" si="17"/>
        <v>0</v>
      </c>
      <c r="BU42" s="288">
        <f t="shared" si="17"/>
        <v>0</v>
      </c>
      <c r="BV42" s="288">
        <f t="shared" si="17"/>
        <v>0</v>
      </c>
      <c r="BW42" s="288">
        <f t="shared" si="17"/>
        <v>0</v>
      </c>
      <c r="BX42" s="288">
        <f t="shared" si="17"/>
        <v>0</v>
      </c>
      <c r="BY42" s="288">
        <f t="shared" si="17"/>
        <v>0</v>
      </c>
      <c r="BZ42" s="288">
        <f t="shared" si="17"/>
        <v>0</v>
      </c>
      <c r="CA42" s="288">
        <f t="shared" si="17"/>
        <v>0</v>
      </c>
      <c r="CB42" s="288">
        <f t="shared" si="17"/>
        <v>0</v>
      </c>
      <c r="CC42" s="288">
        <f t="shared" si="17"/>
        <v>0</v>
      </c>
      <c r="CD42" s="288">
        <f t="shared" si="23"/>
        <v>0</v>
      </c>
      <c r="CE42" s="288">
        <f t="shared" si="22"/>
        <v>0</v>
      </c>
      <c r="CF42" s="288">
        <f t="shared" si="22"/>
        <v>0</v>
      </c>
      <c r="CG42" s="288">
        <f t="shared" si="22"/>
        <v>0</v>
      </c>
      <c r="CH42" s="288">
        <f t="shared" si="22"/>
        <v>0</v>
      </c>
      <c r="CI42" s="288">
        <f t="shared" si="22"/>
        <v>0</v>
      </c>
      <c r="CJ42" s="288">
        <f t="shared" si="22"/>
        <v>0</v>
      </c>
      <c r="CK42" s="288">
        <f t="shared" si="22"/>
        <v>0</v>
      </c>
      <c r="CL42" s="288">
        <f t="shared" si="22"/>
        <v>0</v>
      </c>
      <c r="CM42" s="288">
        <f t="shared" si="22"/>
        <v>0</v>
      </c>
      <c r="CN42" s="288">
        <f t="shared" si="22"/>
        <v>0</v>
      </c>
      <c r="CO42" s="288">
        <f t="shared" si="22"/>
        <v>0</v>
      </c>
      <c r="CP42" s="288">
        <f t="shared" si="22"/>
        <v>0</v>
      </c>
      <c r="CQ42" s="288">
        <f t="shared" si="22"/>
        <v>0</v>
      </c>
      <c r="CR42" s="288">
        <f t="shared" si="22"/>
        <v>0</v>
      </c>
      <c r="CS42" s="288">
        <f t="shared" si="22"/>
        <v>0</v>
      </c>
      <c r="CT42" s="288">
        <f t="shared" si="22"/>
        <v>0</v>
      </c>
      <c r="CU42" s="288">
        <f t="shared" si="30"/>
        <v>0</v>
      </c>
      <c r="CV42" s="288">
        <f t="shared" si="29"/>
        <v>0</v>
      </c>
      <c r="CW42" s="288">
        <f t="shared" si="29"/>
        <v>0</v>
      </c>
      <c r="CX42" s="288">
        <f t="shared" si="21"/>
        <v>0</v>
      </c>
      <c r="CY42" s="288">
        <f t="shared" si="13"/>
        <v>0</v>
      </c>
      <c r="CZ42" s="288">
        <f t="shared" si="13"/>
        <v>0</v>
      </c>
      <c r="DA42" s="288">
        <f t="shared" si="13"/>
        <v>0</v>
      </c>
      <c r="DB42" s="288">
        <f t="shared" si="13"/>
        <v>0</v>
      </c>
      <c r="DC42" s="288">
        <f t="shared" si="13"/>
        <v>0</v>
      </c>
      <c r="DD42" s="288">
        <f t="shared" si="13"/>
        <v>0</v>
      </c>
      <c r="DE42" s="288">
        <f t="shared" si="13"/>
        <v>0</v>
      </c>
      <c r="DG42" s="314">
        <f t="shared" si="3"/>
        <v>39</v>
      </c>
      <c r="DH42" s="289">
        <f>MAX(AP$3:AP$109)</f>
        <v>39</v>
      </c>
      <c r="DJ42" s="288">
        <f>LOOKUP(DH42, 'Mortality Table'!A:A,('Mortality Table'!J:J/'Mortality Table'!I:I))</f>
        <v>2.4323318535583146E-3</v>
      </c>
      <c r="DK42" s="288">
        <f>LOOKUP(A42, 'Mortality Table'!A:A,('Mortality Table'!J:J/'Mortality Table'!I:I))</f>
        <v>2.4323318535583146E-3</v>
      </c>
      <c r="DL42" s="288">
        <f t="shared" si="4"/>
        <v>0</v>
      </c>
      <c r="DN42" s="288">
        <f>LOOKUP(DH42, 'Mortality Table'!A:A,('Mortality Table'!L:L/'Mortality Table'!K:K))</f>
        <v>2.4638536676770684E-3</v>
      </c>
      <c r="DO42" s="288">
        <f>LOOKUP(A42, 'Mortality Table'!A:A,('Mortality Table'!L:L/'Mortality Table'!K:K))</f>
        <v>2.4638536676770684E-3</v>
      </c>
      <c r="DP42" s="288">
        <f t="shared" si="5"/>
        <v>0</v>
      </c>
      <c r="DR42" s="288">
        <f>LOOKUP(DH42, 'Mortality Table'!A:A,('Mortality Table'!N:N/'Mortality Table'!M:M))</f>
        <v>2.5192280798408753E-3</v>
      </c>
      <c r="DS42" s="288">
        <f>LOOKUP(A42, 'Mortality Table'!A:A,('Mortality Table'!N:N/'Mortality Table'!M:M))</f>
        <v>2.5192280798408753E-3</v>
      </c>
      <c r="DT42" s="288">
        <f t="shared" si="6"/>
        <v>0</v>
      </c>
    </row>
    <row r="43" spans="1:124">
      <c r="A43" s="288">
        <v>40</v>
      </c>
      <c r="B43" s="288">
        <v>2.8497245266290924E-3</v>
      </c>
      <c r="C43" s="288">
        <f t="shared" ref="C43:Q59" si="32">IF(C$2&gt;$B43,(IF(C$2&lt;=$B44,(IF(AVERAGE($B43,$B44)&gt;C$2,$A43,$A44)),0)),0)</f>
        <v>0</v>
      </c>
      <c r="D43" s="288">
        <f t="shared" si="32"/>
        <v>0</v>
      </c>
      <c r="E43" s="288">
        <f t="shared" si="32"/>
        <v>0</v>
      </c>
      <c r="F43" s="288">
        <f t="shared" si="32"/>
        <v>0</v>
      </c>
      <c r="G43" s="288">
        <f t="shared" si="32"/>
        <v>0</v>
      </c>
      <c r="H43" s="288">
        <f t="shared" si="32"/>
        <v>0</v>
      </c>
      <c r="I43" s="288">
        <f t="shared" si="32"/>
        <v>0</v>
      </c>
      <c r="J43" s="288">
        <f t="shared" si="32"/>
        <v>0</v>
      </c>
      <c r="K43" s="288">
        <f t="shared" si="32"/>
        <v>0</v>
      </c>
      <c r="L43" s="288">
        <f t="shared" si="32"/>
        <v>0</v>
      </c>
      <c r="M43" s="288">
        <f t="shared" si="32"/>
        <v>0</v>
      </c>
      <c r="N43" s="288">
        <f t="shared" si="32"/>
        <v>0</v>
      </c>
      <c r="O43" s="288">
        <f t="shared" si="32"/>
        <v>0</v>
      </c>
      <c r="P43" s="288">
        <f t="shared" si="32"/>
        <v>0</v>
      </c>
      <c r="Q43" s="288">
        <f t="shared" si="32"/>
        <v>0</v>
      </c>
      <c r="R43" s="288">
        <f t="shared" si="31"/>
        <v>0</v>
      </c>
      <c r="S43" s="288">
        <f t="shared" si="27"/>
        <v>0</v>
      </c>
      <c r="T43" s="288">
        <f t="shared" si="27"/>
        <v>0</v>
      </c>
      <c r="U43" s="288">
        <f t="shared" si="27"/>
        <v>0</v>
      </c>
      <c r="V43" s="288">
        <f t="shared" si="27"/>
        <v>0</v>
      </c>
      <c r="W43" s="288">
        <f t="shared" si="27"/>
        <v>0</v>
      </c>
      <c r="X43" s="288">
        <f t="shared" si="27"/>
        <v>0</v>
      </c>
      <c r="Y43" s="288">
        <f t="shared" si="27"/>
        <v>0</v>
      </c>
      <c r="Z43" s="288">
        <f t="shared" si="24"/>
        <v>0</v>
      </c>
      <c r="AA43" s="288">
        <f t="shared" si="24"/>
        <v>0</v>
      </c>
      <c r="AB43" s="288">
        <f t="shared" si="24"/>
        <v>0</v>
      </c>
      <c r="AC43" s="288">
        <f t="shared" si="24"/>
        <v>0</v>
      </c>
      <c r="AD43" s="288">
        <f t="shared" si="24"/>
        <v>0</v>
      </c>
      <c r="AE43" s="288">
        <f t="shared" si="19"/>
        <v>0</v>
      </c>
      <c r="AF43" s="288">
        <f t="shared" si="19"/>
        <v>0</v>
      </c>
      <c r="AG43" s="288">
        <f t="shared" si="19"/>
        <v>0</v>
      </c>
      <c r="AH43" s="288">
        <f t="shared" si="19"/>
        <v>0</v>
      </c>
      <c r="AI43" s="288">
        <f t="shared" si="19"/>
        <v>0</v>
      </c>
      <c r="AJ43" s="288">
        <f t="shared" si="19"/>
        <v>0</v>
      </c>
      <c r="AK43" s="288">
        <f t="shared" si="19"/>
        <v>0</v>
      </c>
      <c r="AL43" s="288">
        <f t="shared" si="19"/>
        <v>0</v>
      </c>
      <c r="AM43" s="288">
        <f t="shared" si="19"/>
        <v>0</v>
      </c>
      <c r="AN43" s="288">
        <f t="shared" si="19"/>
        <v>0</v>
      </c>
      <c r="AO43" s="288">
        <f t="shared" si="19"/>
        <v>0</v>
      </c>
      <c r="AP43" s="288">
        <f t="shared" si="19"/>
        <v>0</v>
      </c>
      <c r="AQ43" s="288">
        <f t="shared" si="19"/>
        <v>40</v>
      </c>
      <c r="AR43" s="288">
        <f t="shared" si="19"/>
        <v>0</v>
      </c>
      <c r="AS43" s="288">
        <f t="shared" si="19"/>
        <v>0</v>
      </c>
      <c r="AT43" s="288">
        <f t="shared" si="19"/>
        <v>0</v>
      </c>
      <c r="AU43" s="288">
        <f t="shared" si="28"/>
        <v>0</v>
      </c>
      <c r="AV43" s="288">
        <f t="shared" si="25"/>
        <v>0</v>
      </c>
      <c r="AW43" s="288">
        <f t="shared" si="25"/>
        <v>0</v>
      </c>
      <c r="AX43" s="288">
        <f t="shared" si="25"/>
        <v>0</v>
      </c>
      <c r="AY43" s="288">
        <f t="shared" si="25"/>
        <v>0</v>
      </c>
      <c r="AZ43" s="288">
        <f t="shared" si="25"/>
        <v>0</v>
      </c>
      <c r="BA43" s="288">
        <f t="shared" si="25"/>
        <v>0</v>
      </c>
      <c r="BB43" s="288">
        <f t="shared" si="25"/>
        <v>0</v>
      </c>
      <c r="BC43" s="288">
        <f t="shared" si="25"/>
        <v>0</v>
      </c>
      <c r="BD43" s="288">
        <f t="shared" si="25"/>
        <v>0</v>
      </c>
      <c r="BE43" s="288">
        <f t="shared" si="25"/>
        <v>0</v>
      </c>
      <c r="BF43" s="288">
        <f t="shared" si="25"/>
        <v>0</v>
      </c>
      <c r="BG43" s="288">
        <f t="shared" si="25"/>
        <v>0</v>
      </c>
      <c r="BH43" s="288">
        <f t="shared" si="25"/>
        <v>0</v>
      </c>
      <c r="BI43" s="288">
        <f t="shared" si="25"/>
        <v>0</v>
      </c>
      <c r="BJ43" s="288">
        <f t="shared" si="25"/>
        <v>0</v>
      </c>
      <c r="BK43" s="288">
        <f t="shared" si="25"/>
        <v>0</v>
      </c>
      <c r="BL43" s="288">
        <f t="shared" si="26"/>
        <v>0</v>
      </c>
      <c r="BM43" s="288">
        <f t="shared" si="26"/>
        <v>0</v>
      </c>
      <c r="BN43" s="288">
        <f t="shared" si="17"/>
        <v>0</v>
      </c>
      <c r="BO43" s="288">
        <f t="shared" si="17"/>
        <v>0</v>
      </c>
      <c r="BP43" s="288">
        <f t="shared" si="17"/>
        <v>0</v>
      </c>
      <c r="BQ43" s="288">
        <f t="shared" si="17"/>
        <v>0</v>
      </c>
      <c r="BR43" s="288">
        <f t="shared" si="17"/>
        <v>0</v>
      </c>
      <c r="BS43" s="288">
        <f t="shared" si="17"/>
        <v>0</v>
      </c>
      <c r="BT43" s="288">
        <f t="shared" si="17"/>
        <v>0</v>
      </c>
      <c r="BU43" s="288">
        <f t="shared" si="17"/>
        <v>0</v>
      </c>
      <c r="BV43" s="288">
        <f t="shared" si="17"/>
        <v>0</v>
      </c>
      <c r="BW43" s="288">
        <f t="shared" si="17"/>
        <v>0</v>
      </c>
      <c r="BX43" s="288">
        <f t="shared" si="17"/>
        <v>0</v>
      </c>
      <c r="BY43" s="288">
        <f t="shared" si="17"/>
        <v>0</v>
      </c>
      <c r="BZ43" s="288">
        <f t="shared" si="17"/>
        <v>0</v>
      </c>
      <c r="CA43" s="288">
        <f t="shared" si="17"/>
        <v>0</v>
      </c>
      <c r="CB43" s="288">
        <f t="shared" si="17"/>
        <v>0</v>
      </c>
      <c r="CC43" s="288">
        <f t="shared" si="17"/>
        <v>0</v>
      </c>
      <c r="CD43" s="288">
        <f t="shared" si="23"/>
        <v>0</v>
      </c>
      <c r="CE43" s="288">
        <f t="shared" si="22"/>
        <v>0</v>
      </c>
      <c r="CF43" s="288">
        <f t="shared" si="22"/>
        <v>0</v>
      </c>
      <c r="CG43" s="288">
        <f t="shared" si="22"/>
        <v>0</v>
      </c>
      <c r="CH43" s="288">
        <f t="shared" si="22"/>
        <v>0</v>
      </c>
      <c r="CI43" s="288">
        <f t="shared" si="22"/>
        <v>0</v>
      </c>
      <c r="CJ43" s="288">
        <f t="shared" si="22"/>
        <v>0</v>
      </c>
      <c r="CK43" s="288">
        <f t="shared" si="22"/>
        <v>0</v>
      </c>
      <c r="CL43" s="288">
        <f t="shared" si="22"/>
        <v>0</v>
      </c>
      <c r="CM43" s="288">
        <f t="shared" si="22"/>
        <v>0</v>
      </c>
      <c r="CN43" s="288">
        <f t="shared" si="22"/>
        <v>0</v>
      </c>
      <c r="CO43" s="288">
        <f t="shared" si="22"/>
        <v>0</v>
      </c>
      <c r="CP43" s="288">
        <f t="shared" si="22"/>
        <v>0</v>
      </c>
      <c r="CQ43" s="288">
        <f t="shared" si="22"/>
        <v>0</v>
      </c>
      <c r="CR43" s="288">
        <f t="shared" si="22"/>
        <v>0</v>
      </c>
      <c r="CS43" s="288">
        <f t="shared" si="22"/>
        <v>0</v>
      </c>
      <c r="CT43" s="288">
        <f t="shared" si="22"/>
        <v>0</v>
      </c>
      <c r="CU43" s="288">
        <f t="shared" si="30"/>
        <v>0</v>
      </c>
      <c r="CV43" s="288">
        <f t="shared" si="29"/>
        <v>0</v>
      </c>
      <c r="CW43" s="288">
        <f t="shared" si="29"/>
        <v>0</v>
      </c>
      <c r="CX43" s="288">
        <f t="shared" si="21"/>
        <v>0</v>
      </c>
      <c r="CY43" s="288">
        <f t="shared" si="13"/>
        <v>0</v>
      </c>
      <c r="CZ43" s="288">
        <f t="shared" si="13"/>
        <v>0</v>
      </c>
      <c r="DA43" s="288">
        <f t="shared" si="13"/>
        <v>0</v>
      </c>
      <c r="DB43" s="288">
        <f t="shared" si="13"/>
        <v>0</v>
      </c>
      <c r="DC43" s="288">
        <f t="shared" si="13"/>
        <v>0</v>
      </c>
      <c r="DD43" s="288">
        <f t="shared" si="13"/>
        <v>0</v>
      </c>
      <c r="DE43" s="288">
        <f t="shared" si="13"/>
        <v>0</v>
      </c>
      <c r="DG43" s="314">
        <f t="shared" si="3"/>
        <v>40</v>
      </c>
      <c r="DH43" s="289">
        <f>MAX(AQ$3:AQ$109)</f>
        <v>40</v>
      </c>
      <c r="DJ43" s="288">
        <f>LOOKUP(DH43, 'Mortality Table'!A:A,('Mortality Table'!J:J/'Mortality Table'!I:I))</f>
        <v>2.6233840672170577E-3</v>
      </c>
      <c r="DK43" s="288">
        <f>LOOKUP(A43, 'Mortality Table'!A:A,('Mortality Table'!J:J/'Mortality Table'!I:I))</f>
        <v>2.6233840672170577E-3</v>
      </c>
      <c r="DL43" s="288">
        <f t="shared" si="4"/>
        <v>0</v>
      </c>
      <c r="DN43" s="288">
        <f>LOOKUP(DH43, 'Mortality Table'!A:A,('Mortality Table'!L:L/'Mortality Table'!K:K))</f>
        <v>2.6573818232419788E-3</v>
      </c>
      <c r="DO43" s="288">
        <f>LOOKUP(A43, 'Mortality Table'!A:A,('Mortality Table'!L:L/'Mortality Table'!K:K))</f>
        <v>2.6573818232419788E-3</v>
      </c>
      <c r="DP43" s="288">
        <f t="shared" si="5"/>
        <v>0</v>
      </c>
      <c r="DR43" s="288">
        <f>LOOKUP(DH43, 'Mortality Table'!A:A,('Mortality Table'!N:N/'Mortality Table'!M:M))</f>
        <v>2.7171057257964438E-3</v>
      </c>
      <c r="DS43" s="288">
        <f>LOOKUP(A43, 'Mortality Table'!A:A,('Mortality Table'!N:N/'Mortality Table'!M:M))</f>
        <v>2.7171057257964438E-3</v>
      </c>
      <c r="DT43" s="288">
        <f t="shared" si="6"/>
        <v>0</v>
      </c>
    </row>
    <row r="44" spans="1:124">
      <c r="A44" s="288">
        <v>41</v>
      </c>
      <c r="B44" s="288">
        <v>3.1119014352851519E-3</v>
      </c>
      <c r="C44" s="288">
        <f t="shared" si="32"/>
        <v>0</v>
      </c>
      <c r="D44" s="288">
        <f t="shared" si="32"/>
        <v>0</v>
      </c>
      <c r="E44" s="288">
        <f t="shared" si="32"/>
        <v>0</v>
      </c>
      <c r="F44" s="288">
        <f t="shared" si="32"/>
        <v>0</v>
      </c>
      <c r="G44" s="288">
        <f t="shared" si="32"/>
        <v>0</v>
      </c>
      <c r="H44" s="288">
        <f t="shared" si="32"/>
        <v>0</v>
      </c>
      <c r="I44" s="288">
        <f t="shared" si="32"/>
        <v>0</v>
      </c>
      <c r="J44" s="288">
        <f t="shared" si="32"/>
        <v>0</v>
      </c>
      <c r="K44" s="288">
        <f t="shared" si="32"/>
        <v>0</v>
      </c>
      <c r="L44" s="288">
        <f t="shared" si="32"/>
        <v>0</v>
      </c>
      <c r="M44" s="288">
        <f t="shared" si="32"/>
        <v>0</v>
      </c>
      <c r="N44" s="288">
        <f t="shared" si="32"/>
        <v>0</v>
      </c>
      <c r="O44" s="288">
        <f t="shared" si="32"/>
        <v>0</v>
      </c>
      <c r="P44" s="288">
        <f t="shared" si="32"/>
        <v>0</v>
      </c>
      <c r="Q44" s="288">
        <f t="shared" si="32"/>
        <v>0</v>
      </c>
      <c r="R44" s="288">
        <f t="shared" si="31"/>
        <v>0</v>
      </c>
      <c r="S44" s="288">
        <f t="shared" si="27"/>
        <v>0</v>
      </c>
      <c r="T44" s="288">
        <f t="shared" si="27"/>
        <v>0</v>
      </c>
      <c r="U44" s="288">
        <f t="shared" si="27"/>
        <v>0</v>
      </c>
      <c r="V44" s="288">
        <f t="shared" si="27"/>
        <v>0</v>
      </c>
      <c r="W44" s="288">
        <f t="shared" si="27"/>
        <v>0</v>
      </c>
      <c r="X44" s="288">
        <f t="shared" si="27"/>
        <v>0</v>
      </c>
      <c r="Y44" s="288">
        <f t="shared" si="27"/>
        <v>0</v>
      </c>
      <c r="Z44" s="288">
        <f t="shared" si="24"/>
        <v>0</v>
      </c>
      <c r="AA44" s="288">
        <f t="shared" si="24"/>
        <v>0</v>
      </c>
      <c r="AB44" s="288">
        <f t="shared" si="24"/>
        <v>0</v>
      </c>
      <c r="AC44" s="288">
        <f t="shared" si="24"/>
        <v>0</v>
      </c>
      <c r="AD44" s="288">
        <f t="shared" si="24"/>
        <v>0</v>
      </c>
      <c r="AE44" s="288">
        <f t="shared" si="19"/>
        <v>0</v>
      </c>
      <c r="AF44" s="288">
        <f t="shared" si="19"/>
        <v>0</v>
      </c>
      <c r="AG44" s="288">
        <f t="shared" si="19"/>
        <v>0</v>
      </c>
      <c r="AH44" s="288">
        <f t="shared" si="19"/>
        <v>0</v>
      </c>
      <c r="AI44" s="288">
        <f t="shared" si="19"/>
        <v>0</v>
      </c>
      <c r="AJ44" s="288">
        <f t="shared" si="19"/>
        <v>0</v>
      </c>
      <c r="AK44" s="288">
        <f t="shared" si="19"/>
        <v>0</v>
      </c>
      <c r="AL44" s="288">
        <f t="shared" si="19"/>
        <v>0</v>
      </c>
      <c r="AM44" s="288">
        <f t="shared" si="19"/>
        <v>0</v>
      </c>
      <c r="AN44" s="288">
        <f t="shared" si="19"/>
        <v>0</v>
      </c>
      <c r="AO44" s="288">
        <f t="shared" si="19"/>
        <v>0</v>
      </c>
      <c r="AP44" s="288">
        <f t="shared" si="19"/>
        <v>0</v>
      </c>
      <c r="AQ44" s="288">
        <f t="shared" si="19"/>
        <v>0</v>
      </c>
      <c r="AR44" s="288">
        <f t="shared" si="19"/>
        <v>41</v>
      </c>
      <c r="AS44" s="288">
        <f t="shared" si="19"/>
        <v>0</v>
      </c>
      <c r="AT44" s="288">
        <f t="shared" si="19"/>
        <v>0</v>
      </c>
      <c r="AU44" s="288">
        <f t="shared" si="28"/>
        <v>0</v>
      </c>
      <c r="AV44" s="288">
        <f t="shared" si="25"/>
        <v>0</v>
      </c>
      <c r="AW44" s="288">
        <f t="shared" si="25"/>
        <v>0</v>
      </c>
      <c r="AX44" s="288">
        <f t="shared" si="25"/>
        <v>0</v>
      </c>
      <c r="AY44" s="288">
        <f t="shared" si="25"/>
        <v>0</v>
      </c>
      <c r="AZ44" s="288">
        <f t="shared" si="25"/>
        <v>0</v>
      </c>
      <c r="BA44" s="288">
        <f t="shared" si="25"/>
        <v>0</v>
      </c>
      <c r="BB44" s="288">
        <f t="shared" si="25"/>
        <v>0</v>
      </c>
      <c r="BC44" s="288">
        <f t="shared" si="25"/>
        <v>0</v>
      </c>
      <c r="BD44" s="288">
        <f t="shared" si="25"/>
        <v>0</v>
      </c>
      <c r="BE44" s="288">
        <f t="shared" si="25"/>
        <v>0</v>
      </c>
      <c r="BF44" s="288">
        <f t="shared" si="25"/>
        <v>0</v>
      </c>
      <c r="BG44" s="288">
        <f t="shared" si="25"/>
        <v>0</v>
      </c>
      <c r="BH44" s="288">
        <f t="shared" si="25"/>
        <v>0</v>
      </c>
      <c r="BI44" s="288">
        <f t="shared" si="25"/>
        <v>0</v>
      </c>
      <c r="BJ44" s="288">
        <f t="shared" si="25"/>
        <v>0</v>
      </c>
      <c r="BK44" s="288">
        <f t="shared" si="25"/>
        <v>0</v>
      </c>
      <c r="BL44" s="288">
        <f t="shared" si="26"/>
        <v>0</v>
      </c>
      <c r="BM44" s="288">
        <f t="shared" si="26"/>
        <v>0</v>
      </c>
      <c r="BN44" s="288">
        <f t="shared" si="17"/>
        <v>0</v>
      </c>
      <c r="BO44" s="288">
        <f t="shared" si="17"/>
        <v>0</v>
      </c>
      <c r="BP44" s="288">
        <f t="shared" si="17"/>
        <v>0</v>
      </c>
      <c r="BQ44" s="288">
        <f t="shared" si="17"/>
        <v>0</v>
      </c>
      <c r="BR44" s="288">
        <f t="shared" si="17"/>
        <v>0</v>
      </c>
      <c r="BS44" s="288">
        <f t="shared" si="17"/>
        <v>0</v>
      </c>
      <c r="BT44" s="288">
        <f t="shared" si="17"/>
        <v>0</v>
      </c>
      <c r="BU44" s="288">
        <f t="shared" si="17"/>
        <v>0</v>
      </c>
      <c r="BV44" s="288">
        <f t="shared" si="17"/>
        <v>0</v>
      </c>
      <c r="BW44" s="288">
        <f t="shared" si="17"/>
        <v>0</v>
      </c>
      <c r="BX44" s="288">
        <f t="shared" si="17"/>
        <v>0</v>
      </c>
      <c r="BY44" s="288">
        <f t="shared" si="17"/>
        <v>0</v>
      </c>
      <c r="BZ44" s="288">
        <f t="shared" si="17"/>
        <v>0</v>
      </c>
      <c r="CA44" s="288">
        <f t="shared" si="17"/>
        <v>0</v>
      </c>
      <c r="CB44" s="288">
        <f t="shared" si="17"/>
        <v>0</v>
      </c>
      <c r="CC44" s="288">
        <f t="shared" si="17"/>
        <v>0</v>
      </c>
      <c r="CD44" s="288">
        <f t="shared" si="23"/>
        <v>0</v>
      </c>
      <c r="CE44" s="288">
        <f t="shared" si="22"/>
        <v>0</v>
      </c>
      <c r="CF44" s="288">
        <f t="shared" si="22"/>
        <v>0</v>
      </c>
      <c r="CG44" s="288">
        <f t="shared" si="22"/>
        <v>0</v>
      </c>
      <c r="CH44" s="288">
        <f t="shared" si="22"/>
        <v>0</v>
      </c>
      <c r="CI44" s="288">
        <f t="shared" si="22"/>
        <v>0</v>
      </c>
      <c r="CJ44" s="288">
        <f t="shared" si="22"/>
        <v>0</v>
      </c>
      <c r="CK44" s="288">
        <f t="shared" si="22"/>
        <v>0</v>
      </c>
      <c r="CL44" s="288">
        <f t="shared" si="22"/>
        <v>0</v>
      </c>
      <c r="CM44" s="288">
        <f t="shared" si="22"/>
        <v>0</v>
      </c>
      <c r="CN44" s="288">
        <f t="shared" si="22"/>
        <v>0</v>
      </c>
      <c r="CO44" s="288">
        <f t="shared" si="22"/>
        <v>0</v>
      </c>
      <c r="CP44" s="288">
        <f t="shared" si="22"/>
        <v>0</v>
      </c>
      <c r="CQ44" s="288">
        <f t="shared" si="22"/>
        <v>0</v>
      </c>
      <c r="CR44" s="288">
        <f t="shared" si="22"/>
        <v>0</v>
      </c>
      <c r="CS44" s="288">
        <f t="shared" si="22"/>
        <v>0</v>
      </c>
      <c r="CT44" s="288">
        <f t="shared" si="22"/>
        <v>0</v>
      </c>
      <c r="CU44" s="288">
        <f t="shared" si="30"/>
        <v>0</v>
      </c>
      <c r="CV44" s="288">
        <f t="shared" si="29"/>
        <v>0</v>
      </c>
      <c r="CW44" s="288">
        <f t="shared" si="29"/>
        <v>0</v>
      </c>
      <c r="CX44" s="288">
        <f t="shared" si="21"/>
        <v>0</v>
      </c>
      <c r="CY44" s="288">
        <f t="shared" si="13"/>
        <v>0</v>
      </c>
      <c r="CZ44" s="288">
        <f t="shared" si="13"/>
        <v>0</v>
      </c>
      <c r="DA44" s="288">
        <f t="shared" si="13"/>
        <v>0</v>
      </c>
      <c r="DB44" s="288">
        <f t="shared" si="13"/>
        <v>0</v>
      </c>
      <c r="DC44" s="288">
        <f t="shared" si="13"/>
        <v>0</v>
      </c>
      <c r="DD44" s="288">
        <f t="shared" si="13"/>
        <v>0</v>
      </c>
      <c r="DE44" s="288">
        <f t="shared" si="13"/>
        <v>0</v>
      </c>
      <c r="DG44" s="314">
        <f t="shared" si="3"/>
        <v>41</v>
      </c>
      <c r="DH44" s="289">
        <f>MAX(AR$3:AR$109)</f>
        <v>41</v>
      </c>
      <c r="DJ44" s="288">
        <f>LOOKUP(DH44, 'Mortality Table'!A:A,('Mortality Table'!J:J/'Mortality Table'!I:I))</f>
        <v>2.8647374747248736E-3</v>
      </c>
      <c r="DK44" s="288">
        <f>LOOKUP(A44, 'Mortality Table'!A:A,('Mortality Table'!J:J/'Mortality Table'!I:I))</f>
        <v>2.8647374747248736E-3</v>
      </c>
      <c r="DL44" s="288">
        <f t="shared" si="4"/>
        <v>0</v>
      </c>
      <c r="DN44" s="288">
        <f>LOOKUP(DH44, 'Mortality Table'!A:A,('Mortality Table'!L:L/'Mortality Table'!K:K))</f>
        <v>2.9018630511733357E-3</v>
      </c>
      <c r="DO44" s="288">
        <f>LOOKUP(A44, 'Mortality Table'!A:A,('Mortality Table'!L:L/'Mortality Table'!K:K))</f>
        <v>2.9018630511733357E-3</v>
      </c>
      <c r="DP44" s="288">
        <f t="shared" si="5"/>
        <v>0</v>
      </c>
      <c r="DR44" s="288">
        <f>LOOKUP(DH44, 'Mortality Table'!A:A,('Mortality Table'!N:N/'Mortality Table'!M:M))</f>
        <v>2.967081599964054E-3</v>
      </c>
      <c r="DS44" s="288">
        <f>LOOKUP(A44, 'Mortality Table'!A:A,('Mortality Table'!N:N/'Mortality Table'!M:M))</f>
        <v>2.967081599964054E-3</v>
      </c>
      <c r="DT44" s="288">
        <f t="shared" si="6"/>
        <v>0</v>
      </c>
    </row>
    <row r="45" spans="1:124">
      <c r="A45" s="288">
        <v>42</v>
      </c>
      <c r="B45" s="288">
        <v>3.3339703977405448E-3</v>
      </c>
      <c r="C45" s="288">
        <f t="shared" si="32"/>
        <v>0</v>
      </c>
      <c r="D45" s="288">
        <f t="shared" si="32"/>
        <v>0</v>
      </c>
      <c r="E45" s="288">
        <f t="shared" si="32"/>
        <v>0</v>
      </c>
      <c r="F45" s="288">
        <f t="shared" si="32"/>
        <v>0</v>
      </c>
      <c r="G45" s="288">
        <f t="shared" si="32"/>
        <v>0</v>
      </c>
      <c r="H45" s="288">
        <f t="shared" si="32"/>
        <v>0</v>
      </c>
      <c r="I45" s="288">
        <f t="shared" si="32"/>
        <v>0</v>
      </c>
      <c r="J45" s="288">
        <f t="shared" si="32"/>
        <v>0</v>
      </c>
      <c r="K45" s="288">
        <f t="shared" si="32"/>
        <v>0</v>
      </c>
      <c r="L45" s="288">
        <f t="shared" si="32"/>
        <v>0</v>
      </c>
      <c r="M45" s="288">
        <f t="shared" si="32"/>
        <v>0</v>
      </c>
      <c r="N45" s="288">
        <f t="shared" si="32"/>
        <v>0</v>
      </c>
      <c r="O45" s="288">
        <f t="shared" si="32"/>
        <v>0</v>
      </c>
      <c r="P45" s="288">
        <f t="shared" si="32"/>
        <v>0</v>
      </c>
      <c r="Q45" s="288">
        <f t="shared" si="32"/>
        <v>0</v>
      </c>
      <c r="R45" s="288">
        <f t="shared" si="31"/>
        <v>0</v>
      </c>
      <c r="S45" s="288">
        <f t="shared" si="27"/>
        <v>0</v>
      </c>
      <c r="T45" s="288">
        <f t="shared" si="27"/>
        <v>0</v>
      </c>
      <c r="U45" s="288">
        <f t="shared" si="27"/>
        <v>0</v>
      </c>
      <c r="V45" s="288">
        <f t="shared" si="27"/>
        <v>0</v>
      </c>
      <c r="W45" s="288">
        <f t="shared" si="27"/>
        <v>0</v>
      </c>
      <c r="X45" s="288">
        <f t="shared" si="27"/>
        <v>0</v>
      </c>
      <c r="Y45" s="288">
        <f t="shared" si="27"/>
        <v>0</v>
      </c>
      <c r="Z45" s="288">
        <f t="shared" si="24"/>
        <v>0</v>
      </c>
      <c r="AA45" s="288">
        <f t="shared" si="24"/>
        <v>0</v>
      </c>
      <c r="AB45" s="288">
        <f t="shared" si="24"/>
        <v>0</v>
      </c>
      <c r="AC45" s="288">
        <f t="shared" si="24"/>
        <v>0</v>
      </c>
      <c r="AD45" s="288">
        <f t="shared" si="24"/>
        <v>0</v>
      </c>
      <c r="AE45" s="288">
        <f t="shared" si="19"/>
        <v>0</v>
      </c>
      <c r="AF45" s="288">
        <f t="shared" si="19"/>
        <v>0</v>
      </c>
      <c r="AG45" s="288">
        <f t="shared" si="19"/>
        <v>0</v>
      </c>
      <c r="AH45" s="288">
        <f t="shared" si="19"/>
        <v>0</v>
      </c>
      <c r="AI45" s="288">
        <f t="shared" si="19"/>
        <v>0</v>
      </c>
      <c r="AJ45" s="288">
        <f t="shared" si="19"/>
        <v>0</v>
      </c>
      <c r="AK45" s="288">
        <f t="shared" si="19"/>
        <v>0</v>
      </c>
      <c r="AL45" s="288">
        <f t="shared" si="19"/>
        <v>0</v>
      </c>
      <c r="AM45" s="288">
        <f t="shared" si="19"/>
        <v>0</v>
      </c>
      <c r="AN45" s="288">
        <f t="shared" si="19"/>
        <v>0</v>
      </c>
      <c r="AO45" s="288">
        <f t="shared" si="19"/>
        <v>0</v>
      </c>
      <c r="AP45" s="288">
        <f t="shared" si="19"/>
        <v>0</v>
      </c>
      <c r="AQ45" s="288">
        <f t="shared" si="19"/>
        <v>0</v>
      </c>
      <c r="AR45" s="288">
        <f t="shared" si="19"/>
        <v>0</v>
      </c>
      <c r="AS45" s="288">
        <f t="shared" si="19"/>
        <v>42</v>
      </c>
      <c r="AT45" s="288">
        <f t="shared" si="19"/>
        <v>0</v>
      </c>
      <c r="AU45" s="288">
        <f t="shared" si="28"/>
        <v>0</v>
      </c>
      <c r="AV45" s="288">
        <f t="shared" si="25"/>
        <v>0</v>
      </c>
      <c r="AW45" s="288">
        <f t="shared" si="25"/>
        <v>0</v>
      </c>
      <c r="AX45" s="288">
        <f t="shared" si="25"/>
        <v>0</v>
      </c>
      <c r="AY45" s="288">
        <f t="shared" si="25"/>
        <v>0</v>
      </c>
      <c r="AZ45" s="288">
        <f t="shared" si="25"/>
        <v>0</v>
      </c>
      <c r="BA45" s="288">
        <f t="shared" si="25"/>
        <v>0</v>
      </c>
      <c r="BB45" s="288">
        <f t="shared" si="25"/>
        <v>0</v>
      </c>
      <c r="BC45" s="288">
        <f t="shared" si="25"/>
        <v>0</v>
      </c>
      <c r="BD45" s="288">
        <f t="shared" si="25"/>
        <v>0</v>
      </c>
      <c r="BE45" s="288">
        <f t="shared" si="25"/>
        <v>0</v>
      </c>
      <c r="BF45" s="288">
        <f t="shared" si="25"/>
        <v>0</v>
      </c>
      <c r="BG45" s="288">
        <f t="shared" si="25"/>
        <v>0</v>
      </c>
      <c r="BH45" s="288">
        <f t="shared" si="25"/>
        <v>0</v>
      </c>
      <c r="BI45" s="288">
        <f t="shared" si="25"/>
        <v>0</v>
      </c>
      <c r="BJ45" s="288">
        <f t="shared" si="25"/>
        <v>0</v>
      </c>
      <c r="BK45" s="288">
        <f t="shared" si="25"/>
        <v>0</v>
      </c>
      <c r="BL45" s="288">
        <f t="shared" si="26"/>
        <v>0</v>
      </c>
      <c r="BM45" s="288">
        <f t="shared" si="26"/>
        <v>0</v>
      </c>
      <c r="BN45" s="288">
        <f t="shared" si="17"/>
        <v>0</v>
      </c>
      <c r="BO45" s="288">
        <f t="shared" si="17"/>
        <v>0</v>
      </c>
      <c r="BP45" s="288">
        <f t="shared" si="17"/>
        <v>0</v>
      </c>
      <c r="BQ45" s="288">
        <f t="shared" si="17"/>
        <v>0</v>
      </c>
      <c r="BR45" s="288">
        <f t="shared" si="17"/>
        <v>0</v>
      </c>
      <c r="BS45" s="288">
        <f t="shared" si="17"/>
        <v>0</v>
      </c>
      <c r="BT45" s="288">
        <f t="shared" si="17"/>
        <v>0</v>
      </c>
      <c r="BU45" s="288">
        <f t="shared" si="17"/>
        <v>0</v>
      </c>
      <c r="BV45" s="288">
        <f t="shared" si="17"/>
        <v>0</v>
      </c>
      <c r="BW45" s="288">
        <f t="shared" si="17"/>
        <v>0</v>
      </c>
      <c r="BX45" s="288">
        <f t="shared" si="17"/>
        <v>0</v>
      </c>
      <c r="BY45" s="288">
        <f t="shared" si="17"/>
        <v>0</v>
      </c>
      <c r="BZ45" s="288">
        <f t="shared" si="17"/>
        <v>0</v>
      </c>
      <c r="CA45" s="288">
        <f t="shared" si="17"/>
        <v>0</v>
      </c>
      <c r="CB45" s="288">
        <f t="shared" si="17"/>
        <v>0</v>
      </c>
      <c r="CC45" s="288">
        <f t="shared" si="17"/>
        <v>0</v>
      </c>
      <c r="CD45" s="288">
        <f t="shared" si="23"/>
        <v>0</v>
      </c>
      <c r="CE45" s="288">
        <f t="shared" si="22"/>
        <v>0</v>
      </c>
      <c r="CF45" s="288">
        <f t="shared" si="22"/>
        <v>0</v>
      </c>
      <c r="CG45" s="288">
        <f t="shared" si="22"/>
        <v>0</v>
      </c>
      <c r="CH45" s="288">
        <f t="shared" si="22"/>
        <v>0</v>
      </c>
      <c r="CI45" s="288">
        <f t="shared" si="22"/>
        <v>0</v>
      </c>
      <c r="CJ45" s="288">
        <f t="shared" si="22"/>
        <v>0</v>
      </c>
      <c r="CK45" s="288">
        <f t="shared" si="22"/>
        <v>0</v>
      </c>
      <c r="CL45" s="288">
        <f t="shared" si="22"/>
        <v>0</v>
      </c>
      <c r="CM45" s="288">
        <f t="shared" si="22"/>
        <v>0</v>
      </c>
      <c r="CN45" s="288">
        <f t="shared" si="22"/>
        <v>0</v>
      </c>
      <c r="CO45" s="288">
        <f t="shared" si="22"/>
        <v>0</v>
      </c>
      <c r="CP45" s="288">
        <f t="shared" si="22"/>
        <v>0</v>
      </c>
      <c r="CQ45" s="288">
        <f t="shared" si="22"/>
        <v>0</v>
      </c>
      <c r="CR45" s="288">
        <f t="shared" si="22"/>
        <v>0</v>
      </c>
      <c r="CS45" s="288">
        <f t="shared" si="22"/>
        <v>0</v>
      </c>
      <c r="CT45" s="288">
        <f t="shared" si="22"/>
        <v>0</v>
      </c>
      <c r="CU45" s="288">
        <f t="shared" si="30"/>
        <v>0</v>
      </c>
      <c r="CV45" s="288">
        <f t="shared" si="29"/>
        <v>0</v>
      </c>
      <c r="CW45" s="288">
        <f t="shared" si="29"/>
        <v>0</v>
      </c>
      <c r="CX45" s="288">
        <f t="shared" si="21"/>
        <v>0</v>
      </c>
      <c r="CY45" s="288">
        <f t="shared" si="13"/>
        <v>0</v>
      </c>
      <c r="CZ45" s="288">
        <f t="shared" si="13"/>
        <v>0</v>
      </c>
      <c r="DA45" s="288">
        <f t="shared" si="13"/>
        <v>0</v>
      </c>
      <c r="DB45" s="288">
        <f t="shared" ref="DB45:DE108" si="33">IF(DB$2&gt;$B45,(IF(DB$2&lt;=$B46,(IF(AVERAGE($B45,$B46)&gt;DB$2,$A45,$A46)),0)),0)</f>
        <v>0</v>
      </c>
      <c r="DC45" s="288">
        <f t="shared" si="33"/>
        <v>0</v>
      </c>
      <c r="DD45" s="288">
        <f t="shared" si="33"/>
        <v>0</v>
      </c>
      <c r="DE45" s="288">
        <f t="shared" si="33"/>
        <v>0</v>
      </c>
      <c r="DG45" s="314">
        <f t="shared" si="3"/>
        <v>42</v>
      </c>
      <c r="DH45" s="289">
        <f>MAX(AS$3:AS$109)</f>
        <v>42</v>
      </c>
      <c r="DJ45" s="288">
        <f>LOOKUP(DH45, 'Mortality Table'!A:A,('Mortality Table'!J:J/'Mortality Table'!I:I))</f>
        <v>3.0691685249843235E-3</v>
      </c>
      <c r="DK45" s="288">
        <f>LOOKUP(A45, 'Mortality Table'!A:A,('Mortality Table'!J:J/'Mortality Table'!I:I))</f>
        <v>3.0691685249843235E-3</v>
      </c>
      <c r="DL45" s="288">
        <f t="shared" si="4"/>
        <v>0</v>
      </c>
      <c r="DN45" s="288">
        <f>LOOKUP(DH45, 'Mortality Table'!A:A,('Mortality Table'!L:L/'Mortality Table'!K:K))</f>
        <v>3.1089434264239281E-3</v>
      </c>
      <c r="DO45" s="288">
        <f>LOOKUP(A45, 'Mortality Table'!A:A,('Mortality Table'!L:L/'Mortality Table'!K:K))</f>
        <v>3.1089434264239281E-3</v>
      </c>
      <c r="DP45" s="288">
        <f t="shared" si="5"/>
        <v>0</v>
      </c>
      <c r="DR45" s="288">
        <f>LOOKUP(DH45, 'Mortality Table'!A:A,('Mortality Table'!N:N/'Mortality Table'!M:M))</f>
        <v>3.1788160478978577E-3</v>
      </c>
      <c r="DS45" s="288">
        <f>LOOKUP(A45, 'Mortality Table'!A:A,('Mortality Table'!N:N/'Mortality Table'!M:M))</f>
        <v>3.1788160478978577E-3</v>
      </c>
      <c r="DT45" s="288">
        <f t="shared" si="6"/>
        <v>0</v>
      </c>
    </row>
    <row r="46" spans="1:124">
      <c r="A46" s="288">
        <v>43</v>
      </c>
      <c r="B46" s="288">
        <v>3.760599991477394E-3</v>
      </c>
      <c r="C46" s="288">
        <f t="shared" si="32"/>
        <v>0</v>
      </c>
      <c r="D46" s="288">
        <f t="shared" si="32"/>
        <v>0</v>
      </c>
      <c r="E46" s="288">
        <f t="shared" si="32"/>
        <v>0</v>
      </c>
      <c r="F46" s="288">
        <f t="shared" si="32"/>
        <v>0</v>
      </c>
      <c r="G46" s="288">
        <f t="shared" si="32"/>
        <v>0</v>
      </c>
      <c r="H46" s="288">
        <f t="shared" si="32"/>
        <v>0</v>
      </c>
      <c r="I46" s="288">
        <f t="shared" si="32"/>
        <v>0</v>
      </c>
      <c r="J46" s="288">
        <f t="shared" si="32"/>
        <v>0</v>
      </c>
      <c r="K46" s="288">
        <f t="shared" si="32"/>
        <v>0</v>
      </c>
      <c r="L46" s="288">
        <f t="shared" si="32"/>
        <v>0</v>
      </c>
      <c r="M46" s="288">
        <f t="shared" si="32"/>
        <v>0</v>
      </c>
      <c r="N46" s="288">
        <f t="shared" si="32"/>
        <v>0</v>
      </c>
      <c r="O46" s="288">
        <f t="shared" si="32"/>
        <v>0</v>
      </c>
      <c r="P46" s="288">
        <f t="shared" si="32"/>
        <v>0</v>
      </c>
      <c r="Q46" s="288">
        <f t="shared" si="32"/>
        <v>0</v>
      </c>
      <c r="R46" s="288">
        <f t="shared" si="31"/>
        <v>0</v>
      </c>
      <c r="S46" s="288">
        <f t="shared" si="27"/>
        <v>0</v>
      </c>
      <c r="T46" s="288">
        <f t="shared" si="27"/>
        <v>0</v>
      </c>
      <c r="U46" s="288">
        <f t="shared" si="27"/>
        <v>0</v>
      </c>
      <c r="V46" s="288">
        <f t="shared" si="27"/>
        <v>0</v>
      </c>
      <c r="W46" s="288">
        <f t="shared" si="27"/>
        <v>0</v>
      </c>
      <c r="X46" s="288">
        <f t="shared" si="27"/>
        <v>0</v>
      </c>
      <c r="Y46" s="288">
        <f t="shared" si="27"/>
        <v>0</v>
      </c>
      <c r="Z46" s="288">
        <f t="shared" si="24"/>
        <v>0</v>
      </c>
      <c r="AA46" s="288">
        <f t="shared" si="24"/>
        <v>0</v>
      </c>
      <c r="AB46" s="288">
        <f t="shared" si="24"/>
        <v>0</v>
      </c>
      <c r="AC46" s="288">
        <f t="shared" si="24"/>
        <v>0</v>
      </c>
      <c r="AD46" s="288">
        <f t="shared" si="24"/>
        <v>0</v>
      </c>
      <c r="AE46" s="288">
        <f t="shared" si="19"/>
        <v>0</v>
      </c>
      <c r="AF46" s="288">
        <f t="shared" si="19"/>
        <v>0</v>
      </c>
      <c r="AG46" s="288">
        <f t="shared" si="19"/>
        <v>0</v>
      </c>
      <c r="AH46" s="288">
        <f t="shared" si="19"/>
        <v>0</v>
      </c>
      <c r="AI46" s="288">
        <f t="shared" si="19"/>
        <v>0</v>
      </c>
      <c r="AJ46" s="288">
        <f t="shared" si="19"/>
        <v>0</v>
      </c>
      <c r="AK46" s="288">
        <f t="shared" si="19"/>
        <v>0</v>
      </c>
      <c r="AL46" s="288">
        <f t="shared" si="19"/>
        <v>0</v>
      </c>
      <c r="AM46" s="288">
        <f t="shared" si="19"/>
        <v>0</v>
      </c>
      <c r="AN46" s="288">
        <f t="shared" si="19"/>
        <v>0</v>
      </c>
      <c r="AO46" s="288">
        <f t="shared" si="19"/>
        <v>0</v>
      </c>
      <c r="AP46" s="288">
        <f t="shared" si="19"/>
        <v>0</v>
      </c>
      <c r="AQ46" s="288">
        <f t="shared" si="19"/>
        <v>0</v>
      </c>
      <c r="AR46" s="288">
        <f t="shared" si="19"/>
        <v>0</v>
      </c>
      <c r="AS46" s="288">
        <f t="shared" si="19"/>
        <v>0</v>
      </c>
      <c r="AT46" s="288">
        <f t="shared" si="19"/>
        <v>43</v>
      </c>
      <c r="AU46" s="288">
        <f t="shared" si="28"/>
        <v>0</v>
      </c>
      <c r="AV46" s="288">
        <f t="shared" si="25"/>
        <v>0</v>
      </c>
      <c r="AW46" s="288">
        <f t="shared" si="25"/>
        <v>0</v>
      </c>
      <c r="AX46" s="288">
        <f t="shared" si="25"/>
        <v>0</v>
      </c>
      <c r="AY46" s="288">
        <f t="shared" si="25"/>
        <v>0</v>
      </c>
      <c r="AZ46" s="288">
        <f t="shared" si="25"/>
        <v>0</v>
      </c>
      <c r="BA46" s="288">
        <f t="shared" si="25"/>
        <v>0</v>
      </c>
      <c r="BB46" s="288">
        <f t="shared" si="25"/>
        <v>0</v>
      </c>
      <c r="BC46" s="288">
        <f t="shared" si="25"/>
        <v>0</v>
      </c>
      <c r="BD46" s="288">
        <f t="shared" si="25"/>
        <v>0</v>
      </c>
      <c r="BE46" s="288">
        <f t="shared" si="25"/>
        <v>0</v>
      </c>
      <c r="BF46" s="288">
        <f t="shared" si="25"/>
        <v>0</v>
      </c>
      <c r="BG46" s="288">
        <f t="shared" si="25"/>
        <v>0</v>
      </c>
      <c r="BH46" s="288">
        <f t="shared" si="25"/>
        <v>0</v>
      </c>
      <c r="BI46" s="288">
        <f t="shared" si="25"/>
        <v>0</v>
      </c>
      <c r="BJ46" s="288">
        <f t="shared" si="25"/>
        <v>0</v>
      </c>
      <c r="BK46" s="288">
        <f t="shared" si="25"/>
        <v>0</v>
      </c>
      <c r="BL46" s="288">
        <f t="shared" si="26"/>
        <v>0</v>
      </c>
      <c r="BM46" s="288">
        <f t="shared" si="26"/>
        <v>0</v>
      </c>
      <c r="BN46" s="288">
        <f t="shared" si="17"/>
        <v>0</v>
      </c>
      <c r="BO46" s="288">
        <f t="shared" si="17"/>
        <v>0</v>
      </c>
      <c r="BP46" s="288">
        <f t="shared" si="17"/>
        <v>0</v>
      </c>
      <c r="BQ46" s="288">
        <f t="shared" si="17"/>
        <v>0</v>
      </c>
      <c r="BR46" s="288">
        <f t="shared" si="17"/>
        <v>0</v>
      </c>
      <c r="BS46" s="288">
        <f t="shared" si="17"/>
        <v>0</v>
      </c>
      <c r="BT46" s="288">
        <f t="shared" si="17"/>
        <v>0</v>
      </c>
      <c r="BU46" s="288">
        <f t="shared" si="17"/>
        <v>0</v>
      </c>
      <c r="BV46" s="288">
        <f t="shared" si="17"/>
        <v>0</v>
      </c>
      <c r="BW46" s="288">
        <f t="shared" si="17"/>
        <v>0</v>
      </c>
      <c r="BX46" s="288">
        <f t="shared" si="17"/>
        <v>0</v>
      </c>
      <c r="BY46" s="288">
        <f t="shared" si="17"/>
        <v>0</v>
      </c>
      <c r="BZ46" s="288">
        <f t="shared" si="17"/>
        <v>0</v>
      </c>
      <c r="CA46" s="288">
        <f t="shared" si="17"/>
        <v>0</v>
      </c>
      <c r="CB46" s="288">
        <f t="shared" si="17"/>
        <v>0</v>
      </c>
      <c r="CC46" s="288">
        <f t="shared" si="17"/>
        <v>0</v>
      </c>
      <c r="CD46" s="288">
        <f t="shared" si="23"/>
        <v>0</v>
      </c>
      <c r="CE46" s="288">
        <f t="shared" si="22"/>
        <v>0</v>
      </c>
      <c r="CF46" s="288">
        <f t="shared" si="22"/>
        <v>0</v>
      </c>
      <c r="CG46" s="288">
        <f t="shared" si="22"/>
        <v>0</v>
      </c>
      <c r="CH46" s="288">
        <f t="shared" si="22"/>
        <v>0</v>
      </c>
      <c r="CI46" s="288">
        <f t="shared" si="22"/>
        <v>0</v>
      </c>
      <c r="CJ46" s="288">
        <f t="shared" si="22"/>
        <v>0</v>
      </c>
      <c r="CK46" s="288">
        <f t="shared" si="22"/>
        <v>0</v>
      </c>
      <c r="CL46" s="288">
        <f t="shared" si="22"/>
        <v>0</v>
      </c>
      <c r="CM46" s="288">
        <f t="shared" si="22"/>
        <v>0</v>
      </c>
      <c r="CN46" s="288">
        <f t="shared" si="22"/>
        <v>0</v>
      </c>
      <c r="CO46" s="288">
        <f t="shared" si="22"/>
        <v>0</v>
      </c>
      <c r="CP46" s="288">
        <f t="shared" si="22"/>
        <v>0</v>
      </c>
      <c r="CQ46" s="288">
        <f t="shared" si="22"/>
        <v>0</v>
      </c>
      <c r="CR46" s="288">
        <f t="shared" si="22"/>
        <v>0</v>
      </c>
      <c r="CS46" s="288">
        <f t="shared" si="22"/>
        <v>0</v>
      </c>
      <c r="CT46" s="288">
        <f t="shared" si="22"/>
        <v>0</v>
      </c>
      <c r="CU46" s="288">
        <f t="shared" si="30"/>
        <v>0</v>
      </c>
      <c r="CV46" s="288">
        <f t="shared" si="29"/>
        <v>0</v>
      </c>
      <c r="CW46" s="288">
        <f t="shared" si="29"/>
        <v>0</v>
      </c>
      <c r="CX46" s="288">
        <f t="shared" si="21"/>
        <v>0</v>
      </c>
      <c r="CY46" s="288">
        <f t="shared" si="21"/>
        <v>0</v>
      </c>
      <c r="CZ46" s="288">
        <f t="shared" si="21"/>
        <v>0</v>
      </c>
      <c r="DA46" s="288">
        <f t="shared" si="21"/>
        <v>0</v>
      </c>
      <c r="DB46" s="288">
        <f t="shared" si="33"/>
        <v>0</v>
      </c>
      <c r="DC46" s="288">
        <f t="shared" si="33"/>
        <v>0</v>
      </c>
      <c r="DD46" s="288">
        <f t="shared" si="33"/>
        <v>0</v>
      </c>
      <c r="DE46" s="288">
        <f t="shared" si="33"/>
        <v>0</v>
      </c>
      <c r="DG46" s="314">
        <f t="shared" si="3"/>
        <v>43</v>
      </c>
      <c r="DH46" s="289">
        <f>MAX(AT$3:AT$109)</f>
        <v>43</v>
      </c>
      <c r="DJ46" s="288">
        <f>LOOKUP(DH46, 'Mortality Table'!A:A,('Mortality Table'!J:J/'Mortality Table'!I:I))</f>
        <v>3.4619129002227416E-3</v>
      </c>
      <c r="DK46" s="288">
        <f>LOOKUP(A46, 'Mortality Table'!A:A,('Mortality Table'!J:J/'Mortality Table'!I:I))</f>
        <v>3.4619129002227416E-3</v>
      </c>
      <c r="DL46" s="288">
        <f t="shared" si="4"/>
        <v>0</v>
      </c>
      <c r="DN46" s="288">
        <f>LOOKUP(DH46, 'Mortality Table'!A:A,('Mortality Table'!L:L/'Mortality Table'!K:K))</f>
        <v>3.5067775739211489E-3</v>
      </c>
      <c r="DO46" s="288">
        <f>LOOKUP(A46, 'Mortality Table'!A:A,('Mortality Table'!L:L/'Mortality Table'!K:K))</f>
        <v>3.5067775739211489E-3</v>
      </c>
      <c r="DP46" s="288">
        <f t="shared" si="5"/>
        <v>0</v>
      </c>
      <c r="DR46" s="288">
        <f>LOOKUP(DH46, 'Mortality Table'!A:A,('Mortality Table'!N:N/'Mortality Table'!M:M))</f>
        <v>3.5855914049909864E-3</v>
      </c>
      <c r="DS46" s="288">
        <f>LOOKUP(A46, 'Mortality Table'!A:A,('Mortality Table'!N:N/'Mortality Table'!M:M))</f>
        <v>3.5855914049909864E-3</v>
      </c>
      <c r="DT46" s="288">
        <f t="shared" si="6"/>
        <v>0</v>
      </c>
    </row>
    <row r="47" spans="1:124">
      <c r="A47" s="288">
        <v>44</v>
      </c>
      <c r="B47" s="288">
        <v>4.0849061647863982E-3</v>
      </c>
      <c r="C47" s="288">
        <f t="shared" si="32"/>
        <v>0</v>
      </c>
      <c r="D47" s="288">
        <f t="shared" si="32"/>
        <v>0</v>
      </c>
      <c r="E47" s="288">
        <f t="shared" si="32"/>
        <v>0</v>
      </c>
      <c r="F47" s="288">
        <f t="shared" si="32"/>
        <v>0</v>
      </c>
      <c r="G47" s="288">
        <f t="shared" si="32"/>
        <v>0</v>
      </c>
      <c r="H47" s="288">
        <f t="shared" si="32"/>
        <v>0</v>
      </c>
      <c r="I47" s="288">
        <f t="shared" si="32"/>
        <v>0</v>
      </c>
      <c r="J47" s="288">
        <f t="shared" si="32"/>
        <v>0</v>
      </c>
      <c r="K47" s="288">
        <f t="shared" si="32"/>
        <v>0</v>
      </c>
      <c r="L47" s="288">
        <f t="shared" si="32"/>
        <v>0</v>
      </c>
      <c r="M47" s="288">
        <f t="shared" si="32"/>
        <v>0</v>
      </c>
      <c r="N47" s="288">
        <f t="shared" si="32"/>
        <v>0</v>
      </c>
      <c r="O47" s="288">
        <f t="shared" si="32"/>
        <v>0</v>
      </c>
      <c r="P47" s="288">
        <f t="shared" si="32"/>
        <v>0</v>
      </c>
      <c r="Q47" s="288">
        <f t="shared" si="32"/>
        <v>0</v>
      </c>
      <c r="R47" s="288">
        <f t="shared" si="31"/>
        <v>0</v>
      </c>
      <c r="S47" s="288">
        <f t="shared" si="27"/>
        <v>0</v>
      </c>
      <c r="T47" s="288">
        <f t="shared" si="27"/>
        <v>0</v>
      </c>
      <c r="U47" s="288">
        <f t="shared" si="27"/>
        <v>0</v>
      </c>
      <c r="V47" s="288">
        <f t="shared" si="27"/>
        <v>0</v>
      </c>
      <c r="W47" s="288">
        <f t="shared" si="27"/>
        <v>0</v>
      </c>
      <c r="X47" s="288">
        <f t="shared" si="27"/>
        <v>0</v>
      </c>
      <c r="Y47" s="288">
        <f t="shared" si="27"/>
        <v>0</v>
      </c>
      <c r="Z47" s="288">
        <f t="shared" si="24"/>
        <v>0</v>
      </c>
      <c r="AA47" s="288">
        <f t="shared" si="24"/>
        <v>0</v>
      </c>
      <c r="AB47" s="288">
        <f t="shared" si="24"/>
        <v>0</v>
      </c>
      <c r="AC47" s="288">
        <f t="shared" si="24"/>
        <v>0</v>
      </c>
      <c r="AD47" s="288">
        <f t="shared" si="24"/>
        <v>0</v>
      </c>
      <c r="AE47" s="288">
        <f t="shared" si="19"/>
        <v>0</v>
      </c>
      <c r="AF47" s="288">
        <f t="shared" si="19"/>
        <v>0</v>
      </c>
      <c r="AG47" s="288">
        <f t="shared" si="19"/>
        <v>0</v>
      </c>
      <c r="AH47" s="288">
        <f t="shared" si="19"/>
        <v>0</v>
      </c>
      <c r="AI47" s="288">
        <f t="shared" si="19"/>
        <v>0</v>
      </c>
      <c r="AJ47" s="288">
        <f t="shared" si="19"/>
        <v>0</v>
      </c>
      <c r="AK47" s="288">
        <f t="shared" si="19"/>
        <v>0</v>
      </c>
      <c r="AL47" s="288">
        <f t="shared" si="19"/>
        <v>0</v>
      </c>
      <c r="AM47" s="288">
        <f t="shared" si="19"/>
        <v>0</v>
      </c>
      <c r="AN47" s="288">
        <f t="shared" si="19"/>
        <v>0</v>
      </c>
      <c r="AO47" s="288">
        <f t="shared" si="19"/>
        <v>0</v>
      </c>
      <c r="AP47" s="288">
        <f t="shared" si="19"/>
        <v>0</v>
      </c>
      <c r="AQ47" s="288">
        <f t="shared" si="19"/>
        <v>0</v>
      </c>
      <c r="AR47" s="288">
        <f t="shared" si="19"/>
        <v>0</v>
      </c>
      <c r="AS47" s="288">
        <f t="shared" si="19"/>
        <v>0</v>
      </c>
      <c r="AT47" s="288">
        <f t="shared" si="19"/>
        <v>0</v>
      </c>
      <c r="AU47" s="288">
        <f t="shared" si="28"/>
        <v>44</v>
      </c>
      <c r="AV47" s="288">
        <f t="shared" si="25"/>
        <v>0</v>
      </c>
      <c r="AW47" s="288">
        <f t="shared" si="25"/>
        <v>0</v>
      </c>
      <c r="AX47" s="288">
        <f t="shared" si="25"/>
        <v>0</v>
      </c>
      <c r="AY47" s="288">
        <f t="shared" si="25"/>
        <v>0</v>
      </c>
      <c r="AZ47" s="288">
        <f t="shared" si="25"/>
        <v>0</v>
      </c>
      <c r="BA47" s="288">
        <f t="shared" si="25"/>
        <v>0</v>
      </c>
      <c r="BB47" s="288">
        <f t="shared" si="25"/>
        <v>0</v>
      </c>
      <c r="BC47" s="288">
        <f t="shared" si="25"/>
        <v>0</v>
      </c>
      <c r="BD47" s="288">
        <f t="shared" si="25"/>
        <v>0</v>
      </c>
      <c r="BE47" s="288">
        <f t="shared" si="25"/>
        <v>0</v>
      </c>
      <c r="BF47" s="288">
        <f t="shared" si="25"/>
        <v>0</v>
      </c>
      <c r="BG47" s="288">
        <f t="shared" si="25"/>
        <v>0</v>
      </c>
      <c r="BH47" s="288">
        <f t="shared" si="25"/>
        <v>0</v>
      </c>
      <c r="BI47" s="288">
        <f t="shared" si="25"/>
        <v>0</v>
      </c>
      <c r="BJ47" s="288">
        <f t="shared" si="25"/>
        <v>0</v>
      </c>
      <c r="BK47" s="288">
        <f t="shared" si="25"/>
        <v>0</v>
      </c>
      <c r="BL47" s="288">
        <f t="shared" si="26"/>
        <v>0</v>
      </c>
      <c r="BM47" s="288">
        <f t="shared" si="26"/>
        <v>0</v>
      </c>
      <c r="BN47" s="288">
        <f t="shared" si="17"/>
        <v>0</v>
      </c>
      <c r="BO47" s="288">
        <f t="shared" si="17"/>
        <v>0</v>
      </c>
      <c r="BP47" s="288">
        <f t="shared" si="17"/>
        <v>0</v>
      </c>
      <c r="BQ47" s="288">
        <f t="shared" si="17"/>
        <v>0</v>
      </c>
      <c r="BR47" s="288">
        <f t="shared" si="17"/>
        <v>0</v>
      </c>
      <c r="BS47" s="288">
        <f t="shared" si="17"/>
        <v>0</v>
      </c>
      <c r="BT47" s="288">
        <f t="shared" si="17"/>
        <v>0</v>
      </c>
      <c r="BU47" s="288">
        <f t="shared" si="17"/>
        <v>0</v>
      </c>
      <c r="BV47" s="288">
        <f t="shared" si="17"/>
        <v>0</v>
      </c>
      <c r="BW47" s="288">
        <f t="shared" si="17"/>
        <v>0</v>
      </c>
      <c r="BX47" s="288">
        <f t="shared" si="17"/>
        <v>0</v>
      </c>
      <c r="BY47" s="288">
        <f t="shared" si="17"/>
        <v>0</v>
      </c>
      <c r="BZ47" s="288">
        <f t="shared" si="17"/>
        <v>0</v>
      </c>
      <c r="CA47" s="288">
        <f t="shared" si="17"/>
        <v>0</v>
      </c>
      <c r="CB47" s="288">
        <f t="shared" si="17"/>
        <v>0</v>
      </c>
      <c r="CC47" s="288">
        <f t="shared" si="17"/>
        <v>0</v>
      </c>
      <c r="CD47" s="288">
        <f t="shared" si="23"/>
        <v>0</v>
      </c>
      <c r="CE47" s="288">
        <f t="shared" si="22"/>
        <v>0</v>
      </c>
      <c r="CF47" s="288">
        <f t="shared" si="22"/>
        <v>0</v>
      </c>
      <c r="CG47" s="288">
        <f t="shared" si="22"/>
        <v>0</v>
      </c>
      <c r="CH47" s="288">
        <f t="shared" si="22"/>
        <v>0</v>
      </c>
      <c r="CI47" s="288">
        <f t="shared" si="22"/>
        <v>0</v>
      </c>
      <c r="CJ47" s="288">
        <f t="shared" si="22"/>
        <v>0</v>
      </c>
      <c r="CK47" s="288">
        <f t="shared" si="22"/>
        <v>0</v>
      </c>
      <c r="CL47" s="288">
        <f t="shared" si="22"/>
        <v>0</v>
      </c>
      <c r="CM47" s="288">
        <f t="shared" si="22"/>
        <v>0</v>
      </c>
      <c r="CN47" s="288">
        <f t="shared" si="22"/>
        <v>0</v>
      </c>
      <c r="CO47" s="288">
        <f t="shared" si="22"/>
        <v>0</v>
      </c>
      <c r="CP47" s="288">
        <f t="shared" si="22"/>
        <v>0</v>
      </c>
      <c r="CQ47" s="288">
        <f t="shared" si="22"/>
        <v>0</v>
      </c>
      <c r="CR47" s="288">
        <f t="shared" si="22"/>
        <v>0</v>
      </c>
      <c r="CS47" s="288">
        <f t="shared" si="22"/>
        <v>0</v>
      </c>
      <c r="CT47" s="288">
        <f t="shared" si="22"/>
        <v>0</v>
      </c>
      <c r="CU47" s="288">
        <f t="shared" si="30"/>
        <v>0</v>
      </c>
      <c r="CV47" s="288">
        <f t="shared" si="29"/>
        <v>0</v>
      </c>
      <c r="CW47" s="288">
        <f t="shared" si="29"/>
        <v>0</v>
      </c>
      <c r="CX47" s="288">
        <f t="shared" si="21"/>
        <v>0</v>
      </c>
      <c r="CY47" s="288">
        <f t="shared" si="21"/>
        <v>0</v>
      </c>
      <c r="CZ47" s="288">
        <f t="shared" si="21"/>
        <v>0</v>
      </c>
      <c r="DA47" s="288">
        <f t="shared" si="21"/>
        <v>0</v>
      </c>
      <c r="DB47" s="288">
        <f t="shared" si="33"/>
        <v>0</v>
      </c>
      <c r="DC47" s="288">
        <f t="shared" si="33"/>
        <v>0</v>
      </c>
      <c r="DD47" s="288">
        <f t="shared" si="33"/>
        <v>0</v>
      </c>
      <c r="DE47" s="288">
        <f t="shared" si="33"/>
        <v>0</v>
      </c>
      <c r="DG47" s="314">
        <f t="shared" si="3"/>
        <v>44</v>
      </c>
      <c r="DH47" s="289">
        <f>MAX(AU$3:AU$109)</f>
        <v>44</v>
      </c>
      <c r="DJ47" s="288">
        <f>LOOKUP(DH47, 'Mortality Table'!A:A,('Mortality Table'!J:J/'Mortality Table'!I:I))</f>
        <v>3.7604609317987456E-3</v>
      </c>
      <c r="DK47" s="288">
        <f>LOOKUP(A47, 'Mortality Table'!A:A,('Mortality Table'!J:J/'Mortality Table'!I:I))</f>
        <v>3.7604609317987456E-3</v>
      </c>
      <c r="DL47" s="288">
        <f t="shared" si="4"/>
        <v>0</v>
      </c>
      <c r="DN47" s="288">
        <f>LOOKUP(DH47, 'Mortality Table'!A:A,('Mortality Table'!L:L/'Mortality Table'!K:K))</f>
        <v>3.809194639873812E-3</v>
      </c>
      <c r="DO47" s="288">
        <f>LOOKUP(A47, 'Mortality Table'!A:A,('Mortality Table'!L:L/'Mortality Table'!K:K))</f>
        <v>3.809194639873812E-3</v>
      </c>
      <c r="DP47" s="288">
        <f t="shared" si="5"/>
        <v>0</v>
      </c>
      <c r="DR47" s="288">
        <f>LOOKUP(DH47, 'Mortality Table'!A:A,('Mortality Table'!N:N/'Mortality Table'!M:M))</f>
        <v>3.8948052087025191E-3</v>
      </c>
      <c r="DS47" s="288">
        <f>LOOKUP(A47, 'Mortality Table'!A:A,('Mortality Table'!N:N/'Mortality Table'!M:M))</f>
        <v>3.8948052087025191E-3</v>
      </c>
      <c r="DT47" s="288">
        <f t="shared" si="6"/>
        <v>0</v>
      </c>
    </row>
    <row r="48" spans="1:124">
      <c r="A48" s="288">
        <v>45</v>
      </c>
      <c r="B48" s="288">
        <v>4.3593570485220062E-3</v>
      </c>
      <c r="C48" s="288">
        <f t="shared" si="32"/>
        <v>0</v>
      </c>
      <c r="D48" s="288">
        <f t="shared" si="32"/>
        <v>0</v>
      </c>
      <c r="E48" s="288">
        <f t="shared" si="32"/>
        <v>0</v>
      </c>
      <c r="F48" s="288">
        <f t="shared" si="32"/>
        <v>0</v>
      </c>
      <c r="G48" s="288">
        <f t="shared" si="32"/>
        <v>0</v>
      </c>
      <c r="H48" s="288">
        <f t="shared" si="32"/>
        <v>0</v>
      </c>
      <c r="I48" s="288">
        <f t="shared" si="32"/>
        <v>0</v>
      </c>
      <c r="J48" s="288">
        <f t="shared" si="32"/>
        <v>0</v>
      </c>
      <c r="K48" s="288">
        <f t="shared" si="32"/>
        <v>0</v>
      </c>
      <c r="L48" s="288">
        <f t="shared" si="32"/>
        <v>0</v>
      </c>
      <c r="M48" s="288">
        <f t="shared" si="32"/>
        <v>0</v>
      </c>
      <c r="N48" s="288">
        <f t="shared" si="32"/>
        <v>0</v>
      </c>
      <c r="O48" s="288">
        <f t="shared" si="32"/>
        <v>0</v>
      </c>
      <c r="P48" s="288">
        <f t="shared" si="32"/>
        <v>0</v>
      </c>
      <c r="Q48" s="288">
        <f t="shared" si="32"/>
        <v>0</v>
      </c>
      <c r="R48" s="288">
        <f t="shared" si="31"/>
        <v>0</v>
      </c>
      <c r="S48" s="288">
        <f t="shared" si="27"/>
        <v>0</v>
      </c>
      <c r="T48" s="288">
        <f t="shared" si="27"/>
        <v>0</v>
      </c>
      <c r="U48" s="288">
        <f t="shared" si="27"/>
        <v>0</v>
      </c>
      <c r="V48" s="288">
        <f t="shared" si="27"/>
        <v>0</v>
      </c>
      <c r="W48" s="288">
        <f t="shared" si="27"/>
        <v>0</v>
      </c>
      <c r="X48" s="288">
        <f t="shared" si="27"/>
        <v>0</v>
      </c>
      <c r="Y48" s="288">
        <f t="shared" si="27"/>
        <v>0</v>
      </c>
      <c r="Z48" s="288">
        <f t="shared" si="24"/>
        <v>0</v>
      </c>
      <c r="AA48" s="288">
        <f t="shared" si="24"/>
        <v>0</v>
      </c>
      <c r="AB48" s="288">
        <f t="shared" si="24"/>
        <v>0</v>
      </c>
      <c r="AC48" s="288">
        <f t="shared" si="24"/>
        <v>0</v>
      </c>
      <c r="AD48" s="288">
        <f t="shared" si="24"/>
        <v>0</v>
      </c>
      <c r="AE48" s="288">
        <f t="shared" si="19"/>
        <v>0</v>
      </c>
      <c r="AF48" s="288">
        <f t="shared" si="19"/>
        <v>0</v>
      </c>
      <c r="AG48" s="288">
        <f t="shared" si="19"/>
        <v>0</v>
      </c>
      <c r="AH48" s="288">
        <f t="shared" si="19"/>
        <v>0</v>
      </c>
      <c r="AI48" s="288">
        <f t="shared" si="19"/>
        <v>0</v>
      </c>
      <c r="AJ48" s="288">
        <f t="shared" si="19"/>
        <v>0</v>
      </c>
      <c r="AK48" s="288">
        <f t="shared" si="19"/>
        <v>0</v>
      </c>
      <c r="AL48" s="288">
        <f t="shared" si="19"/>
        <v>0</v>
      </c>
      <c r="AM48" s="288">
        <f t="shared" si="19"/>
        <v>0</v>
      </c>
      <c r="AN48" s="288">
        <f t="shared" si="19"/>
        <v>0</v>
      </c>
      <c r="AO48" s="288">
        <f t="shared" si="19"/>
        <v>0</v>
      </c>
      <c r="AP48" s="288">
        <f t="shared" si="19"/>
        <v>0</v>
      </c>
      <c r="AQ48" s="288">
        <f t="shared" si="19"/>
        <v>0</v>
      </c>
      <c r="AR48" s="288">
        <f t="shared" si="19"/>
        <v>0</v>
      </c>
      <c r="AS48" s="288">
        <f t="shared" si="19"/>
        <v>0</v>
      </c>
      <c r="AT48" s="288">
        <f t="shared" si="19"/>
        <v>0</v>
      </c>
      <c r="AU48" s="288">
        <f t="shared" si="28"/>
        <v>0</v>
      </c>
      <c r="AV48" s="288">
        <f t="shared" si="25"/>
        <v>45</v>
      </c>
      <c r="AW48" s="288">
        <f t="shared" si="25"/>
        <v>0</v>
      </c>
      <c r="AX48" s="288">
        <f t="shared" si="25"/>
        <v>0</v>
      </c>
      <c r="AY48" s="288">
        <f t="shared" si="25"/>
        <v>0</v>
      </c>
      <c r="AZ48" s="288">
        <f t="shared" si="25"/>
        <v>0</v>
      </c>
      <c r="BA48" s="288">
        <f t="shared" si="25"/>
        <v>0</v>
      </c>
      <c r="BB48" s="288">
        <f t="shared" si="25"/>
        <v>0</v>
      </c>
      <c r="BC48" s="288">
        <f t="shared" si="25"/>
        <v>0</v>
      </c>
      <c r="BD48" s="288">
        <f t="shared" si="25"/>
        <v>0</v>
      </c>
      <c r="BE48" s="288">
        <f t="shared" si="25"/>
        <v>0</v>
      </c>
      <c r="BF48" s="288">
        <f t="shared" si="25"/>
        <v>0</v>
      </c>
      <c r="BG48" s="288">
        <f t="shared" si="25"/>
        <v>0</v>
      </c>
      <c r="BH48" s="288">
        <f t="shared" si="25"/>
        <v>0</v>
      </c>
      <c r="BI48" s="288">
        <f t="shared" si="25"/>
        <v>0</v>
      </c>
      <c r="BJ48" s="288">
        <f t="shared" si="25"/>
        <v>0</v>
      </c>
      <c r="BK48" s="288">
        <f t="shared" si="25"/>
        <v>0</v>
      </c>
      <c r="BL48" s="288">
        <f t="shared" si="26"/>
        <v>0</v>
      </c>
      <c r="BM48" s="288">
        <f t="shared" si="26"/>
        <v>0</v>
      </c>
      <c r="BN48" s="288">
        <f t="shared" si="17"/>
        <v>0</v>
      </c>
      <c r="BO48" s="288">
        <f t="shared" si="17"/>
        <v>0</v>
      </c>
      <c r="BP48" s="288">
        <f t="shared" si="17"/>
        <v>0</v>
      </c>
      <c r="BQ48" s="288">
        <f t="shared" si="17"/>
        <v>0</v>
      </c>
      <c r="BR48" s="288">
        <f t="shared" si="17"/>
        <v>0</v>
      </c>
      <c r="BS48" s="288">
        <f t="shared" si="17"/>
        <v>0</v>
      </c>
      <c r="BT48" s="288">
        <f t="shared" si="17"/>
        <v>0</v>
      </c>
      <c r="BU48" s="288">
        <f t="shared" si="17"/>
        <v>0</v>
      </c>
      <c r="BV48" s="288">
        <f t="shared" si="17"/>
        <v>0</v>
      </c>
      <c r="BW48" s="288">
        <f t="shared" si="17"/>
        <v>0</v>
      </c>
      <c r="BX48" s="288">
        <f t="shared" si="17"/>
        <v>0</v>
      </c>
      <c r="BY48" s="288">
        <f t="shared" si="17"/>
        <v>0</v>
      </c>
      <c r="BZ48" s="288">
        <f t="shared" si="17"/>
        <v>0</v>
      </c>
      <c r="CA48" s="288">
        <f t="shared" si="17"/>
        <v>0</v>
      </c>
      <c r="CB48" s="288">
        <f t="shared" si="17"/>
        <v>0</v>
      </c>
      <c r="CC48" s="288">
        <f t="shared" si="17"/>
        <v>0</v>
      </c>
      <c r="CD48" s="288">
        <f t="shared" si="23"/>
        <v>0</v>
      </c>
      <c r="CE48" s="288">
        <f t="shared" si="22"/>
        <v>0</v>
      </c>
      <c r="CF48" s="288">
        <f t="shared" si="22"/>
        <v>0</v>
      </c>
      <c r="CG48" s="288">
        <f t="shared" si="22"/>
        <v>0</v>
      </c>
      <c r="CH48" s="288">
        <f t="shared" si="22"/>
        <v>0</v>
      </c>
      <c r="CI48" s="288">
        <f t="shared" si="22"/>
        <v>0</v>
      </c>
      <c r="CJ48" s="288">
        <f t="shared" si="22"/>
        <v>0</v>
      </c>
      <c r="CK48" s="288">
        <f t="shared" si="22"/>
        <v>0</v>
      </c>
      <c r="CL48" s="288">
        <f t="shared" si="22"/>
        <v>0</v>
      </c>
      <c r="CM48" s="288">
        <f t="shared" si="22"/>
        <v>0</v>
      </c>
      <c r="CN48" s="288">
        <f t="shared" si="22"/>
        <v>0</v>
      </c>
      <c r="CO48" s="288">
        <f t="shared" si="22"/>
        <v>0</v>
      </c>
      <c r="CP48" s="288">
        <f t="shared" si="22"/>
        <v>0</v>
      </c>
      <c r="CQ48" s="288">
        <f t="shared" si="22"/>
        <v>0</v>
      </c>
      <c r="CR48" s="288">
        <f t="shared" si="22"/>
        <v>0</v>
      </c>
      <c r="CS48" s="288">
        <f t="shared" si="22"/>
        <v>0</v>
      </c>
      <c r="CT48" s="288">
        <f t="shared" si="22"/>
        <v>0</v>
      </c>
      <c r="CU48" s="288">
        <f t="shared" si="30"/>
        <v>0</v>
      </c>
      <c r="CV48" s="288">
        <f t="shared" si="29"/>
        <v>0</v>
      </c>
      <c r="CW48" s="288">
        <f t="shared" si="29"/>
        <v>0</v>
      </c>
      <c r="CX48" s="288">
        <f t="shared" si="21"/>
        <v>0</v>
      </c>
      <c r="CY48" s="288">
        <f t="shared" si="21"/>
        <v>0</v>
      </c>
      <c r="CZ48" s="288">
        <f t="shared" si="21"/>
        <v>0</v>
      </c>
      <c r="DA48" s="288">
        <f t="shared" si="21"/>
        <v>0</v>
      </c>
      <c r="DB48" s="288">
        <f t="shared" si="33"/>
        <v>0</v>
      </c>
      <c r="DC48" s="288">
        <f t="shared" si="33"/>
        <v>0</v>
      </c>
      <c r="DD48" s="288">
        <f t="shared" si="33"/>
        <v>0</v>
      </c>
      <c r="DE48" s="288">
        <f t="shared" si="33"/>
        <v>0</v>
      </c>
      <c r="DG48" s="314">
        <f t="shared" si="3"/>
        <v>45</v>
      </c>
      <c r="DH48" s="289">
        <f>MAX(AV$3:AV$109)</f>
        <v>45</v>
      </c>
      <c r="DJ48" s="288">
        <f>LOOKUP(DH48, 'Mortality Table'!A:A,('Mortality Table'!J:J/'Mortality Table'!I:I))</f>
        <v>4.0131134492255105E-3</v>
      </c>
      <c r="DK48" s="288">
        <f>LOOKUP(A48, 'Mortality Table'!A:A,('Mortality Table'!J:J/'Mortality Table'!I:I))</f>
        <v>4.0131134492255105E-3</v>
      </c>
      <c r="DL48" s="288">
        <f t="shared" si="4"/>
        <v>0</v>
      </c>
      <c r="DN48" s="288">
        <f>LOOKUP(DH48, 'Mortality Table'!A:A,('Mortality Table'!L:L/'Mortality Table'!K:K))</f>
        <v>4.0651214085830707E-3</v>
      </c>
      <c r="DO48" s="288">
        <f>LOOKUP(A48, 'Mortality Table'!A:A,('Mortality Table'!L:L/'Mortality Table'!K:K))</f>
        <v>4.0651214085830707E-3</v>
      </c>
      <c r="DP48" s="288">
        <f t="shared" si="5"/>
        <v>0</v>
      </c>
      <c r="DR48" s="288">
        <f>LOOKUP(DH48, 'Mortality Table'!A:A,('Mortality Table'!N:N/'Mortality Table'!M:M))</f>
        <v>4.1564838589298134E-3</v>
      </c>
      <c r="DS48" s="288">
        <f>LOOKUP(A48, 'Mortality Table'!A:A,('Mortality Table'!N:N/'Mortality Table'!M:M))</f>
        <v>4.1564838589298134E-3</v>
      </c>
      <c r="DT48" s="288">
        <f t="shared" si="6"/>
        <v>0</v>
      </c>
    </row>
    <row r="49" spans="1:124">
      <c r="A49" s="288">
        <v>46</v>
      </c>
      <c r="B49" s="288">
        <v>4.6588372318742115E-3</v>
      </c>
      <c r="C49" s="288">
        <f t="shared" si="32"/>
        <v>0</v>
      </c>
      <c r="D49" s="288">
        <f t="shared" si="32"/>
        <v>0</v>
      </c>
      <c r="E49" s="288">
        <f t="shared" si="32"/>
        <v>0</v>
      </c>
      <c r="F49" s="288">
        <f t="shared" si="32"/>
        <v>0</v>
      </c>
      <c r="G49" s="288">
        <f t="shared" si="32"/>
        <v>0</v>
      </c>
      <c r="H49" s="288">
        <f t="shared" si="32"/>
        <v>0</v>
      </c>
      <c r="I49" s="288">
        <f t="shared" si="32"/>
        <v>0</v>
      </c>
      <c r="J49" s="288">
        <f t="shared" si="32"/>
        <v>0</v>
      </c>
      <c r="K49" s="288">
        <f t="shared" si="32"/>
        <v>0</v>
      </c>
      <c r="L49" s="288">
        <f t="shared" si="32"/>
        <v>0</v>
      </c>
      <c r="M49" s="288">
        <f t="shared" si="32"/>
        <v>0</v>
      </c>
      <c r="N49" s="288">
        <f t="shared" si="32"/>
        <v>0</v>
      </c>
      <c r="O49" s="288">
        <f t="shared" si="32"/>
        <v>0</v>
      </c>
      <c r="P49" s="288">
        <f t="shared" si="32"/>
        <v>0</v>
      </c>
      <c r="Q49" s="288">
        <f t="shared" si="32"/>
        <v>0</v>
      </c>
      <c r="R49" s="288">
        <f t="shared" si="31"/>
        <v>0</v>
      </c>
      <c r="S49" s="288">
        <f t="shared" si="27"/>
        <v>0</v>
      </c>
      <c r="T49" s="288">
        <f t="shared" si="27"/>
        <v>0</v>
      </c>
      <c r="U49" s="288">
        <f t="shared" si="27"/>
        <v>0</v>
      </c>
      <c r="V49" s="288">
        <f t="shared" si="27"/>
        <v>0</v>
      </c>
      <c r="W49" s="288">
        <f t="shared" si="27"/>
        <v>0</v>
      </c>
      <c r="X49" s="288">
        <f t="shared" si="27"/>
        <v>0</v>
      </c>
      <c r="Y49" s="288">
        <f t="shared" si="27"/>
        <v>0</v>
      </c>
      <c r="Z49" s="288">
        <f t="shared" si="24"/>
        <v>0</v>
      </c>
      <c r="AA49" s="288">
        <f t="shared" si="24"/>
        <v>0</v>
      </c>
      <c r="AB49" s="288">
        <f t="shared" si="24"/>
        <v>0</v>
      </c>
      <c r="AC49" s="288">
        <f t="shared" si="24"/>
        <v>0</v>
      </c>
      <c r="AD49" s="288">
        <f t="shared" si="24"/>
        <v>0</v>
      </c>
      <c r="AE49" s="288">
        <f t="shared" si="19"/>
        <v>0</v>
      </c>
      <c r="AF49" s="288">
        <f t="shared" si="19"/>
        <v>0</v>
      </c>
      <c r="AG49" s="288">
        <f t="shared" si="19"/>
        <v>0</v>
      </c>
      <c r="AH49" s="288">
        <f t="shared" si="19"/>
        <v>0</v>
      </c>
      <c r="AI49" s="288">
        <f t="shared" si="19"/>
        <v>0</v>
      </c>
      <c r="AJ49" s="288">
        <f t="shared" si="19"/>
        <v>0</v>
      </c>
      <c r="AK49" s="288">
        <f t="shared" si="19"/>
        <v>0</v>
      </c>
      <c r="AL49" s="288">
        <f t="shared" si="19"/>
        <v>0</v>
      </c>
      <c r="AM49" s="288">
        <f t="shared" si="19"/>
        <v>0</v>
      </c>
      <c r="AN49" s="288">
        <f t="shared" si="19"/>
        <v>0</v>
      </c>
      <c r="AO49" s="288">
        <f t="shared" si="19"/>
        <v>0</v>
      </c>
      <c r="AP49" s="288">
        <f t="shared" si="19"/>
        <v>0</v>
      </c>
      <c r="AQ49" s="288">
        <f t="shared" si="19"/>
        <v>0</v>
      </c>
      <c r="AR49" s="288">
        <f t="shared" si="19"/>
        <v>0</v>
      </c>
      <c r="AS49" s="288">
        <f t="shared" si="19"/>
        <v>0</v>
      </c>
      <c r="AT49" s="288">
        <f t="shared" si="19"/>
        <v>0</v>
      </c>
      <c r="AU49" s="288">
        <f t="shared" si="28"/>
        <v>0</v>
      </c>
      <c r="AV49" s="288">
        <f t="shared" si="25"/>
        <v>0</v>
      </c>
      <c r="AW49" s="288">
        <f t="shared" si="25"/>
        <v>46</v>
      </c>
      <c r="AX49" s="288">
        <f t="shared" si="25"/>
        <v>0</v>
      </c>
      <c r="AY49" s="288">
        <f t="shared" si="25"/>
        <v>0</v>
      </c>
      <c r="AZ49" s="288">
        <f t="shared" si="25"/>
        <v>0</v>
      </c>
      <c r="BA49" s="288">
        <f t="shared" si="25"/>
        <v>0</v>
      </c>
      <c r="BB49" s="288">
        <f t="shared" si="25"/>
        <v>0</v>
      </c>
      <c r="BC49" s="288">
        <f t="shared" si="25"/>
        <v>0</v>
      </c>
      <c r="BD49" s="288">
        <f t="shared" si="25"/>
        <v>0</v>
      </c>
      <c r="BE49" s="288">
        <f t="shared" si="25"/>
        <v>0</v>
      </c>
      <c r="BF49" s="288">
        <f t="shared" si="25"/>
        <v>0</v>
      </c>
      <c r="BG49" s="288">
        <f t="shared" si="25"/>
        <v>0</v>
      </c>
      <c r="BH49" s="288">
        <f t="shared" si="25"/>
        <v>0</v>
      </c>
      <c r="BI49" s="288">
        <f t="shared" si="25"/>
        <v>0</v>
      </c>
      <c r="BJ49" s="288">
        <f t="shared" si="25"/>
        <v>0</v>
      </c>
      <c r="BK49" s="288">
        <f t="shared" si="25"/>
        <v>0</v>
      </c>
      <c r="BL49" s="288">
        <f t="shared" si="26"/>
        <v>0</v>
      </c>
      <c r="BM49" s="288">
        <f t="shared" si="26"/>
        <v>0</v>
      </c>
      <c r="BN49" s="288">
        <f t="shared" si="17"/>
        <v>0</v>
      </c>
      <c r="BO49" s="288">
        <f t="shared" si="17"/>
        <v>0</v>
      </c>
      <c r="BP49" s="288">
        <f t="shared" si="17"/>
        <v>0</v>
      </c>
      <c r="BQ49" s="288">
        <f t="shared" si="17"/>
        <v>0</v>
      </c>
      <c r="BR49" s="288">
        <f t="shared" si="17"/>
        <v>0</v>
      </c>
      <c r="BS49" s="288">
        <f t="shared" si="17"/>
        <v>0</v>
      </c>
      <c r="BT49" s="288">
        <f t="shared" si="17"/>
        <v>0</v>
      </c>
      <c r="BU49" s="288">
        <f t="shared" si="17"/>
        <v>0</v>
      </c>
      <c r="BV49" s="288">
        <f t="shared" si="17"/>
        <v>0</v>
      </c>
      <c r="BW49" s="288">
        <f t="shared" si="17"/>
        <v>0</v>
      </c>
      <c r="BX49" s="288">
        <f t="shared" si="17"/>
        <v>0</v>
      </c>
      <c r="BY49" s="288">
        <f t="shared" si="17"/>
        <v>0</v>
      </c>
      <c r="BZ49" s="288">
        <f t="shared" si="17"/>
        <v>0</v>
      </c>
      <c r="CA49" s="288">
        <f t="shared" si="17"/>
        <v>0</v>
      </c>
      <c r="CB49" s="288">
        <f t="shared" si="17"/>
        <v>0</v>
      </c>
      <c r="CC49" s="288">
        <f t="shared" si="17"/>
        <v>0</v>
      </c>
      <c r="CD49" s="288">
        <f t="shared" si="23"/>
        <v>0</v>
      </c>
      <c r="CE49" s="288">
        <f t="shared" si="22"/>
        <v>0</v>
      </c>
      <c r="CF49" s="288">
        <f t="shared" si="22"/>
        <v>0</v>
      </c>
      <c r="CG49" s="288">
        <f t="shared" si="22"/>
        <v>0</v>
      </c>
      <c r="CH49" s="288">
        <f t="shared" si="22"/>
        <v>0</v>
      </c>
      <c r="CI49" s="288">
        <f t="shared" si="22"/>
        <v>0</v>
      </c>
      <c r="CJ49" s="288">
        <f t="shared" si="22"/>
        <v>0</v>
      </c>
      <c r="CK49" s="288">
        <f t="shared" si="22"/>
        <v>0</v>
      </c>
      <c r="CL49" s="288">
        <f t="shared" si="22"/>
        <v>0</v>
      </c>
      <c r="CM49" s="288">
        <f t="shared" si="22"/>
        <v>0</v>
      </c>
      <c r="CN49" s="288">
        <f t="shared" si="22"/>
        <v>0</v>
      </c>
      <c r="CO49" s="288">
        <f t="shared" si="22"/>
        <v>0</v>
      </c>
      <c r="CP49" s="288">
        <f t="shared" si="22"/>
        <v>0</v>
      </c>
      <c r="CQ49" s="288">
        <f t="shared" si="22"/>
        <v>0</v>
      </c>
      <c r="CR49" s="288">
        <f t="shared" si="22"/>
        <v>0</v>
      </c>
      <c r="CS49" s="288">
        <f t="shared" si="22"/>
        <v>0</v>
      </c>
      <c r="CT49" s="288">
        <f t="shared" si="22"/>
        <v>0</v>
      </c>
      <c r="CU49" s="288">
        <f t="shared" si="30"/>
        <v>0</v>
      </c>
      <c r="CV49" s="288">
        <f t="shared" si="29"/>
        <v>0</v>
      </c>
      <c r="CW49" s="288">
        <f t="shared" si="29"/>
        <v>0</v>
      </c>
      <c r="CX49" s="288">
        <f t="shared" si="21"/>
        <v>0</v>
      </c>
      <c r="CY49" s="288">
        <f t="shared" si="21"/>
        <v>0</v>
      </c>
      <c r="CZ49" s="288">
        <f t="shared" si="21"/>
        <v>0</v>
      </c>
      <c r="DA49" s="288">
        <f t="shared" si="21"/>
        <v>0</v>
      </c>
      <c r="DB49" s="288">
        <f t="shared" si="33"/>
        <v>0</v>
      </c>
      <c r="DC49" s="288">
        <f t="shared" si="33"/>
        <v>0</v>
      </c>
      <c r="DD49" s="288">
        <f t="shared" si="33"/>
        <v>0</v>
      </c>
      <c r="DE49" s="288">
        <f t="shared" si="33"/>
        <v>0</v>
      </c>
      <c r="DG49" s="314">
        <f t="shared" si="3"/>
        <v>46</v>
      </c>
      <c r="DH49" s="289">
        <f>MAX(AW$3:AW$109)</f>
        <v>46</v>
      </c>
      <c r="DJ49" s="288">
        <f>LOOKUP(DH49, 'Mortality Table'!A:A,('Mortality Table'!J:J/'Mortality Table'!I:I))</f>
        <v>4.2888073045830866E-3</v>
      </c>
      <c r="DK49" s="288">
        <f>LOOKUP(A49, 'Mortality Table'!A:A,('Mortality Table'!J:J/'Mortality Table'!I:I))</f>
        <v>4.2888073045830866E-3</v>
      </c>
      <c r="DL49" s="288">
        <f t="shared" si="4"/>
        <v>0</v>
      </c>
      <c r="DN49" s="288">
        <f>LOOKUP(DH49, 'Mortality Table'!A:A,('Mortality Table'!L:L/'Mortality Table'!K:K))</f>
        <v>4.3443881195316912E-3</v>
      </c>
      <c r="DO49" s="288">
        <f>LOOKUP(A49, 'Mortality Table'!A:A,('Mortality Table'!L:L/'Mortality Table'!K:K))</f>
        <v>4.3443881195316912E-3</v>
      </c>
      <c r="DP49" s="288">
        <f t="shared" si="5"/>
        <v>0</v>
      </c>
      <c r="DR49" s="288">
        <f>LOOKUP(DH49, 'Mortality Table'!A:A,('Mortality Table'!N:N/'Mortality Table'!M:M))</f>
        <v>4.4420270099765529E-3</v>
      </c>
      <c r="DS49" s="288">
        <f>LOOKUP(A49, 'Mortality Table'!A:A,('Mortality Table'!N:N/'Mortality Table'!M:M))</f>
        <v>4.4420270099765529E-3</v>
      </c>
      <c r="DT49" s="288">
        <f t="shared" si="6"/>
        <v>0</v>
      </c>
    </row>
    <row r="50" spans="1:124">
      <c r="A50" s="288">
        <v>47</v>
      </c>
      <c r="B50" s="288">
        <v>5.0056882821387944E-3</v>
      </c>
      <c r="C50" s="288">
        <f t="shared" si="32"/>
        <v>0</v>
      </c>
      <c r="D50" s="288">
        <f t="shared" si="32"/>
        <v>0</v>
      </c>
      <c r="E50" s="288">
        <f t="shared" si="32"/>
        <v>0</v>
      </c>
      <c r="F50" s="288">
        <f t="shared" si="32"/>
        <v>0</v>
      </c>
      <c r="G50" s="288">
        <f t="shared" si="32"/>
        <v>0</v>
      </c>
      <c r="H50" s="288">
        <f t="shared" si="32"/>
        <v>0</v>
      </c>
      <c r="I50" s="288">
        <f t="shared" si="32"/>
        <v>0</v>
      </c>
      <c r="J50" s="288">
        <f t="shared" si="32"/>
        <v>0</v>
      </c>
      <c r="K50" s="288">
        <f t="shared" si="32"/>
        <v>0</v>
      </c>
      <c r="L50" s="288">
        <f t="shared" si="32"/>
        <v>0</v>
      </c>
      <c r="M50" s="288">
        <f t="shared" si="32"/>
        <v>0</v>
      </c>
      <c r="N50" s="288">
        <f t="shared" si="32"/>
        <v>0</v>
      </c>
      <c r="O50" s="288">
        <f t="shared" si="32"/>
        <v>0</v>
      </c>
      <c r="P50" s="288">
        <f t="shared" si="32"/>
        <v>0</v>
      </c>
      <c r="Q50" s="288">
        <f t="shared" si="32"/>
        <v>0</v>
      </c>
      <c r="R50" s="288">
        <f t="shared" si="31"/>
        <v>0</v>
      </c>
      <c r="S50" s="288">
        <f t="shared" si="27"/>
        <v>0</v>
      </c>
      <c r="T50" s="288">
        <f t="shared" si="27"/>
        <v>0</v>
      </c>
      <c r="U50" s="288">
        <f t="shared" si="27"/>
        <v>0</v>
      </c>
      <c r="V50" s="288">
        <f t="shared" si="27"/>
        <v>0</v>
      </c>
      <c r="W50" s="288">
        <f t="shared" si="27"/>
        <v>0</v>
      </c>
      <c r="X50" s="288">
        <f t="shared" si="27"/>
        <v>0</v>
      </c>
      <c r="Y50" s="288">
        <f t="shared" si="27"/>
        <v>0</v>
      </c>
      <c r="Z50" s="288">
        <f t="shared" si="24"/>
        <v>0</v>
      </c>
      <c r="AA50" s="288">
        <f t="shared" si="24"/>
        <v>0</v>
      </c>
      <c r="AB50" s="288">
        <f t="shared" si="24"/>
        <v>0</v>
      </c>
      <c r="AC50" s="288">
        <f t="shared" si="24"/>
        <v>0</v>
      </c>
      <c r="AD50" s="288">
        <f t="shared" si="24"/>
        <v>0</v>
      </c>
      <c r="AE50" s="288">
        <f t="shared" si="19"/>
        <v>0</v>
      </c>
      <c r="AF50" s="288">
        <f t="shared" si="19"/>
        <v>0</v>
      </c>
      <c r="AG50" s="288">
        <f t="shared" si="19"/>
        <v>0</v>
      </c>
      <c r="AH50" s="288">
        <f t="shared" si="19"/>
        <v>0</v>
      </c>
      <c r="AI50" s="288">
        <f t="shared" si="19"/>
        <v>0</v>
      </c>
      <c r="AJ50" s="288">
        <f t="shared" si="19"/>
        <v>0</v>
      </c>
      <c r="AK50" s="288">
        <f t="shared" si="19"/>
        <v>0</v>
      </c>
      <c r="AL50" s="288">
        <f t="shared" si="19"/>
        <v>0</v>
      </c>
      <c r="AM50" s="288">
        <f t="shared" si="19"/>
        <v>0</v>
      </c>
      <c r="AN50" s="288">
        <f t="shared" si="19"/>
        <v>0</v>
      </c>
      <c r="AO50" s="288">
        <f t="shared" si="19"/>
        <v>0</v>
      </c>
      <c r="AP50" s="288">
        <f t="shared" si="19"/>
        <v>0</v>
      </c>
      <c r="AQ50" s="288">
        <f t="shared" si="19"/>
        <v>0</v>
      </c>
      <c r="AR50" s="288">
        <f t="shared" si="19"/>
        <v>0</v>
      </c>
      <c r="AS50" s="288">
        <f t="shared" si="19"/>
        <v>0</v>
      </c>
      <c r="AT50" s="288">
        <f t="shared" si="19"/>
        <v>0</v>
      </c>
      <c r="AU50" s="288">
        <f t="shared" si="28"/>
        <v>0</v>
      </c>
      <c r="AV50" s="288">
        <f t="shared" si="25"/>
        <v>0</v>
      </c>
      <c r="AW50" s="288">
        <f t="shared" si="25"/>
        <v>0</v>
      </c>
      <c r="AX50" s="288">
        <f t="shared" si="25"/>
        <v>47</v>
      </c>
      <c r="AY50" s="288">
        <f t="shared" si="25"/>
        <v>0</v>
      </c>
      <c r="AZ50" s="288">
        <f t="shared" si="25"/>
        <v>0</v>
      </c>
      <c r="BA50" s="288">
        <f t="shared" si="25"/>
        <v>0</v>
      </c>
      <c r="BB50" s="288">
        <f t="shared" si="25"/>
        <v>0</v>
      </c>
      <c r="BC50" s="288">
        <f t="shared" si="25"/>
        <v>0</v>
      </c>
      <c r="BD50" s="288">
        <f t="shared" si="25"/>
        <v>0</v>
      </c>
      <c r="BE50" s="288">
        <f t="shared" si="25"/>
        <v>0</v>
      </c>
      <c r="BF50" s="288">
        <f t="shared" si="25"/>
        <v>0</v>
      </c>
      <c r="BG50" s="288">
        <f t="shared" si="25"/>
        <v>0</v>
      </c>
      <c r="BH50" s="288">
        <f t="shared" si="25"/>
        <v>0</v>
      </c>
      <c r="BI50" s="288">
        <f t="shared" si="25"/>
        <v>0</v>
      </c>
      <c r="BJ50" s="288">
        <f t="shared" si="25"/>
        <v>0</v>
      </c>
      <c r="BK50" s="288">
        <f t="shared" si="25"/>
        <v>0</v>
      </c>
      <c r="BL50" s="288">
        <f t="shared" si="26"/>
        <v>0</v>
      </c>
      <c r="BM50" s="288">
        <f t="shared" si="26"/>
        <v>0</v>
      </c>
      <c r="BN50" s="288">
        <f t="shared" si="17"/>
        <v>0</v>
      </c>
      <c r="BO50" s="288">
        <f t="shared" si="17"/>
        <v>0</v>
      </c>
      <c r="BP50" s="288">
        <f t="shared" si="17"/>
        <v>0</v>
      </c>
      <c r="BQ50" s="288">
        <f t="shared" si="17"/>
        <v>0</v>
      </c>
      <c r="BR50" s="288">
        <f t="shared" si="17"/>
        <v>0</v>
      </c>
      <c r="BS50" s="288">
        <f t="shared" si="17"/>
        <v>0</v>
      </c>
      <c r="BT50" s="288">
        <f t="shared" si="17"/>
        <v>0</v>
      </c>
      <c r="BU50" s="288">
        <f t="shared" si="17"/>
        <v>0</v>
      </c>
      <c r="BV50" s="288">
        <f t="shared" si="17"/>
        <v>0</v>
      </c>
      <c r="BW50" s="288">
        <f t="shared" si="17"/>
        <v>0</v>
      </c>
      <c r="BX50" s="288">
        <f t="shared" si="17"/>
        <v>0</v>
      </c>
      <c r="BY50" s="288">
        <f t="shared" si="17"/>
        <v>0</v>
      </c>
      <c r="BZ50" s="288">
        <f t="shared" si="17"/>
        <v>0</v>
      </c>
      <c r="CA50" s="288">
        <f t="shared" si="17"/>
        <v>0</v>
      </c>
      <c r="CB50" s="288">
        <f t="shared" si="17"/>
        <v>0</v>
      </c>
      <c r="CC50" s="288">
        <f t="shared" si="17"/>
        <v>0</v>
      </c>
      <c r="CD50" s="288">
        <f t="shared" si="23"/>
        <v>0</v>
      </c>
      <c r="CE50" s="288">
        <f t="shared" si="22"/>
        <v>0</v>
      </c>
      <c r="CF50" s="288">
        <f t="shared" si="22"/>
        <v>0</v>
      </c>
      <c r="CG50" s="288">
        <f t="shared" si="22"/>
        <v>0</v>
      </c>
      <c r="CH50" s="288">
        <f t="shared" si="22"/>
        <v>0</v>
      </c>
      <c r="CI50" s="288">
        <f t="shared" si="22"/>
        <v>0</v>
      </c>
      <c r="CJ50" s="288">
        <f t="shared" si="22"/>
        <v>0</v>
      </c>
      <c r="CK50" s="288">
        <f t="shared" si="22"/>
        <v>0</v>
      </c>
      <c r="CL50" s="288">
        <f t="shared" si="22"/>
        <v>0</v>
      </c>
      <c r="CM50" s="288">
        <f t="shared" si="22"/>
        <v>0</v>
      </c>
      <c r="CN50" s="288">
        <f t="shared" si="22"/>
        <v>0</v>
      </c>
      <c r="CO50" s="288">
        <f t="shared" si="22"/>
        <v>0</v>
      </c>
      <c r="CP50" s="288">
        <f t="shared" si="22"/>
        <v>0</v>
      </c>
      <c r="CQ50" s="288">
        <f t="shared" si="22"/>
        <v>0</v>
      </c>
      <c r="CR50" s="288">
        <f t="shared" si="22"/>
        <v>0</v>
      </c>
      <c r="CS50" s="288">
        <f t="shared" si="22"/>
        <v>0</v>
      </c>
      <c r="CT50" s="288">
        <f t="shared" si="22"/>
        <v>0</v>
      </c>
      <c r="CU50" s="288">
        <f t="shared" si="30"/>
        <v>0</v>
      </c>
      <c r="CV50" s="288">
        <f t="shared" si="29"/>
        <v>0</v>
      </c>
      <c r="CW50" s="288">
        <f t="shared" si="29"/>
        <v>0</v>
      </c>
      <c r="CX50" s="288">
        <f t="shared" si="21"/>
        <v>0</v>
      </c>
      <c r="CY50" s="288">
        <f t="shared" si="21"/>
        <v>0</v>
      </c>
      <c r="CZ50" s="288">
        <f t="shared" si="21"/>
        <v>0</v>
      </c>
      <c r="DA50" s="288">
        <f t="shared" si="21"/>
        <v>0</v>
      </c>
      <c r="DB50" s="288">
        <f t="shared" si="33"/>
        <v>0</v>
      </c>
      <c r="DC50" s="288">
        <f t="shared" si="33"/>
        <v>0</v>
      </c>
      <c r="DD50" s="288">
        <f t="shared" si="33"/>
        <v>0</v>
      </c>
      <c r="DE50" s="288">
        <f t="shared" si="33"/>
        <v>0</v>
      </c>
      <c r="DG50" s="314">
        <f t="shared" si="3"/>
        <v>47</v>
      </c>
      <c r="DH50" s="289">
        <f>MAX(AX$3:AX$109)</f>
        <v>47</v>
      </c>
      <c r="DJ50" s="288">
        <f>LOOKUP(DH50, 'Mortality Table'!A:A,('Mortality Table'!J:J/'Mortality Table'!I:I))</f>
        <v>4.6081095776480379E-3</v>
      </c>
      <c r="DK50" s="288">
        <f>LOOKUP(A50, 'Mortality Table'!A:A,('Mortality Table'!J:J/'Mortality Table'!I:I))</f>
        <v>4.6081095776480379E-3</v>
      </c>
      <c r="DL50" s="288">
        <f t="shared" si="4"/>
        <v>0</v>
      </c>
      <c r="DN50" s="288">
        <f>LOOKUP(DH50, 'Mortality Table'!A:A,('Mortality Table'!L:L/'Mortality Table'!K:K))</f>
        <v>4.6678283916466168E-3</v>
      </c>
      <c r="DO50" s="288">
        <f>LOOKUP(A50, 'Mortality Table'!A:A,('Mortality Table'!L:L/'Mortality Table'!K:K))</f>
        <v>4.6678283916466168E-3</v>
      </c>
      <c r="DP50" s="288">
        <f t="shared" si="5"/>
        <v>0</v>
      </c>
      <c r="DR50" s="288">
        <f>LOOKUP(DH50, 'Mortality Table'!A:A,('Mortality Table'!N:N/'Mortality Table'!M:M))</f>
        <v>4.7727365104443756E-3</v>
      </c>
      <c r="DS50" s="288">
        <f>LOOKUP(A50, 'Mortality Table'!A:A,('Mortality Table'!N:N/'Mortality Table'!M:M))</f>
        <v>4.7727365104443756E-3</v>
      </c>
      <c r="DT50" s="288">
        <f t="shared" si="6"/>
        <v>0</v>
      </c>
    </row>
    <row r="51" spans="1:124">
      <c r="A51" s="288">
        <v>48</v>
      </c>
      <c r="B51" s="288">
        <v>5.4555551925778312E-3</v>
      </c>
      <c r="C51" s="288">
        <f t="shared" si="32"/>
        <v>0</v>
      </c>
      <c r="D51" s="288">
        <f t="shared" si="32"/>
        <v>0</v>
      </c>
      <c r="E51" s="288">
        <f t="shared" si="32"/>
        <v>0</v>
      </c>
      <c r="F51" s="288">
        <f t="shared" si="32"/>
        <v>0</v>
      </c>
      <c r="G51" s="288">
        <f t="shared" si="32"/>
        <v>0</v>
      </c>
      <c r="H51" s="288">
        <f t="shared" si="32"/>
        <v>0</v>
      </c>
      <c r="I51" s="288">
        <f t="shared" si="32"/>
        <v>0</v>
      </c>
      <c r="J51" s="288">
        <f t="shared" si="32"/>
        <v>0</v>
      </c>
      <c r="K51" s="288">
        <f t="shared" si="32"/>
        <v>0</v>
      </c>
      <c r="L51" s="288">
        <f t="shared" si="32"/>
        <v>0</v>
      </c>
      <c r="M51" s="288">
        <f t="shared" si="32"/>
        <v>0</v>
      </c>
      <c r="N51" s="288">
        <f t="shared" si="32"/>
        <v>0</v>
      </c>
      <c r="O51" s="288">
        <f t="shared" si="32"/>
        <v>0</v>
      </c>
      <c r="P51" s="288">
        <f t="shared" si="32"/>
        <v>0</v>
      </c>
      <c r="Q51" s="288">
        <f t="shared" si="32"/>
        <v>0</v>
      </c>
      <c r="R51" s="288">
        <f t="shared" si="31"/>
        <v>0</v>
      </c>
      <c r="S51" s="288">
        <f t="shared" si="27"/>
        <v>0</v>
      </c>
      <c r="T51" s="288">
        <f t="shared" si="27"/>
        <v>0</v>
      </c>
      <c r="U51" s="288">
        <f t="shared" si="27"/>
        <v>0</v>
      </c>
      <c r="V51" s="288">
        <f t="shared" si="27"/>
        <v>0</v>
      </c>
      <c r="W51" s="288">
        <f t="shared" si="27"/>
        <v>0</v>
      </c>
      <c r="X51" s="288">
        <f t="shared" si="27"/>
        <v>0</v>
      </c>
      <c r="Y51" s="288">
        <f t="shared" si="27"/>
        <v>0</v>
      </c>
      <c r="Z51" s="288">
        <f t="shared" si="24"/>
        <v>0</v>
      </c>
      <c r="AA51" s="288">
        <f t="shared" si="24"/>
        <v>0</v>
      </c>
      <c r="AB51" s="288">
        <f t="shared" si="24"/>
        <v>0</v>
      </c>
      <c r="AC51" s="288">
        <f t="shared" si="24"/>
        <v>0</v>
      </c>
      <c r="AD51" s="288">
        <f t="shared" si="24"/>
        <v>0</v>
      </c>
      <c r="AE51" s="288">
        <f t="shared" si="19"/>
        <v>0</v>
      </c>
      <c r="AF51" s="288">
        <f t="shared" si="19"/>
        <v>0</v>
      </c>
      <c r="AG51" s="288">
        <f t="shared" si="19"/>
        <v>0</v>
      </c>
      <c r="AH51" s="288">
        <f t="shared" si="19"/>
        <v>0</v>
      </c>
      <c r="AI51" s="288">
        <f t="shared" si="19"/>
        <v>0</v>
      </c>
      <c r="AJ51" s="288">
        <f t="shared" si="19"/>
        <v>0</v>
      </c>
      <c r="AK51" s="288">
        <f t="shared" si="19"/>
        <v>0</v>
      </c>
      <c r="AL51" s="288">
        <f t="shared" si="19"/>
        <v>0</v>
      </c>
      <c r="AM51" s="288">
        <f t="shared" si="19"/>
        <v>0</v>
      </c>
      <c r="AN51" s="288">
        <f t="shared" si="19"/>
        <v>0</v>
      </c>
      <c r="AO51" s="288">
        <f t="shared" si="19"/>
        <v>0</v>
      </c>
      <c r="AP51" s="288">
        <f t="shared" si="19"/>
        <v>0</v>
      </c>
      <c r="AQ51" s="288">
        <f t="shared" si="19"/>
        <v>0</v>
      </c>
      <c r="AR51" s="288">
        <f t="shared" si="19"/>
        <v>0</v>
      </c>
      <c r="AS51" s="288">
        <f t="shared" si="19"/>
        <v>0</v>
      </c>
      <c r="AT51" s="288">
        <f t="shared" ref="AT51:AU82" si="34">IF(AT$2&gt;$B51,(IF(AT$2&lt;=$B52,(IF(AVERAGE($B51,$B52)&gt;AT$2,$A51,$A52)),0)),0)</f>
        <v>0</v>
      </c>
      <c r="AU51" s="288">
        <f t="shared" si="28"/>
        <v>0</v>
      </c>
      <c r="AV51" s="288">
        <f t="shared" si="25"/>
        <v>0</v>
      </c>
      <c r="AW51" s="288">
        <f t="shared" si="25"/>
        <v>0</v>
      </c>
      <c r="AX51" s="288">
        <f t="shared" si="25"/>
        <v>0</v>
      </c>
      <c r="AY51" s="288">
        <f t="shared" si="25"/>
        <v>48</v>
      </c>
      <c r="AZ51" s="288">
        <f t="shared" si="25"/>
        <v>0</v>
      </c>
      <c r="BA51" s="288">
        <f t="shared" si="25"/>
        <v>0</v>
      </c>
      <c r="BB51" s="288">
        <f t="shared" si="25"/>
        <v>0</v>
      </c>
      <c r="BC51" s="288">
        <f t="shared" si="25"/>
        <v>0</v>
      </c>
      <c r="BD51" s="288">
        <f t="shared" si="25"/>
        <v>0</v>
      </c>
      <c r="BE51" s="288">
        <f t="shared" si="25"/>
        <v>0</v>
      </c>
      <c r="BF51" s="288">
        <f t="shared" si="25"/>
        <v>0</v>
      </c>
      <c r="BG51" s="288">
        <f t="shared" si="25"/>
        <v>0</v>
      </c>
      <c r="BH51" s="288">
        <f t="shared" si="25"/>
        <v>0</v>
      </c>
      <c r="BI51" s="288">
        <f t="shared" si="25"/>
        <v>0</v>
      </c>
      <c r="BJ51" s="288">
        <f t="shared" si="25"/>
        <v>0</v>
      </c>
      <c r="BK51" s="288">
        <f t="shared" si="25"/>
        <v>0</v>
      </c>
      <c r="BL51" s="288">
        <f t="shared" si="26"/>
        <v>0</v>
      </c>
      <c r="BM51" s="288">
        <f t="shared" si="26"/>
        <v>0</v>
      </c>
      <c r="BN51" s="288">
        <f t="shared" si="17"/>
        <v>0</v>
      </c>
      <c r="BO51" s="288">
        <f t="shared" si="17"/>
        <v>0</v>
      </c>
      <c r="BP51" s="288">
        <f t="shared" si="17"/>
        <v>0</v>
      </c>
      <c r="BQ51" s="288">
        <f t="shared" si="17"/>
        <v>0</v>
      </c>
      <c r="BR51" s="288">
        <f t="shared" si="17"/>
        <v>0</v>
      </c>
      <c r="BS51" s="288">
        <f t="shared" si="17"/>
        <v>0</v>
      </c>
      <c r="BT51" s="288">
        <f t="shared" si="17"/>
        <v>0</v>
      </c>
      <c r="BU51" s="288">
        <f t="shared" si="17"/>
        <v>0</v>
      </c>
      <c r="BV51" s="288">
        <f t="shared" si="17"/>
        <v>0</v>
      </c>
      <c r="BW51" s="288">
        <f t="shared" si="17"/>
        <v>0</v>
      </c>
      <c r="BX51" s="288">
        <f t="shared" si="17"/>
        <v>0</v>
      </c>
      <c r="BY51" s="288">
        <f t="shared" si="17"/>
        <v>0</v>
      </c>
      <c r="BZ51" s="288">
        <f t="shared" si="17"/>
        <v>0</v>
      </c>
      <c r="CA51" s="288">
        <f t="shared" si="17"/>
        <v>0</v>
      </c>
      <c r="CB51" s="288">
        <f t="shared" si="17"/>
        <v>0</v>
      </c>
      <c r="CC51" s="288">
        <f t="shared" si="17"/>
        <v>0</v>
      </c>
      <c r="CD51" s="288">
        <f t="shared" si="23"/>
        <v>0</v>
      </c>
      <c r="CE51" s="288">
        <f t="shared" si="22"/>
        <v>0</v>
      </c>
      <c r="CF51" s="288">
        <f t="shared" si="22"/>
        <v>0</v>
      </c>
      <c r="CG51" s="288">
        <f t="shared" si="22"/>
        <v>0</v>
      </c>
      <c r="CH51" s="288">
        <f t="shared" si="22"/>
        <v>0</v>
      </c>
      <c r="CI51" s="288">
        <f t="shared" si="22"/>
        <v>0</v>
      </c>
      <c r="CJ51" s="288">
        <f t="shared" si="22"/>
        <v>0</v>
      </c>
      <c r="CK51" s="288">
        <f t="shared" si="22"/>
        <v>0</v>
      </c>
      <c r="CL51" s="288">
        <f t="shared" si="22"/>
        <v>0</v>
      </c>
      <c r="CM51" s="288">
        <f t="shared" si="22"/>
        <v>0</v>
      </c>
      <c r="CN51" s="288">
        <f t="shared" si="22"/>
        <v>0</v>
      </c>
      <c r="CO51" s="288">
        <f t="shared" si="22"/>
        <v>0</v>
      </c>
      <c r="CP51" s="288">
        <f t="shared" si="22"/>
        <v>0</v>
      </c>
      <c r="CQ51" s="288">
        <f t="shared" si="22"/>
        <v>0</v>
      </c>
      <c r="CR51" s="288">
        <f t="shared" si="22"/>
        <v>0</v>
      </c>
      <c r="CS51" s="288">
        <f t="shared" si="22"/>
        <v>0</v>
      </c>
      <c r="CT51" s="288">
        <f t="shared" si="22"/>
        <v>0</v>
      </c>
      <c r="CU51" s="288">
        <f t="shared" si="30"/>
        <v>0</v>
      </c>
      <c r="CV51" s="288">
        <f t="shared" si="29"/>
        <v>0</v>
      </c>
      <c r="CW51" s="288">
        <f t="shared" si="29"/>
        <v>0</v>
      </c>
      <c r="CX51" s="288">
        <f t="shared" si="21"/>
        <v>0</v>
      </c>
      <c r="CY51" s="288">
        <f t="shared" si="21"/>
        <v>0</v>
      </c>
      <c r="CZ51" s="288">
        <f t="shared" si="21"/>
        <v>0</v>
      </c>
      <c r="DA51" s="288">
        <f t="shared" si="21"/>
        <v>0</v>
      </c>
      <c r="DB51" s="288">
        <f t="shared" si="33"/>
        <v>0</v>
      </c>
      <c r="DC51" s="288">
        <f t="shared" si="33"/>
        <v>0</v>
      </c>
      <c r="DD51" s="288">
        <f t="shared" si="33"/>
        <v>0</v>
      </c>
      <c r="DE51" s="288">
        <f t="shared" si="33"/>
        <v>0</v>
      </c>
      <c r="DG51" s="314">
        <f t="shared" si="3"/>
        <v>48</v>
      </c>
      <c r="DH51" s="289">
        <f>MAX(AY$3:AY$109)</f>
        <v>48</v>
      </c>
      <c r="DJ51" s="288">
        <f>LOOKUP(DH51, 'Mortality Table'!A:A,('Mortality Table'!J:J/'Mortality Table'!I:I))</f>
        <v>5.0222456368305551E-3</v>
      </c>
      <c r="DK51" s="288">
        <f>LOOKUP(A51, 'Mortality Table'!A:A,('Mortality Table'!J:J/'Mortality Table'!I:I))</f>
        <v>5.0222456368305551E-3</v>
      </c>
      <c r="DL51" s="288">
        <f t="shared" si="4"/>
        <v>0</v>
      </c>
      <c r="DN51" s="288">
        <f>LOOKUP(DH51, 'Mortality Table'!A:A,('Mortality Table'!L:L/'Mortality Table'!K:K))</f>
        <v>5.0873314486992336E-3</v>
      </c>
      <c r="DO51" s="288">
        <f>LOOKUP(A51, 'Mortality Table'!A:A,('Mortality Table'!L:L/'Mortality Table'!K:K))</f>
        <v>5.0873314486992336E-3</v>
      </c>
      <c r="DP51" s="288">
        <f t="shared" si="5"/>
        <v>0</v>
      </c>
      <c r="DR51" s="288">
        <f>LOOKUP(DH51, 'Mortality Table'!A:A,('Mortality Table'!N:N/'Mortality Table'!M:M))</f>
        <v>5.2016677796874909E-3</v>
      </c>
      <c r="DS51" s="288">
        <f>LOOKUP(A51, 'Mortality Table'!A:A,('Mortality Table'!N:N/'Mortality Table'!M:M))</f>
        <v>5.2016677796874909E-3</v>
      </c>
      <c r="DT51" s="288">
        <f t="shared" si="6"/>
        <v>0</v>
      </c>
    </row>
    <row r="52" spans="1:124">
      <c r="A52" s="288">
        <v>49</v>
      </c>
      <c r="B52" s="288">
        <v>6.0657819822187188E-3</v>
      </c>
      <c r="C52" s="288">
        <f t="shared" si="32"/>
        <v>0</v>
      </c>
      <c r="D52" s="288">
        <f t="shared" si="32"/>
        <v>0</v>
      </c>
      <c r="E52" s="288">
        <f t="shared" si="32"/>
        <v>0</v>
      </c>
      <c r="F52" s="288">
        <f t="shared" si="32"/>
        <v>0</v>
      </c>
      <c r="G52" s="288">
        <f t="shared" si="32"/>
        <v>0</v>
      </c>
      <c r="H52" s="288">
        <f t="shared" si="32"/>
        <v>0</v>
      </c>
      <c r="I52" s="288">
        <f t="shared" si="32"/>
        <v>0</v>
      </c>
      <c r="J52" s="288">
        <f t="shared" si="32"/>
        <v>0</v>
      </c>
      <c r="K52" s="288">
        <f t="shared" si="32"/>
        <v>0</v>
      </c>
      <c r="L52" s="288">
        <f t="shared" si="32"/>
        <v>0</v>
      </c>
      <c r="M52" s="288">
        <f t="shared" si="32"/>
        <v>0</v>
      </c>
      <c r="N52" s="288">
        <f t="shared" si="32"/>
        <v>0</v>
      </c>
      <c r="O52" s="288">
        <f t="shared" si="32"/>
        <v>0</v>
      </c>
      <c r="P52" s="288">
        <f t="shared" si="32"/>
        <v>0</v>
      </c>
      <c r="Q52" s="288">
        <f t="shared" si="32"/>
        <v>0</v>
      </c>
      <c r="R52" s="288">
        <f t="shared" si="31"/>
        <v>0</v>
      </c>
      <c r="S52" s="288">
        <f t="shared" si="27"/>
        <v>0</v>
      </c>
      <c r="T52" s="288">
        <f t="shared" si="27"/>
        <v>0</v>
      </c>
      <c r="U52" s="288">
        <f t="shared" si="27"/>
        <v>0</v>
      </c>
      <c r="V52" s="288">
        <f t="shared" si="27"/>
        <v>0</v>
      </c>
      <c r="W52" s="288">
        <f t="shared" si="27"/>
        <v>0</v>
      </c>
      <c r="X52" s="288">
        <f t="shared" si="27"/>
        <v>0</v>
      </c>
      <c r="Y52" s="288">
        <f t="shared" si="27"/>
        <v>0</v>
      </c>
      <c r="Z52" s="288">
        <f t="shared" si="24"/>
        <v>0</v>
      </c>
      <c r="AA52" s="288">
        <f t="shared" si="24"/>
        <v>0</v>
      </c>
      <c r="AB52" s="288">
        <f t="shared" si="24"/>
        <v>0</v>
      </c>
      <c r="AC52" s="288">
        <f t="shared" si="24"/>
        <v>0</v>
      </c>
      <c r="AD52" s="288">
        <f t="shared" si="24"/>
        <v>0</v>
      </c>
      <c r="AE52" s="288">
        <f t="shared" si="24"/>
        <v>0</v>
      </c>
      <c r="AF52" s="288">
        <f t="shared" si="24"/>
        <v>0</v>
      </c>
      <c r="AG52" s="288">
        <f t="shared" si="24"/>
        <v>0</v>
      </c>
      <c r="AH52" s="288">
        <f t="shared" si="24"/>
        <v>0</v>
      </c>
      <c r="AI52" s="288">
        <f t="shared" si="24"/>
        <v>0</v>
      </c>
      <c r="AJ52" s="288">
        <f t="shared" si="24"/>
        <v>0</v>
      </c>
      <c r="AK52" s="288">
        <f t="shared" si="24"/>
        <v>0</v>
      </c>
      <c r="AL52" s="288">
        <f t="shared" si="24"/>
        <v>0</v>
      </c>
      <c r="AM52" s="288">
        <f t="shared" si="24"/>
        <v>0</v>
      </c>
      <c r="AN52" s="288">
        <f t="shared" si="24"/>
        <v>0</v>
      </c>
      <c r="AO52" s="288">
        <f t="shared" si="24"/>
        <v>0</v>
      </c>
      <c r="AP52" s="288">
        <f t="shared" ref="AP52:AP97" si="35">IF(AP$2&gt;$B52,(IF(AP$2&lt;=$B53,(IF(AVERAGE($B52,$B53)&gt;AP$2,$A52,$A53)),0)),0)</f>
        <v>0</v>
      </c>
      <c r="AQ52" s="288">
        <f t="shared" ref="AQ52:AQ97" si="36">IF(AQ$2&gt;$B52,(IF(AQ$2&lt;=$B53,(IF(AVERAGE($B52,$B53)&gt;AQ$2,$A52,$A53)),0)),0)</f>
        <v>0</v>
      </c>
      <c r="AR52" s="288">
        <f t="shared" ref="AR52:AR97" si="37">IF(AR$2&gt;$B52,(IF(AR$2&lt;=$B53,(IF(AVERAGE($B52,$B53)&gt;AR$2,$A52,$A53)),0)),0)</f>
        <v>0</v>
      </c>
      <c r="AS52" s="288">
        <f t="shared" ref="AS52:AS97" si="38">IF(AS$2&gt;$B52,(IF(AS$2&lt;=$B53,(IF(AVERAGE($B52,$B53)&gt;AS$2,$A52,$A53)),0)),0)</f>
        <v>0</v>
      </c>
      <c r="AT52" s="288">
        <f t="shared" si="34"/>
        <v>0</v>
      </c>
      <c r="AU52" s="288">
        <f t="shared" si="28"/>
        <v>0</v>
      </c>
      <c r="AV52" s="288">
        <f t="shared" si="25"/>
        <v>0</v>
      </c>
      <c r="AW52" s="288">
        <f t="shared" si="25"/>
        <v>0</v>
      </c>
      <c r="AX52" s="288">
        <f t="shared" si="25"/>
        <v>0</v>
      </c>
      <c r="AY52" s="288">
        <f t="shared" si="25"/>
        <v>0</v>
      </c>
      <c r="AZ52" s="288">
        <f t="shared" si="25"/>
        <v>49</v>
      </c>
      <c r="BA52" s="288">
        <f t="shared" si="25"/>
        <v>0</v>
      </c>
      <c r="BB52" s="288">
        <f t="shared" si="25"/>
        <v>0</v>
      </c>
      <c r="BC52" s="288">
        <f t="shared" si="25"/>
        <v>0</v>
      </c>
      <c r="BD52" s="288">
        <f t="shared" si="25"/>
        <v>0</v>
      </c>
      <c r="BE52" s="288">
        <f t="shared" si="25"/>
        <v>0</v>
      </c>
      <c r="BF52" s="288">
        <f t="shared" si="25"/>
        <v>0</v>
      </c>
      <c r="BG52" s="288">
        <f t="shared" si="25"/>
        <v>0</v>
      </c>
      <c r="BH52" s="288">
        <f t="shared" si="25"/>
        <v>0</v>
      </c>
      <c r="BI52" s="288">
        <f t="shared" si="25"/>
        <v>0</v>
      </c>
      <c r="BJ52" s="288">
        <f t="shared" si="25"/>
        <v>0</v>
      </c>
      <c r="BK52" s="288">
        <f t="shared" si="25"/>
        <v>0</v>
      </c>
      <c r="BL52" s="288">
        <f t="shared" si="26"/>
        <v>0</v>
      </c>
      <c r="BM52" s="288">
        <f t="shared" si="26"/>
        <v>0</v>
      </c>
      <c r="BN52" s="288">
        <f t="shared" si="26"/>
        <v>0</v>
      </c>
      <c r="BO52" s="288">
        <f t="shared" si="26"/>
        <v>0</v>
      </c>
      <c r="BP52" s="288">
        <f t="shared" si="26"/>
        <v>0</v>
      </c>
      <c r="BQ52" s="288">
        <f t="shared" si="26"/>
        <v>0</v>
      </c>
      <c r="BR52" s="288">
        <f t="shared" si="26"/>
        <v>0</v>
      </c>
      <c r="BS52" s="288">
        <f t="shared" si="26"/>
        <v>0</v>
      </c>
      <c r="BT52" s="288">
        <f t="shared" si="26"/>
        <v>0</v>
      </c>
      <c r="BU52" s="288">
        <f t="shared" si="26"/>
        <v>0</v>
      </c>
      <c r="BV52" s="288">
        <f t="shared" si="26"/>
        <v>0</v>
      </c>
      <c r="BW52" s="288">
        <f t="shared" si="26"/>
        <v>0</v>
      </c>
      <c r="BX52" s="288">
        <f t="shared" si="26"/>
        <v>0</v>
      </c>
      <c r="BY52" s="288">
        <f t="shared" si="26"/>
        <v>0</v>
      </c>
      <c r="BZ52" s="288">
        <f t="shared" si="26"/>
        <v>0</v>
      </c>
      <c r="CA52" s="288">
        <f t="shared" si="26"/>
        <v>0</v>
      </c>
      <c r="CB52" s="288">
        <f t="shared" ref="CB52:CP83" si="39">IF(CB$2&gt;$B52,(IF(CB$2&lt;=$B53,(IF(AVERAGE($B52,$B53)&gt;CB$2,$A52,$A53)),0)),0)</f>
        <v>0</v>
      </c>
      <c r="CC52" s="288">
        <f t="shared" si="39"/>
        <v>0</v>
      </c>
      <c r="CD52" s="288">
        <f t="shared" si="23"/>
        <v>0</v>
      </c>
      <c r="CE52" s="288">
        <f t="shared" si="22"/>
        <v>0</v>
      </c>
      <c r="CF52" s="288">
        <f t="shared" si="22"/>
        <v>0</v>
      </c>
      <c r="CG52" s="288">
        <f t="shared" si="22"/>
        <v>0</v>
      </c>
      <c r="CH52" s="288">
        <f t="shared" si="22"/>
        <v>0</v>
      </c>
      <c r="CI52" s="288">
        <f t="shared" si="22"/>
        <v>0</v>
      </c>
      <c r="CJ52" s="288">
        <f t="shared" si="22"/>
        <v>0</v>
      </c>
      <c r="CK52" s="288">
        <f t="shared" si="22"/>
        <v>0</v>
      </c>
      <c r="CL52" s="288">
        <f t="shared" si="22"/>
        <v>0</v>
      </c>
      <c r="CM52" s="288">
        <f t="shared" si="22"/>
        <v>0</v>
      </c>
      <c r="CN52" s="288">
        <f t="shared" si="22"/>
        <v>0</v>
      </c>
      <c r="CO52" s="288">
        <f t="shared" si="22"/>
        <v>0</v>
      </c>
      <c r="CP52" s="288">
        <f t="shared" si="22"/>
        <v>0</v>
      </c>
      <c r="CQ52" s="288">
        <f t="shared" si="22"/>
        <v>0</v>
      </c>
      <c r="CR52" s="288">
        <f t="shared" si="22"/>
        <v>0</v>
      </c>
      <c r="CS52" s="288">
        <f t="shared" si="22"/>
        <v>0</v>
      </c>
      <c r="CT52" s="288">
        <f t="shared" si="22"/>
        <v>0</v>
      </c>
      <c r="CU52" s="288">
        <f t="shared" si="30"/>
        <v>0</v>
      </c>
      <c r="CV52" s="288">
        <f t="shared" si="29"/>
        <v>0</v>
      </c>
      <c r="CW52" s="288">
        <f t="shared" si="29"/>
        <v>0</v>
      </c>
      <c r="CX52" s="288">
        <f t="shared" si="21"/>
        <v>0</v>
      </c>
      <c r="CY52" s="288">
        <f t="shared" si="21"/>
        <v>0</v>
      </c>
      <c r="CZ52" s="288">
        <f t="shared" si="21"/>
        <v>0</v>
      </c>
      <c r="DA52" s="288">
        <f t="shared" si="21"/>
        <v>0</v>
      </c>
      <c r="DB52" s="288">
        <f t="shared" si="33"/>
        <v>0</v>
      </c>
      <c r="DC52" s="288">
        <f t="shared" si="33"/>
        <v>0</v>
      </c>
      <c r="DD52" s="288">
        <f t="shared" si="33"/>
        <v>0</v>
      </c>
      <c r="DE52" s="288">
        <f t="shared" si="33"/>
        <v>0</v>
      </c>
      <c r="DG52" s="314">
        <f t="shared" si="3"/>
        <v>49</v>
      </c>
      <c r="DH52" s="289">
        <f>MAX(AZ$3:AZ$109)</f>
        <v>49</v>
      </c>
      <c r="DJ52" s="288">
        <f>LOOKUP(DH52, 'Mortality Table'!A:A,('Mortality Table'!J:J/'Mortality Table'!I:I))</f>
        <v>5.5840049305355306E-3</v>
      </c>
      <c r="DK52" s="288">
        <f>LOOKUP(A52, 'Mortality Table'!A:A,('Mortality Table'!J:J/'Mortality Table'!I:I))</f>
        <v>5.5840049305355306E-3</v>
      </c>
      <c r="DL52" s="288">
        <f t="shared" si="4"/>
        <v>0</v>
      </c>
      <c r="DN52" s="288">
        <f>LOOKUP(DH52, 'Mortality Table'!A:A,('Mortality Table'!L:L/'Mortality Table'!K:K))</f>
        <v>5.6563708641564122E-3</v>
      </c>
      <c r="DO52" s="288">
        <f>LOOKUP(A52, 'Mortality Table'!A:A,('Mortality Table'!L:L/'Mortality Table'!K:K))</f>
        <v>5.6563708641564122E-3</v>
      </c>
      <c r="DP52" s="288">
        <f t="shared" si="5"/>
        <v>0</v>
      </c>
      <c r="DR52" s="288">
        <f>LOOKUP(DH52, 'Mortality Table'!A:A,('Mortality Table'!N:N/'Mortality Table'!M:M))</f>
        <v>5.7834961945655173E-3</v>
      </c>
      <c r="DS52" s="288">
        <f>LOOKUP(A52, 'Mortality Table'!A:A,('Mortality Table'!N:N/'Mortality Table'!M:M))</f>
        <v>5.7834961945655173E-3</v>
      </c>
      <c r="DT52" s="288">
        <f t="shared" si="6"/>
        <v>0</v>
      </c>
    </row>
    <row r="53" spans="1:124">
      <c r="A53" s="288">
        <v>50</v>
      </c>
      <c r="B53" s="288">
        <v>6.6866421379629427E-3</v>
      </c>
      <c r="C53" s="288">
        <f t="shared" si="32"/>
        <v>0</v>
      </c>
      <c r="D53" s="288">
        <f t="shared" si="32"/>
        <v>0</v>
      </c>
      <c r="E53" s="288">
        <f t="shared" si="32"/>
        <v>0</v>
      </c>
      <c r="F53" s="288">
        <f t="shared" si="32"/>
        <v>0</v>
      </c>
      <c r="G53" s="288">
        <f t="shared" si="32"/>
        <v>0</v>
      </c>
      <c r="H53" s="288">
        <f t="shared" si="32"/>
        <v>0</v>
      </c>
      <c r="I53" s="288">
        <f t="shared" si="32"/>
        <v>0</v>
      </c>
      <c r="J53" s="288">
        <f t="shared" si="32"/>
        <v>0</v>
      </c>
      <c r="K53" s="288">
        <f t="shared" si="32"/>
        <v>0</v>
      </c>
      <c r="L53" s="288">
        <f t="shared" si="32"/>
        <v>0</v>
      </c>
      <c r="M53" s="288">
        <f t="shared" si="32"/>
        <v>0</v>
      </c>
      <c r="N53" s="288">
        <f t="shared" si="32"/>
        <v>0</v>
      </c>
      <c r="O53" s="288">
        <f t="shared" si="32"/>
        <v>0</v>
      </c>
      <c r="P53" s="288">
        <f t="shared" si="32"/>
        <v>0</v>
      </c>
      <c r="Q53" s="288">
        <f t="shared" si="32"/>
        <v>0</v>
      </c>
      <c r="R53" s="288">
        <f t="shared" si="31"/>
        <v>0</v>
      </c>
      <c r="S53" s="288">
        <f t="shared" si="27"/>
        <v>0</v>
      </c>
      <c r="T53" s="288">
        <f t="shared" si="27"/>
        <v>0</v>
      </c>
      <c r="U53" s="288">
        <f t="shared" si="27"/>
        <v>0</v>
      </c>
      <c r="V53" s="288">
        <f t="shared" si="27"/>
        <v>0</v>
      </c>
      <c r="W53" s="288">
        <f t="shared" si="27"/>
        <v>0</v>
      </c>
      <c r="X53" s="288">
        <f t="shared" si="27"/>
        <v>0</v>
      </c>
      <c r="Y53" s="288">
        <f t="shared" si="27"/>
        <v>0</v>
      </c>
      <c r="Z53" s="288">
        <f t="shared" si="24"/>
        <v>0</v>
      </c>
      <c r="AA53" s="288">
        <f t="shared" si="24"/>
        <v>0</v>
      </c>
      <c r="AB53" s="288">
        <f t="shared" si="24"/>
        <v>0</v>
      </c>
      <c r="AC53" s="288">
        <f t="shared" si="24"/>
        <v>0</v>
      </c>
      <c r="AD53" s="288">
        <f t="shared" si="24"/>
        <v>0</v>
      </c>
      <c r="AE53" s="288">
        <f t="shared" si="24"/>
        <v>0</v>
      </c>
      <c r="AF53" s="288">
        <f t="shared" si="24"/>
        <v>0</v>
      </c>
      <c r="AG53" s="288">
        <f t="shared" si="24"/>
        <v>0</v>
      </c>
      <c r="AH53" s="288">
        <f t="shared" si="24"/>
        <v>0</v>
      </c>
      <c r="AI53" s="288">
        <f t="shared" si="24"/>
        <v>0</v>
      </c>
      <c r="AJ53" s="288">
        <f t="shared" si="24"/>
        <v>0</v>
      </c>
      <c r="AK53" s="288">
        <f t="shared" si="24"/>
        <v>0</v>
      </c>
      <c r="AL53" s="288">
        <f t="shared" si="24"/>
        <v>0</v>
      </c>
      <c r="AM53" s="288">
        <f t="shared" si="24"/>
        <v>0</v>
      </c>
      <c r="AN53" s="288">
        <f t="shared" si="24"/>
        <v>0</v>
      </c>
      <c r="AO53" s="288">
        <f t="shared" si="24"/>
        <v>0</v>
      </c>
      <c r="AP53" s="288">
        <f t="shared" si="35"/>
        <v>0</v>
      </c>
      <c r="AQ53" s="288">
        <f t="shared" si="36"/>
        <v>0</v>
      </c>
      <c r="AR53" s="288">
        <f t="shared" si="37"/>
        <v>0</v>
      </c>
      <c r="AS53" s="288">
        <f t="shared" si="38"/>
        <v>0</v>
      </c>
      <c r="AT53" s="288">
        <f t="shared" si="34"/>
        <v>0</v>
      </c>
      <c r="AU53" s="288">
        <f t="shared" si="28"/>
        <v>0</v>
      </c>
      <c r="AV53" s="288">
        <f t="shared" si="25"/>
        <v>0</v>
      </c>
      <c r="AW53" s="288">
        <f t="shared" si="25"/>
        <v>0</v>
      </c>
      <c r="AX53" s="288">
        <f t="shared" si="25"/>
        <v>0</v>
      </c>
      <c r="AY53" s="288">
        <f t="shared" si="25"/>
        <v>0</v>
      </c>
      <c r="AZ53" s="288">
        <f t="shared" si="25"/>
        <v>0</v>
      </c>
      <c r="BA53" s="288">
        <f t="shared" si="25"/>
        <v>50</v>
      </c>
      <c r="BB53" s="288">
        <f t="shared" si="25"/>
        <v>0</v>
      </c>
      <c r="BC53" s="288">
        <f t="shared" si="25"/>
        <v>0</v>
      </c>
      <c r="BD53" s="288">
        <f t="shared" si="25"/>
        <v>0</v>
      </c>
      <c r="BE53" s="288">
        <f t="shared" si="25"/>
        <v>0</v>
      </c>
      <c r="BF53" s="288">
        <f t="shared" si="25"/>
        <v>0</v>
      </c>
      <c r="BG53" s="288">
        <f t="shared" si="25"/>
        <v>0</v>
      </c>
      <c r="BH53" s="288">
        <f t="shared" si="25"/>
        <v>0</v>
      </c>
      <c r="BI53" s="288">
        <f t="shared" si="25"/>
        <v>0</v>
      </c>
      <c r="BJ53" s="288">
        <f t="shared" si="25"/>
        <v>0</v>
      </c>
      <c r="BK53" s="288">
        <f t="shared" si="25"/>
        <v>0</v>
      </c>
      <c r="BL53" s="288">
        <f t="shared" si="26"/>
        <v>0</v>
      </c>
      <c r="BM53" s="288">
        <f t="shared" si="26"/>
        <v>0</v>
      </c>
      <c r="BN53" s="288">
        <f t="shared" si="26"/>
        <v>0</v>
      </c>
      <c r="BO53" s="288">
        <f t="shared" si="26"/>
        <v>0</v>
      </c>
      <c r="BP53" s="288">
        <f t="shared" si="26"/>
        <v>0</v>
      </c>
      <c r="BQ53" s="288">
        <f t="shared" si="26"/>
        <v>0</v>
      </c>
      <c r="BR53" s="288">
        <f t="shared" si="26"/>
        <v>0</v>
      </c>
      <c r="BS53" s="288">
        <f t="shared" si="26"/>
        <v>0</v>
      </c>
      <c r="BT53" s="288">
        <f t="shared" si="26"/>
        <v>0</v>
      </c>
      <c r="BU53" s="288">
        <f t="shared" si="26"/>
        <v>0</v>
      </c>
      <c r="BV53" s="288">
        <f t="shared" si="26"/>
        <v>0</v>
      </c>
      <c r="BW53" s="288">
        <f t="shared" si="26"/>
        <v>0</v>
      </c>
      <c r="BX53" s="288">
        <f t="shared" si="26"/>
        <v>0</v>
      </c>
      <c r="BY53" s="288">
        <f t="shared" si="26"/>
        <v>0</v>
      </c>
      <c r="BZ53" s="288">
        <f t="shared" si="26"/>
        <v>0</v>
      </c>
      <c r="CA53" s="288">
        <f t="shared" si="26"/>
        <v>0</v>
      </c>
      <c r="CB53" s="288">
        <f t="shared" si="39"/>
        <v>0</v>
      </c>
      <c r="CC53" s="288">
        <f t="shared" si="39"/>
        <v>0</v>
      </c>
      <c r="CD53" s="288">
        <f t="shared" si="23"/>
        <v>0</v>
      </c>
      <c r="CE53" s="288">
        <f t="shared" si="22"/>
        <v>0</v>
      </c>
      <c r="CF53" s="288">
        <f t="shared" si="22"/>
        <v>0</v>
      </c>
      <c r="CG53" s="288">
        <f t="shared" si="22"/>
        <v>0</v>
      </c>
      <c r="CH53" s="288">
        <f t="shared" si="22"/>
        <v>0</v>
      </c>
      <c r="CI53" s="288">
        <f t="shared" si="22"/>
        <v>0</v>
      </c>
      <c r="CJ53" s="288">
        <f t="shared" si="22"/>
        <v>0</v>
      </c>
      <c r="CK53" s="288">
        <f t="shared" si="22"/>
        <v>0</v>
      </c>
      <c r="CL53" s="288">
        <f t="shared" si="22"/>
        <v>0</v>
      </c>
      <c r="CM53" s="288">
        <f t="shared" si="22"/>
        <v>0</v>
      </c>
      <c r="CN53" s="288">
        <f t="shared" si="22"/>
        <v>0</v>
      </c>
      <c r="CO53" s="288">
        <f t="shared" si="22"/>
        <v>0</v>
      </c>
      <c r="CP53" s="288">
        <f t="shared" si="22"/>
        <v>0</v>
      </c>
      <c r="CQ53" s="288">
        <f t="shared" si="22"/>
        <v>0</v>
      </c>
      <c r="CR53" s="288">
        <f t="shared" si="22"/>
        <v>0</v>
      </c>
      <c r="CS53" s="288">
        <f t="shared" si="22"/>
        <v>0</v>
      </c>
      <c r="CT53" s="288">
        <f t="shared" ref="CT53:CT84" si="40">IF(CT$2&gt;$B53,(IF(CT$2&lt;=$B54,(IF(AVERAGE($B53,$B54)&gt;CT$2,$A53,$A54)),0)),0)</f>
        <v>0</v>
      </c>
      <c r="CU53" s="288">
        <f t="shared" si="30"/>
        <v>0</v>
      </c>
      <c r="CV53" s="288">
        <f t="shared" si="29"/>
        <v>0</v>
      </c>
      <c r="CW53" s="288">
        <f t="shared" si="29"/>
        <v>0</v>
      </c>
      <c r="CX53" s="288">
        <f t="shared" si="21"/>
        <v>0</v>
      </c>
      <c r="CY53" s="288">
        <f t="shared" si="21"/>
        <v>0</v>
      </c>
      <c r="CZ53" s="288">
        <f t="shared" si="21"/>
        <v>0</v>
      </c>
      <c r="DA53" s="288">
        <f t="shared" si="21"/>
        <v>0</v>
      </c>
      <c r="DB53" s="288">
        <f t="shared" si="33"/>
        <v>0</v>
      </c>
      <c r="DC53" s="288">
        <f t="shared" si="33"/>
        <v>0</v>
      </c>
      <c r="DD53" s="288">
        <f t="shared" si="33"/>
        <v>0</v>
      </c>
      <c r="DE53" s="288">
        <f t="shared" si="33"/>
        <v>0</v>
      </c>
      <c r="DG53" s="314">
        <f t="shared" si="3"/>
        <v>50</v>
      </c>
      <c r="DH53" s="289">
        <f>MAX(BA$3:BA$109)</f>
        <v>50</v>
      </c>
      <c r="DJ53" s="288">
        <f>LOOKUP(DH53, 'Mortality Table'!A:A,('Mortality Table'!J:J/'Mortality Table'!I:I))</f>
        <v>6.1555530311780682E-3</v>
      </c>
      <c r="DK53" s="288">
        <f>LOOKUP(A53, 'Mortality Table'!A:A,('Mortality Table'!J:J/'Mortality Table'!I:I))</f>
        <v>6.1555530311780682E-3</v>
      </c>
      <c r="DL53" s="288">
        <f t="shared" si="4"/>
        <v>0</v>
      </c>
      <c r="DN53" s="288">
        <f>LOOKUP(DH53, 'Mortality Table'!A:A,('Mortality Table'!L:L/'Mortality Table'!K:K))</f>
        <v>6.235325944632727E-3</v>
      </c>
      <c r="DO53" s="288">
        <f>LOOKUP(A53, 'Mortality Table'!A:A,('Mortality Table'!L:L/'Mortality Table'!K:K))</f>
        <v>6.235325944632727E-3</v>
      </c>
      <c r="DP53" s="288">
        <f t="shared" si="5"/>
        <v>0</v>
      </c>
      <c r="DR53" s="288">
        <f>LOOKUP(DH53, 'Mortality Table'!A:A,('Mortality Table'!N:N/'Mortality Table'!M:M))</f>
        <v>6.3754631262208277E-3</v>
      </c>
      <c r="DS53" s="288">
        <f>LOOKUP(A53, 'Mortality Table'!A:A,('Mortality Table'!N:N/'Mortality Table'!M:M))</f>
        <v>6.3754631262208277E-3</v>
      </c>
      <c r="DT53" s="288">
        <f t="shared" si="6"/>
        <v>0</v>
      </c>
    </row>
    <row r="54" spans="1:124">
      <c r="A54" s="288">
        <v>51</v>
      </c>
      <c r="B54" s="288">
        <v>7.3194264231293878E-3</v>
      </c>
      <c r="C54" s="288">
        <f t="shared" si="32"/>
        <v>0</v>
      </c>
      <c r="D54" s="288">
        <f t="shared" si="32"/>
        <v>0</v>
      </c>
      <c r="E54" s="288">
        <f t="shared" si="32"/>
        <v>0</v>
      </c>
      <c r="F54" s="288">
        <f t="shared" si="32"/>
        <v>0</v>
      </c>
      <c r="G54" s="288">
        <f t="shared" si="32"/>
        <v>0</v>
      </c>
      <c r="H54" s="288">
        <f t="shared" si="32"/>
        <v>0</v>
      </c>
      <c r="I54" s="288">
        <f t="shared" si="32"/>
        <v>0</v>
      </c>
      <c r="J54" s="288">
        <f t="shared" si="32"/>
        <v>0</v>
      </c>
      <c r="K54" s="288">
        <f t="shared" si="32"/>
        <v>0</v>
      </c>
      <c r="L54" s="288">
        <f t="shared" si="32"/>
        <v>0</v>
      </c>
      <c r="M54" s="288">
        <f t="shared" si="32"/>
        <v>0</v>
      </c>
      <c r="N54" s="288">
        <f t="shared" si="32"/>
        <v>0</v>
      </c>
      <c r="O54" s="288">
        <f t="shared" si="32"/>
        <v>0</v>
      </c>
      <c r="P54" s="288">
        <f t="shared" si="32"/>
        <v>0</v>
      </c>
      <c r="Q54" s="288">
        <f t="shared" si="32"/>
        <v>0</v>
      </c>
      <c r="R54" s="288">
        <f t="shared" si="31"/>
        <v>0</v>
      </c>
      <c r="S54" s="288">
        <f t="shared" si="27"/>
        <v>0</v>
      </c>
      <c r="T54" s="288">
        <f t="shared" si="27"/>
        <v>0</v>
      </c>
      <c r="U54" s="288">
        <f t="shared" si="27"/>
        <v>0</v>
      </c>
      <c r="V54" s="288">
        <f t="shared" si="27"/>
        <v>0</v>
      </c>
      <c r="W54" s="288">
        <f t="shared" si="27"/>
        <v>0</v>
      </c>
      <c r="X54" s="288">
        <f t="shared" si="27"/>
        <v>0</v>
      </c>
      <c r="Y54" s="288">
        <f t="shared" si="27"/>
        <v>0</v>
      </c>
      <c r="Z54" s="288">
        <f t="shared" si="24"/>
        <v>0</v>
      </c>
      <c r="AA54" s="288">
        <f t="shared" si="24"/>
        <v>0</v>
      </c>
      <c r="AB54" s="288">
        <f t="shared" si="24"/>
        <v>0</v>
      </c>
      <c r="AC54" s="288">
        <f t="shared" si="24"/>
        <v>0</v>
      </c>
      <c r="AD54" s="288">
        <f t="shared" si="24"/>
        <v>0</v>
      </c>
      <c r="AE54" s="288">
        <f t="shared" si="24"/>
        <v>0</v>
      </c>
      <c r="AF54" s="288">
        <f t="shared" si="24"/>
        <v>0</v>
      </c>
      <c r="AG54" s="288">
        <f t="shared" si="24"/>
        <v>0</v>
      </c>
      <c r="AH54" s="288">
        <f t="shared" si="24"/>
        <v>0</v>
      </c>
      <c r="AI54" s="288">
        <f t="shared" si="24"/>
        <v>0</v>
      </c>
      <c r="AJ54" s="288">
        <f t="shared" si="24"/>
        <v>0</v>
      </c>
      <c r="AK54" s="288">
        <f t="shared" si="24"/>
        <v>0</v>
      </c>
      <c r="AL54" s="288">
        <f t="shared" si="24"/>
        <v>0</v>
      </c>
      <c r="AM54" s="288">
        <f t="shared" si="24"/>
        <v>0</v>
      </c>
      <c r="AN54" s="288">
        <f t="shared" si="24"/>
        <v>0</v>
      </c>
      <c r="AO54" s="288">
        <f t="shared" si="24"/>
        <v>0</v>
      </c>
      <c r="AP54" s="288">
        <f t="shared" si="35"/>
        <v>0</v>
      </c>
      <c r="AQ54" s="288">
        <f t="shared" si="36"/>
        <v>0</v>
      </c>
      <c r="AR54" s="288">
        <f t="shared" si="37"/>
        <v>0</v>
      </c>
      <c r="AS54" s="288">
        <f t="shared" si="38"/>
        <v>0</v>
      </c>
      <c r="AT54" s="288">
        <f t="shared" si="34"/>
        <v>0</v>
      </c>
      <c r="AU54" s="288">
        <f t="shared" si="28"/>
        <v>0</v>
      </c>
      <c r="AV54" s="288">
        <f t="shared" si="25"/>
        <v>0</v>
      </c>
      <c r="AW54" s="288">
        <f t="shared" si="25"/>
        <v>0</v>
      </c>
      <c r="AX54" s="288">
        <f t="shared" si="25"/>
        <v>0</v>
      </c>
      <c r="AY54" s="288">
        <f t="shared" si="25"/>
        <v>0</v>
      </c>
      <c r="AZ54" s="288">
        <f t="shared" si="25"/>
        <v>0</v>
      </c>
      <c r="BA54" s="288">
        <f t="shared" si="25"/>
        <v>0</v>
      </c>
      <c r="BB54" s="288">
        <f t="shared" si="25"/>
        <v>51</v>
      </c>
      <c r="BC54" s="288">
        <f t="shared" si="25"/>
        <v>0</v>
      </c>
      <c r="BD54" s="288">
        <f t="shared" si="25"/>
        <v>0</v>
      </c>
      <c r="BE54" s="288">
        <f t="shared" si="25"/>
        <v>0</v>
      </c>
      <c r="BF54" s="288">
        <f t="shared" si="25"/>
        <v>0</v>
      </c>
      <c r="BG54" s="288">
        <f t="shared" si="25"/>
        <v>0</v>
      </c>
      <c r="BH54" s="288">
        <f t="shared" si="25"/>
        <v>0</v>
      </c>
      <c r="BI54" s="288">
        <f t="shared" ref="BI54:BS95" si="41">IF(BI$2&gt;$B54,(IF(BI$2&lt;=$B55,(IF(AVERAGE($B54,$B55)&gt;BI$2,$A54,$A55)),0)),0)</f>
        <v>0</v>
      </c>
      <c r="BJ54" s="288">
        <f t="shared" si="41"/>
        <v>0</v>
      </c>
      <c r="BK54" s="288">
        <f t="shared" si="41"/>
        <v>0</v>
      </c>
      <c r="BL54" s="288">
        <f t="shared" si="26"/>
        <v>0</v>
      </c>
      <c r="BM54" s="288">
        <f t="shared" si="26"/>
        <v>0</v>
      </c>
      <c r="BN54" s="288">
        <f t="shared" si="26"/>
        <v>0</v>
      </c>
      <c r="BO54" s="288">
        <f t="shared" si="26"/>
        <v>0</v>
      </c>
      <c r="BP54" s="288">
        <f t="shared" si="26"/>
        <v>0</v>
      </c>
      <c r="BQ54" s="288">
        <f t="shared" si="26"/>
        <v>0</v>
      </c>
      <c r="BR54" s="288">
        <f t="shared" si="26"/>
        <v>0</v>
      </c>
      <c r="BS54" s="288">
        <f t="shared" si="26"/>
        <v>0</v>
      </c>
      <c r="BT54" s="288">
        <f t="shared" si="26"/>
        <v>0</v>
      </c>
      <c r="BU54" s="288">
        <f t="shared" si="26"/>
        <v>0</v>
      </c>
      <c r="BV54" s="288">
        <f t="shared" si="26"/>
        <v>0</v>
      </c>
      <c r="BW54" s="288">
        <f t="shared" si="26"/>
        <v>0</v>
      </c>
      <c r="BX54" s="288">
        <f t="shared" si="26"/>
        <v>0</v>
      </c>
      <c r="BY54" s="288">
        <f t="shared" si="26"/>
        <v>0</v>
      </c>
      <c r="BZ54" s="288">
        <f t="shared" si="26"/>
        <v>0</v>
      </c>
      <c r="CA54" s="288">
        <f t="shared" si="26"/>
        <v>0</v>
      </c>
      <c r="CB54" s="288">
        <f t="shared" si="39"/>
        <v>0</v>
      </c>
      <c r="CC54" s="288">
        <f t="shared" si="39"/>
        <v>0</v>
      </c>
      <c r="CD54" s="288">
        <f t="shared" si="23"/>
        <v>0</v>
      </c>
      <c r="CE54" s="288">
        <f t="shared" ref="CE54:CE68" si="42">IF(CE$2&gt;$B54,(IF(CE$2&lt;=$B55,(IF(AVERAGE($B54,$B55)&gt;CE$2,$A54,$A55)),0)),0)</f>
        <v>0</v>
      </c>
      <c r="CF54" s="288">
        <f t="shared" ref="CF54:CF68" si="43">IF(CF$2&gt;$B54,(IF(CF$2&lt;=$B55,(IF(AVERAGE($B54,$B55)&gt;CF$2,$A54,$A55)),0)),0)</f>
        <v>0</v>
      </c>
      <c r="CG54" s="288">
        <f t="shared" ref="CG54:CG68" si="44">IF(CG$2&gt;$B54,(IF(CG$2&lt;=$B55,(IF(AVERAGE($B54,$B55)&gt;CG$2,$A54,$A55)),0)),0)</f>
        <v>0</v>
      </c>
      <c r="CH54" s="288">
        <f t="shared" ref="CH54:CH68" si="45">IF(CH$2&gt;$B54,(IF(CH$2&lt;=$B55,(IF(AVERAGE($B54,$B55)&gt;CH$2,$A54,$A55)),0)),0)</f>
        <v>0</v>
      </c>
      <c r="CI54" s="288">
        <f t="shared" ref="CI54:CI68" si="46">IF(CI$2&gt;$B54,(IF(CI$2&lt;=$B55,(IF(AVERAGE($B54,$B55)&gt;CI$2,$A54,$A55)),0)),0)</f>
        <v>0</v>
      </c>
      <c r="CJ54" s="288">
        <f t="shared" ref="CJ54:CJ68" si="47">IF(CJ$2&gt;$B54,(IF(CJ$2&lt;=$B55,(IF(AVERAGE($B54,$B55)&gt;CJ$2,$A54,$A55)),0)),0)</f>
        <v>0</v>
      </c>
      <c r="CK54" s="288">
        <f t="shared" ref="CK54:CK68" si="48">IF(CK$2&gt;$B54,(IF(CK$2&lt;=$B55,(IF(AVERAGE($B54,$B55)&gt;CK$2,$A54,$A55)),0)),0)</f>
        <v>0</v>
      </c>
      <c r="CL54" s="288">
        <f t="shared" ref="CL54:CL68" si="49">IF(CL$2&gt;$B54,(IF(CL$2&lt;=$B55,(IF(AVERAGE($B54,$B55)&gt;CL$2,$A54,$A55)),0)),0)</f>
        <v>0</v>
      </c>
      <c r="CM54" s="288">
        <f t="shared" ref="CM54:CM68" si="50">IF(CM$2&gt;$B54,(IF(CM$2&lt;=$B55,(IF(AVERAGE($B54,$B55)&gt;CM$2,$A54,$A55)),0)),0)</f>
        <v>0</v>
      </c>
      <c r="CN54" s="288">
        <f t="shared" ref="CN54:CN68" si="51">IF(CN$2&gt;$B54,(IF(CN$2&lt;=$B55,(IF(AVERAGE($B54,$B55)&gt;CN$2,$A54,$A55)),0)),0)</f>
        <v>0</v>
      </c>
      <c r="CO54" s="288">
        <f t="shared" ref="CO54:CO68" si="52">IF(CO$2&gt;$B54,(IF(CO$2&lt;=$B55,(IF(AVERAGE($B54,$B55)&gt;CO$2,$A54,$A55)),0)),0)</f>
        <v>0</v>
      </c>
      <c r="CP54" s="288">
        <f t="shared" ref="CP54:CP68" si="53">IF(CP$2&gt;$B54,(IF(CP$2&lt;=$B55,(IF(AVERAGE($B54,$B55)&gt;CP$2,$A54,$A55)),0)),0)</f>
        <v>0</v>
      </c>
      <c r="CQ54" s="288">
        <f t="shared" ref="CQ54:CQ68" si="54">IF(CQ$2&gt;$B54,(IF(CQ$2&lt;=$B55,(IF(AVERAGE($B54,$B55)&gt;CQ$2,$A54,$A55)),0)),0)</f>
        <v>0</v>
      </c>
      <c r="CR54" s="288">
        <f t="shared" ref="CR54:CR68" si="55">IF(CR$2&gt;$B54,(IF(CR$2&lt;=$B55,(IF(AVERAGE($B54,$B55)&gt;CR$2,$A54,$A55)),0)),0)</f>
        <v>0</v>
      </c>
      <c r="CS54" s="288">
        <f t="shared" ref="CS54:CS68" si="56">IF(CS$2&gt;$B54,(IF(CS$2&lt;=$B55,(IF(AVERAGE($B54,$B55)&gt;CS$2,$A54,$A55)),0)),0)</f>
        <v>0</v>
      </c>
      <c r="CT54" s="288">
        <f t="shared" si="40"/>
        <v>0</v>
      </c>
      <c r="CU54" s="288">
        <f t="shared" si="30"/>
        <v>0</v>
      </c>
      <c r="CV54" s="288">
        <f t="shared" si="29"/>
        <v>0</v>
      </c>
      <c r="CW54" s="288">
        <f t="shared" si="29"/>
        <v>0</v>
      </c>
      <c r="CX54" s="288">
        <f t="shared" si="21"/>
        <v>0</v>
      </c>
      <c r="CY54" s="288">
        <f t="shared" si="21"/>
        <v>0</v>
      </c>
      <c r="CZ54" s="288">
        <f t="shared" si="21"/>
        <v>0</v>
      </c>
      <c r="DA54" s="288">
        <f t="shared" si="21"/>
        <v>0</v>
      </c>
      <c r="DB54" s="288">
        <f t="shared" si="33"/>
        <v>0</v>
      </c>
      <c r="DC54" s="288">
        <f t="shared" si="33"/>
        <v>0</v>
      </c>
      <c r="DD54" s="288">
        <f t="shared" si="33"/>
        <v>0</v>
      </c>
      <c r="DE54" s="288">
        <f t="shared" si="33"/>
        <v>0</v>
      </c>
      <c r="DG54" s="314">
        <f t="shared" si="3"/>
        <v>51</v>
      </c>
      <c r="DH54" s="289">
        <f>MAX(BB$3:BB$109)</f>
        <v>51</v>
      </c>
      <c r="DJ54" s="288">
        <f>LOOKUP(DH54, 'Mortality Table'!A:A,('Mortality Table'!J:J/'Mortality Table'!I:I))</f>
        <v>6.7380781827072267E-3</v>
      </c>
      <c r="DK54" s="288">
        <f>LOOKUP(A54, 'Mortality Table'!A:A,('Mortality Table'!J:J/'Mortality Table'!I:I))</f>
        <v>6.7380781827072267E-3</v>
      </c>
      <c r="DL54" s="288">
        <f t="shared" si="4"/>
        <v>0</v>
      </c>
      <c r="DN54" s="288">
        <f>LOOKUP(DH54, 'Mortality Table'!A:A,('Mortality Table'!L:L/'Mortality Table'!K:K))</f>
        <v>6.8254003331293476E-3</v>
      </c>
      <c r="DO54" s="288">
        <f>LOOKUP(A54, 'Mortality Table'!A:A,('Mortality Table'!L:L/'Mortality Table'!K:K))</f>
        <v>6.8254003331293476E-3</v>
      </c>
      <c r="DP54" s="288">
        <f t="shared" si="5"/>
        <v>0</v>
      </c>
      <c r="DR54" s="288">
        <f>LOOKUP(DH54, 'Mortality Table'!A:A,('Mortality Table'!N:N/'Mortality Table'!M:M))</f>
        <v>6.9787992691895491E-3</v>
      </c>
      <c r="DS54" s="288">
        <f>LOOKUP(A54, 'Mortality Table'!A:A,('Mortality Table'!N:N/'Mortality Table'!M:M))</f>
        <v>6.9787992691895491E-3</v>
      </c>
      <c r="DT54" s="288">
        <f t="shared" si="6"/>
        <v>0</v>
      </c>
    </row>
    <row r="55" spans="1:124">
      <c r="A55" s="288">
        <v>52</v>
      </c>
      <c r="B55" s="288">
        <v>8.0437041257499075E-3</v>
      </c>
      <c r="C55" s="288">
        <f t="shared" si="32"/>
        <v>0</v>
      </c>
      <c r="D55" s="288">
        <f t="shared" si="32"/>
        <v>0</v>
      </c>
      <c r="E55" s="288">
        <f t="shared" si="32"/>
        <v>0</v>
      </c>
      <c r="F55" s="288">
        <f t="shared" si="32"/>
        <v>0</v>
      </c>
      <c r="G55" s="288">
        <f t="shared" si="32"/>
        <v>0</v>
      </c>
      <c r="H55" s="288">
        <f t="shared" si="32"/>
        <v>0</v>
      </c>
      <c r="I55" s="288">
        <f t="shared" si="32"/>
        <v>0</v>
      </c>
      <c r="J55" s="288">
        <f t="shared" si="32"/>
        <v>0</v>
      </c>
      <c r="K55" s="288">
        <f t="shared" si="32"/>
        <v>0</v>
      </c>
      <c r="L55" s="288">
        <f t="shared" si="32"/>
        <v>0</v>
      </c>
      <c r="M55" s="288">
        <f t="shared" si="32"/>
        <v>0</v>
      </c>
      <c r="N55" s="288">
        <f t="shared" si="32"/>
        <v>0</v>
      </c>
      <c r="O55" s="288">
        <f t="shared" si="32"/>
        <v>0</v>
      </c>
      <c r="P55" s="288">
        <f t="shared" si="32"/>
        <v>0</v>
      </c>
      <c r="Q55" s="288">
        <f t="shared" si="32"/>
        <v>0</v>
      </c>
      <c r="R55" s="288">
        <f t="shared" si="31"/>
        <v>0</v>
      </c>
      <c r="S55" s="288">
        <f t="shared" si="27"/>
        <v>0</v>
      </c>
      <c r="T55" s="288">
        <f t="shared" si="27"/>
        <v>0</v>
      </c>
      <c r="U55" s="288">
        <f t="shared" si="27"/>
        <v>0</v>
      </c>
      <c r="V55" s="288">
        <f t="shared" si="27"/>
        <v>0</v>
      </c>
      <c r="W55" s="288">
        <f t="shared" si="27"/>
        <v>0</v>
      </c>
      <c r="X55" s="288">
        <f t="shared" si="27"/>
        <v>0</v>
      </c>
      <c r="Y55" s="288">
        <f t="shared" si="27"/>
        <v>0</v>
      </c>
      <c r="Z55" s="288">
        <f t="shared" si="24"/>
        <v>0</v>
      </c>
      <c r="AA55" s="288">
        <f t="shared" si="24"/>
        <v>0</v>
      </c>
      <c r="AB55" s="288">
        <f t="shared" si="24"/>
        <v>0</v>
      </c>
      <c r="AC55" s="288">
        <f t="shared" si="24"/>
        <v>0</v>
      </c>
      <c r="AD55" s="288">
        <f t="shared" si="24"/>
        <v>0</v>
      </c>
      <c r="AE55" s="288">
        <f t="shared" si="24"/>
        <v>0</v>
      </c>
      <c r="AF55" s="288">
        <f t="shared" si="24"/>
        <v>0</v>
      </c>
      <c r="AG55" s="288">
        <f t="shared" si="24"/>
        <v>0</v>
      </c>
      <c r="AH55" s="288">
        <f t="shared" si="24"/>
        <v>0</v>
      </c>
      <c r="AI55" s="288">
        <f t="shared" si="24"/>
        <v>0</v>
      </c>
      <c r="AJ55" s="288">
        <f t="shared" si="24"/>
        <v>0</v>
      </c>
      <c r="AK55" s="288">
        <f t="shared" si="24"/>
        <v>0</v>
      </c>
      <c r="AL55" s="288">
        <f t="shared" si="24"/>
        <v>0</v>
      </c>
      <c r="AM55" s="288">
        <f t="shared" si="24"/>
        <v>0</v>
      </c>
      <c r="AN55" s="288">
        <f t="shared" si="24"/>
        <v>0</v>
      </c>
      <c r="AO55" s="288">
        <f t="shared" si="24"/>
        <v>0</v>
      </c>
      <c r="AP55" s="288">
        <f t="shared" si="35"/>
        <v>0</v>
      </c>
      <c r="AQ55" s="288">
        <f t="shared" si="36"/>
        <v>0</v>
      </c>
      <c r="AR55" s="288">
        <f t="shared" si="37"/>
        <v>0</v>
      </c>
      <c r="AS55" s="288">
        <f t="shared" si="38"/>
        <v>0</v>
      </c>
      <c r="AT55" s="288">
        <f t="shared" si="34"/>
        <v>0</v>
      </c>
      <c r="AU55" s="288">
        <f t="shared" si="28"/>
        <v>0</v>
      </c>
      <c r="AV55" s="288">
        <f t="shared" si="28"/>
        <v>0</v>
      </c>
      <c r="AW55" s="288">
        <f t="shared" si="28"/>
        <v>0</v>
      </c>
      <c r="AX55" s="288">
        <f t="shared" si="28"/>
        <v>0</v>
      </c>
      <c r="AY55" s="288">
        <f t="shared" si="28"/>
        <v>0</v>
      </c>
      <c r="AZ55" s="288">
        <f t="shared" si="28"/>
        <v>0</v>
      </c>
      <c r="BA55" s="288">
        <f t="shared" si="28"/>
        <v>0</v>
      </c>
      <c r="BB55" s="288">
        <f t="shared" si="28"/>
        <v>0</v>
      </c>
      <c r="BC55" s="288">
        <f t="shared" si="28"/>
        <v>52</v>
      </c>
      <c r="BD55" s="288">
        <f t="shared" si="28"/>
        <v>0</v>
      </c>
      <c r="BE55" s="288">
        <f t="shared" si="28"/>
        <v>0</v>
      </c>
      <c r="BF55" s="288">
        <f t="shared" si="28"/>
        <v>0</v>
      </c>
      <c r="BG55" s="288">
        <f t="shared" si="28"/>
        <v>0</v>
      </c>
      <c r="BH55" s="288">
        <f t="shared" si="28"/>
        <v>0</v>
      </c>
      <c r="BI55" s="288">
        <f t="shared" si="41"/>
        <v>0</v>
      </c>
      <c r="BJ55" s="288">
        <f t="shared" si="41"/>
        <v>0</v>
      </c>
      <c r="BK55" s="288">
        <f t="shared" si="41"/>
        <v>0</v>
      </c>
      <c r="BL55" s="288">
        <f t="shared" si="26"/>
        <v>0</v>
      </c>
      <c r="BM55" s="288">
        <f t="shared" si="26"/>
        <v>0</v>
      </c>
      <c r="BN55" s="288">
        <f t="shared" si="26"/>
        <v>0</v>
      </c>
      <c r="BO55" s="288">
        <f t="shared" si="26"/>
        <v>0</v>
      </c>
      <c r="BP55" s="288">
        <f t="shared" si="26"/>
        <v>0</v>
      </c>
      <c r="BQ55" s="288">
        <f t="shared" si="26"/>
        <v>0</v>
      </c>
      <c r="BR55" s="288">
        <f t="shared" si="26"/>
        <v>0</v>
      </c>
      <c r="BS55" s="288">
        <f t="shared" si="26"/>
        <v>0</v>
      </c>
      <c r="BT55" s="288">
        <f t="shared" si="26"/>
        <v>0</v>
      </c>
      <c r="BU55" s="288">
        <f t="shared" si="26"/>
        <v>0</v>
      </c>
      <c r="BV55" s="288">
        <f t="shared" si="26"/>
        <v>0</v>
      </c>
      <c r="BW55" s="288">
        <f t="shared" si="26"/>
        <v>0</v>
      </c>
      <c r="BX55" s="288">
        <f t="shared" si="26"/>
        <v>0</v>
      </c>
      <c r="BY55" s="288">
        <f t="shared" si="26"/>
        <v>0</v>
      </c>
      <c r="BZ55" s="288">
        <f t="shared" si="26"/>
        <v>0</v>
      </c>
      <c r="CA55" s="288">
        <f t="shared" si="26"/>
        <v>0</v>
      </c>
      <c r="CB55" s="288">
        <f t="shared" si="39"/>
        <v>0</v>
      </c>
      <c r="CC55" s="288">
        <f t="shared" si="39"/>
        <v>0</v>
      </c>
      <c r="CD55" s="288">
        <f t="shared" si="23"/>
        <v>0</v>
      </c>
      <c r="CE55" s="288">
        <f t="shared" si="42"/>
        <v>0</v>
      </c>
      <c r="CF55" s="288">
        <f t="shared" si="43"/>
        <v>0</v>
      </c>
      <c r="CG55" s="288">
        <f t="shared" si="44"/>
        <v>0</v>
      </c>
      <c r="CH55" s="288">
        <f t="shared" si="45"/>
        <v>0</v>
      </c>
      <c r="CI55" s="288">
        <f t="shared" si="46"/>
        <v>0</v>
      </c>
      <c r="CJ55" s="288">
        <f t="shared" si="47"/>
        <v>0</v>
      </c>
      <c r="CK55" s="288">
        <f t="shared" si="48"/>
        <v>0</v>
      </c>
      <c r="CL55" s="288">
        <f t="shared" si="49"/>
        <v>0</v>
      </c>
      <c r="CM55" s="288">
        <f t="shared" si="50"/>
        <v>0</v>
      </c>
      <c r="CN55" s="288">
        <f t="shared" si="51"/>
        <v>0</v>
      </c>
      <c r="CO55" s="288">
        <f t="shared" si="52"/>
        <v>0</v>
      </c>
      <c r="CP55" s="288">
        <f t="shared" si="53"/>
        <v>0</v>
      </c>
      <c r="CQ55" s="288">
        <f t="shared" si="54"/>
        <v>0</v>
      </c>
      <c r="CR55" s="288">
        <f t="shared" si="55"/>
        <v>0</v>
      </c>
      <c r="CS55" s="288">
        <f t="shared" si="56"/>
        <v>0</v>
      </c>
      <c r="CT55" s="288">
        <f t="shared" si="40"/>
        <v>0</v>
      </c>
      <c r="CU55" s="288">
        <f t="shared" si="30"/>
        <v>0</v>
      </c>
      <c r="CV55" s="288">
        <f t="shared" si="29"/>
        <v>0</v>
      </c>
      <c r="CW55" s="288">
        <f t="shared" si="29"/>
        <v>0</v>
      </c>
      <c r="CX55" s="288">
        <f t="shared" si="21"/>
        <v>0</v>
      </c>
      <c r="CY55" s="288">
        <f t="shared" si="21"/>
        <v>0</v>
      </c>
      <c r="CZ55" s="288">
        <f t="shared" si="21"/>
        <v>0</v>
      </c>
      <c r="DA55" s="288">
        <f t="shared" si="21"/>
        <v>0</v>
      </c>
      <c r="DB55" s="288">
        <f t="shared" si="33"/>
        <v>0</v>
      </c>
      <c r="DC55" s="288">
        <f t="shared" si="33"/>
        <v>0</v>
      </c>
      <c r="DD55" s="288">
        <f t="shared" si="33"/>
        <v>0</v>
      </c>
      <c r="DE55" s="288">
        <f t="shared" si="33"/>
        <v>0</v>
      </c>
      <c r="DG55" s="314">
        <f t="shared" si="3"/>
        <v>52</v>
      </c>
      <c r="DH55" s="289">
        <f>MAX(BC$3:BC$109)</f>
        <v>52</v>
      </c>
      <c r="DJ55" s="288">
        <f>LOOKUP(DH55, 'Mortality Table'!A:A,('Mortality Table'!J:J/'Mortality Table'!I:I))</f>
        <v>7.4048298520493928E-3</v>
      </c>
      <c r="DK55" s="288">
        <f>LOOKUP(A55, 'Mortality Table'!A:A,('Mortality Table'!J:J/'Mortality Table'!I:I))</f>
        <v>7.4048298520493928E-3</v>
      </c>
      <c r="DL55" s="288">
        <f t="shared" si="4"/>
        <v>0</v>
      </c>
      <c r="DN55" s="288">
        <f>LOOKUP(DH55, 'Mortality Table'!A:A,('Mortality Table'!L:L/'Mortality Table'!K:K))</f>
        <v>7.500792773324232E-3</v>
      </c>
      <c r="DO55" s="288">
        <f>LOOKUP(A55, 'Mortality Table'!A:A,('Mortality Table'!L:L/'Mortality Table'!K:K))</f>
        <v>7.500792773324232E-3</v>
      </c>
      <c r="DP55" s="288">
        <f t="shared" si="5"/>
        <v>0</v>
      </c>
      <c r="DR55" s="288">
        <f>LOOKUP(DH55, 'Mortality Table'!A:A,('Mortality Table'!N:N/'Mortality Table'!M:M))</f>
        <v>7.6693709628629612E-3</v>
      </c>
      <c r="DS55" s="288">
        <f>LOOKUP(A55, 'Mortality Table'!A:A,('Mortality Table'!N:N/'Mortality Table'!M:M))</f>
        <v>7.6693709628629612E-3</v>
      </c>
      <c r="DT55" s="288">
        <f t="shared" si="6"/>
        <v>0</v>
      </c>
    </row>
    <row r="56" spans="1:124">
      <c r="A56" s="288">
        <v>53</v>
      </c>
      <c r="B56" s="288">
        <v>8.7846741223772673E-3</v>
      </c>
      <c r="C56" s="288">
        <f t="shared" si="32"/>
        <v>53</v>
      </c>
      <c r="D56" s="288">
        <f t="shared" si="32"/>
        <v>0</v>
      </c>
      <c r="E56" s="288">
        <f t="shared" si="32"/>
        <v>0</v>
      </c>
      <c r="F56" s="288">
        <f t="shared" si="32"/>
        <v>0</v>
      </c>
      <c r="G56" s="288">
        <f t="shared" si="32"/>
        <v>0</v>
      </c>
      <c r="H56" s="288">
        <f t="shared" si="32"/>
        <v>0</v>
      </c>
      <c r="I56" s="288">
        <f t="shared" si="32"/>
        <v>0</v>
      </c>
      <c r="J56" s="288">
        <f t="shared" si="32"/>
        <v>0</v>
      </c>
      <c r="K56" s="288">
        <f t="shared" si="32"/>
        <v>0</v>
      </c>
      <c r="L56" s="288">
        <f t="shared" si="32"/>
        <v>0</v>
      </c>
      <c r="M56" s="288">
        <f t="shared" si="32"/>
        <v>0</v>
      </c>
      <c r="N56" s="288">
        <f t="shared" si="32"/>
        <v>0</v>
      </c>
      <c r="O56" s="288">
        <f t="shared" si="32"/>
        <v>0</v>
      </c>
      <c r="P56" s="288">
        <f t="shared" si="32"/>
        <v>0</v>
      </c>
      <c r="Q56" s="288">
        <f t="shared" si="32"/>
        <v>0</v>
      </c>
      <c r="R56" s="288">
        <f t="shared" si="31"/>
        <v>0</v>
      </c>
      <c r="S56" s="288">
        <f t="shared" si="27"/>
        <v>0</v>
      </c>
      <c r="T56" s="288">
        <f t="shared" si="27"/>
        <v>0</v>
      </c>
      <c r="U56" s="288">
        <f t="shared" si="27"/>
        <v>0</v>
      </c>
      <c r="V56" s="288">
        <f t="shared" si="27"/>
        <v>0</v>
      </c>
      <c r="W56" s="288">
        <f t="shared" si="27"/>
        <v>0</v>
      </c>
      <c r="X56" s="288">
        <f t="shared" si="27"/>
        <v>0</v>
      </c>
      <c r="Y56" s="288">
        <f t="shared" si="27"/>
        <v>0</v>
      </c>
      <c r="Z56" s="288">
        <f t="shared" si="24"/>
        <v>0</v>
      </c>
      <c r="AA56" s="288">
        <f t="shared" si="24"/>
        <v>0</v>
      </c>
      <c r="AB56" s="288">
        <f t="shared" si="24"/>
        <v>0</v>
      </c>
      <c r="AC56" s="288">
        <f t="shared" si="24"/>
        <v>0</v>
      </c>
      <c r="AD56" s="288">
        <f t="shared" si="24"/>
        <v>0</v>
      </c>
      <c r="AE56" s="288">
        <f t="shared" si="24"/>
        <v>0</v>
      </c>
      <c r="AF56" s="288">
        <f t="shared" si="24"/>
        <v>0</v>
      </c>
      <c r="AG56" s="288">
        <f t="shared" si="24"/>
        <v>0</v>
      </c>
      <c r="AH56" s="288">
        <f t="shared" si="24"/>
        <v>0</v>
      </c>
      <c r="AI56" s="288">
        <f t="shared" si="24"/>
        <v>0</v>
      </c>
      <c r="AJ56" s="288">
        <f t="shared" si="24"/>
        <v>0</v>
      </c>
      <c r="AK56" s="288">
        <f t="shared" si="24"/>
        <v>0</v>
      </c>
      <c r="AL56" s="288">
        <f t="shared" si="24"/>
        <v>0</v>
      </c>
      <c r="AM56" s="288">
        <f t="shared" si="24"/>
        <v>0</v>
      </c>
      <c r="AN56" s="288">
        <f t="shared" si="24"/>
        <v>0</v>
      </c>
      <c r="AO56" s="288">
        <f t="shared" si="24"/>
        <v>0</v>
      </c>
      <c r="AP56" s="288">
        <f t="shared" si="35"/>
        <v>0</v>
      </c>
      <c r="AQ56" s="288">
        <f t="shared" si="36"/>
        <v>0</v>
      </c>
      <c r="AR56" s="288">
        <f t="shared" si="37"/>
        <v>0</v>
      </c>
      <c r="AS56" s="288">
        <f t="shared" si="38"/>
        <v>0</v>
      </c>
      <c r="AT56" s="288">
        <f t="shared" si="34"/>
        <v>0</v>
      </c>
      <c r="AU56" s="288">
        <f t="shared" si="28"/>
        <v>0</v>
      </c>
      <c r="AV56" s="288">
        <f t="shared" si="28"/>
        <v>0</v>
      </c>
      <c r="AW56" s="288">
        <f t="shared" si="28"/>
        <v>0</v>
      </c>
      <c r="AX56" s="288">
        <f t="shared" si="28"/>
        <v>0</v>
      </c>
      <c r="AY56" s="288">
        <f t="shared" si="28"/>
        <v>0</v>
      </c>
      <c r="AZ56" s="288">
        <f t="shared" si="28"/>
        <v>0</v>
      </c>
      <c r="BA56" s="288">
        <f t="shared" si="28"/>
        <v>0</v>
      </c>
      <c r="BB56" s="288">
        <f t="shared" si="28"/>
        <v>0</v>
      </c>
      <c r="BC56" s="288">
        <f t="shared" si="28"/>
        <v>0</v>
      </c>
      <c r="BD56" s="288">
        <f t="shared" si="28"/>
        <v>53</v>
      </c>
      <c r="BE56" s="288">
        <f t="shared" si="28"/>
        <v>0</v>
      </c>
      <c r="BF56" s="288">
        <f t="shared" si="28"/>
        <v>0</v>
      </c>
      <c r="BG56" s="288">
        <f t="shared" si="28"/>
        <v>0</v>
      </c>
      <c r="BH56" s="288">
        <f t="shared" si="28"/>
        <v>0</v>
      </c>
      <c r="BI56" s="288">
        <f t="shared" si="41"/>
        <v>0</v>
      </c>
      <c r="BJ56" s="288">
        <f t="shared" si="41"/>
        <v>0</v>
      </c>
      <c r="BK56" s="288">
        <f t="shared" si="41"/>
        <v>0</v>
      </c>
      <c r="BL56" s="288">
        <f t="shared" si="26"/>
        <v>0</v>
      </c>
      <c r="BM56" s="288">
        <f t="shared" si="26"/>
        <v>0</v>
      </c>
      <c r="BN56" s="288">
        <f t="shared" si="26"/>
        <v>0</v>
      </c>
      <c r="BO56" s="288">
        <f t="shared" si="26"/>
        <v>0</v>
      </c>
      <c r="BP56" s="288">
        <f t="shared" si="26"/>
        <v>0</v>
      </c>
      <c r="BQ56" s="288">
        <f t="shared" si="26"/>
        <v>0</v>
      </c>
      <c r="BR56" s="288">
        <f t="shared" si="26"/>
        <v>0</v>
      </c>
      <c r="BS56" s="288">
        <f t="shared" si="26"/>
        <v>0</v>
      </c>
      <c r="BT56" s="288">
        <f t="shared" si="26"/>
        <v>0</v>
      </c>
      <c r="BU56" s="288">
        <f t="shared" si="26"/>
        <v>0</v>
      </c>
      <c r="BV56" s="288">
        <f t="shared" si="26"/>
        <v>0</v>
      </c>
      <c r="BW56" s="288">
        <f t="shared" si="26"/>
        <v>0</v>
      </c>
      <c r="BX56" s="288">
        <f t="shared" si="26"/>
        <v>0</v>
      </c>
      <c r="BY56" s="288">
        <f t="shared" si="26"/>
        <v>0</v>
      </c>
      <c r="BZ56" s="288">
        <f t="shared" si="26"/>
        <v>0</v>
      </c>
      <c r="CA56" s="288">
        <f t="shared" si="26"/>
        <v>0</v>
      </c>
      <c r="CB56" s="288">
        <f t="shared" si="39"/>
        <v>0</v>
      </c>
      <c r="CC56" s="288">
        <f t="shared" si="39"/>
        <v>0</v>
      </c>
      <c r="CD56" s="288">
        <f t="shared" si="23"/>
        <v>0</v>
      </c>
      <c r="CE56" s="288">
        <f t="shared" si="42"/>
        <v>0</v>
      </c>
      <c r="CF56" s="288">
        <f t="shared" si="43"/>
        <v>0</v>
      </c>
      <c r="CG56" s="288">
        <f t="shared" si="44"/>
        <v>0</v>
      </c>
      <c r="CH56" s="288">
        <f t="shared" si="45"/>
        <v>0</v>
      </c>
      <c r="CI56" s="288">
        <f t="shared" si="46"/>
        <v>0</v>
      </c>
      <c r="CJ56" s="288">
        <f t="shared" si="47"/>
        <v>0</v>
      </c>
      <c r="CK56" s="288">
        <f t="shared" si="48"/>
        <v>0</v>
      </c>
      <c r="CL56" s="288">
        <f t="shared" si="49"/>
        <v>0</v>
      </c>
      <c r="CM56" s="288">
        <f t="shared" si="50"/>
        <v>0</v>
      </c>
      <c r="CN56" s="288">
        <f t="shared" si="51"/>
        <v>0</v>
      </c>
      <c r="CO56" s="288">
        <f t="shared" si="52"/>
        <v>0</v>
      </c>
      <c r="CP56" s="288">
        <f t="shared" si="53"/>
        <v>0</v>
      </c>
      <c r="CQ56" s="288">
        <f t="shared" si="54"/>
        <v>0</v>
      </c>
      <c r="CR56" s="288">
        <f t="shared" si="55"/>
        <v>0</v>
      </c>
      <c r="CS56" s="288">
        <f t="shared" si="56"/>
        <v>0</v>
      </c>
      <c r="CT56" s="288">
        <f t="shared" si="40"/>
        <v>0</v>
      </c>
      <c r="CU56" s="288">
        <f t="shared" si="30"/>
        <v>0</v>
      </c>
      <c r="CV56" s="288">
        <f t="shared" si="29"/>
        <v>0</v>
      </c>
      <c r="CW56" s="288">
        <f t="shared" si="29"/>
        <v>0</v>
      </c>
      <c r="CX56" s="288">
        <f t="shared" si="21"/>
        <v>0</v>
      </c>
      <c r="CY56" s="288">
        <f t="shared" si="21"/>
        <v>0</v>
      </c>
      <c r="CZ56" s="288">
        <f t="shared" si="21"/>
        <v>0</v>
      </c>
      <c r="DA56" s="288">
        <f t="shared" si="21"/>
        <v>0</v>
      </c>
      <c r="DB56" s="288">
        <f t="shared" si="33"/>
        <v>0</v>
      </c>
      <c r="DC56" s="288">
        <f t="shared" si="33"/>
        <v>0</v>
      </c>
      <c r="DD56" s="288">
        <f t="shared" si="33"/>
        <v>0</v>
      </c>
      <c r="DE56" s="288">
        <f t="shared" si="33"/>
        <v>0</v>
      </c>
      <c r="DG56" s="314">
        <f t="shared" si="3"/>
        <v>53</v>
      </c>
      <c r="DH56" s="289">
        <f>MAX(BD$3:BD$109)</f>
        <v>53</v>
      </c>
      <c r="DJ56" s="288">
        <f>LOOKUP(DH56, 'Mortality Table'!A:A,('Mortality Table'!J:J/'Mortality Table'!I:I))</f>
        <v>8.0869480235687408E-3</v>
      </c>
      <c r="DK56" s="288">
        <f>LOOKUP(A56, 'Mortality Table'!A:A,('Mortality Table'!J:J/'Mortality Table'!I:I))</f>
        <v>8.0869480235687408E-3</v>
      </c>
      <c r="DL56" s="288">
        <f t="shared" si="4"/>
        <v>0</v>
      </c>
      <c r="DN56" s="288">
        <f>LOOKUP(DH56, 'Mortality Table'!A:A,('Mortality Table'!L:L/'Mortality Table'!K:K))</f>
        <v>8.1917508579410474E-3</v>
      </c>
      <c r="DO56" s="288">
        <f>LOOKUP(A56, 'Mortality Table'!A:A,('Mortality Table'!L:L/'Mortality Table'!K:K))</f>
        <v>8.1917508579410474E-3</v>
      </c>
      <c r="DP56" s="288">
        <f t="shared" si="5"/>
        <v>0</v>
      </c>
      <c r="DR56" s="288">
        <f>LOOKUP(DH56, 'Mortality Table'!A:A,('Mortality Table'!N:N/'Mortality Table'!M:M))</f>
        <v>8.3758581344005757E-3</v>
      </c>
      <c r="DS56" s="288">
        <f>LOOKUP(A56, 'Mortality Table'!A:A,('Mortality Table'!N:N/'Mortality Table'!M:M))</f>
        <v>8.3758581344005757E-3</v>
      </c>
      <c r="DT56" s="288">
        <f t="shared" si="6"/>
        <v>0</v>
      </c>
    </row>
    <row r="57" spans="1:124">
      <c r="A57" s="288">
        <v>54</v>
      </c>
      <c r="B57" s="288">
        <v>9.6124348092852026E-3</v>
      </c>
      <c r="C57" s="288">
        <f t="shared" si="32"/>
        <v>0</v>
      </c>
      <c r="D57" s="288">
        <f t="shared" si="32"/>
        <v>0</v>
      </c>
      <c r="E57" s="288">
        <f t="shared" si="32"/>
        <v>0</v>
      </c>
      <c r="F57" s="288">
        <f t="shared" si="32"/>
        <v>0</v>
      </c>
      <c r="G57" s="288">
        <f t="shared" si="32"/>
        <v>0</v>
      </c>
      <c r="H57" s="288">
        <f t="shared" si="32"/>
        <v>0</v>
      </c>
      <c r="I57" s="288">
        <f t="shared" si="32"/>
        <v>0</v>
      </c>
      <c r="J57" s="288">
        <f t="shared" si="32"/>
        <v>0</v>
      </c>
      <c r="K57" s="288">
        <f t="shared" si="32"/>
        <v>0</v>
      </c>
      <c r="L57" s="288">
        <f t="shared" si="32"/>
        <v>0</v>
      </c>
      <c r="M57" s="288">
        <f t="shared" si="32"/>
        <v>0</v>
      </c>
      <c r="N57" s="288">
        <f t="shared" si="32"/>
        <v>0</v>
      </c>
      <c r="O57" s="288">
        <f t="shared" si="32"/>
        <v>0</v>
      </c>
      <c r="P57" s="288">
        <f t="shared" si="32"/>
        <v>0</v>
      </c>
      <c r="Q57" s="288">
        <f t="shared" si="32"/>
        <v>0</v>
      </c>
      <c r="R57" s="288">
        <f t="shared" si="31"/>
        <v>0</v>
      </c>
      <c r="S57" s="288">
        <f t="shared" si="27"/>
        <v>0</v>
      </c>
      <c r="T57" s="288">
        <f t="shared" si="27"/>
        <v>0</v>
      </c>
      <c r="U57" s="288">
        <f t="shared" si="27"/>
        <v>0</v>
      </c>
      <c r="V57" s="288">
        <f t="shared" si="27"/>
        <v>0</v>
      </c>
      <c r="W57" s="288">
        <f t="shared" si="27"/>
        <v>0</v>
      </c>
      <c r="X57" s="288">
        <f t="shared" si="27"/>
        <v>0</v>
      </c>
      <c r="Y57" s="288">
        <f t="shared" si="27"/>
        <v>0</v>
      </c>
      <c r="Z57" s="288">
        <f t="shared" si="24"/>
        <v>0</v>
      </c>
      <c r="AA57" s="288">
        <f t="shared" si="24"/>
        <v>0</v>
      </c>
      <c r="AB57" s="288">
        <f t="shared" si="24"/>
        <v>0</v>
      </c>
      <c r="AC57" s="288">
        <f t="shared" si="24"/>
        <v>0</v>
      </c>
      <c r="AD57" s="288">
        <f t="shared" si="24"/>
        <v>0</v>
      </c>
      <c r="AE57" s="288">
        <f t="shared" si="24"/>
        <v>0</v>
      </c>
      <c r="AF57" s="288">
        <f t="shared" si="24"/>
        <v>0</v>
      </c>
      <c r="AG57" s="288">
        <f t="shared" si="24"/>
        <v>0</v>
      </c>
      <c r="AH57" s="288">
        <f t="shared" si="24"/>
        <v>0</v>
      </c>
      <c r="AI57" s="288">
        <f t="shared" si="24"/>
        <v>0</v>
      </c>
      <c r="AJ57" s="288">
        <f t="shared" si="24"/>
        <v>0</v>
      </c>
      <c r="AK57" s="288">
        <f t="shared" si="24"/>
        <v>0</v>
      </c>
      <c r="AL57" s="288">
        <f t="shared" si="24"/>
        <v>0</v>
      </c>
      <c r="AM57" s="288">
        <f t="shared" si="24"/>
        <v>0</v>
      </c>
      <c r="AN57" s="288">
        <f t="shared" si="24"/>
        <v>0</v>
      </c>
      <c r="AO57" s="288">
        <f t="shared" si="24"/>
        <v>0</v>
      </c>
      <c r="AP57" s="288">
        <f t="shared" si="35"/>
        <v>0</v>
      </c>
      <c r="AQ57" s="288">
        <f t="shared" si="36"/>
        <v>0</v>
      </c>
      <c r="AR57" s="288">
        <f t="shared" si="37"/>
        <v>0</v>
      </c>
      <c r="AS57" s="288">
        <f t="shared" si="38"/>
        <v>0</v>
      </c>
      <c r="AT57" s="288">
        <f t="shared" si="34"/>
        <v>0</v>
      </c>
      <c r="AU57" s="288">
        <f t="shared" si="28"/>
        <v>0</v>
      </c>
      <c r="AV57" s="288">
        <f t="shared" si="28"/>
        <v>0</v>
      </c>
      <c r="AW57" s="288">
        <f t="shared" si="28"/>
        <v>0</v>
      </c>
      <c r="AX57" s="288">
        <f t="shared" si="28"/>
        <v>0</v>
      </c>
      <c r="AY57" s="288">
        <f t="shared" si="28"/>
        <v>0</v>
      </c>
      <c r="AZ57" s="288">
        <f t="shared" si="28"/>
        <v>0</v>
      </c>
      <c r="BA57" s="288">
        <f t="shared" si="28"/>
        <v>0</v>
      </c>
      <c r="BB57" s="288">
        <f t="shared" si="28"/>
        <v>0</v>
      </c>
      <c r="BC57" s="288">
        <f t="shared" si="28"/>
        <v>0</v>
      </c>
      <c r="BD57" s="288">
        <f t="shared" si="28"/>
        <v>0</v>
      </c>
      <c r="BE57" s="288">
        <f t="shared" si="28"/>
        <v>54</v>
      </c>
      <c r="BF57" s="288">
        <f t="shared" si="28"/>
        <v>0</v>
      </c>
      <c r="BG57" s="288">
        <f t="shared" si="28"/>
        <v>0</v>
      </c>
      <c r="BH57" s="288">
        <f t="shared" si="28"/>
        <v>0</v>
      </c>
      <c r="BI57" s="288">
        <f t="shared" si="41"/>
        <v>0</v>
      </c>
      <c r="BJ57" s="288">
        <f t="shared" si="41"/>
        <v>0</v>
      </c>
      <c r="BK57" s="288">
        <f t="shared" si="41"/>
        <v>0</v>
      </c>
      <c r="BL57" s="288">
        <f t="shared" si="26"/>
        <v>0</v>
      </c>
      <c r="BM57" s="288">
        <f t="shared" si="26"/>
        <v>0</v>
      </c>
      <c r="BN57" s="288">
        <f t="shared" si="26"/>
        <v>0</v>
      </c>
      <c r="BO57" s="288">
        <f t="shared" si="26"/>
        <v>0</v>
      </c>
      <c r="BP57" s="288">
        <f t="shared" si="26"/>
        <v>0</v>
      </c>
      <c r="BQ57" s="288">
        <f t="shared" si="26"/>
        <v>0</v>
      </c>
      <c r="BR57" s="288">
        <f t="shared" si="26"/>
        <v>0</v>
      </c>
      <c r="BS57" s="288">
        <f t="shared" si="26"/>
        <v>0</v>
      </c>
      <c r="BT57" s="288">
        <f t="shared" si="26"/>
        <v>0</v>
      </c>
      <c r="BU57" s="288">
        <f t="shared" si="26"/>
        <v>0</v>
      </c>
      <c r="BV57" s="288">
        <f t="shared" si="26"/>
        <v>0</v>
      </c>
      <c r="BW57" s="288">
        <f t="shared" si="26"/>
        <v>0</v>
      </c>
      <c r="BX57" s="288">
        <f t="shared" si="26"/>
        <v>0</v>
      </c>
      <c r="BY57" s="288">
        <f t="shared" si="26"/>
        <v>0</v>
      </c>
      <c r="BZ57" s="288">
        <f t="shared" si="26"/>
        <v>0</v>
      </c>
      <c r="CA57" s="288">
        <f t="shared" si="26"/>
        <v>0</v>
      </c>
      <c r="CB57" s="288">
        <f t="shared" si="39"/>
        <v>0</v>
      </c>
      <c r="CC57" s="288">
        <f t="shared" si="39"/>
        <v>0</v>
      </c>
      <c r="CD57" s="288">
        <f t="shared" si="23"/>
        <v>0</v>
      </c>
      <c r="CE57" s="288">
        <f t="shared" si="42"/>
        <v>0</v>
      </c>
      <c r="CF57" s="288">
        <f t="shared" si="43"/>
        <v>0</v>
      </c>
      <c r="CG57" s="288">
        <f t="shared" si="44"/>
        <v>0</v>
      </c>
      <c r="CH57" s="288">
        <f t="shared" si="45"/>
        <v>0</v>
      </c>
      <c r="CI57" s="288">
        <f t="shared" si="46"/>
        <v>0</v>
      </c>
      <c r="CJ57" s="288">
        <f t="shared" si="47"/>
        <v>0</v>
      </c>
      <c r="CK57" s="288">
        <f t="shared" si="48"/>
        <v>0</v>
      </c>
      <c r="CL57" s="288">
        <f t="shared" si="49"/>
        <v>0</v>
      </c>
      <c r="CM57" s="288">
        <f t="shared" si="50"/>
        <v>0</v>
      </c>
      <c r="CN57" s="288">
        <f t="shared" si="51"/>
        <v>0</v>
      </c>
      <c r="CO57" s="288">
        <f t="shared" si="52"/>
        <v>0</v>
      </c>
      <c r="CP57" s="288">
        <f t="shared" si="53"/>
        <v>0</v>
      </c>
      <c r="CQ57" s="288">
        <f t="shared" si="54"/>
        <v>0</v>
      </c>
      <c r="CR57" s="288">
        <f t="shared" si="55"/>
        <v>0</v>
      </c>
      <c r="CS57" s="288">
        <f t="shared" si="56"/>
        <v>0</v>
      </c>
      <c r="CT57" s="288">
        <f t="shared" si="40"/>
        <v>0</v>
      </c>
      <c r="CU57" s="288">
        <f t="shared" si="30"/>
        <v>0</v>
      </c>
      <c r="CV57" s="288">
        <f t="shared" si="29"/>
        <v>0</v>
      </c>
      <c r="CW57" s="288">
        <f t="shared" si="29"/>
        <v>0</v>
      </c>
      <c r="CX57" s="288">
        <f t="shared" si="21"/>
        <v>0</v>
      </c>
      <c r="CY57" s="288">
        <f t="shared" si="21"/>
        <v>0</v>
      </c>
      <c r="CZ57" s="288">
        <f t="shared" si="21"/>
        <v>0</v>
      </c>
      <c r="DA57" s="288">
        <f t="shared" si="21"/>
        <v>0</v>
      </c>
      <c r="DB57" s="288">
        <f t="shared" si="33"/>
        <v>0</v>
      </c>
      <c r="DC57" s="288">
        <f t="shared" si="33"/>
        <v>0</v>
      </c>
      <c r="DD57" s="288">
        <f t="shared" si="33"/>
        <v>0</v>
      </c>
      <c r="DE57" s="288">
        <f t="shared" si="33"/>
        <v>0</v>
      </c>
      <c r="DG57" s="314">
        <f t="shared" si="3"/>
        <v>54</v>
      </c>
      <c r="DH57" s="289">
        <f>MAX(BE$3:BE$109)</f>
        <v>54</v>
      </c>
      <c r="DJ57" s="288">
        <f>LOOKUP(DH57, 'Mortality Table'!A:A,('Mortality Table'!J:J/'Mortality Table'!I:I))</f>
        <v>8.8489635016302769E-3</v>
      </c>
      <c r="DK57" s="288">
        <f>LOOKUP(A57, 'Mortality Table'!A:A,('Mortality Table'!J:J/'Mortality Table'!I:I))</f>
        <v>8.8489635016302769E-3</v>
      </c>
      <c r="DL57" s="288">
        <f t="shared" si="4"/>
        <v>0</v>
      </c>
      <c r="DN57" s="288">
        <f>LOOKUP(DH57, 'Mortality Table'!A:A,('Mortality Table'!L:L/'Mortality Table'!K:K))</f>
        <v>8.9636416785550035E-3</v>
      </c>
      <c r="DO57" s="288">
        <f>LOOKUP(A57, 'Mortality Table'!A:A,('Mortality Table'!L:L/'Mortality Table'!K:K))</f>
        <v>8.9636416785550035E-3</v>
      </c>
      <c r="DP57" s="288">
        <f t="shared" si="5"/>
        <v>0</v>
      </c>
      <c r="DR57" s="288">
        <f>LOOKUP(DH57, 'Mortality Table'!A:A,('Mortality Table'!N:N/'Mortality Table'!M:M))</f>
        <v>9.165096982215527E-3</v>
      </c>
      <c r="DS57" s="288">
        <f>LOOKUP(A57, 'Mortality Table'!A:A,('Mortality Table'!N:N/'Mortality Table'!M:M))</f>
        <v>9.165096982215527E-3</v>
      </c>
      <c r="DT57" s="288">
        <f t="shared" si="6"/>
        <v>0</v>
      </c>
    </row>
    <row r="58" spans="1:124">
      <c r="A58" s="288">
        <v>55</v>
      </c>
      <c r="B58" s="288">
        <v>1.0600585097229392E-2</v>
      </c>
      <c r="C58" s="288">
        <f t="shared" si="32"/>
        <v>0</v>
      </c>
      <c r="D58" s="288">
        <f t="shared" si="32"/>
        <v>0</v>
      </c>
      <c r="E58" s="288">
        <f t="shared" si="32"/>
        <v>0</v>
      </c>
      <c r="F58" s="288">
        <f t="shared" si="32"/>
        <v>0</v>
      </c>
      <c r="G58" s="288">
        <f t="shared" si="32"/>
        <v>0</v>
      </c>
      <c r="H58" s="288">
        <f t="shared" si="32"/>
        <v>0</v>
      </c>
      <c r="I58" s="288">
        <f t="shared" si="32"/>
        <v>0</v>
      </c>
      <c r="J58" s="288">
        <f t="shared" si="32"/>
        <v>0</v>
      </c>
      <c r="K58" s="288">
        <f t="shared" si="32"/>
        <v>0</v>
      </c>
      <c r="L58" s="288">
        <f t="shared" si="32"/>
        <v>0</v>
      </c>
      <c r="M58" s="288">
        <f t="shared" si="32"/>
        <v>0</v>
      </c>
      <c r="N58" s="288">
        <f t="shared" si="32"/>
        <v>0</v>
      </c>
      <c r="O58" s="288">
        <f t="shared" si="32"/>
        <v>0</v>
      </c>
      <c r="P58" s="288">
        <f t="shared" si="32"/>
        <v>0</v>
      </c>
      <c r="Q58" s="288">
        <f t="shared" si="32"/>
        <v>0</v>
      </c>
      <c r="R58" s="288">
        <f t="shared" si="31"/>
        <v>0</v>
      </c>
      <c r="S58" s="288">
        <f t="shared" si="27"/>
        <v>0</v>
      </c>
      <c r="T58" s="288">
        <f t="shared" si="27"/>
        <v>0</v>
      </c>
      <c r="U58" s="288">
        <f t="shared" si="27"/>
        <v>0</v>
      </c>
      <c r="V58" s="288">
        <f t="shared" si="27"/>
        <v>0</v>
      </c>
      <c r="W58" s="288">
        <f t="shared" si="27"/>
        <v>0</v>
      </c>
      <c r="X58" s="288">
        <f t="shared" si="27"/>
        <v>0</v>
      </c>
      <c r="Y58" s="288">
        <f t="shared" si="27"/>
        <v>0</v>
      </c>
      <c r="Z58" s="288">
        <f t="shared" si="24"/>
        <v>0</v>
      </c>
      <c r="AA58" s="288">
        <f t="shared" si="24"/>
        <v>0</v>
      </c>
      <c r="AB58" s="288">
        <f t="shared" si="24"/>
        <v>0</v>
      </c>
      <c r="AC58" s="288">
        <f t="shared" si="24"/>
        <v>0</v>
      </c>
      <c r="AD58" s="288">
        <f t="shared" si="24"/>
        <v>0</v>
      </c>
      <c r="AE58" s="288">
        <f t="shared" si="24"/>
        <v>0</v>
      </c>
      <c r="AF58" s="288">
        <f t="shared" si="24"/>
        <v>0</v>
      </c>
      <c r="AG58" s="288">
        <f t="shared" si="24"/>
        <v>0</v>
      </c>
      <c r="AH58" s="288">
        <f t="shared" si="24"/>
        <v>0</v>
      </c>
      <c r="AI58" s="288">
        <f t="shared" si="24"/>
        <v>0</v>
      </c>
      <c r="AJ58" s="288">
        <f t="shared" si="24"/>
        <v>0</v>
      </c>
      <c r="AK58" s="288">
        <f t="shared" si="24"/>
        <v>0</v>
      </c>
      <c r="AL58" s="288">
        <f t="shared" si="24"/>
        <v>0</v>
      </c>
      <c r="AM58" s="288">
        <f t="shared" si="24"/>
        <v>0</v>
      </c>
      <c r="AN58" s="288">
        <f t="shared" si="24"/>
        <v>0</v>
      </c>
      <c r="AO58" s="288">
        <f t="shared" si="24"/>
        <v>0</v>
      </c>
      <c r="AP58" s="288">
        <f t="shared" si="35"/>
        <v>0</v>
      </c>
      <c r="AQ58" s="288">
        <f t="shared" si="36"/>
        <v>0</v>
      </c>
      <c r="AR58" s="288">
        <f t="shared" si="37"/>
        <v>0</v>
      </c>
      <c r="AS58" s="288">
        <f t="shared" si="38"/>
        <v>0</v>
      </c>
      <c r="AT58" s="288">
        <f t="shared" si="34"/>
        <v>0</v>
      </c>
      <c r="AU58" s="288">
        <f t="shared" si="28"/>
        <v>0</v>
      </c>
      <c r="AV58" s="288">
        <f t="shared" si="28"/>
        <v>0</v>
      </c>
      <c r="AW58" s="288">
        <f t="shared" si="28"/>
        <v>0</v>
      </c>
      <c r="AX58" s="288">
        <f t="shared" si="28"/>
        <v>0</v>
      </c>
      <c r="AY58" s="288">
        <f t="shared" si="28"/>
        <v>0</v>
      </c>
      <c r="AZ58" s="288">
        <f t="shared" si="28"/>
        <v>0</v>
      </c>
      <c r="BA58" s="288">
        <f t="shared" si="28"/>
        <v>0</v>
      </c>
      <c r="BB58" s="288">
        <f t="shared" si="28"/>
        <v>0</v>
      </c>
      <c r="BC58" s="288">
        <f t="shared" si="28"/>
        <v>0</v>
      </c>
      <c r="BD58" s="288">
        <f t="shared" si="28"/>
        <v>0</v>
      </c>
      <c r="BE58" s="288">
        <f t="shared" si="28"/>
        <v>0</v>
      </c>
      <c r="BF58" s="288">
        <f t="shared" si="28"/>
        <v>55</v>
      </c>
      <c r="BG58" s="288">
        <f t="shared" si="28"/>
        <v>0</v>
      </c>
      <c r="BH58" s="288">
        <f t="shared" si="28"/>
        <v>0</v>
      </c>
      <c r="BI58" s="288">
        <f t="shared" si="41"/>
        <v>0</v>
      </c>
      <c r="BJ58" s="288">
        <f t="shared" si="41"/>
        <v>0</v>
      </c>
      <c r="BK58" s="288">
        <f t="shared" si="41"/>
        <v>0</v>
      </c>
      <c r="BL58" s="288">
        <f t="shared" si="26"/>
        <v>0</v>
      </c>
      <c r="BM58" s="288">
        <f t="shared" si="26"/>
        <v>0</v>
      </c>
      <c r="BN58" s="288">
        <f t="shared" si="26"/>
        <v>0</v>
      </c>
      <c r="BO58" s="288">
        <f t="shared" si="26"/>
        <v>0</v>
      </c>
      <c r="BP58" s="288">
        <f t="shared" si="26"/>
        <v>0</v>
      </c>
      <c r="BQ58" s="288">
        <f t="shared" si="26"/>
        <v>0</v>
      </c>
      <c r="BR58" s="288">
        <f t="shared" si="26"/>
        <v>0</v>
      </c>
      <c r="BS58" s="288">
        <f t="shared" si="26"/>
        <v>0</v>
      </c>
      <c r="BT58" s="288">
        <f t="shared" si="26"/>
        <v>0</v>
      </c>
      <c r="BU58" s="288">
        <f t="shared" si="26"/>
        <v>0</v>
      </c>
      <c r="BV58" s="288">
        <f t="shared" si="26"/>
        <v>0</v>
      </c>
      <c r="BW58" s="288">
        <f t="shared" si="26"/>
        <v>0</v>
      </c>
      <c r="BX58" s="288">
        <f t="shared" si="26"/>
        <v>0</v>
      </c>
      <c r="BY58" s="288">
        <f t="shared" si="26"/>
        <v>0</v>
      </c>
      <c r="BZ58" s="288">
        <f t="shared" si="26"/>
        <v>0</v>
      </c>
      <c r="CA58" s="288">
        <f t="shared" si="26"/>
        <v>0</v>
      </c>
      <c r="CB58" s="288">
        <f t="shared" si="39"/>
        <v>0</v>
      </c>
      <c r="CC58" s="288">
        <f t="shared" si="39"/>
        <v>0</v>
      </c>
      <c r="CD58" s="288">
        <f t="shared" si="23"/>
        <v>0</v>
      </c>
      <c r="CE58" s="288">
        <f t="shared" si="42"/>
        <v>0</v>
      </c>
      <c r="CF58" s="288">
        <f t="shared" si="43"/>
        <v>0</v>
      </c>
      <c r="CG58" s="288">
        <f t="shared" si="44"/>
        <v>0</v>
      </c>
      <c r="CH58" s="288">
        <f t="shared" si="45"/>
        <v>0</v>
      </c>
      <c r="CI58" s="288">
        <f t="shared" si="46"/>
        <v>0</v>
      </c>
      <c r="CJ58" s="288">
        <f t="shared" si="47"/>
        <v>0</v>
      </c>
      <c r="CK58" s="288">
        <f t="shared" si="48"/>
        <v>0</v>
      </c>
      <c r="CL58" s="288">
        <f t="shared" si="49"/>
        <v>0</v>
      </c>
      <c r="CM58" s="288">
        <f t="shared" si="50"/>
        <v>0</v>
      </c>
      <c r="CN58" s="288">
        <f t="shared" si="51"/>
        <v>0</v>
      </c>
      <c r="CO58" s="288">
        <f t="shared" si="52"/>
        <v>0</v>
      </c>
      <c r="CP58" s="288">
        <f t="shared" si="53"/>
        <v>0</v>
      </c>
      <c r="CQ58" s="288">
        <f t="shared" si="54"/>
        <v>0</v>
      </c>
      <c r="CR58" s="288">
        <f t="shared" si="55"/>
        <v>0</v>
      </c>
      <c r="CS58" s="288">
        <f t="shared" si="56"/>
        <v>0</v>
      </c>
      <c r="CT58" s="288">
        <f t="shared" si="40"/>
        <v>0</v>
      </c>
      <c r="CU58" s="288">
        <f t="shared" si="30"/>
        <v>0</v>
      </c>
      <c r="CV58" s="288">
        <f t="shared" si="29"/>
        <v>0</v>
      </c>
      <c r="CW58" s="288">
        <f t="shared" si="29"/>
        <v>0</v>
      </c>
      <c r="CX58" s="288">
        <f t="shared" si="21"/>
        <v>0</v>
      </c>
      <c r="CY58" s="288">
        <f t="shared" si="21"/>
        <v>0</v>
      </c>
      <c r="CZ58" s="288">
        <f t="shared" si="21"/>
        <v>0</v>
      </c>
      <c r="DA58" s="288">
        <f t="shared" si="21"/>
        <v>0</v>
      </c>
      <c r="DB58" s="288">
        <f t="shared" si="33"/>
        <v>0</v>
      </c>
      <c r="DC58" s="288">
        <f t="shared" si="33"/>
        <v>0</v>
      </c>
      <c r="DD58" s="288">
        <f t="shared" si="33"/>
        <v>0</v>
      </c>
      <c r="DE58" s="288">
        <f t="shared" si="33"/>
        <v>0</v>
      </c>
      <c r="DG58" s="314">
        <f t="shared" si="3"/>
        <v>55</v>
      </c>
      <c r="DH58" s="289">
        <f>MAX(BF$3:BF$109)</f>
        <v>55</v>
      </c>
      <c r="DJ58" s="288">
        <f>LOOKUP(DH58, 'Mortality Table'!A:A,('Mortality Table'!J:J/'Mortality Table'!I:I))</f>
        <v>9.7586295753806073E-3</v>
      </c>
      <c r="DK58" s="288">
        <f>LOOKUP(A58, 'Mortality Table'!A:A,('Mortality Table'!J:J/'Mortality Table'!I:I))</f>
        <v>9.7586295753806073E-3</v>
      </c>
      <c r="DL58" s="288">
        <f t="shared" si="4"/>
        <v>0</v>
      </c>
      <c r="DN58" s="288">
        <f>LOOKUP(DH58, 'Mortality Table'!A:A,('Mortality Table'!L:L/'Mortality Table'!K:K))</f>
        <v>9.8850965733270121E-3</v>
      </c>
      <c r="DO58" s="288">
        <f>LOOKUP(A58, 'Mortality Table'!A:A,('Mortality Table'!L:L/'Mortality Table'!K:K))</f>
        <v>9.8850965733270121E-3</v>
      </c>
      <c r="DP58" s="288">
        <f t="shared" si="5"/>
        <v>0</v>
      </c>
      <c r="DR58" s="288">
        <f>LOOKUP(DH58, 'Mortality Table'!A:A,('Mortality Table'!N:N/'Mortality Table'!M:M))</f>
        <v>1.0107261314322573E-2</v>
      </c>
      <c r="DS58" s="288">
        <f>LOOKUP(A58, 'Mortality Table'!A:A,('Mortality Table'!N:N/'Mortality Table'!M:M))</f>
        <v>1.0107261314322573E-2</v>
      </c>
      <c r="DT58" s="288">
        <f t="shared" si="6"/>
        <v>0</v>
      </c>
    </row>
    <row r="59" spans="1:124">
      <c r="A59" s="288">
        <v>56</v>
      </c>
      <c r="B59" s="288">
        <v>1.142148166185457E-2</v>
      </c>
      <c r="C59" s="288">
        <f t="shared" si="32"/>
        <v>0</v>
      </c>
      <c r="D59" s="288">
        <f t="shared" si="32"/>
        <v>0</v>
      </c>
      <c r="E59" s="288">
        <f t="shared" si="32"/>
        <v>0</v>
      </c>
      <c r="F59" s="288">
        <f t="shared" si="32"/>
        <v>0</v>
      </c>
      <c r="G59" s="288">
        <f t="shared" si="32"/>
        <v>0</v>
      </c>
      <c r="H59" s="288">
        <f t="shared" si="32"/>
        <v>0</v>
      </c>
      <c r="I59" s="288">
        <f t="shared" si="32"/>
        <v>0</v>
      </c>
      <c r="J59" s="288">
        <f t="shared" si="32"/>
        <v>0</v>
      </c>
      <c r="K59" s="288">
        <f t="shared" si="32"/>
        <v>0</v>
      </c>
      <c r="L59" s="288">
        <f t="shared" si="32"/>
        <v>0</v>
      </c>
      <c r="M59" s="288">
        <f t="shared" si="32"/>
        <v>0</v>
      </c>
      <c r="N59" s="288">
        <f t="shared" si="32"/>
        <v>0</v>
      </c>
      <c r="O59" s="288">
        <f t="shared" si="32"/>
        <v>0</v>
      </c>
      <c r="P59" s="288">
        <f t="shared" si="32"/>
        <v>0</v>
      </c>
      <c r="Q59" s="288">
        <f t="shared" si="32"/>
        <v>0</v>
      </c>
      <c r="R59" s="288">
        <f t="shared" si="31"/>
        <v>0</v>
      </c>
      <c r="S59" s="288">
        <f t="shared" si="27"/>
        <v>0</v>
      </c>
      <c r="T59" s="288">
        <f t="shared" si="27"/>
        <v>0</v>
      </c>
      <c r="U59" s="288">
        <f t="shared" si="27"/>
        <v>0</v>
      </c>
      <c r="V59" s="288">
        <f t="shared" si="27"/>
        <v>0</v>
      </c>
      <c r="W59" s="288">
        <f t="shared" si="27"/>
        <v>0</v>
      </c>
      <c r="X59" s="288">
        <f t="shared" si="27"/>
        <v>0</v>
      </c>
      <c r="Y59" s="288">
        <f t="shared" si="27"/>
        <v>0</v>
      </c>
      <c r="Z59" s="288">
        <f t="shared" si="24"/>
        <v>0</v>
      </c>
      <c r="AA59" s="288">
        <f t="shared" si="24"/>
        <v>0</v>
      </c>
      <c r="AB59" s="288">
        <f t="shared" si="24"/>
        <v>0</v>
      </c>
      <c r="AC59" s="288">
        <f t="shared" si="24"/>
        <v>0</v>
      </c>
      <c r="AD59" s="288">
        <f t="shared" si="24"/>
        <v>0</v>
      </c>
      <c r="AE59" s="288">
        <f t="shared" si="24"/>
        <v>0</v>
      </c>
      <c r="AF59" s="288">
        <f t="shared" si="24"/>
        <v>0</v>
      </c>
      <c r="AG59" s="288">
        <f t="shared" si="24"/>
        <v>0</v>
      </c>
      <c r="AH59" s="288">
        <f t="shared" si="24"/>
        <v>0</v>
      </c>
      <c r="AI59" s="288">
        <f t="shared" si="24"/>
        <v>0</v>
      </c>
      <c r="AJ59" s="288">
        <f t="shared" si="24"/>
        <v>0</v>
      </c>
      <c r="AK59" s="288">
        <f t="shared" si="24"/>
        <v>0</v>
      </c>
      <c r="AL59" s="288">
        <f t="shared" si="24"/>
        <v>0</v>
      </c>
      <c r="AM59" s="288">
        <f t="shared" si="24"/>
        <v>0</v>
      </c>
      <c r="AN59" s="288">
        <f t="shared" si="24"/>
        <v>0</v>
      </c>
      <c r="AO59" s="288">
        <f t="shared" si="24"/>
        <v>0</v>
      </c>
      <c r="AP59" s="288">
        <f t="shared" si="35"/>
        <v>0</v>
      </c>
      <c r="AQ59" s="288">
        <f t="shared" si="36"/>
        <v>0</v>
      </c>
      <c r="AR59" s="288">
        <f t="shared" si="37"/>
        <v>0</v>
      </c>
      <c r="AS59" s="288">
        <f t="shared" si="38"/>
        <v>0</v>
      </c>
      <c r="AT59" s="288">
        <f t="shared" si="34"/>
        <v>0</v>
      </c>
      <c r="AU59" s="288">
        <f t="shared" si="28"/>
        <v>0</v>
      </c>
      <c r="AV59" s="288">
        <f t="shared" si="28"/>
        <v>0</v>
      </c>
      <c r="AW59" s="288">
        <f t="shared" si="28"/>
        <v>0</v>
      </c>
      <c r="AX59" s="288">
        <f t="shared" si="28"/>
        <v>0</v>
      </c>
      <c r="AY59" s="288">
        <f t="shared" si="28"/>
        <v>0</v>
      </c>
      <c r="AZ59" s="288">
        <f t="shared" si="28"/>
        <v>0</v>
      </c>
      <c r="BA59" s="288">
        <f t="shared" si="28"/>
        <v>0</v>
      </c>
      <c r="BB59" s="288">
        <f t="shared" si="28"/>
        <v>0</v>
      </c>
      <c r="BC59" s="288">
        <f t="shared" si="28"/>
        <v>0</v>
      </c>
      <c r="BD59" s="288">
        <f t="shared" si="28"/>
        <v>0</v>
      </c>
      <c r="BE59" s="288">
        <f t="shared" si="28"/>
        <v>0</v>
      </c>
      <c r="BF59" s="288">
        <f t="shared" si="28"/>
        <v>0</v>
      </c>
      <c r="BG59" s="288">
        <f t="shared" si="28"/>
        <v>56</v>
      </c>
      <c r="BH59" s="288">
        <f t="shared" si="28"/>
        <v>0</v>
      </c>
      <c r="BI59" s="288">
        <f t="shared" si="41"/>
        <v>0</v>
      </c>
      <c r="BJ59" s="288">
        <f t="shared" si="41"/>
        <v>0</v>
      </c>
      <c r="BK59" s="288">
        <f t="shared" si="41"/>
        <v>0</v>
      </c>
      <c r="BL59" s="288">
        <f t="shared" si="26"/>
        <v>0</v>
      </c>
      <c r="BM59" s="288">
        <f t="shared" si="26"/>
        <v>0</v>
      </c>
      <c r="BN59" s="288">
        <f t="shared" si="26"/>
        <v>0</v>
      </c>
      <c r="BO59" s="288">
        <f t="shared" si="26"/>
        <v>0</v>
      </c>
      <c r="BP59" s="288">
        <f t="shared" si="26"/>
        <v>0</v>
      </c>
      <c r="BQ59" s="288">
        <f t="shared" si="26"/>
        <v>0</v>
      </c>
      <c r="BR59" s="288">
        <f t="shared" si="26"/>
        <v>0</v>
      </c>
      <c r="BS59" s="288">
        <f t="shared" si="26"/>
        <v>0</v>
      </c>
      <c r="BT59" s="288">
        <f t="shared" si="26"/>
        <v>0</v>
      </c>
      <c r="BU59" s="288">
        <f t="shared" si="26"/>
        <v>0</v>
      </c>
      <c r="BV59" s="288">
        <f t="shared" si="26"/>
        <v>0</v>
      </c>
      <c r="BW59" s="288">
        <f t="shared" si="26"/>
        <v>0</v>
      </c>
      <c r="BX59" s="288">
        <f t="shared" si="26"/>
        <v>0</v>
      </c>
      <c r="BY59" s="288">
        <f t="shared" si="26"/>
        <v>0</v>
      </c>
      <c r="BZ59" s="288">
        <f t="shared" si="26"/>
        <v>0</v>
      </c>
      <c r="CA59" s="288">
        <f t="shared" si="26"/>
        <v>0</v>
      </c>
      <c r="CB59" s="288">
        <f t="shared" si="39"/>
        <v>0</v>
      </c>
      <c r="CC59" s="288">
        <f t="shared" si="39"/>
        <v>0</v>
      </c>
      <c r="CD59" s="288">
        <f t="shared" si="23"/>
        <v>0</v>
      </c>
      <c r="CE59" s="288">
        <f t="shared" si="42"/>
        <v>0</v>
      </c>
      <c r="CF59" s="288">
        <f t="shared" si="43"/>
        <v>0</v>
      </c>
      <c r="CG59" s="288">
        <f t="shared" si="44"/>
        <v>0</v>
      </c>
      <c r="CH59" s="288">
        <f t="shared" si="45"/>
        <v>0</v>
      </c>
      <c r="CI59" s="288">
        <f t="shared" si="46"/>
        <v>0</v>
      </c>
      <c r="CJ59" s="288">
        <f t="shared" si="47"/>
        <v>0</v>
      </c>
      <c r="CK59" s="288">
        <f t="shared" si="48"/>
        <v>0</v>
      </c>
      <c r="CL59" s="288">
        <f t="shared" si="49"/>
        <v>0</v>
      </c>
      <c r="CM59" s="288">
        <f t="shared" si="50"/>
        <v>0</v>
      </c>
      <c r="CN59" s="288">
        <f t="shared" si="51"/>
        <v>0</v>
      </c>
      <c r="CO59" s="288">
        <f t="shared" si="52"/>
        <v>0</v>
      </c>
      <c r="CP59" s="288">
        <f t="shared" si="53"/>
        <v>0</v>
      </c>
      <c r="CQ59" s="288">
        <f t="shared" si="54"/>
        <v>0</v>
      </c>
      <c r="CR59" s="288">
        <f t="shared" si="55"/>
        <v>0</v>
      </c>
      <c r="CS59" s="288">
        <f t="shared" si="56"/>
        <v>0</v>
      </c>
      <c r="CT59" s="288">
        <f t="shared" si="40"/>
        <v>0</v>
      </c>
      <c r="CU59" s="288">
        <f t="shared" si="30"/>
        <v>0</v>
      </c>
      <c r="CV59" s="288">
        <f t="shared" si="29"/>
        <v>0</v>
      </c>
      <c r="CW59" s="288">
        <f t="shared" si="29"/>
        <v>0</v>
      </c>
      <c r="CX59" s="288">
        <f t="shared" si="21"/>
        <v>0</v>
      </c>
      <c r="CY59" s="288">
        <f t="shared" si="21"/>
        <v>0</v>
      </c>
      <c r="CZ59" s="288">
        <f t="shared" si="21"/>
        <v>0</v>
      </c>
      <c r="DA59" s="288">
        <f t="shared" si="21"/>
        <v>0</v>
      </c>
      <c r="DB59" s="288">
        <f t="shared" si="33"/>
        <v>0</v>
      </c>
      <c r="DC59" s="288">
        <f t="shared" si="33"/>
        <v>0</v>
      </c>
      <c r="DD59" s="288">
        <f t="shared" si="33"/>
        <v>0</v>
      </c>
      <c r="DE59" s="288">
        <f t="shared" si="33"/>
        <v>0</v>
      </c>
      <c r="DG59" s="314">
        <f t="shared" si="3"/>
        <v>56</v>
      </c>
      <c r="DH59" s="289">
        <f>MAX(BG$3:BG$109)</f>
        <v>56</v>
      </c>
      <c r="DJ59" s="288">
        <f>LOOKUP(DH59, 'Mortality Table'!A:A,('Mortality Table'!J:J/'Mortality Table'!I:I))</f>
        <v>1.0514326116694488E-2</v>
      </c>
      <c r="DK59" s="288">
        <f>LOOKUP(A59, 'Mortality Table'!A:A,('Mortality Table'!J:J/'Mortality Table'!I:I))</f>
        <v>1.0514326116694488E-2</v>
      </c>
      <c r="DL59" s="288">
        <f t="shared" si="4"/>
        <v>0</v>
      </c>
      <c r="DN59" s="288">
        <f>LOOKUP(DH59, 'Mortality Table'!A:A,('Mortality Table'!L:L/'Mortality Table'!K:K))</f>
        <v>1.0650586566907949E-2</v>
      </c>
      <c r="DO59" s="288">
        <f>LOOKUP(A59, 'Mortality Table'!A:A,('Mortality Table'!L:L/'Mortality Table'!K:K))</f>
        <v>1.0650586566907949E-2</v>
      </c>
      <c r="DP59" s="288">
        <f t="shared" si="5"/>
        <v>0</v>
      </c>
      <c r="DR59" s="288">
        <f>LOOKUP(DH59, 'Mortality Table'!A:A,('Mortality Table'!N:N/'Mortality Table'!M:M))</f>
        <v>1.0889955478332904E-2</v>
      </c>
      <c r="DS59" s="288">
        <f>LOOKUP(A59, 'Mortality Table'!A:A,('Mortality Table'!N:N/'Mortality Table'!M:M))</f>
        <v>1.0889955478332904E-2</v>
      </c>
      <c r="DT59" s="288">
        <f t="shared" si="6"/>
        <v>0</v>
      </c>
    </row>
    <row r="60" spans="1:124">
      <c r="A60" s="288">
        <v>57</v>
      </c>
      <c r="B60" s="288">
        <v>1.2257201839166745E-2</v>
      </c>
      <c r="C60" s="288">
        <f t="shared" ref="C60:Q76" si="57">IF(C$2&gt;$B60,(IF(C$2&lt;=$B61,(IF(AVERAGE($B60,$B61)&gt;C$2,$A60,$A61)),0)),0)</f>
        <v>0</v>
      </c>
      <c r="D60" s="288">
        <f t="shared" si="57"/>
        <v>0</v>
      </c>
      <c r="E60" s="288">
        <f t="shared" si="57"/>
        <v>0</v>
      </c>
      <c r="F60" s="288">
        <f t="shared" si="57"/>
        <v>0</v>
      </c>
      <c r="G60" s="288">
        <f t="shared" si="57"/>
        <v>0</v>
      </c>
      <c r="H60" s="288">
        <f t="shared" si="57"/>
        <v>0</v>
      </c>
      <c r="I60" s="288">
        <f t="shared" si="57"/>
        <v>0</v>
      </c>
      <c r="J60" s="288">
        <f t="shared" si="57"/>
        <v>0</v>
      </c>
      <c r="K60" s="288">
        <f t="shared" si="57"/>
        <v>0</v>
      </c>
      <c r="L60" s="288">
        <f t="shared" si="57"/>
        <v>0</v>
      </c>
      <c r="M60" s="288">
        <f t="shared" si="57"/>
        <v>0</v>
      </c>
      <c r="N60" s="288">
        <f t="shared" si="57"/>
        <v>0</v>
      </c>
      <c r="O60" s="288">
        <f t="shared" si="57"/>
        <v>0</v>
      </c>
      <c r="P60" s="288">
        <f t="shared" si="57"/>
        <v>0</v>
      </c>
      <c r="Q60" s="288">
        <f t="shared" si="57"/>
        <v>0</v>
      </c>
      <c r="R60" s="288">
        <f t="shared" si="31"/>
        <v>0</v>
      </c>
      <c r="S60" s="288">
        <f t="shared" si="27"/>
        <v>0</v>
      </c>
      <c r="T60" s="288">
        <f t="shared" si="27"/>
        <v>0</v>
      </c>
      <c r="U60" s="288">
        <f t="shared" si="27"/>
        <v>0</v>
      </c>
      <c r="V60" s="288">
        <f t="shared" si="27"/>
        <v>0</v>
      </c>
      <c r="W60" s="288">
        <f t="shared" si="27"/>
        <v>0</v>
      </c>
      <c r="X60" s="288">
        <f t="shared" si="27"/>
        <v>0</v>
      </c>
      <c r="Y60" s="288">
        <f t="shared" si="27"/>
        <v>0</v>
      </c>
      <c r="Z60" s="288">
        <f t="shared" si="24"/>
        <v>0</v>
      </c>
      <c r="AA60" s="288">
        <f t="shared" si="24"/>
        <v>0</v>
      </c>
      <c r="AB60" s="288">
        <f t="shared" si="24"/>
        <v>0</v>
      </c>
      <c r="AC60" s="288">
        <f t="shared" si="24"/>
        <v>0</v>
      </c>
      <c r="AD60" s="288">
        <f t="shared" si="24"/>
        <v>0</v>
      </c>
      <c r="AE60" s="288">
        <f t="shared" si="24"/>
        <v>0</v>
      </c>
      <c r="AF60" s="288">
        <f t="shared" si="24"/>
        <v>0</v>
      </c>
      <c r="AG60" s="288">
        <f t="shared" si="24"/>
        <v>0</v>
      </c>
      <c r="AH60" s="288">
        <f t="shared" si="24"/>
        <v>0</v>
      </c>
      <c r="AI60" s="288">
        <f t="shared" si="24"/>
        <v>0</v>
      </c>
      <c r="AJ60" s="288">
        <f t="shared" si="24"/>
        <v>0</v>
      </c>
      <c r="AK60" s="288">
        <f t="shared" si="24"/>
        <v>0</v>
      </c>
      <c r="AL60" s="288">
        <f t="shared" si="24"/>
        <v>0</v>
      </c>
      <c r="AM60" s="288">
        <f t="shared" si="24"/>
        <v>0</v>
      </c>
      <c r="AN60" s="288">
        <f t="shared" si="24"/>
        <v>0</v>
      </c>
      <c r="AO60" s="288">
        <f t="shared" si="24"/>
        <v>0</v>
      </c>
      <c r="AP60" s="288">
        <f t="shared" si="35"/>
        <v>0</v>
      </c>
      <c r="AQ60" s="288">
        <f t="shared" si="36"/>
        <v>0</v>
      </c>
      <c r="AR60" s="288">
        <f t="shared" si="37"/>
        <v>0</v>
      </c>
      <c r="AS60" s="288">
        <f t="shared" si="38"/>
        <v>0</v>
      </c>
      <c r="AT60" s="288">
        <f t="shared" si="34"/>
        <v>0</v>
      </c>
      <c r="AU60" s="288">
        <f t="shared" si="28"/>
        <v>0</v>
      </c>
      <c r="AV60" s="288">
        <f t="shared" si="28"/>
        <v>0</v>
      </c>
      <c r="AW60" s="288">
        <f t="shared" si="28"/>
        <v>0</v>
      </c>
      <c r="AX60" s="288">
        <f t="shared" si="28"/>
        <v>0</v>
      </c>
      <c r="AY60" s="288">
        <f t="shared" si="28"/>
        <v>0</v>
      </c>
      <c r="AZ60" s="288">
        <f t="shared" si="28"/>
        <v>0</v>
      </c>
      <c r="BA60" s="288">
        <f t="shared" si="28"/>
        <v>0</v>
      </c>
      <c r="BB60" s="288">
        <f t="shared" si="28"/>
        <v>0</v>
      </c>
      <c r="BC60" s="288">
        <f t="shared" si="28"/>
        <v>0</v>
      </c>
      <c r="BD60" s="288">
        <f t="shared" si="28"/>
        <v>0</v>
      </c>
      <c r="BE60" s="288">
        <f t="shared" si="28"/>
        <v>0</v>
      </c>
      <c r="BF60" s="288">
        <f t="shared" si="28"/>
        <v>0</v>
      </c>
      <c r="BG60" s="288">
        <f t="shared" si="28"/>
        <v>0</v>
      </c>
      <c r="BH60" s="288">
        <f t="shared" si="28"/>
        <v>57</v>
      </c>
      <c r="BI60" s="288">
        <f t="shared" si="41"/>
        <v>0</v>
      </c>
      <c r="BJ60" s="288">
        <f t="shared" si="41"/>
        <v>0</v>
      </c>
      <c r="BK60" s="288">
        <f t="shared" si="41"/>
        <v>0</v>
      </c>
      <c r="BL60" s="288">
        <f t="shared" si="26"/>
        <v>0</v>
      </c>
      <c r="BM60" s="288">
        <f t="shared" si="26"/>
        <v>0</v>
      </c>
      <c r="BN60" s="288">
        <f t="shared" si="26"/>
        <v>0</v>
      </c>
      <c r="BO60" s="288">
        <f t="shared" si="26"/>
        <v>0</v>
      </c>
      <c r="BP60" s="288">
        <f t="shared" si="26"/>
        <v>0</v>
      </c>
      <c r="BQ60" s="288">
        <f t="shared" si="26"/>
        <v>0</v>
      </c>
      <c r="BR60" s="288">
        <f t="shared" si="26"/>
        <v>0</v>
      </c>
      <c r="BS60" s="288">
        <f t="shared" si="26"/>
        <v>0</v>
      </c>
      <c r="BT60" s="288">
        <f t="shared" si="26"/>
        <v>0</v>
      </c>
      <c r="BU60" s="288">
        <f t="shared" si="26"/>
        <v>0</v>
      </c>
      <c r="BV60" s="288">
        <f t="shared" si="26"/>
        <v>0</v>
      </c>
      <c r="BW60" s="288">
        <f t="shared" si="26"/>
        <v>0</v>
      </c>
      <c r="BX60" s="288">
        <f t="shared" si="26"/>
        <v>0</v>
      </c>
      <c r="BY60" s="288">
        <f t="shared" si="26"/>
        <v>0</v>
      </c>
      <c r="BZ60" s="288">
        <f t="shared" si="26"/>
        <v>0</v>
      </c>
      <c r="CA60" s="288">
        <f t="shared" si="26"/>
        <v>0</v>
      </c>
      <c r="CB60" s="288">
        <f t="shared" si="39"/>
        <v>0</v>
      </c>
      <c r="CC60" s="288">
        <f t="shared" si="39"/>
        <v>0</v>
      </c>
      <c r="CD60" s="288">
        <f t="shared" si="23"/>
        <v>0</v>
      </c>
      <c r="CE60" s="288">
        <f t="shared" si="42"/>
        <v>0</v>
      </c>
      <c r="CF60" s="288">
        <f t="shared" si="43"/>
        <v>0</v>
      </c>
      <c r="CG60" s="288">
        <f t="shared" si="44"/>
        <v>0</v>
      </c>
      <c r="CH60" s="288">
        <f t="shared" si="45"/>
        <v>0</v>
      </c>
      <c r="CI60" s="288">
        <f t="shared" si="46"/>
        <v>0</v>
      </c>
      <c r="CJ60" s="288">
        <f t="shared" si="47"/>
        <v>0</v>
      </c>
      <c r="CK60" s="288">
        <f t="shared" si="48"/>
        <v>0</v>
      </c>
      <c r="CL60" s="288">
        <f t="shared" si="49"/>
        <v>0</v>
      </c>
      <c r="CM60" s="288">
        <f t="shared" si="50"/>
        <v>0</v>
      </c>
      <c r="CN60" s="288">
        <f t="shared" si="51"/>
        <v>0</v>
      </c>
      <c r="CO60" s="288">
        <f t="shared" si="52"/>
        <v>0</v>
      </c>
      <c r="CP60" s="288">
        <f t="shared" si="53"/>
        <v>0</v>
      </c>
      <c r="CQ60" s="288">
        <f t="shared" si="54"/>
        <v>0</v>
      </c>
      <c r="CR60" s="288">
        <f t="shared" si="55"/>
        <v>0</v>
      </c>
      <c r="CS60" s="288">
        <f t="shared" si="56"/>
        <v>0</v>
      </c>
      <c r="CT60" s="288">
        <f t="shared" si="40"/>
        <v>0</v>
      </c>
      <c r="CU60" s="288">
        <f t="shared" si="30"/>
        <v>0</v>
      </c>
      <c r="CV60" s="288">
        <f t="shared" si="29"/>
        <v>0</v>
      </c>
      <c r="CW60" s="288">
        <f t="shared" si="29"/>
        <v>0</v>
      </c>
      <c r="CX60" s="288">
        <f t="shared" si="21"/>
        <v>0</v>
      </c>
      <c r="CY60" s="288">
        <f t="shared" si="21"/>
        <v>0</v>
      </c>
      <c r="CZ60" s="288">
        <f t="shared" si="21"/>
        <v>0</v>
      </c>
      <c r="DA60" s="288">
        <f t="shared" si="21"/>
        <v>0</v>
      </c>
      <c r="DB60" s="288">
        <f t="shared" si="33"/>
        <v>0</v>
      </c>
      <c r="DC60" s="288">
        <f t="shared" si="33"/>
        <v>0</v>
      </c>
      <c r="DD60" s="288">
        <f t="shared" si="33"/>
        <v>0</v>
      </c>
      <c r="DE60" s="288">
        <f t="shared" si="33"/>
        <v>0</v>
      </c>
      <c r="DG60" s="314">
        <f t="shared" si="3"/>
        <v>57</v>
      </c>
      <c r="DH60" s="289">
        <f>MAX(BH$3:BH$109)</f>
        <v>57</v>
      </c>
      <c r="DJ60" s="288">
        <f>LOOKUP(DH60, 'Mortality Table'!A:A,('Mortality Table'!J:J/'Mortality Table'!I:I))</f>
        <v>1.1283668899593553E-2</v>
      </c>
      <c r="DK60" s="288">
        <f>LOOKUP(A60, 'Mortality Table'!A:A,('Mortality Table'!J:J/'Mortality Table'!I:I))</f>
        <v>1.1283668899593553E-2</v>
      </c>
      <c r="DL60" s="288">
        <f t="shared" si="4"/>
        <v>0</v>
      </c>
      <c r="DN60" s="288">
        <f>LOOKUP(DH60, 'Mortality Table'!A:A,('Mortality Table'!L:L/'Mortality Table'!K:K))</f>
        <v>1.1429899650595E-2</v>
      </c>
      <c r="DO60" s="288">
        <f>LOOKUP(A60, 'Mortality Table'!A:A,('Mortality Table'!L:L/'Mortality Table'!K:K))</f>
        <v>1.1429899650595E-2</v>
      </c>
      <c r="DP60" s="288">
        <f t="shared" si="5"/>
        <v>0</v>
      </c>
      <c r="DR60" s="288">
        <f>LOOKUP(DH60, 'Mortality Table'!A:A,('Mortality Table'!N:N/'Mortality Table'!M:M))</f>
        <v>1.1686783402477759E-2</v>
      </c>
      <c r="DS60" s="288">
        <f>LOOKUP(A60, 'Mortality Table'!A:A,('Mortality Table'!N:N/'Mortality Table'!M:M))</f>
        <v>1.1686783402477759E-2</v>
      </c>
      <c r="DT60" s="288">
        <f t="shared" si="6"/>
        <v>0</v>
      </c>
    </row>
    <row r="61" spans="1:124">
      <c r="A61" s="288">
        <v>58</v>
      </c>
      <c r="B61" s="288">
        <v>1.3394924653548823E-2</v>
      </c>
      <c r="C61" s="288">
        <f t="shared" si="57"/>
        <v>0</v>
      </c>
      <c r="D61" s="288">
        <f t="shared" si="57"/>
        <v>0</v>
      </c>
      <c r="E61" s="288">
        <f t="shared" si="57"/>
        <v>0</v>
      </c>
      <c r="F61" s="288">
        <f t="shared" si="57"/>
        <v>0</v>
      </c>
      <c r="G61" s="288">
        <f t="shared" si="57"/>
        <v>0</v>
      </c>
      <c r="H61" s="288">
        <f t="shared" si="57"/>
        <v>0</v>
      </c>
      <c r="I61" s="288">
        <f t="shared" si="57"/>
        <v>0</v>
      </c>
      <c r="J61" s="288">
        <f t="shared" si="57"/>
        <v>0</v>
      </c>
      <c r="K61" s="288">
        <f t="shared" si="57"/>
        <v>0</v>
      </c>
      <c r="L61" s="288">
        <f t="shared" si="57"/>
        <v>0</v>
      </c>
      <c r="M61" s="288">
        <f t="shared" si="57"/>
        <v>0</v>
      </c>
      <c r="N61" s="288">
        <f t="shared" si="57"/>
        <v>0</v>
      </c>
      <c r="O61" s="288">
        <f t="shared" si="57"/>
        <v>0</v>
      </c>
      <c r="P61" s="288">
        <f t="shared" si="57"/>
        <v>0</v>
      </c>
      <c r="Q61" s="288">
        <f t="shared" si="57"/>
        <v>0</v>
      </c>
      <c r="R61" s="288">
        <f t="shared" si="31"/>
        <v>0</v>
      </c>
      <c r="S61" s="288">
        <f t="shared" si="27"/>
        <v>0</v>
      </c>
      <c r="T61" s="288">
        <f t="shared" si="27"/>
        <v>0</v>
      </c>
      <c r="U61" s="288">
        <f t="shared" si="27"/>
        <v>0</v>
      </c>
      <c r="V61" s="288">
        <f t="shared" si="27"/>
        <v>0</v>
      </c>
      <c r="W61" s="288">
        <f t="shared" si="27"/>
        <v>0</v>
      </c>
      <c r="X61" s="288">
        <f t="shared" si="27"/>
        <v>0</v>
      </c>
      <c r="Y61" s="288">
        <f t="shared" si="27"/>
        <v>0</v>
      </c>
      <c r="Z61" s="288">
        <f t="shared" si="24"/>
        <v>0</v>
      </c>
      <c r="AA61" s="288">
        <f t="shared" si="24"/>
        <v>0</v>
      </c>
      <c r="AB61" s="288">
        <f t="shared" si="24"/>
        <v>0</v>
      </c>
      <c r="AC61" s="288">
        <f t="shared" si="24"/>
        <v>0</v>
      </c>
      <c r="AD61" s="288">
        <f t="shared" si="24"/>
        <v>0</v>
      </c>
      <c r="AE61" s="288">
        <f t="shared" si="24"/>
        <v>0</v>
      </c>
      <c r="AF61" s="288">
        <f t="shared" si="24"/>
        <v>0</v>
      </c>
      <c r="AG61" s="288">
        <f t="shared" si="24"/>
        <v>0</v>
      </c>
      <c r="AH61" s="288">
        <f t="shared" si="24"/>
        <v>0</v>
      </c>
      <c r="AI61" s="288">
        <f t="shared" si="24"/>
        <v>0</v>
      </c>
      <c r="AJ61" s="288">
        <f t="shared" si="24"/>
        <v>0</v>
      </c>
      <c r="AK61" s="288">
        <f t="shared" si="24"/>
        <v>0</v>
      </c>
      <c r="AL61" s="288">
        <f t="shared" si="24"/>
        <v>0</v>
      </c>
      <c r="AM61" s="288">
        <f t="shared" si="24"/>
        <v>0</v>
      </c>
      <c r="AN61" s="288">
        <f t="shared" si="24"/>
        <v>0</v>
      </c>
      <c r="AO61" s="288">
        <f t="shared" si="24"/>
        <v>0</v>
      </c>
      <c r="AP61" s="288">
        <f t="shared" si="35"/>
        <v>0</v>
      </c>
      <c r="AQ61" s="288">
        <f t="shared" si="36"/>
        <v>0</v>
      </c>
      <c r="AR61" s="288">
        <f t="shared" si="37"/>
        <v>0</v>
      </c>
      <c r="AS61" s="288">
        <f t="shared" si="38"/>
        <v>0</v>
      </c>
      <c r="AT61" s="288">
        <f t="shared" si="34"/>
        <v>0</v>
      </c>
      <c r="AU61" s="288">
        <f t="shared" si="28"/>
        <v>0</v>
      </c>
      <c r="AV61" s="288">
        <f t="shared" si="28"/>
        <v>0</v>
      </c>
      <c r="AW61" s="288">
        <f t="shared" si="28"/>
        <v>0</v>
      </c>
      <c r="AX61" s="288">
        <f t="shared" si="28"/>
        <v>0</v>
      </c>
      <c r="AY61" s="288">
        <f t="shared" si="28"/>
        <v>0</v>
      </c>
      <c r="AZ61" s="288">
        <f t="shared" si="28"/>
        <v>0</v>
      </c>
      <c r="BA61" s="288">
        <f t="shared" si="28"/>
        <v>0</v>
      </c>
      <c r="BB61" s="288">
        <f t="shared" si="28"/>
        <v>0</v>
      </c>
      <c r="BC61" s="288">
        <f t="shared" si="28"/>
        <v>0</v>
      </c>
      <c r="BD61" s="288">
        <f t="shared" si="28"/>
        <v>0</v>
      </c>
      <c r="BE61" s="288">
        <f t="shared" si="28"/>
        <v>0</v>
      </c>
      <c r="BF61" s="288">
        <f t="shared" si="28"/>
        <v>0</v>
      </c>
      <c r="BG61" s="288">
        <f t="shared" si="28"/>
        <v>0</v>
      </c>
      <c r="BH61" s="288">
        <f t="shared" si="28"/>
        <v>0</v>
      </c>
      <c r="BI61" s="288">
        <f t="shared" si="41"/>
        <v>58</v>
      </c>
      <c r="BJ61" s="288">
        <f t="shared" si="41"/>
        <v>0</v>
      </c>
      <c r="BK61" s="288">
        <f t="shared" si="41"/>
        <v>0</v>
      </c>
      <c r="BL61" s="288">
        <f t="shared" si="26"/>
        <v>0</v>
      </c>
      <c r="BM61" s="288">
        <f t="shared" si="26"/>
        <v>0</v>
      </c>
      <c r="BN61" s="288">
        <f t="shared" si="26"/>
        <v>0</v>
      </c>
      <c r="BO61" s="288">
        <f t="shared" si="26"/>
        <v>0</v>
      </c>
      <c r="BP61" s="288">
        <f t="shared" si="26"/>
        <v>0</v>
      </c>
      <c r="BQ61" s="288">
        <f t="shared" si="26"/>
        <v>0</v>
      </c>
      <c r="BR61" s="288">
        <f t="shared" si="26"/>
        <v>0</v>
      </c>
      <c r="BS61" s="288">
        <f t="shared" si="26"/>
        <v>0</v>
      </c>
      <c r="BT61" s="288">
        <f t="shared" si="26"/>
        <v>0</v>
      </c>
      <c r="BU61" s="288">
        <f t="shared" si="26"/>
        <v>0</v>
      </c>
      <c r="BV61" s="288">
        <f t="shared" si="26"/>
        <v>0</v>
      </c>
      <c r="BW61" s="288">
        <f t="shared" si="26"/>
        <v>0</v>
      </c>
      <c r="BX61" s="288">
        <f t="shared" si="26"/>
        <v>0</v>
      </c>
      <c r="BY61" s="288">
        <f t="shared" si="26"/>
        <v>0</v>
      </c>
      <c r="BZ61" s="288">
        <f t="shared" si="26"/>
        <v>0</v>
      </c>
      <c r="CA61" s="288">
        <f t="shared" si="26"/>
        <v>0</v>
      </c>
      <c r="CB61" s="288">
        <f t="shared" si="39"/>
        <v>0</v>
      </c>
      <c r="CC61" s="288">
        <f t="shared" si="39"/>
        <v>0</v>
      </c>
      <c r="CD61" s="288">
        <f t="shared" si="23"/>
        <v>0</v>
      </c>
      <c r="CE61" s="288">
        <f t="shared" si="42"/>
        <v>0</v>
      </c>
      <c r="CF61" s="288">
        <f t="shared" si="43"/>
        <v>0</v>
      </c>
      <c r="CG61" s="288">
        <f t="shared" si="44"/>
        <v>0</v>
      </c>
      <c r="CH61" s="288">
        <f t="shared" si="45"/>
        <v>0</v>
      </c>
      <c r="CI61" s="288">
        <f t="shared" si="46"/>
        <v>0</v>
      </c>
      <c r="CJ61" s="288">
        <f t="shared" si="47"/>
        <v>0</v>
      </c>
      <c r="CK61" s="288">
        <f t="shared" si="48"/>
        <v>0</v>
      </c>
      <c r="CL61" s="288">
        <f t="shared" si="49"/>
        <v>0</v>
      </c>
      <c r="CM61" s="288">
        <f t="shared" si="50"/>
        <v>0</v>
      </c>
      <c r="CN61" s="288">
        <f t="shared" si="51"/>
        <v>0</v>
      </c>
      <c r="CO61" s="288">
        <f t="shared" si="52"/>
        <v>0</v>
      </c>
      <c r="CP61" s="288">
        <f t="shared" si="53"/>
        <v>0</v>
      </c>
      <c r="CQ61" s="288">
        <f t="shared" si="54"/>
        <v>0</v>
      </c>
      <c r="CR61" s="288">
        <f t="shared" si="55"/>
        <v>0</v>
      </c>
      <c r="CS61" s="288">
        <f t="shared" si="56"/>
        <v>0</v>
      </c>
      <c r="CT61" s="288">
        <f t="shared" si="40"/>
        <v>0</v>
      </c>
      <c r="CU61" s="288">
        <f t="shared" si="30"/>
        <v>0</v>
      </c>
      <c r="CV61" s="288">
        <f t="shared" si="29"/>
        <v>0</v>
      </c>
      <c r="CW61" s="288">
        <f t="shared" si="29"/>
        <v>0</v>
      </c>
      <c r="CX61" s="288">
        <f t="shared" si="21"/>
        <v>0</v>
      </c>
      <c r="CY61" s="288">
        <f t="shared" si="21"/>
        <v>0</v>
      </c>
      <c r="CZ61" s="288">
        <f t="shared" si="21"/>
        <v>0</v>
      </c>
      <c r="DA61" s="288">
        <f t="shared" si="21"/>
        <v>0</v>
      </c>
      <c r="DB61" s="288">
        <f t="shared" si="33"/>
        <v>0</v>
      </c>
      <c r="DC61" s="288">
        <f t="shared" si="33"/>
        <v>0</v>
      </c>
      <c r="DD61" s="288">
        <f t="shared" si="33"/>
        <v>0</v>
      </c>
      <c r="DE61" s="288">
        <f t="shared" si="33"/>
        <v>0</v>
      </c>
      <c r="DG61" s="314">
        <f t="shared" si="3"/>
        <v>58</v>
      </c>
      <c r="DH61" s="289">
        <f>MAX(BI$3:BI$109)</f>
        <v>58</v>
      </c>
      <c r="DJ61" s="288">
        <f>LOOKUP(DH61, 'Mortality Table'!A:A,('Mortality Table'!J:J/'Mortality Table'!I:I))</f>
        <v>1.2331027644717553E-2</v>
      </c>
      <c r="DK61" s="288">
        <f>LOOKUP(A61, 'Mortality Table'!A:A,('Mortality Table'!J:J/'Mortality Table'!I:I))</f>
        <v>1.2331027644717553E-2</v>
      </c>
      <c r="DL61" s="288">
        <f t="shared" si="4"/>
        <v>0</v>
      </c>
      <c r="DN61" s="288">
        <f>LOOKUP(DH61, 'Mortality Table'!A:A,('Mortality Table'!L:L/'Mortality Table'!K:K))</f>
        <v>1.2490831645450985E-2</v>
      </c>
      <c r="DO61" s="288">
        <f>LOOKUP(A61, 'Mortality Table'!A:A,('Mortality Table'!L:L/'Mortality Table'!K:K))</f>
        <v>1.2490831645450985E-2</v>
      </c>
      <c r="DP61" s="288">
        <f t="shared" si="5"/>
        <v>0</v>
      </c>
      <c r="DR61" s="288">
        <f>LOOKUP(DH61, 'Mortality Table'!A:A,('Mortality Table'!N:N/'Mortality Table'!M:M))</f>
        <v>1.277155954292228E-2</v>
      </c>
      <c r="DS61" s="288">
        <f>LOOKUP(A61, 'Mortality Table'!A:A,('Mortality Table'!N:N/'Mortality Table'!M:M))</f>
        <v>1.277155954292228E-2</v>
      </c>
      <c r="DT61" s="288">
        <f t="shared" si="6"/>
        <v>0</v>
      </c>
    </row>
    <row r="62" spans="1:124">
      <c r="A62" s="288">
        <v>59</v>
      </c>
      <c r="B62" s="288">
        <v>1.4431351780749372E-2</v>
      </c>
      <c r="C62" s="288">
        <f t="shared" si="57"/>
        <v>0</v>
      </c>
      <c r="D62" s="288">
        <f t="shared" si="57"/>
        <v>0</v>
      </c>
      <c r="E62" s="288">
        <f t="shared" si="57"/>
        <v>0</v>
      </c>
      <c r="F62" s="288">
        <f t="shared" si="57"/>
        <v>0</v>
      </c>
      <c r="G62" s="288">
        <f t="shared" si="57"/>
        <v>0</v>
      </c>
      <c r="H62" s="288">
        <f t="shared" si="57"/>
        <v>0</v>
      </c>
      <c r="I62" s="288">
        <f t="shared" si="57"/>
        <v>0</v>
      </c>
      <c r="J62" s="288">
        <f t="shared" si="57"/>
        <v>0</v>
      </c>
      <c r="K62" s="288">
        <f t="shared" si="57"/>
        <v>0</v>
      </c>
      <c r="L62" s="288">
        <f t="shared" si="57"/>
        <v>0</v>
      </c>
      <c r="M62" s="288">
        <f t="shared" si="57"/>
        <v>0</v>
      </c>
      <c r="N62" s="288">
        <f t="shared" si="57"/>
        <v>0</v>
      </c>
      <c r="O62" s="288">
        <f t="shared" si="57"/>
        <v>0</v>
      </c>
      <c r="P62" s="288">
        <f t="shared" si="57"/>
        <v>0</v>
      </c>
      <c r="Q62" s="288">
        <f t="shared" si="57"/>
        <v>0</v>
      </c>
      <c r="R62" s="288">
        <f t="shared" si="31"/>
        <v>0</v>
      </c>
      <c r="S62" s="288">
        <f t="shared" si="27"/>
        <v>0</v>
      </c>
      <c r="T62" s="288">
        <f t="shared" si="27"/>
        <v>0</v>
      </c>
      <c r="U62" s="288">
        <f t="shared" si="27"/>
        <v>0</v>
      </c>
      <c r="V62" s="288">
        <f t="shared" si="27"/>
        <v>0</v>
      </c>
      <c r="W62" s="288">
        <f t="shared" si="27"/>
        <v>0</v>
      </c>
      <c r="X62" s="288">
        <f t="shared" si="27"/>
        <v>0</v>
      </c>
      <c r="Y62" s="288">
        <f t="shared" si="27"/>
        <v>0</v>
      </c>
      <c r="Z62" s="288">
        <f t="shared" si="24"/>
        <v>0</v>
      </c>
      <c r="AA62" s="288">
        <f t="shared" si="24"/>
        <v>0</v>
      </c>
      <c r="AB62" s="288">
        <f t="shared" si="24"/>
        <v>0</v>
      </c>
      <c r="AC62" s="288">
        <f t="shared" si="24"/>
        <v>0</v>
      </c>
      <c r="AD62" s="288">
        <f t="shared" si="24"/>
        <v>0</v>
      </c>
      <c r="AE62" s="288">
        <f t="shared" si="24"/>
        <v>0</v>
      </c>
      <c r="AF62" s="288">
        <f t="shared" si="24"/>
        <v>0</v>
      </c>
      <c r="AG62" s="288">
        <f t="shared" si="24"/>
        <v>0</v>
      </c>
      <c r="AH62" s="288">
        <f t="shared" si="24"/>
        <v>0</v>
      </c>
      <c r="AI62" s="288">
        <f t="shared" si="24"/>
        <v>0</v>
      </c>
      <c r="AJ62" s="288">
        <f t="shared" si="24"/>
        <v>0</v>
      </c>
      <c r="AK62" s="288">
        <f t="shared" si="24"/>
        <v>0</v>
      </c>
      <c r="AL62" s="288">
        <f t="shared" si="24"/>
        <v>0</v>
      </c>
      <c r="AM62" s="288">
        <f t="shared" si="24"/>
        <v>0</v>
      </c>
      <c r="AN62" s="288">
        <f t="shared" si="24"/>
        <v>0</v>
      </c>
      <c r="AO62" s="288">
        <f t="shared" si="24"/>
        <v>0</v>
      </c>
      <c r="AP62" s="288">
        <f t="shared" si="35"/>
        <v>0</v>
      </c>
      <c r="AQ62" s="288">
        <f t="shared" si="36"/>
        <v>0</v>
      </c>
      <c r="AR62" s="288">
        <f t="shared" si="37"/>
        <v>0</v>
      </c>
      <c r="AS62" s="288">
        <f t="shared" si="38"/>
        <v>0</v>
      </c>
      <c r="AT62" s="288">
        <f t="shared" si="34"/>
        <v>0</v>
      </c>
      <c r="AU62" s="288">
        <f t="shared" si="28"/>
        <v>0</v>
      </c>
      <c r="AV62" s="288">
        <f t="shared" si="28"/>
        <v>0</v>
      </c>
      <c r="AW62" s="288">
        <f t="shared" si="28"/>
        <v>0</v>
      </c>
      <c r="AX62" s="288">
        <f t="shared" si="28"/>
        <v>0</v>
      </c>
      <c r="AY62" s="288">
        <f t="shared" si="28"/>
        <v>0</v>
      </c>
      <c r="AZ62" s="288">
        <f t="shared" si="28"/>
        <v>0</v>
      </c>
      <c r="BA62" s="288">
        <f t="shared" si="28"/>
        <v>0</v>
      </c>
      <c r="BB62" s="288">
        <f t="shared" si="28"/>
        <v>0</v>
      </c>
      <c r="BC62" s="288">
        <f t="shared" si="28"/>
        <v>0</v>
      </c>
      <c r="BD62" s="288">
        <f t="shared" si="28"/>
        <v>0</v>
      </c>
      <c r="BE62" s="288">
        <f t="shared" si="28"/>
        <v>0</v>
      </c>
      <c r="BF62" s="288">
        <f t="shared" si="28"/>
        <v>0</v>
      </c>
      <c r="BG62" s="288">
        <f t="shared" si="28"/>
        <v>0</v>
      </c>
      <c r="BH62" s="288">
        <f t="shared" si="28"/>
        <v>0</v>
      </c>
      <c r="BI62" s="288">
        <f t="shared" si="41"/>
        <v>0</v>
      </c>
      <c r="BJ62" s="288">
        <f t="shared" si="41"/>
        <v>59</v>
      </c>
      <c r="BK62" s="288">
        <f t="shared" si="41"/>
        <v>0</v>
      </c>
      <c r="BL62" s="288">
        <f t="shared" si="26"/>
        <v>0</v>
      </c>
      <c r="BM62" s="288">
        <f t="shared" si="26"/>
        <v>0</v>
      </c>
      <c r="BN62" s="288">
        <f t="shared" si="26"/>
        <v>0</v>
      </c>
      <c r="BO62" s="288">
        <f t="shared" si="26"/>
        <v>0</v>
      </c>
      <c r="BP62" s="288">
        <f t="shared" si="26"/>
        <v>0</v>
      </c>
      <c r="BQ62" s="288">
        <f t="shared" si="26"/>
        <v>0</v>
      </c>
      <c r="BR62" s="288">
        <f t="shared" si="26"/>
        <v>0</v>
      </c>
      <c r="BS62" s="288">
        <f t="shared" si="26"/>
        <v>0</v>
      </c>
      <c r="BT62" s="288">
        <f t="shared" si="26"/>
        <v>0</v>
      </c>
      <c r="BU62" s="288">
        <f t="shared" si="26"/>
        <v>0</v>
      </c>
      <c r="BV62" s="288">
        <f t="shared" si="26"/>
        <v>0</v>
      </c>
      <c r="BW62" s="288">
        <f t="shared" si="26"/>
        <v>0</v>
      </c>
      <c r="BX62" s="288">
        <f t="shared" si="26"/>
        <v>0</v>
      </c>
      <c r="BY62" s="288">
        <f t="shared" si="26"/>
        <v>0</v>
      </c>
      <c r="BZ62" s="288">
        <f t="shared" si="26"/>
        <v>0</v>
      </c>
      <c r="CA62" s="288">
        <f t="shared" si="26"/>
        <v>0</v>
      </c>
      <c r="CB62" s="288">
        <f t="shared" si="39"/>
        <v>0</v>
      </c>
      <c r="CC62" s="288">
        <f t="shared" si="39"/>
        <v>0</v>
      </c>
      <c r="CD62" s="288">
        <f t="shared" si="23"/>
        <v>0</v>
      </c>
      <c r="CE62" s="288">
        <f t="shared" si="42"/>
        <v>0</v>
      </c>
      <c r="CF62" s="288">
        <f t="shared" si="43"/>
        <v>0</v>
      </c>
      <c r="CG62" s="288">
        <f t="shared" si="44"/>
        <v>0</v>
      </c>
      <c r="CH62" s="288">
        <f t="shared" si="45"/>
        <v>0</v>
      </c>
      <c r="CI62" s="288">
        <f t="shared" si="46"/>
        <v>0</v>
      </c>
      <c r="CJ62" s="288">
        <f t="shared" si="47"/>
        <v>0</v>
      </c>
      <c r="CK62" s="288">
        <f t="shared" si="48"/>
        <v>0</v>
      </c>
      <c r="CL62" s="288">
        <f t="shared" si="49"/>
        <v>0</v>
      </c>
      <c r="CM62" s="288">
        <f t="shared" si="50"/>
        <v>0</v>
      </c>
      <c r="CN62" s="288">
        <f t="shared" si="51"/>
        <v>0</v>
      </c>
      <c r="CO62" s="288">
        <f t="shared" si="52"/>
        <v>0</v>
      </c>
      <c r="CP62" s="288">
        <f t="shared" si="53"/>
        <v>0</v>
      </c>
      <c r="CQ62" s="288">
        <f t="shared" si="54"/>
        <v>0</v>
      </c>
      <c r="CR62" s="288">
        <f t="shared" si="55"/>
        <v>0</v>
      </c>
      <c r="CS62" s="288">
        <f t="shared" si="56"/>
        <v>0</v>
      </c>
      <c r="CT62" s="288">
        <f t="shared" si="40"/>
        <v>0</v>
      </c>
      <c r="CU62" s="288">
        <f t="shared" si="30"/>
        <v>0</v>
      </c>
      <c r="CV62" s="288">
        <f t="shared" si="29"/>
        <v>0</v>
      </c>
      <c r="CW62" s="288">
        <f t="shared" si="29"/>
        <v>0</v>
      </c>
      <c r="CX62" s="288">
        <f t="shared" si="21"/>
        <v>0</v>
      </c>
      <c r="CY62" s="288">
        <f t="shared" si="21"/>
        <v>0</v>
      </c>
      <c r="CZ62" s="288">
        <f t="shared" si="21"/>
        <v>0</v>
      </c>
      <c r="DA62" s="288">
        <f t="shared" si="21"/>
        <v>0</v>
      </c>
      <c r="DB62" s="288">
        <f t="shared" si="33"/>
        <v>0</v>
      </c>
      <c r="DC62" s="288">
        <f t="shared" si="33"/>
        <v>0</v>
      </c>
      <c r="DD62" s="288">
        <f t="shared" si="33"/>
        <v>0</v>
      </c>
      <c r="DE62" s="288">
        <f t="shared" si="33"/>
        <v>0</v>
      </c>
      <c r="DG62" s="314">
        <f t="shared" si="3"/>
        <v>59</v>
      </c>
      <c r="DH62" s="289">
        <f>MAX(BJ$3:BJ$109)</f>
        <v>59</v>
      </c>
      <c r="DJ62" s="288">
        <f>LOOKUP(DH62, 'Mortality Table'!A:A,('Mortality Table'!J:J/'Mortality Table'!I:I))</f>
        <v>1.3285136151319646E-2</v>
      </c>
      <c r="DK62" s="288">
        <f>LOOKUP(A62, 'Mortality Table'!A:A,('Mortality Table'!J:J/'Mortality Table'!I:I))</f>
        <v>1.3285136151319646E-2</v>
      </c>
      <c r="DL62" s="288">
        <f t="shared" si="4"/>
        <v>0</v>
      </c>
      <c r="DN62" s="288">
        <f>LOOKUP(DH62, 'Mortality Table'!A:A,('Mortality Table'!L:L/'Mortality Table'!K:K))</f>
        <v>1.3457304924956174E-2</v>
      </c>
      <c r="DO62" s="288">
        <f>LOOKUP(A62, 'Mortality Table'!A:A,('Mortality Table'!L:L/'Mortality Table'!K:K))</f>
        <v>1.3457304924956174E-2</v>
      </c>
      <c r="DP62" s="288">
        <f t="shared" si="5"/>
        <v>0</v>
      </c>
      <c r="DR62" s="288">
        <f>LOOKUP(DH62, 'Mortality Table'!A:A,('Mortality Table'!N:N/'Mortality Table'!M:M))</f>
        <v>1.3759754035187279E-2</v>
      </c>
      <c r="DS62" s="288">
        <f>LOOKUP(A62, 'Mortality Table'!A:A,('Mortality Table'!N:N/'Mortality Table'!M:M))</f>
        <v>1.3759754035187279E-2</v>
      </c>
      <c r="DT62" s="288">
        <f t="shared" si="6"/>
        <v>0</v>
      </c>
    </row>
    <row r="63" spans="1:124">
      <c r="A63" s="288">
        <v>60</v>
      </c>
      <c r="B63" s="288">
        <v>1.5656294269942847E-2</v>
      </c>
      <c r="C63" s="288">
        <f t="shared" si="57"/>
        <v>0</v>
      </c>
      <c r="D63" s="288">
        <f t="shared" si="57"/>
        <v>0</v>
      </c>
      <c r="E63" s="288">
        <f t="shared" si="57"/>
        <v>0</v>
      </c>
      <c r="F63" s="288">
        <f t="shared" si="57"/>
        <v>0</v>
      </c>
      <c r="G63" s="288">
        <f t="shared" si="57"/>
        <v>0</v>
      </c>
      <c r="H63" s="288">
        <f t="shared" si="57"/>
        <v>0</v>
      </c>
      <c r="I63" s="288">
        <f t="shared" si="57"/>
        <v>0</v>
      </c>
      <c r="J63" s="288">
        <f t="shared" si="57"/>
        <v>0</v>
      </c>
      <c r="K63" s="288">
        <f t="shared" si="57"/>
        <v>0</v>
      </c>
      <c r="L63" s="288">
        <f t="shared" si="57"/>
        <v>0</v>
      </c>
      <c r="M63" s="288">
        <f t="shared" si="57"/>
        <v>0</v>
      </c>
      <c r="N63" s="288">
        <f t="shared" si="57"/>
        <v>0</v>
      </c>
      <c r="O63" s="288">
        <f t="shared" si="57"/>
        <v>0</v>
      </c>
      <c r="P63" s="288">
        <f t="shared" si="57"/>
        <v>0</v>
      </c>
      <c r="Q63" s="288">
        <f t="shared" si="57"/>
        <v>0</v>
      </c>
      <c r="R63" s="288">
        <f t="shared" si="31"/>
        <v>0</v>
      </c>
      <c r="S63" s="288">
        <f t="shared" si="27"/>
        <v>0</v>
      </c>
      <c r="T63" s="288">
        <f t="shared" si="27"/>
        <v>0</v>
      </c>
      <c r="U63" s="288">
        <f t="shared" si="27"/>
        <v>0</v>
      </c>
      <c r="V63" s="288">
        <f t="shared" si="27"/>
        <v>0</v>
      </c>
      <c r="W63" s="288">
        <f t="shared" si="27"/>
        <v>0</v>
      </c>
      <c r="X63" s="288">
        <f t="shared" si="27"/>
        <v>0</v>
      </c>
      <c r="Y63" s="288">
        <f t="shared" si="27"/>
        <v>0</v>
      </c>
      <c r="Z63" s="288">
        <f t="shared" si="24"/>
        <v>0</v>
      </c>
      <c r="AA63" s="288">
        <f t="shared" si="24"/>
        <v>0</v>
      </c>
      <c r="AB63" s="288">
        <f t="shared" si="24"/>
        <v>0</v>
      </c>
      <c r="AC63" s="288">
        <f t="shared" si="24"/>
        <v>0</v>
      </c>
      <c r="AD63" s="288">
        <f t="shared" si="24"/>
        <v>0</v>
      </c>
      <c r="AE63" s="288">
        <f t="shared" si="24"/>
        <v>0</v>
      </c>
      <c r="AF63" s="288">
        <f t="shared" si="24"/>
        <v>0</v>
      </c>
      <c r="AG63" s="288">
        <f t="shared" si="24"/>
        <v>0</v>
      </c>
      <c r="AH63" s="288">
        <f t="shared" si="24"/>
        <v>0</v>
      </c>
      <c r="AI63" s="288">
        <f t="shared" ref="AI63:AR98" si="58">IF(AI$2&gt;$B63,(IF(AI$2&lt;=$B64,(IF(AVERAGE($B63,$B64)&gt;AI$2,$A63,$A64)),0)),0)</f>
        <v>0</v>
      </c>
      <c r="AJ63" s="288">
        <f t="shared" si="58"/>
        <v>0</v>
      </c>
      <c r="AK63" s="288">
        <f t="shared" si="58"/>
        <v>0</v>
      </c>
      <c r="AL63" s="288">
        <f t="shared" si="58"/>
        <v>0</v>
      </c>
      <c r="AM63" s="288">
        <f t="shared" si="58"/>
        <v>0</v>
      </c>
      <c r="AN63" s="288">
        <f t="shared" si="58"/>
        <v>0</v>
      </c>
      <c r="AO63" s="288">
        <f t="shared" si="58"/>
        <v>0</v>
      </c>
      <c r="AP63" s="288">
        <f t="shared" si="35"/>
        <v>0</v>
      </c>
      <c r="AQ63" s="288">
        <f t="shared" si="36"/>
        <v>0</v>
      </c>
      <c r="AR63" s="288">
        <f t="shared" si="37"/>
        <v>0</v>
      </c>
      <c r="AS63" s="288">
        <f t="shared" si="38"/>
        <v>0</v>
      </c>
      <c r="AT63" s="288">
        <f t="shared" si="34"/>
        <v>0</v>
      </c>
      <c r="AU63" s="288">
        <f t="shared" si="28"/>
        <v>0</v>
      </c>
      <c r="AV63" s="288">
        <f t="shared" si="28"/>
        <v>0</v>
      </c>
      <c r="AW63" s="288">
        <f t="shared" si="28"/>
        <v>0</v>
      </c>
      <c r="AX63" s="288">
        <f t="shared" si="28"/>
        <v>0</v>
      </c>
      <c r="AY63" s="288">
        <f t="shared" si="28"/>
        <v>0</v>
      </c>
      <c r="AZ63" s="288">
        <f t="shared" si="28"/>
        <v>0</v>
      </c>
      <c r="BA63" s="288">
        <f t="shared" si="28"/>
        <v>0</v>
      </c>
      <c r="BB63" s="288">
        <f t="shared" si="28"/>
        <v>0</v>
      </c>
      <c r="BC63" s="288">
        <f t="shared" si="28"/>
        <v>0</v>
      </c>
      <c r="BD63" s="288">
        <f t="shared" si="28"/>
        <v>0</v>
      </c>
      <c r="BE63" s="288">
        <f t="shared" si="28"/>
        <v>0</v>
      </c>
      <c r="BF63" s="288">
        <f t="shared" si="28"/>
        <v>0</v>
      </c>
      <c r="BG63" s="288">
        <f t="shared" si="28"/>
        <v>0</v>
      </c>
      <c r="BH63" s="288">
        <f t="shared" si="28"/>
        <v>0</v>
      </c>
      <c r="BI63" s="288">
        <f t="shared" si="41"/>
        <v>0</v>
      </c>
      <c r="BJ63" s="288">
        <f t="shared" si="41"/>
        <v>0</v>
      </c>
      <c r="BK63" s="288">
        <f t="shared" si="41"/>
        <v>60</v>
      </c>
      <c r="BL63" s="288">
        <f t="shared" si="26"/>
        <v>0</v>
      </c>
      <c r="BM63" s="288">
        <f t="shared" si="26"/>
        <v>0</v>
      </c>
      <c r="BN63" s="288">
        <f t="shared" si="26"/>
        <v>0</v>
      </c>
      <c r="BO63" s="288">
        <f t="shared" si="26"/>
        <v>0</v>
      </c>
      <c r="BP63" s="288">
        <f t="shared" si="26"/>
        <v>0</v>
      </c>
      <c r="BQ63" s="288">
        <f t="shared" si="26"/>
        <v>0</v>
      </c>
      <c r="BR63" s="288">
        <f t="shared" si="26"/>
        <v>0</v>
      </c>
      <c r="BS63" s="288">
        <f t="shared" si="26"/>
        <v>0</v>
      </c>
      <c r="BT63" s="288">
        <f t="shared" si="26"/>
        <v>0</v>
      </c>
      <c r="BU63" s="288">
        <f t="shared" si="26"/>
        <v>0</v>
      </c>
      <c r="BV63" s="288">
        <f t="shared" si="26"/>
        <v>0</v>
      </c>
      <c r="BW63" s="288">
        <f t="shared" si="26"/>
        <v>0</v>
      </c>
      <c r="BX63" s="288">
        <f t="shared" si="26"/>
        <v>0</v>
      </c>
      <c r="BY63" s="288">
        <f t="shared" si="26"/>
        <v>0</v>
      </c>
      <c r="BZ63" s="288">
        <f t="shared" si="26"/>
        <v>0</v>
      </c>
      <c r="CA63" s="288">
        <f t="shared" si="26"/>
        <v>0</v>
      </c>
      <c r="CB63" s="288">
        <f t="shared" si="39"/>
        <v>0</v>
      </c>
      <c r="CC63" s="288">
        <f t="shared" si="39"/>
        <v>0</v>
      </c>
      <c r="CD63" s="288">
        <f t="shared" si="23"/>
        <v>0</v>
      </c>
      <c r="CE63" s="288">
        <f t="shared" si="42"/>
        <v>0</v>
      </c>
      <c r="CF63" s="288">
        <f t="shared" si="43"/>
        <v>0</v>
      </c>
      <c r="CG63" s="288">
        <f t="shared" si="44"/>
        <v>0</v>
      </c>
      <c r="CH63" s="288">
        <f t="shared" si="45"/>
        <v>0</v>
      </c>
      <c r="CI63" s="288">
        <f t="shared" si="46"/>
        <v>0</v>
      </c>
      <c r="CJ63" s="288">
        <f t="shared" si="47"/>
        <v>0</v>
      </c>
      <c r="CK63" s="288">
        <f t="shared" si="48"/>
        <v>0</v>
      </c>
      <c r="CL63" s="288">
        <f t="shared" si="49"/>
        <v>0</v>
      </c>
      <c r="CM63" s="288">
        <f t="shared" si="50"/>
        <v>0</v>
      </c>
      <c r="CN63" s="288">
        <f t="shared" si="51"/>
        <v>0</v>
      </c>
      <c r="CO63" s="288">
        <f t="shared" si="52"/>
        <v>0</v>
      </c>
      <c r="CP63" s="288">
        <f t="shared" si="53"/>
        <v>0</v>
      </c>
      <c r="CQ63" s="288">
        <f t="shared" si="54"/>
        <v>0</v>
      </c>
      <c r="CR63" s="288">
        <f t="shared" si="55"/>
        <v>0</v>
      </c>
      <c r="CS63" s="288">
        <f t="shared" si="56"/>
        <v>0</v>
      </c>
      <c r="CT63" s="288">
        <f t="shared" si="40"/>
        <v>0</v>
      </c>
      <c r="CU63" s="288">
        <f t="shared" si="30"/>
        <v>0</v>
      </c>
      <c r="CV63" s="288">
        <f t="shared" si="29"/>
        <v>0</v>
      </c>
      <c r="CW63" s="288">
        <f t="shared" si="29"/>
        <v>0</v>
      </c>
      <c r="CX63" s="288">
        <f t="shared" si="21"/>
        <v>0</v>
      </c>
      <c r="CY63" s="288">
        <f t="shared" si="21"/>
        <v>0</v>
      </c>
      <c r="CZ63" s="288">
        <f t="shared" si="21"/>
        <v>0</v>
      </c>
      <c r="DA63" s="288">
        <f t="shared" si="21"/>
        <v>0</v>
      </c>
      <c r="DB63" s="288">
        <f t="shared" si="33"/>
        <v>0</v>
      </c>
      <c r="DC63" s="288">
        <f t="shared" si="33"/>
        <v>0</v>
      </c>
      <c r="DD63" s="288">
        <f t="shared" si="33"/>
        <v>0</v>
      </c>
      <c r="DE63" s="288">
        <f t="shared" si="33"/>
        <v>0</v>
      </c>
      <c r="DG63" s="314">
        <f t="shared" si="3"/>
        <v>60</v>
      </c>
      <c r="DH63" s="289">
        <f>MAX(BK$3:BK$109)</f>
        <v>60</v>
      </c>
      <c r="DJ63" s="288">
        <f>LOOKUP(DH63, 'Mortality Table'!A:A,('Mortality Table'!J:J/'Mortality Table'!I:I))</f>
        <v>1.4412787115256362E-2</v>
      </c>
      <c r="DK63" s="288">
        <f>LOOKUP(A63, 'Mortality Table'!A:A,('Mortality Table'!J:J/'Mortality Table'!I:I))</f>
        <v>1.4412787115256362E-2</v>
      </c>
      <c r="DL63" s="288">
        <f t="shared" si="4"/>
        <v>0</v>
      </c>
      <c r="DN63" s="288">
        <f>LOOKUP(DH63, 'Mortality Table'!A:A,('Mortality Table'!L:L/'Mortality Table'!K:K))</f>
        <v>1.4599569685946964E-2</v>
      </c>
      <c r="DO63" s="288">
        <f>LOOKUP(A63, 'Mortality Table'!A:A,('Mortality Table'!L:L/'Mortality Table'!K:K))</f>
        <v>1.4599569685946964E-2</v>
      </c>
      <c r="DP63" s="288">
        <f t="shared" si="5"/>
        <v>0</v>
      </c>
      <c r="DR63" s="288">
        <f>LOOKUP(DH63, 'Mortality Table'!A:A,('Mortality Table'!N:N/'Mortality Table'!M:M))</f>
        <v>1.4927690872610627E-2</v>
      </c>
      <c r="DS63" s="288">
        <f>LOOKUP(A63, 'Mortality Table'!A:A,('Mortality Table'!N:N/'Mortality Table'!M:M))</f>
        <v>1.4927690872610627E-2</v>
      </c>
      <c r="DT63" s="288">
        <f t="shared" si="6"/>
        <v>0</v>
      </c>
    </row>
    <row r="64" spans="1:124">
      <c r="A64" s="288">
        <v>61</v>
      </c>
      <c r="B64" s="288">
        <v>1.6860623805860897E-2</v>
      </c>
      <c r="C64" s="288">
        <f t="shared" si="57"/>
        <v>0</v>
      </c>
      <c r="D64" s="288">
        <f t="shared" si="57"/>
        <v>0</v>
      </c>
      <c r="E64" s="288">
        <f t="shared" si="57"/>
        <v>0</v>
      </c>
      <c r="F64" s="288">
        <f t="shared" si="57"/>
        <v>0</v>
      </c>
      <c r="G64" s="288">
        <f t="shared" si="57"/>
        <v>0</v>
      </c>
      <c r="H64" s="288">
        <f t="shared" si="57"/>
        <v>0</v>
      </c>
      <c r="I64" s="288">
        <f t="shared" si="57"/>
        <v>0</v>
      </c>
      <c r="J64" s="288">
        <f t="shared" si="57"/>
        <v>0</v>
      </c>
      <c r="K64" s="288">
        <f t="shared" si="57"/>
        <v>0</v>
      </c>
      <c r="L64" s="288">
        <f t="shared" si="57"/>
        <v>0</v>
      </c>
      <c r="M64" s="288">
        <f t="shared" si="57"/>
        <v>0</v>
      </c>
      <c r="N64" s="288">
        <f t="shared" si="57"/>
        <v>0</v>
      </c>
      <c r="O64" s="288">
        <f t="shared" si="57"/>
        <v>0</v>
      </c>
      <c r="P64" s="288">
        <f t="shared" si="57"/>
        <v>0</v>
      </c>
      <c r="Q64" s="288">
        <f t="shared" si="57"/>
        <v>0</v>
      </c>
      <c r="R64" s="288">
        <f t="shared" si="31"/>
        <v>0</v>
      </c>
      <c r="S64" s="288">
        <f t="shared" si="27"/>
        <v>0</v>
      </c>
      <c r="T64" s="288">
        <f t="shared" si="27"/>
        <v>0</v>
      </c>
      <c r="U64" s="288">
        <f t="shared" si="27"/>
        <v>0</v>
      </c>
      <c r="V64" s="288">
        <f t="shared" si="27"/>
        <v>0</v>
      </c>
      <c r="W64" s="288">
        <f t="shared" si="27"/>
        <v>0</v>
      </c>
      <c r="X64" s="288">
        <f t="shared" si="27"/>
        <v>0</v>
      </c>
      <c r="Y64" s="288">
        <f t="shared" si="27"/>
        <v>0</v>
      </c>
      <c r="Z64" s="288">
        <f t="shared" si="27"/>
        <v>0</v>
      </c>
      <c r="AA64" s="288">
        <f t="shared" si="27"/>
        <v>0</v>
      </c>
      <c r="AB64" s="288">
        <f t="shared" si="27"/>
        <v>0</v>
      </c>
      <c r="AC64" s="288">
        <f t="shared" si="27"/>
        <v>0</v>
      </c>
      <c r="AD64" s="288">
        <f t="shared" si="27"/>
        <v>0</v>
      </c>
      <c r="AE64" s="288">
        <f t="shared" si="27"/>
        <v>0</v>
      </c>
      <c r="AF64" s="288">
        <f t="shared" si="27"/>
        <v>0</v>
      </c>
      <c r="AG64" s="288">
        <f t="shared" si="27"/>
        <v>0</v>
      </c>
      <c r="AH64" s="288">
        <f t="shared" si="27"/>
        <v>0</v>
      </c>
      <c r="AI64" s="288">
        <f t="shared" si="58"/>
        <v>0</v>
      </c>
      <c r="AJ64" s="288">
        <f t="shared" si="58"/>
        <v>0</v>
      </c>
      <c r="AK64" s="288">
        <f t="shared" si="58"/>
        <v>0</v>
      </c>
      <c r="AL64" s="288">
        <f t="shared" si="58"/>
        <v>0</v>
      </c>
      <c r="AM64" s="288">
        <f t="shared" si="58"/>
        <v>0</v>
      </c>
      <c r="AN64" s="288">
        <f t="shared" si="58"/>
        <v>0</v>
      </c>
      <c r="AO64" s="288">
        <f t="shared" si="58"/>
        <v>0</v>
      </c>
      <c r="AP64" s="288">
        <f t="shared" si="35"/>
        <v>0</v>
      </c>
      <c r="AQ64" s="288">
        <f t="shared" si="36"/>
        <v>0</v>
      </c>
      <c r="AR64" s="288">
        <f t="shared" si="37"/>
        <v>0</v>
      </c>
      <c r="AS64" s="288">
        <f t="shared" si="38"/>
        <v>0</v>
      </c>
      <c r="AT64" s="288">
        <f t="shared" si="34"/>
        <v>0</v>
      </c>
      <c r="AU64" s="288">
        <f t="shared" si="28"/>
        <v>0</v>
      </c>
      <c r="AV64" s="288">
        <f t="shared" si="28"/>
        <v>0</v>
      </c>
      <c r="AW64" s="288">
        <f t="shared" si="28"/>
        <v>0</v>
      </c>
      <c r="AX64" s="288">
        <f t="shared" si="28"/>
        <v>0</v>
      </c>
      <c r="AY64" s="288">
        <f t="shared" si="28"/>
        <v>0</v>
      </c>
      <c r="AZ64" s="288">
        <f t="shared" si="28"/>
        <v>0</v>
      </c>
      <c r="BA64" s="288">
        <f t="shared" si="28"/>
        <v>0</v>
      </c>
      <c r="BB64" s="288">
        <f t="shared" si="28"/>
        <v>0</v>
      </c>
      <c r="BC64" s="288">
        <f t="shared" si="28"/>
        <v>0</v>
      </c>
      <c r="BD64" s="288">
        <f t="shared" si="28"/>
        <v>0</v>
      </c>
      <c r="BE64" s="288">
        <f t="shared" si="28"/>
        <v>0</v>
      </c>
      <c r="BF64" s="288">
        <f t="shared" si="28"/>
        <v>0</v>
      </c>
      <c r="BG64" s="288">
        <f t="shared" si="28"/>
        <v>0</v>
      </c>
      <c r="BH64" s="288">
        <f t="shared" si="28"/>
        <v>0</v>
      </c>
      <c r="BI64" s="288">
        <f t="shared" si="41"/>
        <v>0</v>
      </c>
      <c r="BJ64" s="288">
        <f t="shared" si="41"/>
        <v>0</v>
      </c>
      <c r="BK64" s="288">
        <f t="shared" si="41"/>
        <v>0</v>
      </c>
      <c r="BL64" s="288">
        <f t="shared" si="26"/>
        <v>61</v>
      </c>
      <c r="BM64" s="288">
        <f t="shared" si="26"/>
        <v>0</v>
      </c>
      <c r="BN64" s="288">
        <f t="shared" si="26"/>
        <v>0</v>
      </c>
      <c r="BO64" s="288">
        <f t="shared" si="26"/>
        <v>0</v>
      </c>
      <c r="BP64" s="288">
        <f t="shared" si="26"/>
        <v>0</v>
      </c>
      <c r="BQ64" s="288">
        <f t="shared" si="26"/>
        <v>0</v>
      </c>
      <c r="BR64" s="288">
        <f t="shared" si="26"/>
        <v>0</v>
      </c>
      <c r="BS64" s="288">
        <f t="shared" si="26"/>
        <v>0</v>
      </c>
      <c r="BT64" s="288">
        <f t="shared" si="26"/>
        <v>0</v>
      </c>
      <c r="BU64" s="288">
        <f t="shared" si="26"/>
        <v>0</v>
      </c>
      <c r="BV64" s="288">
        <f t="shared" si="26"/>
        <v>0</v>
      </c>
      <c r="BW64" s="288">
        <f t="shared" si="26"/>
        <v>0</v>
      </c>
      <c r="BX64" s="288">
        <f t="shared" si="26"/>
        <v>0</v>
      </c>
      <c r="BY64" s="288">
        <f t="shared" si="26"/>
        <v>0</v>
      </c>
      <c r="BZ64" s="288">
        <f t="shared" si="26"/>
        <v>0</v>
      </c>
      <c r="CA64" s="288">
        <f t="shared" si="26"/>
        <v>0</v>
      </c>
      <c r="CB64" s="288">
        <f t="shared" si="39"/>
        <v>0</v>
      </c>
      <c r="CC64" s="288">
        <f t="shared" si="39"/>
        <v>0</v>
      </c>
      <c r="CD64" s="288">
        <f t="shared" si="23"/>
        <v>0</v>
      </c>
      <c r="CE64" s="288">
        <f t="shared" si="42"/>
        <v>0</v>
      </c>
      <c r="CF64" s="288">
        <f t="shared" si="43"/>
        <v>0</v>
      </c>
      <c r="CG64" s="288">
        <f t="shared" si="44"/>
        <v>0</v>
      </c>
      <c r="CH64" s="288">
        <f t="shared" si="45"/>
        <v>0</v>
      </c>
      <c r="CI64" s="288">
        <f t="shared" si="46"/>
        <v>0</v>
      </c>
      <c r="CJ64" s="288">
        <f t="shared" si="47"/>
        <v>0</v>
      </c>
      <c r="CK64" s="288">
        <f t="shared" si="48"/>
        <v>0</v>
      </c>
      <c r="CL64" s="288">
        <f t="shared" si="49"/>
        <v>0</v>
      </c>
      <c r="CM64" s="288">
        <f t="shared" si="50"/>
        <v>0</v>
      </c>
      <c r="CN64" s="288">
        <f t="shared" si="51"/>
        <v>0</v>
      </c>
      <c r="CO64" s="288">
        <f t="shared" si="52"/>
        <v>0</v>
      </c>
      <c r="CP64" s="288">
        <f t="shared" si="53"/>
        <v>0</v>
      </c>
      <c r="CQ64" s="288">
        <f t="shared" si="54"/>
        <v>0</v>
      </c>
      <c r="CR64" s="288">
        <f t="shared" si="55"/>
        <v>0</v>
      </c>
      <c r="CS64" s="288">
        <f t="shared" si="56"/>
        <v>0</v>
      </c>
      <c r="CT64" s="288">
        <f t="shared" si="40"/>
        <v>0</v>
      </c>
      <c r="CU64" s="288">
        <f t="shared" si="30"/>
        <v>0</v>
      </c>
      <c r="CV64" s="288">
        <f t="shared" si="29"/>
        <v>0</v>
      </c>
      <c r="CW64" s="288">
        <f t="shared" si="29"/>
        <v>0</v>
      </c>
      <c r="CX64" s="288">
        <f t="shared" si="21"/>
        <v>0</v>
      </c>
      <c r="CY64" s="288">
        <f t="shared" si="21"/>
        <v>0</v>
      </c>
      <c r="CZ64" s="288">
        <f t="shared" si="21"/>
        <v>0</v>
      </c>
      <c r="DA64" s="288">
        <f t="shared" si="21"/>
        <v>0</v>
      </c>
      <c r="DB64" s="288">
        <f t="shared" si="33"/>
        <v>0</v>
      </c>
      <c r="DC64" s="288">
        <f t="shared" si="33"/>
        <v>0</v>
      </c>
      <c r="DD64" s="288">
        <f t="shared" si="33"/>
        <v>0</v>
      </c>
      <c r="DE64" s="288">
        <f t="shared" si="33"/>
        <v>0</v>
      </c>
      <c r="DG64" s="314">
        <f t="shared" si="3"/>
        <v>61</v>
      </c>
      <c r="DH64" s="289">
        <f>MAX(BL$3:BL$109)</f>
        <v>61</v>
      </c>
      <c r="DJ64" s="288">
        <f>LOOKUP(DH64, 'Mortality Table'!A:A,('Mortality Table'!J:J/'Mortality Table'!I:I))</f>
        <v>1.5521462317607773E-2</v>
      </c>
      <c r="DK64" s="288">
        <f>LOOKUP(A64, 'Mortality Table'!A:A,('Mortality Table'!J:J/'Mortality Table'!I:I))</f>
        <v>1.5521462317607773E-2</v>
      </c>
      <c r="DL64" s="288">
        <f t="shared" si="4"/>
        <v>0</v>
      </c>
      <c r="DN64" s="288">
        <f>LOOKUP(DH64, 'Mortality Table'!A:A,('Mortality Table'!L:L/'Mortality Table'!K:K))</f>
        <v>1.5722612768896364E-2</v>
      </c>
      <c r="DO64" s="288">
        <f>LOOKUP(A64, 'Mortality Table'!A:A,('Mortality Table'!L:L/'Mortality Table'!K:K))</f>
        <v>1.5722612768896364E-2</v>
      </c>
      <c r="DP64" s="288">
        <f t="shared" si="5"/>
        <v>0</v>
      </c>
      <c r="DR64" s="288">
        <f>LOOKUP(DH64, 'Mortality Table'!A:A,('Mortality Table'!N:N/'Mortality Table'!M:M))</f>
        <v>1.6075974030232001E-2</v>
      </c>
      <c r="DS64" s="288">
        <f>LOOKUP(A64, 'Mortality Table'!A:A,('Mortality Table'!N:N/'Mortality Table'!M:M))</f>
        <v>1.6075974030232001E-2</v>
      </c>
      <c r="DT64" s="288">
        <f t="shared" si="6"/>
        <v>0</v>
      </c>
    </row>
    <row r="65" spans="1:124">
      <c r="A65" s="288">
        <v>62</v>
      </c>
      <c r="B65" s="288">
        <v>1.812147445200207E-2</v>
      </c>
      <c r="C65" s="288">
        <f t="shared" si="57"/>
        <v>0</v>
      </c>
      <c r="D65" s="288">
        <f t="shared" si="57"/>
        <v>0</v>
      </c>
      <c r="E65" s="288">
        <f t="shared" si="57"/>
        <v>0</v>
      </c>
      <c r="F65" s="288">
        <f t="shared" si="57"/>
        <v>0</v>
      </c>
      <c r="G65" s="288">
        <f t="shared" si="57"/>
        <v>0</v>
      </c>
      <c r="H65" s="288">
        <f t="shared" si="57"/>
        <v>0</v>
      </c>
      <c r="I65" s="288">
        <f t="shared" si="57"/>
        <v>0</v>
      </c>
      <c r="J65" s="288">
        <f t="shared" si="57"/>
        <v>0</v>
      </c>
      <c r="K65" s="288">
        <f t="shared" si="57"/>
        <v>0</v>
      </c>
      <c r="L65" s="288">
        <f t="shared" si="57"/>
        <v>0</v>
      </c>
      <c r="M65" s="288">
        <f t="shared" si="57"/>
        <v>0</v>
      </c>
      <c r="N65" s="288">
        <f t="shared" si="57"/>
        <v>0</v>
      </c>
      <c r="O65" s="288">
        <f t="shared" si="57"/>
        <v>0</v>
      </c>
      <c r="P65" s="288">
        <f t="shared" si="57"/>
        <v>0</v>
      </c>
      <c r="Q65" s="288">
        <f t="shared" si="57"/>
        <v>0</v>
      </c>
      <c r="R65" s="288">
        <f t="shared" si="31"/>
        <v>0</v>
      </c>
      <c r="S65" s="288">
        <f t="shared" si="27"/>
        <v>0</v>
      </c>
      <c r="T65" s="288">
        <f t="shared" si="27"/>
        <v>0</v>
      </c>
      <c r="U65" s="288">
        <f t="shared" si="27"/>
        <v>0</v>
      </c>
      <c r="V65" s="288">
        <f t="shared" si="27"/>
        <v>0</v>
      </c>
      <c r="W65" s="288">
        <f t="shared" si="27"/>
        <v>0</v>
      </c>
      <c r="X65" s="288">
        <f t="shared" si="27"/>
        <v>0</v>
      </c>
      <c r="Y65" s="288">
        <f t="shared" si="27"/>
        <v>0</v>
      </c>
      <c r="Z65" s="288">
        <f t="shared" si="27"/>
        <v>0</v>
      </c>
      <c r="AA65" s="288">
        <f t="shared" si="27"/>
        <v>0</v>
      </c>
      <c r="AB65" s="288">
        <f t="shared" si="27"/>
        <v>0</v>
      </c>
      <c r="AC65" s="288">
        <f t="shared" si="27"/>
        <v>0</v>
      </c>
      <c r="AD65" s="288">
        <f t="shared" si="27"/>
        <v>0</v>
      </c>
      <c r="AE65" s="288">
        <f t="shared" si="27"/>
        <v>0</v>
      </c>
      <c r="AF65" s="288">
        <f t="shared" si="27"/>
        <v>0</v>
      </c>
      <c r="AG65" s="288">
        <f t="shared" si="27"/>
        <v>0</v>
      </c>
      <c r="AH65" s="288">
        <f t="shared" si="27"/>
        <v>0</v>
      </c>
      <c r="AI65" s="288">
        <f t="shared" si="58"/>
        <v>0</v>
      </c>
      <c r="AJ65" s="288">
        <f t="shared" si="58"/>
        <v>0</v>
      </c>
      <c r="AK65" s="288">
        <f t="shared" si="58"/>
        <v>0</v>
      </c>
      <c r="AL65" s="288">
        <f t="shared" si="58"/>
        <v>0</v>
      </c>
      <c r="AM65" s="288">
        <f t="shared" si="58"/>
        <v>0</v>
      </c>
      <c r="AN65" s="288">
        <f t="shared" si="58"/>
        <v>0</v>
      </c>
      <c r="AO65" s="288">
        <f t="shared" si="58"/>
        <v>0</v>
      </c>
      <c r="AP65" s="288">
        <f t="shared" si="35"/>
        <v>0</v>
      </c>
      <c r="AQ65" s="288">
        <f t="shared" si="36"/>
        <v>0</v>
      </c>
      <c r="AR65" s="288">
        <f t="shared" si="37"/>
        <v>0</v>
      </c>
      <c r="AS65" s="288">
        <f t="shared" si="38"/>
        <v>0</v>
      </c>
      <c r="AT65" s="288">
        <f t="shared" si="34"/>
        <v>0</v>
      </c>
      <c r="AU65" s="288">
        <f t="shared" si="28"/>
        <v>0</v>
      </c>
      <c r="AV65" s="288">
        <f t="shared" si="28"/>
        <v>0</v>
      </c>
      <c r="AW65" s="288">
        <f t="shared" si="28"/>
        <v>0</v>
      </c>
      <c r="AX65" s="288">
        <f t="shared" si="28"/>
        <v>0</v>
      </c>
      <c r="AY65" s="288">
        <f t="shared" si="28"/>
        <v>0</v>
      </c>
      <c r="AZ65" s="288">
        <f t="shared" si="28"/>
        <v>0</v>
      </c>
      <c r="BA65" s="288">
        <f t="shared" si="28"/>
        <v>0</v>
      </c>
      <c r="BB65" s="288">
        <f t="shared" si="28"/>
        <v>0</v>
      </c>
      <c r="BC65" s="288">
        <f t="shared" si="28"/>
        <v>0</v>
      </c>
      <c r="BD65" s="288">
        <f t="shared" si="28"/>
        <v>0</v>
      </c>
      <c r="BE65" s="288">
        <f t="shared" si="28"/>
        <v>0</v>
      </c>
      <c r="BF65" s="288">
        <f t="shared" si="28"/>
        <v>0</v>
      </c>
      <c r="BG65" s="288">
        <f t="shared" si="28"/>
        <v>0</v>
      </c>
      <c r="BH65" s="288">
        <f t="shared" si="28"/>
        <v>0</v>
      </c>
      <c r="BI65" s="288">
        <f t="shared" si="41"/>
        <v>0</v>
      </c>
      <c r="BJ65" s="288">
        <f t="shared" si="41"/>
        <v>0</v>
      </c>
      <c r="BK65" s="288">
        <f t="shared" si="41"/>
        <v>0</v>
      </c>
      <c r="BL65" s="288">
        <f t="shared" si="26"/>
        <v>0</v>
      </c>
      <c r="BM65" s="288">
        <f t="shared" si="26"/>
        <v>62</v>
      </c>
      <c r="BN65" s="288">
        <f t="shared" si="26"/>
        <v>0</v>
      </c>
      <c r="BO65" s="288">
        <f t="shared" si="26"/>
        <v>0</v>
      </c>
      <c r="BP65" s="288">
        <f t="shared" si="26"/>
        <v>0</v>
      </c>
      <c r="BQ65" s="288">
        <f t="shared" si="26"/>
        <v>0</v>
      </c>
      <c r="BR65" s="288">
        <f t="shared" si="26"/>
        <v>0</v>
      </c>
      <c r="BS65" s="288">
        <f t="shared" si="26"/>
        <v>0</v>
      </c>
      <c r="BT65" s="288">
        <f t="shared" si="26"/>
        <v>0</v>
      </c>
      <c r="BU65" s="288">
        <f t="shared" si="26"/>
        <v>0</v>
      </c>
      <c r="BV65" s="288">
        <f t="shared" si="26"/>
        <v>0</v>
      </c>
      <c r="BW65" s="288">
        <f t="shared" si="26"/>
        <v>0</v>
      </c>
      <c r="BX65" s="288">
        <f t="shared" si="26"/>
        <v>0</v>
      </c>
      <c r="BY65" s="288">
        <f t="shared" si="26"/>
        <v>0</v>
      </c>
      <c r="BZ65" s="288">
        <f t="shared" si="26"/>
        <v>0</v>
      </c>
      <c r="CA65" s="288">
        <f t="shared" si="26"/>
        <v>0</v>
      </c>
      <c r="CB65" s="288">
        <f t="shared" si="39"/>
        <v>0</v>
      </c>
      <c r="CC65" s="288">
        <f t="shared" si="39"/>
        <v>0</v>
      </c>
      <c r="CD65" s="288">
        <f t="shared" si="23"/>
        <v>0</v>
      </c>
      <c r="CE65" s="288">
        <f t="shared" si="42"/>
        <v>0</v>
      </c>
      <c r="CF65" s="288">
        <f t="shared" si="43"/>
        <v>0</v>
      </c>
      <c r="CG65" s="288">
        <f t="shared" si="44"/>
        <v>0</v>
      </c>
      <c r="CH65" s="288">
        <f t="shared" si="45"/>
        <v>0</v>
      </c>
      <c r="CI65" s="288">
        <f t="shared" si="46"/>
        <v>0</v>
      </c>
      <c r="CJ65" s="288">
        <f t="shared" si="47"/>
        <v>0</v>
      </c>
      <c r="CK65" s="288">
        <f t="shared" si="48"/>
        <v>0</v>
      </c>
      <c r="CL65" s="288">
        <f t="shared" si="49"/>
        <v>0</v>
      </c>
      <c r="CM65" s="288">
        <f t="shared" si="50"/>
        <v>0</v>
      </c>
      <c r="CN65" s="288">
        <f t="shared" si="51"/>
        <v>0</v>
      </c>
      <c r="CO65" s="288">
        <f t="shared" si="52"/>
        <v>0</v>
      </c>
      <c r="CP65" s="288">
        <f t="shared" si="53"/>
        <v>0</v>
      </c>
      <c r="CQ65" s="288">
        <f t="shared" si="54"/>
        <v>0</v>
      </c>
      <c r="CR65" s="288">
        <f t="shared" si="55"/>
        <v>0</v>
      </c>
      <c r="CS65" s="288">
        <f t="shared" si="56"/>
        <v>0</v>
      </c>
      <c r="CT65" s="288">
        <f t="shared" si="40"/>
        <v>0</v>
      </c>
      <c r="CU65" s="288">
        <f t="shared" si="30"/>
        <v>0</v>
      </c>
      <c r="CV65" s="288">
        <f t="shared" si="29"/>
        <v>0</v>
      </c>
      <c r="CW65" s="288">
        <f t="shared" si="29"/>
        <v>0</v>
      </c>
      <c r="CX65" s="288">
        <f t="shared" si="21"/>
        <v>0</v>
      </c>
      <c r="CY65" s="288">
        <f t="shared" si="21"/>
        <v>0</v>
      </c>
      <c r="CZ65" s="288">
        <f t="shared" si="21"/>
        <v>0</v>
      </c>
      <c r="DA65" s="288">
        <f t="shared" si="21"/>
        <v>0</v>
      </c>
      <c r="DB65" s="288">
        <f t="shared" si="33"/>
        <v>0</v>
      </c>
      <c r="DC65" s="288">
        <f t="shared" si="33"/>
        <v>0</v>
      </c>
      <c r="DD65" s="288">
        <f t="shared" si="33"/>
        <v>0</v>
      </c>
      <c r="DE65" s="288">
        <f t="shared" si="33"/>
        <v>0</v>
      </c>
      <c r="DG65" s="314">
        <f t="shared" si="3"/>
        <v>62</v>
      </c>
      <c r="DH65" s="289">
        <f>MAX(BM$3:BM$109)</f>
        <v>62</v>
      </c>
      <c r="DJ65" s="288">
        <f>LOOKUP(DH65, 'Mortality Table'!A:A,('Mortality Table'!J:J/'Mortality Table'!I:I))</f>
        <v>1.6682169419406052E-2</v>
      </c>
      <c r="DK65" s="288">
        <f>LOOKUP(A65, 'Mortality Table'!A:A,('Mortality Table'!J:J/'Mortality Table'!I:I))</f>
        <v>1.6682169419406052E-2</v>
      </c>
      <c r="DL65" s="288">
        <f t="shared" si="4"/>
        <v>0</v>
      </c>
      <c r="DN65" s="288">
        <f>LOOKUP(DH65, 'Mortality Table'!A:A,('Mortality Table'!L:L/'Mortality Table'!K:K))</f>
        <v>1.6898362058895902E-2</v>
      </c>
      <c r="DO65" s="288">
        <f>LOOKUP(A65, 'Mortality Table'!A:A,('Mortality Table'!L:L/'Mortality Table'!K:K))</f>
        <v>1.6898362058895902E-2</v>
      </c>
      <c r="DP65" s="288">
        <f t="shared" si="5"/>
        <v>0</v>
      </c>
      <c r="DR65" s="288">
        <f>LOOKUP(DH65, 'Mortality Table'!A:A,('Mortality Table'!N:N/'Mortality Table'!M:M))</f>
        <v>1.7278147951953742E-2</v>
      </c>
      <c r="DS65" s="288">
        <f>LOOKUP(A65, 'Mortality Table'!A:A,('Mortality Table'!N:N/'Mortality Table'!M:M))</f>
        <v>1.7278147951953742E-2</v>
      </c>
      <c r="DT65" s="288">
        <f t="shared" si="6"/>
        <v>0</v>
      </c>
    </row>
    <row r="66" spans="1:124">
      <c r="A66" s="288">
        <v>63</v>
      </c>
      <c r="B66" s="288">
        <v>1.9432698857429279E-2</v>
      </c>
      <c r="C66" s="288">
        <f t="shared" si="57"/>
        <v>0</v>
      </c>
      <c r="D66" s="288">
        <f t="shared" si="57"/>
        <v>0</v>
      </c>
      <c r="E66" s="288">
        <f t="shared" si="57"/>
        <v>0</v>
      </c>
      <c r="F66" s="288">
        <f t="shared" si="57"/>
        <v>0</v>
      </c>
      <c r="G66" s="288">
        <f t="shared" si="57"/>
        <v>0</v>
      </c>
      <c r="H66" s="288">
        <f t="shared" si="57"/>
        <v>0</v>
      </c>
      <c r="I66" s="288">
        <f t="shared" si="57"/>
        <v>0</v>
      </c>
      <c r="J66" s="288">
        <f t="shared" si="57"/>
        <v>0</v>
      </c>
      <c r="K66" s="288">
        <f t="shared" si="57"/>
        <v>0</v>
      </c>
      <c r="L66" s="288">
        <f t="shared" si="57"/>
        <v>0</v>
      </c>
      <c r="M66" s="288">
        <f t="shared" si="57"/>
        <v>0</v>
      </c>
      <c r="N66" s="288">
        <f t="shared" si="57"/>
        <v>0</v>
      </c>
      <c r="O66" s="288">
        <f t="shared" si="57"/>
        <v>0</v>
      </c>
      <c r="P66" s="288">
        <f t="shared" si="57"/>
        <v>0</v>
      </c>
      <c r="Q66" s="288">
        <f t="shared" si="57"/>
        <v>0</v>
      </c>
      <c r="R66" s="288">
        <f t="shared" si="31"/>
        <v>0</v>
      </c>
      <c r="S66" s="288">
        <f t="shared" si="27"/>
        <v>0</v>
      </c>
      <c r="T66" s="288">
        <f t="shared" si="27"/>
        <v>0</v>
      </c>
      <c r="U66" s="288">
        <f t="shared" si="27"/>
        <v>0</v>
      </c>
      <c r="V66" s="288">
        <f t="shared" si="27"/>
        <v>0</v>
      </c>
      <c r="W66" s="288">
        <f t="shared" si="27"/>
        <v>0</v>
      </c>
      <c r="X66" s="288">
        <f t="shared" si="27"/>
        <v>0</v>
      </c>
      <c r="Y66" s="288">
        <f t="shared" si="27"/>
        <v>0</v>
      </c>
      <c r="Z66" s="288">
        <f t="shared" si="27"/>
        <v>0</v>
      </c>
      <c r="AA66" s="288">
        <f t="shared" si="27"/>
        <v>0</v>
      </c>
      <c r="AB66" s="288">
        <f t="shared" si="27"/>
        <v>0</v>
      </c>
      <c r="AC66" s="288">
        <f t="shared" si="27"/>
        <v>0</v>
      </c>
      <c r="AD66" s="288">
        <f t="shared" si="27"/>
        <v>0</v>
      </c>
      <c r="AE66" s="288">
        <f t="shared" si="27"/>
        <v>0</v>
      </c>
      <c r="AF66" s="288">
        <f t="shared" si="27"/>
        <v>0</v>
      </c>
      <c r="AG66" s="288">
        <f t="shared" si="27"/>
        <v>0</v>
      </c>
      <c r="AH66" s="288">
        <f t="shared" si="27"/>
        <v>0</v>
      </c>
      <c r="AI66" s="288">
        <f t="shared" si="58"/>
        <v>0</v>
      </c>
      <c r="AJ66" s="288">
        <f t="shared" si="58"/>
        <v>0</v>
      </c>
      <c r="AK66" s="288">
        <f t="shared" si="58"/>
        <v>0</v>
      </c>
      <c r="AL66" s="288">
        <f t="shared" si="58"/>
        <v>0</v>
      </c>
      <c r="AM66" s="288">
        <f t="shared" si="58"/>
        <v>0</v>
      </c>
      <c r="AN66" s="288">
        <f t="shared" si="58"/>
        <v>0</v>
      </c>
      <c r="AO66" s="288">
        <f t="shared" si="58"/>
        <v>0</v>
      </c>
      <c r="AP66" s="288">
        <f t="shared" si="35"/>
        <v>0</v>
      </c>
      <c r="AQ66" s="288">
        <f t="shared" si="36"/>
        <v>0</v>
      </c>
      <c r="AR66" s="288">
        <f t="shared" si="37"/>
        <v>0</v>
      </c>
      <c r="AS66" s="288">
        <f t="shared" si="38"/>
        <v>0</v>
      </c>
      <c r="AT66" s="288">
        <f t="shared" si="34"/>
        <v>0</v>
      </c>
      <c r="AU66" s="288">
        <f t="shared" si="28"/>
        <v>0</v>
      </c>
      <c r="AV66" s="288">
        <f t="shared" si="28"/>
        <v>0</v>
      </c>
      <c r="AW66" s="288">
        <f t="shared" si="28"/>
        <v>0</v>
      </c>
      <c r="AX66" s="288">
        <f t="shared" si="28"/>
        <v>0</v>
      </c>
      <c r="AY66" s="288">
        <f t="shared" si="28"/>
        <v>0</v>
      </c>
      <c r="AZ66" s="288">
        <f t="shared" si="28"/>
        <v>0</v>
      </c>
      <c r="BA66" s="288">
        <f t="shared" si="28"/>
        <v>0</v>
      </c>
      <c r="BB66" s="288">
        <f t="shared" si="28"/>
        <v>0</v>
      </c>
      <c r="BC66" s="288">
        <f t="shared" si="28"/>
        <v>0</v>
      </c>
      <c r="BD66" s="288">
        <f t="shared" si="28"/>
        <v>0</v>
      </c>
      <c r="BE66" s="288">
        <f t="shared" si="28"/>
        <v>0</v>
      </c>
      <c r="BF66" s="288">
        <f t="shared" si="28"/>
        <v>0</v>
      </c>
      <c r="BG66" s="288">
        <f t="shared" si="28"/>
        <v>0</v>
      </c>
      <c r="BH66" s="288">
        <f t="shared" si="28"/>
        <v>0</v>
      </c>
      <c r="BI66" s="288">
        <f t="shared" si="41"/>
        <v>0</v>
      </c>
      <c r="BJ66" s="288">
        <f t="shared" si="41"/>
        <v>0</v>
      </c>
      <c r="BK66" s="288">
        <f t="shared" si="41"/>
        <v>0</v>
      </c>
      <c r="BL66" s="288">
        <f t="shared" si="26"/>
        <v>0</v>
      </c>
      <c r="BM66" s="288">
        <f t="shared" si="26"/>
        <v>0</v>
      </c>
      <c r="BN66" s="288">
        <f t="shared" si="26"/>
        <v>63</v>
      </c>
      <c r="BO66" s="288">
        <f t="shared" ref="BO66:CD85" si="59">IF(BO$2&gt;$B66,(IF(BO$2&lt;=$B67,(IF(AVERAGE($B66,$B67)&gt;BO$2,$A66,$A67)),0)),0)</f>
        <v>0</v>
      </c>
      <c r="BP66" s="288">
        <f t="shared" si="59"/>
        <v>0</v>
      </c>
      <c r="BQ66" s="288">
        <f t="shared" si="59"/>
        <v>0</v>
      </c>
      <c r="BR66" s="288">
        <f t="shared" si="59"/>
        <v>0</v>
      </c>
      <c r="BS66" s="288">
        <f t="shared" si="59"/>
        <v>0</v>
      </c>
      <c r="BT66" s="288">
        <f t="shared" si="59"/>
        <v>0</v>
      </c>
      <c r="BU66" s="288">
        <f t="shared" si="59"/>
        <v>0</v>
      </c>
      <c r="BV66" s="288">
        <f t="shared" si="59"/>
        <v>0</v>
      </c>
      <c r="BW66" s="288">
        <f t="shared" si="59"/>
        <v>0</v>
      </c>
      <c r="BX66" s="288">
        <f t="shared" si="59"/>
        <v>0</v>
      </c>
      <c r="BY66" s="288">
        <f t="shared" si="59"/>
        <v>0</v>
      </c>
      <c r="BZ66" s="288">
        <f t="shared" si="59"/>
        <v>0</v>
      </c>
      <c r="CA66" s="288">
        <f t="shared" si="59"/>
        <v>0</v>
      </c>
      <c r="CB66" s="288">
        <f t="shared" si="39"/>
        <v>0</v>
      </c>
      <c r="CC66" s="288">
        <f t="shared" si="39"/>
        <v>0</v>
      </c>
      <c r="CD66" s="288">
        <f t="shared" si="23"/>
        <v>0</v>
      </c>
      <c r="CE66" s="288">
        <f t="shared" si="42"/>
        <v>0</v>
      </c>
      <c r="CF66" s="288">
        <f t="shared" si="43"/>
        <v>0</v>
      </c>
      <c r="CG66" s="288">
        <f t="shared" si="44"/>
        <v>0</v>
      </c>
      <c r="CH66" s="288">
        <f t="shared" si="45"/>
        <v>0</v>
      </c>
      <c r="CI66" s="288">
        <f t="shared" si="46"/>
        <v>0</v>
      </c>
      <c r="CJ66" s="288">
        <f t="shared" si="47"/>
        <v>0</v>
      </c>
      <c r="CK66" s="288">
        <f t="shared" si="48"/>
        <v>0</v>
      </c>
      <c r="CL66" s="288">
        <f t="shared" si="49"/>
        <v>0</v>
      </c>
      <c r="CM66" s="288">
        <f t="shared" si="50"/>
        <v>0</v>
      </c>
      <c r="CN66" s="288">
        <f t="shared" si="51"/>
        <v>0</v>
      </c>
      <c r="CO66" s="288">
        <f t="shared" si="52"/>
        <v>0</v>
      </c>
      <c r="CP66" s="288">
        <f t="shared" si="53"/>
        <v>0</v>
      </c>
      <c r="CQ66" s="288">
        <f t="shared" si="54"/>
        <v>0</v>
      </c>
      <c r="CR66" s="288">
        <f t="shared" si="55"/>
        <v>0</v>
      </c>
      <c r="CS66" s="288">
        <f t="shared" si="56"/>
        <v>0</v>
      </c>
      <c r="CT66" s="288">
        <f t="shared" si="40"/>
        <v>0</v>
      </c>
      <c r="CU66" s="288">
        <f t="shared" si="30"/>
        <v>0</v>
      </c>
      <c r="CV66" s="288">
        <f t="shared" si="29"/>
        <v>0</v>
      </c>
      <c r="CW66" s="288">
        <f t="shared" si="29"/>
        <v>0</v>
      </c>
      <c r="CX66" s="288">
        <f t="shared" si="21"/>
        <v>0</v>
      </c>
      <c r="CY66" s="288">
        <f t="shared" si="21"/>
        <v>0</v>
      </c>
      <c r="CZ66" s="288">
        <f t="shared" si="21"/>
        <v>0</v>
      </c>
      <c r="DA66" s="288">
        <f t="shared" si="21"/>
        <v>0</v>
      </c>
      <c r="DB66" s="288">
        <f t="shared" si="33"/>
        <v>0</v>
      </c>
      <c r="DC66" s="288">
        <f t="shared" si="33"/>
        <v>0</v>
      </c>
      <c r="DD66" s="288">
        <f t="shared" si="33"/>
        <v>0</v>
      </c>
      <c r="DE66" s="288">
        <f t="shared" si="33"/>
        <v>0</v>
      </c>
      <c r="DG66" s="314">
        <f t="shared" si="3"/>
        <v>63</v>
      </c>
      <c r="DH66" s="289">
        <f>MAX(BN$3:BN$109)</f>
        <v>63</v>
      </c>
      <c r="DJ66" s="288">
        <f>LOOKUP(DH66, 'Mortality Table'!A:A,('Mortality Table'!J:J/'Mortality Table'!I:I))</f>
        <v>1.7889249325411149E-2</v>
      </c>
      <c r="DK66" s="288">
        <f>LOOKUP(A66, 'Mortality Table'!A:A,('Mortality Table'!J:J/'Mortality Table'!I:I))</f>
        <v>1.7889249325411149E-2</v>
      </c>
      <c r="DL66" s="288">
        <f t="shared" si="4"/>
        <v>0</v>
      </c>
      <c r="DN66" s="288">
        <f>LOOKUP(DH66, 'Mortality Table'!A:A,('Mortality Table'!L:L/'Mortality Table'!K:K))</f>
        <v>1.8121085121638836E-2</v>
      </c>
      <c r="DO66" s="288">
        <f>LOOKUP(A66, 'Mortality Table'!A:A,('Mortality Table'!L:L/'Mortality Table'!K:K))</f>
        <v>1.8121085121638836E-2</v>
      </c>
      <c r="DP66" s="288">
        <f t="shared" si="5"/>
        <v>0</v>
      </c>
      <c r="DR66" s="288">
        <f>LOOKUP(DH66, 'Mortality Table'!A:A,('Mortality Table'!N:N/'Mortality Table'!M:M))</f>
        <v>1.8528351368634382E-2</v>
      </c>
      <c r="DS66" s="288">
        <f>LOOKUP(A66, 'Mortality Table'!A:A,('Mortality Table'!N:N/'Mortality Table'!M:M))</f>
        <v>1.8528351368634382E-2</v>
      </c>
      <c r="DT66" s="288">
        <f t="shared" si="6"/>
        <v>0</v>
      </c>
    </row>
    <row r="67" spans="1:124">
      <c r="A67" s="288">
        <v>64</v>
      </c>
      <c r="B67" s="288">
        <v>2.0643554623500884E-2</v>
      </c>
      <c r="C67" s="288">
        <f t="shared" si="57"/>
        <v>0</v>
      </c>
      <c r="D67" s="288">
        <f t="shared" si="57"/>
        <v>0</v>
      </c>
      <c r="E67" s="288">
        <f t="shared" si="57"/>
        <v>0</v>
      </c>
      <c r="F67" s="288">
        <f t="shared" si="57"/>
        <v>0</v>
      </c>
      <c r="G67" s="288">
        <f t="shared" si="57"/>
        <v>0</v>
      </c>
      <c r="H67" s="288">
        <f t="shared" si="57"/>
        <v>0</v>
      </c>
      <c r="I67" s="288">
        <f t="shared" si="57"/>
        <v>0</v>
      </c>
      <c r="J67" s="288">
        <f t="shared" si="57"/>
        <v>0</v>
      </c>
      <c r="K67" s="288">
        <f t="shared" si="57"/>
        <v>0</v>
      </c>
      <c r="L67" s="288">
        <f t="shared" si="57"/>
        <v>0</v>
      </c>
      <c r="M67" s="288">
        <f t="shared" si="57"/>
        <v>0</v>
      </c>
      <c r="N67" s="288">
        <f t="shared" si="57"/>
        <v>0</v>
      </c>
      <c r="O67" s="288">
        <f t="shared" si="57"/>
        <v>0</v>
      </c>
      <c r="P67" s="288">
        <f t="shared" si="57"/>
        <v>0</v>
      </c>
      <c r="Q67" s="288">
        <f t="shared" si="57"/>
        <v>0</v>
      </c>
      <c r="R67" s="288">
        <f t="shared" si="31"/>
        <v>0</v>
      </c>
      <c r="S67" s="288">
        <f t="shared" si="27"/>
        <v>0</v>
      </c>
      <c r="T67" s="288">
        <f t="shared" si="27"/>
        <v>0</v>
      </c>
      <c r="U67" s="288">
        <f t="shared" si="27"/>
        <v>0</v>
      </c>
      <c r="V67" s="288">
        <f t="shared" si="27"/>
        <v>0</v>
      </c>
      <c r="W67" s="288">
        <f t="shared" si="27"/>
        <v>0</v>
      </c>
      <c r="X67" s="288">
        <f t="shared" si="27"/>
        <v>0</v>
      </c>
      <c r="Y67" s="288">
        <f t="shared" si="27"/>
        <v>0</v>
      </c>
      <c r="Z67" s="288">
        <f t="shared" si="27"/>
        <v>0</v>
      </c>
      <c r="AA67" s="288">
        <f t="shared" si="27"/>
        <v>0</v>
      </c>
      <c r="AB67" s="288">
        <f t="shared" si="27"/>
        <v>0</v>
      </c>
      <c r="AC67" s="288">
        <f t="shared" si="27"/>
        <v>0</v>
      </c>
      <c r="AD67" s="288">
        <f t="shared" si="27"/>
        <v>0</v>
      </c>
      <c r="AE67" s="288">
        <f t="shared" si="27"/>
        <v>0</v>
      </c>
      <c r="AF67" s="288">
        <f t="shared" si="27"/>
        <v>0</v>
      </c>
      <c r="AG67" s="288">
        <f t="shared" si="27"/>
        <v>0</v>
      </c>
      <c r="AH67" s="288">
        <f t="shared" si="27"/>
        <v>0</v>
      </c>
      <c r="AI67" s="288">
        <f t="shared" si="58"/>
        <v>0</v>
      </c>
      <c r="AJ67" s="288">
        <f t="shared" si="58"/>
        <v>0</v>
      </c>
      <c r="AK67" s="288">
        <f t="shared" si="58"/>
        <v>0</v>
      </c>
      <c r="AL67" s="288">
        <f t="shared" si="58"/>
        <v>0</v>
      </c>
      <c r="AM67" s="288">
        <f t="shared" si="58"/>
        <v>0</v>
      </c>
      <c r="AN67" s="288">
        <f t="shared" si="58"/>
        <v>0</v>
      </c>
      <c r="AO67" s="288">
        <f t="shared" si="58"/>
        <v>0</v>
      </c>
      <c r="AP67" s="288">
        <f t="shared" si="35"/>
        <v>0</v>
      </c>
      <c r="AQ67" s="288">
        <f t="shared" si="36"/>
        <v>0</v>
      </c>
      <c r="AR67" s="288">
        <f t="shared" si="37"/>
        <v>0</v>
      </c>
      <c r="AS67" s="288">
        <f t="shared" si="38"/>
        <v>0</v>
      </c>
      <c r="AT67" s="288">
        <f t="shared" si="34"/>
        <v>0</v>
      </c>
      <c r="AU67" s="288">
        <f t="shared" si="28"/>
        <v>0</v>
      </c>
      <c r="AV67" s="288">
        <f t="shared" si="28"/>
        <v>0</v>
      </c>
      <c r="AW67" s="288">
        <f t="shared" si="28"/>
        <v>0</v>
      </c>
      <c r="AX67" s="288">
        <f t="shared" si="28"/>
        <v>0</v>
      </c>
      <c r="AY67" s="288">
        <f t="shared" si="28"/>
        <v>0</v>
      </c>
      <c r="AZ67" s="288">
        <f t="shared" si="28"/>
        <v>0</v>
      </c>
      <c r="BA67" s="288">
        <f t="shared" si="28"/>
        <v>0</v>
      </c>
      <c r="BB67" s="288">
        <f t="shared" si="28"/>
        <v>0</v>
      </c>
      <c r="BC67" s="288">
        <f t="shared" si="28"/>
        <v>0</v>
      </c>
      <c r="BD67" s="288">
        <f t="shared" si="28"/>
        <v>0</v>
      </c>
      <c r="BE67" s="288">
        <f t="shared" si="28"/>
        <v>0</v>
      </c>
      <c r="BF67" s="288">
        <f t="shared" si="28"/>
        <v>0</v>
      </c>
      <c r="BG67" s="288">
        <f t="shared" si="28"/>
        <v>0</v>
      </c>
      <c r="BH67" s="288">
        <f t="shared" si="28"/>
        <v>0</v>
      </c>
      <c r="BI67" s="288">
        <f t="shared" si="41"/>
        <v>0</v>
      </c>
      <c r="BJ67" s="288">
        <f t="shared" si="41"/>
        <v>0</v>
      </c>
      <c r="BK67" s="288">
        <f t="shared" si="41"/>
        <v>0</v>
      </c>
      <c r="BL67" s="288">
        <f t="shared" si="41"/>
        <v>0</v>
      </c>
      <c r="BM67" s="288">
        <f t="shared" si="41"/>
        <v>0</v>
      </c>
      <c r="BN67" s="288">
        <f t="shared" si="41"/>
        <v>0</v>
      </c>
      <c r="BO67" s="288">
        <f t="shared" si="59"/>
        <v>64</v>
      </c>
      <c r="BP67" s="288">
        <f t="shared" si="59"/>
        <v>0</v>
      </c>
      <c r="BQ67" s="288">
        <f t="shared" si="59"/>
        <v>0</v>
      </c>
      <c r="BR67" s="288">
        <f t="shared" si="59"/>
        <v>0</v>
      </c>
      <c r="BS67" s="288">
        <f t="shared" si="59"/>
        <v>0</v>
      </c>
      <c r="BT67" s="288">
        <f t="shared" si="59"/>
        <v>0</v>
      </c>
      <c r="BU67" s="288">
        <f t="shared" si="59"/>
        <v>0</v>
      </c>
      <c r="BV67" s="288">
        <f t="shared" si="59"/>
        <v>0</v>
      </c>
      <c r="BW67" s="288">
        <f t="shared" si="59"/>
        <v>0</v>
      </c>
      <c r="BX67" s="288">
        <f t="shared" si="59"/>
        <v>0</v>
      </c>
      <c r="BY67" s="288">
        <f t="shared" si="59"/>
        <v>0</v>
      </c>
      <c r="BZ67" s="288">
        <f t="shared" si="59"/>
        <v>0</v>
      </c>
      <c r="CA67" s="288">
        <f t="shared" si="59"/>
        <v>0</v>
      </c>
      <c r="CB67" s="288">
        <f t="shared" si="39"/>
        <v>0</v>
      </c>
      <c r="CC67" s="288">
        <f t="shared" si="39"/>
        <v>0</v>
      </c>
      <c r="CD67" s="288">
        <f t="shared" si="23"/>
        <v>0</v>
      </c>
      <c r="CE67" s="288">
        <f t="shared" si="42"/>
        <v>0</v>
      </c>
      <c r="CF67" s="288">
        <f t="shared" si="43"/>
        <v>0</v>
      </c>
      <c r="CG67" s="288">
        <f t="shared" si="44"/>
        <v>0</v>
      </c>
      <c r="CH67" s="288">
        <f t="shared" si="45"/>
        <v>0</v>
      </c>
      <c r="CI67" s="288">
        <f t="shared" si="46"/>
        <v>0</v>
      </c>
      <c r="CJ67" s="288">
        <f t="shared" si="47"/>
        <v>0</v>
      </c>
      <c r="CK67" s="288">
        <f t="shared" si="48"/>
        <v>0</v>
      </c>
      <c r="CL67" s="288">
        <f t="shared" si="49"/>
        <v>0</v>
      </c>
      <c r="CM67" s="288">
        <f t="shared" si="50"/>
        <v>0</v>
      </c>
      <c r="CN67" s="288">
        <f t="shared" si="51"/>
        <v>0</v>
      </c>
      <c r="CO67" s="288">
        <f t="shared" si="52"/>
        <v>0</v>
      </c>
      <c r="CP67" s="288">
        <f t="shared" si="53"/>
        <v>0</v>
      </c>
      <c r="CQ67" s="288">
        <f t="shared" si="54"/>
        <v>0</v>
      </c>
      <c r="CR67" s="288">
        <f t="shared" si="55"/>
        <v>0</v>
      </c>
      <c r="CS67" s="288">
        <f t="shared" si="56"/>
        <v>0</v>
      </c>
      <c r="CT67" s="288">
        <f t="shared" si="40"/>
        <v>0</v>
      </c>
      <c r="CU67" s="288">
        <f t="shared" si="30"/>
        <v>0</v>
      </c>
      <c r="CV67" s="288">
        <f t="shared" si="29"/>
        <v>0</v>
      </c>
      <c r="CW67" s="288">
        <f t="shared" si="29"/>
        <v>0</v>
      </c>
      <c r="CX67" s="288">
        <f t="shared" si="21"/>
        <v>0</v>
      </c>
      <c r="CY67" s="288">
        <f t="shared" si="21"/>
        <v>0</v>
      </c>
      <c r="CZ67" s="288">
        <f t="shared" si="21"/>
        <v>0</v>
      </c>
      <c r="DA67" s="288">
        <f t="shared" si="21"/>
        <v>0</v>
      </c>
      <c r="DB67" s="288">
        <f t="shared" si="33"/>
        <v>0</v>
      </c>
      <c r="DC67" s="288">
        <f t="shared" si="33"/>
        <v>0</v>
      </c>
      <c r="DD67" s="288">
        <f t="shared" si="33"/>
        <v>0</v>
      </c>
      <c r="DE67" s="288">
        <f t="shared" si="33"/>
        <v>0</v>
      </c>
      <c r="DG67" s="314">
        <f t="shared" si="3"/>
        <v>64</v>
      </c>
      <c r="DH67" s="289">
        <f>MAX(BO$3:BO$109)</f>
        <v>64</v>
      </c>
      <c r="DJ67" s="288">
        <f>LOOKUP(DH67, 'Mortality Table'!A:A,('Mortality Table'!J:J/'Mortality Table'!I:I))</f>
        <v>1.9003932409592514E-2</v>
      </c>
      <c r="DK67" s="288">
        <f>LOOKUP(A67, 'Mortality Table'!A:A,('Mortality Table'!J:J/'Mortality Table'!I:I))</f>
        <v>1.9003932409592514E-2</v>
      </c>
      <c r="DL67" s="288">
        <f t="shared" si="4"/>
        <v>0</v>
      </c>
      <c r="DN67" s="288">
        <f>LOOKUP(DH67, 'Mortality Table'!A:A,('Mortality Table'!L:L/'Mortality Table'!K:K))</f>
        <v>1.9250213945586098E-2</v>
      </c>
      <c r="DO67" s="288">
        <f>LOOKUP(A67, 'Mortality Table'!A:A,('Mortality Table'!L:L/'Mortality Table'!K:K))</f>
        <v>1.9250213945586098E-2</v>
      </c>
      <c r="DP67" s="288">
        <f t="shared" si="5"/>
        <v>0</v>
      </c>
      <c r="DR67" s="288">
        <f>LOOKUP(DH67, 'Mortality Table'!A:A,('Mortality Table'!N:N/'Mortality Table'!M:M))</f>
        <v>1.9682857042555957E-2</v>
      </c>
      <c r="DS67" s="288">
        <f>LOOKUP(A67, 'Mortality Table'!A:A,('Mortality Table'!N:N/'Mortality Table'!M:M))</f>
        <v>1.9682857042555957E-2</v>
      </c>
      <c r="DT67" s="288">
        <f t="shared" si="6"/>
        <v>0</v>
      </c>
    </row>
    <row r="68" spans="1:124">
      <c r="A68" s="288">
        <v>65</v>
      </c>
      <c r="B68" s="288">
        <v>2.2015524625267666E-2</v>
      </c>
      <c r="C68" s="288">
        <f t="shared" si="57"/>
        <v>0</v>
      </c>
      <c r="D68" s="288">
        <f t="shared" si="57"/>
        <v>0</v>
      </c>
      <c r="E68" s="288">
        <f t="shared" si="57"/>
        <v>0</v>
      </c>
      <c r="F68" s="288">
        <f t="shared" si="57"/>
        <v>0</v>
      </c>
      <c r="G68" s="288">
        <f t="shared" si="57"/>
        <v>0</v>
      </c>
      <c r="H68" s="288">
        <f t="shared" si="57"/>
        <v>0</v>
      </c>
      <c r="I68" s="288">
        <f t="shared" si="57"/>
        <v>0</v>
      </c>
      <c r="J68" s="288">
        <f t="shared" si="57"/>
        <v>0</v>
      </c>
      <c r="K68" s="288">
        <f t="shared" si="57"/>
        <v>0</v>
      </c>
      <c r="L68" s="288">
        <f t="shared" si="57"/>
        <v>0</v>
      </c>
      <c r="M68" s="288">
        <f t="shared" si="57"/>
        <v>0</v>
      </c>
      <c r="N68" s="288">
        <f t="shared" si="57"/>
        <v>0</v>
      </c>
      <c r="O68" s="288">
        <f t="shared" si="57"/>
        <v>0</v>
      </c>
      <c r="P68" s="288">
        <f t="shared" si="57"/>
        <v>0</v>
      </c>
      <c r="Q68" s="288">
        <f t="shared" si="57"/>
        <v>0</v>
      </c>
      <c r="R68" s="288">
        <f t="shared" si="31"/>
        <v>0</v>
      </c>
      <c r="S68" s="288">
        <f t="shared" si="27"/>
        <v>0</v>
      </c>
      <c r="T68" s="288">
        <f t="shared" si="27"/>
        <v>0</v>
      </c>
      <c r="U68" s="288">
        <f t="shared" si="27"/>
        <v>0</v>
      </c>
      <c r="V68" s="288">
        <f t="shared" si="27"/>
        <v>0</v>
      </c>
      <c r="W68" s="288">
        <f t="shared" si="27"/>
        <v>0</v>
      </c>
      <c r="X68" s="288">
        <f t="shared" si="27"/>
        <v>0</v>
      </c>
      <c r="Y68" s="288">
        <f t="shared" si="27"/>
        <v>0</v>
      </c>
      <c r="Z68" s="288">
        <f t="shared" si="27"/>
        <v>0</v>
      </c>
      <c r="AA68" s="288">
        <f t="shared" si="27"/>
        <v>0</v>
      </c>
      <c r="AB68" s="288">
        <f t="shared" si="27"/>
        <v>0</v>
      </c>
      <c r="AC68" s="288">
        <f t="shared" si="27"/>
        <v>0</v>
      </c>
      <c r="AD68" s="288">
        <f t="shared" si="27"/>
        <v>0</v>
      </c>
      <c r="AE68" s="288">
        <f t="shared" si="27"/>
        <v>0</v>
      </c>
      <c r="AF68" s="288">
        <f t="shared" si="27"/>
        <v>0</v>
      </c>
      <c r="AG68" s="288">
        <f t="shared" si="27"/>
        <v>0</v>
      </c>
      <c r="AH68" s="288">
        <f t="shared" si="27"/>
        <v>0</v>
      </c>
      <c r="AI68" s="288">
        <f t="shared" si="58"/>
        <v>0</v>
      </c>
      <c r="AJ68" s="288">
        <f t="shared" si="58"/>
        <v>0</v>
      </c>
      <c r="AK68" s="288">
        <f t="shared" si="58"/>
        <v>0</v>
      </c>
      <c r="AL68" s="288">
        <f t="shared" si="58"/>
        <v>0</v>
      </c>
      <c r="AM68" s="288">
        <f t="shared" si="58"/>
        <v>0</v>
      </c>
      <c r="AN68" s="288">
        <f t="shared" si="58"/>
        <v>0</v>
      </c>
      <c r="AO68" s="288">
        <f t="shared" si="58"/>
        <v>0</v>
      </c>
      <c r="AP68" s="288">
        <f t="shared" si="35"/>
        <v>0</v>
      </c>
      <c r="AQ68" s="288">
        <f t="shared" si="36"/>
        <v>0</v>
      </c>
      <c r="AR68" s="288">
        <f t="shared" si="37"/>
        <v>0</v>
      </c>
      <c r="AS68" s="288">
        <f t="shared" si="38"/>
        <v>0</v>
      </c>
      <c r="AT68" s="288">
        <f t="shared" si="34"/>
        <v>0</v>
      </c>
      <c r="AU68" s="288">
        <f t="shared" si="28"/>
        <v>0</v>
      </c>
      <c r="AV68" s="288">
        <f t="shared" si="28"/>
        <v>0</v>
      </c>
      <c r="AW68" s="288">
        <f t="shared" si="28"/>
        <v>0</v>
      </c>
      <c r="AX68" s="288">
        <f t="shared" si="28"/>
        <v>0</v>
      </c>
      <c r="AY68" s="288">
        <f t="shared" si="28"/>
        <v>0</v>
      </c>
      <c r="AZ68" s="288">
        <f t="shared" si="28"/>
        <v>0</v>
      </c>
      <c r="BA68" s="288">
        <f t="shared" si="28"/>
        <v>0</v>
      </c>
      <c r="BB68" s="288">
        <f t="shared" si="28"/>
        <v>0</v>
      </c>
      <c r="BC68" s="288">
        <f t="shared" si="28"/>
        <v>0</v>
      </c>
      <c r="BD68" s="288">
        <f t="shared" si="28"/>
        <v>0</v>
      </c>
      <c r="BE68" s="288">
        <f t="shared" si="28"/>
        <v>0</v>
      </c>
      <c r="BF68" s="288">
        <f t="shared" si="28"/>
        <v>0</v>
      </c>
      <c r="BG68" s="288">
        <f t="shared" si="28"/>
        <v>0</v>
      </c>
      <c r="BH68" s="288">
        <f t="shared" si="28"/>
        <v>0</v>
      </c>
      <c r="BI68" s="288">
        <f t="shared" si="41"/>
        <v>0</v>
      </c>
      <c r="BJ68" s="288">
        <f t="shared" si="41"/>
        <v>0</v>
      </c>
      <c r="BK68" s="288">
        <f t="shared" si="41"/>
        <v>0</v>
      </c>
      <c r="BL68" s="288">
        <f t="shared" si="41"/>
        <v>0</v>
      </c>
      <c r="BM68" s="288">
        <f t="shared" si="41"/>
        <v>0</v>
      </c>
      <c r="BN68" s="288">
        <f t="shared" si="41"/>
        <v>0</v>
      </c>
      <c r="BO68" s="288">
        <f t="shared" si="59"/>
        <v>0</v>
      </c>
      <c r="BP68" s="288">
        <f t="shared" si="59"/>
        <v>65</v>
      </c>
      <c r="BQ68" s="288">
        <f t="shared" si="59"/>
        <v>0</v>
      </c>
      <c r="BR68" s="288">
        <f t="shared" si="59"/>
        <v>0</v>
      </c>
      <c r="BS68" s="288">
        <f t="shared" si="59"/>
        <v>0</v>
      </c>
      <c r="BT68" s="288">
        <f t="shared" si="59"/>
        <v>0</v>
      </c>
      <c r="BU68" s="288">
        <f t="shared" si="59"/>
        <v>0</v>
      </c>
      <c r="BV68" s="288">
        <f t="shared" si="59"/>
        <v>0</v>
      </c>
      <c r="BW68" s="288">
        <f t="shared" si="59"/>
        <v>0</v>
      </c>
      <c r="BX68" s="288">
        <f t="shared" si="59"/>
        <v>0</v>
      </c>
      <c r="BY68" s="288">
        <f t="shared" si="59"/>
        <v>0</v>
      </c>
      <c r="BZ68" s="288">
        <f t="shared" si="59"/>
        <v>0</v>
      </c>
      <c r="CA68" s="288">
        <f t="shared" si="59"/>
        <v>0</v>
      </c>
      <c r="CB68" s="288">
        <f t="shared" si="39"/>
        <v>0</v>
      </c>
      <c r="CC68" s="288">
        <f t="shared" si="39"/>
        <v>0</v>
      </c>
      <c r="CD68" s="288">
        <f t="shared" si="23"/>
        <v>0</v>
      </c>
      <c r="CE68" s="288">
        <f t="shared" si="42"/>
        <v>0</v>
      </c>
      <c r="CF68" s="288">
        <f t="shared" si="43"/>
        <v>0</v>
      </c>
      <c r="CG68" s="288">
        <f t="shared" si="44"/>
        <v>0</v>
      </c>
      <c r="CH68" s="288">
        <f t="shared" si="45"/>
        <v>0</v>
      </c>
      <c r="CI68" s="288">
        <f t="shared" si="46"/>
        <v>0</v>
      </c>
      <c r="CJ68" s="288">
        <f t="shared" si="47"/>
        <v>0</v>
      </c>
      <c r="CK68" s="288">
        <f t="shared" si="48"/>
        <v>0</v>
      </c>
      <c r="CL68" s="288">
        <f t="shared" si="49"/>
        <v>0</v>
      </c>
      <c r="CM68" s="288">
        <f t="shared" si="50"/>
        <v>0</v>
      </c>
      <c r="CN68" s="288">
        <f t="shared" si="51"/>
        <v>0</v>
      </c>
      <c r="CO68" s="288">
        <f t="shared" si="52"/>
        <v>0</v>
      </c>
      <c r="CP68" s="288">
        <f t="shared" si="53"/>
        <v>0</v>
      </c>
      <c r="CQ68" s="288">
        <f t="shared" si="54"/>
        <v>0</v>
      </c>
      <c r="CR68" s="288">
        <f t="shared" si="55"/>
        <v>0</v>
      </c>
      <c r="CS68" s="288">
        <f t="shared" si="56"/>
        <v>0</v>
      </c>
      <c r="CT68" s="288">
        <f t="shared" si="40"/>
        <v>0</v>
      </c>
      <c r="CU68" s="288">
        <f t="shared" si="30"/>
        <v>0</v>
      </c>
      <c r="CV68" s="288">
        <f t="shared" si="29"/>
        <v>0</v>
      </c>
      <c r="CW68" s="288">
        <f t="shared" si="29"/>
        <v>0</v>
      </c>
      <c r="CX68" s="288">
        <f t="shared" si="21"/>
        <v>0</v>
      </c>
      <c r="CY68" s="288">
        <f t="shared" si="21"/>
        <v>0</v>
      </c>
      <c r="CZ68" s="288">
        <f t="shared" si="21"/>
        <v>0</v>
      </c>
      <c r="DA68" s="288">
        <f t="shared" si="21"/>
        <v>0</v>
      </c>
      <c r="DB68" s="288">
        <f t="shared" si="33"/>
        <v>0</v>
      </c>
      <c r="DC68" s="288">
        <f t="shared" si="33"/>
        <v>0</v>
      </c>
      <c r="DD68" s="288">
        <f t="shared" si="33"/>
        <v>0</v>
      </c>
      <c r="DE68" s="288">
        <f t="shared" si="33"/>
        <v>0</v>
      </c>
      <c r="DG68" s="314">
        <f t="shared" ref="DG68:DG109" si="60">IF(A$1=0,A68,DH68)</f>
        <v>65</v>
      </c>
      <c r="DH68" s="289">
        <f>MAX(BP$3:BP$109)</f>
        <v>65</v>
      </c>
      <c r="DJ68" s="288">
        <f>LOOKUP(DH68, 'Mortality Table'!A:A,('Mortality Table'!J:J/'Mortality Table'!I:I))</f>
        <v>2.0266933169736913E-2</v>
      </c>
      <c r="DK68" s="288">
        <f>LOOKUP(A68, 'Mortality Table'!A:A,('Mortality Table'!J:J/'Mortality Table'!I:I))</f>
        <v>2.0266933169736913E-2</v>
      </c>
      <c r="DL68" s="288">
        <f t="shared" ref="DL68:DL109" si="61">IF(A$1=0,0,ABS(DK68-DJ68))</f>
        <v>0</v>
      </c>
      <c r="DN68" s="288">
        <f>LOOKUP(DH68, 'Mortality Table'!A:A,('Mortality Table'!L:L/'Mortality Table'!K:K))</f>
        <v>2.0529582568995113E-2</v>
      </c>
      <c r="DO68" s="288">
        <f>LOOKUP(A68, 'Mortality Table'!A:A,('Mortality Table'!L:L/'Mortality Table'!K:K))</f>
        <v>2.0529582568995113E-2</v>
      </c>
      <c r="DP68" s="288">
        <f t="shared" ref="DP68:DP109" si="62">IF(A$1=0,0,ABS(DO68-DN68))</f>
        <v>0</v>
      </c>
      <c r="DR68" s="288">
        <f>LOOKUP(DH68, 'Mortality Table'!A:A,('Mortality Table'!N:N/'Mortality Table'!M:M))</f>
        <v>2.0990979112807794E-2</v>
      </c>
      <c r="DS68" s="288">
        <f>LOOKUP(A68, 'Mortality Table'!A:A,('Mortality Table'!N:N/'Mortality Table'!M:M))</f>
        <v>2.0990979112807794E-2</v>
      </c>
      <c r="DT68" s="288">
        <f t="shared" ref="DT68:DT109" si="63">IF(A$1=0,0,ABS(DS68-DR68))</f>
        <v>0</v>
      </c>
    </row>
    <row r="69" spans="1:124">
      <c r="A69" s="288">
        <v>66</v>
      </c>
      <c r="B69" s="288">
        <v>2.33869312350325E-2</v>
      </c>
      <c r="C69" s="288">
        <f t="shared" si="57"/>
        <v>0</v>
      </c>
      <c r="D69" s="288">
        <f t="shared" si="57"/>
        <v>0</v>
      </c>
      <c r="E69" s="288">
        <f t="shared" si="57"/>
        <v>0</v>
      </c>
      <c r="F69" s="288">
        <f t="shared" si="57"/>
        <v>0</v>
      </c>
      <c r="G69" s="288">
        <f t="shared" si="57"/>
        <v>0</v>
      </c>
      <c r="H69" s="288">
        <f t="shared" si="57"/>
        <v>0</v>
      </c>
      <c r="I69" s="288">
        <f t="shared" si="57"/>
        <v>0</v>
      </c>
      <c r="J69" s="288">
        <f t="shared" si="57"/>
        <v>0</v>
      </c>
      <c r="K69" s="288">
        <f t="shared" si="57"/>
        <v>0</v>
      </c>
      <c r="L69" s="288">
        <f t="shared" si="57"/>
        <v>0</v>
      </c>
      <c r="M69" s="288">
        <f t="shared" si="57"/>
        <v>0</v>
      </c>
      <c r="N69" s="288">
        <f t="shared" si="57"/>
        <v>0</v>
      </c>
      <c r="O69" s="288">
        <f t="shared" si="57"/>
        <v>0</v>
      </c>
      <c r="P69" s="288">
        <f t="shared" si="57"/>
        <v>0</v>
      </c>
      <c r="Q69" s="288">
        <f t="shared" si="57"/>
        <v>0</v>
      </c>
      <c r="R69" s="288">
        <f t="shared" si="31"/>
        <v>0</v>
      </c>
      <c r="S69" s="288">
        <f t="shared" ref="S69:S82" si="64">IF(S$2&gt;$B69,(IF(S$2&lt;=$B70,(IF(AVERAGE($B69,$B70)&gt;S$2,$A69,$A70)),0)),0)</f>
        <v>0</v>
      </c>
      <c r="T69" s="288">
        <f t="shared" ref="T69:T82" si="65">IF(T$2&gt;$B69,(IF(T$2&lt;=$B70,(IF(AVERAGE($B69,$B70)&gt;T$2,$A69,$A70)),0)),0)</f>
        <v>0</v>
      </c>
      <c r="U69" s="288">
        <f t="shared" ref="U69:U82" si="66">IF(U$2&gt;$B69,(IF(U$2&lt;=$B70,(IF(AVERAGE($B69,$B70)&gt;U$2,$A69,$A70)),0)),0)</f>
        <v>0</v>
      </c>
      <c r="V69" s="288">
        <f t="shared" ref="V69:V82" si="67">IF(V$2&gt;$B69,(IF(V$2&lt;=$B70,(IF(AVERAGE($B69,$B70)&gt;V$2,$A69,$A70)),0)),0)</f>
        <v>0</v>
      </c>
      <c r="W69" s="288">
        <f t="shared" ref="W69:W82" si="68">IF(W$2&gt;$B69,(IF(W$2&lt;=$B70,(IF(AVERAGE($B69,$B70)&gt;W$2,$A69,$A70)),0)),0)</f>
        <v>0</v>
      </c>
      <c r="X69" s="288">
        <f t="shared" ref="X69:X82" si="69">IF(X$2&gt;$B69,(IF(X$2&lt;=$B70,(IF(AVERAGE($B69,$B70)&gt;X$2,$A69,$A70)),0)),0)</f>
        <v>0</v>
      </c>
      <c r="Y69" s="288">
        <f t="shared" ref="Y69:Y82" si="70">IF(Y$2&gt;$B69,(IF(Y$2&lt;=$B70,(IF(AVERAGE($B69,$B70)&gt;Y$2,$A69,$A70)),0)),0)</f>
        <v>0</v>
      </c>
      <c r="Z69" s="288">
        <f t="shared" ref="Z69:Z82" si="71">IF(Z$2&gt;$B69,(IF(Z$2&lt;=$B70,(IF(AVERAGE($B69,$B70)&gt;Z$2,$A69,$A70)),0)),0)</f>
        <v>0</v>
      </c>
      <c r="AA69" s="288">
        <f t="shared" ref="AA69:AA82" si="72">IF(AA$2&gt;$B69,(IF(AA$2&lt;=$B70,(IF(AVERAGE($B69,$B70)&gt;AA$2,$A69,$A70)),0)),0)</f>
        <v>0</v>
      </c>
      <c r="AB69" s="288">
        <f t="shared" ref="AB69:AB82" si="73">IF(AB$2&gt;$B69,(IF(AB$2&lt;=$B70,(IF(AVERAGE($B69,$B70)&gt;AB$2,$A69,$A70)),0)),0)</f>
        <v>0</v>
      </c>
      <c r="AC69" s="288">
        <f t="shared" ref="AC69:AC82" si="74">IF(AC$2&gt;$B69,(IF(AC$2&lt;=$B70,(IF(AVERAGE($B69,$B70)&gt;AC$2,$A69,$A70)),0)),0)</f>
        <v>0</v>
      </c>
      <c r="AD69" s="288">
        <f t="shared" ref="AD69:AD82" si="75">IF(AD$2&gt;$B69,(IF(AD$2&lt;=$B70,(IF(AVERAGE($B69,$B70)&gt;AD$2,$A69,$A70)),0)),0)</f>
        <v>0</v>
      </c>
      <c r="AE69" s="288">
        <f t="shared" ref="AE69:AE82" si="76">IF(AE$2&gt;$B69,(IF(AE$2&lt;=$B70,(IF(AVERAGE($B69,$B70)&gt;AE$2,$A69,$A70)),0)),0)</f>
        <v>0</v>
      </c>
      <c r="AF69" s="288">
        <f t="shared" ref="AF69:AF82" si="77">IF(AF$2&gt;$B69,(IF(AF$2&lt;=$B70,(IF(AVERAGE($B69,$B70)&gt;AF$2,$A69,$A70)),0)),0)</f>
        <v>0</v>
      </c>
      <c r="AG69" s="288">
        <f t="shared" ref="AG69:AG82" si="78">IF(AG$2&gt;$B69,(IF(AG$2&lt;=$B70,(IF(AVERAGE($B69,$B70)&gt;AG$2,$A69,$A70)),0)),0)</f>
        <v>0</v>
      </c>
      <c r="AH69" s="288">
        <f t="shared" ref="AH69:AH82" si="79">IF(AH$2&gt;$B69,(IF(AH$2&lt;=$B70,(IF(AVERAGE($B69,$B70)&gt;AH$2,$A69,$A70)),0)),0)</f>
        <v>0</v>
      </c>
      <c r="AI69" s="288">
        <f t="shared" si="58"/>
        <v>0</v>
      </c>
      <c r="AJ69" s="288">
        <f t="shared" si="58"/>
        <v>0</v>
      </c>
      <c r="AK69" s="288">
        <f t="shared" si="58"/>
        <v>0</v>
      </c>
      <c r="AL69" s="288">
        <f t="shared" si="58"/>
        <v>0</v>
      </c>
      <c r="AM69" s="288">
        <f t="shared" si="58"/>
        <v>0</v>
      </c>
      <c r="AN69" s="288">
        <f t="shared" si="58"/>
        <v>0</v>
      </c>
      <c r="AO69" s="288">
        <f t="shared" si="58"/>
        <v>0</v>
      </c>
      <c r="AP69" s="288">
        <f t="shared" si="35"/>
        <v>0</v>
      </c>
      <c r="AQ69" s="288">
        <f t="shared" si="36"/>
        <v>0</v>
      </c>
      <c r="AR69" s="288">
        <f t="shared" si="37"/>
        <v>0</v>
      </c>
      <c r="AS69" s="288">
        <f t="shared" si="38"/>
        <v>0</v>
      </c>
      <c r="AT69" s="288">
        <f t="shared" si="34"/>
        <v>0</v>
      </c>
      <c r="AU69" s="288">
        <f t="shared" si="28"/>
        <v>0</v>
      </c>
      <c r="AV69" s="288">
        <f t="shared" si="28"/>
        <v>0</v>
      </c>
      <c r="AW69" s="288">
        <f t="shared" si="28"/>
        <v>0</v>
      </c>
      <c r="AX69" s="288">
        <f t="shared" si="28"/>
        <v>0</v>
      </c>
      <c r="AY69" s="288">
        <f t="shared" si="28"/>
        <v>0</v>
      </c>
      <c r="AZ69" s="288">
        <f t="shared" si="28"/>
        <v>0</v>
      </c>
      <c r="BA69" s="288">
        <f t="shared" si="28"/>
        <v>0</v>
      </c>
      <c r="BB69" s="288">
        <f t="shared" si="28"/>
        <v>0</v>
      </c>
      <c r="BC69" s="288">
        <f t="shared" si="28"/>
        <v>0</v>
      </c>
      <c r="BD69" s="288">
        <f t="shared" si="28"/>
        <v>0</v>
      </c>
      <c r="BE69" s="288">
        <f t="shared" si="28"/>
        <v>0</v>
      </c>
      <c r="BF69" s="288">
        <f t="shared" si="28"/>
        <v>0</v>
      </c>
      <c r="BG69" s="288">
        <f t="shared" si="28"/>
        <v>0</v>
      </c>
      <c r="BH69" s="288">
        <f t="shared" si="28"/>
        <v>0</v>
      </c>
      <c r="BI69" s="288">
        <f t="shared" si="41"/>
        <v>0</v>
      </c>
      <c r="BJ69" s="288">
        <f t="shared" si="41"/>
        <v>0</v>
      </c>
      <c r="BK69" s="288">
        <f t="shared" si="41"/>
        <v>0</v>
      </c>
      <c r="BL69" s="288">
        <f t="shared" si="41"/>
        <v>0</v>
      </c>
      <c r="BM69" s="288">
        <f t="shared" si="41"/>
        <v>0</v>
      </c>
      <c r="BN69" s="288">
        <f t="shared" si="41"/>
        <v>0</v>
      </c>
      <c r="BO69" s="288">
        <f t="shared" si="59"/>
        <v>0</v>
      </c>
      <c r="BP69" s="288">
        <f t="shared" si="59"/>
        <v>0</v>
      </c>
      <c r="BQ69" s="288">
        <f t="shared" si="59"/>
        <v>66</v>
      </c>
      <c r="BR69" s="288">
        <f t="shared" si="59"/>
        <v>0</v>
      </c>
      <c r="BS69" s="288">
        <f t="shared" si="59"/>
        <v>0</v>
      </c>
      <c r="BT69" s="288">
        <f t="shared" si="59"/>
        <v>0</v>
      </c>
      <c r="BU69" s="288">
        <f t="shared" si="59"/>
        <v>0</v>
      </c>
      <c r="BV69" s="288">
        <f t="shared" si="59"/>
        <v>0</v>
      </c>
      <c r="BW69" s="288">
        <f t="shared" si="59"/>
        <v>0</v>
      </c>
      <c r="BX69" s="288">
        <f t="shared" si="59"/>
        <v>0</v>
      </c>
      <c r="BY69" s="288">
        <f t="shared" si="59"/>
        <v>0</v>
      </c>
      <c r="BZ69" s="288">
        <f t="shared" si="59"/>
        <v>0</v>
      </c>
      <c r="CA69" s="288">
        <f t="shared" si="59"/>
        <v>0</v>
      </c>
      <c r="CB69" s="288">
        <f t="shared" si="39"/>
        <v>0</v>
      </c>
      <c r="CC69" s="288">
        <f t="shared" si="39"/>
        <v>0</v>
      </c>
      <c r="CD69" s="288">
        <f t="shared" si="39"/>
        <v>0</v>
      </c>
      <c r="CE69" s="288">
        <f t="shared" si="39"/>
        <v>0</v>
      </c>
      <c r="CF69" s="288">
        <f t="shared" si="39"/>
        <v>0</v>
      </c>
      <c r="CG69" s="288">
        <f t="shared" si="39"/>
        <v>0</v>
      </c>
      <c r="CH69" s="288">
        <f t="shared" si="39"/>
        <v>0</v>
      </c>
      <c r="CI69" s="288">
        <f t="shared" si="39"/>
        <v>0</v>
      </c>
      <c r="CJ69" s="288">
        <f t="shared" si="39"/>
        <v>0</v>
      </c>
      <c r="CK69" s="288">
        <f t="shared" si="39"/>
        <v>0</v>
      </c>
      <c r="CL69" s="288">
        <f t="shared" si="39"/>
        <v>0</v>
      </c>
      <c r="CM69" s="288">
        <f t="shared" si="39"/>
        <v>0</v>
      </c>
      <c r="CN69" s="288">
        <f t="shared" si="39"/>
        <v>0</v>
      </c>
      <c r="CO69" s="288">
        <f t="shared" si="39"/>
        <v>0</v>
      </c>
      <c r="CP69" s="288">
        <f t="shared" si="39"/>
        <v>0</v>
      </c>
      <c r="CQ69" s="288">
        <f t="shared" ref="CQ69:CQ109" si="80">IF(CQ$2&gt;$B69,(IF(CQ$2&lt;=$B70,(IF(AVERAGE($B69,$B70)&gt;CQ$2,$A69,$A70)),0)),0)</f>
        <v>0</v>
      </c>
      <c r="CR69" s="288">
        <f t="shared" ref="CR69:CR109" si="81">IF(CR$2&gt;$B69,(IF(CR$2&lt;=$B70,(IF(AVERAGE($B69,$B70)&gt;CR$2,$A69,$A70)),0)),0)</f>
        <v>0</v>
      </c>
      <c r="CS69" s="288">
        <f t="shared" ref="CS69:CS109" si="82">IF(CS$2&gt;$B69,(IF(CS$2&lt;=$B70,(IF(AVERAGE($B69,$B70)&gt;CS$2,$A69,$A70)),0)),0)</f>
        <v>0</v>
      </c>
      <c r="CT69" s="288">
        <f t="shared" si="40"/>
        <v>0</v>
      </c>
      <c r="CU69" s="288">
        <f t="shared" si="30"/>
        <v>0</v>
      </c>
      <c r="CV69" s="288">
        <f t="shared" si="29"/>
        <v>0</v>
      </c>
      <c r="CW69" s="288">
        <f t="shared" si="29"/>
        <v>0</v>
      </c>
      <c r="CX69" s="288">
        <f t="shared" si="21"/>
        <v>0</v>
      </c>
      <c r="CY69" s="288">
        <f t="shared" si="21"/>
        <v>0</v>
      </c>
      <c r="CZ69" s="288">
        <f t="shared" si="21"/>
        <v>0</v>
      </c>
      <c r="DA69" s="288">
        <f t="shared" si="21"/>
        <v>0</v>
      </c>
      <c r="DB69" s="288">
        <f t="shared" si="33"/>
        <v>0</v>
      </c>
      <c r="DC69" s="288">
        <f t="shared" si="33"/>
        <v>0</v>
      </c>
      <c r="DD69" s="288">
        <f t="shared" si="33"/>
        <v>0</v>
      </c>
      <c r="DE69" s="288">
        <f t="shared" si="33"/>
        <v>0</v>
      </c>
      <c r="DG69" s="314">
        <f t="shared" si="60"/>
        <v>66</v>
      </c>
      <c r="DH69" s="289">
        <f>MAX(BQ$3:BQ$109)</f>
        <v>66</v>
      </c>
      <c r="DJ69" s="288">
        <f>LOOKUP(DH69, 'Mortality Table'!A:A,('Mortality Table'!J:J/'Mortality Table'!I:I))</f>
        <v>2.1529415285504436E-2</v>
      </c>
      <c r="DK69" s="288">
        <f>LOOKUP(A69, 'Mortality Table'!A:A,('Mortality Table'!J:J/'Mortality Table'!I:I))</f>
        <v>2.1529415285504436E-2</v>
      </c>
      <c r="DL69" s="288">
        <f t="shared" si="61"/>
        <v>0</v>
      </c>
      <c r="DN69" s="288">
        <f>LOOKUP(DH69, 'Mortality Table'!A:A,('Mortality Table'!L:L/'Mortality Table'!K:K))</f>
        <v>2.180842582665336E-2</v>
      </c>
      <c r="DO69" s="288">
        <f>LOOKUP(A69, 'Mortality Table'!A:A,('Mortality Table'!L:L/'Mortality Table'!K:K))</f>
        <v>2.180842582665336E-2</v>
      </c>
      <c r="DP69" s="288">
        <f t="shared" si="62"/>
        <v>0</v>
      </c>
      <c r="DR69" s="288">
        <f>LOOKUP(DH69, 'Mortality Table'!A:A,('Mortality Table'!N:N/'Mortality Table'!M:M))</f>
        <v>2.2298564009862694E-2</v>
      </c>
      <c r="DS69" s="288">
        <f>LOOKUP(A69, 'Mortality Table'!A:A,('Mortality Table'!N:N/'Mortality Table'!M:M))</f>
        <v>2.2298564009862694E-2</v>
      </c>
      <c r="DT69" s="288">
        <f t="shared" si="63"/>
        <v>0</v>
      </c>
    </row>
    <row r="70" spans="1:124">
      <c r="A70" s="288">
        <v>67</v>
      </c>
      <c r="B70" s="288">
        <v>2.5320180478098815E-2</v>
      </c>
      <c r="C70" s="288">
        <f t="shared" si="57"/>
        <v>0</v>
      </c>
      <c r="D70" s="288">
        <f t="shared" si="57"/>
        <v>0</v>
      </c>
      <c r="E70" s="288">
        <f t="shared" si="57"/>
        <v>0</v>
      </c>
      <c r="F70" s="288">
        <f t="shared" si="57"/>
        <v>0</v>
      </c>
      <c r="G70" s="288">
        <f t="shared" si="57"/>
        <v>0</v>
      </c>
      <c r="H70" s="288">
        <f t="shared" si="57"/>
        <v>0</v>
      </c>
      <c r="I70" s="288">
        <f t="shared" si="57"/>
        <v>0</v>
      </c>
      <c r="J70" s="288">
        <f t="shared" si="57"/>
        <v>0</v>
      </c>
      <c r="K70" s="288">
        <f t="shared" si="57"/>
        <v>0</v>
      </c>
      <c r="L70" s="288">
        <f t="shared" si="57"/>
        <v>0</v>
      </c>
      <c r="M70" s="288">
        <f t="shared" si="57"/>
        <v>0</v>
      </c>
      <c r="N70" s="288">
        <f t="shared" si="57"/>
        <v>0</v>
      </c>
      <c r="O70" s="288">
        <f t="shared" si="57"/>
        <v>0</v>
      </c>
      <c r="P70" s="288">
        <f t="shared" si="57"/>
        <v>0</v>
      </c>
      <c r="Q70" s="288">
        <f t="shared" si="57"/>
        <v>0</v>
      </c>
      <c r="R70" s="288">
        <f t="shared" si="31"/>
        <v>0</v>
      </c>
      <c r="S70" s="288">
        <f t="shared" si="64"/>
        <v>0</v>
      </c>
      <c r="T70" s="288">
        <f t="shared" si="65"/>
        <v>0</v>
      </c>
      <c r="U70" s="288">
        <f t="shared" si="66"/>
        <v>0</v>
      </c>
      <c r="V70" s="288">
        <f t="shared" si="67"/>
        <v>0</v>
      </c>
      <c r="W70" s="288">
        <f t="shared" si="68"/>
        <v>0</v>
      </c>
      <c r="X70" s="288">
        <f t="shared" si="69"/>
        <v>0</v>
      </c>
      <c r="Y70" s="288">
        <f t="shared" si="70"/>
        <v>0</v>
      </c>
      <c r="Z70" s="288">
        <f t="shared" si="71"/>
        <v>0</v>
      </c>
      <c r="AA70" s="288">
        <f t="shared" si="72"/>
        <v>0</v>
      </c>
      <c r="AB70" s="288">
        <f t="shared" si="73"/>
        <v>0</v>
      </c>
      <c r="AC70" s="288">
        <f t="shared" si="74"/>
        <v>0</v>
      </c>
      <c r="AD70" s="288">
        <f t="shared" si="75"/>
        <v>0</v>
      </c>
      <c r="AE70" s="288">
        <f t="shared" si="76"/>
        <v>0</v>
      </c>
      <c r="AF70" s="288">
        <f t="shared" si="77"/>
        <v>0</v>
      </c>
      <c r="AG70" s="288">
        <f t="shared" si="78"/>
        <v>0</v>
      </c>
      <c r="AH70" s="288">
        <f t="shared" si="79"/>
        <v>0</v>
      </c>
      <c r="AI70" s="288">
        <f t="shared" si="58"/>
        <v>0</v>
      </c>
      <c r="AJ70" s="288">
        <f t="shared" si="58"/>
        <v>0</v>
      </c>
      <c r="AK70" s="288">
        <f t="shared" si="58"/>
        <v>0</v>
      </c>
      <c r="AL70" s="288">
        <f t="shared" si="58"/>
        <v>0</v>
      </c>
      <c r="AM70" s="288">
        <f t="shared" si="58"/>
        <v>0</v>
      </c>
      <c r="AN70" s="288">
        <f t="shared" si="58"/>
        <v>0</v>
      </c>
      <c r="AO70" s="288">
        <f t="shared" si="58"/>
        <v>0</v>
      </c>
      <c r="AP70" s="288">
        <f t="shared" si="35"/>
        <v>0</v>
      </c>
      <c r="AQ70" s="288">
        <f t="shared" si="36"/>
        <v>0</v>
      </c>
      <c r="AR70" s="288">
        <f t="shared" si="37"/>
        <v>0</v>
      </c>
      <c r="AS70" s="288">
        <f t="shared" si="38"/>
        <v>0</v>
      </c>
      <c r="AT70" s="288">
        <f t="shared" si="34"/>
        <v>0</v>
      </c>
      <c r="AU70" s="288">
        <f t="shared" si="28"/>
        <v>0</v>
      </c>
      <c r="AV70" s="288">
        <f t="shared" si="28"/>
        <v>0</v>
      </c>
      <c r="AW70" s="288">
        <f t="shared" si="28"/>
        <v>0</v>
      </c>
      <c r="AX70" s="288">
        <f t="shared" si="28"/>
        <v>0</v>
      </c>
      <c r="AY70" s="288">
        <f t="shared" si="28"/>
        <v>0</v>
      </c>
      <c r="AZ70" s="288">
        <f t="shared" si="28"/>
        <v>0</v>
      </c>
      <c r="BA70" s="288">
        <f t="shared" si="28"/>
        <v>0</v>
      </c>
      <c r="BB70" s="288">
        <f t="shared" si="28"/>
        <v>0</v>
      </c>
      <c r="BC70" s="288">
        <f t="shared" si="28"/>
        <v>0</v>
      </c>
      <c r="BD70" s="288">
        <f t="shared" si="28"/>
        <v>0</v>
      </c>
      <c r="BE70" s="288">
        <f t="shared" si="28"/>
        <v>0</v>
      </c>
      <c r="BF70" s="288">
        <f t="shared" si="28"/>
        <v>0</v>
      </c>
      <c r="BG70" s="288">
        <f t="shared" si="28"/>
        <v>0</v>
      </c>
      <c r="BH70" s="288">
        <f t="shared" si="28"/>
        <v>0</v>
      </c>
      <c r="BI70" s="288">
        <f t="shared" si="41"/>
        <v>0</v>
      </c>
      <c r="BJ70" s="288">
        <f t="shared" si="41"/>
        <v>0</v>
      </c>
      <c r="BK70" s="288">
        <f t="shared" si="41"/>
        <v>0</v>
      </c>
      <c r="BL70" s="288">
        <f t="shared" si="41"/>
        <v>0</v>
      </c>
      <c r="BM70" s="288">
        <f t="shared" si="41"/>
        <v>0</v>
      </c>
      <c r="BN70" s="288">
        <f t="shared" si="41"/>
        <v>0</v>
      </c>
      <c r="BO70" s="288">
        <f t="shared" si="59"/>
        <v>0</v>
      </c>
      <c r="BP70" s="288">
        <f t="shared" si="59"/>
        <v>0</v>
      </c>
      <c r="BQ70" s="288">
        <f t="shared" si="59"/>
        <v>0</v>
      </c>
      <c r="BR70" s="288">
        <f t="shared" si="59"/>
        <v>67</v>
      </c>
      <c r="BS70" s="288">
        <f t="shared" si="59"/>
        <v>0</v>
      </c>
      <c r="BT70" s="288">
        <f t="shared" si="59"/>
        <v>0</v>
      </c>
      <c r="BU70" s="288">
        <f t="shared" si="59"/>
        <v>0</v>
      </c>
      <c r="BV70" s="288">
        <f t="shared" si="59"/>
        <v>0</v>
      </c>
      <c r="BW70" s="288">
        <f t="shared" si="59"/>
        <v>0</v>
      </c>
      <c r="BX70" s="288">
        <f t="shared" si="59"/>
        <v>0</v>
      </c>
      <c r="BY70" s="288">
        <f t="shared" si="59"/>
        <v>0</v>
      </c>
      <c r="BZ70" s="288">
        <f t="shared" si="59"/>
        <v>0</v>
      </c>
      <c r="CA70" s="288">
        <f t="shared" si="59"/>
        <v>0</v>
      </c>
      <c r="CB70" s="288">
        <f t="shared" si="39"/>
        <v>0</v>
      </c>
      <c r="CC70" s="288">
        <f t="shared" si="39"/>
        <v>0</v>
      </c>
      <c r="CD70" s="288">
        <f t="shared" si="39"/>
        <v>0</v>
      </c>
      <c r="CE70" s="288">
        <f t="shared" si="39"/>
        <v>0</v>
      </c>
      <c r="CF70" s="288">
        <f t="shared" si="39"/>
        <v>0</v>
      </c>
      <c r="CG70" s="288">
        <f t="shared" si="39"/>
        <v>0</v>
      </c>
      <c r="CH70" s="288">
        <f t="shared" si="39"/>
        <v>0</v>
      </c>
      <c r="CI70" s="288">
        <f t="shared" si="39"/>
        <v>0</v>
      </c>
      <c r="CJ70" s="288">
        <f t="shared" si="39"/>
        <v>0</v>
      </c>
      <c r="CK70" s="288">
        <f t="shared" si="39"/>
        <v>0</v>
      </c>
      <c r="CL70" s="288">
        <f t="shared" si="39"/>
        <v>0</v>
      </c>
      <c r="CM70" s="288">
        <f t="shared" si="39"/>
        <v>0</v>
      </c>
      <c r="CN70" s="288">
        <f t="shared" si="39"/>
        <v>0</v>
      </c>
      <c r="CO70" s="288">
        <f t="shared" si="39"/>
        <v>0</v>
      </c>
      <c r="CP70" s="288">
        <f t="shared" si="39"/>
        <v>0</v>
      </c>
      <c r="CQ70" s="288">
        <f t="shared" si="80"/>
        <v>0</v>
      </c>
      <c r="CR70" s="288">
        <f t="shared" si="81"/>
        <v>0</v>
      </c>
      <c r="CS70" s="288">
        <f t="shared" si="82"/>
        <v>0</v>
      </c>
      <c r="CT70" s="288">
        <f t="shared" si="40"/>
        <v>0</v>
      </c>
      <c r="CU70" s="288">
        <f t="shared" si="30"/>
        <v>0</v>
      </c>
      <c r="CV70" s="288">
        <f t="shared" si="29"/>
        <v>0</v>
      </c>
      <c r="CW70" s="288">
        <f t="shared" si="29"/>
        <v>0</v>
      </c>
      <c r="CX70" s="288">
        <f t="shared" si="21"/>
        <v>0</v>
      </c>
      <c r="CY70" s="288">
        <f t="shared" si="21"/>
        <v>0</v>
      </c>
      <c r="CZ70" s="288">
        <f t="shared" si="21"/>
        <v>0</v>
      </c>
      <c r="DA70" s="288">
        <f t="shared" si="21"/>
        <v>0</v>
      </c>
      <c r="DB70" s="288">
        <f t="shared" si="33"/>
        <v>0</v>
      </c>
      <c r="DC70" s="288">
        <f t="shared" si="33"/>
        <v>0</v>
      </c>
      <c r="DD70" s="288">
        <f t="shared" si="33"/>
        <v>0</v>
      </c>
      <c r="DE70" s="288">
        <f t="shared" si="33"/>
        <v>0</v>
      </c>
      <c r="DG70" s="314">
        <f t="shared" si="60"/>
        <v>67</v>
      </c>
      <c r="DH70" s="289">
        <f>MAX(BR$3:BR$109)</f>
        <v>67</v>
      </c>
      <c r="DJ70" s="288">
        <f>LOOKUP(DH70, 'Mortality Table'!A:A,('Mortality Table'!J:J/'Mortality Table'!I:I))</f>
        <v>2.3309115468742411E-2</v>
      </c>
      <c r="DK70" s="288">
        <f>LOOKUP(A70, 'Mortality Table'!A:A,('Mortality Table'!J:J/'Mortality Table'!I:I))</f>
        <v>2.3309115468742411E-2</v>
      </c>
      <c r="DL70" s="288">
        <f t="shared" si="61"/>
        <v>0</v>
      </c>
      <c r="DN70" s="288">
        <f>LOOKUP(DH70, 'Mortality Table'!A:A,('Mortality Table'!L:L/'Mortality Table'!K:K))</f>
        <v>2.3611190041339623E-2</v>
      </c>
      <c r="DO70" s="288">
        <f>LOOKUP(A70, 'Mortality Table'!A:A,('Mortality Table'!L:L/'Mortality Table'!K:K))</f>
        <v>2.3611190041339623E-2</v>
      </c>
      <c r="DP70" s="288">
        <f t="shared" si="62"/>
        <v>0</v>
      </c>
      <c r="DR70" s="288">
        <f>LOOKUP(DH70, 'Mortality Table'!A:A,('Mortality Table'!N:N/'Mortality Table'!M:M))</f>
        <v>2.4141844838813792E-2</v>
      </c>
      <c r="DS70" s="288">
        <f>LOOKUP(A70, 'Mortality Table'!A:A,('Mortality Table'!N:N/'Mortality Table'!M:M))</f>
        <v>2.4141844838813792E-2</v>
      </c>
      <c r="DT70" s="288">
        <f t="shared" si="63"/>
        <v>0</v>
      </c>
    </row>
    <row r="71" spans="1:124">
      <c r="A71" s="288">
        <v>68</v>
      </c>
      <c r="B71" s="288">
        <v>2.7372446412398107E-2</v>
      </c>
      <c r="C71" s="288">
        <f t="shared" si="57"/>
        <v>0</v>
      </c>
      <c r="D71" s="288">
        <f t="shared" si="57"/>
        <v>0</v>
      </c>
      <c r="E71" s="288">
        <f t="shared" si="57"/>
        <v>0</v>
      </c>
      <c r="F71" s="288">
        <f t="shared" si="57"/>
        <v>0</v>
      </c>
      <c r="G71" s="288">
        <f t="shared" si="57"/>
        <v>0</v>
      </c>
      <c r="H71" s="288">
        <f t="shared" si="57"/>
        <v>0</v>
      </c>
      <c r="I71" s="288">
        <f t="shared" si="57"/>
        <v>0</v>
      </c>
      <c r="J71" s="288">
        <f t="shared" si="57"/>
        <v>0</v>
      </c>
      <c r="K71" s="288">
        <f t="shared" si="57"/>
        <v>0</v>
      </c>
      <c r="L71" s="288">
        <f t="shared" si="57"/>
        <v>0</v>
      </c>
      <c r="M71" s="288">
        <f t="shared" si="57"/>
        <v>0</v>
      </c>
      <c r="N71" s="288">
        <f t="shared" si="57"/>
        <v>0</v>
      </c>
      <c r="O71" s="288">
        <f t="shared" si="57"/>
        <v>0</v>
      </c>
      <c r="P71" s="288">
        <f t="shared" si="57"/>
        <v>0</v>
      </c>
      <c r="Q71" s="288">
        <f t="shared" si="57"/>
        <v>0</v>
      </c>
      <c r="R71" s="288">
        <f t="shared" si="31"/>
        <v>0</v>
      </c>
      <c r="S71" s="288">
        <f t="shared" si="64"/>
        <v>0</v>
      </c>
      <c r="T71" s="288">
        <f t="shared" si="65"/>
        <v>0</v>
      </c>
      <c r="U71" s="288">
        <f t="shared" si="66"/>
        <v>0</v>
      </c>
      <c r="V71" s="288">
        <f t="shared" si="67"/>
        <v>0</v>
      </c>
      <c r="W71" s="288">
        <f t="shared" si="68"/>
        <v>0</v>
      </c>
      <c r="X71" s="288">
        <f t="shared" si="69"/>
        <v>0</v>
      </c>
      <c r="Y71" s="288">
        <f t="shared" si="70"/>
        <v>0</v>
      </c>
      <c r="Z71" s="288">
        <f t="shared" si="71"/>
        <v>0</v>
      </c>
      <c r="AA71" s="288">
        <f t="shared" si="72"/>
        <v>0</v>
      </c>
      <c r="AB71" s="288">
        <f t="shared" si="73"/>
        <v>0</v>
      </c>
      <c r="AC71" s="288">
        <f t="shared" si="74"/>
        <v>0</v>
      </c>
      <c r="AD71" s="288">
        <f t="shared" si="75"/>
        <v>0</v>
      </c>
      <c r="AE71" s="288">
        <f t="shared" si="76"/>
        <v>0</v>
      </c>
      <c r="AF71" s="288">
        <f t="shared" si="77"/>
        <v>0</v>
      </c>
      <c r="AG71" s="288">
        <f t="shared" si="78"/>
        <v>0</v>
      </c>
      <c r="AH71" s="288">
        <f t="shared" si="79"/>
        <v>0</v>
      </c>
      <c r="AI71" s="288">
        <f t="shared" si="58"/>
        <v>0</v>
      </c>
      <c r="AJ71" s="288">
        <f t="shared" si="58"/>
        <v>0</v>
      </c>
      <c r="AK71" s="288">
        <f t="shared" si="58"/>
        <v>0</v>
      </c>
      <c r="AL71" s="288">
        <f t="shared" si="58"/>
        <v>0</v>
      </c>
      <c r="AM71" s="288">
        <f t="shared" si="58"/>
        <v>0</v>
      </c>
      <c r="AN71" s="288">
        <f t="shared" si="58"/>
        <v>0</v>
      </c>
      <c r="AO71" s="288">
        <f t="shared" si="58"/>
        <v>0</v>
      </c>
      <c r="AP71" s="288">
        <f t="shared" si="35"/>
        <v>0</v>
      </c>
      <c r="AQ71" s="288">
        <f t="shared" si="36"/>
        <v>0</v>
      </c>
      <c r="AR71" s="288">
        <f t="shared" si="37"/>
        <v>0</v>
      </c>
      <c r="AS71" s="288">
        <f t="shared" si="38"/>
        <v>0</v>
      </c>
      <c r="AT71" s="288">
        <f t="shared" si="34"/>
        <v>0</v>
      </c>
      <c r="AU71" s="288">
        <f t="shared" si="28"/>
        <v>0</v>
      </c>
      <c r="AV71" s="288">
        <f t="shared" si="28"/>
        <v>0</v>
      </c>
      <c r="AW71" s="288">
        <f t="shared" si="28"/>
        <v>0</v>
      </c>
      <c r="AX71" s="288">
        <f t="shared" si="28"/>
        <v>0</v>
      </c>
      <c r="AY71" s="288">
        <f t="shared" si="28"/>
        <v>0</v>
      </c>
      <c r="AZ71" s="288">
        <f t="shared" si="28"/>
        <v>0</v>
      </c>
      <c r="BA71" s="288">
        <f t="shared" si="28"/>
        <v>0</v>
      </c>
      <c r="BB71" s="288">
        <f t="shared" si="28"/>
        <v>0</v>
      </c>
      <c r="BC71" s="288">
        <f t="shared" si="28"/>
        <v>0</v>
      </c>
      <c r="BD71" s="288">
        <f t="shared" si="28"/>
        <v>0</v>
      </c>
      <c r="BE71" s="288">
        <f t="shared" si="28"/>
        <v>0</v>
      </c>
      <c r="BF71" s="288">
        <f t="shared" si="28"/>
        <v>0</v>
      </c>
      <c r="BG71" s="288">
        <f t="shared" si="28"/>
        <v>0</v>
      </c>
      <c r="BH71" s="288">
        <f t="shared" si="28"/>
        <v>0</v>
      </c>
      <c r="BI71" s="288">
        <f t="shared" si="41"/>
        <v>0</v>
      </c>
      <c r="BJ71" s="288">
        <f t="shared" si="41"/>
        <v>0</v>
      </c>
      <c r="BK71" s="288">
        <f t="shared" si="41"/>
        <v>0</v>
      </c>
      <c r="BL71" s="288">
        <f t="shared" si="41"/>
        <v>0</v>
      </c>
      <c r="BM71" s="288">
        <f t="shared" si="41"/>
        <v>0</v>
      </c>
      <c r="BN71" s="288">
        <f t="shared" si="41"/>
        <v>0</v>
      </c>
      <c r="BO71" s="288">
        <f t="shared" si="59"/>
        <v>0</v>
      </c>
      <c r="BP71" s="288">
        <f t="shared" si="59"/>
        <v>0</v>
      </c>
      <c r="BQ71" s="288">
        <f t="shared" si="59"/>
        <v>0</v>
      </c>
      <c r="BR71" s="288">
        <f t="shared" si="59"/>
        <v>0</v>
      </c>
      <c r="BS71" s="288">
        <f t="shared" si="59"/>
        <v>68</v>
      </c>
      <c r="BT71" s="288">
        <f t="shared" si="59"/>
        <v>0</v>
      </c>
      <c r="BU71" s="288">
        <f t="shared" si="59"/>
        <v>0</v>
      </c>
      <c r="BV71" s="288">
        <f t="shared" si="59"/>
        <v>0</v>
      </c>
      <c r="BW71" s="288">
        <f t="shared" si="59"/>
        <v>0</v>
      </c>
      <c r="BX71" s="288">
        <f t="shared" si="59"/>
        <v>0</v>
      </c>
      <c r="BY71" s="288">
        <f t="shared" si="59"/>
        <v>0</v>
      </c>
      <c r="BZ71" s="288">
        <f t="shared" si="59"/>
        <v>0</v>
      </c>
      <c r="CA71" s="288">
        <f t="shared" si="59"/>
        <v>0</v>
      </c>
      <c r="CB71" s="288">
        <f t="shared" si="39"/>
        <v>0</v>
      </c>
      <c r="CC71" s="288">
        <f t="shared" si="39"/>
        <v>0</v>
      </c>
      <c r="CD71" s="288">
        <f t="shared" si="39"/>
        <v>0</v>
      </c>
      <c r="CE71" s="288">
        <f t="shared" si="39"/>
        <v>0</v>
      </c>
      <c r="CF71" s="288">
        <f t="shared" si="39"/>
        <v>0</v>
      </c>
      <c r="CG71" s="288">
        <f t="shared" si="39"/>
        <v>0</v>
      </c>
      <c r="CH71" s="288">
        <f t="shared" si="39"/>
        <v>0</v>
      </c>
      <c r="CI71" s="288">
        <f t="shared" si="39"/>
        <v>0</v>
      </c>
      <c r="CJ71" s="288">
        <f t="shared" si="39"/>
        <v>0</v>
      </c>
      <c r="CK71" s="288">
        <f t="shared" si="39"/>
        <v>0</v>
      </c>
      <c r="CL71" s="288">
        <f t="shared" si="39"/>
        <v>0</v>
      </c>
      <c r="CM71" s="288">
        <f t="shared" si="39"/>
        <v>0</v>
      </c>
      <c r="CN71" s="288">
        <f t="shared" si="39"/>
        <v>0</v>
      </c>
      <c r="CO71" s="288">
        <f t="shared" si="39"/>
        <v>0</v>
      </c>
      <c r="CP71" s="288">
        <f t="shared" si="39"/>
        <v>0</v>
      </c>
      <c r="CQ71" s="288">
        <f t="shared" si="80"/>
        <v>0</v>
      </c>
      <c r="CR71" s="288">
        <f t="shared" si="81"/>
        <v>0</v>
      </c>
      <c r="CS71" s="288">
        <f t="shared" si="82"/>
        <v>0</v>
      </c>
      <c r="CT71" s="288">
        <f t="shared" si="40"/>
        <v>0</v>
      </c>
      <c r="CU71" s="288">
        <f t="shared" si="30"/>
        <v>0</v>
      </c>
      <c r="CV71" s="288">
        <f t="shared" si="29"/>
        <v>0</v>
      </c>
      <c r="CW71" s="288">
        <f t="shared" si="29"/>
        <v>0</v>
      </c>
      <c r="CX71" s="288">
        <f t="shared" si="21"/>
        <v>0</v>
      </c>
      <c r="CY71" s="288">
        <f t="shared" si="21"/>
        <v>0</v>
      </c>
      <c r="CZ71" s="288">
        <f t="shared" si="21"/>
        <v>0</v>
      </c>
      <c r="DA71" s="288">
        <f t="shared" si="21"/>
        <v>0</v>
      </c>
      <c r="DB71" s="288">
        <f t="shared" si="33"/>
        <v>0</v>
      </c>
      <c r="DC71" s="288">
        <f t="shared" si="33"/>
        <v>0</v>
      </c>
      <c r="DD71" s="288">
        <f t="shared" si="33"/>
        <v>0</v>
      </c>
      <c r="DE71" s="288">
        <f t="shared" si="33"/>
        <v>0</v>
      </c>
      <c r="DG71" s="314">
        <f t="shared" si="60"/>
        <v>68</v>
      </c>
      <c r="DH71" s="289">
        <f>MAX(BS$3:BS$109)</f>
        <v>68</v>
      </c>
      <c r="DJ71" s="288">
        <f>LOOKUP(DH71, 'Mortality Table'!A:A,('Mortality Table'!J:J/'Mortality Table'!I:I))</f>
        <v>2.5198379397035751E-2</v>
      </c>
      <c r="DK71" s="288">
        <f>LOOKUP(A71, 'Mortality Table'!A:A,('Mortality Table'!J:J/'Mortality Table'!I:I))</f>
        <v>2.5198379397035751E-2</v>
      </c>
      <c r="DL71" s="288">
        <f t="shared" si="61"/>
        <v>0</v>
      </c>
      <c r="DN71" s="288">
        <f>LOOKUP(DH71, 'Mortality Table'!A:A,('Mortality Table'!L:L/'Mortality Table'!K:K))</f>
        <v>2.5524937892861536E-2</v>
      </c>
      <c r="DO71" s="288">
        <f>LOOKUP(A71, 'Mortality Table'!A:A,('Mortality Table'!L:L/'Mortality Table'!K:K))</f>
        <v>2.5524937892861536E-2</v>
      </c>
      <c r="DP71" s="288">
        <f t="shared" si="62"/>
        <v>0</v>
      </c>
      <c r="DR71" s="288">
        <f>LOOKUP(DH71, 'Mortality Table'!A:A,('Mortality Table'!N:N/'Mortality Table'!M:M))</f>
        <v>2.6098603630351318E-2</v>
      </c>
      <c r="DS71" s="288">
        <f>LOOKUP(A71, 'Mortality Table'!A:A,('Mortality Table'!N:N/'Mortality Table'!M:M))</f>
        <v>2.6098603630351318E-2</v>
      </c>
      <c r="DT71" s="288">
        <f t="shared" si="63"/>
        <v>0</v>
      </c>
    </row>
    <row r="72" spans="1:124">
      <c r="A72" s="288">
        <v>69</v>
      </c>
      <c r="B72" s="288">
        <v>2.9650432340551328E-2</v>
      </c>
      <c r="C72" s="288">
        <f t="shared" si="57"/>
        <v>0</v>
      </c>
      <c r="D72" s="288">
        <f t="shared" si="57"/>
        <v>0</v>
      </c>
      <c r="E72" s="288">
        <f t="shared" si="57"/>
        <v>0</v>
      </c>
      <c r="F72" s="288">
        <f t="shared" si="57"/>
        <v>0</v>
      </c>
      <c r="G72" s="288">
        <f t="shared" si="57"/>
        <v>0</v>
      </c>
      <c r="H72" s="288">
        <f t="shared" si="57"/>
        <v>0</v>
      </c>
      <c r="I72" s="288">
        <f t="shared" si="57"/>
        <v>0</v>
      </c>
      <c r="J72" s="288">
        <f t="shared" si="57"/>
        <v>0</v>
      </c>
      <c r="K72" s="288">
        <f t="shared" si="57"/>
        <v>0</v>
      </c>
      <c r="L72" s="288">
        <f t="shared" si="57"/>
        <v>0</v>
      </c>
      <c r="M72" s="288">
        <f t="shared" si="57"/>
        <v>0</v>
      </c>
      <c r="N72" s="288">
        <f t="shared" si="57"/>
        <v>0</v>
      </c>
      <c r="O72" s="288">
        <f t="shared" si="57"/>
        <v>0</v>
      </c>
      <c r="P72" s="288">
        <f t="shared" si="57"/>
        <v>0</v>
      </c>
      <c r="Q72" s="288">
        <f t="shared" si="57"/>
        <v>0</v>
      </c>
      <c r="R72" s="288">
        <f t="shared" si="31"/>
        <v>0</v>
      </c>
      <c r="S72" s="288">
        <f t="shared" si="64"/>
        <v>0</v>
      </c>
      <c r="T72" s="288">
        <f t="shared" si="65"/>
        <v>0</v>
      </c>
      <c r="U72" s="288">
        <f t="shared" si="66"/>
        <v>0</v>
      </c>
      <c r="V72" s="288">
        <f t="shared" si="67"/>
        <v>0</v>
      </c>
      <c r="W72" s="288">
        <f t="shared" si="68"/>
        <v>0</v>
      </c>
      <c r="X72" s="288">
        <f t="shared" si="69"/>
        <v>0</v>
      </c>
      <c r="Y72" s="288">
        <f t="shared" si="70"/>
        <v>0</v>
      </c>
      <c r="Z72" s="288">
        <f t="shared" si="71"/>
        <v>0</v>
      </c>
      <c r="AA72" s="288">
        <f t="shared" si="72"/>
        <v>0</v>
      </c>
      <c r="AB72" s="288">
        <f t="shared" si="73"/>
        <v>0</v>
      </c>
      <c r="AC72" s="288">
        <f t="shared" si="74"/>
        <v>0</v>
      </c>
      <c r="AD72" s="288">
        <f t="shared" si="75"/>
        <v>0</v>
      </c>
      <c r="AE72" s="288">
        <f t="shared" si="76"/>
        <v>0</v>
      </c>
      <c r="AF72" s="288">
        <f t="shared" si="77"/>
        <v>0</v>
      </c>
      <c r="AG72" s="288">
        <f t="shared" si="78"/>
        <v>0</v>
      </c>
      <c r="AH72" s="288">
        <f t="shared" si="79"/>
        <v>0</v>
      </c>
      <c r="AI72" s="288">
        <f t="shared" si="58"/>
        <v>0</v>
      </c>
      <c r="AJ72" s="288">
        <f t="shared" si="58"/>
        <v>0</v>
      </c>
      <c r="AK72" s="288">
        <f t="shared" si="58"/>
        <v>0</v>
      </c>
      <c r="AL72" s="288">
        <f t="shared" si="58"/>
        <v>0</v>
      </c>
      <c r="AM72" s="288">
        <f t="shared" si="58"/>
        <v>0</v>
      </c>
      <c r="AN72" s="288">
        <f t="shared" si="58"/>
        <v>0</v>
      </c>
      <c r="AO72" s="288">
        <f t="shared" si="58"/>
        <v>0</v>
      </c>
      <c r="AP72" s="288">
        <f t="shared" si="35"/>
        <v>0</v>
      </c>
      <c r="AQ72" s="288">
        <f t="shared" si="36"/>
        <v>0</v>
      </c>
      <c r="AR72" s="288">
        <f t="shared" si="37"/>
        <v>0</v>
      </c>
      <c r="AS72" s="288">
        <f t="shared" si="38"/>
        <v>0</v>
      </c>
      <c r="AT72" s="288">
        <f t="shared" si="34"/>
        <v>0</v>
      </c>
      <c r="AU72" s="288">
        <f t="shared" si="28"/>
        <v>0</v>
      </c>
      <c r="AV72" s="288">
        <f t="shared" ref="AV72:BH91" si="83">IF(AV$2&gt;$B72,(IF(AV$2&lt;=$B73,(IF(AVERAGE($B72,$B73)&gt;AV$2,$A72,$A73)),0)),0)</f>
        <v>0</v>
      </c>
      <c r="AW72" s="288">
        <f t="shared" si="83"/>
        <v>0</v>
      </c>
      <c r="AX72" s="288">
        <f t="shared" si="83"/>
        <v>0</v>
      </c>
      <c r="AY72" s="288">
        <f t="shared" si="83"/>
        <v>0</v>
      </c>
      <c r="AZ72" s="288">
        <f t="shared" si="83"/>
        <v>0</v>
      </c>
      <c r="BA72" s="288">
        <f t="shared" si="83"/>
        <v>0</v>
      </c>
      <c r="BB72" s="288">
        <f t="shared" si="83"/>
        <v>0</v>
      </c>
      <c r="BC72" s="288">
        <f t="shared" si="83"/>
        <v>0</v>
      </c>
      <c r="BD72" s="288">
        <f t="shared" si="83"/>
        <v>0</v>
      </c>
      <c r="BE72" s="288">
        <f t="shared" si="83"/>
        <v>0</v>
      </c>
      <c r="BF72" s="288">
        <f t="shared" si="83"/>
        <v>0</v>
      </c>
      <c r="BG72" s="288">
        <f t="shared" si="83"/>
        <v>0</v>
      </c>
      <c r="BH72" s="288">
        <f t="shared" si="83"/>
        <v>0</v>
      </c>
      <c r="BI72" s="288">
        <f t="shared" si="41"/>
        <v>0</v>
      </c>
      <c r="BJ72" s="288">
        <f t="shared" si="41"/>
        <v>0</v>
      </c>
      <c r="BK72" s="288">
        <f t="shared" si="41"/>
        <v>0</v>
      </c>
      <c r="BL72" s="288">
        <f t="shared" si="41"/>
        <v>0</v>
      </c>
      <c r="BM72" s="288">
        <f t="shared" si="41"/>
        <v>0</v>
      </c>
      <c r="BN72" s="288">
        <f t="shared" si="41"/>
        <v>0</v>
      </c>
      <c r="BO72" s="288">
        <f t="shared" si="59"/>
        <v>0</v>
      </c>
      <c r="BP72" s="288">
        <f t="shared" si="59"/>
        <v>0</v>
      </c>
      <c r="BQ72" s="288">
        <f t="shared" si="59"/>
        <v>0</v>
      </c>
      <c r="BR72" s="288">
        <f t="shared" si="59"/>
        <v>0</v>
      </c>
      <c r="BS72" s="288">
        <f t="shared" si="59"/>
        <v>0</v>
      </c>
      <c r="BT72" s="288">
        <f t="shared" si="59"/>
        <v>69</v>
      </c>
      <c r="BU72" s="288">
        <f t="shared" si="59"/>
        <v>0</v>
      </c>
      <c r="BV72" s="288">
        <f t="shared" si="59"/>
        <v>0</v>
      </c>
      <c r="BW72" s="288">
        <f t="shared" si="59"/>
        <v>0</v>
      </c>
      <c r="BX72" s="288">
        <f t="shared" si="59"/>
        <v>0</v>
      </c>
      <c r="BY72" s="288">
        <f t="shared" si="59"/>
        <v>0</v>
      </c>
      <c r="BZ72" s="288">
        <f t="shared" si="59"/>
        <v>0</v>
      </c>
      <c r="CA72" s="288">
        <f t="shared" si="59"/>
        <v>0</v>
      </c>
      <c r="CB72" s="288">
        <f t="shared" si="39"/>
        <v>0</v>
      </c>
      <c r="CC72" s="288">
        <f t="shared" si="39"/>
        <v>0</v>
      </c>
      <c r="CD72" s="288">
        <f t="shared" si="39"/>
        <v>0</v>
      </c>
      <c r="CE72" s="288">
        <f t="shared" si="39"/>
        <v>0</v>
      </c>
      <c r="CF72" s="288">
        <f t="shared" si="39"/>
        <v>0</v>
      </c>
      <c r="CG72" s="288">
        <f t="shared" si="39"/>
        <v>0</v>
      </c>
      <c r="CH72" s="288">
        <f t="shared" si="39"/>
        <v>0</v>
      </c>
      <c r="CI72" s="288">
        <f t="shared" si="39"/>
        <v>0</v>
      </c>
      <c r="CJ72" s="288">
        <f t="shared" si="39"/>
        <v>0</v>
      </c>
      <c r="CK72" s="288">
        <f t="shared" si="39"/>
        <v>0</v>
      </c>
      <c r="CL72" s="288">
        <f t="shared" si="39"/>
        <v>0</v>
      </c>
      <c r="CM72" s="288">
        <f t="shared" si="39"/>
        <v>0</v>
      </c>
      <c r="CN72" s="288">
        <f t="shared" si="39"/>
        <v>0</v>
      </c>
      <c r="CO72" s="288">
        <f t="shared" si="39"/>
        <v>0</v>
      </c>
      <c r="CP72" s="288">
        <f t="shared" si="39"/>
        <v>0</v>
      </c>
      <c r="CQ72" s="288">
        <f t="shared" si="80"/>
        <v>0</v>
      </c>
      <c r="CR72" s="288">
        <f t="shared" si="81"/>
        <v>0</v>
      </c>
      <c r="CS72" s="288">
        <f t="shared" si="82"/>
        <v>0</v>
      </c>
      <c r="CT72" s="288">
        <f t="shared" si="40"/>
        <v>0</v>
      </c>
      <c r="CU72" s="288">
        <f t="shared" si="30"/>
        <v>0</v>
      </c>
      <c r="CV72" s="288">
        <f t="shared" si="29"/>
        <v>0</v>
      </c>
      <c r="CW72" s="288">
        <f t="shared" si="29"/>
        <v>0</v>
      </c>
      <c r="CX72" s="288">
        <f t="shared" si="21"/>
        <v>0</v>
      </c>
      <c r="CY72" s="288">
        <f t="shared" si="21"/>
        <v>0</v>
      </c>
      <c r="CZ72" s="288">
        <f t="shared" si="21"/>
        <v>0</v>
      </c>
      <c r="DA72" s="288">
        <f t="shared" si="21"/>
        <v>0</v>
      </c>
      <c r="DB72" s="288">
        <f t="shared" si="33"/>
        <v>0</v>
      </c>
      <c r="DC72" s="288">
        <f t="shared" si="33"/>
        <v>0</v>
      </c>
      <c r="DD72" s="288">
        <f t="shared" si="33"/>
        <v>0</v>
      </c>
      <c r="DE72" s="288">
        <f t="shared" si="33"/>
        <v>0</v>
      </c>
      <c r="DG72" s="314">
        <f t="shared" si="60"/>
        <v>69</v>
      </c>
      <c r="DH72" s="289">
        <f>MAX(BT$3:BT$109)</f>
        <v>69</v>
      </c>
      <c r="DJ72" s="288">
        <f>LOOKUP(DH72, 'Mortality Table'!A:A,('Mortality Table'!J:J/'Mortality Table'!I:I))</f>
        <v>2.7295435422423135E-2</v>
      </c>
      <c r="DK72" s="288">
        <f>LOOKUP(A72, 'Mortality Table'!A:A,('Mortality Table'!J:J/'Mortality Table'!I:I))</f>
        <v>2.7295435422423135E-2</v>
      </c>
      <c r="DL72" s="288">
        <f t="shared" si="61"/>
        <v>0</v>
      </c>
      <c r="DN72" s="288">
        <f>LOOKUP(DH72, 'Mortality Table'!A:A,('Mortality Table'!L:L/'Mortality Table'!K:K))</f>
        <v>2.7649170723968174E-2</v>
      </c>
      <c r="DO72" s="288">
        <f>LOOKUP(A72, 'Mortality Table'!A:A,('Mortality Table'!L:L/'Mortality Table'!K:K))</f>
        <v>2.7649170723968174E-2</v>
      </c>
      <c r="DP72" s="288">
        <f t="shared" si="62"/>
        <v>0</v>
      </c>
      <c r="DR72" s="288">
        <f>LOOKUP(DH72, 'Mortality Table'!A:A,('Mortality Table'!N:N/'Mortality Table'!M:M))</f>
        <v>2.8270577991673294E-2</v>
      </c>
      <c r="DS72" s="288">
        <f>LOOKUP(A72, 'Mortality Table'!A:A,('Mortality Table'!N:N/'Mortality Table'!M:M))</f>
        <v>2.8270577991673294E-2</v>
      </c>
      <c r="DT72" s="288">
        <f t="shared" si="63"/>
        <v>0</v>
      </c>
    </row>
    <row r="73" spans="1:124">
      <c r="A73" s="288">
        <v>70</v>
      </c>
      <c r="B73" s="288">
        <v>3.2079696568112236E-2</v>
      </c>
      <c r="C73" s="288">
        <f t="shared" si="57"/>
        <v>0</v>
      </c>
      <c r="D73" s="288">
        <f t="shared" si="57"/>
        <v>0</v>
      </c>
      <c r="E73" s="288">
        <f t="shared" si="57"/>
        <v>0</v>
      </c>
      <c r="F73" s="288">
        <f t="shared" si="57"/>
        <v>0</v>
      </c>
      <c r="G73" s="288">
        <f t="shared" si="57"/>
        <v>0</v>
      </c>
      <c r="H73" s="288">
        <f t="shared" si="57"/>
        <v>0</v>
      </c>
      <c r="I73" s="288">
        <f t="shared" si="57"/>
        <v>0</v>
      </c>
      <c r="J73" s="288">
        <f t="shared" si="57"/>
        <v>0</v>
      </c>
      <c r="K73" s="288">
        <f t="shared" si="57"/>
        <v>0</v>
      </c>
      <c r="L73" s="288">
        <f t="shared" si="57"/>
        <v>0</v>
      </c>
      <c r="M73" s="288">
        <f t="shared" si="57"/>
        <v>0</v>
      </c>
      <c r="N73" s="288">
        <f t="shared" si="57"/>
        <v>0</v>
      </c>
      <c r="O73" s="288">
        <f t="shared" si="57"/>
        <v>0</v>
      </c>
      <c r="P73" s="288">
        <f t="shared" si="57"/>
        <v>0</v>
      </c>
      <c r="Q73" s="288">
        <f t="shared" si="57"/>
        <v>0</v>
      </c>
      <c r="R73" s="288">
        <f t="shared" si="31"/>
        <v>0</v>
      </c>
      <c r="S73" s="288">
        <f t="shared" si="64"/>
        <v>0</v>
      </c>
      <c r="T73" s="288">
        <f t="shared" si="65"/>
        <v>0</v>
      </c>
      <c r="U73" s="288">
        <f t="shared" si="66"/>
        <v>0</v>
      </c>
      <c r="V73" s="288">
        <f t="shared" si="67"/>
        <v>0</v>
      </c>
      <c r="W73" s="288">
        <f t="shared" si="68"/>
        <v>0</v>
      </c>
      <c r="X73" s="288">
        <f t="shared" si="69"/>
        <v>0</v>
      </c>
      <c r="Y73" s="288">
        <f t="shared" si="70"/>
        <v>0</v>
      </c>
      <c r="Z73" s="288">
        <f t="shared" si="71"/>
        <v>0</v>
      </c>
      <c r="AA73" s="288">
        <f t="shared" si="72"/>
        <v>0</v>
      </c>
      <c r="AB73" s="288">
        <f t="shared" si="73"/>
        <v>0</v>
      </c>
      <c r="AC73" s="288">
        <f t="shared" si="74"/>
        <v>0</v>
      </c>
      <c r="AD73" s="288">
        <f t="shared" si="75"/>
        <v>0</v>
      </c>
      <c r="AE73" s="288">
        <f t="shared" si="76"/>
        <v>0</v>
      </c>
      <c r="AF73" s="288">
        <f t="shared" si="77"/>
        <v>0</v>
      </c>
      <c r="AG73" s="288">
        <f t="shared" si="78"/>
        <v>0</v>
      </c>
      <c r="AH73" s="288">
        <f t="shared" si="79"/>
        <v>0</v>
      </c>
      <c r="AI73" s="288">
        <f t="shared" si="58"/>
        <v>0</v>
      </c>
      <c r="AJ73" s="288">
        <f t="shared" si="58"/>
        <v>0</v>
      </c>
      <c r="AK73" s="288">
        <f t="shared" si="58"/>
        <v>0</v>
      </c>
      <c r="AL73" s="288">
        <f t="shared" si="58"/>
        <v>0</v>
      </c>
      <c r="AM73" s="288">
        <f t="shared" si="58"/>
        <v>0</v>
      </c>
      <c r="AN73" s="288">
        <f t="shared" si="58"/>
        <v>0</v>
      </c>
      <c r="AO73" s="288">
        <f t="shared" si="58"/>
        <v>0</v>
      </c>
      <c r="AP73" s="288">
        <f t="shared" si="35"/>
        <v>0</v>
      </c>
      <c r="AQ73" s="288">
        <f t="shared" si="36"/>
        <v>0</v>
      </c>
      <c r="AR73" s="288">
        <f t="shared" si="37"/>
        <v>0</v>
      </c>
      <c r="AS73" s="288">
        <f t="shared" si="38"/>
        <v>0</v>
      </c>
      <c r="AT73" s="288">
        <f t="shared" si="34"/>
        <v>0</v>
      </c>
      <c r="AU73" s="288">
        <f t="shared" si="34"/>
        <v>0</v>
      </c>
      <c r="AV73" s="288">
        <f t="shared" si="83"/>
        <v>0</v>
      </c>
      <c r="AW73" s="288">
        <f t="shared" si="83"/>
        <v>0</v>
      </c>
      <c r="AX73" s="288">
        <f t="shared" si="83"/>
        <v>0</v>
      </c>
      <c r="AY73" s="288">
        <f t="shared" si="83"/>
        <v>0</v>
      </c>
      <c r="AZ73" s="288">
        <f t="shared" si="83"/>
        <v>0</v>
      </c>
      <c r="BA73" s="288">
        <f t="shared" si="83"/>
        <v>0</v>
      </c>
      <c r="BB73" s="288">
        <f t="shared" si="83"/>
        <v>0</v>
      </c>
      <c r="BC73" s="288">
        <f t="shared" si="83"/>
        <v>0</v>
      </c>
      <c r="BD73" s="288">
        <f t="shared" si="83"/>
        <v>0</v>
      </c>
      <c r="BE73" s="288">
        <f t="shared" si="83"/>
        <v>0</v>
      </c>
      <c r="BF73" s="288">
        <f t="shared" si="83"/>
        <v>0</v>
      </c>
      <c r="BG73" s="288">
        <f t="shared" si="83"/>
        <v>0</v>
      </c>
      <c r="BH73" s="288">
        <f t="shared" si="83"/>
        <v>0</v>
      </c>
      <c r="BI73" s="288">
        <f t="shared" si="41"/>
        <v>0</v>
      </c>
      <c r="BJ73" s="288">
        <f t="shared" si="41"/>
        <v>0</v>
      </c>
      <c r="BK73" s="288">
        <f t="shared" si="41"/>
        <v>0</v>
      </c>
      <c r="BL73" s="288">
        <f t="shared" si="41"/>
        <v>0</v>
      </c>
      <c r="BM73" s="288">
        <f t="shared" si="41"/>
        <v>0</v>
      </c>
      <c r="BN73" s="288">
        <f t="shared" si="41"/>
        <v>0</v>
      </c>
      <c r="BO73" s="288">
        <f t="shared" si="59"/>
        <v>0</v>
      </c>
      <c r="BP73" s="288">
        <f t="shared" si="59"/>
        <v>0</v>
      </c>
      <c r="BQ73" s="288">
        <f t="shared" si="59"/>
        <v>0</v>
      </c>
      <c r="BR73" s="288">
        <f t="shared" si="59"/>
        <v>0</v>
      </c>
      <c r="BS73" s="288">
        <f t="shared" si="59"/>
        <v>0</v>
      </c>
      <c r="BT73" s="288">
        <f t="shared" si="59"/>
        <v>0</v>
      </c>
      <c r="BU73" s="288">
        <f t="shared" si="59"/>
        <v>70</v>
      </c>
      <c r="BV73" s="288">
        <f t="shared" si="59"/>
        <v>0</v>
      </c>
      <c r="BW73" s="288">
        <f t="shared" si="59"/>
        <v>0</v>
      </c>
      <c r="BX73" s="288">
        <f t="shared" si="59"/>
        <v>0</v>
      </c>
      <c r="BY73" s="288">
        <f t="shared" si="59"/>
        <v>0</v>
      </c>
      <c r="BZ73" s="288">
        <f t="shared" si="59"/>
        <v>0</v>
      </c>
      <c r="CA73" s="288">
        <f t="shared" si="59"/>
        <v>0</v>
      </c>
      <c r="CB73" s="288">
        <f t="shared" si="39"/>
        <v>0</v>
      </c>
      <c r="CC73" s="288">
        <f t="shared" si="39"/>
        <v>0</v>
      </c>
      <c r="CD73" s="288">
        <f t="shared" si="39"/>
        <v>0</v>
      </c>
      <c r="CE73" s="288">
        <f t="shared" si="39"/>
        <v>0</v>
      </c>
      <c r="CF73" s="288">
        <f t="shared" si="39"/>
        <v>0</v>
      </c>
      <c r="CG73" s="288">
        <f t="shared" si="39"/>
        <v>0</v>
      </c>
      <c r="CH73" s="288">
        <f t="shared" si="39"/>
        <v>0</v>
      </c>
      <c r="CI73" s="288">
        <f t="shared" si="39"/>
        <v>0</v>
      </c>
      <c r="CJ73" s="288">
        <f t="shared" si="39"/>
        <v>0</v>
      </c>
      <c r="CK73" s="288">
        <f t="shared" si="39"/>
        <v>0</v>
      </c>
      <c r="CL73" s="288">
        <f t="shared" si="39"/>
        <v>0</v>
      </c>
      <c r="CM73" s="288">
        <f t="shared" si="39"/>
        <v>0</v>
      </c>
      <c r="CN73" s="288">
        <f t="shared" si="39"/>
        <v>0</v>
      </c>
      <c r="CO73" s="288">
        <f t="shared" si="39"/>
        <v>0</v>
      </c>
      <c r="CP73" s="288">
        <f t="shared" si="39"/>
        <v>0</v>
      </c>
      <c r="CQ73" s="288">
        <f t="shared" si="80"/>
        <v>0</v>
      </c>
      <c r="CR73" s="288">
        <f t="shared" si="81"/>
        <v>0</v>
      </c>
      <c r="CS73" s="288">
        <f t="shared" si="82"/>
        <v>0</v>
      </c>
      <c r="CT73" s="288">
        <f t="shared" si="40"/>
        <v>0</v>
      </c>
      <c r="CU73" s="288">
        <f t="shared" ref="CU73:CU109" si="84">IF(CU$2&gt;$B73,(IF(CU$2&lt;=$B74,(IF(AVERAGE($B73,$B74)&gt;CU$2,$A73,$A74)),0)),0)</f>
        <v>0</v>
      </c>
      <c r="CV73" s="288">
        <f t="shared" si="29"/>
        <v>0</v>
      </c>
      <c r="CW73" s="288">
        <f t="shared" si="29"/>
        <v>0</v>
      </c>
      <c r="CX73" s="288">
        <f t="shared" si="21"/>
        <v>0</v>
      </c>
      <c r="CY73" s="288">
        <f t="shared" si="21"/>
        <v>0</v>
      </c>
      <c r="CZ73" s="288">
        <f t="shared" si="21"/>
        <v>0</v>
      </c>
      <c r="DA73" s="288">
        <f t="shared" si="21"/>
        <v>0</v>
      </c>
      <c r="DB73" s="288">
        <f t="shared" si="33"/>
        <v>0</v>
      </c>
      <c r="DC73" s="288">
        <f t="shared" si="33"/>
        <v>0</v>
      </c>
      <c r="DD73" s="288">
        <f t="shared" si="33"/>
        <v>0</v>
      </c>
      <c r="DE73" s="288">
        <f t="shared" si="33"/>
        <v>0</v>
      </c>
      <c r="DG73" s="314">
        <f t="shared" si="60"/>
        <v>70</v>
      </c>
      <c r="DH73" s="289">
        <f>MAX(BU$3:BU$109)</f>
        <v>70</v>
      </c>
      <c r="DJ73" s="288">
        <f>LOOKUP(DH73, 'Mortality Table'!A:A,('Mortality Table'!J:J/'Mortality Table'!I:I))</f>
        <v>2.9531754410484112E-2</v>
      </c>
      <c r="DK73" s="288">
        <f>LOOKUP(A73, 'Mortality Table'!A:A,('Mortality Table'!J:J/'Mortality Table'!I:I))</f>
        <v>2.9531754410484112E-2</v>
      </c>
      <c r="DL73" s="288">
        <f t="shared" si="61"/>
        <v>0</v>
      </c>
      <c r="DN73" s="288">
        <f>LOOKUP(DH73, 'Mortality Table'!A:A,('Mortality Table'!L:L/'Mortality Table'!K:K))</f>
        <v>2.9914471296654886E-2</v>
      </c>
      <c r="DO73" s="288">
        <f>LOOKUP(A73, 'Mortality Table'!A:A,('Mortality Table'!L:L/'Mortality Table'!K:K))</f>
        <v>2.9914471296654886E-2</v>
      </c>
      <c r="DP73" s="288">
        <f t="shared" si="62"/>
        <v>0</v>
      </c>
      <c r="DR73" s="288">
        <f>LOOKUP(DH73, 'Mortality Table'!A:A,('Mortality Table'!N:N/'Mortality Table'!M:M))</f>
        <v>3.0586790552045207E-2</v>
      </c>
      <c r="DS73" s="288">
        <f>LOOKUP(A73, 'Mortality Table'!A:A,('Mortality Table'!N:N/'Mortality Table'!M:M))</f>
        <v>3.0586790552045207E-2</v>
      </c>
      <c r="DT73" s="288">
        <f t="shared" si="63"/>
        <v>0</v>
      </c>
    </row>
    <row r="74" spans="1:124">
      <c r="A74" s="288">
        <v>71</v>
      </c>
      <c r="B74" s="288">
        <v>3.553499205262578E-2</v>
      </c>
      <c r="C74" s="288">
        <f t="shared" si="57"/>
        <v>0</v>
      </c>
      <c r="D74" s="288">
        <f t="shared" si="57"/>
        <v>0</v>
      </c>
      <c r="E74" s="288">
        <f t="shared" si="57"/>
        <v>0</v>
      </c>
      <c r="F74" s="288">
        <f t="shared" si="57"/>
        <v>0</v>
      </c>
      <c r="G74" s="288">
        <f t="shared" si="57"/>
        <v>0</v>
      </c>
      <c r="H74" s="288">
        <f t="shared" si="57"/>
        <v>0</v>
      </c>
      <c r="I74" s="288">
        <f t="shared" si="57"/>
        <v>0</v>
      </c>
      <c r="J74" s="288">
        <f t="shared" si="57"/>
        <v>0</v>
      </c>
      <c r="K74" s="288">
        <f t="shared" si="57"/>
        <v>0</v>
      </c>
      <c r="L74" s="288">
        <f t="shared" si="57"/>
        <v>0</v>
      </c>
      <c r="M74" s="288">
        <f t="shared" si="57"/>
        <v>0</v>
      </c>
      <c r="N74" s="288">
        <f t="shared" si="57"/>
        <v>0</v>
      </c>
      <c r="O74" s="288">
        <f t="shared" si="57"/>
        <v>0</v>
      </c>
      <c r="P74" s="288">
        <f t="shared" si="57"/>
        <v>0</v>
      </c>
      <c r="Q74" s="288">
        <f t="shared" si="57"/>
        <v>0</v>
      </c>
      <c r="R74" s="288">
        <f t="shared" si="31"/>
        <v>0</v>
      </c>
      <c r="S74" s="288">
        <f t="shared" si="64"/>
        <v>0</v>
      </c>
      <c r="T74" s="288">
        <f t="shared" si="65"/>
        <v>0</v>
      </c>
      <c r="U74" s="288">
        <f t="shared" si="66"/>
        <v>0</v>
      </c>
      <c r="V74" s="288">
        <f t="shared" si="67"/>
        <v>0</v>
      </c>
      <c r="W74" s="288">
        <f t="shared" si="68"/>
        <v>0</v>
      </c>
      <c r="X74" s="288">
        <f t="shared" si="69"/>
        <v>0</v>
      </c>
      <c r="Y74" s="288">
        <f t="shared" si="70"/>
        <v>0</v>
      </c>
      <c r="Z74" s="288">
        <f t="shared" si="71"/>
        <v>0</v>
      </c>
      <c r="AA74" s="288">
        <f t="shared" si="72"/>
        <v>0</v>
      </c>
      <c r="AB74" s="288">
        <f t="shared" si="73"/>
        <v>0</v>
      </c>
      <c r="AC74" s="288">
        <f t="shared" si="74"/>
        <v>0</v>
      </c>
      <c r="AD74" s="288">
        <f t="shared" si="75"/>
        <v>0</v>
      </c>
      <c r="AE74" s="288">
        <f t="shared" si="76"/>
        <v>0</v>
      </c>
      <c r="AF74" s="288">
        <f t="shared" si="77"/>
        <v>0</v>
      </c>
      <c r="AG74" s="288">
        <f t="shared" si="78"/>
        <v>0</v>
      </c>
      <c r="AH74" s="288">
        <f t="shared" si="79"/>
        <v>0</v>
      </c>
      <c r="AI74" s="288">
        <f t="shared" si="58"/>
        <v>0</v>
      </c>
      <c r="AJ74" s="288">
        <f t="shared" si="58"/>
        <v>0</v>
      </c>
      <c r="AK74" s="288">
        <f t="shared" si="58"/>
        <v>0</v>
      </c>
      <c r="AL74" s="288">
        <f t="shared" si="58"/>
        <v>0</v>
      </c>
      <c r="AM74" s="288">
        <f t="shared" si="58"/>
        <v>0</v>
      </c>
      <c r="AN74" s="288">
        <f t="shared" si="58"/>
        <v>0</v>
      </c>
      <c r="AO74" s="288">
        <f t="shared" si="58"/>
        <v>0</v>
      </c>
      <c r="AP74" s="288">
        <f t="shared" si="35"/>
        <v>0</v>
      </c>
      <c r="AQ74" s="288">
        <f t="shared" si="36"/>
        <v>0</v>
      </c>
      <c r="AR74" s="288">
        <f t="shared" si="37"/>
        <v>0</v>
      </c>
      <c r="AS74" s="288">
        <f t="shared" si="38"/>
        <v>0</v>
      </c>
      <c r="AT74" s="288">
        <f t="shared" si="34"/>
        <v>0</v>
      </c>
      <c r="AU74" s="288">
        <f t="shared" si="34"/>
        <v>0</v>
      </c>
      <c r="AV74" s="288">
        <f t="shared" si="83"/>
        <v>0</v>
      </c>
      <c r="AW74" s="288">
        <f t="shared" si="83"/>
        <v>0</v>
      </c>
      <c r="AX74" s="288">
        <f t="shared" si="83"/>
        <v>0</v>
      </c>
      <c r="AY74" s="288">
        <f t="shared" si="83"/>
        <v>0</v>
      </c>
      <c r="AZ74" s="288">
        <f t="shared" si="83"/>
        <v>0</v>
      </c>
      <c r="BA74" s="288">
        <f t="shared" si="83"/>
        <v>0</v>
      </c>
      <c r="BB74" s="288">
        <f t="shared" si="83"/>
        <v>0</v>
      </c>
      <c r="BC74" s="288">
        <f t="shared" si="83"/>
        <v>0</v>
      </c>
      <c r="BD74" s="288">
        <f t="shared" si="83"/>
        <v>0</v>
      </c>
      <c r="BE74" s="288">
        <f t="shared" si="83"/>
        <v>0</v>
      </c>
      <c r="BF74" s="288">
        <f t="shared" si="83"/>
        <v>0</v>
      </c>
      <c r="BG74" s="288">
        <f t="shared" si="83"/>
        <v>0</v>
      </c>
      <c r="BH74" s="288">
        <f t="shared" si="83"/>
        <v>0</v>
      </c>
      <c r="BI74" s="288">
        <f t="shared" si="41"/>
        <v>0</v>
      </c>
      <c r="BJ74" s="288">
        <f t="shared" si="41"/>
        <v>0</v>
      </c>
      <c r="BK74" s="288">
        <f t="shared" si="41"/>
        <v>0</v>
      </c>
      <c r="BL74" s="288">
        <f t="shared" si="41"/>
        <v>0</v>
      </c>
      <c r="BM74" s="288">
        <f t="shared" si="41"/>
        <v>0</v>
      </c>
      <c r="BN74" s="288">
        <f t="shared" si="41"/>
        <v>0</v>
      </c>
      <c r="BO74" s="288">
        <f t="shared" si="59"/>
        <v>0</v>
      </c>
      <c r="BP74" s="288">
        <f t="shared" si="59"/>
        <v>0</v>
      </c>
      <c r="BQ74" s="288">
        <f t="shared" si="59"/>
        <v>0</v>
      </c>
      <c r="BR74" s="288">
        <f t="shared" si="59"/>
        <v>0</v>
      </c>
      <c r="BS74" s="288">
        <f t="shared" si="59"/>
        <v>0</v>
      </c>
      <c r="BT74" s="288">
        <f t="shared" si="59"/>
        <v>0</v>
      </c>
      <c r="BU74" s="288">
        <f t="shared" si="59"/>
        <v>0</v>
      </c>
      <c r="BV74" s="288">
        <f t="shared" si="59"/>
        <v>71</v>
      </c>
      <c r="BW74" s="288">
        <f t="shared" si="59"/>
        <v>0</v>
      </c>
      <c r="BX74" s="288">
        <f t="shared" si="59"/>
        <v>0</v>
      </c>
      <c r="BY74" s="288">
        <f t="shared" si="59"/>
        <v>0</v>
      </c>
      <c r="BZ74" s="288">
        <f t="shared" si="59"/>
        <v>0</v>
      </c>
      <c r="CA74" s="288">
        <f t="shared" si="59"/>
        <v>0</v>
      </c>
      <c r="CB74" s="288">
        <f t="shared" si="39"/>
        <v>0</v>
      </c>
      <c r="CC74" s="288">
        <f t="shared" si="39"/>
        <v>0</v>
      </c>
      <c r="CD74" s="288">
        <f t="shared" si="39"/>
        <v>0</v>
      </c>
      <c r="CE74" s="288">
        <f t="shared" si="39"/>
        <v>0</v>
      </c>
      <c r="CF74" s="288">
        <f t="shared" si="39"/>
        <v>0</v>
      </c>
      <c r="CG74" s="288">
        <f t="shared" si="39"/>
        <v>0</v>
      </c>
      <c r="CH74" s="288">
        <f t="shared" si="39"/>
        <v>0</v>
      </c>
      <c r="CI74" s="288">
        <f t="shared" si="39"/>
        <v>0</v>
      </c>
      <c r="CJ74" s="288">
        <f t="shared" si="39"/>
        <v>0</v>
      </c>
      <c r="CK74" s="288">
        <f t="shared" si="39"/>
        <v>0</v>
      </c>
      <c r="CL74" s="288">
        <f t="shared" si="39"/>
        <v>0</v>
      </c>
      <c r="CM74" s="288">
        <f t="shared" si="39"/>
        <v>0</v>
      </c>
      <c r="CN74" s="288">
        <f t="shared" si="39"/>
        <v>0</v>
      </c>
      <c r="CO74" s="288">
        <f t="shared" si="39"/>
        <v>0</v>
      </c>
      <c r="CP74" s="288">
        <f t="shared" si="39"/>
        <v>0</v>
      </c>
      <c r="CQ74" s="288">
        <f t="shared" si="80"/>
        <v>0</v>
      </c>
      <c r="CR74" s="288">
        <f t="shared" si="81"/>
        <v>0</v>
      </c>
      <c r="CS74" s="288">
        <f t="shared" si="82"/>
        <v>0</v>
      </c>
      <c r="CT74" s="288">
        <f t="shared" si="40"/>
        <v>0</v>
      </c>
      <c r="CU74" s="288">
        <f t="shared" si="84"/>
        <v>0</v>
      </c>
      <c r="CV74" s="288">
        <f t="shared" si="29"/>
        <v>0</v>
      </c>
      <c r="CW74" s="288">
        <f t="shared" si="29"/>
        <v>0</v>
      </c>
      <c r="CX74" s="288">
        <f t="shared" si="21"/>
        <v>0</v>
      </c>
      <c r="CY74" s="288">
        <f t="shared" si="21"/>
        <v>0</v>
      </c>
      <c r="CZ74" s="288">
        <f t="shared" si="21"/>
        <v>0</v>
      </c>
      <c r="DA74" s="288">
        <f t="shared" si="21"/>
        <v>0</v>
      </c>
      <c r="DB74" s="288">
        <f t="shared" si="33"/>
        <v>0</v>
      </c>
      <c r="DC74" s="288">
        <f t="shared" si="33"/>
        <v>0</v>
      </c>
      <c r="DD74" s="288">
        <f t="shared" si="33"/>
        <v>0</v>
      </c>
      <c r="DE74" s="288">
        <f t="shared" si="33"/>
        <v>0</v>
      </c>
      <c r="DG74" s="314">
        <f t="shared" si="60"/>
        <v>71</v>
      </c>
      <c r="DH74" s="289">
        <f>MAX(BV$3:BV$109)</f>
        <v>71</v>
      </c>
      <c r="DJ74" s="288">
        <f>LOOKUP(DH74, 'Mortality Table'!A:A,('Mortality Table'!J:J/'Mortality Table'!I:I))</f>
        <v>3.2712611730865961E-2</v>
      </c>
      <c r="DK74" s="288">
        <f>LOOKUP(A74, 'Mortality Table'!A:A,('Mortality Table'!J:J/'Mortality Table'!I:I))</f>
        <v>3.2712611730865961E-2</v>
      </c>
      <c r="DL74" s="288">
        <f t="shared" si="61"/>
        <v>0</v>
      </c>
      <c r="DN74" s="288">
        <f>LOOKUP(DH74, 'Mortality Table'!A:A,('Mortality Table'!L:L/'Mortality Table'!K:K))</f>
        <v>3.3136550949854841E-2</v>
      </c>
      <c r="DO74" s="288">
        <f>LOOKUP(A74, 'Mortality Table'!A:A,('Mortality Table'!L:L/'Mortality Table'!K:K))</f>
        <v>3.3136550949854841E-2</v>
      </c>
      <c r="DP74" s="288">
        <f t="shared" si="62"/>
        <v>0</v>
      </c>
      <c r="DR74" s="288">
        <f>LOOKUP(DH74, 'Mortality Table'!A:A,('Mortality Table'!N:N/'Mortality Table'!M:M))</f>
        <v>3.3881285531318112E-2</v>
      </c>
      <c r="DS74" s="288">
        <f>LOOKUP(A74, 'Mortality Table'!A:A,('Mortality Table'!N:N/'Mortality Table'!M:M))</f>
        <v>3.3881285531318112E-2</v>
      </c>
      <c r="DT74" s="288">
        <f t="shared" si="63"/>
        <v>0</v>
      </c>
    </row>
    <row r="75" spans="1:124">
      <c r="A75" s="288">
        <v>72</v>
      </c>
      <c r="B75" s="288">
        <v>3.8737048217345194E-2</v>
      </c>
      <c r="C75" s="288">
        <f t="shared" si="57"/>
        <v>0</v>
      </c>
      <c r="D75" s="288">
        <f t="shared" si="57"/>
        <v>0</v>
      </c>
      <c r="E75" s="288">
        <f t="shared" si="57"/>
        <v>0</v>
      </c>
      <c r="F75" s="288">
        <f t="shared" si="57"/>
        <v>0</v>
      </c>
      <c r="G75" s="288">
        <f t="shared" si="57"/>
        <v>0</v>
      </c>
      <c r="H75" s="288">
        <f t="shared" si="57"/>
        <v>0</v>
      </c>
      <c r="I75" s="288">
        <f t="shared" si="57"/>
        <v>0</v>
      </c>
      <c r="J75" s="288">
        <f t="shared" si="57"/>
        <v>0</v>
      </c>
      <c r="K75" s="288">
        <f t="shared" si="57"/>
        <v>0</v>
      </c>
      <c r="L75" s="288">
        <f t="shared" si="57"/>
        <v>0</v>
      </c>
      <c r="M75" s="288">
        <f t="shared" si="57"/>
        <v>0</v>
      </c>
      <c r="N75" s="288">
        <f t="shared" si="57"/>
        <v>0</v>
      </c>
      <c r="O75" s="288">
        <f t="shared" si="57"/>
        <v>0</v>
      </c>
      <c r="P75" s="288">
        <f t="shared" si="57"/>
        <v>0</v>
      </c>
      <c r="Q75" s="288">
        <f t="shared" si="57"/>
        <v>0</v>
      </c>
      <c r="R75" s="288">
        <f t="shared" si="31"/>
        <v>0</v>
      </c>
      <c r="S75" s="288">
        <f t="shared" si="64"/>
        <v>0</v>
      </c>
      <c r="T75" s="288">
        <f t="shared" si="65"/>
        <v>0</v>
      </c>
      <c r="U75" s="288">
        <f t="shared" si="66"/>
        <v>0</v>
      </c>
      <c r="V75" s="288">
        <f t="shared" si="67"/>
        <v>0</v>
      </c>
      <c r="W75" s="288">
        <f t="shared" si="68"/>
        <v>0</v>
      </c>
      <c r="X75" s="288">
        <f t="shared" si="69"/>
        <v>0</v>
      </c>
      <c r="Y75" s="288">
        <f t="shared" si="70"/>
        <v>0</v>
      </c>
      <c r="Z75" s="288">
        <f t="shared" si="71"/>
        <v>0</v>
      </c>
      <c r="AA75" s="288">
        <f t="shared" si="72"/>
        <v>0</v>
      </c>
      <c r="AB75" s="288">
        <f t="shared" si="73"/>
        <v>0</v>
      </c>
      <c r="AC75" s="288">
        <f t="shared" si="74"/>
        <v>0</v>
      </c>
      <c r="AD75" s="288">
        <f t="shared" si="75"/>
        <v>0</v>
      </c>
      <c r="AE75" s="288">
        <f t="shared" si="76"/>
        <v>0</v>
      </c>
      <c r="AF75" s="288">
        <f t="shared" si="77"/>
        <v>0</v>
      </c>
      <c r="AG75" s="288">
        <f t="shared" si="78"/>
        <v>0</v>
      </c>
      <c r="AH75" s="288">
        <f t="shared" si="79"/>
        <v>0</v>
      </c>
      <c r="AI75" s="288">
        <f t="shared" si="58"/>
        <v>0</v>
      </c>
      <c r="AJ75" s="288">
        <f t="shared" si="58"/>
        <v>0</v>
      </c>
      <c r="AK75" s="288">
        <f t="shared" si="58"/>
        <v>0</v>
      </c>
      <c r="AL75" s="288">
        <f t="shared" si="58"/>
        <v>0</v>
      </c>
      <c r="AM75" s="288">
        <f t="shared" si="58"/>
        <v>0</v>
      </c>
      <c r="AN75" s="288">
        <f t="shared" si="58"/>
        <v>0</v>
      </c>
      <c r="AO75" s="288">
        <f t="shared" si="58"/>
        <v>0</v>
      </c>
      <c r="AP75" s="288">
        <f t="shared" si="35"/>
        <v>0</v>
      </c>
      <c r="AQ75" s="288">
        <f t="shared" si="36"/>
        <v>0</v>
      </c>
      <c r="AR75" s="288">
        <f t="shared" si="37"/>
        <v>0</v>
      </c>
      <c r="AS75" s="288">
        <f t="shared" si="38"/>
        <v>0</v>
      </c>
      <c r="AT75" s="288">
        <f t="shared" si="34"/>
        <v>0</v>
      </c>
      <c r="AU75" s="288">
        <f t="shared" si="34"/>
        <v>0</v>
      </c>
      <c r="AV75" s="288">
        <f t="shared" si="83"/>
        <v>0</v>
      </c>
      <c r="AW75" s="288">
        <f t="shared" si="83"/>
        <v>0</v>
      </c>
      <c r="AX75" s="288">
        <f t="shared" si="83"/>
        <v>0</v>
      </c>
      <c r="AY75" s="288">
        <f t="shared" si="83"/>
        <v>0</v>
      </c>
      <c r="AZ75" s="288">
        <f t="shared" si="83"/>
        <v>0</v>
      </c>
      <c r="BA75" s="288">
        <f t="shared" si="83"/>
        <v>0</v>
      </c>
      <c r="BB75" s="288">
        <f t="shared" si="83"/>
        <v>0</v>
      </c>
      <c r="BC75" s="288">
        <f t="shared" si="83"/>
        <v>0</v>
      </c>
      <c r="BD75" s="288">
        <f t="shared" si="83"/>
        <v>0</v>
      </c>
      <c r="BE75" s="288">
        <f t="shared" si="83"/>
        <v>0</v>
      </c>
      <c r="BF75" s="288">
        <f t="shared" si="83"/>
        <v>0</v>
      </c>
      <c r="BG75" s="288">
        <f t="shared" si="83"/>
        <v>0</v>
      </c>
      <c r="BH75" s="288">
        <f t="shared" si="83"/>
        <v>0</v>
      </c>
      <c r="BI75" s="288">
        <f t="shared" si="41"/>
        <v>0</v>
      </c>
      <c r="BJ75" s="288">
        <f t="shared" si="41"/>
        <v>0</v>
      </c>
      <c r="BK75" s="288">
        <f t="shared" si="41"/>
        <v>0</v>
      </c>
      <c r="BL75" s="288">
        <f t="shared" si="41"/>
        <v>0</v>
      </c>
      <c r="BM75" s="288">
        <f t="shared" si="41"/>
        <v>0</v>
      </c>
      <c r="BN75" s="288">
        <f t="shared" si="41"/>
        <v>0</v>
      </c>
      <c r="BO75" s="288">
        <f t="shared" si="59"/>
        <v>0</v>
      </c>
      <c r="BP75" s="288">
        <f t="shared" si="59"/>
        <v>0</v>
      </c>
      <c r="BQ75" s="288">
        <f t="shared" si="59"/>
        <v>0</v>
      </c>
      <c r="BR75" s="288">
        <f t="shared" si="59"/>
        <v>0</v>
      </c>
      <c r="BS75" s="288">
        <f t="shared" si="59"/>
        <v>0</v>
      </c>
      <c r="BT75" s="288">
        <f t="shared" si="59"/>
        <v>0</v>
      </c>
      <c r="BU75" s="288">
        <f t="shared" si="59"/>
        <v>0</v>
      </c>
      <c r="BV75" s="288">
        <f t="shared" si="59"/>
        <v>0</v>
      </c>
      <c r="BW75" s="288">
        <f t="shared" si="59"/>
        <v>72</v>
      </c>
      <c r="BX75" s="288">
        <f t="shared" si="59"/>
        <v>0</v>
      </c>
      <c r="BY75" s="288">
        <f t="shared" si="59"/>
        <v>0</v>
      </c>
      <c r="BZ75" s="288">
        <f t="shared" si="59"/>
        <v>0</v>
      </c>
      <c r="CA75" s="288">
        <f t="shared" si="59"/>
        <v>0</v>
      </c>
      <c r="CB75" s="288">
        <f t="shared" si="39"/>
        <v>0</v>
      </c>
      <c r="CC75" s="288">
        <f t="shared" si="39"/>
        <v>0</v>
      </c>
      <c r="CD75" s="288">
        <f t="shared" si="39"/>
        <v>0</v>
      </c>
      <c r="CE75" s="288">
        <f t="shared" si="39"/>
        <v>0</v>
      </c>
      <c r="CF75" s="288">
        <f t="shared" si="39"/>
        <v>0</v>
      </c>
      <c r="CG75" s="288">
        <f t="shared" si="39"/>
        <v>0</v>
      </c>
      <c r="CH75" s="288">
        <f t="shared" si="39"/>
        <v>0</v>
      </c>
      <c r="CI75" s="288">
        <f t="shared" si="39"/>
        <v>0</v>
      </c>
      <c r="CJ75" s="288">
        <f t="shared" si="39"/>
        <v>0</v>
      </c>
      <c r="CK75" s="288">
        <f t="shared" si="39"/>
        <v>0</v>
      </c>
      <c r="CL75" s="288">
        <f t="shared" si="39"/>
        <v>0</v>
      </c>
      <c r="CM75" s="288">
        <f t="shared" si="39"/>
        <v>0</v>
      </c>
      <c r="CN75" s="288">
        <f t="shared" si="39"/>
        <v>0</v>
      </c>
      <c r="CO75" s="288">
        <f t="shared" si="39"/>
        <v>0</v>
      </c>
      <c r="CP75" s="288">
        <f t="shared" si="39"/>
        <v>0</v>
      </c>
      <c r="CQ75" s="288">
        <f t="shared" si="80"/>
        <v>0</v>
      </c>
      <c r="CR75" s="288">
        <f t="shared" si="81"/>
        <v>0</v>
      </c>
      <c r="CS75" s="288">
        <f t="shared" si="82"/>
        <v>0</v>
      </c>
      <c r="CT75" s="288">
        <f t="shared" si="40"/>
        <v>0</v>
      </c>
      <c r="CU75" s="288">
        <f t="shared" si="84"/>
        <v>0</v>
      </c>
      <c r="CV75" s="288">
        <f t="shared" si="29"/>
        <v>0</v>
      </c>
      <c r="CW75" s="288">
        <f t="shared" si="29"/>
        <v>0</v>
      </c>
      <c r="CX75" s="288">
        <f t="shared" si="21"/>
        <v>0</v>
      </c>
      <c r="CY75" s="288">
        <f t="shared" si="21"/>
        <v>0</v>
      </c>
      <c r="CZ75" s="288">
        <f t="shared" si="21"/>
        <v>0</v>
      </c>
      <c r="DA75" s="288">
        <f t="shared" si="21"/>
        <v>0</v>
      </c>
      <c r="DB75" s="288">
        <f t="shared" si="33"/>
        <v>0</v>
      </c>
      <c r="DC75" s="288">
        <f t="shared" si="33"/>
        <v>0</v>
      </c>
      <c r="DD75" s="288">
        <f t="shared" si="33"/>
        <v>0</v>
      </c>
      <c r="DE75" s="288">
        <f t="shared" si="33"/>
        <v>0</v>
      </c>
      <c r="DG75" s="314">
        <f t="shared" si="60"/>
        <v>72</v>
      </c>
      <c r="DH75" s="289">
        <f>MAX(BW$3:BW$109)</f>
        <v>72</v>
      </c>
      <c r="DJ75" s="288">
        <f>LOOKUP(DH75, 'Mortality Table'!A:A,('Mortality Table'!J:J/'Mortality Table'!I:I))</f>
        <v>3.5660343361191525E-2</v>
      </c>
      <c r="DK75" s="288">
        <f>LOOKUP(A75, 'Mortality Table'!A:A,('Mortality Table'!J:J/'Mortality Table'!I:I))</f>
        <v>3.5660343361191525E-2</v>
      </c>
      <c r="DL75" s="288">
        <f t="shared" si="61"/>
        <v>0</v>
      </c>
      <c r="DN75" s="288">
        <f>LOOKUP(DH75, 'Mortality Table'!A:A,('Mortality Table'!L:L/'Mortality Table'!K:K))</f>
        <v>3.6122483719711204E-2</v>
      </c>
      <c r="DO75" s="288">
        <f>LOOKUP(A75, 'Mortality Table'!A:A,('Mortality Table'!L:L/'Mortality Table'!K:K))</f>
        <v>3.6122483719711204E-2</v>
      </c>
      <c r="DP75" s="288">
        <f t="shared" si="62"/>
        <v>0</v>
      </c>
      <c r="DR75" s="288">
        <f>LOOKUP(DH75, 'Mortality Table'!A:A,('Mortality Table'!N:N/'Mortality Table'!M:M))</f>
        <v>3.6934326293041282E-2</v>
      </c>
      <c r="DS75" s="288">
        <f>LOOKUP(A75, 'Mortality Table'!A:A,('Mortality Table'!N:N/'Mortality Table'!M:M))</f>
        <v>3.6934326293041282E-2</v>
      </c>
      <c r="DT75" s="288">
        <f t="shared" si="63"/>
        <v>0</v>
      </c>
    </row>
    <row r="76" spans="1:124">
      <c r="A76" s="288">
        <v>73</v>
      </c>
      <c r="B76" s="288">
        <v>4.2352022542479335E-2</v>
      </c>
      <c r="C76" s="288">
        <f t="shared" si="57"/>
        <v>0</v>
      </c>
      <c r="D76" s="288">
        <f t="shared" si="57"/>
        <v>0</v>
      </c>
      <c r="E76" s="288">
        <f t="shared" si="57"/>
        <v>0</v>
      </c>
      <c r="F76" s="288">
        <f t="shared" si="57"/>
        <v>0</v>
      </c>
      <c r="G76" s="288">
        <f t="shared" si="57"/>
        <v>0</v>
      </c>
      <c r="H76" s="288">
        <f t="shared" si="57"/>
        <v>0</v>
      </c>
      <c r="I76" s="288">
        <f t="shared" si="57"/>
        <v>0</v>
      </c>
      <c r="J76" s="288">
        <f t="shared" si="57"/>
        <v>0</v>
      </c>
      <c r="K76" s="288">
        <f t="shared" si="57"/>
        <v>0</v>
      </c>
      <c r="L76" s="288">
        <f t="shared" si="57"/>
        <v>0</v>
      </c>
      <c r="M76" s="288">
        <f t="shared" si="57"/>
        <v>0</v>
      </c>
      <c r="N76" s="288">
        <f t="shared" si="57"/>
        <v>0</v>
      </c>
      <c r="O76" s="288">
        <f t="shared" si="57"/>
        <v>0</v>
      </c>
      <c r="P76" s="288">
        <f t="shared" si="57"/>
        <v>0</v>
      </c>
      <c r="Q76" s="288">
        <f t="shared" si="57"/>
        <v>0</v>
      </c>
      <c r="R76" s="288">
        <f t="shared" si="31"/>
        <v>0</v>
      </c>
      <c r="S76" s="288">
        <f t="shared" si="64"/>
        <v>0</v>
      </c>
      <c r="T76" s="288">
        <f t="shared" si="65"/>
        <v>0</v>
      </c>
      <c r="U76" s="288">
        <f t="shared" si="66"/>
        <v>0</v>
      </c>
      <c r="V76" s="288">
        <f t="shared" si="67"/>
        <v>0</v>
      </c>
      <c r="W76" s="288">
        <f t="shared" si="68"/>
        <v>0</v>
      </c>
      <c r="X76" s="288">
        <f t="shared" si="69"/>
        <v>0</v>
      </c>
      <c r="Y76" s="288">
        <f t="shared" si="70"/>
        <v>0</v>
      </c>
      <c r="Z76" s="288">
        <f t="shared" si="71"/>
        <v>0</v>
      </c>
      <c r="AA76" s="288">
        <f t="shared" si="72"/>
        <v>0</v>
      </c>
      <c r="AB76" s="288">
        <f t="shared" si="73"/>
        <v>0</v>
      </c>
      <c r="AC76" s="288">
        <f t="shared" si="74"/>
        <v>0</v>
      </c>
      <c r="AD76" s="288">
        <f t="shared" si="75"/>
        <v>0</v>
      </c>
      <c r="AE76" s="288">
        <f t="shared" si="76"/>
        <v>0</v>
      </c>
      <c r="AF76" s="288">
        <f t="shared" si="77"/>
        <v>0</v>
      </c>
      <c r="AG76" s="288">
        <f t="shared" si="78"/>
        <v>0</v>
      </c>
      <c r="AH76" s="288">
        <f t="shared" si="79"/>
        <v>0</v>
      </c>
      <c r="AI76" s="288">
        <f t="shared" si="58"/>
        <v>0</v>
      </c>
      <c r="AJ76" s="288">
        <f t="shared" si="58"/>
        <v>0</v>
      </c>
      <c r="AK76" s="288">
        <f t="shared" si="58"/>
        <v>0</v>
      </c>
      <c r="AL76" s="288">
        <f t="shared" si="58"/>
        <v>0</v>
      </c>
      <c r="AM76" s="288">
        <f t="shared" si="58"/>
        <v>0</v>
      </c>
      <c r="AN76" s="288">
        <f t="shared" si="58"/>
        <v>0</v>
      </c>
      <c r="AO76" s="288">
        <f t="shared" si="58"/>
        <v>0</v>
      </c>
      <c r="AP76" s="288">
        <f t="shared" si="35"/>
        <v>0</v>
      </c>
      <c r="AQ76" s="288">
        <f t="shared" si="36"/>
        <v>0</v>
      </c>
      <c r="AR76" s="288">
        <f t="shared" si="37"/>
        <v>0</v>
      </c>
      <c r="AS76" s="288">
        <f t="shared" si="38"/>
        <v>0</v>
      </c>
      <c r="AT76" s="288">
        <f t="shared" si="34"/>
        <v>0</v>
      </c>
      <c r="AU76" s="288">
        <f t="shared" si="34"/>
        <v>0</v>
      </c>
      <c r="AV76" s="288">
        <f t="shared" si="83"/>
        <v>0</v>
      </c>
      <c r="AW76" s="288">
        <f t="shared" si="83"/>
        <v>0</v>
      </c>
      <c r="AX76" s="288">
        <f t="shared" si="83"/>
        <v>0</v>
      </c>
      <c r="AY76" s="288">
        <f t="shared" si="83"/>
        <v>0</v>
      </c>
      <c r="AZ76" s="288">
        <f t="shared" si="83"/>
        <v>0</v>
      </c>
      <c r="BA76" s="288">
        <f t="shared" si="83"/>
        <v>0</v>
      </c>
      <c r="BB76" s="288">
        <f t="shared" si="83"/>
        <v>0</v>
      </c>
      <c r="BC76" s="288">
        <f t="shared" si="83"/>
        <v>0</v>
      </c>
      <c r="BD76" s="288">
        <f t="shared" si="83"/>
        <v>0</v>
      </c>
      <c r="BE76" s="288">
        <f t="shared" si="83"/>
        <v>0</v>
      </c>
      <c r="BF76" s="288">
        <f t="shared" si="83"/>
        <v>0</v>
      </c>
      <c r="BG76" s="288">
        <f t="shared" si="83"/>
        <v>0</v>
      </c>
      <c r="BH76" s="288">
        <f t="shared" si="83"/>
        <v>0</v>
      </c>
      <c r="BI76" s="288">
        <f t="shared" si="41"/>
        <v>0</v>
      </c>
      <c r="BJ76" s="288">
        <f t="shared" si="41"/>
        <v>0</v>
      </c>
      <c r="BK76" s="288">
        <f t="shared" si="41"/>
        <v>0</v>
      </c>
      <c r="BL76" s="288">
        <f t="shared" si="41"/>
        <v>0</v>
      </c>
      <c r="BM76" s="288">
        <f t="shared" si="41"/>
        <v>0</v>
      </c>
      <c r="BN76" s="288">
        <f t="shared" si="41"/>
        <v>0</v>
      </c>
      <c r="BO76" s="288">
        <f t="shared" si="59"/>
        <v>0</v>
      </c>
      <c r="BP76" s="288">
        <f t="shared" si="59"/>
        <v>0</v>
      </c>
      <c r="BQ76" s="288">
        <f t="shared" si="59"/>
        <v>0</v>
      </c>
      <c r="BR76" s="288">
        <f t="shared" si="59"/>
        <v>0</v>
      </c>
      <c r="BS76" s="288">
        <f t="shared" si="59"/>
        <v>0</v>
      </c>
      <c r="BT76" s="288">
        <f t="shared" si="59"/>
        <v>0</v>
      </c>
      <c r="BU76" s="288">
        <f t="shared" si="59"/>
        <v>0</v>
      </c>
      <c r="BV76" s="288">
        <f t="shared" si="59"/>
        <v>0</v>
      </c>
      <c r="BW76" s="288">
        <f t="shared" si="59"/>
        <v>0</v>
      </c>
      <c r="BX76" s="288">
        <f t="shared" si="59"/>
        <v>73</v>
      </c>
      <c r="BY76" s="288">
        <f t="shared" si="59"/>
        <v>0</v>
      </c>
      <c r="BZ76" s="288">
        <f t="shared" si="59"/>
        <v>0</v>
      </c>
      <c r="CA76" s="288">
        <f t="shared" si="59"/>
        <v>0</v>
      </c>
      <c r="CB76" s="288">
        <f t="shared" si="39"/>
        <v>0</v>
      </c>
      <c r="CC76" s="288">
        <f t="shared" si="39"/>
        <v>0</v>
      </c>
      <c r="CD76" s="288">
        <f t="shared" si="39"/>
        <v>0</v>
      </c>
      <c r="CE76" s="288">
        <f t="shared" si="39"/>
        <v>0</v>
      </c>
      <c r="CF76" s="288">
        <f t="shared" si="39"/>
        <v>0</v>
      </c>
      <c r="CG76" s="288">
        <f t="shared" si="39"/>
        <v>0</v>
      </c>
      <c r="CH76" s="288">
        <f t="shared" si="39"/>
        <v>0</v>
      </c>
      <c r="CI76" s="288">
        <f t="shared" si="39"/>
        <v>0</v>
      </c>
      <c r="CJ76" s="288">
        <f t="shared" si="39"/>
        <v>0</v>
      </c>
      <c r="CK76" s="288">
        <f t="shared" si="39"/>
        <v>0</v>
      </c>
      <c r="CL76" s="288">
        <f t="shared" si="39"/>
        <v>0</v>
      </c>
      <c r="CM76" s="288">
        <f t="shared" si="39"/>
        <v>0</v>
      </c>
      <c r="CN76" s="288">
        <f t="shared" si="39"/>
        <v>0</v>
      </c>
      <c r="CO76" s="288">
        <f t="shared" si="39"/>
        <v>0</v>
      </c>
      <c r="CP76" s="288">
        <f t="shared" si="39"/>
        <v>0</v>
      </c>
      <c r="CQ76" s="288">
        <f t="shared" si="80"/>
        <v>0</v>
      </c>
      <c r="CR76" s="288">
        <f t="shared" si="81"/>
        <v>0</v>
      </c>
      <c r="CS76" s="288">
        <f t="shared" si="82"/>
        <v>0</v>
      </c>
      <c r="CT76" s="288">
        <f t="shared" si="40"/>
        <v>0</v>
      </c>
      <c r="CU76" s="288">
        <f t="shared" si="84"/>
        <v>0</v>
      </c>
      <c r="CV76" s="288">
        <f t="shared" si="29"/>
        <v>0</v>
      </c>
      <c r="CW76" s="288">
        <f t="shared" si="29"/>
        <v>0</v>
      </c>
      <c r="CX76" s="288">
        <f t="shared" si="21"/>
        <v>0</v>
      </c>
      <c r="CY76" s="288">
        <f t="shared" si="21"/>
        <v>0</v>
      </c>
      <c r="CZ76" s="288">
        <f t="shared" si="21"/>
        <v>0</v>
      </c>
      <c r="DA76" s="288">
        <f t="shared" si="21"/>
        <v>0</v>
      </c>
      <c r="DB76" s="288">
        <f t="shared" si="33"/>
        <v>0</v>
      </c>
      <c r="DC76" s="288">
        <f t="shared" si="33"/>
        <v>0</v>
      </c>
      <c r="DD76" s="288">
        <f t="shared" si="33"/>
        <v>0</v>
      </c>
      <c r="DE76" s="288">
        <f t="shared" si="33"/>
        <v>0</v>
      </c>
      <c r="DG76" s="314">
        <f t="shared" si="60"/>
        <v>73</v>
      </c>
      <c r="DH76" s="289">
        <f>MAX(BX$3:BX$109)</f>
        <v>73</v>
      </c>
      <c r="DJ76" s="288">
        <f>LOOKUP(DH76, 'Mortality Table'!A:A,('Mortality Table'!J:J/'Mortality Table'!I:I))</f>
        <v>3.8988196969264116E-2</v>
      </c>
      <c r="DK76" s="288">
        <f>LOOKUP(A76, 'Mortality Table'!A:A,('Mortality Table'!J:J/'Mortality Table'!I:I))</f>
        <v>3.8988196969264116E-2</v>
      </c>
      <c r="DL76" s="288">
        <f t="shared" si="61"/>
        <v>0</v>
      </c>
      <c r="DN76" s="288">
        <f>LOOKUP(DH76, 'Mortality Table'!A:A,('Mortality Table'!L:L/'Mortality Table'!K:K))</f>
        <v>3.9493464659564048E-2</v>
      </c>
      <c r="DO76" s="288">
        <f>LOOKUP(A76, 'Mortality Table'!A:A,('Mortality Table'!L:L/'Mortality Table'!K:K))</f>
        <v>3.9493464659564048E-2</v>
      </c>
      <c r="DP76" s="288">
        <f t="shared" si="62"/>
        <v>0</v>
      </c>
      <c r="DR76" s="288">
        <f>LOOKUP(DH76, 'Mortality Table'!A:A,('Mortality Table'!N:N/'Mortality Table'!M:M))</f>
        <v>4.0381069073140034E-2</v>
      </c>
      <c r="DS76" s="288">
        <f>LOOKUP(A76, 'Mortality Table'!A:A,('Mortality Table'!N:N/'Mortality Table'!M:M))</f>
        <v>4.0381069073140034E-2</v>
      </c>
      <c r="DT76" s="288">
        <f t="shared" si="63"/>
        <v>0</v>
      </c>
    </row>
    <row r="77" spans="1:124">
      <c r="A77" s="288">
        <v>74</v>
      </c>
      <c r="B77" s="288">
        <v>4.6050765740215542E-2</v>
      </c>
      <c r="C77" s="288">
        <f t="shared" ref="C77:R93" si="85">IF(C$2&gt;$B77,(IF(C$2&lt;=$B78,(IF(AVERAGE($B77,$B78)&gt;C$2,$A77,$A78)),0)),0)</f>
        <v>0</v>
      </c>
      <c r="D77" s="288">
        <f t="shared" si="85"/>
        <v>0</v>
      </c>
      <c r="E77" s="288">
        <f t="shared" si="85"/>
        <v>0</v>
      </c>
      <c r="F77" s="288">
        <f t="shared" si="85"/>
        <v>0</v>
      </c>
      <c r="G77" s="288">
        <f t="shared" si="85"/>
        <v>0</v>
      </c>
      <c r="H77" s="288">
        <f t="shared" si="85"/>
        <v>0</v>
      </c>
      <c r="I77" s="288">
        <f t="shared" si="85"/>
        <v>0</v>
      </c>
      <c r="J77" s="288">
        <f t="shared" si="85"/>
        <v>0</v>
      </c>
      <c r="K77" s="288">
        <f t="shared" si="85"/>
        <v>0</v>
      </c>
      <c r="L77" s="288">
        <f t="shared" si="85"/>
        <v>0</v>
      </c>
      <c r="M77" s="288">
        <f t="shared" si="85"/>
        <v>0</v>
      </c>
      <c r="N77" s="288">
        <f t="shared" si="85"/>
        <v>0</v>
      </c>
      <c r="O77" s="288">
        <f t="shared" si="85"/>
        <v>0</v>
      </c>
      <c r="P77" s="288">
        <f t="shared" si="85"/>
        <v>0</v>
      </c>
      <c r="Q77" s="288">
        <f t="shared" si="85"/>
        <v>0</v>
      </c>
      <c r="R77" s="288">
        <f t="shared" si="31"/>
        <v>0</v>
      </c>
      <c r="S77" s="288">
        <f t="shared" si="64"/>
        <v>0</v>
      </c>
      <c r="T77" s="288">
        <f t="shared" si="65"/>
        <v>0</v>
      </c>
      <c r="U77" s="288">
        <f t="shared" si="66"/>
        <v>0</v>
      </c>
      <c r="V77" s="288">
        <f t="shared" si="67"/>
        <v>0</v>
      </c>
      <c r="W77" s="288">
        <f t="shared" si="68"/>
        <v>0</v>
      </c>
      <c r="X77" s="288">
        <f t="shared" si="69"/>
        <v>0</v>
      </c>
      <c r="Y77" s="288">
        <f t="shared" si="70"/>
        <v>0</v>
      </c>
      <c r="Z77" s="288">
        <f t="shared" si="71"/>
        <v>0</v>
      </c>
      <c r="AA77" s="288">
        <f t="shared" si="72"/>
        <v>0</v>
      </c>
      <c r="AB77" s="288">
        <f t="shared" si="73"/>
        <v>0</v>
      </c>
      <c r="AC77" s="288">
        <f t="shared" si="74"/>
        <v>0</v>
      </c>
      <c r="AD77" s="288">
        <f t="shared" si="75"/>
        <v>0</v>
      </c>
      <c r="AE77" s="288">
        <f t="shared" si="76"/>
        <v>0</v>
      </c>
      <c r="AF77" s="288">
        <f t="shared" si="77"/>
        <v>0</v>
      </c>
      <c r="AG77" s="288">
        <f t="shared" si="78"/>
        <v>0</v>
      </c>
      <c r="AH77" s="288">
        <f t="shared" si="79"/>
        <v>0</v>
      </c>
      <c r="AI77" s="288">
        <f t="shared" si="58"/>
        <v>0</v>
      </c>
      <c r="AJ77" s="288">
        <f t="shared" si="58"/>
        <v>0</v>
      </c>
      <c r="AK77" s="288">
        <f t="shared" si="58"/>
        <v>0</v>
      </c>
      <c r="AL77" s="288">
        <f t="shared" si="58"/>
        <v>0</v>
      </c>
      <c r="AM77" s="288">
        <f t="shared" si="58"/>
        <v>0</v>
      </c>
      <c r="AN77" s="288">
        <f t="shared" si="58"/>
        <v>0</v>
      </c>
      <c r="AO77" s="288">
        <f t="shared" si="58"/>
        <v>0</v>
      </c>
      <c r="AP77" s="288">
        <f t="shared" si="35"/>
        <v>0</v>
      </c>
      <c r="AQ77" s="288">
        <f t="shared" si="36"/>
        <v>0</v>
      </c>
      <c r="AR77" s="288">
        <f t="shared" si="37"/>
        <v>0</v>
      </c>
      <c r="AS77" s="288">
        <f t="shared" si="38"/>
        <v>0</v>
      </c>
      <c r="AT77" s="288">
        <f t="shared" si="34"/>
        <v>0</v>
      </c>
      <c r="AU77" s="288">
        <f t="shared" si="34"/>
        <v>0</v>
      </c>
      <c r="AV77" s="288">
        <f t="shared" si="83"/>
        <v>0</v>
      </c>
      <c r="AW77" s="288">
        <f t="shared" si="83"/>
        <v>0</v>
      </c>
      <c r="AX77" s="288">
        <f t="shared" si="83"/>
        <v>0</v>
      </c>
      <c r="AY77" s="288">
        <f t="shared" si="83"/>
        <v>0</v>
      </c>
      <c r="AZ77" s="288">
        <f t="shared" si="83"/>
        <v>0</v>
      </c>
      <c r="BA77" s="288">
        <f t="shared" si="83"/>
        <v>0</v>
      </c>
      <c r="BB77" s="288">
        <f t="shared" si="83"/>
        <v>0</v>
      </c>
      <c r="BC77" s="288">
        <f t="shared" si="83"/>
        <v>0</v>
      </c>
      <c r="BD77" s="288">
        <f t="shared" si="83"/>
        <v>0</v>
      </c>
      <c r="BE77" s="288">
        <f t="shared" si="83"/>
        <v>0</v>
      </c>
      <c r="BF77" s="288">
        <f t="shared" si="83"/>
        <v>0</v>
      </c>
      <c r="BG77" s="288">
        <f t="shared" si="83"/>
        <v>0</v>
      </c>
      <c r="BH77" s="288">
        <f t="shared" si="83"/>
        <v>0</v>
      </c>
      <c r="BI77" s="288">
        <f t="shared" si="41"/>
        <v>0</v>
      </c>
      <c r="BJ77" s="288">
        <f t="shared" si="41"/>
        <v>0</v>
      </c>
      <c r="BK77" s="288">
        <f t="shared" si="41"/>
        <v>0</v>
      </c>
      <c r="BL77" s="288">
        <f t="shared" si="41"/>
        <v>0</v>
      </c>
      <c r="BM77" s="288">
        <f t="shared" si="41"/>
        <v>0</v>
      </c>
      <c r="BN77" s="288">
        <f t="shared" si="41"/>
        <v>0</v>
      </c>
      <c r="BO77" s="288">
        <f t="shared" si="59"/>
        <v>0</v>
      </c>
      <c r="BP77" s="288">
        <f t="shared" si="59"/>
        <v>0</v>
      </c>
      <c r="BQ77" s="288">
        <f t="shared" si="59"/>
        <v>0</v>
      </c>
      <c r="BR77" s="288">
        <f t="shared" si="59"/>
        <v>0</v>
      </c>
      <c r="BS77" s="288">
        <f t="shared" si="59"/>
        <v>0</v>
      </c>
      <c r="BT77" s="288">
        <f t="shared" si="59"/>
        <v>0</v>
      </c>
      <c r="BU77" s="288">
        <f t="shared" si="59"/>
        <v>0</v>
      </c>
      <c r="BV77" s="288">
        <f t="shared" si="59"/>
        <v>0</v>
      </c>
      <c r="BW77" s="288">
        <f t="shared" si="59"/>
        <v>0</v>
      </c>
      <c r="BX77" s="288">
        <f t="shared" si="59"/>
        <v>0</v>
      </c>
      <c r="BY77" s="288">
        <f t="shared" si="59"/>
        <v>74</v>
      </c>
      <c r="BZ77" s="288">
        <f t="shared" si="59"/>
        <v>0</v>
      </c>
      <c r="CA77" s="288">
        <f t="shared" si="59"/>
        <v>0</v>
      </c>
      <c r="CB77" s="288">
        <f t="shared" si="39"/>
        <v>0</v>
      </c>
      <c r="CC77" s="288">
        <f t="shared" si="39"/>
        <v>0</v>
      </c>
      <c r="CD77" s="288">
        <f t="shared" si="39"/>
        <v>0</v>
      </c>
      <c r="CE77" s="288">
        <f t="shared" si="39"/>
        <v>0</v>
      </c>
      <c r="CF77" s="288">
        <f t="shared" si="39"/>
        <v>0</v>
      </c>
      <c r="CG77" s="288">
        <f t="shared" si="39"/>
        <v>0</v>
      </c>
      <c r="CH77" s="288">
        <f t="shared" si="39"/>
        <v>0</v>
      </c>
      <c r="CI77" s="288">
        <f t="shared" si="39"/>
        <v>0</v>
      </c>
      <c r="CJ77" s="288">
        <f t="shared" si="39"/>
        <v>0</v>
      </c>
      <c r="CK77" s="288">
        <f t="shared" si="39"/>
        <v>0</v>
      </c>
      <c r="CL77" s="288">
        <f t="shared" si="39"/>
        <v>0</v>
      </c>
      <c r="CM77" s="288">
        <f t="shared" si="39"/>
        <v>0</v>
      </c>
      <c r="CN77" s="288">
        <f t="shared" si="39"/>
        <v>0</v>
      </c>
      <c r="CO77" s="288">
        <f t="shared" si="39"/>
        <v>0</v>
      </c>
      <c r="CP77" s="288">
        <f t="shared" si="39"/>
        <v>0</v>
      </c>
      <c r="CQ77" s="288">
        <f t="shared" si="80"/>
        <v>0</v>
      </c>
      <c r="CR77" s="288">
        <f t="shared" si="81"/>
        <v>0</v>
      </c>
      <c r="CS77" s="288">
        <f t="shared" si="82"/>
        <v>0</v>
      </c>
      <c r="CT77" s="288">
        <f t="shared" si="40"/>
        <v>0</v>
      </c>
      <c r="CU77" s="288">
        <f t="shared" si="84"/>
        <v>0</v>
      </c>
      <c r="CV77" s="288">
        <f t="shared" si="29"/>
        <v>0</v>
      </c>
      <c r="CW77" s="288">
        <f t="shared" si="29"/>
        <v>0</v>
      </c>
      <c r="CX77" s="288">
        <f t="shared" si="21"/>
        <v>0</v>
      </c>
      <c r="CY77" s="288">
        <f t="shared" si="21"/>
        <v>0</v>
      </c>
      <c r="CZ77" s="288">
        <f t="shared" si="21"/>
        <v>0</v>
      </c>
      <c r="DA77" s="288">
        <f t="shared" si="21"/>
        <v>0</v>
      </c>
      <c r="DB77" s="288">
        <f t="shared" si="33"/>
        <v>0</v>
      </c>
      <c r="DC77" s="288">
        <f t="shared" si="33"/>
        <v>0</v>
      </c>
      <c r="DD77" s="288">
        <f t="shared" si="33"/>
        <v>0</v>
      </c>
      <c r="DE77" s="288">
        <f t="shared" si="33"/>
        <v>0</v>
      </c>
      <c r="DG77" s="314">
        <f t="shared" si="60"/>
        <v>74</v>
      </c>
      <c r="DH77" s="289">
        <f>MAX(BY$3:BY$109)</f>
        <v>74</v>
      </c>
      <c r="DJ77" s="288">
        <f>LOOKUP(DH77, 'Mortality Table'!A:A,('Mortality Table'!J:J/'Mortality Table'!I:I))</f>
        <v>4.2393166075224184E-2</v>
      </c>
      <c r="DK77" s="288">
        <f>LOOKUP(A77, 'Mortality Table'!A:A,('Mortality Table'!J:J/'Mortality Table'!I:I))</f>
        <v>4.2393166075224184E-2</v>
      </c>
      <c r="DL77" s="288">
        <f t="shared" si="61"/>
        <v>0</v>
      </c>
      <c r="DN77" s="288">
        <f>LOOKUP(DH77, 'Mortality Table'!A:A,('Mortality Table'!L:L/'Mortality Table'!K:K))</f>
        <v>4.2942560475899241E-2</v>
      </c>
      <c r="DO77" s="288">
        <f>LOOKUP(A77, 'Mortality Table'!A:A,('Mortality Table'!L:L/'Mortality Table'!K:K))</f>
        <v>4.2942560475899241E-2</v>
      </c>
      <c r="DP77" s="288">
        <f t="shared" si="62"/>
        <v>0</v>
      </c>
      <c r="DR77" s="288">
        <f>LOOKUP(DH77, 'Mortality Table'!A:A,('Mortality Table'!N:N/'Mortality Table'!M:M))</f>
        <v>4.3907682339408123E-2</v>
      </c>
      <c r="DS77" s="288">
        <f>LOOKUP(A77, 'Mortality Table'!A:A,('Mortality Table'!N:N/'Mortality Table'!M:M))</f>
        <v>4.3907682339408123E-2</v>
      </c>
      <c r="DT77" s="288">
        <f t="shared" si="63"/>
        <v>0</v>
      </c>
    </row>
    <row r="78" spans="1:124">
      <c r="A78" s="288">
        <v>75</v>
      </c>
      <c r="B78" s="288">
        <v>5.0763685012449364E-2</v>
      </c>
      <c r="C78" s="288">
        <f t="shared" si="85"/>
        <v>0</v>
      </c>
      <c r="D78" s="288">
        <f t="shared" si="85"/>
        <v>0</v>
      </c>
      <c r="E78" s="288">
        <f t="shared" si="85"/>
        <v>0</v>
      </c>
      <c r="F78" s="288">
        <f t="shared" si="85"/>
        <v>0</v>
      </c>
      <c r="G78" s="288">
        <f t="shared" si="85"/>
        <v>0</v>
      </c>
      <c r="H78" s="288">
        <f t="shared" si="85"/>
        <v>0</v>
      </c>
      <c r="I78" s="288">
        <f t="shared" si="85"/>
        <v>0</v>
      </c>
      <c r="J78" s="288">
        <f t="shared" si="85"/>
        <v>0</v>
      </c>
      <c r="K78" s="288">
        <f t="shared" si="85"/>
        <v>0</v>
      </c>
      <c r="L78" s="288">
        <f t="shared" si="85"/>
        <v>0</v>
      </c>
      <c r="M78" s="288">
        <f t="shared" si="85"/>
        <v>0</v>
      </c>
      <c r="N78" s="288">
        <f t="shared" si="85"/>
        <v>0</v>
      </c>
      <c r="O78" s="288">
        <f t="shared" si="85"/>
        <v>0</v>
      </c>
      <c r="P78" s="288">
        <f t="shared" si="85"/>
        <v>0</v>
      </c>
      <c r="Q78" s="288">
        <f t="shared" si="85"/>
        <v>0</v>
      </c>
      <c r="R78" s="288">
        <f t="shared" si="31"/>
        <v>0</v>
      </c>
      <c r="S78" s="288">
        <f t="shared" si="64"/>
        <v>0</v>
      </c>
      <c r="T78" s="288">
        <f t="shared" si="65"/>
        <v>0</v>
      </c>
      <c r="U78" s="288">
        <f t="shared" si="66"/>
        <v>0</v>
      </c>
      <c r="V78" s="288">
        <f t="shared" si="67"/>
        <v>0</v>
      </c>
      <c r="W78" s="288">
        <f t="shared" si="68"/>
        <v>0</v>
      </c>
      <c r="X78" s="288">
        <f t="shared" si="69"/>
        <v>0</v>
      </c>
      <c r="Y78" s="288">
        <f t="shared" si="70"/>
        <v>0</v>
      </c>
      <c r="Z78" s="288">
        <f t="shared" si="71"/>
        <v>0</v>
      </c>
      <c r="AA78" s="288">
        <f t="shared" si="72"/>
        <v>0</v>
      </c>
      <c r="AB78" s="288">
        <f t="shared" si="73"/>
        <v>0</v>
      </c>
      <c r="AC78" s="288">
        <f t="shared" si="74"/>
        <v>0</v>
      </c>
      <c r="AD78" s="288">
        <f t="shared" si="75"/>
        <v>0</v>
      </c>
      <c r="AE78" s="288">
        <f t="shared" si="76"/>
        <v>0</v>
      </c>
      <c r="AF78" s="288">
        <f t="shared" si="77"/>
        <v>0</v>
      </c>
      <c r="AG78" s="288">
        <f t="shared" si="78"/>
        <v>0</v>
      </c>
      <c r="AH78" s="288">
        <f t="shared" si="79"/>
        <v>0</v>
      </c>
      <c r="AI78" s="288">
        <f t="shared" si="58"/>
        <v>0</v>
      </c>
      <c r="AJ78" s="288">
        <f t="shared" si="58"/>
        <v>0</v>
      </c>
      <c r="AK78" s="288">
        <f t="shared" si="58"/>
        <v>0</v>
      </c>
      <c r="AL78" s="288">
        <f t="shared" si="58"/>
        <v>0</v>
      </c>
      <c r="AM78" s="288">
        <f t="shared" si="58"/>
        <v>0</v>
      </c>
      <c r="AN78" s="288">
        <f t="shared" si="58"/>
        <v>0</v>
      </c>
      <c r="AO78" s="288">
        <f t="shared" si="58"/>
        <v>0</v>
      </c>
      <c r="AP78" s="288">
        <f t="shared" si="35"/>
        <v>0</v>
      </c>
      <c r="AQ78" s="288">
        <f t="shared" si="36"/>
        <v>0</v>
      </c>
      <c r="AR78" s="288">
        <f t="shared" si="37"/>
        <v>0</v>
      </c>
      <c r="AS78" s="288">
        <f t="shared" si="38"/>
        <v>0</v>
      </c>
      <c r="AT78" s="288">
        <f t="shared" si="34"/>
        <v>0</v>
      </c>
      <c r="AU78" s="288">
        <f t="shared" si="34"/>
        <v>0</v>
      </c>
      <c r="AV78" s="288">
        <f t="shared" si="83"/>
        <v>0</v>
      </c>
      <c r="AW78" s="288">
        <f t="shared" si="83"/>
        <v>0</v>
      </c>
      <c r="AX78" s="288">
        <f t="shared" si="83"/>
        <v>0</v>
      </c>
      <c r="AY78" s="288">
        <f t="shared" si="83"/>
        <v>0</v>
      </c>
      <c r="AZ78" s="288">
        <f t="shared" si="83"/>
        <v>0</v>
      </c>
      <c r="BA78" s="288">
        <f t="shared" si="83"/>
        <v>0</v>
      </c>
      <c r="BB78" s="288">
        <f t="shared" si="83"/>
        <v>0</v>
      </c>
      <c r="BC78" s="288">
        <f t="shared" si="83"/>
        <v>0</v>
      </c>
      <c r="BD78" s="288">
        <f t="shared" si="83"/>
        <v>0</v>
      </c>
      <c r="BE78" s="288">
        <f t="shared" si="83"/>
        <v>0</v>
      </c>
      <c r="BF78" s="288">
        <f t="shared" si="83"/>
        <v>0</v>
      </c>
      <c r="BG78" s="288">
        <f t="shared" si="83"/>
        <v>0</v>
      </c>
      <c r="BH78" s="288">
        <f t="shared" si="83"/>
        <v>0</v>
      </c>
      <c r="BI78" s="288">
        <f t="shared" si="41"/>
        <v>0</v>
      </c>
      <c r="BJ78" s="288">
        <f t="shared" si="41"/>
        <v>0</v>
      </c>
      <c r="BK78" s="288">
        <f t="shared" si="41"/>
        <v>0</v>
      </c>
      <c r="BL78" s="288">
        <f t="shared" si="41"/>
        <v>0</v>
      </c>
      <c r="BM78" s="288">
        <f t="shared" si="41"/>
        <v>0</v>
      </c>
      <c r="BN78" s="288">
        <f t="shared" si="41"/>
        <v>0</v>
      </c>
      <c r="BO78" s="288">
        <f t="shared" si="59"/>
        <v>0</v>
      </c>
      <c r="BP78" s="288">
        <f t="shared" si="59"/>
        <v>0</v>
      </c>
      <c r="BQ78" s="288">
        <f t="shared" si="59"/>
        <v>0</v>
      </c>
      <c r="BR78" s="288">
        <f t="shared" si="59"/>
        <v>0</v>
      </c>
      <c r="BS78" s="288">
        <f t="shared" si="59"/>
        <v>0</v>
      </c>
      <c r="BT78" s="288">
        <f t="shared" si="59"/>
        <v>0</v>
      </c>
      <c r="BU78" s="288">
        <f t="shared" si="59"/>
        <v>0</v>
      </c>
      <c r="BV78" s="288">
        <f t="shared" si="59"/>
        <v>0</v>
      </c>
      <c r="BW78" s="288">
        <f t="shared" si="59"/>
        <v>0</v>
      </c>
      <c r="BX78" s="288">
        <f t="shared" si="59"/>
        <v>0</v>
      </c>
      <c r="BY78" s="288">
        <f t="shared" si="59"/>
        <v>0</v>
      </c>
      <c r="BZ78" s="288">
        <f t="shared" si="59"/>
        <v>75</v>
      </c>
      <c r="CA78" s="288">
        <f t="shared" si="59"/>
        <v>0</v>
      </c>
      <c r="CB78" s="288">
        <f t="shared" si="39"/>
        <v>0</v>
      </c>
      <c r="CC78" s="288">
        <f t="shared" si="39"/>
        <v>0</v>
      </c>
      <c r="CD78" s="288">
        <f t="shared" si="39"/>
        <v>0</v>
      </c>
      <c r="CE78" s="288">
        <f t="shared" si="39"/>
        <v>0</v>
      </c>
      <c r="CF78" s="288">
        <f t="shared" si="39"/>
        <v>0</v>
      </c>
      <c r="CG78" s="288">
        <f t="shared" si="39"/>
        <v>0</v>
      </c>
      <c r="CH78" s="288">
        <f t="shared" si="39"/>
        <v>0</v>
      </c>
      <c r="CI78" s="288">
        <f t="shared" si="39"/>
        <v>0</v>
      </c>
      <c r="CJ78" s="288">
        <f t="shared" si="39"/>
        <v>0</v>
      </c>
      <c r="CK78" s="288">
        <f t="shared" si="39"/>
        <v>0</v>
      </c>
      <c r="CL78" s="288">
        <f t="shared" si="39"/>
        <v>0</v>
      </c>
      <c r="CM78" s="288">
        <f t="shared" si="39"/>
        <v>0</v>
      </c>
      <c r="CN78" s="288">
        <f t="shared" si="39"/>
        <v>0</v>
      </c>
      <c r="CO78" s="288">
        <f t="shared" si="39"/>
        <v>0</v>
      </c>
      <c r="CP78" s="288">
        <f t="shared" si="39"/>
        <v>0</v>
      </c>
      <c r="CQ78" s="288">
        <f t="shared" si="80"/>
        <v>0</v>
      </c>
      <c r="CR78" s="288">
        <f t="shared" si="81"/>
        <v>0</v>
      </c>
      <c r="CS78" s="288">
        <f t="shared" si="82"/>
        <v>0</v>
      </c>
      <c r="CT78" s="288">
        <f t="shared" si="40"/>
        <v>0</v>
      </c>
      <c r="CU78" s="288">
        <f t="shared" si="84"/>
        <v>0</v>
      </c>
      <c r="CV78" s="288">
        <f t="shared" si="29"/>
        <v>0</v>
      </c>
      <c r="CW78" s="288">
        <f t="shared" si="29"/>
        <v>0</v>
      </c>
      <c r="CX78" s="288">
        <f t="shared" si="21"/>
        <v>0</v>
      </c>
      <c r="CY78" s="288">
        <f t="shared" si="21"/>
        <v>0</v>
      </c>
      <c r="CZ78" s="288">
        <f t="shared" si="21"/>
        <v>0</v>
      </c>
      <c r="DA78" s="288">
        <f t="shared" si="21"/>
        <v>0</v>
      </c>
      <c r="DB78" s="288">
        <f t="shared" si="33"/>
        <v>0</v>
      </c>
      <c r="DC78" s="288">
        <f t="shared" si="33"/>
        <v>0</v>
      </c>
      <c r="DD78" s="288">
        <f t="shared" si="33"/>
        <v>0</v>
      </c>
      <c r="DE78" s="288">
        <f t="shared" si="33"/>
        <v>0</v>
      </c>
      <c r="DG78" s="314">
        <f t="shared" si="60"/>
        <v>75</v>
      </c>
      <c r="DH78" s="289">
        <f>MAX(BZ$3:BZ$109)</f>
        <v>75</v>
      </c>
      <c r="DJ78" s="288">
        <f>LOOKUP(DH78, 'Mortality Table'!A:A,('Mortality Table'!J:J/'Mortality Table'!I:I))</f>
        <v>4.673175993344645E-2</v>
      </c>
      <c r="DK78" s="288">
        <f>LOOKUP(A78, 'Mortality Table'!A:A,('Mortality Table'!J:J/'Mortality Table'!I:I))</f>
        <v>4.673175993344645E-2</v>
      </c>
      <c r="DL78" s="288">
        <f t="shared" si="61"/>
        <v>0</v>
      </c>
      <c r="DN78" s="288">
        <f>LOOKUP(DH78, 'Mortality Table'!A:A,('Mortality Table'!L:L/'Mortality Table'!K:K))</f>
        <v>4.7337380358105703E-2</v>
      </c>
      <c r="DO78" s="288">
        <f>LOOKUP(A78, 'Mortality Table'!A:A,('Mortality Table'!L:L/'Mortality Table'!K:K))</f>
        <v>4.7337380358105703E-2</v>
      </c>
      <c r="DP78" s="288">
        <f t="shared" si="62"/>
        <v>0</v>
      </c>
      <c r="DR78" s="288">
        <f>LOOKUP(DH78, 'Mortality Table'!A:A,('Mortality Table'!N:N/'Mortality Table'!M:M))</f>
        <v>4.84012745516176E-2</v>
      </c>
      <c r="DS78" s="288">
        <f>LOOKUP(A78, 'Mortality Table'!A:A,('Mortality Table'!N:N/'Mortality Table'!M:M))</f>
        <v>4.84012745516176E-2</v>
      </c>
      <c r="DT78" s="288">
        <f t="shared" si="63"/>
        <v>0</v>
      </c>
    </row>
    <row r="79" spans="1:124">
      <c r="A79" s="288">
        <v>76</v>
      </c>
      <c r="B79" s="288">
        <v>5.5494656070156211E-2</v>
      </c>
      <c r="C79" s="288">
        <f t="shared" si="85"/>
        <v>0</v>
      </c>
      <c r="D79" s="288">
        <f t="shared" si="85"/>
        <v>0</v>
      </c>
      <c r="E79" s="288">
        <f t="shared" si="85"/>
        <v>0</v>
      </c>
      <c r="F79" s="288">
        <f t="shared" si="85"/>
        <v>0</v>
      </c>
      <c r="G79" s="288">
        <f t="shared" si="85"/>
        <v>0</v>
      </c>
      <c r="H79" s="288">
        <f t="shared" si="85"/>
        <v>0</v>
      </c>
      <c r="I79" s="288">
        <f t="shared" si="85"/>
        <v>0</v>
      </c>
      <c r="J79" s="288">
        <f t="shared" si="85"/>
        <v>0</v>
      </c>
      <c r="K79" s="288">
        <f t="shared" si="85"/>
        <v>0</v>
      </c>
      <c r="L79" s="288">
        <f t="shared" si="85"/>
        <v>0</v>
      </c>
      <c r="M79" s="288">
        <f t="shared" si="85"/>
        <v>0</v>
      </c>
      <c r="N79" s="288">
        <f t="shared" si="85"/>
        <v>0</v>
      </c>
      <c r="O79" s="288">
        <f t="shared" si="85"/>
        <v>0</v>
      </c>
      <c r="P79" s="288">
        <f t="shared" si="85"/>
        <v>0</v>
      </c>
      <c r="Q79" s="288">
        <f t="shared" si="85"/>
        <v>0</v>
      </c>
      <c r="R79" s="288">
        <f t="shared" si="31"/>
        <v>0</v>
      </c>
      <c r="S79" s="288">
        <f t="shared" si="64"/>
        <v>0</v>
      </c>
      <c r="T79" s="288">
        <f t="shared" si="65"/>
        <v>0</v>
      </c>
      <c r="U79" s="288">
        <f t="shared" si="66"/>
        <v>0</v>
      </c>
      <c r="V79" s="288">
        <f t="shared" si="67"/>
        <v>0</v>
      </c>
      <c r="W79" s="288">
        <f t="shared" si="68"/>
        <v>0</v>
      </c>
      <c r="X79" s="288">
        <f t="shared" si="69"/>
        <v>0</v>
      </c>
      <c r="Y79" s="288">
        <f t="shared" si="70"/>
        <v>0</v>
      </c>
      <c r="Z79" s="288">
        <f t="shared" si="71"/>
        <v>0</v>
      </c>
      <c r="AA79" s="288">
        <f t="shared" si="72"/>
        <v>0</v>
      </c>
      <c r="AB79" s="288">
        <f t="shared" si="73"/>
        <v>0</v>
      </c>
      <c r="AC79" s="288">
        <f t="shared" si="74"/>
        <v>0</v>
      </c>
      <c r="AD79" s="288">
        <f t="shared" si="75"/>
        <v>0</v>
      </c>
      <c r="AE79" s="288">
        <f t="shared" si="76"/>
        <v>0</v>
      </c>
      <c r="AF79" s="288">
        <f t="shared" si="77"/>
        <v>0</v>
      </c>
      <c r="AG79" s="288">
        <f t="shared" si="78"/>
        <v>0</v>
      </c>
      <c r="AH79" s="288">
        <f t="shared" si="79"/>
        <v>0</v>
      </c>
      <c r="AI79" s="288">
        <f t="shared" si="58"/>
        <v>0</v>
      </c>
      <c r="AJ79" s="288">
        <f t="shared" si="58"/>
        <v>0</v>
      </c>
      <c r="AK79" s="288">
        <f t="shared" si="58"/>
        <v>0</v>
      </c>
      <c r="AL79" s="288">
        <f t="shared" si="58"/>
        <v>0</v>
      </c>
      <c r="AM79" s="288">
        <f t="shared" si="58"/>
        <v>0</v>
      </c>
      <c r="AN79" s="288">
        <f t="shared" si="58"/>
        <v>0</v>
      </c>
      <c r="AO79" s="288">
        <f t="shared" si="58"/>
        <v>0</v>
      </c>
      <c r="AP79" s="288">
        <f t="shared" si="35"/>
        <v>0</v>
      </c>
      <c r="AQ79" s="288">
        <f t="shared" si="36"/>
        <v>0</v>
      </c>
      <c r="AR79" s="288">
        <f t="shared" si="37"/>
        <v>0</v>
      </c>
      <c r="AS79" s="288">
        <f t="shared" si="38"/>
        <v>0</v>
      </c>
      <c r="AT79" s="288">
        <f t="shared" si="34"/>
        <v>0</v>
      </c>
      <c r="AU79" s="288">
        <f t="shared" si="34"/>
        <v>0</v>
      </c>
      <c r="AV79" s="288">
        <f t="shared" si="83"/>
        <v>0</v>
      </c>
      <c r="AW79" s="288">
        <f t="shared" si="83"/>
        <v>0</v>
      </c>
      <c r="AX79" s="288">
        <f t="shared" si="83"/>
        <v>0</v>
      </c>
      <c r="AY79" s="288">
        <f t="shared" si="83"/>
        <v>0</v>
      </c>
      <c r="AZ79" s="288">
        <f t="shared" si="83"/>
        <v>0</v>
      </c>
      <c r="BA79" s="288">
        <f t="shared" si="83"/>
        <v>0</v>
      </c>
      <c r="BB79" s="288">
        <f t="shared" si="83"/>
        <v>0</v>
      </c>
      <c r="BC79" s="288">
        <f t="shared" si="83"/>
        <v>0</v>
      </c>
      <c r="BD79" s="288">
        <f t="shared" si="83"/>
        <v>0</v>
      </c>
      <c r="BE79" s="288">
        <f t="shared" si="83"/>
        <v>0</v>
      </c>
      <c r="BF79" s="288">
        <f t="shared" si="83"/>
        <v>0</v>
      </c>
      <c r="BG79" s="288">
        <f t="shared" si="83"/>
        <v>0</v>
      </c>
      <c r="BH79" s="288">
        <f t="shared" si="83"/>
        <v>0</v>
      </c>
      <c r="BI79" s="288">
        <f t="shared" si="41"/>
        <v>0</v>
      </c>
      <c r="BJ79" s="288">
        <f t="shared" si="41"/>
        <v>0</v>
      </c>
      <c r="BK79" s="288">
        <f t="shared" si="41"/>
        <v>0</v>
      </c>
      <c r="BL79" s="288">
        <f t="shared" si="41"/>
        <v>0</v>
      </c>
      <c r="BM79" s="288">
        <f t="shared" si="41"/>
        <v>0</v>
      </c>
      <c r="BN79" s="288">
        <f t="shared" si="41"/>
        <v>0</v>
      </c>
      <c r="BO79" s="288">
        <f t="shared" si="59"/>
        <v>0</v>
      </c>
      <c r="BP79" s="288">
        <f t="shared" si="59"/>
        <v>0</v>
      </c>
      <c r="BQ79" s="288">
        <f t="shared" si="59"/>
        <v>0</v>
      </c>
      <c r="BR79" s="288">
        <f t="shared" si="59"/>
        <v>0</v>
      </c>
      <c r="BS79" s="288">
        <f t="shared" si="59"/>
        <v>0</v>
      </c>
      <c r="BT79" s="288">
        <f t="shared" si="59"/>
        <v>0</v>
      </c>
      <c r="BU79" s="288">
        <f t="shared" si="59"/>
        <v>0</v>
      </c>
      <c r="BV79" s="288">
        <f t="shared" si="59"/>
        <v>0</v>
      </c>
      <c r="BW79" s="288">
        <f t="shared" si="59"/>
        <v>0</v>
      </c>
      <c r="BX79" s="288">
        <f t="shared" si="59"/>
        <v>0</v>
      </c>
      <c r="BY79" s="288">
        <f t="shared" si="59"/>
        <v>0</v>
      </c>
      <c r="BZ79" s="288">
        <f t="shared" si="59"/>
        <v>0</v>
      </c>
      <c r="CA79" s="288">
        <f t="shared" si="59"/>
        <v>76</v>
      </c>
      <c r="CB79" s="288">
        <f t="shared" si="39"/>
        <v>0</v>
      </c>
      <c r="CC79" s="288">
        <f t="shared" si="39"/>
        <v>0</v>
      </c>
      <c r="CD79" s="288">
        <f t="shared" si="39"/>
        <v>0</v>
      </c>
      <c r="CE79" s="288">
        <f t="shared" si="39"/>
        <v>0</v>
      </c>
      <c r="CF79" s="288">
        <f t="shared" si="39"/>
        <v>0</v>
      </c>
      <c r="CG79" s="288">
        <f t="shared" si="39"/>
        <v>0</v>
      </c>
      <c r="CH79" s="288">
        <f t="shared" si="39"/>
        <v>0</v>
      </c>
      <c r="CI79" s="288">
        <f t="shared" si="39"/>
        <v>0</v>
      </c>
      <c r="CJ79" s="288">
        <f t="shared" si="39"/>
        <v>0</v>
      </c>
      <c r="CK79" s="288">
        <f t="shared" si="39"/>
        <v>0</v>
      </c>
      <c r="CL79" s="288">
        <f t="shared" si="39"/>
        <v>0</v>
      </c>
      <c r="CM79" s="288">
        <f t="shared" si="39"/>
        <v>0</v>
      </c>
      <c r="CN79" s="288">
        <f t="shared" si="39"/>
        <v>0</v>
      </c>
      <c r="CO79" s="288">
        <f t="shared" si="39"/>
        <v>0</v>
      </c>
      <c r="CP79" s="288">
        <f t="shared" si="39"/>
        <v>0</v>
      </c>
      <c r="CQ79" s="288">
        <f t="shared" si="80"/>
        <v>0</v>
      </c>
      <c r="CR79" s="288">
        <f t="shared" si="81"/>
        <v>0</v>
      </c>
      <c r="CS79" s="288">
        <f t="shared" si="82"/>
        <v>0</v>
      </c>
      <c r="CT79" s="288">
        <f t="shared" si="40"/>
        <v>0</v>
      </c>
      <c r="CU79" s="288">
        <f t="shared" si="84"/>
        <v>0</v>
      </c>
      <c r="CV79" s="288">
        <f t="shared" si="29"/>
        <v>0</v>
      </c>
      <c r="CW79" s="288">
        <f t="shared" si="29"/>
        <v>0</v>
      </c>
      <c r="CX79" s="288">
        <f t="shared" si="21"/>
        <v>0</v>
      </c>
      <c r="CY79" s="288">
        <f t="shared" si="21"/>
        <v>0</v>
      </c>
      <c r="CZ79" s="288">
        <f t="shared" si="21"/>
        <v>0</v>
      </c>
      <c r="DA79" s="288">
        <f t="shared" si="21"/>
        <v>0</v>
      </c>
      <c r="DB79" s="288">
        <f t="shared" si="33"/>
        <v>0</v>
      </c>
      <c r="DC79" s="288">
        <f t="shared" si="33"/>
        <v>0</v>
      </c>
      <c r="DD79" s="288">
        <f t="shared" si="33"/>
        <v>0</v>
      </c>
      <c r="DE79" s="288">
        <f t="shared" si="33"/>
        <v>0</v>
      </c>
      <c r="DG79" s="314">
        <f t="shared" si="60"/>
        <v>76</v>
      </c>
      <c r="DH79" s="289">
        <f>MAX(CA$3:CA$109)</f>
        <v>76</v>
      </c>
      <c r="DJ79" s="288">
        <f>LOOKUP(DH79, 'Mortality Table'!A:A,('Mortality Table'!J:J/'Mortality Table'!I:I))</f>
        <v>5.1086971807182996E-2</v>
      </c>
      <c r="DK79" s="288">
        <f>LOOKUP(A79, 'Mortality Table'!A:A,('Mortality Table'!J:J/'Mortality Table'!I:I))</f>
        <v>5.1086971807182996E-2</v>
      </c>
      <c r="DL79" s="288">
        <f t="shared" si="61"/>
        <v>0</v>
      </c>
      <c r="DN79" s="288">
        <f>LOOKUP(DH79, 'Mortality Table'!A:A,('Mortality Table'!L:L/'Mortality Table'!K:K))</f>
        <v>5.1749033617063032E-2</v>
      </c>
      <c r="DO79" s="288">
        <f>LOOKUP(A79, 'Mortality Table'!A:A,('Mortality Table'!L:L/'Mortality Table'!K:K))</f>
        <v>5.1749033617063032E-2</v>
      </c>
      <c r="DP79" s="288">
        <f t="shared" si="62"/>
        <v>0</v>
      </c>
      <c r="DR79" s="288">
        <f>LOOKUP(DH79, 'Mortality Table'!A:A,('Mortality Table'!N:N/'Mortality Table'!M:M))</f>
        <v>5.2912078465944729E-2</v>
      </c>
      <c r="DS79" s="288">
        <f>LOOKUP(A79, 'Mortality Table'!A:A,('Mortality Table'!N:N/'Mortality Table'!M:M))</f>
        <v>5.2912078465944729E-2</v>
      </c>
      <c r="DT79" s="288">
        <f t="shared" si="63"/>
        <v>0</v>
      </c>
    </row>
    <row r="80" spans="1:124">
      <c r="A80" s="288">
        <v>77</v>
      </c>
      <c r="B80" s="288">
        <v>6.1490953555366726E-2</v>
      </c>
      <c r="C80" s="288">
        <f t="shared" si="85"/>
        <v>0</v>
      </c>
      <c r="D80" s="288">
        <f t="shared" si="85"/>
        <v>0</v>
      </c>
      <c r="E80" s="288">
        <f t="shared" si="85"/>
        <v>0</v>
      </c>
      <c r="F80" s="288">
        <f t="shared" si="85"/>
        <v>0</v>
      </c>
      <c r="G80" s="288">
        <f t="shared" si="85"/>
        <v>0</v>
      </c>
      <c r="H80" s="288">
        <f t="shared" si="85"/>
        <v>0</v>
      </c>
      <c r="I80" s="288">
        <f t="shared" si="85"/>
        <v>0</v>
      </c>
      <c r="J80" s="288">
        <f t="shared" si="85"/>
        <v>0</v>
      </c>
      <c r="K80" s="288">
        <f t="shared" si="85"/>
        <v>0</v>
      </c>
      <c r="L80" s="288">
        <f t="shared" si="85"/>
        <v>0</v>
      </c>
      <c r="M80" s="288">
        <f t="shared" si="85"/>
        <v>0</v>
      </c>
      <c r="N80" s="288">
        <f t="shared" si="85"/>
        <v>0</v>
      </c>
      <c r="O80" s="288">
        <f t="shared" si="85"/>
        <v>0</v>
      </c>
      <c r="P80" s="288">
        <f t="shared" si="85"/>
        <v>0</v>
      </c>
      <c r="Q80" s="288">
        <f t="shared" si="85"/>
        <v>0</v>
      </c>
      <c r="R80" s="288">
        <f t="shared" si="31"/>
        <v>0</v>
      </c>
      <c r="S80" s="288">
        <f t="shared" si="64"/>
        <v>0</v>
      </c>
      <c r="T80" s="288">
        <f t="shared" si="65"/>
        <v>0</v>
      </c>
      <c r="U80" s="288">
        <f t="shared" si="66"/>
        <v>0</v>
      </c>
      <c r="V80" s="288">
        <f t="shared" si="67"/>
        <v>0</v>
      </c>
      <c r="W80" s="288">
        <f t="shared" si="68"/>
        <v>0</v>
      </c>
      <c r="X80" s="288">
        <f t="shared" si="69"/>
        <v>0</v>
      </c>
      <c r="Y80" s="288">
        <f t="shared" si="70"/>
        <v>0</v>
      </c>
      <c r="Z80" s="288">
        <f t="shared" si="71"/>
        <v>0</v>
      </c>
      <c r="AA80" s="288">
        <f t="shared" si="72"/>
        <v>0</v>
      </c>
      <c r="AB80" s="288">
        <f t="shared" si="73"/>
        <v>0</v>
      </c>
      <c r="AC80" s="288">
        <f t="shared" si="74"/>
        <v>0</v>
      </c>
      <c r="AD80" s="288">
        <f t="shared" si="75"/>
        <v>0</v>
      </c>
      <c r="AE80" s="288">
        <f t="shared" si="76"/>
        <v>0</v>
      </c>
      <c r="AF80" s="288">
        <f t="shared" si="77"/>
        <v>0</v>
      </c>
      <c r="AG80" s="288">
        <f t="shared" si="78"/>
        <v>0</v>
      </c>
      <c r="AH80" s="288">
        <f t="shared" si="79"/>
        <v>0</v>
      </c>
      <c r="AI80" s="288">
        <f t="shared" si="58"/>
        <v>0</v>
      </c>
      <c r="AJ80" s="288">
        <f t="shared" si="58"/>
        <v>0</v>
      </c>
      <c r="AK80" s="288">
        <f t="shared" si="58"/>
        <v>0</v>
      </c>
      <c r="AL80" s="288">
        <f t="shared" si="58"/>
        <v>0</v>
      </c>
      <c r="AM80" s="288">
        <f t="shared" si="58"/>
        <v>0</v>
      </c>
      <c r="AN80" s="288">
        <f t="shared" si="58"/>
        <v>0</v>
      </c>
      <c r="AO80" s="288">
        <f t="shared" si="58"/>
        <v>0</v>
      </c>
      <c r="AP80" s="288">
        <f t="shared" si="35"/>
        <v>0</v>
      </c>
      <c r="AQ80" s="288">
        <f t="shared" si="36"/>
        <v>0</v>
      </c>
      <c r="AR80" s="288">
        <f t="shared" si="37"/>
        <v>0</v>
      </c>
      <c r="AS80" s="288">
        <f t="shared" si="38"/>
        <v>0</v>
      </c>
      <c r="AT80" s="288">
        <f t="shared" si="34"/>
        <v>0</v>
      </c>
      <c r="AU80" s="288">
        <f t="shared" si="34"/>
        <v>0</v>
      </c>
      <c r="AV80" s="288">
        <f t="shared" si="83"/>
        <v>0</v>
      </c>
      <c r="AW80" s="288">
        <f t="shared" si="83"/>
        <v>0</v>
      </c>
      <c r="AX80" s="288">
        <f t="shared" si="83"/>
        <v>0</v>
      </c>
      <c r="AY80" s="288">
        <f t="shared" si="83"/>
        <v>0</v>
      </c>
      <c r="AZ80" s="288">
        <f t="shared" si="83"/>
        <v>0</v>
      </c>
      <c r="BA80" s="288">
        <f t="shared" si="83"/>
        <v>0</v>
      </c>
      <c r="BB80" s="288">
        <f t="shared" si="83"/>
        <v>0</v>
      </c>
      <c r="BC80" s="288">
        <f t="shared" si="83"/>
        <v>0</v>
      </c>
      <c r="BD80" s="288">
        <f t="shared" si="83"/>
        <v>0</v>
      </c>
      <c r="BE80" s="288">
        <f t="shared" si="83"/>
        <v>0</v>
      </c>
      <c r="BF80" s="288">
        <f t="shared" si="83"/>
        <v>0</v>
      </c>
      <c r="BG80" s="288">
        <f t="shared" si="83"/>
        <v>0</v>
      </c>
      <c r="BH80" s="288">
        <f t="shared" si="83"/>
        <v>0</v>
      </c>
      <c r="BI80" s="288">
        <f t="shared" si="41"/>
        <v>0</v>
      </c>
      <c r="BJ80" s="288">
        <f t="shared" si="41"/>
        <v>0</v>
      </c>
      <c r="BK80" s="288">
        <f t="shared" si="41"/>
        <v>0</v>
      </c>
      <c r="BL80" s="288">
        <f t="shared" si="41"/>
        <v>0</v>
      </c>
      <c r="BM80" s="288">
        <f t="shared" si="41"/>
        <v>0</v>
      </c>
      <c r="BN80" s="288">
        <f t="shared" si="41"/>
        <v>0</v>
      </c>
      <c r="BO80" s="288">
        <f t="shared" si="59"/>
        <v>0</v>
      </c>
      <c r="BP80" s="288">
        <f t="shared" si="59"/>
        <v>0</v>
      </c>
      <c r="BQ80" s="288">
        <f t="shared" si="59"/>
        <v>0</v>
      </c>
      <c r="BR80" s="288">
        <f t="shared" si="59"/>
        <v>0</v>
      </c>
      <c r="BS80" s="288">
        <f t="shared" si="59"/>
        <v>0</v>
      </c>
      <c r="BT80" s="288">
        <f t="shared" si="59"/>
        <v>0</v>
      </c>
      <c r="BU80" s="288">
        <f t="shared" si="59"/>
        <v>0</v>
      </c>
      <c r="BV80" s="288">
        <f t="shared" si="59"/>
        <v>0</v>
      </c>
      <c r="BW80" s="288">
        <f t="shared" si="59"/>
        <v>0</v>
      </c>
      <c r="BX80" s="288">
        <f t="shared" si="59"/>
        <v>0</v>
      </c>
      <c r="BY80" s="288">
        <f t="shared" si="59"/>
        <v>0</v>
      </c>
      <c r="BZ80" s="288">
        <f t="shared" si="59"/>
        <v>0</v>
      </c>
      <c r="CA80" s="288">
        <f t="shared" si="59"/>
        <v>0</v>
      </c>
      <c r="CB80" s="288">
        <f t="shared" si="39"/>
        <v>77</v>
      </c>
      <c r="CC80" s="288">
        <f t="shared" si="39"/>
        <v>0</v>
      </c>
      <c r="CD80" s="288">
        <f t="shared" si="39"/>
        <v>0</v>
      </c>
      <c r="CE80" s="288">
        <f t="shared" si="39"/>
        <v>0</v>
      </c>
      <c r="CF80" s="288">
        <f t="shared" si="39"/>
        <v>0</v>
      </c>
      <c r="CG80" s="288">
        <f t="shared" si="39"/>
        <v>0</v>
      </c>
      <c r="CH80" s="288">
        <f t="shared" si="39"/>
        <v>0</v>
      </c>
      <c r="CI80" s="288">
        <f t="shared" si="39"/>
        <v>0</v>
      </c>
      <c r="CJ80" s="288">
        <f t="shared" si="39"/>
        <v>0</v>
      </c>
      <c r="CK80" s="288">
        <f t="shared" si="39"/>
        <v>0</v>
      </c>
      <c r="CL80" s="288">
        <f t="shared" si="39"/>
        <v>0</v>
      </c>
      <c r="CM80" s="288">
        <f t="shared" si="39"/>
        <v>0</v>
      </c>
      <c r="CN80" s="288">
        <f t="shared" si="39"/>
        <v>0</v>
      </c>
      <c r="CO80" s="288">
        <f t="shared" si="39"/>
        <v>0</v>
      </c>
      <c r="CP80" s="288">
        <f t="shared" si="39"/>
        <v>0</v>
      </c>
      <c r="CQ80" s="288">
        <f t="shared" si="80"/>
        <v>0</v>
      </c>
      <c r="CR80" s="288">
        <f t="shared" si="81"/>
        <v>0</v>
      </c>
      <c r="CS80" s="288">
        <f t="shared" si="82"/>
        <v>0</v>
      </c>
      <c r="CT80" s="288">
        <f t="shared" si="40"/>
        <v>0</v>
      </c>
      <c r="CU80" s="288">
        <f t="shared" si="84"/>
        <v>0</v>
      </c>
      <c r="CV80" s="288">
        <f t="shared" si="29"/>
        <v>0</v>
      </c>
      <c r="CW80" s="288">
        <f t="shared" si="29"/>
        <v>0</v>
      </c>
      <c r="CX80" s="288">
        <f t="shared" si="21"/>
        <v>0</v>
      </c>
      <c r="CY80" s="288">
        <f t="shared" si="21"/>
        <v>0</v>
      </c>
      <c r="CZ80" s="288">
        <f t="shared" si="21"/>
        <v>0</v>
      </c>
      <c r="DA80" s="288">
        <f t="shared" si="21"/>
        <v>0</v>
      </c>
      <c r="DB80" s="288">
        <f t="shared" si="33"/>
        <v>0</v>
      </c>
      <c r="DC80" s="288">
        <f t="shared" si="33"/>
        <v>0</v>
      </c>
      <c r="DD80" s="288">
        <f t="shared" si="33"/>
        <v>0</v>
      </c>
      <c r="DE80" s="288">
        <f t="shared" si="33"/>
        <v>0</v>
      </c>
      <c r="DG80" s="314">
        <f t="shared" si="60"/>
        <v>77</v>
      </c>
      <c r="DH80" s="289">
        <f>MAX(CB$3:CB$109)</f>
        <v>77</v>
      </c>
      <c r="DJ80" s="288">
        <f>LOOKUP(DH80, 'Mortality Table'!A:A,('Mortality Table'!J:J/'Mortality Table'!I:I))</f>
        <v>5.6607011073435319E-2</v>
      </c>
      <c r="DK80" s="288">
        <f>LOOKUP(A80, 'Mortality Table'!A:A,('Mortality Table'!J:J/'Mortality Table'!I:I))</f>
        <v>5.6607011073435319E-2</v>
      </c>
      <c r="DL80" s="288">
        <f t="shared" si="61"/>
        <v>0</v>
      </c>
      <c r="DN80" s="288">
        <f>LOOKUP(DH80, 'Mortality Table'!A:A,('Mortality Table'!L:L/'Mortality Table'!K:K))</f>
        <v>5.7340609853661219E-2</v>
      </c>
      <c r="DO80" s="288">
        <f>LOOKUP(A80, 'Mortality Table'!A:A,('Mortality Table'!L:L/'Mortality Table'!K:K))</f>
        <v>5.7340609853661219E-2</v>
      </c>
      <c r="DP80" s="288">
        <f t="shared" si="62"/>
        <v>0</v>
      </c>
      <c r="DR80" s="288">
        <f>LOOKUP(DH80, 'Mortality Table'!A:A,('Mortality Table'!N:N/'Mortality Table'!M:M))</f>
        <v>5.8629323792080391E-2</v>
      </c>
      <c r="DS80" s="288">
        <f>LOOKUP(A80, 'Mortality Table'!A:A,('Mortality Table'!N:N/'Mortality Table'!M:M))</f>
        <v>5.8629323792080391E-2</v>
      </c>
      <c r="DT80" s="288">
        <f t="shared" si="63"/>
        <v>0</v>
      </c>
    </row>
    <row r="81" spans="1:124">
      <c r="A81" s="288">
        <v>78</v>
      </c>
      <c r="B81" s="288">
        <v>6.8037275859023055E-2</v>
      </c>
      <c r="C81" s="288">
        <f t="shared" si="85"/>
        <v>0</v>
      </c>
      <c r="D81" s="288">
        <f t="shared" si="85"/>
        <v>0</v>
      </c>
      <c r="E81" s="288">
        <f t="shared" si="85"/>
        <v>0</v>
      </c>
      <c r="F81" s="288">
        <f t="shared" si="85"/>
        <v>0</v>
      </c>
      <c r="G81" s="288">
        <f t="shared" si="85"/>
        <v>0</v>
      </c>
      <c r="H81" s="288">
        <f t="shared" si="85"/>
        <v>0</v>
      </c>
      <c r="I81" s="288">
        <f t="shared" si="85"/>
        <v>0</v>
      </c>
      <c r="J81" s="288">
        <f t="shared" si="85"/>
        <v>0</v>
      </c>
      <c r="K81" s="288">
        <f t="shared" si="85"/>
        <v>0</v>
      </c>
      <c r="L81" s="288">
        <f t="shared" si="85"/>
        <v>0</v>
      </c>
      <c r="M81" s="288">
        <f t="shared" si="85"/>
        <v>0</v>
      </c>
      <c r="N81" s="288">
        <f t="shared" si="85"/>
        <v>0</v>
      </c>
      <c r="O81" s="288">
        <f t="shared" si="85"/>
        <v>0</v>
      </c>
      <c r="P81" s="288">
        <f t="shared" si="85"/>
        <v>0</v>
      </c>
      <c r="Q81" s="288">
        <f t="shared" si="85"/>
        <v>0</v>
      </c>
      <c r="R81" s="288">
        <f t="shared" si="31"/>
        <v>0</v>
      </c>
      <c r="S81" s="288">
        <f t="shared" si="64"/>
        <v>0</v>
      </c>
      <c r="T81" s="288">
        <f t="shared" si="65"/>
        <v>0</v>
      </c>
      <c r="U81" s="288">
        <f t="shared" si="66"/>
        <v>0</v>
      </c>
      <c r="V81" s="288">
        <f t="shared" si="67"/>
        <v>0</v>
      </c>
      <c r="W81" s="288">
        <f t="shared" si="68"/>
        <v>0</v>
      </c>
      <c r="X81" s="288">
        <f t="shared" si="69"/>
        <v>0</v>
      </c>
      <c r="Y81" s="288">
        <f t="shared" si="70"/>
        <v>0</v>
      </c>
      <c r="Z81" s="288">
        <f t="shared" si="71"/>
        <v>0</v>
      </c>
      <c r="AA81" s="288">
        <f t="shared" si="72"/>
        <v>0</v>
      </c>
      <c r="AB81" s="288">
        <f t="shared" si="73"/>
        <v>0</v>
      </c>
      <c r="AC81" s="288">
        <f t="shared" si="74"/>
        <v>0</v>
      </c>
      <c r="AD81" s="288">
        <f t="shared" si="75"/>
        <v>0</v>
      </c>
      <c r="AE81" s="288">
        <f t="shared" si="76"/>
        <v>0</v>
      </c>
      <c r="AF81" s="288">
        <f t="shared" si="77"/>
        <v>0</v>
      </c>
      <c r="AG81" s="288">
        <f t="shared" si="78"/>
        <v>0</v>
      </c>
      <c r="AH81" s="288">
        <f t="shared" si="79"/>
        <v>0</v>
      </c>
      <c r="AI81" s="288">
        <f t="shared" si="58"/>
        <v>0</v>
      </c>
      <c r="AJ81" s="288">
        <f t="shared" si="58"/>
        <v>0</v>
      </c>
      <c r="AK81" s="288">
        <f t="shared" si="58"/>
        <v>0</v>
      </c>
      <c r="AL81" s="288">
        <f t="shared" si="58"/>
        <v>0</v>
      </c>
      <c r="AM81" s="288">
        <f t="shared" si="58"/>
        <v>0</v>
      </c>
      <c r="AN81" s="288">
        <f t="shared" si="58"/>
        <v>0</v>
      </c>
      <c r="AO81" s="288">
        <f t="shared" si="58"/>
        <v>0</v>
      </c>
      <c r="AP81" s="288">
        <f t="shared" si="35"/>
        <v>0</v>
      </c>
      <c r="AQ81" s="288">
        <f t="shared" si="36"/>
        <v>0</v>
      </c>
      <c r="AR81" s="288">
        <f t="shared" si="37"/>
        <v>0</v>
      </c>
      <c r="AS81" s="288">
        <f t="shared" si="38"/>
        <v>0</v>
      </c>
      <c r="AT81" s="288">
        <f t="shared" si="34"/>
        <v>0</v>
      </c>
      <c r="AU81" s="288">
        <f t="shared" si="34"/>
        <v>0</v>
      </c>
      <c r="AV81" s="288">
        <f t="shared" si="83"/>
        <v>0</v>
      </c>
      <c r="AW81" s="288">
        <f t="shared" si="83"/>
        <v>0</v>
      </c>
      <c r="AX81" s="288">
        <f t="shared" si="83"/>
        <v>0</v>
      </c>
      <c r="AY81" s="288">
        <f t="shared" si="83"/>
        <v>0</v>
      </c>
      <c r="AZ81" s="288">
        <f t="shared" si="83"/>
        <v>0</v>
      </c>
      <c r="BA81" s="288">
        <f t="shared" si="83"/>
        <v>0</v>
      </c>
      <c r="BB81" s="288">
        <f t="shared" si="83"/>
        <v>0</v>
      </c>
      <c r="BC81" s="288">
        <f t="shared" si="83"/>
        <v>0</v>
      </c>
      <c r="BD81" s="288">
        <f t="shared" si="83"/>
        <v>0</v>
      </c>
      <c r="BE81" s="288">
        <f t="shared" si="83"/>
        <v>0</v>
      </c>
      <c r="BF81" s="288">
        <f t="shared" si="83"/>
        <v>0</v>
      </c>
      <c r="BG81" s="288">
        <f t="shared" si="83"/>
        <v>0</v>
      </c>
      <c r="BH81" s="288">
        <f t="shared" si="83"/>
        <v>0</v>
      </c>
      <c r="BI81" s="288">
        <f t="shared" si="41"/>
        <v>0</v>
      </c>
      <c r="BJ81" s="288">
        <f t="shared" si="41"/>
        <v>0</v>
      </c>
      <c r="BK81" s="288">
        <f t="shared" si="41"/>
        <v>0</v>
      </c>
      <c r="BL81" s="288">
        <f t="shared" si="41"/>
        <v>0</v>
      </c>
      <c r="BM81" s="288">
        <f t="shared" si="41"/>
        <v>0</v>
      </c>
      <c r="BN81" s="288">
        <f t="shared" si="41"/>
        <v>0</v>
      </c>
      <c r="BO81" s="288">
        <f t="shared" si="59"/>
        <v>0</v>
      </c>
      <c r="BP81" s="288">
        <f t="shared" si="59"/>
        <v>0</v>
      </c>
      <c r="BQ81" s="288">
        <f t="shared" si="59"/>
        <v>0</v>
      </c>
      <c r="BR81" s="288">
        <f t="shared" si="59"/>
        <v>0</v>
      </c>
      <c r="BS81" s="288">
        <f t="shared" si="59"/>
        <v>0</v>
      </c>
      <c r="BT81" s="288">
        <f t="shared" si="59"/>
        <v>0</v>
      </c>
      <c r="BU81" s="288">
        <f t="shared" si="59"/>
        <v>0</v>
      </c>
      <c r="BV81" s="288">
        <f t="shared" si="59"/>
        <v>0</v>
      </c>
      <c r="BW81" s="288">
        <f t="shared" si="59"/>
        <v>0</v>
      </c>
      <c r="BX81" s="288">
        <f t="shared" si="59"/>
        <v>0</v>
      </c>
      <c r="BY81" s="288">
        <f t="shared" si="59"/>
        <v>0</v>
      </c>
      <c r="BZ81" s="288">
        <f t="shared" si="59"/>
        <v>0</v>
      </c>
      <c r="CA81" s="288">
        <f t="shared" si="59"/>
        <v>0</v>
      </c>
      <c r="CB81" s="288">
        <f t="shared" si="39"/>
        <v>0</v>
      </c>
      <c r="CC81" s="288">
        <f t="shared" si="39"/>
        <v>78</v>
      </c>
      <c r="CD81" s="288">
        <f t="shared" si="39"/>
        <v>0</v>
      </c>
      <c r="CE81" s="288">
        <f t="shared" si="39"/>
        <v>0</v>
      </c>
      <c r="CF81" s="288">
        <f t="shared" si="39"/>
        <v>0</v>
      </c>
      <c r="CG81" s="288">
        <f t="shared" si="39"/>
        <v>0</v>
      </c>
      <c r="CH81" s="288">
        <f t="shared" si="39"/>
        <v>0</v>
      </c>
      <c r="CI81" s="288">
        <f t="shared" si="39"/>
        <v>0</v>
      </c>
      <c r="CJ81" s="288">
        <f t="shared" si="39"/>
        <v>0</v>
      </c>
      <c r="CK81" s="288">
        <f t="shared" si="39"/>
        <v>0</v>
      </c>
      <c r="CL81" s="288">
        <f t="shared" si="39"/>
        <v>0</v>
      </c>
      <c r="CM81" s="288">
        <f t="shared" si="39"/>
        <v>0</v>
      </c>
      <c r="CN81" s="288">
        <f t="shared" si="39"/>
        <v>0</v>
      </c>
      <c r="CO81" s="288">
        <f t="shared" si="39"/>
        <v>0</v>
      </c>
      <c r="CP81" s="288">
        <f t="shared" si="39"/>
        <v>0</v>
      </c>
      <c r="CQ81" s="288">
        <f t="shared" si="80"/>
        <v>0</v>
      </c>
      <c r="CR81" s="288">
        <f t="shared" si="81"/>
        <v>0</v>
      </c>
      <c r="CS81" s="288">
        <f t="shared" si="82"/>
        <v>0</v>
      </c>
      <c r="CT81" s="288">
        <f t="shared" si="40"/>
        <v>0</v>
      </c>
      <c r="CU81" s="288">
        <f t="shared" si="84"/>
        <v>0</v>
      </c>
      <c r="CV81" s="288">
        <f t="shared" si="29"/>
        <v>0</v>
      </c>
      <c r="CW81" s="288">
        <f t="shared" si="29"/>
        <v>0</v>
      </c>
      <c r="CX81" s="288">
        <f t="shared" si="21"/>
        <v>0</v>
      </c>
      <c r="CY81" s="288">
        <f t="shared" si="21"/>
        <v>0</v>
      </c>
      <c r="CZ81" s="288">
        <f t="shared" si="21"/>
        <v>0</v>
      </c>
      <c r="DA81" s="288">
        <f t="shared" si="21"/>
        <v>0</v>
      </c>
      <c r="DB81" s="288">
        <f t="shared" si="33"/>
        <v>0</v>
      </c>
      <c r="DC81" s="288">
        <f t="shared" si="33"/>
        <v>0</v>
      </c>
      <c r="DD81" s="288">
        <f t="shared" si="33"/>
        <v>0</v>
      </c>
      <c r="DE81" s="288">
        <f t="shared" si="33"/>
        <v>0</v>
      </c>
      <c r="DG81" s="314">
        <f t="shared" si="60"/>
        <v>78</v>
      </c>
      <c r="DH81" s="289">
        <f>MAX(CC$3:CC$109)</f>
        <v>78</v>
      </c>
      <c r="DJ81" s="288">
        <f>LOOKUP(DH81, 'Mortality Table'!A:A,('Mortality Table'!J:J/'Mortality Table'!I:I))</f>
        <v>6.2633389226763092E-2</v>
      </c>
      <c r="DK81" s="288">
        <f>LOOKUP(A81, 'Mortality Table'!A:A,('Mortality Table'!J:J/'Mortality Table'!I:I))</f>
        <v>6.2633389226763092E-2</v>
      </c>
      <c r="DL81" s="288">
        <f t="shared" si="61"/>
        <v>0</v>
      </c>
      <c r="DN81" s="288">
        <f>LOOKUP(DH81, 'Mortality Table'!A:A,('Mortality Table'!L:L/'Mortality Table'!K:K))</f>
        <v>6.3445086878111498E-2</v>
      </c>
      <c r="DO81" s="288">
        <f>LOOKUP(A81, 'Mortality Table'!A:A,('Mortality Table'!L:L/'Mortality Table'!K:K))</f>
        <v>6.3445086878111498E-2</v>
      </c>
      <c r="DP81" s="288">
        <f t="shared" si="62"/>
        <v>0</v>
      </c>
      <c r="DR81" s="288">
        <f>LOOKUP(DH81, 'Mortality Table'!A:A,('Mortality Table'!N:N/'Mortality Table'!M:M))</f>
        <v>6.4870997205760728E-2</v>
      </c>
      <c r="DS81" s="288">
        <f>LOOKUP(A81, 'Mortality Table'!A:A,('Mortality Table'!N:N/'Mortality Table'!M:M))</f>
        <v>6.4870997205760728E-2</v>
      </c>
      <c r="DT81" s="288">
        <f t="shared" si="63"/>
        <v>0</v>
      </c>
    </row>
    <row r="82" spans="1:124">
      <c r="A82" s="288">
        <v>79</v>
      </c>
      <c r="B82" s="288">
        <v>7.4923583631495386E-2</v>
      </c>
      <c r="C82" s="288">
        <f t="shared" si="85"/>
        <v>0</v>
      </c>
      <c r="D82" s="288">
        <f t="shared" si="85"/>
        <v>0</v>
      </c>
      <c r="E82" s="288">
        <f t="shared" si="85"/>
        <v>0</v>
      </c>
      <c r="F82" s="288">
        <f t="shared" si="85"/>
        <v>0</v>
      </c>
      <c r="G82" s="288">
        <f t="shared" si="85"/>
        <v>0</v>
      </c>
      <c r="H82" s="288">
        <f t="shared" si="85"/>
        <v>0</v>
      </c>
      <c r="I82" s="288">
        <f t="shared" si="85"/>
        <v>0</v>
      </c>
      <c r="J82" s="288">
        <f t="shared" si="85"/>
        <v>0</v>
      </c>
      <c r="K82" s="288">
        <f t="shared" si="85"/>
        <v>0</v>
      </c>
      <c r="L82" s="288">
        <f t="shared" si="85"/>
        <v>0</v>
      </c>
      <c r="M82" s="288">
        <f t="shared" si="85"/>
        <v>0</v>
      </c>
      <c r="N82" s="288">
        <f t="shared" si="85"/>
        <v>0</v>
      </c>
      <c r="O82" s="288">
        <f t="shared" si="85"/>
        <v>0</v>
      </c>
      <c r="P82" s="288">
        <f t="shared" si="85"/>
        <v>0</v>
      </c>
      <c r="Q82" s="288">
        <f t="shared" si="85"/>
        <v>0</v>
      </c>
      <c r="R82" s="288">
        <f t="shared" si="31"/>
        <v>0</v>
      </c>
      <c r="S82" s="288">
        <f t="shared" si="64"/>
        <v>0</v>
      </c>
      <c r="T82" s="288">
        <f t="shared" si="65"/>
        <v>0</v>
      </c>
      <c r="U82" s="288">
        <f t="shared" si="66"/>
        <v>0</v>
      </c>
      <c r="V82" s="288">
        <f t="shared" si="67"/>
        <v>0</v>
      </c>
      <c r="W82" s="288">
        <f t="shared" si="68"/>
        <v>0</v>
      </c>
      <c r="X82" s="288">
        <f t="shared" si="69"/>
        <v>0</v>
      </c>
      <c r="Y82" s="288">
        <f t="shared" si="70"/>
        <v>0</v>
      </c>
      <c r="Z82" s="288">
        <f t="shared" si="71"/>
        <v>0</v>
      </c>
      <c r="AA82" s="288">
        <f t="shared" si="72"/>
        <v>0</v>
      </c>
      <c r="AB82" s="288">
        <f t="shared" si="73"/>
        <v>0</v>
      </c>
      <c r="AC82" s="288">
        <f t="shared" si="74"/>
        <v>0</v>
      </c>
      <c r="AD82" s="288">
        <f t="shared" si="75"/>
        <v>0</v>
      </c>
      <c r="AE82" s="288">
        <f t="shared" si="76"/>
        <v>0</v>
      </c>
      <c r="AF82" s="288">
        <f t="shared" si="77"/>
        <v>0</v>
      </c>
      <c r="AG82" s="288">
        <f t="shared" si="78"/>
        <v>0</v>
      </c>
      <c r="AH82" s="288">
        <f t="shared" si="79"/>
        <v>0</v>
      </c>
      <c r="AI82" s="288">
        <f t="shared" si="58"/>
        <v>0</v>
      </c>
      <c r="AJ82" s="288">
        <f t="shared" si="58"/>
        <v>0</v>
      </c>
      <c r="AK82" s="288">
        <f t="shared" si="58"/>
        <v>0</v>
      </c>
      <c r="AL82" s="288">
        <f t="shared" si="58"/>
        <v>0</v>
      </c>
      <c r="AM82" s="288">
        <f t="shared" si="58"/>
        <v>0</v>
      </c>
      <c r="AN82" s="288">
        <f t="shared" si="58"/>
        <v>0</v>
      </c>
      <c r="AO82" s="288">
        <f t="shared" si="58"/>
        <v>0</v>
      </c>
      <c r="AP82" s="288">
        <f t="shared" si="35"/>
        <v>0</v>
      </c>
      <c r="AQ82" s="288">
        <f t="shared" si="36"/>
        <v>0</v>
      </c>
      <c r="AR82" s="288">
        <f t="shared" si="37"/>
        <v>0</v>
      </c>
      <c r="AS82" s="288">
        <f t="shared" si="38"/>
        <v>0</v>
      </c>
      <c r="AT82" s="288">
        <f t="shared" si="34"/>
        <v>0</v>
      </c>
      <c r="AU82" s="288">
        <f t="shared" si="34"/>
        <v>0</v>
      </c>
      <c r="AV82" s="288">
        <f t="shared" si="83"/>
        <v>0</v>
      </c>
      <c r="AW82" s="288">
        <f t="shared" si="83"/>
        <v>0</v>
      </c>
      <c r="AX82" s="288">
        <f t="shared" si="83"/>
        <v>0</v>
      </c>
      <c r="AY82" s="288">
        <f t="shared" si="83"/>
        <v>0</v>
      </c>
      <c r="AZ82" s="288">
        <f t="shared" si="83"/>
        <v>0</v>
      </c>
      <c r="BA82" s="288">
        <f t="shared" si="83"/>
        <v>0</v>
      </c>
      <c r="BB82" s="288">
        <f t="shared" si="83"/>
        <v>0</v>
      </c>
      <c r="BC82" s="288">
        <f t="shared" si="83"/>
        <v>0</v>
      </c>
      <c r="BD82" s="288">
        <f t="shared" si="83"/>
        <v>0</v>
      </c>
      <c r="BE82" s="288">
        <f t="shared" si="83"/>
        <v>0</v>
      </c>
      <c r="BF82" s="288">
        <f t="shared" si="83"/>
        <v>0</v>
      </c>
      <c r="BG82" s="288">
        <f t="shared" si="83"/>
        <v>0</v>
      </c>
      <c r="BH82" s="288">
        <f t="shared" si="83"/>
        <v>0</v>
      </c>
      <c r="BI82" s="288">
        <f t="shared" si="41"/>
        <v>0</v>
      </c>
      <c r="BJ82" s="288">
        <f t="shared" si="41"/>
        <v>0</v>
      </c>
      <c r="BK82" s="288">
        <f t="shared" si="41"/>
        <v>0</v>
      </c>
      <c r="BL82" s="288">
        <f t="shared" si="41"/>
        <v>0</v>
      </c>
      <c r="BM82" s="288">
        <f t="shared" si="41"/>
        <v>0</v>
      </c>
      <c r="BN82" s="288">
        <f t="shared" si="41"/>
        <v>0</v>
      </c>
      <c r="BO82" s="288">
        <f t="shared" si="59"/>
        <v>0</v>
      </c>
      <c r="BP82" s="288">
        <f t="shared" si="59"/>
        <v>0</v>
      </c>
      <c r="BQ82" s="288">
        <f t="shared" si="59"/>
        <v>0</v>
      </c>
      <c r="BR82" s="288">
        <f t="shared" si="59"/>
        <v>0</v>
      </c>
      <c r="BS82" s="288">
        <f t="shared" si="59"/>
        <v>0</v>
      </c>
      <c r="BT82" s="288">
        <f t="shared" si="59"/>
        <v>0</v>
      </c>
      <c r="BU82" s="288">
        <f t="shared" si="59"/>
        <v>0</v>
      </c>
      <c r="BV82" s="288">
        <f t="shared" si="59"/>
        <v>0</v>
      </c>
      <c r="BW82" s="288">
        <f t="shared" si="59"/>
        <v>0</v>
      </c>
      <c r="BX82" s="288">
        <f t="shared" si="59"/>
        <v>0</v>
      </c>
      <c r="BY82" s="288">
        <f t="shared" si="59"/>
        <v>0</v>
      </c>
      <c r="BZ82" s="288">
        <f t="shared" si="59"/>
        <v>0</v>
      </c>
      <c r="CA82" s="288">
        <f t="shared" si="59"/>
        <v>0</v>
      </c>
      <c r="CB82" s="288">
        <f t="shared" si="39"/>
        <v>0</v>
      </c>
      <c r="CC82" s="288">
        <f t="shared" si="39"/>
        <v>0</v>
      </c>
      <c r="CD82" s="288">
        <f t="shared" si="39"/>
        <v>79</v>
      </c>
      <c r="CE82" s="288">
        <f t="shared" si="39"/>
        <v>0</v>
      </c>
      <c r="CF82" s="288">
        <f t="shared" si="39"/>
        <v>0</v>
      </c>
      <c r="CG82" s="288">
        <f t="shared" si="39"/>
        <v>0</v>
      </c>
      <c r="CH82" s="288">
        <f t="shared" si="39"/>
        <v>0</v>
      </c>
      <c r="CI82" s="288">
        <f t="shared" si="39"/>
        <v>0</v>
      </c>
      <c r="CJ82" s="288">
        <f t="shared" si="39"/>
        <v>0</v>
      </c>
      <c r="CK82" s="288">
        <f t="shared" si="39"/>
        <v>0</v>
      </c>
      <c r="CL82" s="288">
        <f t="shared" si="39"/>
        <v>0</v>
      </c>
      <c r="CM82" s="288">
        <f t="shared" si="39"/>
        <v>0</v>
      </c>
      <c r="CN82" s="288">
        <f t="shared" si="39"/>
        <v>0</v>
      </c>
      <c r="CO82" s="288">
        <f t="shared" si="39"/>
        <v>0</v>
      </c>
      <c r="CP82" s="288">
        <f t="shared" si="39"/>
        <v>0</v>
      </c>
      <c r="CQ82" s="288">
        <f t="shared" si="80"/>
        <v>0</v>
      </c>
      <c r="CR82" s="288">
        <f t="shared" si="81"/>
        <v>0</v>
      </c>
      <c r="CS82" s="288">
        <f t="shared" si="82"/>
        <v>0</v>
      </c>
      <c r="CT82" s="288">
        <f t="shared" si="40"/>
        <v>0</v>
      </c>
      <c r="CU82" s="288">
        <f t="shared" si="84"/>
        <v>0</v>
      </c>
      <c r="CV82" s="288">
        <f t="shared" si="29"/>
        <v>0</v>
      </c>
      <c r="CW82" s="288">
        <f t="shared" si="29"/>
        <v>0</v>
      </c>
      <c r="CX82" s="288">
        <f t="shared" si="21"/>
        <v>0</v>
      </c>
      <c r="CY82" s="288">
        <f t="shared" si="21"/>
        <v>0</v>
      </c>
      <c r="CZ82" s="288">
        <f t="shared" si="21"/>
        <v>0</v>
      </c>
      <c r="DA82" s="288">
        <f t="shared" si="21"/>
        <v>0</v>
      </c>
      <c r="DB82" s="288">
        <f t="shared" si="33"/>
        <v>0</v>
      </c>
      <c r="DC82" s="288">
        <f t="shared" si="33"/>
        <v>0</v>
      </c>
      <c r="DD82" s="288">
        <f t="shared" si="33"/>
        <v>0</v>
      </c>
      <c r="DE82" s="288">
        <f t="shared" si="33"/>
        <v>0</v>
      </c>
      <c r="DG82" s="314">
        <f t="shared" si="60"/>
        <v>79</v>
      </c>
      <c r="DH82" s="289">
        <f>MAX(CD$3:CD$109)</f>
        <v>79</v>
      </c>
      <c r="DJ82" s="288">
        <f>LOOKUP(DH82, 'Mortality Table'!A:A,('Mortality Table'!J:J/'Mortality Table'!I:I))</f>
        <v>6.8972749373137007E-2</v>
      </c>
      <c r="DK82" s="288">
        <f>LOOKUP(A82, 'Mortality Table'!A:A,('Mortality Table'!J:J/'Mortality Table'!I:I))</f>
        <v>6.8972749373137007E-2</v>
      </c>
      <c r="DL82" s="288">
        <f t="shared" si="61"/>
        <v>0</v>
      </c>
      <c r="DN82" s="288">
        <f>LOOKUP(DH82, 'Mortality Table'!A:A,('Mortality Table'!L:L/'Mortality Table'!K:K))</f>
        <v>6.9866601986964663E-2</v>
      </c>
      <c r="DO82" s="288">
        <f>LOOKUP(A82, 'Mortality Table'!A:A,('Mortality Table'!L:L/'Mortality Table'!K:K))</f>
        <v>6.9866601986964663E-2</v>
      </c>
      <c r="DP82" s="288">
        <f t="shared" si="62"/>
        <v>0</v>
      </c>
      <c r="DR82" s="288">
        <f>LOOKUP(DH82, 'Mortality Table'!A:A,('Mortality Table'!N:N/'Mortality Table'!M:M))</f>
        <v>7.1436834044844244E-2</v>
      </c>
      <c r="DS82" s="288">
        <f>LOOKUP(A82, 'Mortality Table'!A:A,('Mortality Table'!N:N/'Mortality Table'!M:M))</f>
        <v>7.1436834044844244E-2</v>
      </c>
      <c r="DT82" s="288">
        <f t="shared" si="63"/>
        <v>0</v>
      </c>
    </row>
    <row r="83" spans="1:124">
      <c r="A83" s="288">
        <v>80</v>
      </c>
      <c r="B83" s="288">
        <v>8.2400553264516785E-2</v>
      </c>
      <c r="C83" s="288">
        <f t="shared" si="85"/>
        <v>0</v>
      </c>
      <c r="D83" s="288">
        <f t="shared" si="85"/>
        <v>0</v>
      </c>
      <c r="E83" s="288">
        <f t="shared" si="85"/>
        <v>0</v>
      </c>
      <c r="F83" s="288">
        <f t="shared" si="85"/>
        <v>0</v>
      </c>
      <c r="G83" s="288">
        <f t="shared" si="85"/>
        <v>0</v>
      </c>
      <c r="H83" s="288">
        <f t="shared" si="85"/>
        <v>0</v>
      </c>
      <c r="I83" s="288">
        <f t="shared" si="85"/>
        <v>0</v>
      </c>
      <c r="J83" s="288">
        <f t="shared" si="85"/>
        <v>0</v>
      </c>
      <c r="K83" s="288">
        <f t="shared" si="85"/>
        <v>0</v>
      </c>
      <c r="L83" s="288">
        <f t="shared" si="85"/>
        <v>0</v>
      </c>
      <c r="M83" s="288">
        <f t="shared" si="85"/>
        <v>0</v>
      </c>
      <c r="N83" s="288">
        <f t="shared" si="85"/>
        <v>0</v>
      </c>
      <c r="O83" s="288">
        <f t="shared" si="85"/>
        <v>0</v>
      </c>
      <c r="P83" s="288">
        <f t="shared" si="85"/>
        <v>0</v>
      </c>
      <c r="Q83" s="288">
        <f t="shared" si="85"/>
        <v>0</v>
      </c>
      <c r="R83" s="288">
        <f t="shared" si="31"/>
        <v>0</v>
      </c>
      <c r="S83" s="288">
        <f t="shared" ref="S83:X83" si="86">IF(S$2&gt;$B83,(IF(S$2&lt;=$B84,(IF(AVERAGE($B83,$B84)&gt;S$2,$A83,$A84)),0)),0)</f>
        <v>0</v>
      </c>
      <c r="T83" s="288">
        <f t="shared" si="86"/>
        <v>0</v>
      </c>
      <c r="U83" s="288">
        <f t="shared" si="86"/>
        <v>0</v>
      </c>
      <c r="V83" s="288">
        <f t="shared" si="86"/>
        <v>0</v>
      </c>
      <c r="W83" s="288">
        <f t="shared" si="86"/>
        <v>0</v>
      </c>
      <c r="X83" s="288">
        <f t="shared" si="86"/>
        <v>0</v>
      </c>
      <c r="Y83" s="288">
        <f t="shared" ref="Y83:AG83" si="87">IF(Y$2&gt;$B83,(IF(Y$2&lt;=$B84,(IF(AVERAGE($B83,$B84)&gt;Y$2,$A83,$A84)),0)),0)</f>
        <v>0</v>
      </c>
      <c r="Z83" s="288">
        <f t="shared" si="87"/>
        <v>0</v>
      </c>
      <c r="AA83" s="288">
        <f t="shared" si="87"/>
        <v>0</v>
      </c>
      <c r="AB83" s="288">
        <f t="shared" si="87"/>
        <v>0</v>
      </c>
      <c r="AC83" s="288">
        <f t="shared" si="87"/>
        <v>0</v>
      </c>
      <c r="AD83" s="288">
        <f t="shared" si="87"/>
        <v>0</v>
      </c>
      <c r="AE83" s="288">
        <f t="shared" si="87"/>
        <v>0</v>
      </c>
      <c r="AF83" s="288">
        <f t="shared" si="87"/>
        <v>0</v>
      </c>
      <c r="AG83" s="288">
        <f t="shared" si="87"/>
        <v>0</v>
      </c>
      <c r="AH83" s="288">
        <f t="shared" ref="AH83:AH99" si="88">IF(AH$2&gt;$B83,(IF(AH$2&lt;=$B84,(IF(AVERAGE($B83,$B84)&gt;AH$2,$A83,$A84)),0)),0)</f>
        <v>0</v>
      </c>
      <c r="AI83" s="288">
        <f t="shared" si="58"/>
        <v>0</v>
      </c>
      <c r="AJ83" s="288">
        <f t="shared" si="58"/>
        <v>0</v>
      </c>
      <c r="AK83" s="288">
        <f t="shared" si="58"/>
        <v>0</v>
      </c>
      <c r="AL83" s="288">
        <f t="shared" si="58"/>
        <v>0</v>
      </c>
      <c r="AM83" s="288">
        <f t="shared" si="58"/>
        <v>0</v>
      </c>
      <c r="AN83" s="288">
        <f t="shared" si="58"/>
        <v>0</v>
      </c>
      <c r="AO83" s="288">
        <f t="shared" si="58"/>
        <v>0</v>
      </c>
      <c r="AP83" s="288">
        <f t="shared" si="35"/>
        <v>0</v>
      </c>
      <c r="AQ83" s="288">
        <f t="shared" si="36"/>
        <v>0</v>
      </c>
      <c r="AR83" s="288">
        <f t="shared" si="37"/>
        <v>0</v>
      </c>
      <c r="AS83" s="288">
        <f t="shared" si="38"/>
        <v>0</v>
      </c>
      <c r="AT83" s="288">
        <f t="shared" ref="AT83:AT97" si="89">IF(AT$2&gt;$B83,(IF(AT$2&lt;=$B84,(IF(AVERAGE($B83,$B84)&gt;AT$2,$A83,$A84)),0)),0)</f>
        <v>0</v>
      </c>
      <c r="AU83" s="288">
        <f t="shared" ref="AU83:AU97" si="90">IF(AU$2&gt;$B83,(IF(AU$2&lt;=$B84,(IF(AVERAGE($B83,$B84)&gt;AU$2,$A83,$A84)),0)),0)</f>
        <v>0</v>
      </c>
      <c r="AV83" s="288">
        <f t="shared" si="83"/>
        <v>0</v>
      </c>
      <c r="AW83" s="288">
        <f t="shared" si="83"/>
        <v>0</v>
      </c>
      <c r="AX83" s="288">
        <f t="shared" si="83"/>
        <v>0</v>
      </c>
      <c r="AY83" s="288">
        <f t="shared" si="83"/>
        <v>0</v>
      </c>
      <c r="AZ83" s="288">
        <f t="shared" si="83"/>
        <v>0</v>
      </c>
      <c r="BA83" s="288">
        <f t="shared" si="83"/>
        <v>0</v>
      </c>
      <c r="BB83" s="288">
        <f t="shared" si="83"/>
        <v>0</v>
      </c>
      <c r="BC83" s="288">
        <f t="shared" si="83"/>
        <v>0</v>
      </c>
      <c r="BD83" s="288">
        <f t="shared" si="83"/>
        <v>0</v>
      </c>
      <c r="BE83" s="288">
        <f t="shared" si="83"/>
        <v>0</v>
      </c>
      <c r="BF83" s="288">
        <f t="shared" si="83"/>
        <v>0</v>
      </c>
      <c r="BG83" s="288">
        <f t="shared" si="83"/>
        <v>0</v>
      </c>
      <c r="BH83" s="288">
        <f t="shared" si="83"/>
        <v>0</v>
      </c>
      <c r="BI83" s="288">
        <f t="shared" si="41"/>
        <v>0</v>
      </c>
      <c r="BJ83" s="288">
        <f t="shared" si="41"/>
        <v>0</v>
      </c>
      <c r="BK83" s="288">
        <f t="shared" si="41"/>
        <v>0</v>
      </c>
      <c r="BL83" s="288">
        <f t="shared" si="41"/>
        <v>0</v>
      </c>
      <c r="BM83" s="288">
        <f t="shared" si="41"/>
        <v>0</v>
      </c>
      <c r="BN83" s="288">
        <f t="shared" si="41"/>
        <v>0</v>
      </c>
      <c r="BO83" s="288">
        <f t="shared" si="59"/>
        <v>0</v>
      </c>
      <c r="BP83" s="288">
        <f t="shared" si="59"/>
        <v>0</v>
      </c>
      <c r="BQ83" s="288">
        <f t="shared" si="59"/>
        <v>0</v>
      </c>
      <c r="BR83" s="288">
        <f t="shared" si="59"/>
        <v>0</v>
      </c>
      <c r="BS83" s="288">
        <f t="shared" si="59"/>
        <v>0</v>
      </c>
      <c r="BT83" s="288">
        <f t="shared" si="59"/>
        <v>0</v>
      </c>
      <c r="BU83" s="288">
        <f t="shared" si="59"/>
        <v>0</v>
      </c>
      <c r="BV83" s="288">
        <f t="shared" si="59"/>
        <v>0</v>
      </c>
      <c r="BW83" s="288">
        <f t="shared" si="59"/>
        <v>0</v>
      </c>
      <c r="BX83" s="288">
        <f t="shared" si="59"/>
        <v>0</v>
      </c>
      <c r="BY83" s="288">
        <f t="shared" si="59"/>
        <v>0</v>
      </c>
      <c r="BZ83" s="288">
        <f t="shared" si="59"/>
        <v>0</v>
      </c>
      <c r="CA83" s="288">
        <f t="shared" si="59"/>
        <v>0</v>
      </c>
      <c r="CB83" s="288">
        <f t="shared" si="39"/>
        <v>0</v>
      </c>
      <c r="CC83" s="288">
        <f t="shared" si="39"/>
        <v>0</v>
      </c>
      <c r="CD83" s="288">
        <f t="shared" si="39"/>
        <v>0</v>
      </c>
      <c r="CE83" s="288">
        <f t="shared" si="39"/>
        <v>80</v>
      </c>
      <c r="CF83" s="288">
        <f t="shared" si="39"/>
        <v>0</v>
      </c>
      <c r="CG83" s="288">
        <f t="shared" si="39"/>
        <v>0</v>
      </c>
      <c r="CH83" s="288">
        <f t="shared" si="39"/>
        <v>0</v>
      </c>
      <c r="CI83" s="288">
        <f t="shared" si="39"/>
        <v>0</v>
      </c>
      <c r="CJ83" s="288">
        <f t="shared" si="39"/>
        <v>0</v>
      </c>
      <c r="CK83" s="288">
        <f t="shared" si="39"/>
        <v>0</v>
      </c>
      <c r="CL83" s="288">
        <f t="shared" si="39"/>
        <v>0</v>
      </c>
      <c r="CM83" s="288">
        <f t="shared" ref="CM83:CP109" si="91">IF(CM$2&gt;$B83,(IF(CM$2&lt;=$B84,(IF(AVERAGE($B83,$B84)&gt;CM$2,$A83,$A84)),0)),0)</f>
        <v>0</v>
      </c>
      <c r="CN83" s="288">
        <f t="shared" si="91"/>
        <v>0</v>
      </c>
      <c r="CO83" s="288">
        <f t="shared" si="91"/>
        <v>0</v>
      </c>
      <c r="CP83" s="288">
        <f t="shared" si="91"/>
        <v>0</v>
      </c>
      <c r="CQ83" s="288">
        <f t="shared" si="80"/>
        <v>0</v>
      </c>
      <c r="CR83" s="288">
        <f t="shared" si="81"/>
        <v>0</v>
      </c>
      <c r="CS83" s="288">
        <f t="shared" si="82"/>
        <v>0</v>
      </c>
      <c r="CT83" s="288">
        <f t="shared" si="40"/>
        <v>0</v>
      </c>
      <c r="CU83" s="288">
        <f t="shared" si="84"/>
        <v>0</v>
      </c>
      <c r="CV83" s="288">
        <f t="shared" si="29"/>
        <v>0</v>
      </c>
      <c r="CW83" s="288">
        <f t="shared" si="29"/>
        <v>0</v>
      </c>
      <c r="CX83" s="288">
        <f t="shared" si="21"/>
        <v>0</v>
      </c>
      <c r="CY83" s="288">
        <f t="shared" si="21"/>
        <v>0</v>
      </c>
      <c r="CZ83" s="288">
        <f t="shared" si="21"/>
        <v>0</v>
      </c>
      <c r="DA83" s="288">
        <f t="shared" si="21"/>
        <v>0</v>
      </c>
      <c r="DB83" s="288">
        <f t="shared" si="33"/>
        <v>0</v>
      </c>
      <c r="DC83" s="288">
        <f t="shared" si="33"/>
        <v>0</v>
      </c>
      <c r="DD83" s="288">
        <f t="shared" si="33"/>
        <v>0</v>
      </c>
      <c r="DE83" s="288">
        <f t="shared" si="33"/>
        <v>0</v>
      </c>
      <c r="DG83" s="314">
        <f t="shared" si="60"/>
        <v>80</v>
      </c>
      <c r="DH83" s="289">
        <f>MAX(CE$3:CE$109)</f>
        <v>80</v>
      </c>
      <c r="DJ83" s="288">
        <f>LOOKUP(DH83, 'Mortality Table'!A:A,('Mortality Table'!J:J/'Mortality Table'!I:I))</f>
        <v>7.5855857836092999E-2</v>
      </c>
      <c r="DK83" s="288">
        <f>LOOKUP(A83, 'Mortality Table'!A:A,('Mortality Table'!J:J/'Mortality Table'!I:I))</f>
        <v>7.5855857836092999E-2</v>
      </c>
      <c r="DL83" s="288">
        <f t="shared" si="61"/>
        <v>0</v>
      </c>
      <c r="DN83" s="288">
        <f>LOOKUP(DH83, 'Mortality Table'!A:A,('Mortality Table'!L:L/'Mortality Table'!K:K))</f>
        <v>7.6838912120823846E-2</v>
      </c>
      <c r="DO83" s="288">
        <f>LOOKUP(A83, 'Mortality Table'!A:A,('Mortality Table'!L:L/'Mortality Table'!K:K))</f>
        <v>7.6838912120823846E-2</v>
      </c>
      <c r="DP83" s="288">
        <f t="shared" si="62"/>
        <v>0</v>
      </c>
      <c r="DR83" s="288">
        <f>LOOKUP(DH83, 'Mortality Table'!A:A,('Mortality Table'!N:N/'Mortality Table'!M:M))</f>
        <v>7.8565844870855453E-2</v>
      </c>
      <c r="DS83" s="288">
        <f>LOOKUP(A83, 'Mortality Table'!A:A,('Mortality Table'!N:N/'Mortality Table'!M:M))</f>
        <v>7.8565844870855453E-2</v>
      </c>
      <c r="DT83" s="288">
        <f t="shared" si="63"/>
        <v>0</v>
      </c>
    </row>
    <row r="84" spans="1:124">
      <c r="A84" s="288">
        <v>81</v>
      </c>
      <c r="B84" s="288">
        <v>9.2284502009825811E-2</v>
      </c>
      <c r="C84" s="288">
        <f t="shared" si="85"/>
        <v>0</v>
      </c>
      <c r="D84" s="288">
        <f t="shared" si="85"/>
        <v>0</v>
      </c>
      <c r="E84" s="288">
        <f t="shared" si="85"/>
        <v>0</v>
      </c>
      <c r="F84" s="288">
        <f t="shared" si="85"/>
        <v>0</v>
      </c>
      <c r="G84" s="288">
        <f t="shared" si="85"/>
        <v>0</v>
      </c>
      <c r="H84" s="288">
        <f t="shared" si="85"/>
        <v>0</v>
      </c>
      <c r="I84" s="288">
        <f t="shared" si="85"/>
        <v>0</v>
      </c>
      <c r="J84" s="288">
        <f t="shared" si="85"/>
        <v>0</v>
      </c>
      <c r="K84" s="288">
        <f t="shared" si="85"/>
        <v>0</v>
      </c>
      <c r="L84" s="288">
        <f t="shared" si="85"/>
        <v>0</v>
      </c>
      <c r="M84" s="288">
        <f t="shared" si="85"/>
        <v>0</v>
      </c>
      <c r="N84" s="288">
        <f t="shared" si="85"/>
        <v>0</v>
      </c>
      <c r="O84" s="288">
        <f t="shared" si="85"/>
        <v>0</v>
      </c>
      <c r="P84" s="288">
        <f t="shared" si="85"/>
        <v>0</v>
      </c>
      <c r="Q84" s="288">
        <f t="shared" si="85"/>
        <v>0</v>
      </c>
      <c r="R84" s="288">
        <f t="shared" si="85"/>
        <v>0</v>
      </c>
      <c r="S84" s="288">
        <f t="shared" ref="S84:AG100" si="92">IF(S$2&gt;$B84,(IF(S$2&lt;=$B85,(IF(AVERAGE($B84,$B85)&gt;S$2,$A84,$A85)),0)),0)</f>
        <v>0</v>
      </c>
      <c r="T84" s="288">
        <f t="shared" si="92"/>
        <v>0</v>
      </c>
      <c r="U84" s="288">
        <f t="shared" si="92"/>
        <v>0</v>
      </c>
      <c r="V84" s="288">
        <f t="shared" si="92"/>
        <v>0</v>
      </c>
      <c r="W84" s="288">
        <f t="shared" si="92"/>
        <v>0</v>
      </c>
      <c r="X84" s="288">
        <f t="shared" si="92"/>
        <v>0</v>
      </c>
      <c r="Y84" s="288">
        <f t="shared" si="92"/>
        <v>0</v>
      </c>
      <c r="Z84" s="288">
        <f t="shared" si="92"/>
        <v>0</v>
      </c>
      <c r="AA84" s="288">
        <f t="shared" si="92"/>
        <v>0</v>
      </c>
      <c r="AB84" s="288">
        <f t="shared" si="92"/>
        <v>0</v>
      </c>
      <c r="AC84" s="288">
        <f t="shared" si="92"/>
        <v>0</v>
      </c>
      <c r="AD84" s="288">
        <f t="shared" si="92"/>
        <v>0</v>
      </c>
      <c r="AE84" s="288">
        <f t="shared" si="92"/>
        <v>0</v>
      </c>
      <c r="AF84" s="288">
        <f t="shared" si="92"/>
        <v>0</v>
      </c>
      <c r="AG84" s="288">
        <f t="shared" si="92"/>
        <v>0</v>
      </c>
      <c r="AH84" s="288">
        <f t="shared" si="88"/>
        <v>0</v>
      </c>
      <c r="AI84" s="288">
        <f t="shared" si="58"/>
        <v>0</v>
      </c>
      <c r="AJ84" s="288">
        <f t="shared" si="58"/>
        <v>0</v>
      </c>
      <c r="AK84" s="288">
        <f t="shared" si="58"/>
        <v>0</v>
      </c>
      <c r="AL84" s="288">
        <f t="shared" si="58"/>
        <v>0</v>
      </c>
      <c r="AM84" s="288">
        <f t="shared" si="58"/>
        <v>0</v>
      </c>
      <c r="AN84" s="288">
        <f t="shared" si="58"/>
        <v>0</v>
      </c>
      <c r="AO84" s="288">
        <f t="shared" si="58"/>
        <v>0</v>
      </c>
      <c r="AP84" s="288">
        <f t="shared" si="35"/>
        <v>0</v>
      </c>
      <c r="AQ84" s="288">
        <f t="shared" si="36"/>
        <v>0</v>
      </c>
      <c r="AR84" s="288">
        <f t="shared" si="37"/>
        <v>0</v>
      </c>
      <c r="AS84" s="288">
        <f t="shared" si="38"/>
        <v>0</v>
      </c>
      <c r="AT84" s="288">
        <f t="shared" si="89"/>
        <v>0</v>
      </c>
      <c r="AU84" s="288">
        <f t="shared" si="90"/>
        <v>0</v>
      </c>
      <c r="AV84" s="288">
        <f t="shared" si="83"/>
        <v>0</v>
      </c>
      <c r="AW84" s="288">
        <f t="shared" si="83"/>
        <v>0</v>
      </c>
      <c r="AX84" s="288">
        <f t="shared" si="83"/>
        <v>0</v>
      </c>
      <c r="AY84" s="288">
        <f t="shared" si="83"/>
        <v>0</v>
      </c>
      <c r="AZ84" s="288">
        <f t="shared" si="83"/>
        <v>0</v>
      </c>
      <c r="BA84" s="288">
        <f t="shared" si="83"/>
        <v>0</v>
      </c>
      <c r="BB84" s="288">
        <f t="shared" si="83"/>
        <v>0</v>
      </c>
      <c r="BC84" s="288">
        <f t="shared" si="83"/>
        <v>0</v>
      </c>
      <c r="BD84" s="288">
        <f t="shared" si="83"/>
        <v>0</v>
      </c>
      <c r="BE84" s="288">
        <f t="shared" si="83"/>
        <v>0</v>
      </c>
      <c r="BF84" s="288">
        <f t="shared" si="83"/>
        <v>0</v>
      </c>
      <c r="BG84" s="288">
        <f t="shared" si="83"/>
        <v>0</v>
      </c>
      <c r="BH84" s="288">
        <f t="shared" si="83"/>
        <v>0</v>
      </c>
      <c r="BI84" s="288">
        <f t="shared" si="41"/>
        <v>0</v>
      </c>
      <c r="BJ84" s="288">
        <f t="shared" si="41"/>
        <v>0</v>
      </c>
      <c r="BK84" s="288">
        <f t="shared" si="41"/>
        <v>0</v>
      </c>
      <c r="BL84" s="288">
        <f t="shared" si="41"/>
        <v>0</v>
      </c>
      <c r="BM84" s="288">
        <f t="shared" si="41"/>
        <v>0</v>
      </c>
      <c r="BN84" s="288">
        <f t="shared" si="41"/>
        <v>0</v>
      </c>
      <c r="BO84" s="288">
        <f t="shared" si="59"/>
        <v>0</v>
      </c>
      <c r="BP84" s="288">
        <f t="shared" si="59"/>
        <v>0</v>
      </c>
      <c r="BQ84" s="288">
        <f t="shared" si="59"/>
        <v>0</v>
      </c>
      <c r="BR84" s="288">
        <f t="shared" si="59"/>
        <v>0</v>
      </c>
      <c r="BS84" s="288">
        <f t="shared" si="59"/>
        <v>0</v>
      </c>
      <c r="BT84" s="288">
        <f t="shared" si="59"/>
        <v>0</v>
      </c>
      <c r="BU84" s="288">
        <f t="shared" si="59"/>
        <v>0</v>
      </c>
      <c r="BV84" s="288">
        <f t="shared" si="59"/>
        <v>0</v>
      </c>
      <c r="BW84" s="288">
        <f t="shared" si="59"/>
        <v>0</v>
      </c>
      <c r="BX84" s="288">
        <f t="shared" si="59"/>
        <v>0</v>
      </c>
      <c r="BY84" s="288">
        <f t="shared" si="59"/>
        <v>0</v>
      </c>
      <c r="BZ84" s="288">
        <f t="shared" si="59"/>
        <v>0</v>
      </c>
      <c r="CA84" s="288">
        <f t="shared" si="59"/>
        <v>0</v>
      </c>
      <c r="CB84" s="288">
        <f t="shared" si="59"/>
        <v>0</v>
      </c>
      <c r="CC84" s="288">
        <f t="shared" si="59"/>
        <v>0</v>
      </c>
      <c r="CD84" s="288">
        <f t="shared" si="59"/>
        <v>0</v>
      </c>
      <c r="CE84" s="288">
        <f t="shared" ref="CE84:CL109" si="93">IF(CE$2&gt;$B84,(IF(CE$2&lt;=$B85,(IF(AVERAGE($B84,$B85)&gt;CE$2,$A84,$A85)),0)),0)</f>
        <v>0</v>
      </c>
      <c r="CF84" s="288">
        <f t="shared" si="93"/>
        <v>81</v>
      </c>
      <c r="CG84" s="288">
        <f t="shared" si="93"/>
        <v>0</v>
      </c>
      <c r="CH84" s="288">
        <f t="shared" si="93"/>
        <v>0</v>
      </c>
      <c r="CI84" s="288">
        <f t="shared" si="93"/>
        <v>0</v>
      </c>
      <c r="CJ84" s="288">
        <f t="shared" si="93"/>
        <v>0</v>
      </c>
      <c r="CK84" s="288">
        <f t="shared" si="93"/>
        <v>0</v>
      </c>
      <c r="CL84" s="288">
        <f t="shared" si="93"/>
        <v>0</v>
      </c>
      <c r="CM84" s="288">
        <f t="shared" si="91"/>
        <v>0</v>
      </c>
      <c r="CN84" s="288">
        <f t="shared" si="91"/>
        <v>0</v>
      </c>
      <c r="CO84" s="288">
        <f t="shared" si="91"/>
        <v>0</v>
      </c>
      <c r="CP84" s="288">
        <f t="shared" si="91"/>
        <v>0</v>
      </c>
      <c r="CQ84" s="288">
        <f t="shared" si="80"/>
        <v>0</v>
      </c>
      <c r="CR84" s="288">
        <f t="shared" si="81"/>
        <v>0</v>
      </c>
      <c r="CS84" s="288">
        <f t="shared" si="82"/>
        <v>0</v>
      </c>
      <c r="CT84" s="288">
        <f t="shared" si="40"/>
        <v>0</v>
      </c>
      <c r="CU84" s="288">
        <f t="shared" si="84"/>
        <v>0</v>
      </c>
      <c r="CV84" s="288">
        <f t="shared" si="29"/>
        <v>0</v>
      </c>
      <c r="CW84" s="288">
        <f t="shared" si="29"/>
        <v>0</v>
      </c>
      <c r="CX84" s="288">
        <f t="shared" si="21"/>
        <v>0</v>
      </c>
      <c r="CY84" s="288">
        <f t="shared" si="21"/>
        <v>0</v>
      </c>
      <c r="CZ84" s="288">
        <f t="shared" si="21"/>
        <v>0</v>
      </c>
      <c r="DA84" s="288">
        <f t="shared" si="21"/>
        <v>0</v>
      </c>
      <c r="DB84" s="288">
        <f t="shared" si="33"/>
        <v>0</v>
      </c>
      <c r="DC84" s="288">
        <f t="shared" si="33"/>
        <v>0</v>
      </c>
      <c r="DD84" s="288">
        <f t="shared" si="33"/>
        <v>0</v>
      </c>
      <c r="DE84" s="288">
        <f t="shared" si="33"/>
        <v>0</v>
      </c>
      <c r="DG84" s="314">
        <f t="shared" si="60"/>
        <v>81</v>
      </c>
      <c r="DH84" s="289">
        <f>MAX(CF$3:CF$109)</f>
        <v>81</v>
      </c>
      <c r="DJ84" s="288">
        <f>LOOKUP(DH84, 'Mortality Table'!A:A,('Mortality Table'!J:J/'Mortality Table'!I:I))</f>
        <v>8.4954770175632535E-2</v>
      </c>
      <c r="DK84" s="288">
        <f>LOOKUP(A84, 'Mortality Table'!A:A,('Mortality Table'!J:J/'Mortality Table'!I:I))</f>
        <v>8.4954770175632535E-2</v>
      </c>
      <c r="DL84" s="288">
        <f t="shared" si="61"/>
        <v>0</v>
      </c>
      <c r="DN84" s="288">
        <f>LOOKUP(DH84, 'Mortality Table'!A:A,('Mortality Table'!L:L/'Mortality Table'!K:K))</f>
        <v>8.6055741850225256E-2</v>
      </c>
      <c r="DO84" s="288">
        <f>LOOKUP(A84, 'Mortality Table'!A:A,('Mortality Table'!L:L/'Mortality Table'!K:K))</f>
        <v>8.6055741850225256E-2</v>
      </c>
      <c r="DP84" s="288">
        <f t="shared" si="62"/>
        <v>0</v>
      </c>
      <c r="DR84" s="288">
        <f>LOOKUP(DH84, 'Mortality Table'!A:A,('Mortality Table'!N:N/'Mortality Table'!M:M))</f>
        <v>8.7989820233528498E-2</v>
      </c>
      <c r="DS84" s="288">
        <f>LOOKUP(A84, 'Mortality Table'!A:A,('Mortality Table'!N:N/'Mortality Table'!M:M))</f>
        <v>8.7989820233528498E-2</v>
      </c>
      <c r="DT84" s="288">
        <f t="shared" si="63"/>
        <v>0</v>
      </c>
    </row>
    <row r="85" spans="1:124">
      <c r="A85" s="288">
        <v>82</v>
      </c>
      <c r="B85" s="288">
        <v>0.10142075158373824</v>
      </c>
      <c r="C85" s="288">
        <f t="shared" si="85"/>
        <v>0</v>
      </c>
      <c r="D85" s="288">
        <f t="shared" si="85"/>
        <v>0</v>
      </c>
      <c r="E85" s="288">
        <f t="shared" si="85"/>
        <v>0</v>
      </c>
      <c r="F85" s="288">
        <f t="shared" si="85"/>
        <v>0</v>
      </c>
      <c r="G85" s="288">
        <f t="shared" si="85"/>
        <v>0</v>
      </c>
      <c r="H85" s="288">
        <f t="shared" si="85"/>
        <v>0</v>
      </c>
      <c r="I85" s="288">
        <f t="shared" si="85"/>
        <v>0</v>
      </c>
      <c r="J85" s="288">
        <f t="shared" si="85"/>
        <v>0</v>
      </c>
      <c r="K85" s="288">
        <f t="shared" si="85"/>
        <v>0</v>
      </c>
      <c r="L85" s="288">
        <f t="shared" si="85"/>
        <v>0</v>
      </c>
      <c r="M85" s="288">
        <f t="shared" si="85"/>
        <v>0</v>
      </c>
      <c r="N85" s="288">
        <f t="shared" si="85"/>
        <v>0</v>
      </c>
      <c r="O85" s="288">
        <f t="shared" si="85"/>
        <v>0</v>
      </c>
      <c r="P85" s="288">
        <f t="shared" si="85"/>
        <v>0</v>
      </c>
      <c r="Q85" s="288">
        <f t="shared" si="85"/>
        <v>0</v>
      </c>
      <c r="R85" s="288">
        <f t="shared" si="85"/>
        <v>0</v>
      </c>
      <c r="S85" s="288">
        <f t="shared" si="92"/>
        <v>0</v>
      </c>
      <c r="T85" s="288">
        <f t="shared" si="92"/>
        <v>0</v>
      </c>
      <c r="U85" s="288">
        <f t="shared" si="92"/>
        <v>0</v>
      </c>
      <c r="V85" s="288">
        <f t="shared" si="92"/>
        <v>0</v>
      </c>
      <c r="W85" s="288">
        <f t="shared" si="92"/>
        <v>0</v>
      </c>
      <c r="X85" s="288">
        <f t="shared" si="92"/>
        <v>0</v>
      </c>
      <c r="Y85" s="288">
        <f t="shared" si="92"/>
        <v>0</v>
      </c>
      <c r="Z85" s="288">
        <f t="shared" si="92"/>
        <v>0</v>
      </c>
      <c r="AA85" s="288">
        <f t="shared" si="92"/>
        <v>0</v>
      </c>
      <c r="AB85" s="288">
        <f t="shared" si="92"/>
        <v>0</v>
      </c>
      <c r="AC85" s="288">
        <f t="shared" si="92"/>
        <v>0</v>
      </c>
      <c r="AD85" s="288">
        <f t="shared" si="92"/>
        <v>0</v>
      </c>
      <c r="AE85" s="288">
        <f t="shared" si="92"/>
        <v>0</v>
      </c>
      <c r="AF85" s="288">
        <f t="shared" si="92"/>
        <v>0</v>
      </c>
      <c r="AG85" s="288">
        <f t="shared" si="92"/>
        <v>0</v>
      </c>
      <c r="AH85" s="288">
        <f t="shared" si="88"/>
        <v>0</v>
      </c>
      <c r="AI85" s="288">
        <f t="shared" si="58"/>
        <v>0</v>
      </c>
      <c r="AJ85" s="288">
        <f t="shared" si="58"/>
        <v>0</v>
      </c>
      <c r="AK85" s="288">
        <f t="shared" si="58"/>
        <v>0</v>
      </c>
      <c r="AL85" s="288">
        <f t="shared" si="58"/>
        <v>0</v>
      </c>
      <c r="AM85" s="288">
        <f t="shared" si="58"/>
        <v>0</v>
      </c>
      <c r="AN85" s="288">
        <f t="shared" si="58"/>
        <v>0</v>
      </c>
      <c r="AO85" s="288">
        <f t="shared" si="58"/>
        <v>0</v>
      </c>
      <c r="AP85" s="288">
        <f t="shared" si="35"/>
        <v>0</v>
      </c>
      <c r="AQ85" s="288">
        <f t="shared" si="36"/>
        <v>0</v>
      </c>
      <c r="AR85" s="288">
        <f t="shared" si="37"/>
        <v>0</v>
      </c>
      <c r="AS85" s="288">
        <f t="shared" si="38"/>
        <v>0</v>
      </c>
      <c r="AT85" s="288">
        <f t="shared" si="89"/>
        <v>0</v>
      </c>
      <c r="AU85" s="288">
        <f t="shared" si="90"/>
        <v>0</v>
      </c>
      <c r="AV85" s="288">
        <f t="shared" si="83"/>
        <v>0</v>
      </c>
      <c r="AW85" s="288">
        <f t="shared" si="83"/>
        <v>0</v>
      </c>
      <c r="AX85" s="288">
        <f t="shared" si="83"/>
        <v>0</v>
      </c>
      <c r="AY85" s="288">
        <f t="shared" si="83"/>
        <v>0</v>
      </c>
      <c r="AZ85" s="288">
        <f t="shared" si="83"/>
        <v>0</v>
      </c>
      <c r="BA85" s="288">
        <f t="shared" si="83"/>
        <v>0</v>
      </c>
      <c r="BB85" s="288">
        <f t="shared" si="83"/>
        <v>0</v>
      </c>
      <c r="BC85" s="288">
        <f t="shared" si="83"/>
        <v>0</v>
      </c>
      <c r="BD85" s="288">
        <f t="shared" si="83"/>
        <v>0</v>
      </c>
      <c r="BE85" s="288">
        <f t="shared" si="83"/>
        <v>0</v>
      </c>
      <c r="BF85" s="288">
        <f t="shared" si="83"/>
        <v>0</v>
      </c>
      <c r="BG85" s="288">
        <f t="shared" si="83"/>
        <v>0</v>
      </c>
      <c r="BH85" s="288">
        <f t="shared" si="83"/>
        <v>0</v>
      </c>
      <c r="BI85" s="288">
        <f t="shared" si="41"/>
        <v>0</v>
      </c>
      <c r="BJ85" s="288">
        <f t="shared" si="41"/>
        <v>0</v>
      </c>
      <c r="BK85" s="288">
        <f t="shared" si="41"/>
        <v>0</v>
      </c>
      <c r="BL85" s="288">
        <f t="shared" si="41"/>
        <v>0</v>
      </c>
      <c r="BM85" s="288">
        <f t="shared" si="41"/>
        <v>0</v>
      </c>
      <c r="BN85" s="288">
        <f t="shared" si="41"/>
        <v>0</v>
      </c>
      <c r="BO85" s="288">
        <f t="shared" si="59"/>
        <v>0</v>
      </c>
      <c r="BP85" s="288">
        <f t="shared" si="59"/>
        <v>0</v>
      </c>
      <c r="BQ85" s="288">
        <f t="shared" si="59"/>
        <v>0</v>
      </c>
      <c r="BR85" s="288">
        <f t="shared" si="59"/>
        <v>0</v>
      </c>
      <c r="BS85" s="288">
        <f t="shared" si="59"/>
        <v>0</v>
      </c>
      <c r="BT85" s="288">
        <f t="shared" ref="BT85:CD108" si="94">IF(BT$2&gt;$B85,(IF(BT$2&lt;=$B86,(IF(AVERAGE($B85,$B86)&gt;BT$2,$A85,$A86)),0)),0)</f>
        <v>0</v>
      </c>
      <c r="BU85" s="288">
        <f t="shared" si="94"/>
        <v>0</v>
      </c>
      <c r="BV85" s="288">
        <f t="shared" si="94"/>
        <v>0</v>
      </c>
      <c r="BW85" s="288">
        <f t="shared" si="94"/>
        <v>0</v>
      </c>
      <c r="BX85" s="288">
        <f t="shared" si="94"/>
        <v>0</v>
      </c>
      <c r="BY85" s="288">
        <f t="shared" si="94"/>
        <v>0</v>
      </c>
      <c r="BZ85" s="288">
        <f t="shared" si="94"/>
        <v>0</v>
      </c>
      <c r="CA85" s="288">
        <f t="shared" si="94"/>
        <v>0</v>
      </c>
      <c r="CB85" s="288">
        <f t="shared" si="94"/>
        <v>0</v>
      </c>
      <c r="CC85" s="288">
        <f t="shared" si="94"/>
        <v>0</v>
      </c>
      <c r="CD85" s="288">
        <f t="shared" si="94"/>
        <v>0</v>
      </c>
      <c r="CE85" s="288">
        <f t="shared" si="93"/>
        <v>0</v>
      </c>
      <c r="CF85" s="288">
        <f t="shared" si="93"/>
        <v>0</v>
      </c>
      <c r="CG85" s="288">
        <f t="shared" si="93"/>
        <v>82</v>
      </c>
      <c r="CH85" s="288">
        <f t="shared" si="93"/>
        <v>0</v>
      </c>
      <c r="CI85" s="288">
        <f t="shared" si="93"/>
        <v>0</v>
      </c>
      <c r="CJ85" s="288">
        <f t="shared" si="93"/>
        <v>0</v>
      </c>
      <c r="CK85" s="288">
        <f t="shared" si="93"/>
        <v>0</v>
      </c>
      <c r="CL85" s="288">
        <f t="shared" si="93"/>
        <v>0</v>
      </c>
      <c r="CM85" s="288">
        <f t="shared" si="91"/>
        <v>0</v>
      </c>
      <c r="CN85" s="288">
        <f t="shared" si="91"/>
        <v>0</v>
      </c>
      <c r="CO85" s="288">
        <f t="shared" si="91"/>
        <v>0</v>
      </c>
      <c r="CP85" s="288">
        <f t="shared" si="91"/>
        <v>0</v>
      </c>
      <c r="CQ85" s="288">
        <f t="shared" si="80"/>
        <v>0</v>
      </c>
      <c r="CR85" s="288">
        <f t="shared" si="81"/>
        <v>0</v>
      </c>
      <c r="CS85" s="288">
        <f t="shared" si="82"/>
        <v>0</v>
      </c>
      <c r="CT85" s="288">
        <f t="shared" ref="CT85:CT109" si="95">IF(CT$2&gt;$B85,(IF(CT$2&lt;=$B86,(IF(AVERAGE($B85,$B86)&gt;CT$2,$A85,$A86)),0)),0)</f>
        <v>0</v>
      </c>
      <c r="CU85" s="288">
        <f t="shared" si="84"/>
        <v>0</v>
      </c>
      <c r="CV85" s="288">
        <f t="shared" si="29"/>
        <v>0</v>
      </c>
      <c r="CW85" s="288">
        <f t="shared" si="29"/>
        <v>0</v>
      </c>
      <c r="CX85" s="288">
        <f t="shared" si="21"/>
        <v>0</v>
      </c>
      <c r="CY85" s="288">
        <f t="shared" si="21"/>
        <v>0</v>
      </c>
      <c r="CZ85" s="288">
        <f t="shared" si="21"/>
        <v>0</v>
      </c>
      <c r="DA85" s="288">
        <f t="shared" si="21"/>
        <v>0</v>
      </c>
      <c r="DB85" s="288">
        <f t="shared" si="33"/>
        <v>0</v>
      </c>
      <c r="DC85" s="288">
        <f t="shared" si="33"/>
        <v>0</v>
      </c>
      <c r="DD85" s="288">
        <f t="shared" si="33"/>
        <v>0</v>
      </c>
      <c r="DE85" s="288">
        <f t="shared" si="33"/>
        <v>0</v>
      </c>
      <c r="DG85" s="314">
        <f t="shared" si="60"/>
        <v>82</v>
      </c>
      <c r="DH85" s="289">
        <f>MAX(CG$3:CG$109)</f>
        <v>82</v>
      </c>
      <c r="DJ85" s="288">
        <f>LOOKUP(DH85, 'Mortality Table'!A:A,('Mortality Table'!J:J/'Mortality Table'!I:I))</f>
        <v>9.3365369636160628E-2</v>
      </c>
      <c r="DK85" s="288">
        <f>LOOKUP(A85, 'Mortality Table'!A:A,('Mortality Table'!J:J/'Mortality Table'!I:I))</f>
        <v>9.3365369636160628E-2</v>
      </c>
      <c r="DL85" s="288">
        <f t="shared" si="61"/>
        <v>0</v>
      </c>
      <c r="DN85" s="288">
        <f>LOOKUP(DH85, 'Mortality Table'!A:A,('Mortality Table'!L:L/'Mortality Table'!K:K))</f>
        <v>9.4575338507182194E-2</v>
      </c>
      <c r="DO85" s="288">
        <f>LOOKUP(A85, 'Mortality Table'!A:A,('Mortality Table'!L:L/'Mortality Table'!K:K))</f>
        <v>9.4575338507182194E-2</v>
      </c>
      <c r="DP85" s="288">
        <f t="shared" si="62"/>
        <v>0</v>
      </c>
      <c r="DR85" s="288">
        <f>LOOKUP(DH85, 'Mortality Table'!A:A,('Mortality Table'!N:N/'Mortality Table'!M:M))</f>
        <v>9.6700892408264988E-2</v>
      </c>
      <c r="DS85" s="288">
        <f>LOOKUP(A85, 'Mortality Table'!A:A,('Mortality Table'!N:N/'Mortality Table'!M:M))</f>
        <v>9.6700892408264988E-2</v>
      </c>
      <c r="DT85" s="288">
        <f t="shared" si="63"/>
        <v>0</v>
      </c>
    </row>
    <row r="86" spans="1:124">
      <c r="A86" s="288">
        <v>83</v>
      </c>
      <c r="B86" s="288">
        <v>0.11149897330595483</v>
      </c>
      <c r="C86" s="288">
        <f t="shared" si="85"/>
        <v>0</v>
      </c>
      <c r="D86" s="288">
        <f t="shared" si="85"/>
        <v>0</v>
      </c>
      <c r="E86" s="288">
        <f t="shared" si="85"/>
        <v>0</v>
      </c>
      <c r="F86" s="288">
        <f t="shared" si="85"/>
        <v>0</v>
      </c>
      <c r="G86" s="288">
        <f t="shared" si="85"/>
        <v>0</v>
      </c>
      <c r="H86" s="288">
        <f t="shared" si="85"/>
        <v>0</v>
      </c>
      <c r="I86" s="288">
        <f t="shared" si="85"/>
        <v>0</v>
      </c>
      <c r="J86" s="288">
        <f t="shared" si="85"/>
        <v>0</v>
      </c>
      <c r="K86" s="288">
        <f t="shared" si="85"/>
        <v>0</v>
      </c>
      <c r="L86" s="288">
        <f t="shared" si="85"/>
        <v>0</v>
      </c>
      <c r="M86" s="288">
        <f t="shared" si="85"/>
        <v>0</v>
      </c>
      <c r="N86" s="288">
        <f t="shared" si="85"/>
        <v>0</v>
      </c>
      <c r="O86" s="288">
        <f t="shared" si="85"/>
        <v>0</v>
      </c>
      <c r="P86" s="288">
        <f t="shared" si="85"/>
        <v>0</v>
      </c>
      <c r="Q86" s="288">
        <f t="shared" si="85"/>
        <v>0</v>
      </c>
      <c r="R86" s="288">
        <f t="shared" si="85"/>
        <v>0</v>
      </c>
      <c r="S86" s="288">
        <f t="shared" si="92"/>
        <v>0</v>
      </c>
      <c r="T86" s="288">
        <f t="shared" si="92"/>
        <v>0</v>
      </c>
      <c r="U86" s="288">
        <f t="shared" si="92"/>
        <v>0</v>
      </c>
      <c r="V86" s="288">
        <f t="shared" si="92"/>
        <v>0</v>
      </c>
      <c r="W86" s="288">
        <f t="shared" si="92"/>
        <v>0</v>
      </c>
      <c r="X86" s="288">
        <f t="shared" si="92"/>
        <v>0</v>
      </c>
      <c r="Y86" s="288">
        <f t="shared" si="92"/>
        <v>0</v>
      </c>
      <c r="Z86" s="288">
        <f t="shared" si="92"/>
        <v>0</v>
      </c>
      <c r="AA86" s="288">
        <f t="shared" si="92"/>
        <v>0</v>
      </c>
      <c r="AB86" s="288">
        <f t="shared" si="92"/>
        <v>0</v>
      </c>
      <c r="AC86" s="288">
        <f t="shared" si="92"/>
        <v>0</v>
      </c>
      <c r="AD86" s="288">
        <f t="shared" si="92"/>
        <v>0</v>
      </c>
      <c r="AE86" s="288">
        <f t="shared" si="92"/>
        <v>0</v>
      </c>
      <c r="AF86" s="288">
        <f t="shared" si="92"/>
        <v>0</v>
      </c>
      <c r="AG86" s="288">
        <f t="shared" si="92"/>
        <v>0</v>
      </c>
      <c r="AH86" s="288">
        <f t="shared" si="88"/>
        <v>0</v>
      </c>
      <c r="AI86" s="288">
        <f t="shared" si="58"/>
        <v>0</v>
      </c>
      <c r="AJ86" s="288">
        <f t="shared" si="58"/>
        <v>0</v>
      </c>
      <c r="AK86" s="288">
        <f t="shared" si="58"/>
        <v>0</v>
      </c>
      <c r="AL86" s="288">
        <f t="shared" si="58"/>
        <v>0</v>
      </c>
      <c r="AM86" s="288">
        <f t="shared" si="58"/>
        <v>0</v>
      </c>
      <c r="AN86" s="288">
        <f t="shared" si="58"/>
        <v>0</v>
      </c>
      <c r="AO86" s="288">
        <f t="shared" si="58"/>
        <v>0</v>
      </c>
      <c r="AP86" s="288">
        <f t="shared" si="35"/>
        <v>0</v>
      </c>
      <c r="AQ86" s="288">
        <f t="shared" si="36"/>
        <v>0</v>
      </c>
      <c r="AR86" s="288">
        <f t="shared" si="37"/>
        <v>0</v>
      </c>
      <c r="AS86" s="288">
        <f t="shared" si="38"/>
        <v>0</v>
      </c>
      <c r="AT86" s="288">
        <f t="shared" si="89"/>
        <v>0</v>
      </c>
      <c r="AU86" s="288">
        <f t="shared" si="90"/>
        <v>0</v>
      </c>
      <c r="AV86" s="288">
        <f t="shared" si="83"/>
        <v>0</v>
      </c>
      <c r="AW86" s="288">
        <f t="shared" si="83"/>
        <v>0</v>
      </c>
      <c r="AX86" s="288">
        <f t="shared" si="83"/>
        <v>0</v>
      </c>
      <c r="AY86" s="288">
        <f t="shared" si="83"/>
        <v>0</v>
      </c>
      <c r="AZ86" s="288">
        <f t="shared" si="83"/>
        <v>0</v>
      </c>
      <c r="BA86" s="288">
        <f t="shared" si="83"/>
        <v>0</v>
      </c>
      <c r="BB86" s="288">
        <f t="shared" si="83"/>
        <v>0</v>
      </c>
      <c r="BC86" s="288">
        <f t="shared" si="83"/>
        <v>0</v>
      </c>
      <c r="BD86" s="288">
        <f t="shared" si="83"/>
        <v>0</v>
      </c>
      <c r="BE86" s="288">
        <f t="shared" si="83"/>
        <v>0</v>
      </c>
      <c r="BF86" s="288">
        <f t="shared" si="83"/>
        <v>0</v>
      </c>
      <c r="BG86" s="288">
        <f t="shared" si="83"/>
        <v>0</v>
      </c>
      <c r="BH86" s="288">
        <f t="shared" si="83"/>
        <v>0</v>
      </c>
      <c r="BI86" s="288">
        <f t="shared" si="41"/>
        <v>0</v>
      </c>
      <c r="BJ86" s="288">
        <f t="shared" si="41"/>
        <v>0</v>
      </c>
      <c r="BK86" s="288">
        <f t="shared" si="41"/>
        <v>0</v>
      </c>
      <c r="BL86" s="288">
        <f t="shared" si="41"/>
        <v>0</v>
      </c>
      <c r="BM86" s="288">
        <f t="shared" si="41"/>
        <v>0</v>
      </c>
      <c r="BN86" s="288">
        <f t="shared" si="41"/>
        <v>0</v>
      </c>
      <c r="BO86" s="288">
        <f t="shared" si="41"/>
        <v>0</v>
      </c>
      <c r="BP86" s="288">
        <f t="shared" si="41"/>
        <v>0</v>
      </c>
      <c r="BQ86" s="288">
        <f t="shared" si="41"/>
        <v>0</v>
      </c>
      <c r="BR86" s="288">
        <f t="shared" si="41"/>
        <v>0</v>
      </c>
      <c r="BS86" s="288">
        <f t="shared" si="41"/>
        <v>0</v>
      </c>
      <c r="BT86" s="288">
        <f t="shared" si="94"/>
        <v>0</v>
      </c>
      <c r="BU86" s="288">
        <f t="shared" si="94"/>
        <v>0</v>
      </c>
      <c r="BV86" s="288">
        <f t="shared" si="94"/>
        <v>0</v>
      </c>
      <c r="BW86" s="288">
        <f t="shared" si="94"/>
        <v>0</v>
      </c>
      <c r="BX86" s="288">
        <f t="shared" si="94"/>
        <v>0</v>
      </c>
      <c r="BY86" s="288">
        <f t="shared" si="94"/>
        <v>0</v>
      </c>
      <c r="BZ86" s="288">
        <f t="shared" si="94"/>
        <v>0</v>
      </c>
      <c r="CA86" s="288">
        <f t="shared" si="94"/>
        <v>0</v>
      </c>
      <c r="CB86" s="288">
        <f t="shared" si="94"/>
        <v>0</v>
      </c>
      <c r="CC86" s="288">
        <f t="shared" si="94"/>
        <v>0</v>
      </c>
      <c r="CD86" s="288">
        <f t="shared" si="94"/>
        <v>0</v>
      </c>
      <c r="CE86" s="288">
        <f t="shared" si="93"/>
        <v>0</v>
      </c>
      <c r="CF86" s="288">
        <f t="shared" si="93"/>
        <v>0</v>
      </c>
      <c r="CG86" s="288">
        <f t="shared" si="93"/>
        <v>0</v>
      </c>
      <c r="CH86" s="288">
        <f t="shared" si="93"/>
        <v>83</v>
      </c>
      <c r="CI86" s="288">
        <f t="shared" si="93"/>
        <v>0</v>
      </c>
      <c r="CJ86" s="288">
        <f t="shared" si="93"/>
        <v>0</v>
      </c>
      <c r="CK86" s="288">
        <f t="shared" si="93"/>
        <v>0</v>
      </c>
      <c r="CL86" s="288">
        <f t="shared" si="93"/>
        <v>0</v>
      </c>
      <c r="CM86" s="288">
        <f t="shared" si="91"/>
        <v>0</v>
      </c>
      <c r="CN86" s="288">
        <f t="shared" si="91"/>
        <v>0</v>
      </c>
      <c r="CO86" s="288">
        <f t="shared" si="91"/>
        <v>0</v>
      </c>
      <c r="CP86" s="288">
        <f t="shared" si="91"/>
        <v>0</v>
      </c>
      <c r="CQ86" s="288">
        <f t="shared" si="80"/>
        <v>0</v>
      </c>
      <c r="CR86" s="288">
        <f t="shared" si="81"/>
        <v>0</v>
      </c>
      <c r="CS86" s="288">
        <f t="shared" si="82"/>
        <v>0</v>
      </c>
      <c r="CT86" s="288">
        <f t="shared" si="95"/>
        <v>0</v>
      </c>
      <c r="CU86" s="288">
        <f t="shared" si="84"/>
        <v>0</v>
      </c>
      <c r="CV86" s="288">
        <f t="shared" si="29"/>
        <v>0</v>
      </c>
      <c r="CW86" s="288">
        <f t="shared" si="29"/>
        <v>0</v>
      </c>
      <c r="CX86" s="288">
        <f t="shared" si="21"/>
        <v>0</v>
      </c>
      <c r="CY86" s="288">
        <f t="shared" si="21"/>
        <v>0</v>
      </c>
      <c r="CZ86" s="288">
        <f t="shared" si="21"/>
        <v>0</v>
      </c>
      <c r="DA86" s="288">
        <f t="shared" si="21"/>
        <v>0</v>
      </c>
      <c r="DB86" s="288">
        <f t="shared" si="33"/>
        <v>0</v>
      </c>
      <c r="DC86" s="288">
        <f t="shared" si="33"/>
        <v>0</v>
      </c>
      <c r="DD86" s="288">
        <f t="shared" si="33"/>
        <v>0</v>
      </c>
      <c r="DE86" s="288">
        <f t="shared" si="33"/>
        <v>0</v>
      </c>
      <c r="DG86" s="314">
        <f t="shared" si="60"/>
        <v>83</v>
      </c>
      <c r="DH86" s="289">
        <f>MAX(CH$3:CH$109)</f>
        <v>83</v>
      </c>
      <c r="DJ86" s="288">
        <f>LOOKUP(DH86, 'Mortality Table'!A:A,('Mortality Table'!J:J/'Mortality Table'!I:I))</f>
        <v>0.10264312474718483</v>
      </c>
      <c r="DK86" s="288">
        <f>LOOKUP(A86, 'Mortality Table'!A:A,('Mortality Table'!J:J/'Mortality Table'!I:I))</f>
        <v>0.10264312474718483</v>
      </c>
      <c r="DL86" s="288">
        <f t="shared" si="61"/>
        <v>0</v>
      </c>
      <c r="DN86" s="288">
        <f>LOOKUP(DH86, 'Mortality Table'!A:A,('Mortality Table'!L:L/'Mortality Table'!K:K))</f>
        <v>0.10397332872166105</v>
      </c>
      <c r="DO86" s="288">
        <f>LOOKUP(A86, 'Mortality Table'!A:A,('Mortality Table'!L:L/'Mortality Table'!K:K))</f>
        <v>0.10397332872166105</v>
      </c>
      <c r="DP86" s="288">
        <f t="shared" si="62"/>
        <v>0</v>
      </c>
      <c r="DR86" s="288">
        <f>LOOKUP(DH86, 'Mortality Table'!A:A,('Mortality Table'!N:N/'Mortality Table'!M:M))</f>
        <v>0.10631009978652083</v>
      </c>
      <c r="DS86" s="288">
        <f>LOOKUP(A86, 'Mortality Table'!A:A,('Mortality Table'!N:N/'Mortality Table'!M:M))</f>
        <v>0.10631009978652083</v>
      </c>
      <c r="DT86" s="288">
        <f t="shared" si="63"/>
        <v>0</v>
      </c>
    </row>
    <row r="87" spans="1:124">
      <c r="A87" s="288">
        <v>84</v>
      </c>
      <c r="B87" s="288">
        <v>0.12256374701486789</v>
      </c>
      <c r="C87" s="288">
        <f t="shared" si="85"/>
        <v>0</v>
      </c>
      <c r="D87" s="288">
        <f t="shared" si="85"/>
        <v>0</v>
      </c>
      <c r="E87" s="288">
        <f t="shared" si="85"/>
        <v>0</v>
      </c>
      <c r="F87" s="288">
        <f t="shared" si="85"/>
        <v>0</v>
      </c>
      <c r="G87" s="288">
        <f t="shared" si="85"/>
        <v>0</v>
      </c>
      <c r="H87" s="288">
        <f t="shared" si="85"/>
        <v>0</v>
      </c>
      <c r="I87" s="288">
        <f t="shared" si="85"/>
        <v>0</v>
      </c>
      <c r="J87" s="288">
        <f t="shared" si="85"/>
        <v>0</v>
      </c>
      <c r="K87" s="288">
        <f t="shared" si="85"/>
        <v>0</v>
      </c>
      <c r="L87" s="288">
        <f t="shared" si="85"/>
        <v>0</v>
      </c>
      <c r="M87" s="288">
        <f t="shared" si="85"/>
        <v>0</v>
      </c>
      <c r="N87" s="288">
        <f t="shared" si="85"/>
        <v>0</v>
      </c>
      <c r="O87" s="288">
        <f t="shared" si="85"/>
        <v>0</v>
      </c>
      <c r="P87" s="288">
        <f t="shared" si="85"/>
        <v>0</v>
      </c>
      <c r="Q87" s="288">
        <f t="shared" si="85"/>
        <v>0</v>
      </c>
      <c r="R87" s="288">
        <f t="shared" si="85"/>
        <v>0</v>
      </c>
      <c r="S87" s="288">
        <f t="shared" si="92"/>
        <v>0</v>
      </c>
      <c r="T87" s="288">
        <f t="shared" si="92"/>
        <v>0</v>
      </c>
      <c r="U87" s="288">
        <f t="shared" si="92"/>
        <v>0</v>
      </c>
      <c r="V87" s="288">
        <f t="shared" si="92"/>
        <v>0</v>
      </c>
      <c r="W87" s="288">
        <f t="shared" si="92"/>
        <v>0</v>
      </c>
      <c r="X87" s="288">
        <f t="shared" si="92"/>
        <v>0</v>
      </c>
      <c r="Y87" s="288">
        <f t="shared" si="92"/>
        <v>0</v>
      </c>
      <c r="Z87" s="288">
        <f t="shared" si="92"/>
        <v>0</v>
      </c>
      <c r="AA87" s="288">
        <f t="shared" si="92"/>
        <v>0</v>
      </c>
      <c r="AB87" s="288">
        <f t="shared" si="92"/>
        <v>0</v>
      </c>
      <c r="AC87" s="288">
        <f t="shared" si="92"/>
        <v>0</v>
      </c>
      <c r="AD87" s="288">
        <f t="shared" si="92"/>
        <v>0</v>
      </c>
      <c r="AE87" s="288">
        <f t="shared" si="92"/>
        <v>0</v>
      </c>
      <c r="AF87" s="288">
        <f t="shared" si="92"/>
        <v>0</v>
      </c>
      <c r="AG87" s="288">
        <f t="shared" si="92"/>
        <v>0</v>
      </c>
      <c r="AH87" s="288">
        <f t="shared" si="88"/>
        <v>0</v>
      </c>
      <c r="AI87" s="288">
        <f t="shared" si="58"/>
        <v>0</v>
      </c>
      <c r="AJ87" s="288">
        <f t="shared" si="58"/>
        <v>0</v>
      </c>
      <c r="AK87" s="288">
        <f t="shared" si="58"/>
        <v>0</v>
      </c>
      <c r="AL87" s="288">
        <f t="shared" si="58"/>
        <v>0</v>
      </c>
      <c r="AM87" s="288">
        <f t="shared" si="58"/>
        <v>0</v>
      </c>
      <c r="AN87" s="288">
        <f t="shared" si="58"/>
        <v>0</v>
      </c>
      <c r="AO87" s="288">
        <f t="shared" si="58"/>
        <v>0</v>
      </c>
      <c r="AP87" s="288">
        <f t="shared" si="35"/>
        <v>0</v>
      </c>
      <c r="AQ87" s="288">
        <f t="shared" si="36"/>
        <v>0</v>
      </c>
      <c r="AR87" s="288">
        <f t="shared" si="37"/>
        <v>0</v>
      </c>
      <c r="AS87" s="288">
        <f t="shared" si="38"/>
        <v>0</v>
      </c>
      <c r="AT87" s="288">
        <f t="shared" si="89"/>
        <v>0</v>
      </c>
      <c r="AU87" s="288">
        <f t="shared" si="90"/>
        <v>0</v>
      </c>
      <c r="AV87" s="288">
        <f t="shared" si="83"/>
        <v>0</v>
      </c>
      <c r="AW87" s="288">
        <f t="shared" si="83"/>
        <v>0</v>
      </c>
      <c r="AX87" s="288">
        <f t="shared" si="83"/>
        <v>0</v>
      </c>
      <c r="AY87" s="288">
        <f t="shared" si="83"/>
        <v>0</v>
      </c>
      <c r="AZ87" s="288">
        <f t="shared" si="83"/>
        <v>0</v>
      </c>
      <c r="BA87" s="288">
        <f t="shared" si="83"/>
        <v>0</v>
      </c>
      <c r="BB87" s="288">
        <f t="shared" si="83"/>
        <v>0</v>
      </c>
      <c r="BC87" s="288">
        <f t="shared" si="83"/>
        <v>0</v>
      </c>
      <c r="BD87" s="288">
        <f t="shared" si="83"/>
        <v>0</v>
      </c>
      <c r="BE87" s="288">
        <f t="shared" si="83"/>
        <v>0</v>
      </c>
      <c r="BF87" s="288">
        <f t="shared" si="83"/>
        <v>0</v>
      </c>
      <c r="BG87" s="288">
        <f t="shared" si="83"/>
        <v>0</v>
      </c>
      <c r="BH87" s="288">
        <f t="shared" si="83"/>
        <v>0</v>
      </c>
      <c r="BI87" s="288">
        <f t="shared" si="41"/>
        <v>0</v>
      </c>
      <c r="BJ87" s="288">
        <f t="shared" si="41"/>
        <v>0</v>
      </c>
      <c r="BK87" s="288">
        <f t="shared" si="41"/>
        <v>0</v>
      </c>
      <c r="BL87" s="288">
        <f t="shared" si="41"/>
        <v>0</v>
      </c>
      <c r="BM87" s="288">
        <f t="shared" si="41"/>
        <v>0</v>
      </c>
      <c r="BN87" s="288">
        <f t="shared" si="41"/>
        <v>0</v>
      </c>
      <c r="BO87" s="288">
        <f t="shared" si="41"/>
        <v>0</v>
      </c>
      <c r="BP87" s="288">
        <f t="shared" si="41"/>
        <v>0</v>
      </c>
      <c r="BQ87" s="288">
        <f t="shared" si="41"/>
        <v>0</v>
      </c>
      <c r="BR87" s="288">
        <f t="shared" si="41"/>
        <v>0</v>
      </c>
      <c r="BS87" s="288">
        <f t="shared" si="41"/>
        <v>0</v>
      </c>
      <c r="BT87" s="288">
        <f t="shared" si="94"/>
        <v>0</v>
      </c>
      <c r="BU87" s="288">
        <f t="shared" si="94"/>
        <v>0</v>
      </c>
      <c r="BV87" s="288">
        <f t="shared" si="94"/>
        <v>0</v>
      </c>
      <c r="BW87" s="288">
        <f t="shared" si="94"/>
        <v>0</v>
      </c>
      <c r="BX87" s="288">
        <f t="shared" si="94"/>
        <v>0</v>
      </c>
      <c r="BY87" s="288">
        <f t="shared" si="94"/>
        <v>0</v>
      </c>
      <c r="BZ87" s="288">
        <f t="shared" si="94"/>
        <v>0</v>
      </c>
      <c r="CA87" s="288">
        <f t="shared" si="94"/>
        <v>0</v>
      </c>
      <c r="CB87" s="288">
        <f t="shared" si="94"/>
        <v>0</v>
      </c>
      <c r="CC87" s="288">
        <f t="shared" si="94"/>
        <v>0</v>
      </c>
      <c r="CD87" s="288">
        <f t="shared" si="94"/>
        <v>0</v>
      </c>
      <c r="CE87" s="288">
        <f t="shared" si="93"/>
        <v>0</v>
      </c>
      <c r="CF87" s="288">
        <f t="shared" si="93"/>
        <v>0</v>
      </c>
      <c r="CG87" s="288">
        <f t="shared" si="93"/>
        <v>0</v>
      </c>
      <c r="CH87" s="288">
        <f t="shared" si="93"/>
        <v>0</v>
      </c>
      <c r="CI87" s="288">
        <f t="shared" si="93"/>
        <v>84</v>
      </c>
      <c r="CJ87" s="288">
        <f t="shared" si="93"/>
        <v>0</v>
      </c>
      <c r="CK87" s="288">
        <f t="shared" si="93"/>
        <v>0</v>
      </c>
      <c r="CL87" s="288">
        <f t="shared" si="93"/>
        <v>0</v>
      </c>
      <c r="CM87" s="288">
        <f t="shared" si="91"/>
        <v>0</v>
      </c>
      <c r="CN87" s="288">
        <f t="shared" si="91"/>
        <v>0</v>
      </c>
      <c r="CO87" s="288">
        <f t="shared" si="91"/>
        <v>0</v>
      </c>
      <c r="CP87" s="288">
        <f t="shared" si="91"/>
        <v>0</v>
      </c>
      <c r="CQ87" s="288">
        <f t="shared" si="80"/>
        <v>0</v>
      </c>
      <c r="CR87" s="288">
        <f t="shared" si="81"/>
        <v>0</v>
      </c>
      <c r="CS87" s="288">
        <f t="shared" si="82"/>
        <v>0</v>
      </c>
      <c r="CT87" s="288">
        <f t="shared" si="95"/>
        <v>0</v>
      </c>
      <c r="CU87" s="288">
        <f t="shared" si="84"/>
        <v>0</v>
      </c>
      <c r="CV87" s="288">
        <f t="shared" si="29"/>
        <v>0</v>
      </c>
      <c r="CW87" s="288">
        <f t="shared" si="29"/>
        <v>0</v>
      </c>
      <c r="CX87" s="288">
        <f t="shared" si="21"/>
        <v>0</v>
      </c>
      <c r="CY87" s="288">
        <f t="shared" si="21"/>
        <v>0</v>
      </c>
      <c r="CZ87" s="288">
        <f t="shared" si="21"/>
        <v>0</v>
      </c>
      <c r="DA87" s="288">
        <f t="shared" si="21"/>
        <v>0</v>
      </c>
      <c r="DB87" s="288">
        <f t="shared" si="33"/>
        <v>0</v>
      </c>
      <c r="DC87" s="288">
        <f t="shared" si="33"/>
        <v>0</v>
      </c>
      <c r="DD87" s="288">
        <f t="shared" si="33"/>
        <v>0</v>
      </c>
      <c r="DE87" s="288">
        <f t="shared" si="33"/>
        <v>0</v>
      </c>
      <c r="DG87" s="314">
        <f t="shared" si="60"/>
        <v>84</v>
      </c>
      <c r="DH87" s="289">
        <f>MAX(CI$3:CI$109)</f>
        <v>84</v>
      </c>
      <c r="DJ87" s="288">
        <f>LOOKUP(DH87, 'Mortality Table'!A:A,('Mortality Table'!J:J/'Mortality Table'!I:I))</f>
        <v>0.11282907457639878</v>
      </c>
      <c r="DK87" s="288">
        <f>LOOKUP(A87, 'Mortality Table'!A:A,('Mortality Table'!J:J/'Mortality Table'!I:I))</f>
        <v>0.11282907457639878</v>
      </c>
      <c r="DL87" s="288">
        <f t="shared" si="61"/>
        <v>0</v>
      </c>
      <c r="DN87" s="288">
        <f>LOOKUP(DH87, 'Mortality Table'!A:A,('Mortality Table'!L:L/'Mortality Table'!K:K))</f>
        <v>0.11429128340731341</v>
      </c>
      <c r="DO87" s="288">
        <f>LOOKUP(A87, 'Mortality Table'!A:A,('Mortality Table'!L:L/'Mortality Table'!K:K))</f>
        <v>0.11429128340731341</v>
      </c>
      <c r="DP87" s="288">
        <f t="shared" si="62"/>
        <v>0</v>
      </c>
      <c r="DR87" s="288">
        <f>LOOKUP(DH87, 'Mortality Table'!A:A,('Mortality Table'!N:N/'Mortality Table'!M:M))</f>
        <v>0.11685994757643754</v>
      </c>
      <c r="DS87" s="288">
        <f>LOOKUP(A87, 'Mortality Table'!A:A,('Mortality Table'!N:N/'Mortality Table'!M:M))</f>
        <v>0.11685994757643754</v>
      </c>
      <c r="DT87" s="288">
        <f t="shared" si="63"/>
        <v>0</v>
      </c>
    </row>
    <row r="88" spans="1:124">
      <c r="A88" s="288">
        <v>85</v>
      </c>
      <c r="B88" s="288">
        <v>0.13410886742756803</v>
      </c>
      <c r="C88" s="288">
        <f t="shared" si="85"/>
        <v>0</v>
      </c>
      <c r="D88" s="288">
        <f t="shared" si="85"/>
        <v>0</v>
      </c>
      <c r="E88" s="288">
        <f t="shared" si="85"/>
        <v>0</v>
      </c>
      <c r="F88" s="288">
        <f t="shared" si="85"/>
        <v>0</v>
      </c>
      <c r="G88" s="288">
        <f t="shared" si="85"/>
        <v>0</v>
      </c>
      <c r="H88" s="288">
        <f t="shared" si="85"/>
        <v>0</v>
      </c>
      <c r="I88" s="288">
        <f t="shared" si="85"/>
        <v>0</v>
      </c>
      <c r="J88" s="288">
        <f t="shared" si="85"/>
        <v>0</v>
      </c>
      <c r="K88" s="288">
        <f t="shared" si="85"/>
        <v>0</v>
      </c>
      <c r="L88" s="288">
        <f t="shared" si="85"/>
        <v>0</v>
      </c>
      <c r="M88" s="288">
        <f t="shared" si="85"/>
        <v>0</v>
      </c>
      <c r="N88" s="288">
        <f t="shared" si="85"/>
        <v>0</v>
      </c>
      <c r="O88" s="288">
        <f t="shared" si="85"/>
        <v>0</v>
      </c>
      <c r="P88" s="288">
        <f t="shared" si="85"/>
        <v>0</v>
      </c>
      <c r="Q88" s="288">
        <f t="shared" si="85"/>
        <v>0</v>
      </c>
      <c r="R88" s="288">
        <f t="shared" si="85"/>
        <v>0</v>
      </c>
      <c r="S88" s="288">
        <f t="shared" si="92"/>
        <v>0</v>
      </c>
      <c r="T88" s="288">
        <f t="shared" si="92"/>
        <v>0</v>
      </c>
      <c r="U88" s="288">
        <f t="shared" si="92"/>
        <v>0</v>
      </c>
      <c r="V88" s="288">
        <f t="shared" si="92"/>
        <v>0</v>
      </c>
      <c r="W88" s="288">
        <f t="shared" si="92"/>
        <v>0</v>
      </c>
      <c r="X88" s="288">
        <f t="shared" si="92"/>
        <v>0</v>
      </c>
      <c r="Y88" s="288">
        <f t="shared" si="92"/>
        <v>0</v>
      </c>
      <c r="Z88" s="288">
        <f t="shared" si="92"/>
        <v>0</v>
      </c>
      <c r="AA88" s="288">
        <f t="shared" si="92"/>
        <v>0</v>
      </c>
      <c r="AB88" s="288">
        <f t="shared" si="92"/>
        <v>0</v>
      </c>
      <c r="AC88" s="288">
        <f t="shared" si="92"/>
        <v>0</v>
      </c>
      <c r="AD88" s="288">
        <f t="shared" si="92"/>
        <v>0</v>
      </c>
      <c r="AE88" s="288">
        <f t="shared" si="92"/>
        <v>0</v>
      </c>
      <c r="AF88" s="288">
        <f t="shared" si="92"/>
        <v>0</v>
      </c>
      <c r="AG88" s="288">
        <f t="shared" si="92"/>
        <v>0</v>
      </c>
      <c r="AH88" s="288">
        <f t="shared" si="88"/>
        <v>0</v>
      </c>
      <c r="AI88" s="288">
        <f t="shared" si="58"/>
        <v>0</v>
      </c>
      <c r="AJ88" s="288">
        <f t="shared" si="58"/>
        <v>0</v>
      </c>
      <c r="AK88" s="288">
        <f t="shared" si="58"/>
        <v>0</v>
      </c>
      <c r="AL88" s="288">
        <f t="shared" si="58"/>
        <v>0</v>
      </c>
      <c r="AM88" s="288">
        <f t="shared" si="58"/>
        <v>0</v>
      </c>
      <c r="AN88" s="288">
        <f t="shared" si="58"/>
        <v>0</v>
      </c>
      <c r="AO88" s="288">
        <f t="shared" si="58"/>
        <v>0</v>
      </c>
      <c r="AP88" s="288">
        <f t="shared" si="35"/>
        <v>0</v>
      </c>
      <c r="AQ88" s="288">
        <f t="shared" si="36"/>
        <v>0</v>
      </c>
      <c r="AR88" s="288">
        <f t="shared" si="37"/>
        <v>0</v>
      </c>
      <c r="AS88" s="288">
        <f t="shared" si="38"/>
        <v>0</v>
      </c>
      <c r="AT88" s="288">
        <f t="shared" si="89"/>
        <v>0</v>
      </c>
      <c r="AU88" s="288">
        <f t="shared" si="90"/>
        <v>0</v>
      </c>
      <c r="AV88" s="288">
        <f t="shared" si="83"/>
        <v>0</v>
      </c>
      <c r="AW88" s="288">
        <f t="shared" si="83"/>
        <v>0</v>
      </c>
      <c r="AX88" s="288">
        <f t="shared" si="83"/>
        <v>0</v>
      </c>
      <c r="AY88" s="288">
        <f t="shared" si="83"/>
        <v>0</v>
      </c>
      <c r="AZ88" s="288">
        <f t="shared" si="83"/>
        <v>0</v>
      </c>
      <c r="BA88" s="288">
        <f t="shared" si="83"/>
        <v>0</v>
      </c>
      <c r="BB88" s="288">
        <f t="shared" si="83"/>
        <v>0</v>
      </c>
      <c r="BC88" s="288">
        <f t="shared" si="83"/>
        <v>0</v>
      </c>
      <c r="BD88" s="288">
        <f t="shared" si="83"/>
        <v>0</v>
      </c>
      <c r="BE88" s="288">
        <f t="shared" si="83"/>
        <v>0</v>
      </c>
      <c r="BF88" s="288">
        <f t="shared" si="83"/>
        <v>0</v>
      </c>
      <c r="BG88" s="288">
        <f t="shared" si="83"/>
        <v>0</v>
      </c>
      <c r="BH88" s="288">
        <f t="shared" si="83"/>
        <v>0</v>
      </c>
      <c r="BI88" s="288">
        <f t="shared" si="41"/>
        <v>0</v>
      </c>
      <c r="BJ88" s="288">
        <f t="shared" si="41"/>
        <v>0</v>
      </c>
      <c r="BK88" s="288">
        <f t="shared" si="41"/>
        <v>0</v>
      </c>
      <c r="BL88" s="288">
        <f t="shared" si="41"/>
        <v>0</v>
      </c>
      <c r="BM88" s="288">
        <f t="shared" si="41"/>
        <v>0</v>
      </c>
      <c r="BN88" s="288">
        <f t="shared" si="41"/>
        <v>0</v>
      </c>
      <c r="BO88" s="288">
        <f t="shared" si="41"/>
        <v>0</v>
      </c>
      <c r="BP88" s="288">
        <f t="shared" si="41"/>
        <v>0</v>
      </c>
      <c r="BQ88" s="288">
        <f t="shared" si="41"/>
        <v>0</v>
      </c>
      <c r="BR88" s="288">
        <f t="shared" si="41"/>
        <v>0</v>
      </c>
      <c r="BS88" s="288">
        <f t="shared" si="41"/>
        <v>0</v>
      </c>
      <c r="BT88" s="288">
        <f t="shared" si="94"/>
        <v>0</v>
      </c>
      <c r="BU88" s="288">
        <f t="shared" si="94"/>
        <v>0</v>
      </c>
      <c r="BV88" s="288">
        <f t="shared" si="94"/>
        <v>0</v>
      </c>
      <c r="BW88" s="288">
        <f t="shared" si="94"/>
        <v>0</v>
      </c>
      <c r="BX88" s="288">
        <f t="shared" si="94"/>
        <v>0</v>
      </c>
      <c r="BY88" s="288">
        <f t="shared" si="94"/>
        <v>0</v>
      </c>
      <c r="BZ88" s="288">
        <f t="shared" si="94"/>
        <v>0</v>
      </c>
      <c r="CA88" s="288">
        <f t="shared" si="94"/>
        <v>0</v>
      </c>
      <c r="CB88" s="288">
        <f t="shared" si="94"/>
        <v>0</v>
      </c>
      <c r="CC88" s="288">
        <f t="shared" si="94"/>
        <v>0</v>
      </c>
      <c r="CD88" s="288">
        <f t="shared" si="94"/>
        <v>0</v>
      </c>
      <c r="CE88" s="288">
        <f t="shared" si="93"/>
        <v>0</v>
      </c>
      <c r="CF88" s="288">
        <f t="shared" si="93"/>
        <v>0</v>
      </c>
      <c r="CG88" s="288">
        <f t="shared" si="93"/>
        <v>0</v>
      </c>
      <c r="CH88" s="288">
        <f t="shared" si="93"/>
        <v>0</v>
      </c>
      <c r="CI88" s="288">
        <f t="shared" si="93"/>
        <v>0</v>
      </c>
      <c r="CJ88" s="288">
        <f t="shared" si="93"/>
        <v>85</v>
      </c>
      <c r="CK88" s="288">
        <f t="shared" si="93"/>
        <v>0</v>
      </c>
      <c r="CL88" s="288">
        <f t="shared" si="93"/>
        <v>0</v>
      </c>
      <c r="CM88" s="288">
        <f t="shared" si="91"/>
        <v>0</v>
      </c>
      <c r="CN88" s="288">
        <f t="shared" si="91"/>
        <v>0</v>
      </c>
      <c r="CO88" s="288">
        <f t="shared" si="91"/>
        <v>0</v>
      </c>
      <c r="CP88" s="288">
        <f t="shared" si="91"/>
        <v>0</v>
      </c>
      <c r="CQ88" s="288">
        <f t="shared" si="80"/>
        <v>0</v>
      </c>
      <c r="CR88" s="288">
        <f t="shared" si="81"/>
        <v>0</v>
      </c>
      <c r="CS88" s="288">
        <f t="shared" si="82"/>
        <v>0</v>
      </c>
      <c r="CT88" s="288">
        <f t="shared" si="95"/>
        <v>0</v>
      </c>
      <c r="CU88" s="288">
        <f t="shared" si="84"/>
        <v>0</v>
      </c>
      <c r="CV88" s="288">
        <f t="shared" si="29"/>
        <v>0</v>
      </c>
      <c r="CW88" s="288">
        <f t="shared" si="29"/>
        <v>0</v>
      </c>
      <c r="CX88" s="288">
        <f t="shared" si="29"/>
        <v>0</v>
      </c>
      <c r="CY88" s="288">
        <f t="shared" si="29"/>
        <v>0</v>
      </c>
      <c r="CZ88" s="288">
        <f t="shared" si="29"/>
        <v>0</v>
      </c>
      <c r="DA88" s="288">
        <f t="shared" si="29"/>
        <v>0</v>
      </c>
      <c r="DB88" s="288">
        <f t="shared" si="33"/>
        <v>0</v>
      </c>
      <c r="DC88" s="288">
        <f t="shared" si="33"/>
        <v>0</v>
      </c>
      <c r="DD88" s="288">
        <f t="shared" si="33"/>
        <v>0</v>
      </c>
      <c r="DE88" s="288">
        <f t="shared" si="33"/>
        <v>0</v>
      </c>
      <c r="DG88" s="314">
        <f t="shared" si="60"/>
        <v>85</v>
      </c>
      <c r="DH88" s="289">
        <f>MAX(CJ$3:CJ$109)</f>
        <v>85</v>
      </c>
      <c r="DJ88" s="288">
        <f>LOOKUP(DH88, 'Mortality Table'!A:A,('Mortality Table'!J:J/'Mortality Table'!I:I))</f>
        <v>0.12345721938891045</v>
      </c>
      <c r="DK88" s="288">
        <f>LOOKUP(A88, 'Mortality Table'!A:A,('Mortality Table'!J:J/'Mortality Table'!I:I))</f>
        <v>0.12345721938891045</v>
      </c>
      <c r="DL88" s="288">
        <f t="shared" si="61"/>
        <v>0</v>
      </c>
      <c r="DN88" s="288">
        <f>LOOKUP(DH88, 'Mortality Table'!A:A,('Mortality Table'!L:L/'Mortality Table'!K:K))</f>
        <v>0.12505716370386982</v>
      </c>
      <c r="DO88" s="288">
        <f>LOOKUP(A88, 'Mortality Table'!A:A,('Mortality Table'!L:L/'Mortality Table'!K:K))</f>
        <v>0.12505716370386982</v>
      </c>
      <c r="DP88" s="288">
        <f t="shared" si="62"/>
        <v>0</v>
      </c>
      <c r="DR88" s="288">
        <f>LOOKUP(DH88, 'Mortality Table'!A:A,('Mortality Table'!N:N/'Mortality Table'!M:M))</f>
        <v>0.12786778797828288</v>
      </c>
      <c r="DS88" s="288">
        <f>LOOKUP(A88, 'Mortality Table'!A:A,('Mortality Table'!N:N/'Mortality Table'!M:M))</f>
        <v>0.12786778797828288</v>
      </c>
      <c r="DT88" s="288">
        <f t="shared" si="63"/>
        <v>0</v>
      </c>
    </row>
    <row r="89" spans="1:124">
      <c r="A89" s="288">
        <v>86</v>
      </c>
      <c r="B89" s="288">
        <v>0.14610899873257288</v>
      </c>
      <c r="C89" s="288">
        <f t="shared" si="85"/>
        <v>0</v>
      </c>
      <c r="D89" s="288">
        <f t="shared" si="85"/>
        <v>0</v>
      </c>
      <c r="E89" s="288">
        <f t="shared" si="85"/>
        <v>0</v>
      </c>
      <c r="F89" s="288">
        <f t="shared" si="85"/>
        <v>0</v>
      </c>
      <c r="G89" s="288">
        <f t="shared" si="85"/>
        <v>0</v>
      </c>
      <c r="H89" s="288">
        <f t="shared" si="85"/>
        <v>0</v>
      </c>
      <c r="I89" s="288">
        <f t="shared" si="85"/>
        <v>0</v>
      </c>
      <c r="J89" s="288">
        <f t="shared" si="85"/>
        <v>0</v>
      </c>
      <c r="K89" s="288">
        <f t="shared" si="85"/>
        <v>0</v>
      </c>
      <c r="L89" s="288">
        <f t="shared" si="85"/>
        <v>0</v>
      </c>
      <c r="M89" s="288">
        <f t="shared" si="85"/>
        <v>0</v>
      </c>
      <c r="N89" s="288">
        <f t="shared" si="85"/>
        <v>0</v>
      </c>
      <c r="O89" s="288">
        <f t="shared" si="85"/>
        <v>0</v>
      </c>
      <c r="P89" s="288">
        <f t="shared" si="85"/>
        <v>0</v>
      </c>
      <c r="Q89" s="288">
        <f t="shared" si="85"/>
        <v>0</v>
      </c>
      <c r="R89" s="288">
        <f t="shared" si="85"/>
        <v>0</v>
      </c>
      <c r="S89" s="288">
        <f t="shared" si="92"/>
        <v>0</v>
      </c>
      <c r="T89" s="288">
        <f t="shared" si="92"/>
        <v>0</v>
      </c>
      <c r="U89" s="288">
        <f t="shared" si="92"/>
        <v>0</v>
      </c>
      <c r="V89" s="288">
        <f t="shared" si="92"/>
        <v>0</v>
      </c>
      <c r="W89" s="288">
        <f t="shared" si="92"/>
        <v>0</v>
      </c>
      <c r="X89" s="288">
        <f t="shared" si="92"/>
        <v>0</v>
      </c>
      <c r="Y89" s="288">
        <f t="shared" si="92"/>
        <v>0</v>
      </c>
      <c r="Z89" s="288">
        <f t="shared" si="92"/>
        <v>0</v>
      </c>
      <c r="AA89" s="288">
        <f t="shared" si="92"/>
        <v>0</v>
      </c>
      <c r="AB89" s="288">
        <f t="shared" si="92"/>
        <v>0</v>
      </c>
      <c r="AC89" s="288">
        <f t="shared" si="92"/>
        <v>0</v>
      </c>
      <c r="AD89" s="288">
        <f t="shared" si="92"/>
        <v>0</v>
      </c>
      <c r="AE89" s="288">
        <f t="shared" si="92"/>
        <v>0</v>
      </c>
      <c r="AF89" s="288">
        <f t="shared" si="92"/>
        <v>0</v>
      </c>
      <c r="AG89" s="288">
        <f t="shared" si="92"/>
        <v>0</v>
      </c>
      <c r="AH89" s="288">
        <f t="shared" si="88"/>
        <v>0</v>
      </c>
      <c r="AI89" s="288">
        <f t="shared" si="58"/>
        <v>0</v>
      </c>
      <c r="AJ89" s="288">
        <f t="shared" si="58"/>
        <v>0</v>
      </c>
      <c r="AK89" s="288">
        <f t="shared" si="58"/>
        <v>0</v>
      </c>
      <c r="AL89" s="288">
        <f t="shared" si="58"/>
        <v>0</v>
      </c>
      <c r="AM89" s="288">
        <f t="shared" si="58"/>
        <v>0</v>
      </c>
      <c r="AN89" s="288">
        <f t="shared" si="58"/>
        <v>0</v>
      </c>
      <c r="AO89" s="288">
        <f t="shared" si="58"/>
        <v>0</v>
      </c>
      <c r="AP89" s="288">
        <f t="shared" si="35"/>
        <v>0</v>
      </c>
      <c r="AQ89" s="288">
        <f t="shared" si="36"/>
        <v>0</v>
      </c>
      <c r="AR89" s="288">
        <f t="shared" si="37"/>
        <v>0</v>
      </c>
      <c r="AS89" s="288">
        <f t="shared" si="38"/>
        <v>0</v>
      </c>
      <c r="AT89" s="288">
        <f t="shared" si="89"/>
        <v>0</v>
      </c>
      <c r="AU89" s="288">
        <f t="shared" si="90"/>
        <v>0</v>
      </c>
      <c r="AV89" s="288">
        <f t="shared" si="83"/>
        <v>0</v>
      </c>
      <c r="AW89" s="288">
        <f t="shared" si="83"/>
        <v>0</v>
      </c>
      <c r="AX89" s="288">
        <f t="shared" si="83"/>
        <v>0</v>
      </c>
      <c r="AY89" s="288">
        <f t="shared" si="83"/>
        <v>0</v>
      </c>
      <c r="AZ89" s="288">
        <f t="shared" si="83"/>
        <v>0</v>
      </c>
      <c r="BA89" s="288">
        <f t="shared" si="83"/>
        <v>0</v>
      </c>
      <c r="BB89" s="288">
        <f t="shared" si="83"/>
        <v>0</v>
      </c>
      <c r="BC89" s="288">
        <f t="shared" si="83"/>
        <v>0</v>
      </c>
      <c r="BD89" s="288">
        <f t="shared" si="83"/>
        <v>0</v>
      </c>
      <c r="BE89" s="288">
        <f t="shared" si="83"/>
        <v>0</v>
      </c>
      <c r="BF89" s="288">
        <f t="shared" si="83"/>
        <v>0</v>
      </c>
      <c r="BG89" s="288">
        <f t="shared" si="83"/>
        <v>0</v>
      </c>
      <c r="BH89" s="288">
        <f t="shared" si="83"/>
        <v>0</v>
      </c>
      <c r="BI89" s="288">
        <f t="shared" si="41"/>
        <v>0</v>
      </c>
      <c r="BJ89" s="288">
        <f t="shared" si="41"/>
        <v>0</v>
      </c>
      <c r="BK89" s="288">
        <f t="shared" si="41"/>
        <v>0</v>
      </c>
      <c r="BL89" s="288">
        <f t="shared" si="41"/>
        <v>0</v>
      </c>
      <c r="BM89" s="288">
        <f t="shared" si="41"/>
        <v>0</v>
      </c>
      <c r="BN89" s="288">
        <f t="shared" si="41"/>
        <v>0</v>
      </c>
      <c r="BO89" s="288">
        <f t="shared" si="41"/>
        <v>0</v>
      </c>
      <c r="BP89" s="288">
        <f t="shared" si="41"/>
        <v>0</v>
      </c>
      <c r="BQ89" s="288">
        <f t="shared" si="41"/>
        <v>0</v>
      </c>
      <c r="BR89" s="288">
        <f t="shared" si="41"/>
        <v>0</v>
      </c>
      <c r="BS89" s="288">
        <f t="shared" si="41"/>
        <v>0</v>
      </c>
      <c r="BT89" s="288">
        <f t="shared" si="94"/>
        <v>0</v>
      </c>
      <c r="BU89" s="288">
        <f t="shared" si="94"/>
        <v>0</v>
      </c>
      <c r="BV89" s="288">
        <f t="shared" si="94"/>
        <v>0</v>
      </c>
      <c r="BW89" s="288">
        <f t="shared" si="94"/>
        <v>0</v>
      </c>
      <c r="BX89" s="288">
        <f t="shared" si="94"/>
        <v>0</v>
      </c>
      <c r="BY89" s="288">
        <f t="shared" si="94"/>
        <v>0</v>
      </c>
      <c r="BZ89" s="288">
        <f t="shared" si="94"/>
        <v>0</v>
      </c>
      <c r="CA89" s="288">
        <f t="shared" si="94"/>
        <v>0</v>
      </c>
      <c r="CB89" s="288">
        <f t="shared" si="94"/>
        <v>0</v>
      </c>
      <c r="CC89" s="288">
        <f t="shared" si="94"/>
        <v>0</v>
      </c>
      <c r="CD89" s="288">
        <f t="shared" si="94"/>
        <v>0</v>
      </c>
      <c r="CE89" s="288">
        <f t="shared" si="93"/>
        <v>0</v>
      </c>
      <c r="CF89" s="288">
        <f t="shared" si="93"/>
        <v>0</v>
      </c>
      <c r="CG89" s="288">
        <f t="shared" si="93"/>
        <v>0</v>
      </c>
      <c r="CH89" s="288">
        <f t="shared" si="93"/>
        <v>0</v>
      </c>
      <c r="CI89" s="288">
        <f t="shared" si="93"/>
        <v>0</v>
      </c>
      <c r="CJ89" s="288">
        <f t="shared" si="93"/>
        <v>0</v>
      </c>
      <c r="CK89" s="288">
        <f t="shared" si="93"/>
        <v>86</v>
      </c>
      <c r="CL89" s="288">
        <f t="shared" si="93"/>
        <v>0</v>
      </c>
      <c r="CM89" s="288">
        <f t="shared" si="91"/>
        <v>0</v>
      </c>
      <c r="CN89" s="288">
        <f t="shared" si="91"/>
        <v>0</v>
      </c>
      <c r="CO89" s="288">
        <f t="shared" si="91"/>
        <v>0</v>
      </c>
      <c r="CP89" s="288">
        <f t="shared" si="91"/>
        <v>0</v>
      </c>
      <c r="CQ89" s="288">
        <f t="shared" si="80"/>
        <v>0</v>
      </c>
      <c r="CR89" s="288">
        <f t="shared" si="81"/>
        <v>0</v>
      </c>
      <c r="CS89" s="288">
        <f t="shared" si="82"/>
        <v>0</v>
      </c>
      <c r="CT89" s="288">
        <f t="shared" si="95"/>
        <v>0</v>
      </c>
      <c r="CU89" s="288">
        <f t="shared" si="84"/>
        <v>0</v>
      </c>
      <c r="CV89" s="288">
        <f t="shared" si="29"/>
        <v>0</v>
      </c>
      <c r="CW89" s="288">
        <f t="shared" si="29"/>
        <v>0</v>
      </c>
      <c r="CX89" s="288">
        <f t="shared" si="29"/>
        <v>0</v>
      </c>
      <c r="CY89" s="288">
        <f t="shared" si="29"/>
        <v>0</v>
      </c>
      <c r="CZ89" s="288">
        <f t="shared" si="29"/>
        <v>0</v>
      </c>
      <c r="DA89" s="288">
        <f t="shared" si="29"/>
        <v>0</v>
      </c>
      <c r="DB89" s="288">
        <f t="shared" si="33"/>
        <v>0</v>
      </c>
      <c r="DC89" s="288">
        <f t="shared" si="33"/>
        <v>0</v>
      </c>
      <c r="DD89" s="288">
        <f t="shared" si="33"/>
        <v>0</v>
      </c>
      <c r="DE89" s="288">
        <f t="shared" si="33"/>
        <v>0</v>
      </c>
      <c r="DG89" s="314">
        <f t="shared" si="60"/>
        <v>86</v>
      </c>
      <c r="DH89" s="289">
        <f>MAX(CK$3:CK$109)</f>
        <v>86</v>
      </c>
      <c r="DJ89" s="288">
        <f>LOOKUP(DH89, 'Mortality Table'!A:A,('Mortality Table'!J:J/'Mortality Table'!I:I))</f>
        <v>0.1345042356797449</v>
      </c>
      <c r="DK89" s="288">
        <f>LOOKUP(A89, 'Mortality Table'!A:A,('Mortality Table'!J:J/'Mortality Table'!I:I))</f>
        <v>0.1345042356797449</v>
      </c>
      <c r="DL89" s="288">
        <f t="shared" si="61"/>
        <v>0</v>
      </c>
      <c r="DN89" s="288">
        <f>LOOKUP(DH89, 'Mortality Table'!A:A,('Mortality Table'!L:L/'Mortality Table'!K:K))</f>
        <v>0.13624734384530185</v>
      </c>
      <c r="DO89" s="288">
        <f>LOOKUP(A89, 'Mortality Table'!A:A,('Mortality Table'!L:L/'Mortality Table'!K:K))</f>
        <v>0.13624734384530185</v>
      </c>
      <c r="DP89" s="288">
        <f t="shared" si="62"/>
        <v>0</v>
      </c>
      <c r="DR89" s="288">
        <f>LOOKUP(DH89, 'Mortality Table'!A:A,('Mortality Table'!N:N/'Mortality Table'!M:M))</f>
        <v>0.13930946424363977</v>
      </c>
      <c r="DS89" s="288">
        <f>LOOKUP(A89, 'Mortality Table'!A:A,('Mortality Table'!N:N/'Mortality Table'!M:M))</f>
        <v>0.13930946424363977</v>
      </c>
      <c r="DT89" s="288">
        <f t="shared" si="63"/>
        <v>0</v>
      </c>
    </row>
    <row r="90" spans="1:124">
      <c r="A90" s="288">
        <v>87</v>
      </c>
      <c r="B90" s="288">
        <v>0.16089770230956479</v>
      </c>
      <c r="C90" s="288">
        <f t="shared" si="85"/>
        <v>0</v>
      </c>
      <c r="D90" s="288">
        <f t="shared" si="85"/>
        <v>0</v>
      </c>
      <c r="E90" s="288">
        <f t="shared" si="85"/>
        <v>0</v>
      </c>
      <c r="F90" s="288">
        <f t="shared" si="85"/>
        <v>0</v>
      </c>
      <c r="G90" s="288">
        <f t="shared" si="85"/>
        <v>0</v>
      </c>
      <c r="H90" s="288">
        <f t="shared" si="85"/>
        <v>0</v>
      </c>
      <c r="I90" s="288">
        <f t="shared" si="85"/>
        <v>0</v>
      </c>
      <c r="J90" s="288">
        <f t="shared" si="85"/>
        <v>0</v>
      </c>
      <c r="K90" s="288">
        <f t="shared" si="85"/>
        <v>0</v>
      </c>
      <c r="L90" s="288">
        <f t="shared" si="85"/>
        <v>0</v>
      </c>
      <c r="M90" s="288">
        <f t="shared" si="85"/>
        <v>0</v>
      </c>
      <c r="N90" s="288">
        <f t="shared" si="85"/>
        <v>0</v>
      </c>
      <c r="O90" s="288">
        <f t="shared" si="85"/>
        <v>0</v>
      </c>
      <c r="P90" s="288">
        <f t="shared" si="85"/>
        <v>0</v>
      </c>
      <c r="Q90" s="288">
        <f t="shared" si="85"/>
        <v>0</v>
      </c>
      <c r="R90" s="288">
        <f t="shared" si="85"/>
        <v>0</v>
      </c>
      <c r="S90" s="288">
        <f t="shared" si="92"/>
        <v>0</v>
      </c>
      <c r="T90" s="288">
        <f t="shared" si="92"/>
        <v>0</v>
      </c>
      <c r="U90" s="288">
        <f t="shared" si="92"/>
        <v>0</v>
      </c>
      <c r="V90" s="288">
        <f t="shared" si="92"/>
        <v>0</v>
      </c>
      <c r="W90" s="288">
        <f t="shared" si="92"/>
        <v>0</v>
      </c>
      <c r="X90" s="288">
        <f t="shared" si="92"/>
        <v>0</v>
      </c>
      <c r="Y90" s="288">
        <f t="shared" si="92"/>
        <v>0</v>
      </c>
      <c r="Z90" s="288">
        <f t="shared" si="92"/>
        <v>0</v>
      </c>
      <c r="AA90" s="288">
        <f t="shared" si="92"/>
        <v>0</v>
      </c>
      <c r="AB90" s="288">
        <f t="shared" si="92"/>
        <v>0</v>
      </c>
      <c r="AC90" s="288">
        <f t="shared" si="92"/>
        <v>0</v>
      </c>
      <c r="AD90" s="288">
        <f t="shared" si="92"/>
        <v>0</v>
      </c>
      <c r="AE90" s="288">
        <f t="shared" si="92"/>
        <v>0</v>
      </c>
      <c r="AF90" s="288">
        <f t="shared" si="92"/>
        <v>0</v>
      </c>
      <c r="AG90" s="288">
        <f t="shared" si="92"/>
        <v>0</v>
      </c>
      <c r="AH90" s="288">
        <f t="shared" si="88"/>
        <v>0</v>
      </c>
      <c r="AI90" s="288">
        <f t="shared" si="58"/>
        <v>0</v>
      </c>
      <c r="AJ90" s="288">
        <f t="shared" si="58"/>
        <v>0</v>
      </c>
      <c r="AK90" s="288">
        <f t="shared" si="58"/>
        <v>0</v>
      </c>
      <c r="AL90" s="288">
        <f t="shared" si="58"/>
        <v>0</v>
      </c>
      <c r="AM90" s="288">
        <f t="shared" si="58"/>
        <v>0</v>
      </c>
      <c r="AN90" s="288">
        <f t="shared" si="58"/>
        <v>0</v>
      </c>
      <c r="AO90" s="288">
        <f t="shared" si="58"/>
        <v>0</v>
      </c>
      <c r="AP90" s="288">
        <f t="shared" si="35"/>
        <v>0</v>
      </c>
      <c r="AQ90" s="288">
        <f t="shared" si="36"/>
        <v>0</v>
      </c>
      <c r="AR90" s="288">
        <f t="shared" si="37"/>
        <v>0</v>
      </c>
      <c r="AS90" s="288">
        <f t="shared" si="38"/>
        <v>0</v>
      </c>
      <c r="AT90" s="288">
        <f t="shared" si="89"/>
        <v>0</v>
      </c>
      <c r="AU90" s="288">
        <f t="shared" si="90"/>
        <v>0</v>
      </c>
      <c r="AV90" s="288">
        <f t="shared" si="83"/>
        <v>0</v>
      </c>
      <c r="AW90" s="288">
        <f t="shared" si="83"/>
        <v>0</v>
      </c>
      <c r="AX90" s="288">
        <f t="shared" si="83"/>
        <v>0</v>
      </c>
      <c r="AY90" s="288">
        <f t="shared" si="83"/>
        <v>0</v>
      </c>
      <c r="AZ90" s="288">
        <f t="shared" si="83"/>
        <v>0</v>
      </c>
      <c r="BA90" s="288">
        <f t="shared" si="83"/>
        <v>0</v>
      </c>
      <c r="BB90" s="288">
        <f t="shared" si="83"/>
        <v>0</v>
      </c>
      <c r="BC90" s="288">
        <f t="shared" si="83"/>
        <v>0</v>
      </c>
      <c r="BD90" s="288">
        <f t="shared" si="83"/>
        <v>0</v>
      </c>
      <c r="BE90" s="288">
        <f t="shared" si="83"/>
        <v>0</v>
      </c>
      <c r="BF90" s="288">
        <f t="shared" si="83"/>
        <v>0</v>
      </c>
      <c r="BG90" s="288">
        <f t="shared" si="83"/>
        <v>0</v>
      </c>
      <c r="BH90" s="288">
        <f t="shared" si="83"/>
        <v>0</v>
      </c>
      <c r="BI90" s="288">
        <f t="shared" si="41"/>
        <v>0</v>
      </c>
      <c r="BJ90" s="288">
        <f t="shared" si="41"/>
        <v>0</v>
      </c>
      <c r="BK90" s="288">
        <f t="shared" si="41"/>
        <v>0</v>
      </c>
      <c r="BL90" s="288">
        <f t="shared" si="41"/>
        <v>0</v>
      </c>
      <c r="BM90" s="288">
        <f t="shared" si="41"/>
        <v>0</v>
      </c>
      <c r="BN90" s="288">
        <f t="shared" si="41"/>
        <v>0</v>
      </c>
      <c r="BO90" s="288">
        <f t="shared" si="41"/>
        <v>0</v>
      </c>
      <c r="BP90" s="288">
        <f t="shared" si="41"/>
        <v>0</v>
      </c>
      <c r="BQ90" s="288">
        <f t="shared" si="41"/>
        <v>0</v>
      </c>
      <c r="BR90" s="288">
        <f t="shared" si="41"/>
        <v>0</v>
      </c>
      <c r="BS90" s="288">
        <f t="shared" si="41"/>
        <v>0</v>
      </c>
      <c r="BT90" s="288">
        <f t="shared" si="94"/>
        <v>0</v>
      </c>
      <c r="BU90" s="288">
        <f t="shared" si="94"/>
        <v>0</v>
      </c>
      <c r="BV90" s="288">
        <f t="shared" si="94"/>
        <v>0</v>
      </c>
      <c r="BW90" s="288">
        <f t="shared" si="94"/>
        <v>0</v>
      </c>
      <c r="BX90" s="288">
        <f t="shared" si="94"/>
        <v>0</v>
      </c>
      <c r="BY90" s="288">
        <f t="shared" si="94"/>
        <v>0</v>
      </c>
      <c r="BZ90" s="288">
        <f t="shared" si="94"/>
        <v>0</v>
      </c>
      <c r="CA90" s="288">
        <f t="shared" si="94"/>
        <v>0</v>
      </c>
      <c r="CB90" s="288">
        <f t="shared" si="94"/>
        <v>0</v>
      </c>
      <c r="CC90" s="288">
        <f t="shared" si="94"/>
        <v>0</v>
      </c>
      <c r="CD90" s="288">
        <f t="shared" si="94"/>
        <v>0</v>
      </c>
      <c r="CE90" s="288">
        <f t="shared" si="93"/>
        <v>0</v>
      </c>
      <c r="CF90" s="288">
        <f t="shared" si="93"/>
        <v>0</v>
      </c>
      <c r="CG90" s="288">
        <f t="shared" si="93"/>
        <v>0</v>
      </c>
      <c r="CH90" s="288">
        <f t="shared" si="93"/>
        <v>0</v>
      </c>
      <c r="CI90" s="288">
        <f t="shared" si="93"/>
        <v>0</v>
      </c>
      <c r="CJ90" s="288">
        <f t="shared" si="93"/>
        <v>0</v>
      </c>
      <c r="CK90" s="288">
        <f t="shared" si="93"/>
        <v>0</v>
      </c>
      <c r="CL90" s="288">
        <f t="shared" si="93"/>
        <v>87</v>
      </c>
      <c r="CM90" s="288">
        <f t="shared" si="91"/>
        <v>0</v>
      </c>
      <c r="CN90" s="288">
        <f t="shared" si="91"/>
        <v>0</v>
      </c>
      <c r="CO90" s="288">
        <f t="shared" si="91"/>
        <v>0</v>
      </c>
      <c r="CP90" s="288">
        <f t="shared" si="91"/>
        <v>0</v>
      </c>
      <c r="CQ90" s="288">
        <f t="shared" si="80"/>
        <v>0</v>
      </c>
      <c r="CR90" s="288">
        <f t="shared" si="81"/>
        <v>0</v>
      </c>
      <c r="CS90" s="288">
        <f t="shared" si="82"/>
        <v>0</v>
      </c>
      <c r="CT90" s="288">
        <f t="shared" si="95"/>
        <v>0</v>
      </c>
      <c r="CU90" s="288">
        <f t="shared" si="84"/>
        <v>0</v>
      </c>
      <c r="CV90" s="288">
        <f t="shared" si="29"/>
        <v>0</v>
      </c>
      <c r="CW90" s="288">
        <f t="shared" si="29"/>
        <v>0</v>
      </c>
      <c r="CX90" s="288">
        <f t="shared" si="29"/>
        <v>0</v>
      </c>
      <c r="CY90" s="288">
        <f t="shared" si="29"/>
        <v>0</v>
      </c>
      <c r="CZ90" s="288">
        <f t="shared" si="29"/>
        <v>0</v>
      </c>
      <c r="DA90" s="288">
        <f t="shared" si="29"/>
        <v>0</v>
      </c>
      <c r="DB90" s="288">
        <f t="shared" si="33"/>
        <v>0</v>
      </c>
      <c r="DC90" s="288">
        <f t="shared" si="33"/>
        <v>0</v>
      </c>
      <c r="DD90" s="288">
        <f t="shared" si="33"/>
        <v>0</v>
      </c>
      <c r="DE90" s="288">
        <f t="shared" si="33"/>
        <v>0</v>
      </c>
      <c r="DG90" s="314">
        <f t="shared" si="60"/>
        <v>87</v>
      </c>
      <c r="DH90" s="289">
        <f>MAX(CL$3:CL$109)</f>
        <v>87</v>
      </c>
      <c r="DJ90" s="288">
        <f>LOOKUP(DH90, 'Mortality Table'!A:A,('Mortality Table'!J:J/'Mortality Table'!I:I))</f>
        <v>0.148118340824346</v>
      </c>
      <c r="DK90" s="288">
        <f>LOOKUP(A90, 'Mortality Table'!A:A,('Mortality Table'!J:J/'Mortality Table'!I:I))</f>
        <v>0.148118340824346</v>
      </c>
      <c r="DL90" s="288">
        <f t="shared" si="61"/>
        <v>0</v>
      </c>
      <c r="DN90" s="288">
        <f>LOOKUP(DH90, 'Mortality Table'!A:A,('Mortality Table'!L:L/'Mortality Table'!K:K))</f>
        <v>0.15003788103848739</v>
      </c>
      <c r="DO90" s="288">
        <f>LOOKUP(A90, 'Mortality Table'!A:A,('Mortality Table'!L:L/'Mortality Table'!K:K))</f>
        <v>0.15003788103848739</v>
      </c>
      <c r="DP90" s="288">
        <f t="shared" si="62"/>
        <v>0</v>
      </c>
      <c r="DR90" s="288">
        <f>LOOKUP(DH90, 'Mortality Table'!A:A,('Mortality Table'!N:N/'Mortality Table'!M:M))</f>
        <v>0.15340993984774423</v>
      </c>
      <c r="DS90" s="288">
        <f>LOOKUP(A90, 'Mortality Table'!A:A,('Mortality Table'!N:N/'Mortality Table'!M:M))</f>
        <v>0.15340993984774423</v>
      </c>
      <c r="DT90" s="288">
        <f t="shared" si="63"/>
        <v>0</v>
      </c>
    </row>
    <row r="91" spans="1:124">
      <c r="A91" s="288">
        <v>88</v>
      </c>
      <c r="B91" s="288">
        <v>0.17745701549564849</v>
      </c>
      <c r="C91" s="288">
        <f t="shared" si="85"/>
        <v>0</v>
      </c>
      <c r="D91" s="288">
        <f t="shared" si="85"/>
        <v>0</v>
      </c>
      <c r="E91" s="288">
        <f t="shared" si="85"/>
        <v>0</v>
      </c>
      <c r="F91" s="288">
        <f t="shared" si="85"/>
        <v>0</v>
      </c>
      <c r="G91" s="288">
        <f t="shared" si="85"/>
        <v>0</v>
      </c>
      <c r="H91" s="288">
        <f t="shared" si="85"/>
        <v>0</v>
      </c>
      <c r="I91" s="288">
        <f t="shared" si="85"/>
        <v>0</v>
      </c>
      <c r="J91" s="288">
        <f t="shared" si="85"/>
        <v>0</v>
      </c>
      <c r="K91" s="288">
        <f t="shared" si="85"/>
        <v>0</v>
      </c>
      <c r="L91" s="288">
        <f t="shared" si="85"/>
        <v>0</v>
      </c>
      <c r="M91" s="288">
        <f t="shared" si="85"/>
        <v>0</v>
      </c>
      <c r="N91" s="288">
        <f t="shared" si="85"/>
        <v>0</v>
      </c>
      <c r="O91" s="288">
        <f t="shared" si="85"/>
        <v>0</v>
      </c>
      <c r="P91" s="288">
        <f t="shared" si="85"/>
        <v>0</v>
      </c>
      <c r="Q91" s="288">
        <f t="shared" si="85"/>
        <v>0</v>
      </c>
      <c r="R91" s="288">
        <f t="shared" si="85"/>
        <v>0</v>
      </c>
      <c r="S91" s="288">
        <f t="shared" si="92"/>
        <v>0</v>
      </c>
      <c r="T91" s="288">
        <f t="shared" si="92"/>
        <v>0</v>
      </c>
      <c r="U91" s="288">
        <f t="shared" si="92"/>
        <v>0</v>
      </c>
      <c r="V91" s="288">
        <f t="shared" si="92"/>
        <v>0</v>
      </c>
      <c r="W91" s="288">
        <f t="shared" si="92"/>
        <v>0</v>
      </c>
      <c r="X91" s="288">
        <f t="shared" si="92"/>
        <v>0</v>
      </c>
      <c r="Y91" s="288">
        <f t="shared" si="92"/>
        <v>0</v>
      </c>
      <c r="Z91" s="288">
        <f t="shared" si="92"/>
        <v>0</v>
      </c>
      <c r="AA91" s="288">
        <f t="shared" si="92"/>
        <v>0</v>
      </c>
      <c r="AB91" s="288">
        <f t="shared" si="92"/>
        <v>0</v>
      </c>
      <c r="AC91" s="288">
        <f t="shared" si="92"/>
        <v>0</v>
      </c>
      <c r="AD91" s="288">
        <f t="shared" si="92"/>
        <v>0</v>
      </c>
      <c r="AE91" s="288">
        <f t="shared" si="92"/>
        <v>0</v>
      </c>
      <c r="AF91" s="288">
        <f t="shared" si="92"/>
        <v>0</v>
      </c>
      <c r="AG91" s="288">
        <f t="shared" si="92"/>
        <v>0</v>
      </c>
      <c r="AH91" s="288">
        <f t="shared" si="88"/>
        <v>0</v>
      </c>
      <c r="AI91" s="288">
        <f t="shared" si="58"/>
        <v>0</v>
      </c>
      <c r="AJ91" s="288">
        <f t="shared" si="58"/>
        <v>0</v>
      </c>
      <c r="AK91" s="288">
        <f t="shared" si="58"/>
        <v>0</v>
      </c>
      <c r="AL91" s="288">
        <f t="shared" si="58"/>
        <v>0</v>
      </c>
      <c r="AM91" s="288">
        <f t="shared" si="58"/>
        <v>0</v>
      </c>
      <c r="AN91" s="288">
        <f t="shared" si="58"/>
        <v>0</v>
      </c>
      <c r="AO91" s="288">
        <f t="shared" si="58"/>
        <v>0</v>
      </c>
      <c r="AP91" s="288">
        <f t="shared" si="35"/>
        <v>0</v>
      </c>
      <c r="AQ91" s="288">
        <f t="shared" si="36"/>
        <v>0</v>
      </c>
      <c r="AR91" s="288">
        <f t="shared" si="37"/>
        <v>0</v>
      </c>
      <c r="AS91" s="288">
        <f t="shared" si="38"/>
        <v>0</v>
      </c>
      <c r="AT91" s="288">
        <f t="shared" si="89"/>
        <v>0</v>
      </c>
      <c r="AU91" s="288">
        <f t="shared" si="90"/>
        <v>0</v>
      </c>
      <c r="AV91" s="288">
        <f t="shared" si="83"/>
        <v>0</v>
      </c>
      <c r="AW91" s="288">
        <f t="shared" si="83"/>
        <v>0</v>
      </c>
      <c r="AX91" s="288">
        <f t="shared" si="83"/>
        <v>0</v>
      </c>
      <c r="AY91" s="288">
        <f t="shared" si="83"/>
        <v>0</v>
      </c>
      <c r="AZ91" s="288">
        <f t="shared" si="83"/>
        <v>0</v>
      </c>
      <c r="BA91" s="288">
        <f t="shared" si="83"/>
        <v>0</v>
      </c>
      <c r="BB91" s="288">
        <f t="shared" si="83"/>
        <v>0</v>
      </c>
      <c r="BC91" s="288">
        <f t="shared" si="83"/>
        <v>0</v>
      </c>
      <c r="BD91" s="288">
        <f t="shared" ref="BD91:BK109" si="96">IF(BD$2&gt;$B91,(IF(BD$2&lt;=$B92,(IF(AVERAGE($B91,$B92)&gt;BD$2,$A91,$A92)),0)),0)</f>
        <v>0</v>
      </c>
      <c r="BE91" s="288">
        <f t="shared" si="96"/>
        <v>0</v>
      </c>
      <c r="BF91" s="288">
        <f t="shared" si="96"/>
        <v>0</v>
      </c>
      <c r="BG91" s="288">
        <f t="shared" si="96"/>
        <v>0</v>
      </c>
      <c r="BH91" s="288">
        <f t="shared" si="96"/>
        <v>0</v>
      </c>
      <c r="BI91" s="288">
        <f t="shared" si="41"/>
        <v>0</v>
      </c>
      <c r="BJ91" s="288">
        <f t="shared" si="41"/>
        <v>0</v>
      </c>
      <c r="BK91" s="288">
        <f t="shared" si="41"/>
        <v>0</v>
      </c>
      <c r="BL91" s="288">
        <f t="shared" si="41"/>
        <v>0</v>
      </c>
      <c r="BM91" s="288">
        <f t="shared" si="41"/>
        <v>0</v>
      </c>
      <c r="BN91" s="288">
        <f t="shared" si="41"/>
        <v>0</v>
      </c>
      <c r="BO91" s="288">
        <f t="shared" si="41"/>
        <v>0</v>
      </c>
      <c r="BP91" s="288">
        <f t="shared" si="41"/>
        <v>0</v>
      </c>
      <c r="BQ91" s="288">
        <f t="shared" si="41"/>
        <v>0</v>
      </c>
      <c r="BR91" s="288">
        <f t="shared" si="41"/>
        <v>0</v>
      </c>
      <c r="BS91" s="288">
        <f t="shared" si="41"/>
        <v>0</v>
      </c>
      <c r="BT91" s="288">
        <f t="shared" si="94"/>
        <v>0</v>
      </c>
      <c r="BU91" s="288">
        <f t="shared" si="94"/>
        <v>0</v>
      </c>
      <c r="BV91" s="288">
        <f t="shared" si="94"/>
        <v>0</v>
      </c>
      <c r="BW91" s="288">
        <f t="shared" si="94"/>
        <v>0</v>
      </c>
      <c r="BX91" s="288">
        <f t="shared" si="94"/>
        <v>0</v>
      </c>
      <c r="BY91" s="288">
        <f t="shared" si="94"/>
        <v>0</v>
      </c>
      <c r="BZ91" s="288">
        <f t="shared" si="94"/>
        <v>0</v>
      </c>
      <c r="CA91" s="288">
        <f t="shared" si="94"/>
        <v>0</v>
      </c>
      <c r="CB91" s="288">
        <f t="shared" si="94"/>
        <v>0</v>
      </c>
      <c r="CC91" s="288">
        <f t="shared" si="94"/>
        <v>0</v>
      </c>
      <c r="CD91" s="288">
        <f t="shared" si="94"/>
        <v>0</v>
      </c>
      <c r="CE91" s="288">
        <f t="shared" si="93"/>
        <v>0</v>
      </c>
      <c r="CF91" s="288">
        <f t="shared" si="93"/>
        <v>0</v>
      </c>
      <c r="CG91" s="288">
        <f t="shared" si="93"/>
        <v>0</v>
      </c>
      <c r="CH91" s="288">
        <f t="shared" si="93"/>
        <v>0</v>
      </c>
      <c r="CI91" s="288">
        <f t="shared" si="93"/>
        <v>0</v>
      </c>
      <c r="CJ91" s="288">
        <f t="shared" si="93"/>
        <v>0</v>
      </c>
      <c r="CK91" s="288">
        <f t="shared" si="93"/>
        <v>0</v>
      </c>
      <c r="CL91" s="288">
        <f t="shared" si="93"/>
        <v>0</v>
      </c>
      <c r="CM91" s="288">
        <f t="shared" si="91"/>
        <v>88</v>
      </c>
      <c r="CN91" s="288">
        <f t="shared" si="91"/>
        <v>0</v>
      </c>
      <c r="CO91" s="288">
        <f t="shared" si="91"/>
        <v>0</v>
      </c>
      <c r="CP91" s="288">
        <f t="shared" si="91"/>
        <v>0</v>
      </c>
      <c r="CQ91" s="288">
        <f t="shared" si="80"/>
        <v>0</v>
      </c>
      <c r="CR91" s="288">
        <f t="shared" si="81"/>
        <v>0</v>
      </c>
      <c r="CS91" s="288">
        <f t="shared" si="82"/>
        <v>0</v>
      </c>
      <c r="CT91" s="288">
        <f t="shared" si="95"/>
        <v>0</v>
      </c>
      <c r="CU91" s="288">
        <f t="shared" si="84"/>
        <v>0</v>
      </c>
      <c r="CV91" s="288">
        <f t="shared" si="29"/>
        <v>0</v>
      </c>
      <c r="CW91" s="288">
        <f t="shared" si="29"/>
        <v>0</v>
      </c>
      <c r="CX91" s="288">
        <f t="shared" si="29"/>
        <v>0</v>
      </c>
      <c r="CY91" s="288">
        <f t="shared" si="29"/>
        <v>0</v>
      </c>
      <c r="CZ91" s="288">
        <f t="shared" si="29"/>
        <v>0</v>
      </c>
      <c r="DA91" s="288">
        <f t="shared" si="29"/>
        <v>0</v>
      </c>
      <c r="DB91" s="288">
        <f t="shared" si="33"/>
        <v>0</v>
      </c>
      <c r="DC91" s="288">
        <f t="shared" si="33"/>
        <v>0</v>
      </c>
      <c r="DD91" s="288">
        <f t="shared" si="33"/>
        <v>0</v>
      </c>
      <c r="DE91" s="288">
        <f t="shared" si="33"/>
        <v>0</v>
      </c>
      <c r="DG91" s="314">
        <f t="shared" si="60"/>
        <v>88</v>
      </c>
      <c r="DH91" s="289">
        <f>MAX(CM$3:CM$109)</f>
        <v>88</v>
      </c>
      <c r="DJ91" s="288">
        <f>LOOKUP(DH91, 'Mortality Table'!A:A,('Mortality Table'!J:J/'Mortality Table'!I:I))</f>
        <v>0.16336242423328351</v>
      </c>
      <c r="DK91" s="288">
        <f>LOOKUP(A91, 'Mortality Table'!A:A,('Mortality Table'!J:J/'Mortality Table'!I:I))</f>
        <v>0.16336242423328351</v>
      </c>
      <c r="DL91" s="288">
        <f t="shared" si="61"/>
        <v>0</v>
      </c>
      <c r="DN91" s="288">
        <f>LOOKUP(DH91, 'Mortality Table'!A:A,('Mortality Table'!L:L/'Mortality Table'!K:K))</f>
        <v>0.16547952020566778</v>
      </c>
      <c r="DO91" s="288">
        <f>LOOKUP(A91, 'Mortality Table'!A:A,('Mortality Table'!L:L/'Mortality Table'!K:K))</f>
        <v>0.16547952020566778</v>
      </c>
      <c r="DP91" s="288">
        <f t="shared" si="62"/>
        <v>0</v>
      </c>
      <c r="DR91" s="288">
        <f>LOOKUP(DH91, 'Mortality Table'!A:A,('Mortality Table'!N:N/'Mortality Table'!M:M))</f>
        <v>0.16919862547427611</v>
      </c>
      <c r="DS91" s="288">
        <f>LOOKUP(A91, 'Mortality Table'!A:A,('Mortality Table'!N:N/'Mortality Table'!M:M))</f>
        <v>0.16919862547427611</v>
      </c>
      <c r="DT91" s="288">
        <f t="shared" si="63"/>
        <v>0</v>
      </c>
    </row>
    <row r="92" spans="1:124">
      <c r="A92" s="288">
        <v>89</v>
      </c>
      <c r="B92" s="288">
        <v>0.19234408602150538</v>
      </c>
      <c r="C92" s="288">
        <f t="shared" si="85"/>
        <v>0</v>
      </c>
      <c r="D92" s="288">
        <f t="shared" si="85"/>
        <v>0</v>
      </c>
      <c r="E92" s="288">
        <f t="shared" si="85"/>
        <v>0</v>
      </c>
      <c r="F92" s="288">
        <f t="shared" si="85"/>
        <v>0</v>
      </c>
      <c r="G92" s="288">
        <f t="shared" si="85"/>
        <v>0</v>
      </c>
      <c r="H92" s="288">
        <f t="shared" si="85"/>
        <v>0</v>
      </c>
      <c r="I92" s="288">
        <f t="shared" si="85"/>
        <v>0</v>
      </c>
      <c r="J92" s="288">
        <f t="shared" si="85"/>
        <v>0</v>
      </c>
      <c r="K92" s="288">
        <f t="shared" si="85"/>
        <v>0</v>
      </c>
      <c r="L92" s="288">
        <f t="shared" si="85"/>
        <v>0</v>
      </c>
      <c r="M92" s="288">
        <f t="shared" si="85"/>
        <v>0</v>
      </c>
      <c r="N92" s="288">
        <f t="shared" si="85"/>
        <v>0</v>
      </c>
      <c r="O92" s="288">
        <f t="shared" si="85"/>
        <v>0</v>
      </c>
      <c r="P92" s="288">
        <f t="shared" si="85"/>
        <v>0</v>
      </c>
      <c r="Q92" s="288">
        <f t="shared" si="85"/>
        <v>0</v>
      </c>
      <c r="R92" s="288">
        <f t="shared" si="85"/>
        <v>0</v>
      </c>
      <c r="S92" s="288">
        <f t="shared" si="92"/>
        <v>0</v>
      </c>
      <c r="T92" s="288">
        <f t="shared" si="92"/>
        <v>0</v>
      </c>
      <c r="U92" s="288">
        <f t="shared" si="92"/>
        <v>0</v>
      </c>
      <c r="V92" s="288">
        <f t="shared" si="92"/>
        <v>0</v>
      </c>
      <c r="W92" s="288">
        <f t="shared" si="92"/>
        <v>0</v>
      </c>
      <c r="X92" s="288">
        <f t="shared" si="92"/>
        <v>0</v>
      </c>
      <c r="Y92" s="288">
        <f t="shared" si="92"/>
        <v>0</v>
      </c>
      <c r="Z92" s="288">
        <f t="shared" si="92"/>
        <v>0</v>
      </c>
      <c r="AA92" s="288">
        <f t="shared" si="92"/>
        <v>0</v>
      </c>
      <c r="AB92" s="288">
        <f t="shared" si="92"/>
        <v>0</v>
      </c>
      <c r="AC92" s="288">
        <f t="shared" si="92"/>
        <v>0</v>
      </c>
      <c r="AD92" s="288">
        <f t="shared" si="92"/>
        <v>0</v>
      </c>
      <c r="AE92" s="288">
        <f t="shared" si="92"/>
        <v>0</v>
      </c>
      <c r="AF92" s="288">
        <f t="shared" si="92"/>
        <v>0</v>
      </c>
      <c r="AG92" s="288">
        <f t="shared" si="92"/>
        <v>0</v>
      </c>
      <c r="AH92" s="288">
        <f t="shared" si="88"/>
        <v>0</v>
      </c>
      <c r="AI92" s="288">
        <f t="shared" si="58"/>
        <v>0</v>
      </c>
      <c r="AJ92" s="288">
        <f t="shared" si="58"/>
        <v>0</v>
      </c>
      <c r="AK92" s="288">
        <f t="shared" si="58"/>
        <v>0</v>
      </c>
      <c r="AL92" s="288">
        <f t="shared" si="58"/>
        <v>0</v>
      </c>
      <c r="AM92" s="288">
        <f t="shared" si="58"/>
        <v>0</v>
      </c>
      <c r="AN92" s="288">
        <f t="shared" si="58"/>
        <v>0</v>
      </c>
      <c r="AO92" s="288">
        <f t="shared" si="58"/>
        <v>0</v>
      </c>
      <c r="AP92" s="288">
        <f t="shared" si="35"/>
        <v>0</v>
      </c>
      <c r="AQ92" s="288">
        <f t="shared" si="36"/>
        <v>0</v>
      </c>
      <c r="AR92" s="288">
        <f t="shared" si="37"/>
        <v>0</v>
      </c>
      <c r="AS92" s="288">
        <f t="shared" si="38"/>
        <v>0</v>
      </c>
      <c r="AT92" s="288">
        <f t="shared" si="89"/>
        <v>0</v>
      </c>
      <c r="AU92" s="288">
        <f t="shared" si="90"/>
        <v>0</v>
      </c>
      <c r="AV92" s="288">
        <f t="shared" ref="AV92:BC96" si="97">IF(AV$2&gt;$B92,(IF(AV$2&lt;=$B93,(IF(AVERAGE($B92,$B93)&gt;AV$2,$A92,$A93)),0)),0)</f>
        <v>0</v>
      </c>
      <c r="AW92" s="288">
        <f t="shared" si="97"/>
        <v>0</v>
      </c>
      <c r="AX92" s="288">
        <f t="shared" si="97"/>
        <v>0</v>
      </c>
      <c r="AY92" s="288">
        <f t="shared" si="97"/>
        <v>0</v>
      </c>
      <c r="AZ92" s="288">
        <f t="shared" si="97"/>
        <v>0</v>
      </c>
      <c r="BA92" s="288">
        <f t="shared" si="97"/>
        <v>0</v>
      </c>
      <c r="BB92" s="288">
        <f t="shared" si="97"/>
        <v>0</v>
      </c>
      <c r="BC92" s="288">
        <f t="shared" si="97"/>
        <v>0</v>
      </c>
      <c r="BD92" s="288">
        <f t="shared" si="96"/>
        <v>0</v>
      </c>
      <c r="BE92" s="288">
        <f t="shared" si="96"/>
        <v>0</v>
      </c>
      <c r="BF92" s="288">
        <f t="shared" si="96"/>
        <v>0</v>
      </c>
      <c r="BG92" s="288">
        <f t="shared" si="96"/>
        <v>0</v>
      </c>
      <c r="BH92" s="288">
        <f t="shared" si="96"/>
        <v>0</v>
      </c>
      <c r="BI92" s="288">
        <f t="shared" si="41"/>
        <v>0</v>
      </c>
      <c r="BJ92" s="288">
        <f t="shared" si="41"/>
        <v>0</v>
      </c>
      <c r="BK92" s="288">
        <f t="shared" si="41"/>
        <v>0</v>
      </c>
      <c r="BL92" s="288">
        <f t="shared" si="41"/>
        <v>0</v>
      </c>
      <c r="BM92" s="288">
        <f t="shared" si="41"/>
        <v>0</v>
      </c>
      <c r="BN92" s="288">
        <f t="shared" si="41"/>
        <v>0</v>
      </c>
      <c r="BO92" s="288">
        <f t="shared" si="41"/>
        <v>0</v>
      </c>
      <c r="BP92" s="288">
        <f t="shared" si="41"/>
        <v>0</v>
      </c>
      <c r="BQ92" s="288">
        <f t="shared" si="41"/>
        <v>0</v>
      </c>
      <c r="BR92" s="288">
        <f t="shared" si="41"/>
        <v>0</v>
      </c>
      <c r="BS92" s="288">
        <f t="shared" si="41"/>
        <v>0</v>
      </c>
      <c r="BT92" s="288">
        <f t="shared" si="94"/>
        <v>0</v>
      </c>
      <c r="BU92" s="288">
        <f t="shared" si="94"/>
        <v>0</v>
      </c>
      <c r="BV92" s="288">
        <f t="shared" si="94"/>
        <v>0</v>
      </c>
      <c r="BW92" s="288">
        <f t="shared" si="94"/>
        <v>0</v>
      </c>
      <c r="BX92" s="288">
        <f t="shared" si="94"/>
        <v>0</v>
      </c>
      <c r="BY92" s="288">
        <f t="shared" si="94"/>
        <v>0</v>
      </c>
      <c r="BZ92" s="288">
        <f t="shared" si="94"/>
        <v>0</v>
      </c>
      <c r="CA92" s="288">
        <f t="shared" si="94"/>
        <v>0</v>
      </c>
      <c r="CB92" s="288">
        <f t="shared" si="94"/>
        <v>0</v>
      </c>
      <c r="CC92" s="288">
        <f t="shared" si="94"/>
        <v>0</v>
      </c>
      <c r="CD92" s="288">
        <f t="shared" si="94"/>
        <v>0</v>
      </c>
      <c r="CE92" s="288">
        <f t="shared" si="93"/>
        <v>0</v>
      </c>
      <c r="CF92" s="288">
        <f t="shared" si="93"/>
        <v>0</v>
      </c>
      <c r="CG92" s="288">
        <f t="shared" si="93"/>
        <v>0</v>
      </c>
      <c r="CH92" s="288">
        <f t="shared" si="93"/>
        <v>0</v>
      </c>
      <c r="CI92" s="288">
        <f t="shared" si="93"/>
        <v>0</v>
      </c>
      <c r="CJ92" s="288">
        <f t="shared" si="93"/>
        <v>0</v>
      </c>
      <c r="CK92" s="288">
        <f t="shared" si="93"/>
        <v>0</v>
      </c>
      <c r="CL92" s="288">
        <f t="shared" si="93"/>
        <v>0</v>
      </c>
      <c r="CM92" s="288">
        <f t="shared" si="91"/>
        <v>0</v>
      </c>
      <c r="CN92" s="288">
        <f t="shared" si="91"/>
        <v>89</v>
      </c>
      <c r="CO92" s="288">
        <f t="shared" si="91"/>
        <v>0</v>
      </c>
      <c r="CP92" s="288">
        <f t="shared" si="91"/>
        <v>0</v>
      </c>
      <c r="CQ92" s="288">
        <f t="shared" si="80"/>
        <v>0</v>
      </c>
      <c r="CR92" s="288">
        <f t="shared" si="81"/>
        <v>0</v>
      </c>
      <c r="CS92" s="288">
        <f t="shared" si="82"/>
        <v>0</v>
      </c>
      <c r="CT92" s="288">
        <f t="shared" si="95"/>
        <v>0</v>
      </c>
      <c r="CU92" s="288">
        <f t="shared" si="84"/>
        <v>0</v>
      </c>
      <c r="CV92" s="288">
        <f t="shared" si="29"/>
        <v>0</v>
      </c>
      <c r="CW92" s="288">
        <f t="shared" si="29"/>
        <v>0</v>
      </c>
      <c r="CX92" s="288">
        <f t="shared" si="29"/>
        <v>0</v>
      </c>
      <c r="CY92" s="288">
        <f t="shared" si="29"/>
        <v>0</v>
      </c>
      <c r="CZ92" s="288">
        <f t="shared" si="29"/>
        <v>0</v>
      </c>
      <c r="DA92" s="288">
        <f t="shared" si="29"/>
        <v>0</v>
      </c>
      <c r="DB92" s="288">
        <f t="shared" si="33"/>
        <v>0</v>
      </c>
      <c r="DC92" s="288">
        <f t="shared" si="33"/>
        <v>0</v>
      </c>
      <c r="DD92" s="288">
        <f t="shared" si="33"/>
        <v>0</v>
      </c>
      <c r="DE92" s="288">
        <f t="shared" si="33"/>
        <v>0</v>
      </c>
      <c r="DG92" s="314">
        <f t="shared" si="60"/>
        <v>89</v>
      </c>
      <c r="DH92" s="289">
        <f>MAX(CN$3:CN$109)</f>
        <v>89</v>
      </c>
      <c r="DJ92" s="288">
        <f>LOOKUP(DH92, 'Mortality Table'!A:A,('Mortality Table'!J:J/'Mortality Table'!I:I))</f>
        <v>0.17706708349424977</v>
      </c>
      <c r="DK92" s="288">
        <f>LOOKUP(A92, 'Mortality Table'!A:A,('Mortality Table'!J:J/'Mortality Table'!I:I))</f>
        <v>0.17706708349424977</v>
      </c>
      <c r="DL92" s="288">
        <f t="shared" si="61"/>
        <v>0</v>
      </c>
      <c r="DN92" s="288">
        <f>LOOKUP(DH92, 'Mortality Table'!A:A,('Mortality Table'!L:L/'Mortality Table'!K:K))</f>
        <v>0.17936178505164185</v>
      </c>
      <c r="DO92" s="288">
        <f>LOOKUP(A92, 'Mortality Table'!A:A,('Mortality Table'!L:L/'Mortality Table'!K:K))</f>
        <v>0.17936178505164185</v>
      </c>
      <c r="DP92" s="288">
        <f t="shared" si="62"/>
        <v>0</v>
      </c>
      <c r="DR92" s="288">
        <f>LOOKUP(DH92, 'Mortality Table'!A:A,('Mortality Table'!N:N/'Mortality Table'!M:M))</f>
        <v>0.18339289028414124</v>
      </c>
      <c r="DS92" s="288">
        <f>LOOKUP(A92, 'Mortality Table'!A:A,('Mortality Table'!N:N/'Mortality Table'!M:M))</f>
        <v>0.18339289028414124</v>
      </c>
      <c r="DT92" s="288">
        <f t="shared" si="63"/>
        <v>0</v>
      </c>
    </row>
    <row r="93" spans="1:124">
      <c r="A93" s="288">
        <v>90</v>
      </c>
      <c r="B93" s="288">
        <v>0.20779635743955693</v>
      </c>
      <c r="C93" s="288">
        <f t="shared" si="85"/>
        <v>0</v>
      </c>
      <c r="D93" s="288">
        <f t="shared" si="85"/>
        <v>0</v>
      </c>
      <c r="E93" s="288">
        <f t="shared" si="85"/>
        <v>0</v>
      </c>
      <c r="F93" s="288">
        <f t="shared" si="85"/>
        <v>0</v>
      </c>
      <c r="G93" s="288">
        <f t="shared" si="85"/>
        <v>0</v>
      </c>
      <c r="H93" s="288">
        <f t="shared" si="85"/>
        <v>0</v>
      </c>
      <c r="I93" s="288">
        <f t="shared" ref="I93:X109" si="98">IF(I$2&gt;$B93,(IF(I$2&lt;=$B94,(IF(AVERAGE($B93,$B94)&gt;I$2,$A93,$A94)),0)),0)</f>
        <v>0</v>
      </c>
      <c r="J93" s="288">
        <f t="shared" si="98"/>
        <v>0</v>
      </c>
      <c r="K93" s="288">
        <f t="shared" si="98"/>
        <v>0</v>
      </c>
      <c r="L93" s="288">
        <f t="shared" si="98"/>
        <v>0</v>
      </c>
      <c r="M93" s="288">
        <f t="shared" si="98"/>
        <v>0</v>
      </c>
      <c r="N93" s="288">
        <f t="shared" si="98"/>
        <v>0</v>
      </c>
      <c r="O93" s="288">
        <f t="shared" si="98"/>
        <v>0</v>
      </c>
      <c r="P93" s="288">
        <f t="shared" si="98"/>
        <v>0</v>
      </c>
      <c r="Q93" s="288">
        <f t="shared" si="98"/>
        <v>0</v>
      </c>
      <c r="R93" s="288">
        <f t="shared" si="98"/>
        <v>0</v>
      </c>
      <c r="S93" s="288">
        <f t="shared" si="92"/>
        <v>0</v>
      </c>
      <c r="T93" s="288">
        <f t="shared" si="92"/>
        <v>0</v>
      </c>
      <c r="U93" s="288">
        <f t="shared" si="92"/>
        <v>0</v>
      </c>
      <c r="V93" s="288">
        <f t="shared" si="92"/>
        <v>0</v>
      </c>
      <c r="W93" s="288">
        <f t="shared" si="92"/>
        <v>0</v>
      </c>
      <c r="X93" s="288">
        <f t="shared" si="92"/>
        <v>0</v>
      </c>
      <c r="Y93" s="288">
        <f t="shared" si="92"/>
        <v>0</v>
      </c>
      <c r="Z93" s="288">
        <f t="shared" si="92"/>
        <v>0</v>
      </c>
      <c r="AA93" s="288">
        <f t="shared" si="92"/>
        <v>0</v>
      </c>
      <c r="AB93" s="288">
        <f t="shared" si="92"/>
        <v>0</v>
      </c>
      <c r="AC93" s="288">
        <f t="shared" si="92"/>
        <v>0</v>
      </c>
      <c r="AD93" s="288">
        <f t="shared" si="92"/>
        <v>0</v>
      </c>
      <c r="AE93" s="288">
        <f t="shared" si="92"/>
        <v>0</v>
      </c>
      <c r="AF93" s="288">
        <f t="shared" si="92"/>
        <v>0</v>
      </c>
      <c r="AG93" s="288">
        <f t="shared" si="92"/>
        <v>0</v>
      </c>
      <c r="AH93" s="288">
        <f t="shared" si="88"/>
        <v>0</v>
      </c>
      <c r="AI93" s="288">
        <f t="shared" si="58"/>
        <v>0</v>
      </c>
      <c r="AJ93" s="288">
        <f t="shared" si="58"/>
        <v>0</v>
      </c>
      <c r="AK93" s="288">
        <f t="shared" si="58"/>
        <v>0</v>
      </c>
      <c r="AL93" s="288">
        <f t="shared" si="58"/>
        <v>0</v>
      </c>
      <c r="AM93" s="288">
        <f t="shared" si="58"/>
        <v>0</v>
      </c>
      <c r="AN93" s="288">
        <f t="shared" si="58"/>
        <v>0</v>
      </c>
      <c r="AO93" s="288">
        <f t="shared" si="58"/>
        <v>0</v>
      </c>
      <c r="AP93" s="288">
        <f t="shared" si="35"/>
        <v>0</v>
      </c>
      <c r="AQ93" s="288">
        <f t="shared" si="36"/>
        <v>0</v>
      </c>
      <c r="AR93" s="288">
        <f t="shared" si="37"/>
        <v>0</v>
      </c>
      <c r="AS93" s="288">
        <f t="shared" si="38"/>
        <v>0</v>
      </c>
      <c r="AT93" s="288">
        <f t="shared" si="89"/>
        <v>0</v>
      </c>
      <c r="AU93" s="288">
        <f t="shared" si="90"/>
        <v>0</v>
      </c>
      <c r="AV93" s="288">
        <f t="shared" si="97"/>
        <v>0</v>
      </c>
      <c r="AW93" s="288">
        <f t="shared" si="97"/>
        <v>0</v>
      </c>
      <c r="AX93" s="288">
        <f t="shared" si="97"/>
        <v>0</v>
      </c>
      <c r="AY93" s="288">
        <f t="shared" si="97"/>
        <v>0</v>
      </c>
      <c r="AZ93" s="288">
        <f t="shared" si="97"/>
        <v>0</v>
      </c>
      <c r="BA93" s="288">
        <f t="shared" si="97"/>
        <v>0</v>
      </c>
      <c r="BB93" s="288">
        <f t="shared" si="97"/>
        <v>0</v>
      </c>
      <c r="BC93" s="288">
        <f t="shared" si="97"/>
        <v>0</v>
      </c>
      <c r="BD93" s="288">
        <f t="shared" si="96"/>
        <v>0</v>
      </c>
      <c r="BE93" s="288">
        <f t="shared" si="96"/>
        <v>0</v>
      </c>
      <c r="BF93" s="288">
        <f t="shared" si="96"/>
        <v>0</v>
      </c>
      <c r="BG93" s="288">
        <f t="shared" si="96"/>
        <v>0</v>
      </c>
      <c r="BH93" s="288">
        <f t="shared" si="96"/>
        <v>0</v>
      </c>
      <c r="BI93" s="288">
        <f t="shared" si="41"/>
        <v>0</v>
      </c>
      <c r="BJ93" s="288">
        <f t="shared" si="41"/>
        <v>0</v>
      </c>
      <c r="BK93" s="288">
        <f t="shared" si="41"/>
        <v>0</v>
      </c>
      <c r="BL93" s="288">
        <f t="shared" si="41"/>
        <v>0</v>
      </c>
      <c r="BM93" s="288">
        <f t="shared" si="41"/>
        <v>0</v>
      </c>
      <c r="BN93" s="288">
        <f t="shared" si="41"/>
        <v>0</v>
      </c>
      <c r="BO93" s="288">
        <f t="shared" si="41"/>
        <v>0</v>
      </c>
      <c r="BP93" s="288">
        <f t="shared" si="41"/>
        <v>0</v>
      </c>
      <c r="BQ93" s="288">
        <f t="shared" si="41"/>
        <v>0</v>
      </c>
      <c r="BR93" s="288">
        <f t="shared" si="41"/>
        <v>0</v>
      </c>
      <c r="BS93" s="288">
        <f t="shared" si="41"/>
        <v>0</v>
      </c>
      <c r="BT93" s="288">
        <f t="shared" si="94"/>
        <v>0</v>
      </c>
      <c r="BU93" s="288">
        <f t="shared" si="94"/>
        <v>0</v>
      </c>
      <c r="BV93" s="288">
        <f t="shared" si="94"/>
        <v>0</v>
      </c>
      <c r="BW93" s="288">
        <f t="shared" si="94"/>
        <v>0</v>
      </c>
      <c r="BX93" s="288">
        <f t="shared" si="94"/>
        <v>0</v>
      </c>
      <c r="BY93" s="288">
        <f t="shared" si="94"/>
        <v>0</v>
      </c>
      <c r="BZ93" s="288">
        <f t="shared" si="94"/>
        <v>0</v>
      </c>
      <c r="CA93" s="288">
        <f t="shared" si="94"/>
        <v>0</v>
      </c>
      <c r="CB93" s="288">
        <f t="shared" si="94"/>
        <v>0</v>
      </c>
      <c r="CC93" s="288">
        <f t="shared" si="94"/>
        <v>0</v>
      </c>
      <c r="CD93" s="288">
        <f t="shared" si="94"/>
        <v>0</v>
      </c>
      <c r="CE93" s="288">
        <f t="shared" si="93"/>
        <v>0</v>
      </c>
      <c r="CF93" s="288">
        <f t="shared" si="93"/>
        <v>0</v>
      </c>
      <c r="CG93" s="288">
        <f t="shared" si="93"/>
        <v>0</v>
      </c>
      <c r="CH93" s="288">
        <f t="shared" si="93"/>
        <v>0</v>
      </c>
      <c r="CI93" s="288">
        <f t="shared" si="93"/>
        <v>0</v>
      </c>
      <c r="CJ93" s="288">
        <f t="shared" si="93"/>
        <v>0</v>
      </c>
      <c r="CK93" s="288">
        <f t="shared" si="93"/>
        <v>0</v>
      </c>
      <c r="CL93" s="288">
        <f t="shared" si="93"/>
        <v>0</v>
      </c>
      <c r="CM93" s="288">
        <f t="shared" si="91"/>
        <v>0</v>
      </c>
      <c r="CN93" s="288">
        <f t="shared" si="91"/>
        <v>0</v>
      </c>
      <c r="CO93" s="288">
        <f t="shared" si="91"/>
        <v>90</v>
      </c>
      <c r="CP93" s="288">
        <f t="shared" si="91"/>
        <v>0</v>
      </c>
      <c r="CQ93" s="288">
        <f t="shared" si="80"/>
        <v>0</v>
      </c>
      <c r="CR93" s="288">
        <f t="shared" si="81"/>
        <v>0</v>
      </c>
      <c r="CS93" s="288">
        <f t="shared" si="82"/>
        <v>0</v>
      </c>
      <c r="CT93" s="288">
        <f t="shared" si="95"/>
        <v>0</v>
      </c>
      <c r="CU93" s="288">
        <f t="shared" si="84"/>
        <v>0</v>
      </c>
      <c r="CV93" s="288">
        <f t="shared" si="29"/>
        <v>0</v>
      </c>
      <c r="CW93" s="288">
        <f t="shared" si="29"/>
        <v>0</v>
      </c>
      <c r="CX93" s="288">
        <f t="shared" si="29"/>
        <v>0</v>
      </c>
      <c r="CY93" s="288">
        <f t="shared" si="29"/>
        <v>0</v>
      </c>
      <c r="CZ93" s="288">
        <f t="shared" si="29"/>
        <v>0</v>
      </c>
      <c r="DA93" s="288">
        <f t="shared" si="29"/>
        <v>0</v>
      </c>
      <c r="DB93" s="288">
        <f t="shared" si="33"/>
        <v>0</v>
      </c>
      <c r="DC93" s="288">
        <f t="shared" si="33"/>
        <v>0</v>
      </c>
      <c r="DD93" s="288">
        <f t="shared" si="33"/>
        <v>0</v>
      </c>
      <c r="DE93" s="288">
        <f t="shared" si="33"/>
        <v>0</v>
      </c>
      <c r="DG93" s="314">
        <f t="shared" si="60"/>
        <v>90</v>
      </c>
      <c r="DH93" s="289">
        <f>MAX(CO$3:CO$109)</f>
        <v>90</v>
      </c>
      <c r="DJ93" s="288">
        <f>LOOKUP(DH93, 'Mortality Table'!A:A,('Mortality Table'!J:J/'Mortality Table'!I:I))</f>
        <v>0.19129205235058361</v>
      </c>
      <c r="DK93" s="288">
        <f>LOOKUP(A93, 'Mortality Table'!A:A,('Mortality Table'!J:J/'Mortality Table'!I:I))</f>
        <v>0.19129205235058361</v>
      </c>
      <c r="DL93" s="288">
        <f t="shared" si="61"/>
        <v>0</v>
      </c>
      <c r="DN93" s="288">
        <f>LOOKUP(DH93, 'Mortality Table'!A:A,('Mortality Table'!L:L/'Mortality Table'!K:K))</f>
        <v>0.19377110244720955</v>
      </c>
      <c r="DO93" s="288">
        <f>LOOKUP(A93, 'Mortality Table'!A:A,('Mortality Table'!L:L/'Mortality Table'!K:K))</f>
        <v>0.19377110244720955</v>
      </c>
      <c r="DP93" s="288">
        <f t="shared" si="62"/>
        <v>0</v>
      </c>
      <c r="DR93" s="288">
        <f>LOOKUP(DH93, 'Mortality Table'!A:A,('Mortality Table'!N:N/'Mortality Table'!M:M))</f>
        <v>0.19812605300012254</v>
      </c>
      <c r="DS93" s="288">
        <f>LOOKUP(A93, 'Mortality Table'!A:A,('Mortality Table'!N:N/'Mortality Table'!M:M))</f>
        <v>0.19812605300012254</v>
      </c>
      <c r="DT93" s="288">
        <f t="shared" si="63"/>
        <v>0</v>
      </c>
    </row>
    <row r="94" spans="1:124">
      <c r="A94" s="288">
        <v>91</v>
      </c>
      <c r="B94" s="288">
        <v>0.22519494487765529</v>
      </c>
      <c r="C94" s="288">
        <f t="shared" ref="C94:H109" si="99">IF(C$2&gt;$B94,(IF(C$2&lt;=$B95,(IF(AVERAGE($B94,$B95)&gt;C$2,$A94,$A95)),0)),0)</f>
        <v>0</v>
      </c>
      <c r="D94" s="288">
        <f t="shared" si="99"/>
        <v>0</v>
      </c>
      <c r="E94" s="288">
        <f t="shared" si="99"/>
        <v>0</v>
      </c>
      <c r="F94" s="288">
        <f t="shared" si="99"/>
        <v>0</v>
      </c>
      <c r="G94" s="288">
        <f t="shared" si="99"/>
        <v>0</v>
      </c>
      <c r="H94" s="288">
        <f t="shared" si="99"/>
        <v>0</v>
      </c>
      <c r="I94" s="288">
        <f t="shared" si="98"/>
        <v>0</v>
      </c>
      <c r="J94" s="288">
        <f t="shared" si="98"/>
        <v>0</v>
      </c>
      <c r="K94" s="288">
        <f t="shared" si="98"/>
        <v>0</v>
      </c>
      <c r="L94" s="288">
        <f t="shared" si="98"/>
        <v>0</v>
      </c>
      <c r="M94" s="288">
        <f t="shared" si="98"/>
        <v>0</v>
      </c>
      <c r="N94" s="288">
        <f t="shared" si="98"/>
        <v>0</v>
      </c>
      <c r="O94" s="288">
        <f t="shared" si="98"/>
        <v>0</v>
      </c>
      <c r="P94" s="288">
        <f t="shared" si="98"/>
        <v>0</v>
      </c>
      <c r="Q94" s="288">
        <f t="shared" si="98"/>
        <v>0</v>
      </c>
      <c r="R94" s="288">
        <f t="shared" si="98"/>
        <v>0</v>
      </c>
      <c r="S94" s="288">
        <f t="shared" si="92"/>
        <v>0</v>
      </c>
      <c r="T94" s="288">
        <f t="shared" si="92"/>
        <v>0</v>
      </c>
      <c r="U94" s="288">
        <f t="shared" si="92"/>
        <v>0</v>
      </c>
      <c r="V94" s="288">
        <f t="shared" si="92"/>
        <v>0</v>
      </c>
      <c r="W94" s="288">
        <f t="shared" si="92"/>
        <v>0</v>
      </c>
      <c r="X94" s="288">
        <f t="shared" si="92"/>
        <v>0</v>
      </c>
      <c r="Y94" s="288">
        <f t="shared" si="92"/>
        <v>0</v>
      </c>
      <c r="Z94" s="288">
        <f t="shared" si="92"/>
        <v>0</v>
      </c>
      <c r="AA94" s="288">
        <f t="shared" si="92"/>
        <v>0</v>
      </c>
      <c r="AB94" s="288">
        <f t="shared" si="92"/>
        <v>0</v>
      </c>
      <c r="AC94" s="288">
        <f t="shared" si="92"/>
        <v>0</v>
      </c>
      <c r="AD94" s="288">
        <f t="shared" si="92"/>
        <v>0</v>
      </c>
      <c r="AE94" s="288">
        <f t="shared" si="92"/>
        <v>0</v>
      </c>
      <c r="AF94" s="288">
        <f t="shared" si="92"/>
        <v>0</v>
      </c>
      <c r="AG94" s="288">
        <f t="shared" si="92"/>
        <v>0</v>
      </c>
      <c r="AH94" s="288">
        <f t="shared" si="88"/>
        <v>0</v>
      </c>
      <c r="AI94" s="288">
        <f t="shared" si="58"/>
        <v>0</v>
      </c>
      <c r="AJ94" s="288">
        <f t="shared" si="58"/>
        <v>0</v>
      </c>
      <c r="AK94" s="288">
        <f t="shared" si="58"/>
        <v>0</v>
      </c>
      <c r="AL94" s="288">
        <f t="shared" si="58"/>
        <v>0</v>
      </c>
      <c r="AM94" s="288">
        <f t="shared" si="58"/>
        <v>0</v>
      </c>
      <c r="AN94" s="288">
        <f t="shared" si="58"/>
        <v>0</v>
      </c>
      <c r="AO94" s="288">
        <f t="shared" si="58"/>
        <v>0</v>
      </c>
      <c r="AP94" s="288">
        <f t="shared" si="35"/>
        <v>0</v>
      </c>
      <c r="AQ94" s="288">
        <f t="shared" si="36"/>
        <v>0</v>
      </c>
      <c r="AR94" s="288">
        <f t="shared" si="37"/>
        <v>0</v>
      </c>
      <c r="AS94" s="288">
        <f t="shared" si="38"/>
        <v>0</v>
      </c>
      <c r="AT94" s="288">
        <f t="shared" si="89"/>
        <v>0</v>
      </c>
      <c r="AU94" s="288">
        <f t="shared" si="90"/>
        <v>0</v>
      </c>
      <c r="AV94" s="288">
        <f t="shared" si="97"/>
        <v>0</v>
      </c>
      <c r="AW94" s="288">
        <f t="shared" si="97"/>
        <v>0</v>
      </c>
      <c r="AX94" s="288">
        <f t="shared" si="97"/>
        <v>0</v>
      </c>
      <c r="AY94" s="288">
        <f t="shared" si="97"/>
        <v>0</v>
      </c>
      <c r="AZ94" s="288">
        <f t="shared" si="97"/>
        <v>0</v>
      </c>
      <c r="BA94" s="288">
        <f t="shared" si="97"/>
        <v>0</v>
      </c>
      <c r="BB94" s="288">
        <f t="shared" si="97"/>
        <v>0</v>
      </c>
      <c r="BC94" s="288">
        <f t="shared" si="97"/>
        <v>0</v>
      </c>
      <c r="BD94" s="288">
        <f t="shared" si="96"/>
        <v>0</v>
      </c>
      <c r="BE94" s="288">
        <f t="shared" si="96"/>
        <v>0</v>
      </c>
      <c r="BF94" s="288">
        <f t="shared" si="96"/>
        <v>0</v>
      </c>
      <c r="BG94" s="288">
        <f t="shared" si="96"/>
        <v>0</v>
      </c>
      <c r="BH94" s="288">
        <f t="shared" si="96"/>
        <v>0</v>
      </c>
      <c r="BI94" s="288">
        <f t="shared" si="41"/>
        <v>0</v>
      </c>
      <c r="BJ94" s="288">
        <f t="shared" si="41"/>
        <v>0</v>
      </c>
      <c r="BK94" s="288">
        <f t="shared" si="41"/>
        <v>0</v>
      </c>
      <c r="BL94" s="288">
        <f t="shared" si="41"/>
        <v>0</v>
      </c>
      <c r="BM94" s="288">
        <f t="shared" si="41"/>
        <v>0</v>
      </c>
      <c r="BN94" s="288">
        <f t="shared" si="41"/>
        <v>0</v>
      </c>
      <c r="BO94" s="288">
        <f t="shared" si="41"/>
        <v>0</v>
      </c>
      <c r="BP94" s="288">
        <f t="shared" si="41"/>
        <v>0</v>
      </c>
      <c r="BQ94" s="288">
        <f t="shared" si="41"/>
        <v>0</v>
      </c>
      <c r="BR94" s="288">
        <f t="shared" si="41"/>
        <v>0</v>
      </c>
      <c r="BS94" s="288">
        <f t="shared" si="41"/>
        <v>0</v>
      </c>
      <c r="BT94" s="288">
        <f t="shared" si="94"/>
        <v>0</v>
      </c>
      <c r="BU94" s="288">
        <f t="shared" si="94"/>
        <v>0</v>
      </c>
      <c r="BV94" s="288">
        <f t="shared" si="94"/>
        <v>0</v>
      </c>
      <c r="BW94" s="288">
        <f t="shared" si="94"/>
        <v>0</v>
      </c>
      <c r="BX94" s="288">
        <f t="shared" si="94"/>
        <v>0</v>
      </c>
      <c r="BY94" s="288">
        <f t="shared" si="94"/>
        <v>0</v>
      </c>
      <c r="BZ94" s="288">
        <f t="shared" si="94"/>
        <v>0</v>
      </c>
      <c r="CA94" s="288">
        <f t="shared" si="94"/>
        <v>0</v>
      </c>
      <c r="CB94" s="288">
        <f t="shared" si="94"/>
        <v>0</v>
      </c>
      <c r="CC94" s="288">
        <f t="shared" si="94"/>
        <v>0</v>
      </c>
      <c r="CD94" s="288">
        <f t="shared" si="94"/>
        <v>0</v>
      </c>
      <c r="CE94" s="288">
        <f t="shared" si="93"/>
        <v>0</v>
      </c>
      <c r="CF94" s="288">
        <f t="shared" si="93"/>
        <v>0</v>
      </c>
      <c r="CG94" s="288">
        <f t="shared" si="93"/>
        <v>0</v>
      </c>
      <c r="CH94" s="288">
        <f t="shared" si="93"/>
        <v>0</v>
      </c>
      <c r="CI94" s="288">
        <f t="shared" si="93"/>
        <v>0</v>
      </c>
      <c r="CJ94" s="288">
        <f t="shared" si="93"/>
        <v>0</v>
      </c>
      <c r="CK94" s="288">
        <f t="shared" si="93"/>
        <v>0</v>
      </c>
      <c r="CL94" s="288">
        <f t="shared" si="93"/>
        <v>0</v>
      </c>
      <c r="CM94" s="288">
        <f t="shared" si="91"/>
        <v>0</v>
      </c>
      <c r="CN94" s="288">
        <f t="shared" si="91"/>
        <v>0</v>
      </c>
      <c r="CO94" s="288">
        <f t="shared" si="91"/>
        <v>0</v>
      </c>
      <c r="CP94" s="288">
        <f t="shared" si="91"/>
        <v>91</v>
      </c>
      <c r="CQ94" s="288">
        <f t="shared" si="80"/>
        <v>0</v>
      </c>
      <c r="CR94" s="288">
        <f t="shared" si="81"/>
        <v>0</v>
      </c>
      <c r="CS94" s="288">
        <f t="shared" si="82"/>
        <v>0</v>
      </c>
      <c r="CT94" s="288">
        <f t="shared" si="95"/>
        <v>0</v>
      </c>
      <c r="CU94" s="288">
        <f t="shared" si="84"/>
        <v>0</v>
      </c>
      <c r="CV94" s="288">
        <f t="shared" si="29"/>
        <v>0</v>
      </c>
      <c r="CW94" s="288">
        <f t="shared" si="29"/>
        <v>0</v>
      </c>
      <c r="CX94" s="288">
        <f t="shared" si="29"/>
        <v>0</v>
      </c>
      <c r="CY94" s="288">
        <f t="shared" si="29"/>
        <v>0</v>
      </c>
      <c r="CZ94" s="288">
        <f t="shared" si="29"/>
        <v>0</v>
      </c>
      <c r="DA94" s="288">
        <f t="shared" si="29"/>
        <v>0</v>
      </c>
      <c r="DB94" s="288">
        <f t="shared" si="33"/>
        <v>0</v>
      </c>
      <c r="DC94" s="288">
        <f t="shared" si="33"/>
        <v>0</v>
      </c>
      <c r="DD94" s="288">
        <f t="shared" si="33"/>
        <v>0</v>
      </c>
      <c r="DE94" s="288">
        <f t="shared" si="33"/>
        <v>0</v>
      </c>
      <c r="DG94" s="314">
        <f t="shared" si="60"/>
        <v>91</v>
      </c>
      <c r="DH94" s="289">
        <f>MAX(CP$3:CP$109)</f>
        <v>91</v>
      </c>
      <c r="DJ94" s="288">
        <f>LOOKUP(DH94, 'Mortality Table'!A:A,('Mortality Table'!J:J/'Mortality Table'!I:I))</f>
        <v>0.20730875033338181</v>
      </c>
      <c r="DK94" s="288">
        <f>LOOKUP(A94, 'Mortality Table'!A:A,('Mortality Table'!J:J/'Mortality Table'!I:I))</f>
        <v>0.20730875033338181</v>
      </c>
      <c r="DL94" s="288">
        <f t="shared" si="61"/>
        <v>0</v>
      </c>
      <c r="DN94" s="288">
        <f>LOOKUP(DH94, 'Mortality Table'!A:A,('Mortality Table'!L:L/'Mortality Table'!K:K))</f>
        <v>0.20999536888982559</v>
      </c>
      <c r="DO94" s="288">
        <f>LOOKUP(A94, 'Mortality Table'!A:A,('Mortality Table'!L:L/'Mortality Table'!K:K))</f>
        <v>0.20999536888982559</v>
      </c>
      <c r="DP94" s="288">
        <f t="shared" si="62"/>
        <v>0</v>
      </c>
      <c r="DR94" s="288">
        <f>LOOKUP(DH94, 'Mortality Table'!A:A,('Mortality Table'!N:N/'Mortality Table'!M:M))</f>
        <v>0.21471495522806741</v>
      </c>
      <c r="DS94" s="288">
        <f>LOOKUP(A94, 'Mortality Table'!A:A,('Mortality Table'!N:N/'Mortality Table'!M:M))</f>
        <v>0.21471495522806741</v>
      </c>
      <c r="DT94" s="288">
        <f t="shared" si="63"/>
        <v>0</v>
      </c>
    </row>
    <row r="95" spans="1:124">
      <c r="A95" s="288">
        <v>92</v>
      </c>
      <c r="B95" s="288">
        <v>0.24518479958355024</v>
      </c>
      <c r="C95" s="288">
        <f t="shared" si="99"/>
        <v>0</v>
      </c>
      <c r="D95" s="288">
        <f t="shared" si="99"/>
        <v>0</v>
      </c>
      <c r="E95" s="288">
        <f t="shared" si="99"/>
        <v>0</v>
      </c>
      <c r="F95" s="288">
        <f t="shared" si="99"/>
        <v>0</v>
      </c>
      <c r="G95" s="288">
        <f t="shared" si="99"/>
        <v>0</v>
      </c>
      <c r="H95" s="288">
        <f t="shared" si="99"/>
        <v>0</v>
      </c>
      <c r="I95" s="288">
        <f t="shared" si="98"/>
        <v>0</v>
      </c>
      <c r="J95" s="288">
        <f t="shared" si="98"/>
        <v>0</v>
      </c>
      <c r="K95" s="288">
        <f t="shared" si="98"/>
        <v>0</v>
      </c>
      <c r="L95" s="288">
        <f t="shared" si="98"/>
        <v>0</v>
      </c>
      <c r="M95" s="288">
        <f t="shared" si="98"/>
        <v>0</v>
      </c>
      <c r="N95" s="288">
        <f t="shared" si="98"/>
        <v>0</v>
      </c>
      <c r="O95" s="288">
        <f t="shared" si="98"/>
        <v>0</v>
      </c>
      <c r="P95" s="288">
        <f t="shared" si="98"/>
        <v>0</v>
      </c>
      <c r="Q95" s="288">
        <f t="shared" si="98"/>
        <v>0</v>
      </c>
      <c r="R95" s="288">
        <f t="shared" si="98"/>
        <v>0</v>
      </c>
      <c r="S95" s="288">
        <f t="shared" si="92"/>
        <v>0</v>
      </c>
      <c r="T95" s="288">
        <f t="shared" si="92"/>
        <v>0</v>
      </c>
      <c r="U95" s="288">
        <f t="shared" si="92"/>
        <v>0</v>
      </c>
      <c r="V95" s="288">
        <f t="shared" si="92"/>
        <v>0</v>
      </c>
      <c r="W95" s="288">
        <f t="shared" si="92"/>
        <v>0</v>
      </c>
      <c r="X95" s="288">
        <f t="shared" si="92"/>
        <v>0</v>
      </c>
      <c r="Y95" s="288">
        <f t="shared" si="92"/>
        <v>0</v>
      </c>
      <c r="Z95" s="288">
        <f t="shared" si="92"/>
        <v>0</v>
      </c>
      <c r="AA95" s="288">
        <f t="shared" si="92"/>
        <v>0</v>
      </c>
      <c r="AB95" s="288">
        <f t="shared" si="92"/>
        <v>0</v>
      </c>
      <c r="AC95" s="288">
        <f t="shared" si="92"/>
        <v>0</v>
      </c>
      <c r="AD95" s="288">
        <f t="shared" si="92"/>
        <v>0</v>
      </c>
      <c r="AE95" s="288">
        <f t="shared" si="92"/>
        <v>0</v>
      </c>
      <c r="AF95" s="288">
        <f t="shared" si="92"/>
        <v>0</v>
      </c>
      <c r="AG95" s="288">
        <f t="shared" si="92"/>
        <v>0</v>
      </c>
      <c r="AH95" s="288">
        <f t="shared" si="88"/>
        <v>0</v>
      </c>
      <c r="AI95" s="288">
        <f t="shared" si="58"/>
        <v>0</v>
      </c>
      <c r="AJ95" s="288">
        <f t="shared" si="58"/>
        <v>0</v>
      </c>
      <c r="AK95" s="288">
        <f t="shared" si="58"/>
        <v>0</v>
      </c>
      <c r="AL95" s="288">
        <f t="shared" si="58"/>
        <v>0</v>
      </c>
      <c r="AM95" s="288">
        <f t="shared" si="58"/>
        <v>0</v>
      </c>
      <c r="AN95" s="288">
        <f t="shared" si="58"/>
        <v>0</v>
      </c>
      <c r="AO95" s="288">
        <f t="shared" si="58"/>
        <v>0</v>
      </c>
      <c r="AP95" s="288">
        <f t="shared" si="35"/>
        <v>0</v>
      </c>
      <c r="AQ95" s="288">
        <f t="shared" si="36"/>
        <v>0</v>
      </c>
      <c r="AR95" s="288">
        <f t="shared" si="37"/>
        <v>0</v>
      </c>
      <c r="AS95" s="288">
        <f t="shared" si="38"/>
        <v>0</v>
      </c>
      <c r="AT95" s="288">
        <f t="shared" si="89"/>
        <v>0</v>
      </c>
      <c r="AU95" s="288">
        <f t="shared" si="90"/>
        <v>0</v>
      </c>
      <c r="AV95" s="288">
        <f t="shared" si="97"/>
        <v>0</v>
      </c>
      <c r="AW95" s="288">
        <f t="shared" si="97"/>
        <v>0</v>
      </c>
      <c r="AX95" s="288">
        <f t="shared" si="97"/>
        <v>0</v>
      </c>
      <c r="AY95" s="288">
        <f t="shared" si="97"/>
        <v>0</v>
      </c>
      <c r="AZ95" s="288">
        <f t="shared" si="97"/>
        <v>0</v>
      </c>
      <c r="BA95" s="288">
        <f t="shared" si="97"/>
        <v>0</v>
      </c>
      <c r="BB95" s="288">
        <f t="shared" si="97"/>
        <v>0</v>
      </c>
      <c r="BC95" s="288">
        <f t="shared" si="97"/>
        <v>0</v>
      </c>
      <c r="BD95" s="288">
        <f t="shared" si="96"/>
        <v>0</v>
      </c>
      <c r="BE95" s="288">
        <f t="shared" si="96"/>
        <v>0</v>
      </c>
      <c r="BF95" s="288">
        <f t="shared" si="96"/>
        <v>0</v>
      </c>
      <c r="BG95" s="288">
        <f t="shared" si="96"/>
        <v>0</v>
      </c>
      <c r="BH95" s="288">
        <f t="shared" si="96"/>
        <v>0</v>
      </c>
      <c r="BI95" s="288">
        <f t="shared" si="41"/>
        <v>0</v>
      </c>
      <c r="BJ95" s="288">
        <f t="shared" si="41"/>
        <v>0</v>
      </c>
      <c r="BK95" s="288">
        <f t="shared" si="41"/>
        <v>0</v>
      </c>
      <c r="BL95" s="288">
        <f t="shared" ref="BL95:BU109" si="100">IF(BL$2&gt;$B95,(IF(BL$2&lt;=$B96,(IF(AVERAGE($B95,$B96)&gt;BL$2,$A95,$A96)),0)),0)</f>
        <v>0</v>
      </c>
      <c r="BM95" s="288">
        <f t="shared" si="100"/>
        <v>0</v>
      </c>
      <c r="BN95" s="288">
        <f t="shared" si="100"/>
        <v>0</v>
      </c>
      <c r="BO95" s="288">
        <f t="shared" si="100"/>
        <v>0</v>
      </c>
      <c r="BP95" s="288">
        <f t="shared" si="100"/>
        <v>0</v>
      </c>
      <c r="BQ95" s="288">
        <f t="shared" si="100"/>
        <v>0</v>
      </c>
      <c r="BR95" s="288">
        <f t="shared" si="100"/>
        <v>0</v>
      </c>
      <c r="BS95" s="288">
        <f t="shared" si="100"/>
        <v>0</v>
      </c>
      <c r="BT95" s="288">
        <f t="shared" si="94"/>
        <v>0</v>
      </c>
      <c r="BU95" s="288">
        <f t="shared" si="94"/>
        <v>0</v>
      </c>
      <c r="BV95" s="288">
        <f t="shared" si="94"/>
        <v>0</v>
      </c>
      <c r="BW95" s="288">
        <f t="shared" si="94"/>
        <v>0</v>
      </c>
      <c r="BX95" s="288">
        <f t="shared" si="94"/>
        <v>0</v>
      </c>
      <c r="BY95" s="288">
        <f t="shared" si="94"/>
        <v>0</v>
      </c>
      <c r="BZ95" s="288">
        <f t="shared" si="94"/>
        <v>0</v>
      </c>
      <c r="CA95" s="288">
        <f t="shared" si="94"/>
        <v>0</v>
      </c>
      <c r="CB95" s="288">
        <f t="shared" si="94"/>
        <v>0</v>
      </c>
      <c r="CC95" s="288">
        <f t="shared" si="94"/>
        <v>0</v>
      </c>
      <c r="CD95" s="288">
        <f t="shared" si="94"/>
        <v>0</v>
      </c>
      <c r="CE95" s="288">
        <f t="shared" si="93"/>
        <v>0</v>
      </c>
      <c r="CF95" s="288">
        <f t="shared" si="93"/>
        <v>0</v>
      </c>
      <c r="CG95" s="288">
        <f t="shared" si="93"/>
        <v>0</v>
      </c>
      <c r="CH95" s="288">
        <f t="shared" si="93"/>
        <v>0</v>
      </c>
      <c r="CI95" s="288">
        <f t="shared" si="93"/>
        <v>0</v>
      </c>
      <c r="CJ95" s="288">
        <f t="shared" si="93"/>
        <v>0</v>
      </c>
      <c r="CK95" s="288">
        <f t="shared" si="93"/>
        <v>0</v>
      </c>
      <c r="CL95" s="288">
        <f t="shared" si="93"/>
        <v>0</v>
      </c>
      <c r="CM95" s="288">
        <f t="shared" si="91"/>
        <v>0</v>
      </c>
      <c r="CN95" s="288">
        <f t="shared" si="91"/>
        <v>0</v>
      </c>
      <c r="CO95" s="288">
        <f t="shared" si="91"/>
        <v>0</v>
      </c>
      <c r="CP95" s="288">
        <f t="shared" si="91"/>
        <v>0</v>
      </c>
      <c r="CQ95" s="288">
        <f t="shared" si="80"/>
        <v>92</v>
      </c>
      <c r="CR95" s="288">
        <f t="shared" si="81"/>
        <v>0</v>
      </c>
      <c r="CS95" s="288">
        <f t="shared" si="82"/>
        <v>0</v>
      </c>
      <c r="CT95" s="288">
        <f t="shared" si="95"/>
        <v>0</v>
      </c>
      <c r="CU95" s="288">
        <f t="shared" si="84"/>
        <v>0</v>
      </c>
      <c r="CV95" s="288">
        <f t="shared" si="29"/>
        <v>0</v>
      </c>
      <c r="CW95" s="288">
        <f t="shared" si="29"/>
        <v>0</v>
      </c>
      <c r="CX95" s="288">
        <f t="shared" si="29"/>
        <v>0</v>
      </c>
      <c r="CY95" s="288">
        <f t="shared" si="29"/>
        <v>0</v>
      </c>
      <c r="CZ95" s="288">
        <f t="shared" si="29"/>
        <v>0</v>
      </c>
      <c r="DA95" s="288">
        <f t="shared" si="29"/>
        <v>0</v>
      </c>
      <c r="DB95" s="288">
        <f t="shared" si="33"/>
        <v>0</v>
      </c>
      <c r="DC95" s="288">
        <f t="shared" si="33"/>
        <v>0</v>
      </c>
      <c r="DD95" s="288">
        <f t="shared" si="33"/>
        <v>0</v>
      </c>
      <c r="DE95" s="288">
        <f t="shared" si="33"/>
        <v>0</v>
      </c>
      <c r="DG95" s="314">
        <f t="shared" si="60"/>
        <v>92</v>
      </c>
      <c r="DH95" s="289">
        <f>MAX(CQ$3:CQ$109)</f>
        <v>92</v>
      </c>
      <c r="DJ95" s="288">
        <f>LOOKUP(DH95, 'Mortality Table'!A:A,('Mortality Table'!J:J/'Mortality Table'!I:I))</f>
        <v>0.22571090319110387</v>
      </c>
      <c r="DK95" s="288">
        <f>LOOKUP(A95, 'Mortality Table'!A:A,('Mortality Table'!J:J/'Mortality Table'!I:I))</f>
        <v>0.22571090319110387</v>
      </c>
      <c r="DL95" s="288">
        <f t="shared" si="61"/>
        <v>0</v>
      </c>
      <c r="DN95" s="288">
        <f>LOOKUP(DH95, 'Mortality Table'!A:A,('Mortality Table'!L:L/'Mortality Table'!K:K))</f>
        <v>0.22863600451909769</v>
      </c>
      <c r="DO95" s="288">
        <f>LOOKUP(A95, 'Mortality Table'!A:A,('Mortality Table'!L:L/'Mortality Table'!K:K))</f>
        <v>0.22863600451909769</v>
      </c>
      <c r="DP95" s="288">
        <f t="shared" si="62"/>
        <v>0</v>
      </c>
      <c r="DR95" s="288">
        <f>LOOKUP(DH95, 'Mortality Table'!A:A,('Mortality Table'!N:N/'Mortality Table'!M:M))</f>
        <v>0.23377453385459346</v>
      </c>
      <c r="DS95" s="288">
        <f>LOOKUP(A95, 'Mortality Table'!A:A,('Mortality Table'!N:N/'Mortality Table'!M:M))</f>
        <v>0.23377453385459346</v>
      </c>
      <c r="DT95" s="288">
        <f t="shared" si="63"/>
        <v>0</v>
      </c>
    </row>
    <row r="96" spans="1:124">
      <c r="A96" s="288">
        <v>93</v>
      </c>
      <c r="B96" s="288">
        <v>0.26183908045977011</v>
      </c>
      <c r="C96" s="288">
        <f t="shared" si="99"/>
        <v>0</v>
      </c>
      <c r="D96" s="288">
        <f t="shared" si="99"/>
        <v>0</v>
      </c>
      <c r="E96" s="288">
        <f t="shared" si="99"/>
        <v>0</v>
      </c>
      <c r="F96" s="288">
        <f t="shared" si="99"/>
        <v>0</v>
      </c>
      <c r="G96" s="288">
        <f t="shared" si="99"/>
        <v>0</v>
      </c>
      <c r="H96" s="288">
        <f t="shared" si="99"/>
        <v>0</v>
      </c>
      <c r="I96" s="288">
        <f t="shared" si="98"/>
        <v>0</v>
      </c>
      <c r="J96" s="288">
        <f t="shared" si="98"/>
        <v>0</v>
      </c>
      <c r="K96" s="288">
        <f t="shared" si="98"/>
        <v>0</v>
      </c>
      <c r="L96" s="288">
        <f t="shared" si="98"/>
        <v>0</v>
      </c>
      <c r="M96" s="288">
        <f t="shared" si="98"/>
        <v>0</v>
      </c>
      <c r="N96" s="288">
        <f t="shared" si="98"/>
        <v>0</v>
      </c>
      <c r="O96" s="288">
        <f t="shared" si="98"/>
        <v>0</v>
      </c>
      <c r="P96" s="288">
        <f t="shared" si="98"/>
        <v>0</v>
      </c>
      <c r="Q96" s="288">
        <f t="shared" si="98"/>
        <v>0</v>
      </c>
      <c r="R96" s="288">
        <f t="shared" si="98"/>
        <v>0</v>
      </c>
      <c r="S96" s="288">
        <f t="shared" si="92"/>
        <v>0</v>
      </c>
      <c r="T96" s="288">
        <f t="shared" si="92"/>
        <v>0</v>
      </c>
      <c r="U96" s="288">
        <f t="shared" si="92"/>
        <v>0</v>
      </c>
      <c r="V96" s="288">
        <f t="shared" si="92"/>
        <v>0</v>
      </c>
      <c r="W96" s="288">
        <f t="shared" si="92"/>
        <v>0</v>
      </c>
      <c r="X96" s="288">
        <f t="shared" si="92"/>
        <v>0</v>
      </c>
      <c r="Y96" s="288">
        <f t="shared" si="92"/>
        <v>0</v>
      </c>
      <c r="Z96" s="288">
        <f t="shared" si="92"/>
        <v>0</v>
      </c>
      <c r="AA96" s="288">
        <f t="shared" si="92"/>
        <v>0</v>
      </c>
      <c r="AB96" s="288">
        <f t="shared" si="92"/>
        <v>0</v>
      </c>
      <c r="AC96" s="288">
        <f t="shared" si="92"/>
        <v>0</v>
      </c>
      <c r="AD96" s="288">
        <f t="shared" si="92"/>
        <v>0</v>
      </c>
      <c r="AE96" s="288">
        <f t="shared" si="92"/>
        <v>0</v>
      </c>
      <c r="AF96" s="288">
        <f t="shared" si="92"/>
        <v>0</v>
      </c>
      <c r="AG96" s="288">
        <f t="shared" si="92"/>
        <v>0</v>
      </c>
      <c r="AH96" s="288">
        <f t="shared" si="88"/>
        <v>0</v>
      </c>
      <c r="AI96" s="288">
        <f t="shared" si="58"/>
        <v>0</v>
      </c>
      <c r="AJ96" s="288">
        <f t="shared" si="58"/>
        <v>0</v>
      </c>
      <c r="AK96" s="288">
        <f t="shared" si="58"/>
        <v>0</v>
      </c>
      <c r="AL96" s="288">
        <f t="shared" si="58"/>
        <v>0</v>
      </c>
      <c r="AM96" s="288">
        <f t="shared" si="58"/>
        <v>0</v>
      </c>
      <c r="AN96" s="288">
        <f t="shared" si="58"/>
        <v>0</v>
      </c>
      <c r="AO96" s="288">
        <f t="shared" si="58"/>
        <v>0</v>
      </c>
      <c r="AP96" s="288">
        <f t="shared" si="35"/>
        <v>0</v>
      </c>
      <c r="AQ96" s="288">
        <f t="shared" si="36"/>
        <v>0</v>
      </c>
      <c r="AR96" s="288">
        <f t="shared" si="37"/>
        <v>0</v>
      </c>
      <c r="AS96" s="288">
        <f t="shared" si="38"/>
        <v>0</v>
      </c>
      <c r="AT96" s="288">
        <f t="shared" si="89"/>
        <v>0</v>
      </c>
      <c r="AU96" s="288">
        <f t="shared" si="90"/>
        <v>0</v>
      </c>
      <c r="AV96" s="288">
        <f t="shared" si="97"/>
        <v>0</v>
      </c>
      <c r="AW96" s="288">
        <f t="shared" si="97"/>
        <v>0</v>
      </c>
      <c r="AX96" s="288">
        <f t="shared" si="97"/>
        <v>0</v>
      </c>
      <c r="AY96" s="288">
        <f t="shared" si="97"/>
        <v>0</v>
      </c>
      <c r="AZ96" s="288">
        <f t="shared" si="97"/>
        <v>0</v>
      </c>
      <c r="BA96" s="288">
        <f t="shared" si="97"/>
        <v>0</v>
      </c>
      <c r="BB96" s="288">
        <f t="shared" si="97"/>
        <v>0</v>
      </c>
      <c r="BC96" s="288">
        <f t="shared" si="97"/>
        <v>0</v>
      </c>
      <c r="BD96" s="288">
        <f t="shared" si="96"/>
        <v>0</v>
      </c>
      <c r="BE96" s="288">
        <f t="shared" si="96"/>
        <v>0</v>
      </c>
      <c r="BF96" s="288">
        <f t="shared" si="96"/>
        <v>0</v>
      </c>
      <c r="BG96" s="288">
        <f t="shared" si="96"/>
        <v>0</v>
      </c>
      <c r="BH96" s="288">
        <f t="shared" si="96"/>
        <v>0</v>
      </c>
      <c r="BI96" s="288">
        <f t="shared" si="96"/>
        <v>0</v>
      </c>
      <c r="BJ96" s="288">
        <f t="shared" si="96"/>
        <v>0</v>
      </c>
      <c r="BK96" s="288">
        <f t="shared" si="96"/>
        <v>0</v>
      </c>
      <c r="BL96" s="288">
        <f t="shared" si="100"/>
        <v>0</v>
      </c>
      <c r="BM96" s="288">
        <f t="shared" si="100"/>
        <v>0</v>
      </c>
      <c r="BN96" s="288">
        <f t="shared" si="100"/>
        <v>0</v>
      </c>
      <c r="BO96" s="288">
        <f t="shared" si="100"/>
        <v>0</v>
      </c>
      <c r="BP96" s="288">
        <f t="shared" si="100"/>
        <v>0</v>
      </c>
      <c r="BQ96" s="288">
        <f t="shared" si="100"/>
        <v>0</v>
      </c>
      <c r="BR96" s="288">
        <f t="shared" si="100"/>
        <v>0</v>
      </c>
      <c r="BS96" s="288">
        <f t="shared" si="100"/>
        <v>0</v>
      </c>
      <c r="BT96" s="288">
        <f t="shared" si="94"/>
        <v>0</v>
      </c>
      <c r="BU96" s="288">
        <f t="shared" si="94"/>
        <v>0</v>
      </c>
      <c r="BV96" s="288">
        <f t="shared" si="94"/>
        <v>0</v>
      </c>
      <c r="BW96" s="288">
        <f t="shared" si="94"/>
        <v>0</v>
      </c>
      <c r="BX96" s="288">
        <f t="shared" si="94"/>
        <v>0</v>
      </c>
      <c r="BY96" s="288">
        <f t="shared" si="94"/>
        <v>0</v>
      </c>
      <c r="BZ96" s="288">
        <f t="shared" si="94"/>
        <v>0</v>
      </c>
      <c r="CA96" s="288">
        <f t="shared" si="94"/>
        <v>0</v>
      </c>
      <c r="CB96" s="288">
        <f t="shared" si="94"/>
        <v>0</v>
      </c>
      <c r="CC96" s="288">
        <f t="shared" si="94"/>
        <v>0</v>
      </c>
      <c r="CD96" s="288">
        <f t="shared" si="94"/>
        <v>0</v>
      </c>
      <c r="CE96" s="288">
        <f t="shared" si="93"/>
        <v>0</v>
      </c>
      <c r="CF96" s="288">
        <f t="shared" si="93"/>
        <v>0</v>
      </c>
      <c r="CG96" s="288">
        <f t="shared" si="93"/>
        <v>0</v>
      </c>
      <c r="CH96" s="288">
        <f t="shared" si="93"/>
        <v>0</v>
      </c>
      <c r="CI96" s="288">
        <f t="shared" si="93"/>
        <v>0</v>
      </c>
      <c r="CJ96" s="288">
        <f t="shared" si="93"/>
        <v>0</v>
      </c>
      <c r="CK96" s="288">
        <f t="shared" si="93"/>
        <v>0</v>
      </c>
      <c r="CL96" s="288">
        <f t="shared" si="93"/>
        <v>0</v>
      </c>
      <c r="CM96" s="288">
        <f t="shared" si="91"/>
        <v>0</v>
      </c>
      <c r="CN96" s="288">
        <f t="shared" si="91"/>
        <v>0</v>
      </c>
      <c r="CO96" s="288">
        <f t="shared" si="91"/>
        <v>0</v>
      </c>
      <c r="CP96" s="288">
        <f t="shared" si="91"/>
        <v>0</v>
      </c>
      <c r="CQ96" s="288">
        <f t="shared" si="80"/>
        <v>0</v>
      </c>
      <c r="CR96" s="288">
        <f t="shared" si="81"/>
        <v>93</v>
      </c>
      <c r="CS96" s="288">
        <f t="shared" si="82"/>
        <v>0</v>
      </c>
      <c r="CT96" s="288">
        <f t="shared" si="95"/>
        <v>0</v>
      </c>
      <c r="CU96" s="288">
        <f t="shared" si="84"/>
        <v>0</v>
      </c>
      <c r="CV96" s="288">
        <f t="shared" si="29"/>
        <v>0</v>
      </c>
      <c r="CW96" s="288">
        <f t="shared" si="29"/>
        <v>0</v>
      </c>
      <c r="CX96" s="288">
        <f t="shared" si="29"/>
        <v>0</v>
      </c>
      <c r="CY96" s="288">
        <f t="shared" si="29"/>
        <v>0</v>
      </c>
      <c r="CZ96" s="288">
        <f t="shared" si="29"/>
        <v>0</v>
      </c>
      <c r="DA96" s="288">
        <f t="shared" si="29"/>
        <v>0</v>
      </c>
      <c r="DB96" s="288">
        <f t="shared" si="33"/>
        <v>0</v>
      </c>
      <c r="DC96" s="288">
        <f t="shared" si="33"/>
        <v>0</v>
      </c>
      <c r="DD96" s="288">
        <f t="shared" si="33"/>
        <v>0</v>
      </c>
      <c r="DE96" s="288">
        <f t="shared" si="33"/>
        <v>0</v>
      </c>
      <c r="DG96" s="314">
        <f t="shared" si="60"/>
        <v>93</v>
      </c>
      <c r="DH96" s="289">
        <f>MAX(CR$3:CR$109)</f>
        <v>93</v>
      </c>
      <c r="DJ96" s="288">
        <f>LOOKUP(DH96, 'Mortality Table'!A:A,('Mortality Table'!J:J/'Mortality Table'!I:I))</f>
        <v>0.24104241144510152</v>
      </c>
      <c r="DK96" s="288">
        <f>LOOKUP(A96, 'Mortality Table'!A:A,('Mortality Table'!J:J/'Mortality Table'!I:I))</f>
        <v>0.24104241144510152</v>
      </c>
      <c r="DL96" s="288">
        <f t="shared" si="61"/>
        <v>0</v>
      </c>
      <c r="DN96" s="288">
        <f>LOOKUP(DH96, 'Mortality Table'!A:A,('Mortality Table'!L:L/'Mortality Table'!K:K))</f>
        <v>0.24416620151395771</v>
      </c>
      <c r="DO96" s="288">
        <f>LOOKUP(A96, 'Mortality Table'!A:A,('Mortality Table'!L:L/'Mortality Table'!K:K))</f>
        <v>0.24416620151395771</v>
      </c>
      <c r="DP96" s="288">
        <f t="shared" si="62"/>
        <v>0</v>
      </c>
      <c r="DR96" s="288">
        <f>LOOKUP(DH96, 'Mortality Table'!A:A,('Mortality Table'!N:N/'Mortality Table'!M:M))</f>
        <v>0.24965376762085725</v>
      </c>
      <c r="DS96" s="288">
        <f>LOOKUP(A96, 'Mortality Table'!A:A,('Mortality Table'!N:N/'Mortality Table'!M:M))</f>
        <v>0.24965376762085725</v>
      </c>
      <c r="DT96" s="288">
        <f t="shared" si="63"/>
        <v>0</v>
      </c>
    </row>
    <row r="97" spans="1:124">
      <c r="A97" s="288">
        <v>94</v>
      </c>
      <c r="B97" s="288">
        <v>0.27904079725942071</v>
      </c>
      <c r="C97" s="288">
        <f t="shared" si="99"/>
        <v>0</v>
      </c>
      <c r="D97" s="288">
        <f t="shared" si="99"/>
        <v>0</v>
      </c>
      <c r="E97" s="288">
        <f t="shared" si="99"/>
        <v>0</v>
      </c>
      <c r="F97" s="288">
        <f t="shared" si="99"/>
        <v>0</v>
      </c>
      <c r="G97" s="288">
        <f t="shared" si="99"/>
        <v>0</v>
      </c>
      <c r="H97" s="288">
        <f t="shared" si="99"/>
        <v>0</v>
      </c>
      <c r="I97" s="288">
        <f t="shared" si="98"/>
        <v>0</v>
      </c>
      <c r="J97" s="288">
        <f t="shared" si="98"/>
        <v>0</v>
      </c>
      <c r="K97" s="288">
        <f t="shared" si="98"/>
        <v>0</v>
      </c>
      <c r="L97" s="288">
        <f t="shared" si="98"/>
        <v>0</v>
      </c>
      <c r="M97" s="288">
        <f t="shared" si="98"/>
        <v>0</v>
      </c>
      <c r="N97" s="288">
        <f t="shared" si="98"/>
        <v>0</v>
      </c>
      <c r="O97" s="288">
        <f t="shared" si="98"/>
        <v>0</v>
      </c>
      <c r="P97" s="288">
        <f t="shared" si="98"/>
        <v>0</v>
      </c>
      <c r="Q97" s="288">
        <f t="shared" si="98"/>
        <v>0</v>
      </c>
      <c r="R97" s="288">
        <f t="shared" si="98"/>
        <v>0</v>
      </c>
      <c r="S97" s="288">
        <f t="shared" si="92"/>
        <v>0</v>
      </c>
      <c r="T97" s="288">
        <f t="shared" si="92"/>
        <v>0</v>
      </c>
      <c r="U97" s="288">
        <f t="shared" si="92"/>
        <v>0</v>
      </c>
      <c r="V97" s="288">
        <f t="shared" si="92"/>
        <v>0</v>
      </c>
      <c r="W97" s="288">
        <f t="shared" si="92"/>
        <v>0</v>
      </c>
      <c r="X97" s="288">
        <f t="shared" si="92"/>
        <v>0</v>
      </c>
      <c r="Y97" s="288">
        <f t="shared" si="92"/>
        <v>0</v>
      </c>
      <c r="Z97" s="288">
        <f t="shared" si="92"/>
        <v>0</v>
      </c>
      <c r="AA97" s="288">
        <f t="shared" si="92"/>
        <v>0</v>
      </c>
      <c r="AB97" s="288">
        <f t="shared" si="92"/>
        <v>0</v>
      </c>
      <c r="AC97" s="288">
        <f t="shared" si="92"/>
        <v>0</v>
      </c>
      <c r="AD97" s="288">
        <f t="shared" si="92"/>
        <v>0</v>
      </c>
      <c r="AE97" s="288">
        <f t="shared" si="92"/>
        <v>0</v>
      </c>
      <c r="AF97" s="288">
        <f t="shared" si="92"/>
        <v>0</v>
      </c>
      <c r="AG97" s="288">
        <f t="shared" si="92"/>
        <v>0</v>
      </c>
      <c r="AH97" s="288">
        <f t="shared" si="88"/>
        <v>0</v>
      </c>
      <c r="AI97" s="288">
        <f t="shared" si="58"/>
        <v>0</v>
      </c>
      <c r="AJ97" s="288">
        <f t="shared" si="58"/>
        <v>0</v>
      </c>
      <c r="AK97" s="288">
        <f t="shared" si="58"/>
        <v>0</v>
      </c>
      <c r="AL97" s="288">
        <f t="shared" si="58"/>
        <v>0</v>
      </c>
      <c r="AM97" s="288">
        <f t="shared" si="58"/>
        <v>0</v>
      </c>
      <c r="AN97" s="288">
        <f t="shared" si="58"/>
        <v>0</v>
      </c>
      <c r="AO97" s="288">
        <f t="shared" si="58"/>
        <v>0</v>
      </c>
      <c r="AP97" s="288">
        <f t="shared" si="35"/>
        <v>0</v>
      </c>
      <c r="AQ97" s="288">
        <f t="shared" si="36"/>
        <v>0</v>
      </c>
      <c r="AR97" s="288">
        <f t="shared" si="37"/>
        <v>0</v>
      </c>
      <c r="AS97" s="288">
        <f t="shared" si="38"/>
        <v>0</v>
      </c>
      <c r="AT97" s="288">
        <f t="shared" si="89"/>
        <v>0</v>
      </c>
      <c r="AU97" s="288">
        <f t="shared" si="90"/>
        <v>0</v>
      </c>
      <c r="AV97" s="288">
        <f>IF(AV$2&gt;$B97,(IF(AV$2&lt;=$B98,(IF(AVERAGE($B97,$B98)&gt;AV$2,$A97,$A98)),0)),0)</f>
        <v>0</v>
      </c>
      <c r="AW97" s="288">
        <f t="shared" ref="AW97:BC109" si="101">IF(AW$2&gt;$B97,(IF(AW$2&lt;=$B98,(IF(AVERAGE($B97,$B98)&gt;AW$2,$A97,$A98)),0)),0)</f>
        <v>0</v>
      </c>
      <c r="AX97" s="288">
        <f t="shared" si="101"/>
        <v>0</v>
      </c>
      <c r="AY97" s="288">
        <f t="shared" si="101"/>
        <v>0</v>
      </c>
      <c r="AZ97" s="288">
        <f t="shared" si="101"/>
        <v>0</v>
      </c>
      <c r="BA97" s="288">
        <f t="shared" si="101"/>
        <v>0</v>
      </c>
      <c r="BB97" s="288">
        <f t="shared" si="101"/>
        <v>0</v>
      </c>
      <c r="BC97" s="288">
        <f t="shared" si="101"/>
        <v>0</v>
      </c>
      <c r="BD97" s="288">
        <f t="shared" si="96"/>
        <v>0</v>
      </c>
      <c r="BE97" s="288">
        <f t="shared" si="96"/>
        <v>0</v>
      </c>
      <c r="BF97" s="288">
        <f t="shared" si="96"/>
        <v>0</v>
      </c>
      <c r="BG97" s="288">
        <f t="shared" si="96"/>
        <v>0</v>
      </c>
      <c r="BH97" s="288">
        <f t="shared" si="96"/>
        <v>0</v>
      </c>
      <c r="BI97" s="288">
        <f t="shared" si="96"/>
        <v>0</v>
      </c>
      <c r="BJ97" s="288">
        <f t="shared" si="96"/>
        <v>0</v>
      </c>
      <c r="BK97" s="288">
        <f t="shared" si="96"/>
        <v>0</v>
      </c>
      <c r="BL97" s="288">
        <f t="shared" si="100"/>
        <v>0</v>
      </c>
      <c r="BM97" s="288">
        <f t="shared" si="100"/>
        <v>0</v>
      </c>
      <c r="BN97" s="288">
        <f t="shared" si="100"/>
        <v>0</v>
      </c>
      <c r="BO97" s="288">
        <f t="shared" si="100"/>
        <v>0</v>
      </c>
      <c r="BP97" s="288">
        <f t="shared" si="100"/>
        <v>0</v>
      </c>
      <c r="BQ97" s="288">
        <f t="shared" si="100"/>
        <v>0</v>
      </c>
      <c r="BR97" s="288">
        <f t="shared" si="100"/>
        <v>0</v>
      </c>
      <c r="BS97" s="288">
        <f t="shared" si="100"/>
        <v>0</v>
      </c>
      <c r="BT97" s="288">
        <f t="shared" si="94"/>
        <v>0</v>
      </c>
      <c r="BU97" s="288">
        <f t="shared" si="94"/>
        <v>0</v>
      </c>
      <c r="BV97" s="288">
        <f t="shared" si="94"/>
        <v>0</v>
      </c>
      <c r="BW97" s="288">
        <f t="shared" si="94"/>
        <v>0</v>
      </c>
      <c r="BX97" s="288">
        <f t="shared" si="94"/>
        <v>0</v>
      </c>
      <c r="BY97" s="288">
        <f t="shared" si="94"/>
        <v>0</v>
      </c>
      <c r="BZ97" s="288">
        <f t="shared" si="94"/>
        <v>0</v>
      </c>
      <c r="CA97" s="288">
        <f t="shared" si="94"/>
        <v>0</v>
      </c>
      <c r="CB97" s="288">
        <f t="shared" si="94"/>
        <v>0</v>
      </c>
      <c r="CC97" s="288">
        <f t="shared" si="94"/>
        <v>0</v>
      </c>
      <c r="CD97" s="288">
        <f t="shared" si="94"/>
        <v>0</v>
      </c>
      <c r="CE97" s="288">
        <f t="shared" si="93"/>
        <v>0</v>
      </c>
      <c r="CF97" s="288">
        <f t="shared" si="93"/>
        <v>0</v>
      </c>
      <c r="CG97" s="288">
        <f t="shared" si="93"/>
        <v>0</v>
      </c>
      <c r="CH97" s="288">
        <f t="shared" si="93"/>
        <v>0</v>
      </c>
      <c r="CI97" s="288">
        <f t="shared" si="93"/>
        <v>0</v>
      </c>
      <c r="CJ97" s="288">
        <f t="shared" si="93"/>
        <v>0</v>
      </c>
      <c r="CK97" s="288">
        <f t="shared" si="93"/>
        <v>0</v>
      </c>
      <c r="CL97" s="288">
        <f t="shared" si="93"/>
        <v>0</v>
      </c>
      <c r="CM97" s="288">
        <f t="shared" si="91"/>
        <v>0</v>
      </c>
      <c r="CN97" s="288">
        <f t="shared" si="91"/>
        <v>0</v>
      </c>
      <c r="CO97" s="288">
        <f t="shared" si="91"/>
        <v>0</v>
      </c>
      <c r="CP97" s="288">
        <f t="shared" si="91"/>
        <v>0</v>
      </c>
      <c r="CQ97" s="288">
        <f t="shared" si="80"/>
        <v>0</v>
      </c>
      <c r="CR97" s="288">
        <f t="shared" si="81"/>
        <v>0</v>
      </c>
      <c r="CS97" s="288">
        <f t="shared" si="82"/>
        <v>95</v>
      </c>
      <c r="CT97" s="288">
        <f t="shared" si="95"/>
        <v>0</v>
      </c>
      <c r="CU97" s="288">
        <f t="shared" si="84"/>
        <v>0</v>
      </c>
      <c r="CV97" s="288">
        <f t="shared" si="29"/>
        <v>0</v>
      </c>
      <c r="CW97" s="288">
        <f t="shared" si="29"/>
        <v>0</v>
      </c>
      <c r="CX97" s="288">
        <f t="shared" si="29"/>
        <v>0</v>
      </c>
      <c r="CY97" s="288">
        <f t="shared" si="29"/>
        <v>0</v>
      </c>
      <c r="CZ97" s="288">
        <f t="shared" si="29"/>
        <v>0</v>
      </c>
      <c r="DA97" s="288">
        <f t="shared" si="29"/>
        <v>0</v>
      </c>
      <c r="DB97" s="288">
        <f t="shared" si="33"/>
        <v>0</v>
      </c>
      <c r="DC97" s="288">
        <f t="shared" si="33"/>
        <v>0</v>
      </c>
      <c r="DD97" s="288">
        <f t="shared" si="33"/>
        <v>0</v>
      </c>
      <c r="DE97" s="288">
        <f t="shared" si="33"/>
        <v>0</v>
      </c>
      <c r="DG97" s="314">
        <f t="shared" si="60"/>
        <v>95</v>
      </c>
      <c r="DH97" s="289">
        <f>MAX(CS$3:CS$109)</f>
        <v>95</v>
      </c>
      <c r="DJ97" s="288">
        <f>LOOKUP(DH97, 'Mortality Table'!A:A,('Mortality Table'!J:J/'Mortality Table'!I:I))</f>
        <v>0.2704063672444324</v>
      </c>
      <c r="DK97" s="288">
        <f>LOOKUP(A97, 'Mortality Table'!A:A,('Mortality Table'!J:J/'Mortality Table'!I:I))</f>
        <v>0.2568778753151349</v>
      </c>
      <c r="DL97" s="288">
        <f t="shared" si="61"/>
        <v>1.3528491929297504E-2</v>
      </c>
      <c r="DN97" s="288">
        <f>LOOKUP(DH97, 'Mortality Table'!A:A,('Mortality Table'!L:L/'Mortality Table'!K:K))</f>
        <v>0.27391069961270476</v>
      </c>
      <c r="DO97" s="288">
        <f>LOOKUP(A97, 'Mortality Table'!A:A,('Mortality Table'!L:L/'Mortality Table'!K:K))</f>
        <v>0.26020688513961993</v>
      </c>
      <c r="DP97" s="288">
        <f t="shared" si="62"/>
        <v>1.370381447308483E-2</v>
      </c>
      <c r="DR97" s="288">
        <f>LOOKUP(DH97, 'Mortality Table'!A:A,('Mortality Table'!N:N/'Mortality Table'!M:M))</f>
        <v>0.28006676487559506</v>
      </c>
      <c r="DS97" s="288">
        <f>LOOKUP(A97, 'Mortality Table'!A:A,('Mortality Table'!N:N/'Mortality Table'!M:M))</f>
        <v>0.26605496106012133</v>
      </c>
      <c r="DT97" s="288">
        <f t="shared" si="63"/>
        <v>1.4011803815473733E-2</v>
      </c>
    </row>
    <row r="98" spans="1:124">
      <c r="A98" s="288">
        <v>95</v>
      </c>
      <c r="B98" s="288">
        <v>0.29373650107991361</v>
      </c>
      <c r="C98" s="288">
        <f t="shared" si="99"/>
        <v>0</v>
      </c>
      <c r="D98" s="288">
        <f t="shared" si="99"/>
        <v>0</v>
      </c>
      <c r="E98" s="288">
        <f t="shared" si="99"/>
        <v>0</v>
      </c>
      <c r="F98" s="288">
        <f t="shared" si="99"/>
        <v>0</v>
      </c>
      <c r="G98" s="288">
        <f t="shared" si="99"/>
        <v>0</v>
      </c>
      <c r="H98" s="288">
        <f t="shared" si="99"/>
        <v>0</v>
      </c>
      <c r="I98" s="288">
        <f t="shared" si="98"/>
        <v>0</v>
      </c>
      <c r="J98" s="288">
        <f t="shared" si="98"/>
        <v>0</v>
      </c>
      <c r="K98" s="288">
        <f t="shared" si="98"/>
        <v>0</v>
      </c>
      <c r="L98" s="288">
        <f t="shared" si="98"/>
        <v>0</v>
      </c>
      <c r="M98" s="288">
        <f t="shared" si="98"/>
        <v>0</v>
      </c>
      <c r="N98" s="288">
        <f t="shared" si="98"/>
        <v>0</v>
      </c>
      <c r="O98" s="288">
        <f t="shared" si="98"/>
        <v>0</v>
      </c>
      <c r="P98" s="288">
        <f t="shared" si="98"/>
        <v>0</v>
      </c>
      <c r="Q98" s="288">
        <f t="shared" si="98"/>
        <v>0</v>
      </c>
      <c r="R98" s="288">
        <f t="shared" si="98"/>
        <v>0</v>
      </c>
      <c r="S98" s="288">
        <f t="shared" si="92"/>
        <v>0</v>
      </c>
      <c r="T98" s="288">
        <f t="shared" si="92"/>
        <v>0</v>
      </c>
      <c r="U98" s="288">
        <f t="shared" si="92"/>
        <v>0</v>
      </c>
      <c r="V98" s="288">
        <f t="shared" si="92"/>
        <v>0</v>
      </c>
      <c r="W98" s="288">
        <f t="shared" si="92"/>
        <v>0</v>
      </c>
      <c r="X98" s="288">
        <f t="shared" si="92"/>
        <v>0</v>
      </c>
      <c r="Y98" s="288">
        <f t="shared" si="92"/>
        <v>0</v>
      </c>
      <c r="Z98" s="288">
        <f t="shared" si="92"/>
        <v>0</v>
      </c>
      <c r="AA98" s="288">
        <f t="shared" si="92"/>
        <v>0</v>
      </c>
      <c r="AB98" s="288">
        <f t="shared" si="92"/>
        <v>0</v>
      </c>
      <c r="AC98" s="288">
        <f t="shared" si="92"/>
        <v>0</v>
      </c>
      <c r="AD98" s="288">
        <f t="shared" si="92"/>
        <v>0</v>
      </c>
      <c r="AE98" s="288">
        <f t="shared" si="92"/>
        <v>0</v>
      </c>
      <c r="AF98" s="288">
        <f t="shared" si="92"/>
        <v>0</v>
      </c>
      <c r="AG98" s="288">
        <f t="shared" si="92"/>
        <v>0</v>
      </c>
      <c r="AH98" s="288">
        <f t="shared" si="88"/>
        <v>0</v>
      </c>
      <c r="AI98" s="288">
        <f t="shared" si="58"/>
        <v>0</v>
      </c>
      <c r="AJ98" s="288">
        <f t="shared" si="58"/>
        <v>0</v>
      </c>
      <c r="AK98" s="288">
        <f t="shared" si="58"/>
        <v>0</v>
      </c>
      <c r="AL98" s="288">
        <f t="shared" si="58"/>
        <v>0</v>
      </c>
      <c r="AM98" s="288">
        <f t="shared" si="58"/>
        <v>0</v>
      </c>
      <c r="AN98" s="288">
        <f t="shared" si="58"/>
        <v>0</v>
      </c>
      <c r="AO98" s="288">
        <f t="shared" si="58"/>
        <v>0</v>
      </c>
      <c r="AP98" s="288">
        <f t="shared" si="58"/>
        <v>0</v>
      </c>
      <c r="AQ98" s="288">
        <f t="shared" si="58"/>
        <v>0</v>
      </c>
      <c r="AR98" s="288">
        <f t="shared" si="58"/>
        <v>0</v>
      </c>
      <c r="AS98" s="288">
        <f t="shared" ref="AP98:AV109" si="102">IF(AS$2&gt;$B98,(IF(AS$2&lt;=$B99,(IF(AVERAGE($B98,$B99)&gt;AS$2,$A98,$A99)),0)),0)</f>
        <v>0</v>
      </c>
      <c r="AT98" s="288">
        <f t="shared" si="102"/>
        <v>0</v>
      </c>
      <c r="AU98" s="288">
        <f t="shared" si="102"/>
        <v>0</v>
      </c>
      <c r="AV98" s="288">
        <f t="shared" si="102"/>
        <v>0</v>
      </c>
      <c r="AW98" s="288">
        <f t="shared" si="101"/>
        <v>0</v>
      </c>
      <c r="AX98" s="288">
        <f t="shared" si="101"/>
        <v>0</v>
      </c>
      <c r="AY98" s="288">
        <f t="shared" si="101"/>
        <v>0</v>
      </c>
      <c r="AZ98" s="288">
        <f t="shared" si="101"/>
        <v>0</v>
      </c>
      <c r="BA98" s="288">
        <f t="shared" si="101"/>
        <v>0</v>
      </c>
      <c r="BB98" s="288">
        <f t="shared" si="101"/>
        <v>0</v>
      </c>
      <c r="BC98" s="288">
        <f t="shared" si="101"/>
        <v>0</v>
      </c>
      <c r="BD98" s="288">
        <f t="shared" si="96"/>
        <v>0</v>
      </c>
      <c r="BE98" s="288">
        <f t="shared" si="96"/>
        <v>0</v>
      </c>
      <c r="BF98" s="288">
        <f t="shared" si="96"/>
        <v>0</v>
      </c>
      <c r="BG98" s="288">
        <f t="shared" si="96"/>
        <v>0</v>
      </c>
      <c r="BH98" s="288">
        <f t="shared" si="96"/>
        <v>0</v>
      </c>
      <c r="BI98" s="288">
        <f t="shared" si="96"/>
        <v>0</v>
      </c>
      <c r="BJ98" s="288">
        <f t="shared" si="96"/>
        <v>0</v>
      </c>
      <c r="BK98" s="288">
        <f t="shared" si="96"/>
        <v>0</v>
      </c>
      <c r="BL98" s="288">
        <f t="shared" si="100"/>
        <v>0</v>
      </c>
      <c r="BM98" s="288">
        <f t="shared" si="100"/>
        <v>0</v>
      </c>
      <c r="BN98" s="288">
        <f t="shared" si="100"/>
        <v>0</v>
      </c>
      <c r="BO98" s="288">
        <f t="shared" si="100"/>
        <v>0</v>
      </c>
      <c r="BP98" s="288">
        <f t="shared" si="100"/>
        <v>0</v>
      </c>
      <c r="BQ98" s="288">
        <f t="shared" si="100"/>
        <v>0</v>
      </c>
      <c r="BR98" s="288">
        <f t="shared" si="100"/>
        <v>0</v>
      </c>
      <c r="BS98" s="288">
        <f t="shared" si="100"/>
        <v>0</v>
      </c>
      <c r="BT98" s="288">
        <f t="shared" si="94"/>
        <v>0</v>
      </c>
      <c r="BU98" s="288">
        <f t="shared" si="94"/>
        <v>0</v>
      </c>
      <c r="BV98" s="288">
        <f t="shared" si="94"/>
        <v>0</v>
      </c>
      <c r="BW98" s="288">
        <f t="shared" si="94"/>
        <v>0</v>
      </c>
      <c r="BX98" s="288">
        <f t="shared" si="94"/>
        <v>0</v>
      </c>
      <c r="BY98" s="288">
        <f t="shared" si="94"/>
        <v>0</v>
      </c>
      <c r="BZ98" s="288">
        <f t="shared" si="94"/>
        <v>0</v>
      </c>
      <c r="CA98" s="288">
        <f t="shared" si="94"/>
        <v>0</v>
      </c>
      <c r="CB98" s="288">
        <f t="shared" si="94"/>
        <v>0</v>
      </c>
      <c r="CC98" s="288">
        <f t="shared" si="94"/>
        <v>0</v>
      </c>
      <c r="CD98" s="288">
        <f t="shared" si="94"/>
        <v>0</v>
      </c>
      <c r="CE98" s="288">
        <f t="shared" si="93"/>
        <v>0</v>
      </c>
      <c r="CF98" s="288">
        <f t="shared" si="93"/>
        <v>0</v>
      </c>
      <c r="CG98" s="288">
        <f t="shared" si="93"/>
        <v>0</v>
      </c>
      <c r="CH98" s="288">
        <f t="shared" si="93"/>
        <v>0</v>
      </c>
      <c r="CI98" s="288">
        <f t="shared" si="93"/>
        <v>0</v>
      </c>
      <c r="CJ98" s="288">
        <f t="shared" si="93"/>
        <v>0</v>
      </c>
      <c r="CK98" s="288">
        <f t="shared" si="93"/>
        <v>0</v>
      </c>
      <c r="CL98" s="288">
        <f t="shared" si="93"/>
        <v>0</v>
      </c>
      <c r="CM98" s="288">
        <f t="shared" si="91"/>
        <v>0</v>
      </c>
      <c r="CN98" s="288">
        <f t="shared" si="91"/>
        <v>0</v>
      </c>
      <c r="CO98" s="288">
        <f t="shared" si="91"/>
        <v>0</v>
      </c>
      <c r="CP98" s="288">
        <f t="shared" si="91"/>
        <v>0</v>
      </c>
      <c r="CQ98" s="288">
        <f t="shared" si="80"/>
        <v>0</v>
      </c>
      <c r="CR98" s="288">
        <f t="shared" si="81"/>
        <v>0</v>
      </c>
      <c r="CS98" s="288">
        <f t="shared" si="82"/>
        <v>0</v>
      </c>
      <c r="CT98" s="288">
        <f t="shared" si="95"/>
        <v>95</v>
      </c>
      <c r="CU98" s="288">
        <f t="shared" si="84"/>
        <v>0</v>
      </c>
      <c r="CV98" s="288">
        <f t="shared" si="29"/>
        <v>0</v>
      </c>
      <c r="CW98" s="288">
        <f t="shared" si="29"/>
        <v>0</v>
      </c>
      <c r="CX98" s="288">
        <f t="shared" si="29"/>
        <v>0</v>
      </c>
      <c r="CY98" s="288">
        <f t="shared" si="29"/>
        <v>0</v>
      </c>
      <c r="CZ98" s="288">
        <f t="shared" si="29"/>
        <v>0</v>
      </c>
      <c r="DA98" s="288">
        <f t="shared" si="29"/>
        <v>0</v>
      </c>
      <c r="DB98" s="288">
        <f t="shared" si="33"/>
        <v>0</v>
      </c>
      <c r="DC98" s="288">
        <f t="shared" si="33"/>
        <v>0</v>
      </c>
      <c r="DD98" s="288">
        <f t="shared" si="33"/>
        <v>0</v>
      </c>
      <c r="DE98" s="288">
        <f t="shared" si="33"/>
        <v>0</v>
      </c>
      <c r="DG98" s="314">
        <f t="shared" si="60"/>
        <v>95</v>
      </c>
      <c r="DH98" s="289">
        <f>MAX(CT$3:CT$109)</f>
        <v>95</v>
      </c>
      <c r="DJ98" s="288">
        <f>LOOKUP(DH98, 'Mortality Table'!A:A,('Mortality Table'!J:J/'Mortality Table'!I:I))</f>
        <v>0.2704063672444324</v>
      </c>
      <c r="DK98" s="288">
        <f>LOOKUP(A98, 'Mortality Table'!A:A,('Mortality Table'!J:J/'Mortality Table'!I:I))</f>
        <v>0.2704063672444324</v>
      </c>
      <c r="DL98" s="288">
        <f t="shared" si="61"/>
        <v>0</v>
      </c>
      <c r="DN98" s="288">
        <f>LOOKUP(DH98, 'Mortality Table'!A:A,('Mortality Table'!L:L/'Mortality Table'!K:K))</f>
        <v>0.27391069961270476</v>
      </c>
      <c r="DO98" s="288">
        <f>LOOKUP(A98, 'Mortality Table'!A:A,('Mortality Table'!L:L/'Mortality Table'!K:K))</f>
        <v>0.27391069961270476</v>
      </c>
      <c r="DP98" s="288">
        <f t="shared" si="62"/>
        <v>0</v>
      </c>
      <c r="DR98" s="288">
        <f>LOOKUP(DH98, 'Mortality Table'!A:A,('Mortality Table'!N:N/'Mortality Table'!M:M))</f>
        <v>0.28006676487559506</v>
      </c>
      <c r="DS98" s="288">
        <f>LOOKUP(A98, 'Mortality Table'!A:A,('Mortality Table'!N:N/'Mortality Table'!M:M))</f>
        <v>0.28006676487559506</v>
      </c>
      <c r="DT98" s="288">
        <f t="shared" si="63"/>
        <v>0</v>
      </c>
    </row>
    <row r="99" spans="1:124">
      <c r="A99" s="288">
        <v>96</v>
      </c>
      <c r="B99" s="288">
        <v>0.31804281345565749</v>
      </c>
      <c r="C99" s="288">
        <f t="shared" si="99"/>
        <v>0</v>
      </c>
      <c r="D99" s="288">
        <f t="shared" si="99"/>
        <v>0</v>
      </c>
      <c r="E99" s="288">
        <f t="shared" si="99"/>
        <v>0</v>
      </c>
      <c r="F99" s="288">
        <f t="shared" si="99"/>
        <v>0</v>
      </c>
      <c r="G99" s="288">
        <f t="shared" si="99"/>
        <v>0</v>
      </c>
      <c r="H99" s="288">
        <f t="shared" si="99"/>
        <v>0</v>
      </c>
      <c r="I99" s="288">
        <f t="shared" si="98"/>
        <v>0</v>
      </c>
      <c r="J99" s="288">
        <f t="shared" si="98"/>
        <v>0</v>
      </c>
      <c r="K99" s="288">
        <f t="shared" si="98"/>
        <v>0</v>
      </c>
      <c r="L99" s="288">
        <f t="shared" si="98"/>
        <v>0</v>
      </c>
      <c r="M99" s="288">
        <f t="shared" si="98"/>
        <v>0</v>
      </c>
      <c r="N99" s="288">
        <f t="shared" si="98"/>
        <v>0</v>
      </c>
      <c r="O99" s="288">
        <f t="shared" si="98"/>
        <v>0</v>
      </c>
      <c r="P99" s="288">
        <f t="shared" si="98"/>
        <v>0</v>
      </c>
      <c r="Q99" s="288">
        <f t="shared" si="98"/>
        <v>0</v>
      </c>
      <c r="R99" s="288">
        <f t="shared" si="98"/>
        <v>0</v>
      </c>
      <c r="S99" s="288">
        <f t="shared" si="92"/>
        <v>0</v>
      </c>
      <c r="T99" s="288">
        <f t="shared" si="92"/>
        <v>0</v>
      </c>
      <c r="U99" s="288">
        <f t="shared" si="92"/>
        <v>0</v>
      </c>
      <c r="V99" s="288">
        <f t="shared" si="92"/>
        <v>0</v>
      </c>
      <c r="W99" s="288">
        <f t="shared" si="92"/>
        <v>0</v>
      </c>
      <c r="X99" s="288">
        <f t="shared" si="92"/>
        <v>0</v>
      </c>
      <c r="Y99" s="288">
        <f t="shared" si="92"/>
        <v>0</v>
      </c>
      <c r="Z99" s="288">
        <f t="shared" si="92"/>
        <v>0</v>
      </c>
      <c r="AA99" s="288">
        <f t="shared" si="92"/>
        <v>0</v>
      </c>
      <c r="AB99" s="288">
        <f t="shared" si="92"/>
        <v>0</v>
      </c>
      <c r="AC99" s="288">
        <f t="shared" si="92"/>
        <v>0</v>
      </c>
      <c r="AD99" s="288">
        <f t="shared" si="92"/>
        <v>0</v>
      </c>
      <c r="AE99" s="288">
        <f t="shared" si="92"/>
        <v>0</v>
      </c>
      <c r="AF99" s="288">
        <f t="shared" si="92"/>
        <v>0</v>
      </c>
      <c r="AG99" s="288">
        <f t="shared" si="92"/>
        <v>0</v>
      </c>
      <c r="AH99" s="288">
        <f t="shared" si="88"/>
        <v>0</v>
      </c>
      <c r="AI99" s="288">
        <f t="shared" ref="AI99:AO99" si="103">IF(AI$2&gt;$B99,(IF(AI$2&lt;=$B100,(IF(AVERAGE($B99,$B100)&gt;AI$2,$A99,$A100)),0)),0)</f>
        <v>0</v>
      </c>
      <c r="AJ99" s="288">
        <f t="shared" si="103"/>
        <v>0</v>
      </c>
      <c r="AK99" s="288">
        <f t="shared" si="103"/>
        <v>0</v>
      </c>
      <c r="AL99" s="288">
        <f t="shared" si="103"/>
        <v>0</v>
      </c>
      <c r="AM99" s="288">
        <f t="shared" si="103"/>
        <v>0</v>
      </c>
      <c r="AN99" s="288">
        <f t="shared" si="103"/>
        <v>0</v>
      </c>
      <c r="AO99" s="288">
        <f t="shared" si="103"/>
        <v>0</v>
      </c>
      <c r="AP99" s="288">
        <f t="shared" si="102"/>
        <v>0</v>
      </c>
      <c r="AQ99" s="288">
        <f t="shared" si="102"/>
        <v>0</v>
      </c>
      <c r="AR99" s="288">
        <f t="shared" si="102"/>
        <v>0</v>
      </c>
      <c r="AS99" s="288">
        <f t="shared" si="102"/>
        <v>0</v>
      </c>
      <c r="AT99" s="288">
        <f t="shared" si="102"/>
        <v>0</v>
      </c>
      <c r="AU99" s="288">
        <f t="shared" si="102"/>
        <v>0</v>
      </c>
      <c r="AV99" s="288">
        <f t="shared" si="102"/>
        <v>0</v>
      </c>
      <c r="AW99" s="288">
        <f t="shared" si="101"/>
        <v>0</v>
      </c>
      <c r="AX99" s="288">
        <f t="shared" si="101"/>
        <v>0</v>
      </c>
      <c r="AY99" s="288">
        <f t="shared" si="101"/>
        <v>0</v>
      </c>
      <c r="AZ99" s="288">
        <f t="shared" si="101"/>
        <v>0</v>
      </c>
      <c r="BA99" s="288">
        <f t="shared" si="101"/>
        <v>0</v>
      </c>
      <c r="BB99" s="288">
        <f t="shared" si="101"/>
        <v>0</v>
      </c>
      <c r="BC99" s="288">
        <f t="shared" si="101"/>
        <v>0</v>
      </c>
      <c r="BD99" s="288">
        <f t="shared" si="96"/>
        <v>0</v>
      </c>
      <c r="BE99" s="288">
        <f t="shared" si="96"/>
        <v>0</v>
      </c>
      <c r="BF99" s="288">
        <f t="shared" si="96"/>
        <v>0</v>
      </c>
      <c r="BG99" s="288">
        <f t="shared" si="96"/>
        <v>0</v>
      </c>
      <c r="BH99" s="288">
        <f t="shared" si="96"/>
        <v>0</v>
      </c>
      <c r="BI99" s="288">
        <f t="shared" si="96"/>
        <v>0</v>
      </c>
      <c r="BJ99" s="288">
        <f t="shared" si="96"/>
        <v>0</v>
      </c>
      <c r="BK99" s="288">
        <f t="shared" si="96"/>
        <v>0</v>
      </c>
      <c r="BL99" s="288">
        <f t="shared" si="100"/>
        <v>0</v>
      </c>
      <c r="BM99" s="288">
        <f t="shared" si="100"/>
        <v>0</v>
      </c>
      <c r="BN99" s="288">
        <f t="shared" si="100"/>
        <v>0</v>
      </c>
      <c r="BO99" s="288">
        <f t="shared" si="100"/>
        <v>0</v>
      </c>
      <c r="BP99" s="288">
        <f t="shared" si="100"/>
        <v>0</v>
      </c>
      <c r="BQ99" s="288">
        <f t="shared" si="100"/>
        <v>0</v>
      </c>
      <c r="BR99" s="288">
        <f t="shared" si="100"/>
        <v>0</v>
      </c>
      <c r="BS99" s="288">
        <f t="shared" si="100"/>
        <v>0</v>
      </c>
      <c r="BT99" s="288">
        <f t="shared" si="94"/>
        <v>0</v>
      </c>
      <c r="BU99" s="288">
        <f t="shared" si="94"/>
        <v>0</v>
      </c>
      <c r="BV99" s="288">
        <f t="shared" si="94"/>
        <v>0</v>
      </c>
      <c r="BW99" s="288">
        <f t="shared" si="94"/>
        <v>0</v>
      </c>
      <c r="BX99" s="288">
        <f t="shared" si="94"/>
        <v>0</v>
      </c>
      <c r="BY99" s="288">
        <f t="shared" si="94"/>
        <v>0</v>
      </c>
      <c r="BZ99" s="288">
        <f t="shared" si="94"/>
        <v>0</v>
      </c>
      <c r="CA99" s="288">
        <f t="shared" si="94"/>
        <v>0</v>
      </c>
      <c r="CB99" s="288">
        <f t="shared" si="94"/>
        <v>0</v>
      </c>
      <c r="CC99" s="288">
        <f t="shared" si="94"/>
        <v>0</v>
      </c>
      <c r="CD99" s="288">
        <f t="shared" si="94"/>
        <v>0</v>
      </c>
      <c r="CE99" s="288">
        <f t="shared" si="93"/>
        <v>0</v>
      </c>
      <c r="CF99" s="288">
        <f t="shared" si="93"/>
        <v>0</v>
      </c>
      <c r="CG99" s="288">
        <f t="shared" si="93"/>
        <v>0</v>
      </c>
      <c r="CH99" s="288">
        <f t="shared" si="93"/>
        <v>0</v>
      </c>
      <c r="CI99" s="288">
        <f t="shared" si="93"/>
        <v>0</v>
      </c>
      <c r="CJ99" s="288">
        <f t="shared" si="93"/>
        <v>0</v>
      </c>
      <c r="CK99" s="288">
        <f t="shared" si="93"/>
        <v>0</v>
      </c>
      <c r="CL99" s="288">
        <f t="shared" si="93"/>
        <v>0</v>
      </c>
      <c r="CM99" s="288">
        <f t="shared" si="91"/>
        <v>0</v>
      </c>
      <c r="CN99" s="288">
        <f t="shared" si="91"/>
        <v>0</v>
      </c>
      <c r="CO99" s="288">
        <f t="shared" si="91"/>
        <v>0</v>
      </c>
      <c r="CP99" s="288">
        <f t="shared" si="91"/>
        <v>0</v>
      </c>
      <c r="CQ99" s="288">
        <f t="shared" si="80"/>
        <v>0</v>
      </c>
      <c r="CR99" s="288">
        <f t="shared" si="81"/>
        <v>0</v>
      </c>
      <c r="CS99" s="288">
        <f t="shared" si="82"/>
        <v>0</v>
      </c>
      <c r="CT99" s="288">
        <f t="shared" si="95"/>
        <v>0</v>
      </c>
      <c r="CU99" s="288">
        <f t="shared" si="84"/>
        <v>97</v>
      </c>
      <c r="CV99" s="288">
        <f t="shared" si="29"/>
        <v>0</v>
      </c>
      <c r="CW99" s="288">
        <f t="shared" si="29"/>
        <v>0</v>
      </c>
      <c r="CX99" s="288">
        <f t="shared" si="29"/>
        <v>0</v>
      </c>
      <c r="CY99" s="288">
        <f t="shared" si="29"/>
        <v>0</v>
      </c>
      <c r="CZ99" s="288">
        <f t="shared" si="29"/>
        <v>0</v>
      </c>
      <c r="DA99" s="288">
        <f t="shared" si="29"/>
        <v>0</v>
      </c>
      <c r="DB99" s="288">
        <f t="shared" si="33"/>
        <v>0</v>
      </c>
      <c r="DC99" s="288">
        <f t="shared" si="33"/>
        <v>0</v>
      </c>
      <c r="DD99" s="288">
        <f t="shared" si="33"/>
        <v>0</v>
      </c>
      <c r="DE99" s="288">
        <f t="shared" si="33"/>
        <v>0</v>
      </c>
      <c r="DG99" s="314">
        <f t="shared" si="60"/>
        <v>97</v>
      </c>
      <c r="DH99" s="289">
        <f>MAX(CU$3:CU$109)</f>
        <v>97</v>
      </c>
      <c r="DJ99" s="288">
        <f>LOOKUP(DH99, 'Mortality Table'!A:A,('Mortality Table'!J:J/'Mortality Table'!I:I))</f>
        <v>0.30961029749943664</v>
      </c>
      <c r="DK99" s="288">
        <f>LOOKUP(A99, 'Mortality Table'!A:A,('Mortality Table'!J:J/'Mortality Table'!I:I))</f>
        <v>0.29278214147224985</v>
      </c>
      <c r="DL99" s="288">
        <f t="shared" si="61"/>
        <v>1.6828156027186791E-2</v>
      </c>
      <c r="DN99" s="288">
        <f>LOOKUP(DH99, 'Mortality Table'!A:A,('Mortality Table'!L:L/'Mortality Table'!K:K))</f>
        <v>0.31362269335436488</v>
      </c>
      <c r="DO99" s="288">
        <f>LOOKUP(A99, 'Mortality Table'!A:A,('Mortality Table'!L:L/'Mortality Table'!K:K))</f>
        <v>0.29657645277367722</v>
      </c>
      <c r="DP99" s="288">
        <f t="shared" si="62"/>
        <v>1.7046240580687655E-2</v>
      </c>
      <c r="DR99" s="288">
        <f>LOOKUP(DH99, 'Mortality Table'!A:A,('Mortality Table'!N:N/'Mortality Table'!M:M))</f>
        <v>0.32067127440995258</v>
      </c>
      <c r="DS99" s="288">
        <f>LOOKUP(A99, 'Mortality Table'!A:A,('Mortality Table'!N:N/'Mortality Table'!M:M))</f>
        <v>0.30324192440838377</v>
      </c>
      <c r="DT99" s="288">
        <f t="shared" si="63"/>
        <v>1.7429350001568811E-2</v>
      </c>
    </row>
    <row r="100" spans="1:124">
      <c r="A100" s="288">
        <v>97</v>
      </c>
      <c r="B100" s="288">
        <v>0.33632286995515698</v>
      </c>
      <c r="C100" s="288">
        <f t="shared" si="99"/>
        <v>0</v>
      </c>
      <c r="D100" s="288">
        <f t="shared" si="99"/>
        <v>0</v>
      </c>
      <c r="E100" s="288">
        <f t="shared" si="99"/>
        <v>0</v>
      </c>
      <c r="F100" s="288">
        <f t="shared" si="99"/>
        <v>0</v>
      </c>
      <c r="G100" s="288">
        <f t="shared" si="99"/>
        <v>0</v>
      </c>
      <c r="H100" s="288">
        <f t="shared" si="99"/>
        <v>0</v>
      </c>
      <c r="I100" s="288">
        <f t="shared" si="98"/>
        <v>0</v>
      </c>
      <c r="J100" s="288">
        <f t="shared" si="98"/>
        <v>0</v>
      </c>
      <c r="K100" s="288">
        <f t="shared" si="98"/>
        <v>0</v>
      </c>
      <c r="L100" s="288">
        <f t="shared" si="98"/>
        <v>0</v>
      </c>
      <c r="M100" s="288">
        <f t="shared" si="98"/>
        <v>0</v>
      </c>
      <c r="N100" s="288">
        <f t="shared" si="98"/>
        <v>0</v>
      </c>
      <c r="O100" s="288">
        <f t="shared" si="98"/>
        <v>0</v>
      </c>
      <c r="P100" s="288">
        <f t="shared" si="98"/>
        <v>0</v>
      </c>
      <c r="Q100" s="288">
        <f t="shared" si="98"/>
        <v>0</v>
      </c>
      <c r="R100" s="288">
        <f t="shared" si="98"/>
        <v>0</v>
      </c>
      <c r="S100" s="288">
        <f t="shared" si="92"/>
        <v>0</v>
      </c>
      <c r="T100" s="288">
        <f t="shared" si="92"/>
        <v>0</v>
      </c>
      <c r="U100" s="288">
        <f t="shared" si="92"/>
        <v>0</v>
      </c>
      <c r="V100" s="288">
        <f t="shared" si="92"/>
        <v>0</v>
      </c>
      <c r="W100" s="288">
        <f t="shared" si="92"/>
        <v>0</v>
      </c>
      <c r="X100" s="288">
        <f t="shared" si="92"/>
        <v>0</v>
      </c>
      <c r="Y100" s="288">
        <f t="shared" si="92"/>
        <v>0</v>
      </c>
      <c r="Z100" s="288">
        <f t="shared" si="92"/>
        <v>0</v>
      </c>
      <c r="AA100" s="288">
        <f t="shared" si="92"/>
        <v>0</v>
      </c>
      <c r="AB100" s="288">
        <f t="shared" si="92"/>
        <v>0</v>
      </c>
      <c r="AC100" s="288">
        <f t="shared" si="92"/>
        <v>0</v>
      </c>
      <c r="AD100" s="288">
        <f t="shared" si="92"/>
        <v>0</v>
      </c>
      <c r="AE100" s="288">
        <f t="shared" si="92"/>
        <v>0</v>
      </c>
      <c r="AF100" s="288">
        <f t="shared" si="92"/>
        <v>0</v>
      </c>
      <c r="AG100" s="288">
        <f t="shared" si="92"/>
        <v>0</v>
      </c>
      <c r="AH100" s="288">
        <f t="shared" ref="AH100:AO109" si="104">IF(AH$2&gt;$B100,(IF(AH$2&lt;=$B101,(IF(AVERAGE($B100,$B101)&gt;AH$2,$A100,$A101)),0)),0)</f>
        <v>0</v>
      </c>
      <c r="AI100" s="288">
        <f t="shared" si="104"/>
        <v>0</v>
      </c>
      <c r="AJ100" s="288">
        <f t="shared" si="104"/>
        <v>0</v>
      </c>
      <c r="AK100" s="288">
        <f t="shared" si="104"/>
        <v>0</v>
      </c>
      <c r="AL100" s="288">
        <f t="shared" si="104"/>
        <v>0</v>
      </c>
      <c r="AM100" s="288">
        <f t="shared" si="104"/>
        <v>0</v>
      </c>
      <c r="AN100" s="288">
        <f t="shared" si="104"/>
        <v>0</v>
      </c>
      <c r="AO100" s="288">
        <f t="shared" si="104"/>
        <v>0</v>
      </c>
      <c r="AP100" s="288">
        <f t="shared" si="102"/>
        <v>0</v>
      </c>
      <c r="AQ100" s="288">
        <f t="shared" si="102"/>
        <v>0</v>
      </c>
      <c r="AR100" s="288">
        <f t="shared" si="102"/>
        <v>0</v>
      </c>
      <c r="AS100" s="288">
        <f t="shared" si="102"/>
        <v>0</v>
      </c>
      <c r="AT100" s="288">
        <f t="shared" si="102"/>
        <v>0</v>
      </c>
      <c r="AU100" s="288">
        <f t="shared" si="102"/>
        <v>0</v>
      </c>
      <c r="AV100" s="288">
        <f t="shared" si="102"/>
        <v>0</v>
      </c>
      <c r="AW100" s="288">
        <f t="shared" si="101"/>
        <v>0</v>
      </c>
      <c r="AX100" s="288">
        <f t="shared" si="101"/>
        <v>0</v>
      </c>
      <c r="AY100" s="288">
        <f t="shared" si="101"/>
        <v>0</v>
      </c>
      <c r="AZ100" s="288">
        <f t="shared" si="101"/>
        <v>0</v>
      </c>
      <c r="BA100" s="288">
        <f t="shared" si="101"/>
        <v>0</v>
      </c>
      <c r="BB100" s="288">
        <f t="shared" si="101"/>
        <v>0</v>
      </c>
      <c r="BC100" s="288">
        <f t="shared" si="101"/>
        <v>0</v>
      </c>
      <c r="BD100" s="288">
        <f t="shared" si="96"/>
        <v>0</v>
      </c>
      <c r="BE100" s="288">
        <f t="shared" si="96"/>
        <v>0</v>
      </c>
      <c r="BF100" s="288">
        <f t="shared" si="96"/>
        <v>0</v>
      </c>
      <c r="BG100" s="288">
        <f t="shared" si="96"/>
        <v>0</v>
      </c>
      <c r="BH100" s="288">
        <f t="shared" si="96"/>
        <v>0</v>
      </c>
      <c r="BI100" s="288">
        <f t="shared" si="96"/>
        <v>0</v>
      </c>
      <c r="BJ100" s="288">
        <f t="shared" si="96"/>
        <v>0</v>
      </c>
      <c r="BK100" s="288">
        <f t="shared" si="96"/>
        <v>0</v>
      </c>
      <c r="BL100" s="288">
        <f t="shared" si="100"/>
        <v>0</v>
      </c>
      <c r="BM100" s="288">
        <f t="shared" si="100"/>
        <v>0</v>
      </c>
      <c r="BN100" s="288">
        <f t="shared" si="100"/>
        <v>0</v>
      </c>
      <c r="BO100" s="288">
        <f t="shared" si="100"/>
        <v>0</v>
      </c>
      <c r="BP100" s="288">
        <f t="shared" si="100"/>
        <v>0</v>
      </c>
      <c r="BQ100" s="288">
        <f t="shared" si="100"/>
        <v>0</v>
      </c>
      <c r="BR100" s="288">
        <f t="shared" si="100"/>
        <v>0</v>
      </c>
      <c r="BS100" s="288">
        <f t="shared" si="100"/>
        <v>0</v>
      </c>
      <c r="BT100" s="288">
        <f t="shared" si="94"/>
        <v>0</v>
      </c>
      <c r="BU100" s="288">
        <f t="shared" si="94"/>
        <v>0</v>
      </c>
      <c r="BV100" s="288">
        <f t="shared" si="94"/>
        <v>0</v>
      </c>
      <c r="BW100" s="288">
        <f t="shared" si="94"/>
        <v>0</v>
      </c>
      <c r="BX100" s="288">
        <f t="shared" si="94"/>
        <v>0</v>
      </c>
      <c r="BY100" s="288">
        <f t="shared" si="94"/>
        <v>0</v>
      </c>
      <c r="BZ100" s="288">
        <f t="shared" si="94"/>
        <v>0</v>
      </c>
      <c r="CA100" s="288">
        <f t="shared" si="94"/>
        <v>0</v>
      </c>
      <c r="CB100" s="288">
        <f t="shared" si="94"/>
        <v>0</v>
      </c>
      <c r="CC100" s="288">
        <f t="shared" si="94"/>
        <v>0</v>
      </c>
      <c r="CD100" s="288">
        <f t="shared" si="94"/>
        <v>0</v>
      </c>
      <c r="CE100" s="288">
        <f t="shared" si="93"/>
        <v>0</v>
      </c>
      <c r="CF100" s="288">
        <f t="shared" si="93"/>
        <v>0</v>
      </c>
      <c r="CG100" s="288">
        <f t="shared" si="93"/>
        <v>0</v>
      </c>
      <c r="CH100" s="288">
        <f t="shared" si="93"/>
        <v>0</v>
      </c>
      <c r="CI100" s="288">
        <f t="shared" si="93"/>
        <v>0</v>
      </c>
      <c r="CJ100" s="288">
        <f t="shared" si="93"/>
        <v>0</v>
      </c>
      <c r="CK100" s="288">
        <f t="shared" si="93"/>
        <v>0</v>
      </c>
      <c r="CL100" s="288">
        <f t="shared" si="93"/>
        <v>0</v>
      </c>
      <c r="CM100" s="288">
        <f t="shared" si="91"/>
        <v>0</v>
      </c>
      <c r="CN100" s="288">
        <f t="shared" si="91"/>
        <v>0</v>
      </c>
      <c r="CO100" s="288">
        <f t="shared" si="91"/>
        <v>0</v>
      </c>
      <c r="CP100" s="288">
        <f t="shared" si="91"/>
        <v>0</v>
      </c>
      <c r="CQ100" s="288">
        <f t="shared" si="80"/>
        <v>0</v>
      </c>
      <c r="CR100" s="288">
        <f t="shared" si="81"/>
        <v>0</v>
      </c>
      <c r="CS100" s="288">
        <f t="shared" si="82"/>
        <v>0</v>
      </c>
      <c r="CT100" s="288">
        <f t="shared" si="95"/>
        <v>0</v>
      </c>
      <c r="CU100" s="288">
        <f t="shared" si="84"/>
        <v>0</v>
      </c>
      <c r="CV100" s="288">
        <f t="shared" si="29"/>
        <v>97</v>
      </c>
      <c r="CW100" s="288">
        <f t="shared" si="29"/>
        <v>0</v>
      </c>
      <c r="CX100" s="288">
        <f t="shared" si="29"/>
        <v>0</v>
      </c>
      <c r="CY100" s="288">
        <f t="shared" si="29"/>
        <v>0</v>
      </c>
      <c r="CZ100" s="288">
        <f t="shared" si="29"/>
        <v>0</v>
      </c>
      <c r="DA100" s="288">
        <f t="shared" si="29"/>
        <v>0</v>
      </c>
      <c r="DB100" s="288">
        <f t="shared" si="33"/>
        <v>0</v>
      </c>
      <c r="DC100" s="288">
        <f t="shared" si="33"/>
        <v>0</v>
      </c>
      <c r="DD100" s="288">
        <f t="shared" si="33"/>
        <v>0</v>
      </c>
      <c r="DE100" s="288">
        <f t="shared" si="33"/>
        <v>0</v>
      </c>
      <c r="DG100" s="314">
        <f t="shared" si="60"/>
        <v>97</v>
      </c>
      <c r="DH100" s="289">
        <f>MAX(CV$3:CV$109)</f>
        <v>97</v>
      </c>
      <c r="DJ100" s="288">
        <f>LOOKUP(DH100, 'Mortality Table'!A:A,('Mortality Table'!J:J/'Mortality Table'!I:I))</f>
        <v>0.30961029749943664</v>
      </c>
      <c r="DK100" s="288">
        <f>LOOKUP(A100, 'Mortality Table'!A:A,('Mortality Table'!J:J/'Mortality Table'!I:I))</f>
        <v>0.30961029749943664</v>
      </c>
      <c r="DL100" s="288">
        <f t="shared" si="61"/>
        <v>0</v>
      </c>
      <c r="DN100" s="288">
        <f>LOOKUP(DH100, 'Mortality Table'!A:A,('Mortality Table'!L:L/'Mortality Table'!K:K))</f>
        <v>0.31362269335436488</v>
      </c>
      <c r="DO100" s="288">
        <f>LOOKUP(A100, 'Mortality Table'!A:A,('Mortality Table'!L:L/'Mortality Table'!K:K))</f>
        <v>0.31362269335436488</v>
      </c>
      <c r="DP100" s="288">
        <f t="shared" si="62"/>
        <v>0</v>
      </c>
      <c r="DR100" s="288">
        <f>LOOKUP(DH100, 'Mortality Table'!A:A,('Mortality Table'!N:N/'Mortality Table'!M:M))</f>
        <v>0.32067127440995258</v>
      </c>
      <c r="DS100" s="288">
        <f>LOOKUP(A100, 'Mortality Table'!A:A,('Mortality Table'!N:N/'Mortality Table'!M:M))</f>
        <v>0.32067127440995258</v>
      </c>
      <c r="DT100" s="288">
        <f t="shared" si="63"/>
        <v>0</v>
      </c>
    </row>
    <row r="101" spans="1:124">
      <c r="A101" s="288">
        <v>98</v>
      </c>
      <c r="B101" s="288">
        <v>0.38783783783783782</v>
      </c>
      <c r="C101" s="288">
        <f t="shared" si="99"/>
        <v>0</v>
      </c>
      <c r="D101" s="288">
        <f t="shared" si="99"/>
        <v>0</v>
      </c>
      <c r="E101" s="288">
        <f t="shared" si="99"/>
        <v>0</v>
      </c>
      <c r="F101" s="288">
        <f t="shared" si="99"/>
        <v>0</v>
      </c>
      <c r="G101" s="288">
        <f t="shared" si="99"/>
        <v>0</v>
      </c>
      <c r="H101" s="288">
        <f t="shared" si="99"/>
        <v>0</v>
      </c>
      <c r="I101" s="288">
        <f t="shared" si="98"/>
        <v>0</v>
      </c>
      <c r="J101" s="288">
        <f t="shared" si="98"/>
        <v>0</v>
      </c>
      <c r="K101" s="288">
        <f t="shared" si="98"/>
        <v>0</v>
      </c>
      <c r="L101" s="288">
        <f t="shared" si="98"/>
        <v>0</v>
      </c>
      <c r="M101" s="288">
        <f t="shared" si="98"/>
        <v>0</v>
      </c>
      <c r="N101" s="288">
        <f t="shared" si="98"/>
        <v>0</v>
      </c>
      <c r="O101" s="288">
        <f t="shared" si="98"/>
        <v>0</v>
      </c>
      <c r="P101" s="288">
        <f t="shared" si="98"/>
        <v>0</v>
      </c>
      <c r="Q101" s="288">
        <f t="shared" si="98"/>
        <v>0</v>
      </c>
      <c r="R101" s="288">
        <f t="shared" si="98"/>
        <v>0</v>
      </c>
      <c r="S101" s="288">
        <f t="shared" si="98"/>
        <v>0</v>
      </c>
      <c r="T101" s="288">
        <f t="shared" si="98"/>
        <v>0</v>
      </c>
      <c r="U101" s="288">
        <f t="shared" si="98"/>
        <v>0</v>
      </c>
      <c r="V101" s="288">
        <f t="shared" si="98"/>
        <v>0</v>
      </c>
      <c r="W101" s="288">
        <f t="shared" si="98"/>
        <v>0</v>
      </c>
      <c r="X101" s="288">
        <f t="shared" si="98"/>
        <v>0</v>
      </c>
      <c r="Y101" s="288">
        <f t="shared" ref="Y101:AK109" si="105">IF(Y$2&gt;$B101,(IF(Y$2&lt;=$B102,(IF(AVERAGE($B101,$B102)&gt;Y$2,$A101,$A102)),0)),0)</f>
        <v>0</v>
      </c>
      <c r="Z101" s="288">
        <f t="shared" si="105"/>
        <v>0</v>
      </c>
      <c r="AA101" s="288">
        <f t="shared" si="105"/>
        <v>0</v>
      </c>
      <c r="AB101" s="288">
        <f t="shared" si="105"/>
        <v>0</v>
      </c>
      <c r="AC101" s="288">
        <f t="shared" si="105"/>
        <v>0</v>
      </c>
      <c r="AD101" s="288">
        <f t="shared" si="105"/>
        <v>0</v>
      </c>
      <c r="AE101" s="288">
        <f t="shared" si="105"/>
        <v>0</v>
      </c>
      <c r="AF101" s="288">
        <f t="shared" si="105"/>
        <v>0</v>
      </c>
      <c r="AG101" s="288">
        <f t="shared" si="105"/>
        <v>0</v>
      </c>
      <c r="AH101" s="288">
        <f t="shared" si="105"/>
        <v>0</v>
      </c>
      <c r="AI101" s="288">
        <f t="shared" si="105"/>
        <v>0</v>
      </c>
      <c r="AJ101" s="288">
        <f t="shared" si="105"/>
        <v>0</v>
      </c>
      <c r="AK101" s="288">
        <f t="shared" si="105"/>
        <v>0</v>
      </c>
      <c r="AL101" s="288">
        <f t="shared" si="104"/>
        <v>0</v>
      </c>
      <c r="AM101" s="288">
        <f t="shared" si="104"/>
        <v>0</v>
      </c>
      <c r="AN101" s="288">
        <f t="shared" si="104"/>
        <v>0</v>
      </c>
      <c r="AO101" s="288">
        <f t="shared" si="104"/>
        <v>0</v>
      </c>
      <c r="AP101" s="288">
        <f t="shared" si="102"/>
        <v>0</v>
      </c>
      <c r="AQ101" s="288">
        <f t="shared" si="102"/>
        <v>0</v>
      </c>
      <c r="AR101" s="288">
        <f t="shared" si="102"/>
        <v>0</v>
      </c>
      <c r="AS101" s="288">
        <f t="shared" si="102"/>
        <v>0</v>
      </c>
      <c r="AT101" s="288">
        <f t="shared" si="102"/>
        <v>0</v>
      </c>
      <c r="AU101" s="288">
        <f t="shared" si="102"/>
        <v>0</v>
      </c>
      <c r="AV101" s="288">
        <f t="shared" si="102"/>
        <v>0</v>
      </c>
      <c r="AW101" s="288">
        <f t="shared" si="101"/>
        <v>0</v>
      </c>
      <c r="AX101" s="288">
        <f t="shared" si="101"/>
        <v>0</v>
      </c>
      <c r="AY101" s="288">
        <f t="shared" si="101"/>
        <v>0</v>
      </c>
      <c r="AZ101" s="288">
        <f t="shared" si="101"/>
        <v>0</v>
      </c>
      <c r="BA101" s="288">
        <f t="shared" si="101"/>
        <v>0</v>
      </c>
      <c r="BB101" s="288">
        <f t="shared" si="101"/>
        <v>0</v>
      </c>
      <c r="BC101" s="288">
        <f t="shared" si="101"/>
        <v>0</v>
      </c>
      <c r="BD101" s="288">
        <f t="shared" si="96"/>
        <v>0</v>
      </c>
      <c r="BE101" s="288">
        <f t="shared" si="96"/>
        <v>0</v>
      </c>
      <c r="BF101" s="288">
        <f t="shared" si="96"/>
        <v>0</v>
      </c>
      <c r="BG101" s="288">
        <f t="shared" si="96"/>
        <v>0</v>
      </c>
      <c r="BH101" s="288">
        <f t="shared" si="96"/>
        <v>0</v>
      </c>
      <c r="BI101" s="288">
        <f t="shared" si="96"/>
        <v>0</v>
      </c>
      <c r="BJ101" s="288">
        <f t="shared" si="96"/>
        <v>0</v>
      </c>
      <c r="BK101" s="288">
        <f t="shared" si="96"/>
        <v>0</v>
      </c>
      <c r="BL101" s="288">
        <f t="shared" si="100"/>
        <v>0</v>
      </c>
      <c r="BM101" s="288">
        <f t="shared" si="100"/>
        <v>0</v>
      </c>
      <c r="BN101" s="288">
        <f t="shared" si="100"/>
        <v>0</v>
      </c>
      <c r="BO101" s="288">
        <f t="shared" si="100"/>
        <v>0</v>
      </c>
      <c r="BP101" s="288">
        <f t="shared" si="100"/>
        <v>0</v>
      </c>
      <c r="BQ101" s="288">
        <f t="shared" si="100"/>
        <v>0</v>
      </c>
      <c r="BR101" s="288">
        <f t="shared" si="100"/>
        <v>0</v>
      </c>
      <c r="BS101" s="288">
        <f t="shared" si="100"/>
        <v>0</v>
      </c>
      <c r="BT101" s="288">
        <f t="shared" si="94"/>
        <v>0</v>
      </c>
      <c r="BU101" s="288">
        <f t="shared" si="94"/>
        <v>0</v>
      </c>
      <c r="BV101" s="288">
        <f t="shared" si="94"/>
        <v>0</v>
      </c>
      <c r="BW101" s="288">
        <f t="shared" si="94"/>
        <v>0</v>
      </c>
      <c r="BX101" s="288">
        <f t="shared" si="94"/>
        <v>0</v>
      </c>
      <c r="BY101" s="288">
        <f t="shared" si="94"/>
        <v>0</v>
      </c>
      <c r="BZ101" s="288">
        <f t="shared" si="94"/>
        <v>0</v>
      </c>
      <c r="CA101" s="288">
        <f t="shared" si="94"/>
        <v>0</v>
      </c>
      <c r="CB101" s="288">
        <f t="shared" si="94"/>
        <v>0</v>
      </c>
      <c r="CC101" s="288">
        <f t="shared" si="94"/>
        <v>0</v>
      </c>
      <c r="CD101" s="288">
        <f t="shared" si="94"/>
        <v>0</v>
      </c>
      <c r="CE101" s="288">
        <f t="shared" si="93"/>
        <v>0</v>
      </c>
      <c r="CF101" s="288">
        <f t="shared" si="93"/>
        <v>0</v>
      </c>
      <c r="CG101" s="288">
        <f t="shared" si="93"/>
        <v>0</v>
      </c>
      <c r="CH101" s="288">
        <f t="shared" si="93"/>
        <v>0</v>
      </c>
      <c r="CI101" s="288">
        <f t="shared" si="93"/>
        <v>0</v>
      </c>
      <c r="CJ101" s="288">
        <f t="shared" si="93"/>
        <v>0</v>
      </c>
      <c r="CK101" s="288">
        <f t="shared" si="93"/>
        <v>0</v>
      </c>
      <c r="CL101" s="288">
        <f t="shared" si="93"/>
        <v>0</v>
      </c>
      <c r="CM101" s="288">
        <f t="shared" si="91"/>
        <v>0</v>
      </c>
      <c r="CN101" s="288">
        <f t="shared" si="91"/>
        <v>0</v>
      </c>
      <c r="CO101" s="288">
        <f t="shared" si="91"/>
        <v>0</v>
      </c>
      <c r="CP101" s="288">
        <f t="shared" si="91"/>
        <v>0</v>
      </c>
      <c r="CQ101" s="288">
        <f t="shared" si="80"/>
        <v>0</v>
      </c>
      <c r="CR101" s="288">
        <f t="shared" si="81"/>
        <v>0</v>
      </c>
      <c r="CS101" s="288">
        <f t="shared" si="82"/>
        <v>0</v>
      </c>
      <c r="CT101" s="288">
        <f t="shared" si="95"/>
        <v>0</v>
      </c>
      <c r="CU101" s="288">
        <f t="shared" si="84"/>
        <v>0</v>
      </c>
      <c r="CV101" s="288">
        <f t="shared" si="29"/>
        <v>0</v>
      </c>
      <c r="CW101" s="288">
        <f t="shared" si="29"/>
        <v>98</v>
      </c>
      <c r="CX101" s="288">
        <f t="shared" si="29"/>
        <v>0</v>
      </c>
      <c r="CY101" s="288">
        <f t="shared" si="29"/>
        <v>0</v>
      </c>
      <c r="CZ101" s="288">
        <f t="shared" si="29"/>
        <v>0</v>
      </c>
      <c r="DA101" s="288">
        <f t="shared" si="29"/>
        <v>0</v>
      </c>
      <c r="DB101" s="288">
        <f t="shared" si="33"/>
        <v>0</v>
      </c>
      <c r="DC101" s="288">
        <f t="shared" si="33"/>
        <v>0</v>
      </c>
      <c r="DD101" s="288">
        <f t="shared" si="33"/>
        <v>0</v>
      </c>
      <c r="DE101" s="288">
        <f t="shared" si="33"/>
        <v>0</v>
      </c>
      <c r="DG101" s="314">
        <f t="shared" si="60"/>
        <v>98</v>
      </c>
      <c r="DH101" s="289">
        <f>MAX(CW$3:CW$109)</f>
        <v>98</v>
      </c>
      <c r="DJ101" s="288">
        <f>LOOKUP(DH101, 'Mortality Table'!A:A,('Mortality Table'!J:J/'Mortality Table'!I:I))</f>
        <v>0.35703366937408038</v>
      </c>
      <c r="DK101" s="288">
        <f>LOOKUP(A101, 'Mortality Table'!A:A,('Mortality Table'!J:J/'Mortality Table'!I:I))</f>
        <v>0.35703366937408038</v>
      </c>
      <c r="DL101" s="288">
        <f t="shared" si="61"/>
        <v>0</v>
      </c>
      <c r="DN101" s="288">
        <f>LOOKUP(DH101, 'Mortality Table'!A:A,('Mortality Table'!L:L/'Mortality Table'!K:K))</f>
        <v>0.36166064860130986</v>
      </c>
      <c r="DO101" s="288">
        <f>LOOKUP(A101, 'Mortality Table'!A:A,('Mortality Table'!L:L/'Mortality Table'!K:K))</f>
        <v>0.36166064860130986</v>
      </c>
      <c r="DP101" s="288">
        <f t="shared" si="62"/>
        <v>0</v>
      </c>
      <c r="DR101" s="288">
        <f>LOOKUP(DH101, 'Mortality Table'!A:A,('Mortality Table'!N:N/'Mortality Table'!M:M))</f>
        <v>0.3697888690722767</v>
      </c>
      <c r="DS101" s="288">
        <f>LOOKUP(A101, 'Mortality Table'!A:A,('Mortality Table'!N:N/'Mortality Table'!M:M))</f>
        <v>0.3697888690722767</v>
      </c>
      <c r="DT101" s="288">
        <f t="shared" si="63"/>
        <v>0</v>
      </c>
    </row>
    <row r="102" spans="1:124">
      <c r="A102" s="288">
        <v>99</v>
      </c>
      <c r="B102" s="288">
        <v>0.41942604856512139</v>
      </c>
      <c r="C102" s="288">
        <f t="shared" si="99"/>
        <v>0</v>
      </c>
      <c r="D102" s="288">
        <f t="shared" si="99"/>
        <v>0</v>
      </c>
      <c r="E102" s="288">
        <f t="shared" si="99"/>
        <v>0</v>
      </c>
      <c r="F102" s="288">
        <f t="shared" si="99"/>
        <v>0</v>
      </c>
      <c r="G102" s="288">
        <f t="shared" si="99"/>
        <v>0</v>
      </c>
      <c r="H102" s="288">
        <f t="shared" si="99"/>
        <v>0</v>
      </c>
      <c r="I102" s="288">
        <f t="shared" si="98"/>
        <v>0</v>
      </c>
      <c r="J102" s="288">
        <f t="shared" si="98"/>
        <v>0</v>
      </c>
      <c r="K102" s="288">
        <f t="shared" si="98"/>
        <v>0</v>
      </c>
      <c r="L102" s="288">
        <f t="shared" si="98"/>
        <v>0</v>
      </c>
      <c r="M102" s="288">
        <f t="shared" si="98"/>
        <v>0</v>
      </c>
      <c r="N102" s="288">
        <f t="shared" si="98"/>
        <v>0</v>
      </c>
      <c r="O102" s="288">
        <f t="shared" si="98"/>
        <v>0</v>
      </c>
      <c r="P102" s="288">
        <f t="shared" si="98"/>
        <v>0</v>
      </c>
      <c r="Q102" s="288">
        <f t="shared" si="98"/>
        <v>0</v>
      </c>
      <c r="R102" s="288">
        <f t="shared" si="98"/>
        <v>0</v>
      </c>
      <c r="S102" s="288">
        <f t="shared" si="98"/>
        <v>0</v>
      </c>
      <c r="T102" s="288">
        <f t="shared" si="98"/>
        <v>0</v>
      </c>
      <c r="U102" s="288">
        <f t="shared" si="98"/>
        <v>0</v>
      </c>
      <c r="V102" s="288">
        <f t="shared" si="98"/>
        <v>0</v>
      </c>
      <c r="W102" s="288">
        <f t="shared" si="98"/>
        <v>0</v>
      </c>
      <c r="X102" s="288">
        <f t="shared" si="98"/>
        <v>0</v>
      </c>
      <c r="Y102" s="288">
        <f t="shared" si="105"/>
        <v>0</v>
      </c>
      <c r="Z102" s="288">
        <f t="shared" si="105"/>
        <v>0</v>
      </c>
      <c r="AA102" s="288">
        <f t="shared" si="105"/>
        <v>0</v>
      </c>
      <c r="AB102" s="288">
        <f t="shared" si="105"/>
        <v>0</v>
      </c>
      <c r="AC102" s="288">
        <f t="shared" si="105"/>
        <v>0</v>
      </c>
      <c r="AD102" s="288">
        <f t="shared" si="105"/>
        <v>0</v>
      </c>
      <c r="AE102" s="288">
        <f t="shared" si="105"/>
        <v>0</v>
      </c>
      <c r="AF102" s="288">
        <f t="shared" si="105"/>
        <v>0</v>
      </c>
      <c r="AG102" s="288">
        <f t="shared" si="105"/>
        <v>0</v>
      </c>
      <c r="AH102" s="288">
        <f t="shared" si="105"/>
        <v>0</v>
      </c>
      <c r="AI102" s="288">
        <f t="shared" si="105"/>
        <v>0</v>
      </c>
      <c r="AJ102" s="288">
        <f t="shared" si="105"/>
        <v>0</v>
      </c>
      <c r="AK102" s="288">
        <f t="shared" si="105"/>
        <v>0</v>
      </c>
      <c r="AL102" s="288">
        <f t="shared" si="104"/>
        <v>0</v>
      </c>
      <c r="AM102" s="288">
        <f t="shared" si="104"/>
        <v>0</v>
      </c>
      <c r="AN102" s="288">
        <f t="shared" si="104"/>
        <v>0</v>
      </c>
      <c r="AO102" s="288">
        <f t="shared" si="104"/>
        <v>0</v>
      </c>
      <c r="AP102" s="288">
        <f t="shared" si="102"/>
        <v>0</v>
      </c>
      <c r="AQ102" s="288">
        <f t="shared" si="102"/>
        <v>0</v>
      </c>
      <c r="AR102" s="288">
        <f t="shared" si="102"/>
        <v>0</v>
      </c>
      <c r="AS102" s="288">
        <f t="shared" si="102"/>
        <v>0</v>
      </c>
      <c r="AT102" s="288">
        <f t="shared" si="102"/>
        <v>0</v>
      </c>
      <c r="AU102" s="288">
        <f t="shared" si="102"/>
        <v>0</v>
      </c>
      <c r="AV102" s="288">
        <f t="shared" si="102"/>
        <v>0</v>
      </c>
      <c r="AW102" s="288">
        <f t="shared" si="101"/>
        <v>0</v>
      </c>
      <c r="AX102" s="288">
        <f t="shared" si="101"/>
        <v>0</v>
      </c>
      <c r="AY102" s="288">
        <f t="shared" si="101"/>
        <v>0</v>
      </c>
      <c r="AZ102" s="288">
        <f t="shared" si="101"/>
        <v>0</v>
      </c>
      <c r="BA102" s="288">
        <f t="shared" si="101"/>
        <v>0</v>
      </c>
      <c r="BB102" s="288">
        <f t="shared" si="101"/>
        <v>0</v>
      </c>
      <c r="BC102" s="288">
        <f t="shared" si="101"/>
        <v>0</v>
      </c>
      <c r="BD102" s="288">
        <f t="shared" si="96"/>
        <v>0</v>
      </c>
      <c r="BE102" s="288">
        <f t="shared" si="96"/>
        <v>0</v>
      </c>
      <c r="BF102" s="288">
        <f t="shared" si="96"/>
        <v>0</v>
      </c>
      <c r="BG102" s="288">
        <f t="shared" si="96"/>
        <v>0</v>
      </c>
      <c r="BH102" s="288">
        <f t="shared" si="96"/>
        <v>0</v>
      </c>
      <c r="BI102" s="288">
        <f t="shared" si="96"/>
        <v>0</v>
      </c>
      <c r="BJ102" s="288">
        <f t="shared" si="96"/>
        <v>0</v>
      </c>
      <c r="BK102" s="288">
        <f t="shared" si="96"/>
        <v>0</v>
      </c>
      <c r="BL102" s="288">
        <f t="shared" si="100"/>
        <v>0</v>
      </c>
      <c r="BM102" s="288">
        <f t="shared" si="100"/>
        <v>0</v>
      </c>
      <c r="BN102" s="288">
        <f t="shared" si="100"/>
        <v>0</v>
      </c>
      <c r="BO102" s="288">
        <f t="shared" si="100"/>
        <v>0</v>
      </c>
      <c r="BP102" s="288">
        <f t="shared" si="100"/>
        <v>0</v>
      </c>
      <c r="BQ102" s="288">
        <f t="shared" si="100"/>
        <v>0</v>
      </c>
      <c r="BR102" s="288">
        <f t="shared" si="100"/>
        <v>0</v>
      </c>
      <c r="BS102" s="288">
        <f t="shared" si="100"/>
        <v>0</v>
      </c>
      <c r="BT102" s="288">
        <f t="shared" si="94"/>
        <v>0</v>
      </c>
      <c r="BU102" s="288">
        <f t="shared" si="94"/>
        <v>0</v>
      </c>
      <c r="BV102" s="288">
        <f t="shared" si="94"/>
        <v>0</v>
      </c>
      <c r="BW102" s="288">
        <f t="shared" si="94"/>
        <v>0</v>
      </c>
      <c r="BX102" s="288">
        <f t="shared" si="94"/>
        <v>0</v>
      </c>
      <c r="BY102" s="288">
        <f t="shared" si="94"/>
        <v>0</v>
      </c>
      <c r="BZ102" s="288">
        <f t="shared" si="94"/>
        <v>0</v>
      </c>
      <c r="CA102" s="288">
        <f t="shared" si="94"/>
        <v>0</v>
      </c>
      <c r="CB102" s="288">
        <f t="shared" si="94"/>
        <v>0</v>
      </c>
      <c r="CC102" s="288">
        <f t="shared" si="94"/>
        <v>0</v>
      </c>
      <c r="CD102" s="288">
        <f t="shared" si="94"/>
        <v>0</v>
      </c>
      <c r="CE102" s="288">
        <f t="shared" si="93"/>
        <v>0</v>
      </c>
      <c r="CF102" s="288">
        <f t="shared" si="93"/>
        <v>0</v>
      </c>
      <c r="CG102" s="288">
        <f t="shared" si="93"/>
        <v>0</v>
      </c>
      <c r="CH102" s="288">
        <f t="shared" si="93"/>
        <v>0</v>
      </c>
      <c r="CI102" s="288">
        <f t="shared" si="93"/>
        <v>0</v>
      </c>
      <c r="CJ102" s="288">
        <f t="shared" si="93"/>
        <v>0</v>
      </c>
      <c r="CK102" s="288">
        <f t="shared" si="93"/>
        <v>0</v>
      </c>
      <c r="CL102" s="288">
        <f t="shared" si="93"/>
        <v>0</v>
      </c>
      <c r="CM102" s="288">
        <f t="shared" si="91"/>
        <v>0</v>
      </c>
      <c r="CN102" s="288">
        <f t="shared" si="91"/>
        <v>0</v>
      </c>
      <c r="CO102" s="288">
        <f t="shared" si="91"/>
        <v>0</v>
      </c>
      <c r="CP102" s="288">
        <f t="shared" si="91"/>
        <v>0</v>
      </c>
      <c r="CQ102" s="288">
        <f t="shared" si="80"/>
        <v>0</v>
      </c>
      <c r="CR102" s="288">
        <f t="shared" si="81"/>
        <v>0</v>
      </c>
      <c r="CS102" s="288">
        <f t="shared" si="82"/>
        <v>0</v>
      </c>
      <c r="CT102" s="288">
        <f t="shared" si="95"/>
        <v>0</v>
      </c>
      <c r="CU102" s="288">
        <f t="shared" si="84"/>
        <v>0</v>
      </c>
      <c r="CV102" s="288">
        <f t="shared" si="29"/>
        <v>0</v>
      </c>
      <c r="CW102" s="288">
        <f t="shared" si="29"/>
        <v>0</v>
      </c>
      <c r="CX102" s="288">
        <f t="shared" si="29"/>
        <v>99</v>
      </c>
      <c r="CY102" s="288">
        <f t="shared" si="29"/>
        <v>0</v>
      </c>
      <c r="CZ102" s="288">
        <f t="shared" si="29"/>
        <v>0</v>
      </c>
      <c r="DA102" s="288">
        <f t="shared" si="29"/>
        <v>0</v>
      </c>
      <c r="DB102" s="288">
        <f t="shared" si="33"/>
        <v>0</v>
      </c>
      <c r="DC102" s="288">
        <f t="shared" si="33"/>
        <v>0</v>
      </c>
      <c r="DD102" s="288">
        <f t="shared" si="33"/>
        <v>0</v>
      </c>
      <c r="DE102" s="288">
        <f t="shared" si="33"/>
        <v>0</v>
      </c>
      <c r="DG102" s="314">
        <f t="shared" si="60"/>
        <v>99</v>
      </c>
      <c r="DH102" s="289">
        <f>MAX(CX$3:CX$109)</f>
        <v>99</v>
      </c>
      <c r="DJ102" s="288">
        <f>LOOKUP(DH102, 'Mortality Table'!A:A,('Mortality Table'!J:J/'Mortality Table'!I:I))</f>
        <v>0.3861129743944402</v>
      </c>
      <c r="DK102" s="288">
        <f>LOOKUP(A102, 'Mortality Table'!A:A,('Mortality Table'!J:J/'Mortality Table'!I:I))</f>
        <v>0.3861129743944402</v>
      </c>
      <c r="DL102" s="288">
        <f t="shared" si="61"/>
        <v>0</v>
      </c>
      <c r="DN102" s="288">
        <f>LOOKUP(DH102, 'Mortality Table'!A:A,('Mortality Table'!L:L/'Mortality Table'!K:K))</f>
        <v>0.39111680698821022</v>
      </c>
      <c r="DO102" s="288">
        <f>LOOKUP(A102, 'Mortality Table'!A:A,('Mortality Table'!L:L/'Mortality Table'!K:K))</f>
        <v>0.39111680698821022</v>
      </c>
      <c r="DP102" s="288">
        <f t="shared" si="62"/>
        <v>0</v>
      </c>
      <c r="DR102" s="288">
        <f>LOOKUP(DH102, 'Mortality Table'!A:A,('Mortality Table'!N:N/'Mortality Table'!M:M))</f>
        <v>0.39990704626194767</v>
      </c>
      <c r="DS102" s="288">
        <f>LOOKUP(A102, 'Mortality Table'!A:A,('Mortality Table'!N:N/'Mortality Table'!M:M))</f>
        <v>0.39990704626194767</v>
      </c>
      <c r="DT102" s="288">
        <f t="shared" si="63"/>
        <v>0</v>
      </c>
    </row>
    <row r="103" spans="1:124">
      <c r="A103" s="288">
        <v>100</v>
      </c>
      <c r="B103" s="288">
        <v>0.44866920152091255</v>
      </c>
      <c r="C103" s="288">
        <f t="shared" si="99"/>
        <v>0</v>
      </c>
      <c r="D103" s="288">
        <f t="shared" si="99"/>
        <v>0</v>
      </c>
      <c r="E103" s="288">
        <f t="shared" si="99"/>
        <v>0</v>
      </c>
      <c r="F103" s="288">
        <f t="shared" si="99"/>
        <v>0</v>
      </c>
      <c r="G103" s="288">
        <f t="shared" si="99"/>
        <v>0</v>
      </c>
      <c r="H103" s="288">
        <f t="shared" si="99"/>
        <v>0</v>
      </c>
      <c r="I103" s="288">
        <f t="shared" si="98"/>
        <v>0</v>
      </c>
      <c r="J103" s="288">
        <f t="shared" si="98"/>
        <v>0</v>
      </c>
      <c r="K103" s="288">
        <f t="shared" si="98"/>
        <v>0</v>
      </c>
      <c r="L103" s="288">
        <f t="shared" si="98"/>
        <v>0</v>
      </c>
      <c r="M103" s="288">
        <f t="shared" si="98"/>
        <v>0</v>
      </c>
      <c r="N103" s="288">
        <f t="shared" si="98"/>
        <v>0</v>
      </c>
      <c r="O103" s="288">
        <f t="shared" si="98"/>
        <v>0</v>
      </c>
      <c r="P103" s="288">
        <f t="shared" si="98"/>
        <v>0</v>
      </c>
      <c r="Q103" s="288">
        <f t="shared" si="98"/>
        <v>0</v>
      </c>
      <c r="R103" s="288">
        <f t="shared" si="98"/>
        <v>0</v>
      </c>
      <c r="S103" s="288">
        <f t="shared" si="98"/>
        <v>0</v>
      </c>
      <c r="T103" s="288">
        <f t="shared" si="98"/>
        <v>0</v>
      </c>
      <c r="U103" s="288">
        <f t="shared" si="98"/>
        <v>0</v>
      </c>
      <c r="V103" s="288">
        <f t="shared" si="98"/>
        <v>0</v>
      </c>
      <c r="W103" s="288">
        <f t="shared" si="98"/>
        <v>0</v>
      </c>
      <c r="X103" s="288">
        <f t="shared" si="98"/>
        <v>0</v>
      </c>
      <c r="Y103" s="288">
        <f t="shared" si="105"/>
        <v>0</v>
      </c>
      <c r="Z103" s="288">
        <f t="shared" si="105"/>
        <v>0</v>
      </c>
      <c r="AA103" s="288">
        <f t="shared" si="105"/>
        <v>0</v>
      </c>
      <c r="AB103" s="288">
        <f t="shared" si="105"/>
        <v>0</v>
      </c>
      <c r="AC103" s="288">
        <f t="shared" si="105"/>
        <v>0</v>
      </c>
      <c r="AD103" s="288">
        <f t="shared" si="105"/>
        <v>0</v>
      </c>
      <c r="AE103" s="288">
        <f t="shared" si="105"/>
        <v>0</v>
      </c>
      <c r="AF103" s="288">
        <f t="shared" si="105"/>
        <v>0</v>
      </c>
      <c r="AG103" s="288">
        <f t="shared" si="105"/>
        <v>0</v>
      </c>
      <c r="AH103" s="288">
        <f t="shared" si="105"/>
        <v>0</v>
      </c>
      <c r="AI103" s="288">
        <f t="shared" si="105"/>
        <v>0</v>
      </c>
      <c r="AJ103" s="288">
        <f t="shared" si="105"/>
        <v>0</v>
      </c>
      <c r="AK103" s="288">
        <f t="shared" si="105"/>
        <v>0</v>
      </c>
      <c r="AL103" s="288">
        <f t="shared" si="104"/>
        <v>0</v>
      </c>
      <c r="AM103" s="288">
        <f t="shared" si="104"/>
        <v>0</v>
      </c>
      <c r="AN103" s="288">
        <f t="shared" si="104"/>
        <v>0</v>
      </c>
      <c r="AO103" s="288">
        <f t="shared" si="104"/>
        <v>0</v>
      </c>
      <c r="AP103" s="288">
        <f t="shared" si="102"/>
        <v>0</v>
      </c>
      <c r="AQ103" s="288">
        <f t="shared" si="102"/>
        <v>0</v>
      </c>
      <c r="AR103" s="288">
        <f t="shared" si="102"/>
        <v>0</v>
      </c>
      <c r="AS103" s="288">
        <f t="shared" si="102"/>
        <v>0</v>
      </c>
      <c r="AT103" s="288">
        <f t="shared" si="102"/>
        <v>0</v>
      </c>
      <c r="AU103" s="288">
        <f t="shared" si="102"/>
        <v>0</v>
      </c>
      <c r="AV103" s="288">
        <f t="shared" si="102"/>
        <v>0</v>
      </c>
      <c r="AW103" s="288">
        <f t="shared" si="101"/>
        <v>0</v>
      </c>
      <c r="AX103" s="288">
        <f t="shared" si="101"/>
        <v>0</v>
      </c>
      <c r="AY103" s="288">
        <f t="shared" si="101"/>
        <v>0</v>
      </c>
      <c r="AZ103" s="288">
        <f t="shared" si="101"/>
        <v>0</v>
      </c>
      <c r="BA103" s="288">
        <f t="shared" si="101"/>
        <v>0</v>
      </c>
      <c r="BB103" s="288">
        <f t="shared" si="101"/>
        <v>0</v>
      </c>
      <c r="BC103" s="288">
        <f t="shared" si="101"/>
        <v>0</v>
      </c>
      <c r="BD103" s="288">
        <f t="shared" si="96"/>
        <v>0</v>
      </c>
      <c r="BE103" s="288">
        <f t="shared" si="96"/>
        <v>0</v>
      </c>
      <c r="BF103" s="288">
        <f t="shared" si="96"/>
        <v>0</v>
      </c>
      <c r="BG103" s="288">
        <f t="shared" si="96"/>
        <v>0</v>
      </c>
      <c r="BH103" s="288">
        <f t="shared" si="96"/>
        <v>0</v>
      </c>
      <c r="BI103" s="288">
        <f t="shared" si="96"/>
        <v>0</v>
      </c>
      <c r="BJ103" s="288">
        <f t="shared" si="96"/>
        <v>0</v>
      </c>
      <c r="BK103" s="288">
        <f t="shared" si="96"/>
        <v>0</v>
      </c>
      <c r="BL103" s="288">
        <f t="shared" si="100"/>
        <v>0</v>
      </c>
      <c r="BM103" s="288">
        <f t="shared" si="100"/>
        <v>0</v>
      </c>
      <c r="BN103" s="288">
        <f t="shared" si="100"/>
        <v>0</v>
      </c>
      <c r="BO103" s="288">
        <f t="shared" si="100"/>
        <v>0</v>
      </c>
      <c r="BP103" s="288">
        <f t="shared" si="100"/>
        <v>0</v>
      </c>
      <c r="BQ103" s="288">
        <f t="shared" si="100"/>
        <v>0</v>
      </c>
      <c r="BR103" s="288">
        <f t="shared" si="100"/>
        <v>0</v>
      </c>
      <c r="BS103" s="288">
        <f t="shared" si="100"/>
        <v>0</v>
      </c>
      <c r="BT103" s="288">
        <f t="shared" si="94"/>
        <v>0</v>
      </c>
      <c r="BU103" s="288">
        <f t="shared" si="94"/>
        <v>0</v>
      </c>
      <c r="BV103" s="288">
        <f t="shared" si="94"/>
        <v>0</v>
      </c>
      <c r="BW103" s="288">
        <f t="shared" si="94"/>
        <v>0</v>
      </c>
      <c r="BX103" s="288">
        <f t="shared" si="94"/>
        <v>0</v>
      </c>
      <c r="BY103" s="288">
        <f t="shared" si="94"/>
        <v>0</v>
      </c>
      <c r="BZ103" s="288">
        <f t="shared" si="94"/>
        <v>0</v>
      </c>
      <c r="CA103" s="288">
        <f t="shared" si="94"/>
        <v>0</v>
      </c>
      <c r="CB103" s="288">
        <f t="shared" si="94"/>
        <v>0</v>
      </c>
      <c r="CC103" s="288">
        <f t="shared" si="94"/>
        <v>0</v>
      </c>
      <c r="CD103" s="288">
        <f t="shared" si="94"/>
        <v>0</v>
      </c>
      <c r="CE103" s="288">
        <f t="shared" si="93"/>
        <v>0</v>
      </c>
      <c r="CF103" s="288">
        <f t="shared" si="93"/>
        <v>0</v>
      </c>
      <c r="CG103" s="288">
        <f t="shared" si="93"/>
        <v>0</v>
      </c>
      <c r="CH103" s="288">
        <f t="shared" si="93"/>
        <v>0</v>
      </c>
      <c r="CI103" s="288">
        <f t="shared" si="93"/>
        <v>0</v>
      </c>
      <c r="CJ103" s="288">
        <f t="shared" si="93"/>
        <v>0</v>
      </c>
      <c r="CK103" s="288">
        <f t="shared" si="93"/>
        <v>0</v>
      </c>
      <c r="CL103" s="288">
        <f t="shared" si="93"/>
        <v>0</v>
      </c>
      <c r="CM103" s="288">
        <f t="shared" si="91"/>
        <v>0</v>
      </c>
      <c r="CN103" s="288">
        <f t="shared" si="91"/>
        <v>0</v>
      </c>
      <c r="CO103" s="288">
        <f t="shared" si="91"/>
        <v>0</v>
      </c>
      <c r="CP103" s="288">
        <f t="shared" si="91"/>
        <v>0</v>
      </c>
      <c r="CQ103" s="288">
        <f t="shared" si="80"/>
        <v>0</v>
      </c>
      <c r="CR103" s="288">
        <f t="shared" si="81"/>
        <v>0</v>
      </c>
      <c r="CS103" s="288">
        <f t="shared" si="82"/>
        <v>0</v>
      </c>
      <c r="CT103" s="288">
        <f t="shared" si="95"/>
        <v>0</v>
      </c>
      <c r="CU103" s="288">
        <f t="shared" si="84"/>
        <v>0</v>
      </c>
      <c r="CV103" s="288">
        <f t="shared" si="29"/>
        <v>0</v>
      </c>
      <c r="CW103" s="288">
        <f t="shared" si="29"/>
        <v>0</v>
      </c>
      <c r="CX103" s="288">
        <f t="shared" si="29"/>
        <v>0</v>
      </c>
      <c r="CY103" s="288">
        <f t="shared" si="29"/>
        <v>100</v>
      </c>
      <c r="CZ103" s="288">
        <f t="shared" si="29"/>
        <v>0</v>
      </c>
      <c r="DA103" s="288">
        <f t="shared" si="29"/>
        <v>0</v>
      </c>
      <c r="DB103" s="288">
        <f t="shared" si="33"/>
        <v>0</v>
      </c>
      <c r="DC103" s="288">
        <f t="shared" si="33"/>
        <v>0</v>
      </c>
      <c r="DD103" s="288">
        <f t="shared" si="33"/>
        <v>0</v>
      </c>
      <c r="DE103" s="288">
        <f t="shared" si="33"/>
        <v>0</v>
      </c>
      <c r="DG103" s="314">
        <f t="shared" si="60"/>
        <v>100</v>
      </c>
      <c r="DH103" s="289">
        <f>MAX(CY$3:CY$109)</f>
        <v>100</v>
      </c>
      <c r="DJ103" s="288">
        <f>LOOKUP(DH103, 'Mortality Table'!A:A,('Mortality Table'!J:J/'Mortality Table'!I:I))</f>
        <v>0.41303347875286023</v>
      </c>
      <c r="DK103" s="288">
        <f>LOOKUP(A103, 'Mortality Table'!A:A,('Mortality Table'!J:J/'Mortality Table'!I:I))</f>
        <v>0.41303347875286023</v>
      </c>
      <c r="DL103" s="288">
        <f t="shared" si="61"/>
        <v>0</v>
      </c>
      <c r="DN103" s="288">
        <f>LOOKUP(DH103, 'Mortality Table'!A:A,('Mortality Table'!L:L/'Mortality Table'!K:K))</f>
        <v>0.41838618772759223</v>
      </c>
      <c r="DO103" s="288">
        <f>LOOKUP(A103, 'Mortality Table'!A:A,('Mortality Table'!L:L/'Mortality Table'!K:K))</f>
        <v>0.41838618772759223</v>
      </c>
      <c r="DP103" s="288">
        <f t="shared" si="62"/>
        <v>0</v>
      </c>
      <c r="DR103" s="288">
        <f>LOOKUP(DH103, 'Mortality Table'!A:A,('Mortality Table'!N:N/'Mortality Table'!M:M))</f>
        <v>0.42778929859688147</v>
      </c>
      <c r="DS103" s="288">
        <f>LOOKUP(A103, 'Mortality Table'!A:A,('Mortality Table'!N:N/'Mortality Table'!M:M))</f>
        <v>0.42778929859688147</v>
      </c>
      <c r="DT103" s="288">
        <f t="shared" si="63"/>
        <v>0</v>
      </c>
    </row>
    <row r="104" spans="1:124">
      <c r="A104" s="288">
        <v>101</v>
      </c>
      <c r="B104" s="288">
        <v>0.47586206896551725</v>
      </c>
      <c r="C104" s="288">
        <f t="shared" si="99"/>
        <v>0</v>
      </c>
      <c r="D104" s="288">
        <f t="shared" si="99"/>
        <v>0</v>
      </c>
      <c r="E104" s="288">
        <f t="shared" si="99"/>
        <v>0</v>
      </c>
      <c r="F104" s="288">
        <f t="shared" si="99"/>
        <v>0</v>
      </c>
      <c r="G104" s="288">
        <f t="shared" si="99"/>
        <v>0</v>
      </c>
      <c r="H104" s="288">
        <f t="shared" si="99"/>
        <v>0</v>
      </c>
      <c r="I104" s="288">
        <f t="shared" si="98"/>
        <v>0</v>
      </c>
      <c r="J104" s="288">
        <f t="shared" si="98"/>
        <v>0</v>
      </c>
      <c r="K104" s="288">
        <f t="shared" si="98"/>
        <v>0</v>
      </c>
      <c r="L104" s="288">
        <f t="shared" si="98"/>
        <v>0</v>
      </c>
      <c r="M104" s="288">
        <f t="shared" si="98"/>
        <v>0</v>
      </c>
      <c r="N104" s="288">
        <f t="shared" si="98"/>
        <v>0</v>
      </c>
      <c r="O104" s="288">
        <f t="shared" si="98"/>
        <v>0</v>
      </c>
      <c r="P104" s="288">
        <f t="shared" si="98"/>
        <v>0</v>
      </c>
      <c r="Q104" s="288">
        <f t="shared" si="98"/>
        <v>0</v>
      </c>
      <c r="R104" s="288">
        <f t="shared" si="98"/>
        <v>0</v>
      </c>
      <c r="S104" s="288">
        <f t="shared" si="98"/>
        <v>0</v>
      </c>
      <c r="T104" s="288">
        <f t="shared" si="98"/>
        <v>0</v>
      </c>
      <c r="U104" s="288">
        <f t="shared" si="98"/>
        <v>0</v>
      </c>
      <c r="V104" s="288">
        <f t="shared" si="98"/>
        <v>0</v>
      </c>
      <c r="W104" s="288">
        <f t="shared" si="98"/>
        <v>0</v>
      </c>
      <c r="X104" s="288">
        <f t="shared" si="98"/>
        <v>0</v>
      </c>
      <c r="Y104" s="288">
        <f t="shared" si="105"/>
        <v>0</v>
      </c>
      <c r="Z104" s="288">
        <f t="shared" si="105"/>
        <v>0</v>
      </c>
      <c r="AA104" s="288">
        <f t="shared" si="105"/>
        <v>0</v>
      </c>
      <c r="AB104" s="288">
        <f t="shared" si="105"/>
        <v>0</v>
      </c>
      <c r="AC104" s="288">
        <f t="shared" si="105"/>
        <v>0</v>
      </c>
      <c r="AD104" s="288">
        <f t="shared" si="105"/>
        <v>0</v>
      </c>
      <c r="AE104" s="288">
        <f t="shared" si="105"/>
        <v>0</v>
      </c>
      <c r="AF104" s="288">
        <f t="shared" si="105"/>
        <v>0</v>
      </c>
      <c r="AG104" s="288">
        <f t="shared" si="105"/>
        <v>0</v>
      </c>
      <c r="AH104" s="288">
        <f t="shared" si="105"/>
        <v>0</v>
      </c>
      <c r="AI104" s="288">
        <f t="shared" si="105"/>
        <v>0</v>
      </c>
      <c r="AJ104" s="288">
        <f t="shared" si="105"/>
        <v>0</v>
      </c>
      <c r="AK104" s="288">
        <f t="shared" si="105"/>
        <v>0</v>
      </c>
      <c r="AL104" s="288">
        <f t="shared" si="104"/>
        <v>0</v>
      </c>
      <c r="AM104" s="288">
        <f t="shared" si="104"/>
        <v>0</v>
      </c>
      <c r="AN104" s="288">
        <f t="shared" si="104"/>
        <v>0</v>
      </c>
      <c r="AO104" s="288">
        <f t="shared" si="104"/>
        <v>0</v>
      </c>
      <c r="AP104" s="288">
        <f t="shared" si="102"/>
        <v>0</v>
      </c>
      <c r="AQ104" s="288">
        <f t="shared" si="102"/>
        <v>0</v>
      </c>
      <c r="AR104" s="288">
        <f t="shared" si="102"/>
        <v>0</v>
      </c>
      <c r="AS104" s="288">
        <f t="shared" si="102"/>
        <v>0</v>
      </c>
      <c r="AT104" s="288">
        <f t="shared" si="102"/>
        <v>0</v>
      </c>
      <c r="AU104" s="288">
        <f t="shared" si="102"/>
        <v>0</v>
      </c>
      <c r="AV104" s="288">
        <f t="shared" si="102"/>
        <v>0</v>
      </c>
      <c r="AW104" s="288">
        <f t="shared" si="101"/>
        <v>0</v>
      </c>
      <c r="AX104" s="288">
        <f t="shared" si="101"/>
        <v>0</v>
      </c>
      <c r="AY104" s="288">
        <f t="shared" si="101"/>
        <v>0</v>
      </c>
      <c r="AZ104" s="288">
        <f t="shared" si="101"/>
        <v>0</v>
      </c>
      <c r="BA104" s="288">
        <f t="shared" si="101"/>
        <v>0</v>
      </c>
      <c r="BB104" s="288">
        <f t="shared" si="101"/>
        <v>0</v>
      </c>
      <c r="BC104" s="288">
        <f t="shared" si="101"/>
        <v>0</v>
      </c>
      <c r="BD104" s="288">
        <f t="shared" si="96"/>
        <v>0</v>
      </c>
      <c r="BE104" s="288">
        <f t="shared" si="96"/>
        <v>0</v>
      </c>
      <c r="BF104" s="288">
        <f t="shared" si="96"/>
        <v>0</v>
      </c>
      <c r="BG104" s="288">
        <f t="shared" si="96"/>
        <v>0</v>
      </c>
      <c r="BH104" s="288">
        <f t="shared" si="96"/>
        <v>0</v>
      </c>
      <c r="BI104" s="288">
        <f t="shared" si="96"/>
        <v>0</v>
      </c>
      <c r="BJ104" s="288">
        <f t="shared" si="96"/>
        <v>0</v>
      </c>
      <c r="BK104" s="288">
        <f t="shared" si="96"/>
        <v>0</v>
      </c>
      <c r="BL104" s="288">
        <f t="shared" si="100"/>
        <v>0</v>
      </c>
      <c r="BM104" s="288">
        <f t="shared" si="100"/>
        <v>0</v>
      </c>
      <c r="BN104" s="288">
        <f t="shared" si="100"/>
        <v>0</v>
      </c>
      <c r="BO104" s="288">
        <f t="shared" si="100"/>
        <v>0</v>
      </c>
      <c r="BP104" s="288">
        <f t="shared" si="100"/>
        <v>0</v>
      </c>
      <c r="BQ104" s="288">
        <f t="shared" si="100"/>
        <v>0</v>
      </c>
      <c r="BR104" s="288">
        <f t="shared" si="100"/>
        <v>0</v>
      </c>
      <c r="BS104" s="288">
        <f t="shared" si="100"/>
        <v>0</v>
      </c>
      <c r="BT104" s="288">
        <f t="shared" si="94"/>
        <v>0</v>
      </c>
      <c r="BU104" s="288">
        <f t="shared" si="94"/>
        <v>0</v>
      </c>
      <c r="BV104" s="288">
        <f t="shared" si="94"/>
        <v>0</v>
      </c>
      <c r="BW104" s="288">
        <f t="shared" si="94"/>
        <v>0</v>
      </c>
      <c r="BX104" s="288">
        <f t="shared" si="94"/>
        <v>0</v>
      </c>
      <c r="BY104" s="288">
        <f t="shared" si="94"/>
        <v>0</v>
      </c>
      <c r="BZ104" s="288">
        <f t="shared" si="94"/>
        <v>0</v>
      </c>
      <c r="CA104" s="288">
        <f t="shared" si="94"/>
        <v>0</v>
      </c>
      <c r="CB104" s="288">
        <f t="shared" si="94"/>
        <v>0</v>
      </c>
      <c r="CC104" s="288">
        <f t="shared" si="94"/>
        <v>0</v>
      </c>
      <c r="CD104" s="288">
        <f t="shared" si="94"/>
        <v>0</v>
      </c>
      <c r="CE104" s="288">
        <f t="shared" si="93"/>
        <v>0</v>
      </c>
      <c r="CF104" s="288">
        <f t="shared" si="93"/>
        <v>0</v>
      </c>
      <c r="CG104" s="288">
        <f t="shared" si="93"/>
        <v>0</v>
      </c>
      <c r="CH104" s="288">
        <f t="shared" si="93"/>
        <v>0</v>
      </c>
      <c r="CI104" s="288">
        <f t="shared" si="93"/>
        <v>0</v>
      </c>
      <c r="CJ104" s="288">
        <f t="shared" si="93"/>
        <v>0</v>
      </c>
      <c r="CK104" s="288">
        <f t="shared" si="93"/>
        <v>0</v>
      </c>
      <c r="CL104" s="288">
        <f t="shared" si="93"/>
        <v>0</v>
      </c>
      <c r="CM104" s="288">
        <f t="shared" si="91"/>
        <v>0</v>
      </c>
      <c r="CN104" s="288">
        <f t="shared" si="91"/>
        <v>0</v>
      </c>
      <c r="CO104" s="288">
        <f t="shared" si="91"/>
        <v>0</v>
      </c>
      <c r="CP104" s="288">
        <f t="shared" si="91"/>
        <v>0</v>
      </c>
      <c r="CQ104" s="288">
        <f t="shared" si="80"/>
        <v>0</v>
      </c>
      <c r="CR104" s="288">
        <f t="shared" si="81"/>
        <v>0</v>
      </c>
      <c r="CS104" s="288">
        <f t="shared" si="82"/>
        <v>0</v>
      </c>
      <c r="CT104" s="288">
        <f t="shared" si="95"/>
        <v>0</v>
      </c>
      <c r="CU104" s="288">
        <f t="shared" si="84"/>
        <v>0</v>
      </c>
      <c r="CV104" s="288">
        <f t="shared" ref="CV104:DA109" si="106">IF(CV$2&gt;$B104,(IF(CV$2&lt;=$B105,(IF(AVERAGE($B104,$B105)&gt;CV$2,$A104,$A105)),0)),0)</f>
        <v>0</v>
      </c>
      <c r="CW104" s="288">
        <f t="shared" si="106"/>
        <v>0</v>
      </c>
      <c r="CX104" s="288">
        <f t="shared" si="106"/>
        <v>0</v>
      </c>
      <c r="CY104" s="288">
        <f t="shared" si="106"/>
        <v>0</v>
      </c>
      <c r="CZ104" s="288">
        <f t="shared" si="106"/>
        <v>101</v>
      </c>
      <c r="DA104" s="288">
        <f t="shared" si="106"/>
        <v>0</v>
      </c>
      <c r="DB104" s="288">
        <f t="shared" si="33"/>
        <v>0</v>
      </c>
      <c r="DC104" s="288">
        <f t="shared" si="33"/>
        <v>0</v>
      </c>
      <c r="DD104" s="288">
        <f t="shared" si="33"/>
        <v>0</v>
      </c>
      <c r="DE104" s="288">
        <f t="shared" si="33"/>
        <v>0</v>
      </c>
      <c r="DG104" s="314">
        <f t="shared" si="60"/>
        <v>101</v>
      </c>
      <c r="DH104" s="289">
        <f>MAX(CZ$3:CZ$109)</f>
        <v>101</v>
      </c>
      <c r="DJ104" s="288">
        <f>LOOKUP(DH104, 'Mortality Table'!A:A,('Mortality Table'!J:J/'Mortality Table'!I:I))</f>
        <v>0.43806654231023728</v>
      </c>
      <c r="DK104" s="288">
        <f>LOOKUP(A104, 'Mortality Table'!A:A,('Mortality Table'!J:J/'Mortality Table'!I:I))</f>
        <v>0.43806654231023728</v>
      </c>
      <c r="DL104" s="288">
        <f t="shared" si="61"/>
        <v>0</v>
      </c>
      <c r="DN104" s="288">
        <f>LOOKUP(DH104, 'Mortality Table'!A:A,('Mortality Table'!L:L/'Mortality Table'!K:K))</f>
        <v>0.44374366736952725</v>
      </c>
      <c r="DO104" s="288">
        <f>LOOKUP(A104, 'Mortality Table'!A:A,('Mortality Table'!L:L/'Mortality Table'!K:K))</f>
        <v>0.44374366736952725</v>
      </c>
      <c r="DP104" s="288">
        <f t="shared" si="62"/>
        <v>0</v>
      </c>
      <c r="DR104" s="288">
        <f>LOOKUP(DH104, 'Mortality Table'!A:A,('Mortality Table'!N:N/'Mortality Table'!M:M))</f>
        <v>0.45371668039962615</v>
      </c>
      <c r="DS104" s="288">
        <f>LOOKUP(A104, 'Mortality Table'!A:A,('Mortality Table'!N:N/'Mortality Table'!M:M))</f>
        <v>0.45371668039962615</v>
      </c>
      <c r="DT104" s="288">
        <f t="shared" si="63"/>
        <v>0</v>
      </c>
    </row>
    <row r="105" spans="1:124">
      <c r="A105" s="288">
        <v>102</v>
      </c>
      <c r="B105" s="288">
        <v>0.51315789473684215</v>
      </c>
      <c r="C105" s="288">
        <f t="shared" si="99"/>
        <v>0</v>
      </c>
      <c r="D105" s="288">
        <f t="shared" si="99"/>
        <v>0</v>
      </c>
      <c r="E105" s="288">
        <f t="shared" si="99"/>
        <v>0</v>
      </c>
      <c r="F105" s="288">
        <f t="shared" si="99"/>
        <v>0</v>
      </c>
      <c r="G105" s="288">
        <f t="shared" si="99"/>
        <v>0</v>
      </c>
      <c r="H105" s="288">
        <f t="shared" si="99"/>
        <v>0</v>
      </c>
      <c r="I105" s="288">
        <f t="shared" si="98"/>
        <v>0</v>
      </c>
      <c r="J105" s="288">
        <f t="shared" si="98"/>
        <v>0</v>
      </c>
      <c r="K105" s="288">
        <f t="shared" si="98"/>
        <v>0</v>
      </c>
      <c r="L105" s="288">
        <f t="shared" si="98"/>
        <v>0</v>
      </c>
      <c r="M105" s="288">
        <f t="shared" si="98"/>
        <v>0</v>
      </c>
      <c r="N105" s="288">
        <f t="shared" si="98"/>
        <v>0</v>
      </c>
      <c r="O105" s="288">
        <f t="shared" si="98"/>
        <v>0</v>
      </c>
      <c r="P105" s="288">
        <f t="shared" si="98"/>
        <v>0</v>
      </c>
      <c r="Q105" s="288">
        <f t="shared" si="98"/>
        <v>0</v>
      </c>
      <c r="R105" s="288">
        <f t="shared" si="98"/>
        <v>0</v>
      </c>
      <c r="S105" s="288">
        <f t="shared" si="98"/>
        <v>0</v>
      </c>
      <c r="T105" s="288">
        <f t="shared" si="98"/>
        <v>0</v>
      </c>
      <c r="U105" s="288">
        <f t="shared" si="98"/>
        <v>0</v>
      </c>
      <c r="V105" s="288">
        <f t="shared" si="98"/>
        <v>0</v>
      </c>
      <c r="W105" s="288">
        <f t="shared" si="98"/>
        <v>0</v>
      </c>
      <c r="X105" s="288">
        <f t="shared" si="98"/>
        <v>0</v>
      </c>
      <c r="Y105" s="288">
        <f t="shared" si="105"/>
        <v>0</v>
      </c>
      <c r="Z105" s="288">
        <f t="shared" si="105"/>
        <v>0</v>
      </c>
      <c r="AA105" s="288">
        <f t="shared" si="105"/>
        <v>0</v>
      </c>
      <c r="AB105" s="288">
        <f t="shared" si="105"/>
        <v>0</v>
      </c>
      <c r="AC105" s="288">
        <f t="shared" si="105"/>
        <v>0</v>
      </c>
      <c r="AD105" s="288">
        <f t="shared" si="105"/>
        <v>0</v>
      </c>
      <c r="AE105" s="288">
        <f t="shared" si="105"/>
        <v>0</v>
      </c>
      <c r="AF105" s="288">
        <f t="shared" si="105"/>
        <v>0</v>
      </c>
      <c r="AG105" s="288">
        <f t="shared" si="105"/>
        <v>0</v>
      </c>
      <c r="AH105" s="288">
        <f t="shared" si="105"/>
        <v>0</v>
      </c>
      <c r="AI105" s="288">
        <f t="shared" si="105"/>
        <v>0</v>
      </c>
      <c r="AJ105" s="288">
        <f t="shared" si="105"/>
        <v>0</v>
      </c>
      <c r="AK105" s="288">
        <f t="shared" si="105"/>
        <v>0</v>
      </c>
      <c r="AL105" s="288">
        <f t="shared" si="104"/>
        <v>0</v>
      </c>
      <c r="AM105" s="288">
        <f t="shared" si="104"/>
        <v>0</v>
      </c>
      <c r="AN105" s="288">
        <f t="shared" si="104"/>
        <v>0</v>
      </c>
      <c r="AO105" s="288">
        <f t="shared" si="104"/>
        <v>0</v>
      </c>
      <c r="AP105" s="288">
        <f t="shared" si="102"/>
        <v>0</v>
      </c>
      <c r="AQ105" s="288">
        <f t="shared" si="102"/>
        <v>0</v>
      </c>
      <c r="AR105" s="288">
        <f t="shared" si="102"/>
        <v>0</v>
      </c>
      <c r="AS105" s="288">
        <f t="shared" si="102"/>
        <v>0</v>
      </c>
      <c r="AT105" s="288">
        <f t="shared" si="102"/>
        <v>0</v>
      </c>
      <c r="AU105" s="288">
        <f t="shared" si="102"/>
        <v>0</v>
      </c>
      <c r="AV105" s="288">
        <f t="shared" si="102"/>
        <v>0</v>
      </c>
      <c r="AW105" s="288">
        <f t="shared" si="101"/>
        <v>0</v>
      </c>
      <c r="AX105" s="288">
        <f t="shared" si="101"/>
        <v>0</v>
      </c>
      <c r="AY105" s="288">
        <f t="shared" si="101"/>
        <v>0</v>
      </c>
      <c r="AZ105" s="288">
        <f t="shared" si="101"/>
        <v>0</v>
      </c>
      <c r="BA105" s="288">
        <f t="shared" si="101"/>
        <v>0</v>
      </c>
      <c r="BB105" s="288">
        <f t="shared" si="101"/>
        <v>0</v>
      </c>
      <c r="BC105" s="288">
        <f t="shared" si="101"/>
        <v>0</v>
      </c>
      <c r="BD105" s="288">
        <f t="shared" si="96"/>
        <v>0</v>
      </c>
      <c r="BE105" s="288">
        <f t="shared" si="96"/>
        <v>0</v>
      </c>
      <c r="BF105" s="288">
        <f t="shared" si="96"/>
        <v>0</v>
      </c>
      <c r="BG105" s="288">
        <f t="shared" si="96"/>
        <v>0</v>
      </c>
      <c r="BH105" s="288">
        <f t="shared" si="96"/>
        <v>0</v>
      </c>
      <c r="BI105" s="288">
        <f t="shared" si="96"/>
        <v>0</v>
      </c>
      <c r="BJ105" s="288">
        <f t="shared" si="96"/>
        <v>0</v>
      </c>
      <c r="BK105" s="288">
        <f t="shared" si="96"/>
        <v>0</v>
      </c>
      <c r="BL105" s="288">
        <f t="shared" si="100"/>
        <v>0</v>
      </c>
      <c r="BM105" s="288">
        <f t="shared" si="100"/>
        <v>0</v>
      </c>
      <c r="BN105" s="288">
        <f t="shared" si="100"/>
        <v>0</v>
      </c>
      <c r="BO105" s="288">
        <f t="shared" si="100"/>
        <v>0</v>
      </c>
      <c r="BP105" s="288">
        <f t="shared" si="100"/>
        <v>0</v>
      </c>
      <c r="BQ105" s="288">
        <f t="shared" si="100"/>
        <v>0</v>
      </c>
      <c r="BR105" s="288">
        <f t="shared" si="100"/>
        <v>0</v>
      </c>
      <c r="BS105" s="288">
        <f t="shared" si="100"/>
        <v>0</v>
      </c>
      <c r="BT105" s="288">
        <f t="shared" si="94"/>
        <v>0</v>
      </c>
      <c r="BU105" s="288">
        <f t="shared" si="94"/>
        <v>0</v>
      </c>
      <c r="BV105" s="288">
        <f t="shared" si="94"/>
        <v>0</v>
      </c>
      <c r="BW105" s="288">
        <f t="shared" si="94"/>
        <v>0</v>
      </c>
      <c r="BX105" s="288">
        <f t="shared" si="94"/>
        <v>0</v>
      </c>
      <c r="BY105" s="288">
        <f t="shared" si="94"/>
        <v>0</v>
      </c>
      <c r="BZ105" s="288">
        <f t="shared" si="94"/>
        <v>0</v>
      </c>
      <c r="CA105" s="288">
        <f t="shared" si="94"/>
        <v>0</v>
      </c>
      <c r="CB105" s="288">
        <f t="shared" si="94"/>
        <v>0</v>
      </c>
      <c r="CC105" s="288">
        <f t="shared" si="94"/>
        <v>0</v>
      </c>
      <c r="CD105" s="288">
        <f t="shared" si="94"/>
        <v>0</v>
      </c>
      <c r="CE105" s="288">
        <f t="shared" si="93"/>
        <v>0</v>
      </c>
      <c r="CF105" s="288">
        <f t="shared" si="93"/>
        <v>0</v>
      </c>
      <c r="CG105" s="288">
        <f t="shared" si="93"/>
        <v>0</v>
      </c>
      <c r="CH105" s="288">
        <f t="shared" si="93"/>
        <v>0</v>
      </c>
      <c r="CI105" s="288">
        <f t="shared" si="93"/>
        <v>0</v>
      </c>
      <c r="CJ105" s="288">
        <f t="shared" si="93"/>
        <v>0</v>
      </c>
      <c r="CK105" s="288">
        <f t="shared" si="93"/>
        <v>0</v>
      </c>
      <c r="CL105" s="288">
        <f t="shared" si="93"/>
        <v>0</v>
      </c>
      <c r="CM105" s="288">
        <f t="shared" si="91"/>
        <v>0</v>
      </c>
      <c r="CN105" s="288">
        <f t="shared" si="91"/>
        <v>0</v>
      </c>
      <c r="CO105" s="288">
        <f t="shared" si="91"/>
        <v>0</v>
      </c>
      <c r="CP105" s="288">
        <f t="shared" si="91"/>
        <v>0</v>
      </c>
      <c r="CQ105" s="288">
        <f t="shared" si="80"/>
        <v>0</v>
      </c>
      <c r="CR105" s="288">
        <f t="shared" si="81"/>
        <v>0</v>
      </c>
      <c r="CS105" s="288">
        <f t="shared" si="82"/>
        <v>0</v>
      </c>
      <c r="CT105" s="288">
        <f t="shared" si="95"/>
        <v>0</v>
      </c>
      <c r="CU105" s="288">
        <f t="shared" si="84"/>
        <v>0</v>
      </c>
      <c r="CV105" s="288">
        <f t="shared" si="106"/>
        <v>0</v>
      </c>
      <c r="CW105" s="288">
        <f t="shared" si="106"/>
        <v>0</v>
      </c>
      <c r="CX105" s="288">
        <f t="shared" si="106"/>
        <v>0</v>
      </c>
      <c r="CY105" s="288">
        <f t="shared" si="106"/>
        <v>0</v>
      </c>
      <c r="CZ105" s="288">
        <f t="shared" si="106"/>
        <v>0</v>
      </c>
      <c r="DA105" s="288">
        <f t="shared" si="106"/>
        <v>103</v>
      </c>
      <c r="DB105" s="288">
        <f t="shared" si="33"/>
        <v>0</v>
      </c>
      <c r="DC105" s="288">
        <f t="shared" si="33"/>
        <v>0</v>
      </c>
      <c r="DD105" s="288">
        <f t="shared" si="33"/>
        <v>0</v>
      </c>
      <c r="DE105" s="288">
        <f t="shared" si="33"/>
        <v>0</v>
      </c>
      <c r="DG105" s="314">
        <f t="shared" si="60"/>
        <v>103</v>
      </c>
      <c r="DH105" s="289">
        <f>MAX(DA$3:DA$109)</f>
        <v>103</v>
      </c>
      <c r="DJ105" s="288">
        <f>LOOKUP(DH105, 'Mortality Table'!A:A,('Mortality Table'!J:J/'Mortality Table'!I:I))</f>
        <v>0.49760790156666129</v>
      </c>
      <c r="DK105" s="288">
        <f>LOOKUP(A105, 'Mortality Table'!A:A,('Mortality Table'!J:J/'Mortality Table'!I:I))</f>
        <v>0.47240013286887772</v>
      </c>
      <c r="DL105" s="288">
        <f t="shared" si="61"/>
        <v>2.5207768697783572E-2</v>
      </c>
      <c r="DN105" s="288">
        <f>LOOKUP(DH105, 'Mortality Table'!A:A,('Mortality Table'!L:L/'Mortality Table'!K:K))</f>
        <v>0.50405665310287084</v>
      </c>
      <c r="DO105" s="288">
        <f>LOOKUP(A105, 'Mortality Table'!A:A,('Mortality Table'!L:L/'Mortality Table'!K:K))</f>
        <v>0.47852220422858116</v>
      </c>
      <c r="DP105" s="288">
        <f t="shared" si="62"/>
        <v>2.5534448874289684E-2</v>
      </c>
      <c r="DR105" s="288">
        <f>LOOKUP(DH105, 'Mortality Table'!A:A,('Mortality Table'!N:N/'Mortality Table'!M:M))</f>
        <v>0.51538518337599548</v>
      </c>
      <c r="DS105" s="288">
        <f>LOOKUP(A105, 'Mortality Table'!A:A,('Mortality Table'!N:N/'Mortality Table'!M:M))</f>
        <v>0.48927685500760654</v>
      </c>
      <c r="DT105" s="288">
        <f t="shared" si="63"/>
        <v>2.6108328368388944E-2</v>
      </c>
    </row>
    <row r="106" spans="1:124">
      <c r="A106" s="288">
        <v>103</v>
      </c>
      <c r="B106" s="288">
        <v>0.54054054054054057</v>
      </c>
      <c r="C106" s="288">
        <f t="shared" si="99"/>
        <v>0</v>
      </c>
      <c r="D106" s="288">
        <f t="shared" si="99"/>
        <v>0</v>
      </c>
      <c r="E106" s="288">
        <f t="shared" si="99"/>
        <v>0</v>
      </c>
      <c r="F106" s="288">
        <f t="shared" si="99"/>
        <v>0</v>
      </c>
      <c r="G106" s="288">
        <f t="shared" si="99"/>
        <v>0</v>
      </c>
      <c r="H106" s="288">
        <f t="shared" si="99"/>
        <v>0</v>
      </c>
      <c r="I106" s="288">
        <f t="shared" si="98"/>
        <v>0</v>
      </c>
      <c r="J106" s="288">
        <f t="shared" si="98"/>
        <v>0</v>
      </c>
      <c r="K106" s="288">
        <f t="shared" si="98"/>
        <v>0</v>
      </c>
      <c r="L106" s="288">
        <f t="shared" si="98"/>
        <v>0</v>
      </c>
      <c r="M106" s="288">
        <f t="shared" si="98"/>
        <v>0</v>
      </c>
      <c r="N106" s="288">
        <f t="shared" si="98"/>
        <v>0</v>
      </c>
      <c r="O106" s="288">
        <f t="shared" si="98"/>
        <v>0</v>
      </c>
      <c r="P106" s="288">
        <f t="shared" si="98"/>
        <v>0</v>
      </c>
      <c r="Q106" s="288">
        <f t="shared" si="98"/>
        <v>0</v>
      </c>
      <c r="R106" s="288">
        <f t="shared" si="98"/>
        <v>0</v>
      </c>
      <c r="S106" s="288">
        <f t="shared" si="98"/>
        <v>0</v>
      </c>
      <c r="T106" s="288">
        <f t="shared" si="98"/>
        <v>0</v>
      </c>
      <c r="U106" s="288">
        <f t="shared" si="98"/>
        <v>0</v>
      </c>
      <c r="V106" s="288">
        <f t="shared" si="98"/>
        <v>0</v>
      </c>
      <c r="W106" s="288">
        <f t="shared" si="98"/>
        <v>0</v>
      </c>
      <c r="X106" s="288">
        <f t="shared" si="98"/>
        <v>0</v>
      </c>
      <c r="Y106" s="288">
        <f t="shared" si="105"/>
        <v>0</v>
      </c>
      <c r="Z106" s="288">
        <f t="shared" si="105"/>
        <v>0</v>
      </c>
      <c r="AA106" s="288">
        <f t="shared" si="105"/>
        <v>0</v>
      </c>
      <c r="AB106" s="288">
        <f t="shared" si="105"/>
        <v>0</v>
      </c>
      <c r="AC106" s="288">
        <f t="shared" si="105"/>
        <v>0</v>
      </c>
      <c r="AD106" s="288">
        <f t="shared" si="105"/>
        <v>0</v>
      </c>
      <c r="AE106" s="288">
        <f t="shared" si="105"/>
        <v>0</v>
      </c>
      <c r="AF106" s="288">
        <f t="shared" si="105"/>
        <v>0</v>
      </c>
      <c r="AG106" s="288">
        <f t="shared" si="105"/>
        <v>0</v>
      </c>
      <c r="AH106" s="288">
        <f t="shared" si="105"/>
        <v>0</v>
      </c>
      <c r="AI106" s="288">
        <f t="shared" si="105"/>
        <v>0</v>
      </c>
      <c r="AJ106" s="288">
        <f t="shared" si="105"/>
        <v>0</v>
      </c>
      <c r="AK106" s="288">
        <f t="shared" si="105"/>
        <v>0</v>
      </c>
      <c r="AL106" s="288">
        <f t="shared" si="104"/>
        <v>0</v>
      </c>
      <c r="AM106" s="288">
        <f t="shared" si="104"/>
        <v>0</v>
      </c>
      <c r="AN106" s="288">
        <f t="shared" si="104"/>
        <v>0</v>
      </c>
      <c r="AO106" s="288">
        <f t="shared" si="104"/>
        <v>0</v>
      </c>
      <c r="AP106" s="288">
        <f t="shared" si="102"/>
        <v>0</v>
      </c>
      <c r="AQ106" s="288">
        <f t="shared" si="102"/>
        <v>0</v>
      </c>
      <c r="AR106" s="288">
        <f t="shared" si="102"/>
        <v>0</v>
      </c>
      <c r="AS106" s="288">
        <f t="shared" si="102"/>
        <v>0</v>
      </c>
      <c r="AT106" s="288">
        <f t="shared" si="102"/>
        <v>0</v>
      </c>
      <c r="AU106" s="288">
        <f t="shared" si="102"/>
        <v>0</v>
      </c>
      <c r="AV106" s="288">
        <f t="shared" si="102"/>
        <v>0</v>
      </c>
      <c r="AW106" s="288">
        <f t="shared" si="101"/>
        <v>0</v>
      </c>
      <c r="AX106" s="288">
        <f t="shared" si="101"/>
        <v>0</v>
      </c>
      <c r="AY106" s="288">
        <f t="shared" si="101"/>
        <v>0</v>
      </c>
      <c r="AZ106" s="288">
        <f t="shared" si="101"/>
        <v>0</v>
      </c>
      <c r="BA106" s="288">
        <f t="shared" si="101"/>
        <v>0</v>
      </c>
      <c r="BB106" s="288">
        <f t="shared" si="101"/>
        <v>0</v>
      </c>
      <c r="BC106" s="288">
        <f t="shared" si="101"/>
        <v>0</v>
      </c>
      <c r="BD106" s="288">
        <f t="shared" si="96"/>
        <v>0</v>
      </c>
      <c r="BE106" s="288">
        <f t="shared" si="96"/>
        <v>0</v>
      </c>
      <c r="BF106" s="288">
        <f t="shared" si="96"/>
        <v>0</v>
      </c>
      <c r="BG106" s="288">
        <f t="shared" si="96"/>
        <v>0</v>
      </c>
      <c r="BH106" s="288">
        <f t="shared" si="96"/>
        <v>0</v>
      </c>
      <c r="BI106" s="288">
        <f t="shared" si="96"/>
        <v>0</v>
      </c>
      <c r="BJ106" s="288">
        <f t="shared" si="96"/>
        <v>0</v>
      </c>
      <c r="BK106" s="288">
        <f t="shared" si="96"/>
        <v>0</v>
      </c>
      <c r="BL106" s="288">
        <f t="shared" si="100"/>
        <v>0</v>
      </c>
      <c r="BM106" s="288">
        <f t="shared" si="100"/>
        <v>0</v>
      </c>
      <c r="BN106" s="288">
        <f t="shared" si="100"/>
        <v>0</v>
      </c>
      <c r="BO106" s="288">
        <f t="shared" si="100"/>
        <v>0</v>
      </c>
      <c r="BP106" s="288">
        <f t="shared" si="100"/>
        <v>0</v>
      </c>
      <c r="BQ106" s="288">
        <f t="shared" si="100"/>
        <v>0</v>
      </c>
      <c r="BR106" s="288">
        <f t="shared" si="100"/>
        <v>0</v>
      </c>
      <c r="BS106" s="288">
        <f t="shared" si="100"/>
        <v>0</v>
      </c>
      <c r="BT106" s="288">
        <f t="shared" si="94"/>
        <v>0</v>
      </c>
      <c r="BU106" s="288">
        <f t="shared" si="94"/>
        <v>0</v>
      </c>
      <c r="BV106" s="288">
        <f t="shared" si="94"/>
        <v>0</v>
      </c>
      <c r="BW106" s="288">
        <f t="shared" si="94"/>
        <v>0</v>
      </c>
      <c r="BX106" s="288">
        <f t="shared" si="94"/>
        <v>0</v>
      </c>
      <c r="BY106" s="288">
        <f t="shared" si="94"/>
        <v>0</v>
      </c>
      <c r="BZ106" s="288">
        <f t="shared" si="94"/>
        <v>0</v>
      </c>
      <c r="CA106" s="288">
        <f t="shared" si="94"/>
        <v>0</v>
      </c>
      <c r="CB106" s="288">
        <f t="shared" si="94"/>
        <v>0</v>
      </c>
      <c r="CC106" s="288">
        <f t="shared" si="94"/>
        <v>0</v>
      </c>
      <c r="CD106" s="288">
        <f t="shared" si="94"/>
        <v>0</v>
      </c>
      <c r="CE106" s="288">
        <f t="shared" si="93"/>
        <v>0</v>
      </c>
      <c r="CF106" s="288">
        <f t="shared" si="93"/>
        <v>0</v>
      </c>
      <c r="CG106" s="288">
        <f t="shared" si="93"/>
        <v>0</v>
      </c>
      <c r="CH106" s="288">
        <f t="shared" si="93"/>
        <v>0</v>
      </c>
      <c r="CI106" s="288">
        <f t="shared" si="93"/>
        <v>0</v>
      </c>
      <c r="CJ106" s="288">
        <f t="shared" si="93"/>
        <v>0</v>
      </c>
      <c r="CK106" s="288">
        <f t="shared" si="93"/>
        <v>0</v>
      </c>
      <c r="CL106" s="288">
        <f t="shared" si="93"/>
        <v>0</v>
      </c>
      <c r="CM106" s="288">
        <f t="shared" si="91"/>
        <v>0</v>
      </c>
      <c r="CN106" s="288">
        <f t="shared" si="91"/>
        <v>0</v>
      </c>
      <c r="CO106" s="288">
        <f t="shared" si="91"/>
        <v>0</v>
      </c>
      <c r="CP106" s="288">
        <f t="shared" si="91"/>
        <v>0</v>
      </c>
      <c r="CQ106" s="288">
        <f t="shared" si="80"/>
        <v>0</v>
      </c>
      <c r="CR106" s="288">
        <f t="shared" si="81"/>
        <v>0</v>
      </c>
      <c r="CS106" s="288">
        <f t="shared" si="82"/>
        <v>0</v>
      </c>
      <c r="CT106" s="288">
        <f t="shared" si="95"/>
        <v>0</v>
      </c>
      <c r="CU106" s="288">
        <f t="shared" si="84"/>
        <v>0</v>
      </c>
      <c r="CV106" s="288">
        <f t="shared" si="106"/>
        <v>0</v>
      </c>
      <c r="CW106" s="288">
        <f t="shared" si="106"/>
        <v>0</v>
      </c>
      <c r="CX106" s="288">
        <f t="shared" si="106"/>
        <v>0</v>
      </c>
      <c r="CY106" s="288">
        <f t="shared" si="106"/>
        <v>0</v>
      </c>
      <c r="CZ106" s="288">
        <f t="shared" si="106"/>
        <v>0</v>
      </c>
      <c r="DA106" s="288">
        <f t="shared" si="106"/>
        <v>0</v>
      </c>
      <c r="DB106" s="288">
        <f t="shared" si="33"/>
        <v>103</v>
      </c>
      <c r="DC106" s="288">
        <f t="shared" si="33"/>
        <v>0</v>
      </c>
      <c r="DD106" s="288">
        <f t="shared" si="33"/>
        <v>0</v>
      </c>
      <c r="DE106" s="288">
        <f t="shared" si="33"/>
        <v>0</v>
      </c>
      <c r="DG106" s="314">
        <f t="shared" si="60"/>
        <v>103</v>
      </c>
      <c r="DH106" s="289">
        <f>MAX(DB$3:DB$109)</f>
        <v>103</v>
      </c>
      <c r="DJ106" s="288">
        <f>LOOKUP(DH106, 'Mortality Table'!A:A,('Mortality Table'!J:J/'Mortality Table'!I:I))</f>
        <v>0.49760790156666129</v>
      </c>
      <c r="DK106" s="288">
        <f>LOOKUP(A106, 'Mortality Table'!A:A,('Mortality Table'!J:J/'Mortality Table'!I:I))</f>
        <v>0.49760790156666129</v>
      </c>
      <c r="DL106" s="288">
        <f t="shared" si="61"/>
        <v>0</v>
      </c>
      <c r="DN106" s="288">
        <f>LOOKUP(DH106, 'Mortality Table'!A:A,('Mortality Table'!L:L/'Mortality Table'!K:K))</f>
        <v>0.50405665310287084</v>
      </c>
      <c r="DO106" s="288">
        <f>LOOKUP(A106, 'Mortality Table'!A:A,('Mortality Table'!L:L/'Mortality Table'!K:K))</f>
        <v>0.50405665310287084</v>
      </c>
      <c r="DP106" s="288">
        <f t="shared" si="62"/>
        <v>0</v>
      </c>
      <c r="DR106" s="288">
        <f>LOOKUP(DH106, 'Mortality Table'!A:A,('Mortality Table'!N:N/'Mortality Table'!M:M))</f>
        <v>0.51538518337599548</v>
      </c>
      <c r="DS106" s="288">
        <f>LOOKUP(A106, 'Mortality Table'!A:A,('Mortality Table'!N:N/'Mortality Table'!M:M))</f>
        <v>0.51538518337599548</v>
      </c>
      <c r="DT106" s="288">
        <f t="shared" si="63"/>
        <v>0</v>
      </c>
    </row>
    <row r="107" spans="1:124">
      <c r="A107" s="288">
        <v>104</v>
      </c>
      <c r="B107" s="288">
        <v>0.58823529411764708</v>
      </c>
      <c r="C107" s="288">
        <f t="shared" si="99"/>
        <v>0</v>
      </c>
      <c r="D107" s="288">
        <f t="shared" si="99"/>
        <v>0</v>
      </c>
      <c r="E107" s="288">
        <f t="shared" si="99"/>
        <v>0</v>
      </c>
      <c r="F107" s="288">
        <f t="shared" si="99"/>
        <v>0</v>
      </c>
      <c r="G107" s="288">
        <f t="shared" si="99"/>
        <v>0</v>
      </c>
      <c r="H107" s="288">
        <f t="shared" si="99"/>
        <v>0</v>
      </c>
      <c r="I107" s="288">
        <f t="shared" si="98"/>
        <v>0</v>
      </c>
      <c r="J107" s="288">
        <f t="shared" si="98"/>
        <v>0</v>
      </c>
      <c r="K107" s="288">
        <f t="shared" si="98"/>
        <v>0</v>
      </c>
      <c r="L107" s="288">
        <f t="shared" si="98"/>
        <v>0</v>
      </c>
      <c r="M107" s="288">
        <f t="shared" si="98"/>
        <v>0</v>
      </c>
      <c r="N107" s="288">
        <f t="shared" si="98"/>
        <v>0</v>
      </c>
      <c r="O107" s="288">
        <f t="shared" si="98"/>
        <v>0</v>
      </c>
      <c r="P107" s="288">
        <f t="shared" si="98"/>
        <v>0</v>
      </c>
      <c r="Q107" s="288">
        <f t="shared" si="98"/>
        <v>0</v>
      </c>
      <c r="R107" s="288">
        <f t="shared" si="98"/>
        <v>0</v>
      </c>
      <c r="S107" s="288">
        <f t="shared" si="98"/>
        <v>0</v>
      </c>
      <c r="T107" s="288">
        <f t="shared" si="98"/>
        <v>0</v>
      </c>
      <c r="U107" s="288">
        <f t="shared" si="98"/>
        <v>0</v>
      </c>
      <c r="V107" s="288">
        <f t="shared" si="98"/>
        <v>0</v>
      </c>
      <c r="W107" s="288">
        <f t="shared" si="98"/>
        <v>0</v>
      </c>
      <c r="X107" s="288">
        <f t="shared" si="98"/>
        <v>0</v>
      </c>
      <c r="Y107" s="288">
        <f t="shared" si="105"/>
        <v>0</v>
      </c>
      <c r="Z107" s="288">
        <f t="shared" si="105"/>
        <v>0</v>
      </c>
      <c r="AA107" s="288">
        <f t="shared" si="105"/>
        <v>0</v>
      </c>
      <c r="AB107" s="288">
        <f t="shared" si="105"/>
        <v>0</v>
      </c>
      <c r="AC107" s="288">
        <f t="shared" si="105"/>
        <v>0</v>
      </c>
      <c r="AD107" s="288">
        <f t="shared" si="105"/>
        <v>0</v>
      </c>
      <c r="AE107" s="288">
        <f t="shared" si="105"/>
        <v>0</v>
      </c>
      <c r="AF107" s="288">
        <f t="shared" si="105"/>
        <v>0</v>
      </c>
      <c r="AG107" s="288">
        <f t="shared" si="105"/>
        <v>0</v>
      </c>
      <c r="AH107" s="288">
        <f t="shared" si="105"/>
        <v>0</v>
      </c>
      <c r="AI107" s="288">
        <f t="shared" si="105"/>
        <v>0</v>
      </c>
      <c r="AJ107" s="288">
        <f t="shared" si="105"/>
        <v>0</v>
      </c>
      <c r="AK107" s="288">
        <f t="shared" si="105"/>
        <v>0</v>
      </c>
      <c r="AL107" s="288">
        <f t="shared" si="104"/>
        <v>0</v>
      </c>
      <c r="AM107" s="288">
        <f t="shared" si="104"/>
        <v>0</v>
      </c>
      <c r="AN107" s="288">
        <f t="shared" si="104"/>
        <v>0</v>
      </c>
      <c r="AO107" s="288">
        <f t="shared" si="104"/>
        <v>0</v>
      </c>
      <c r="AP107" s="288">
        <f t="shared" si="102"/>
        <v>0</v>
      </c>
      <c r="AQ107" s="288">
        <f t="shared" si="102"/>
        <v>0</v>
      </c>
      <c r="AR107" s="288">
        <f t="shared" si="102"/>
        <v>0</v>
      </c>
      <c r="AS107" s="288">
        <f t="shared" si="102"/>
        <v>0</v>
      </c>
      <c r="AT107" s="288">
        <f t="shared" si="102"/>
        <v>0</v>
      </c>
      <c r="AU107" s="288">
        <f t="shared" si="102"/>
        <v>0</v>
      </c>
      <c r="AV107" s="288">
        <f t="shared" si="102"/>
        <v>0</v>
      </c>
      <c r="AW107" s="288">
        <f t="shared" si="101"/>
        <v>0</v>
      </c>
      <c r="AX107" s="288">
        <f t="shared" si="101"/>
        <v>0</v>
      </c>
      <c r="AY107" s="288">
        <f t="shared" si="101"/>
        <v>0</v>
      </c>
      <c r="AZ107" s="288">
        <f t="shared" si="101"/>
        <v>0</v>
      </c>
      <c r="BA107" s="288">
        <f t="shared" si="101"/>
        <v>0</v>
      </c>
      <c r="BB107" s="288">
        <f t="shared" si="101"/>
        <v>0</v>
      </c>
      <c r="BC107" s="288">
        <f t="shared" si="101"/>
        <v>0</v>
      </c>
      <c r="BD107" s="288">
        <f t="shared" si="96"/>
        <v>0</v>
      </c>
      <c r="BE107" s="288">
        <f t="shared" si="96"/>
        <v>0</v>
      </c>
      <c r="BF107" s="288">
        <f t="shared" si="96"/>
        <v>0</v>
      </c>
      <c r="BG107" s="288">
        <f t="shared" si="96"/>
        <v>0</v>
      </c>
      <c r="BH107" s="288">
        <f t="shared" si="96"/>
        <v>0</v>
      </c>
      <c r="BI107" s="288">
        <f t="shared" si="96"/>
        <v>0</v>
      </c>
      <c r="BJ107" s="288">
        <f t="shared" si="96"/>
        <v>0</v>
      </c>
      <c r="BK107" s="288">
        <f t="shared" si="96"/>
        <v>0</v>
      </c>
      <c r="BL107" s="288">
        <f t="shared" si="100"/>
        <v>0</v>
      </c>
      <c r="BM107" s="288">
        <f t="shared" si="100"/>
        <v>0</v>
      </c>
      <c r="BN107" s="288">
        <f t="shared" si="100"/>
        <v>0</v>
      </c>
      <c r="BO107" s="288">
        <f t="shared" si="100"/>
        <v>0</v>
      </c>
      <c r="BP107" s="288">
        <f t="shared" si="100"/>
        <v>0</v>
      </c>
      <c r="BQ107" s="288">
        <f t="shared" si="100"/>
        <v>0</v>
      </c>
      <c r="BR107" s="288">
        <f t="shared" si="100"/>
        <v>0</v>
      </c>
      <c r="BS107" s="288">
        <f t="shared" si="100"/>
        <v>0</v>
      </c>
      <c r="BT107" s="288">
        <f t="shared" si="94"/>
        <v>0</v>
      </c>
      <c r="BU107" s="288">
        <f t="shared" si="94"/>
        <v>0</v>
      </c>
      <c r="BV107" s="288">
        <f t="shared" si="94"/>
        <v>0</v>
      </c>
      <c r="BW107" s="288">
        <f t="shared" si="94"/>
        <v>0</v>
      </c>
      <c r="BX107" s="288">
        <f t="shared" si="94"/>
        <v>0</v>
      </c>
      <c r="BY107" s="288">
        <f t="shared" si="94"/>
        <v>0</v>
      </c>
      <c r="BZ107" s="288">
        <f t="shared" si="94"/>
        <v>0</v>
      </c>
      <c r="CA107" s="288">
        <f t="shared" si="94"/>
        <v>0</v>
      </c>
      <c r="CB107" s="288">
        <f t="shared" si="94"/>
        <v>0</v>
      </c>
      <c r="CC107" s="288">
        <f t="shared" si="94"/>
        <v>0</v>
      </c>
      <c r="CD107" s="288">
        <f t="shared" si="94"/>
        <v>0</v>
      </c>
      <c r="CE107" s="288">
        <f t="shared" si="93"/>
        <v>0</v>
      </c>
      <c r="CF107" s="288">
        <f t="shared" si="93"/>
        <v>0</v>
      </c>
      <c r="CG107" s="288">
        <f t="shared" si="93"/>
        <v>0</v>
      </c>
      <c r="CH107" s="288">
        <f t="shared" si="93"/>
        <v>0</v>
      </c>
      <c r="CI107" s="288">
        <f t="shared" si="93"/>
        <v>0</v>
      </c>
      <c r="CJ107" s="288">
        <f t="shared" si="93"/>
        <v>0</v>
      </c>
      <c r="CK107" s="288">
        <f t="shared" si="93"/>
        <v>0</v>
      </c>
      <c r="CL107" s="288">
        <f t="shared" si="93"/>
        <v>0</v>
      </c>
      <c r="CM107" s="288">
        <f t="shared" si="91"/>
        <v>0</v>
      </c>
      <c r="CN107" s="288">
        <f t="shared" si="91"/>
        <v>0</v>
      </c>
      <c r="CO107" s="288">
        <f t="shared" si="91"/>
        <v>0</v>
      </c>
      <c r="CP107" s="288">
        <f t="shared" si="91"/>
        <v>0</v>
      </c>
      <c r="CQ107" s="288">
        <f t="shared" si="80"/>
        <v>0</v>
      </c>
      <c r="CR107" s="288">
        <f t="shared" si="81"/>
        <v>0</v>
      </c>
      <c r="CS107" s="288">
        <f t="shared" si="82"/>
        <v>0</v>
      </c>
      <c r="CT107" s="288">
        <f t="shared" si="95"/>
        <v>0</v>
      </c>
      <c r="CU107" s="288">
        <f t="shared" si="84"/>
        <v>0</v>
      </c>
      <c r="CV107" s="288">
        <f t="shared" si="106"/>
        <v>0</v>
      </c>
      <c r="CW107" s="288">
        <f t="shared" si="106"/>
        <v>0</v>
      </c>
      <c r="CX107" s="288">
        <f t="shared" si="106"/>
        <v>0</v>
      </c>
      <c r="CY107" s="288">
        <f t="shared" si="106"/>
        <v>0</v>
      </c>
      <c r="CZ107" s="288">
        <f t="shared" si="106"/>
        <v>0</v>
      </c>
      <c r="DA107" s="288">
        <f t="shared" si="106"/>
        <v>0</v>
      </c>
      <c r="DB107" s="288">
        <f t="shared" si="33"/>
        <v>0</v>
      </c>
      <c r="DC107" s="288">
        <f t="shared" si="33"/>
        <v>104</v>
      </c>
      <c r="DD107" s="288">
        <f t="shared" si="33"/>
        <v>0</v>
      </c>
      <c r="DE107" s="288">
        <f t="shared" si="33"/>
        <v>0</v>
      </c>
      <c r="DG107" s="314">
        <f t="shared" si="60"/>
        <v>104</v>
      </c>
      <c r="DH107" s="289">
        <f>MAX(DC$3:DC$109)</f>
        <v>104</v>
      </c>
      <c r="DJ107" s="288">
        <f>LOOKUP(DH107, 'Mortality Table'!A:A,('Mortality Table'!J:J/'Mortality Table'!I:I))</f>
        <v>0.54151448111666134</v>
      </c>
      <c r="DK107" s="288">
        <f>LOOKUP(A107, 'Mortality Table'!A:A,('Mortality Table'!J:J/'Mortality Table'!I:I))</f>
        <v>0.54151448111666134</v>
      </c>
      <c r="DL107" s="288">
        <f t="shared" si="61"/>
        <v>0</v>
      </c>
      <c r="DN107" s="288">
        <f>LOOKUP(DH107, 'Mortality Table'!A:A,('Mortality Table'!L:L/'Mortality Table'!K:K))</f>
        <v>0.54853224014136026</v>
      </c>
      <c r="DO107" s="288">
        <f>LOOKUP(A107, 'Mortality Table'!A:A,('Mortality Table'!L:L/'Mortality Table'!K:K))</f>
        <v>0.54853224014136026</v>
      </c>
      <c r="DP107" s="288">
        <f t="shared" si="62"/>
        <v>0</v>
      </c>
      <c r="DR107" s="288">
        <f>LOOKUP(DH107, 'Mortality Table'!A:A,('Mortality Table'!N:N/'Mortality Table'!M:M))</f>
        <v>0.56086034661505346</v>
      </c>
      <c r="DS107" s="288">
        <f>LOOKUP(A107, 'Mortality Table'!A:A,('Mortality Table'!N:N/'Mortality Table'!M:M))</f>
        <v>0.56086034661505346</v>
      </c>
      <c r="DT107" s="288">
        <f t="shared" si="63"/>
        <v>0</v>
      </c>
    </row>
    <row r="108" spans="1:124">
      <c r="A108" s="288">
        <v>105</v>
      </c>
      <c r="B108" s="288">
        <v>0.7142857142857143</v>
      </c>
      <c r="C108" s="288">
        <f t="shared" si="99"/>
        <v>0</v>
      </c>
      <c r="D108" s="288">
        <f t="shared" si="99"/>
        <v>0</v>
      </c>
      <c r="E108" s="288">
        <f t="shared" si="99"/>
        <v>0</v>
      </c>
      <c r="F108" s="288">
        <f t="shared" si="99"/>
        <v>0</v>
      </c>
      <c r="G108" s="288">
        <f t="shared" si="99"/>
        <v>0</v>
      </c>
      <c r="H108" s="288">
        <f t="shared" si="99"/>
        <v>0</v>
      </c>
      <c r="I108" s="288">
        <f t="shared" si="98"/>
        <v>0</v>
      </c>
      <c r="J108" s="288">
        <f t="shared" si="98"/>
        <v>0</v>
      </c>
      <c r="K108" s="288">
        <f t="shared" si="98"/>
        <v>0</v>
      </c>
      <c r="L108" s="288">
        <f t="shared" si="98"/>
        <v>0</v>
      </c>
      <c r="M108" s="288">
        <f t="shared" si="98"/>
        <v>0</v>
      </c>
      <c r="N108" s="288">
        <f t="shared" si="98"/>
        <v>0</v>
      </c>
      <c r="O108" s="288">
        <f t="shared" si="98"/>
        <v>0</v>
      </c>
      <c r="P108" s="288">
        <f t="shared" si="98"/>
        <v>0</v>
      </c>
      <c r="Q108" s="288">
        <f t="shared" si="98"/>
        <v>0</v>
      </c>
      <c r="R108" s="288">
        <f t="shared" si="98"/>
        <v>0</v>
      </c>
      <c r="S108" s="288">
        <f t="shared" si="98"/>
        <v>0</v>
      </c>
      <c r="T108" s="288">
        <f t="shared" si="98"/>
        <v>0</v>
      </c>
      <c r="U108" s="288">
        <f t="shared" si="98"/>
        <v>0</v>
      </c>
      <c r="V108" s="288">
        <f t="shared" si="98"/>
        <v>0</v>
      </c>
      <c r="W108" s="288">
        <f t="shared" si="98"/>
        <v>0</v>
      </c>
      <c r="X108" s="288">
        <f t="shared" si="98"/>
        <v>0</v>
      </c>
      <c r="Y108" s="288">
        <f t="shared" si="105"/>
        <v>0</v>
      </c>
      <c r="Z108" s="288">
        <f t="shared" si="105"/>
        <v>0</v>
      </c>
      <c r="AA108" s="288">
        <f t="shared" si="105"/>
        <v>0</v>
      </c>
      <c r="AB108" s="288">
        <f t="shared" si="105"/>
        <v>0</v>
      </c>
      <c r="AC108" s="288">
        <f t="shared" si="105"/>
        <v>0</v>
      </c>
      <c r="AD108" s="288">
        <f t="shared" si="105"/>
        <v>0</v>
      </c>
      <c r="AE108" s="288">
        <f t="shared" si="105"/>
        <v>0</v>
      </c>
      <c r="AF108" s="288">
        <f t="shared" si="105"/>
        <v>0</v>
      </c>
      <c r="AG108" s="288">
        <f t="shared" si="105"/>
        <v>0</v>
      </c>
      <c r="AH108" s="288">
        <f t="shared" si="105"/>
        <v>0</v>
      </c>
      <c r="AI108" s="288">
        <f t="shared" si="105"/>
        <v>0</v>
      </c>
      <c r="AJ108" s="288">
        <f t="shared" si="105"/>
        <v>0</v>
      </c>
      <c r="AK108" s="288">
        <f t="shared" si="105"/>
        <v>0</v>
      </c>
      <c r="AL108" s="288">
        <f t="shared" si="104"/>
        <v>0</v>
      </c>
      <c r="AM108" s="288">
        <f t="shared" si="104"/>
        <v>0</v>
      </c>
      <c r="AN108" s="288">
        <f t="shared" si="104"/>
        <v>0</v>
      </c>
      <c r="AO108" s="288">
        <f t="shared" si="104"/>
        <v>0</v>
      </c>
      <c r="AP108" s="288">
        <f t="shared" si="102"/>
        <v>0</v>
      </c>
      <c r="AQ108" s="288">
        <f t="shared" si="102"/>
        <v>0</v>
      </c>
      <c r="AR108" s="288">
        <f t="shared" si="102"/>
        <v>0</v>
      </c>
      <c r="AS108" s="288">
        <f t="shared" si="102"/>
        <v>0</v>
      </c>
      <c r="AT108" s="288">
        <f t="shared" si="102"/>
        <v>0</v>
      </c>
      <c r="AU108" s="288">
        <f t="shared" si="102"/>
        <v>0</v>
      </c>
      <c r="AV108" s="288">
        <f t="shared" si="102"/>
        <v>0</v>
      </c>
      <c r="AW108" s="288">
        <f t="shared" si="101"/>
        <v>0</v>
      </c>
      <c r="AX108" s="288">
        <f t="shared" si="101"/>
        <v>0</v>
      </c>
      <c r="AY108" s="288">
        <f t="shared" si="101"/>
        <v>0</v>
      </c>
      <c r="AZ108" s="288">
        <f t="shared" si="101"/>
        <v>0</v>
      </c>
      <c r="BA108" s="288">
        <f t="shared" si="101"/>
        <v>0</v>
      </c>
      <c r="BB108" s="288">
        <f t="shared" si="101"/>
        <v>0</v>
      </c>
      <c r="BC108" s="288">
        <f t="shared" si="101"/>
        <v>0</v>
      </c>
      <c r="BD108" s="288">
        <f t="shared" si="96"/>
        <v>0</v>
      </c>
      <c r="BE108" s="288">
        <f t="shared" si="96"/>
        <v>0</v>
      </c>
      <c r="BF108" s="288">
        <f t="shared" si="96"/>
        <v>0</v>
      </c>
      <c r="BG108" s="288">
        <f t="shared" si="96"/>
        <v>0</v>
      </c>
      <c r="BH108" s="288">
        <f t="shared" si="96"/>
        <v>0</v>
      </c>
      <c r="BI108" s="288">
        <f t="shared" si="96"/>
        <v>0</v>
      </c>
      <c r="BJ108" s="288">
        <f t="shared" si="96"/>
        <v>0</v>
      </c>
      <c r="BK108" s="288">
        <f t="shared" si="96"/>
        <v>0</v>
      </c>
      <c r="BL108" s="288">
        <f t="shared" si="100"/>
        <v>0</v>
      </c>
      <c r="BM108" s="288">
        <f t="shared" si="100"/>
        <v>0</v>
      </c>
      <c r="BN108" s="288">
        <f t="shared" si="100"/>
        <v>0</v>
      </c>
      <c r="BO108" s="288">
        <f t="shared" si="100"/>
        <v>0</v>
      </c>
      <c r="BP108" s="288">
        <f t="shared" si="100"/>
        <v>0</v>
      </c>
      <c r="BQ108" s="288">
        <f t="shared" si="100"/>
        <v>0</v>
      </c>
      <c r="BR108" s="288">
        <f t="shared" si="100"/>
        <v>0</v>
      </c>
      <c r="BS108" s="288">
        <f t="shared" si="100"/>
        <v>0</v>
      </c>
      <c r="BT108" s="288">
        <f t="shared" si="94"/>
        <v>0</v>
      </c>
      <c r="BU108" s="288">
        <f t="shared" si="94"/>
        <v>0</v>
      </c>
      <c r="BV108" s="288">
        <f t="shared" ref="BV108:CD109" si="107">IF(BV$2&gt;$B108,(IF(BV$2&lt;=$B109,(IF(AVERAGE($B108,$B109)&gt;BV$2,$A108,$A109)),0)),0)</f>
        <v>0</v>
      </c>
      <c r="BW108" s="288">
        <f t="shared" si="107"/>
        <v>0</v>
      </c>
      <c r="BX108" s="288">
        <f t="shared" si="107"/>
        <v>0</v>
      </c>
      <c r="BY108" s="288">
        <f t="shared" si="107"/>
        <v>0</v>
      </c>
      <c r="BZ108" s="288">
        <f t="shared" si="107"/>
        <v>0</v>
      </c>
      <c r="CA108" s="288">
        <f t="shared" si="107"/>
        <v>0</v>
      </c>
      <c r="CB108" s="288">
        <f t="shared" si="107"/>
        <v>0</v>
      </c>
      <c r="CC108" s="288">
        <f t="shared" si="107"/>
        <v>0</v>
      </c>
      <c r="CD108" s="288">
        <f t="shared" si="107"/>
        <v>0</v>
      </c>
      <c r="CE108" s="288">
        <f t="shared" si="93"/>
        <v>0</v>
      </c>
      <c r="CF108" s="288">
        <f t="shared" si="93"/>
        <v>0</v>
      </c>
      <c r="CG108" s="288">
        <f t="shared" si="93"/>
        <v>0</v>
      </c>
      <c r="CH108" s="288">
        <f t="shared" si="93"/>
        <v>0</v>
      </c>
      <c r="CI108" s="288">
        <f t="shared" si="93"/>
        <v>0</v>
      </c>
      <c r="CJ108" s="288">
        <f t="shared" si="93"/>
        <v>0</v>
      </c>
      <c r="CK108" s="288">
        <f t="shared" si="93"/>
        <v>0</v>
      </c>
      <c r="CL108" s="288">
        <f t="shared" si="93"/>
        <v>0</v>
      </c>
      <c r="CM108" s="288">
        <f t="shared" si="91"/>
        <v>0</v>
      </c>
      <c r="CN108" s="288">
        <f t="shared" si="91"/>
        <v>0</v>
      </c>
      <c r="CO108" s="288">
        <f t="shared" si="91"/>
        <v>0</v>
      </c>
      <c r="CP108" s="288">
        <f t="shared" si="91"/>
        <v>0</v>
      </c>
      <c r="CQ108" s="288">
        <f t="shared" si="80"/>
        <v>0</v>
      </c>
      <c r="CR108" s="288">
        <f t="shared" si="81"/>
        <v>0</v>
      </c>
      <c r="CS108" s="288">
        <f t="shared" si="82"/>
        <v>0</v>
      </c>
      <c r="CT108" s="288">
        <f t="shared" si="95"/>
        <v>0</v>
      </c>
      <c r="CU108" s="288">
        <f t="shared" si="84"/>
        <v>0</v>
      </c>
      <c r="CV108" s="288">
        <f t="shared" si="106"/>
        <v>0</v>
      </c>
      <c r="CW108" s="288">
        <f t="shared" si="106"/>
        <v>0</v>
      </c>
      <c r="CX108" s="288">
        <f t="shared" si="106"/>
        <v>0</v>
      </c>
      <c r="CY108" s="288">
        <f t="shared" si="106"/>
        <v>0</v>
      </c>
      <c r="CZ108" s="288">
        <f t="shared" si="106"/>
        <v>0</v>
      </c>
      <c r="DA108" s="288">
        <f t="shared" si="106"/>
        <v>0</v>
      </c>
      <c r="DB108" s="288">
        <f t="shared" si="33"/>
        <v>0</v>
      </c>
      <c r="DC108" s="288">
        <f t="shared" si="33"/>
        <v>0</v>
      </c>
      <c r="DD108" s="288">
        <f t="shared" si="33"/>
        <v>105</v>
      </c>
      <c r="DE108" s="288">
        <f>IF(DE$2&gt;$B108,(IF(DE$2&lt;=$B109,(IF(AVERAGE($B108,$B109)&gt;DE$2,$A108,$A109)),0)),0)</f>
        <v>0</v>
      </c>
      <c r="DG108" s="314">
        <f t="shared" si="60"/>
        <v>105</v>
      </c>
      <c r="DH108" s="289">
        <f>MAX(DD$3:DD$109)</f>
        <v>105</v>
      </c>
      <c r="DJ108" s="288">
        <f>LOOKUP(DH108, 'Mortality Table'!A:A,('Mortality Table'!J:J/'Mortality Table'!I:I))</f>
        <v>0.65755329849880362</v>
      </c>
      <c r="DK108" s="288">
        <f>LOOKUP(A108, 'Mortality Table'!A:A,('Mortality Table'!J:J/'Mortality Table'!I:I))</f>
        <v>0.65755329849880362</v>
      </c>
      <c r="DL108" s="288">
        <f t="shared" si="61"/>
        <v>0</v>
      </c>
      <c r="DN108" s="288">
        <f>LOOKUP(DH108, 'Mortality Table'!A:A,('Mortality Table'!L:L/'Mortality Table'!K:K))</f>
        <v>0.66607486302879415</v>
      </c>
      <c r="DO108" s="288">
        <f>LOOKUP(A108, 'Mortality Table'!A:A,('Mortality Table'!L:L/'Mortality Table'!K:K))</f>
        <v>0.66607486302879415</v>
      </c>
      <c r="DP108" s="288">
        <f t="shared" si="62"/>
        <v>0</v>
      </c>
      <c r="DR108" s="288">
        <f>LOOKUP(DH108, 'Mortality Table'!A:A,('Mortality Table'!N:N/'Mortality Table'!M:M))</f>
        <v>0.68104470660399408</v>
      </c>
      <c r="DS108" s="288">
        <f>LOOKUP(A108, 'Mortality Table'!A:A,('Mortality Table'!N:N/'Mortality Table'!M:M))</f>
        <v>0.68104470660399408</v>
      </c>
      <c r="DT108" s="288">
        <f t="shared" si="63"/>
        <v>0</v>
      </c>
    </row>
    <row r="109" spans="1:124">
      <c r="A109" s="288">
        <v>106</v>
      </c>
      <c r="B109" s="288">
        <v>1</v>
      </c>
      <c r="C109" s="288">
        <f t="shared" si="99"/>
        <v>0</v>
      </c>
      <c r="D109" s="288">
        <f t="shared" si="99"/>
        <v>0</v>
      </c>
      <c r="E109" s="288">
        <f t="shared" si="99"/>
        <v>0</v>
      </c>
      <c r="F109" s="288">
        <f t="shared" si="99"/>
        <v>0</v>
      </c>
      <c r="G109" s="288">
        <f t="shared" si="99"/>
        <v>0</v>
      </c>
      <c r="H109" s="288">
        <f t="shared" si="99"/>
        <v>0</v>
      </c>
      <c r="I109" s="288">
        <f t="shared" si="98"/>
        <v>0</v>
      </c>
      <c r="J109" s="288">
        <f t="shared" si="98"/>
        <v>0</v>
      </c>
      <c r="K109" s="288">
        <f t="shared" si="98"/>
        <v>0</v>
      </c>
      <c r="L109" s="288">
        <f t="shared" si="98"/>
        <v>0</v>
      </c>
      <c r="M109" s="288">
        <f t="shared" si="98"/>
        <v>0</v>
      </c>
      <c r="N109" s="288">
        <f t="shared" si="98"/>
        <v>0</v>
      </c>
      <c r="O109" s="288">
        <f t="shared" si="98"/>
        <v>0</v>
      </c>
      <c r="P109" s="288">
        <f t="shared" si="98"/>
        <v>0</v>
      </c>
      <c r="Q109" s="288">
        <f t="shared" si="98"/>
        <v>0</v>
      </c>
      <c r="R109" s="288">
        <f t="shared" si="98"/>
        <v>0</v>
      </c>
      <c r="S109" s="288">
        <f t="shared" si="98"/>
        <v>0</v>
      </c>
      <c r="T109" s="288">
        <f t="shared" si="98"/>
        <v>0</v>
      </c>
      <c r="U109" s="288">
        <f t="shared" si="98"/>
        <v>0</v>
      </c>
      <c r="V109" s="288">
        <f t="shared" si="98"/>
        <v>0</v>
      </c>
      <c r="W109" s="288">
        <f t="shared" si="98"/>
        <v>0</v>
      </c>
      <c r="X109" s="288">
        <f t="shared" si="98"/>
        <v>0</v>
      </c>
      <c r="Y109" s="288">
        <f t="shared" si="105"/>
        <v>0</v>
      </c>
      <c r="Z109" s="288">
        <f t="shared" si="105"/>
        <v>0</v>
      </c>
      <c r="AA109" s="288">
        <f t="shared" si="105"/>
        <v>0</v>
      </c>
      <c r="AB109" s="288">
        <f t="shared" si="105"/>
        <v>0</v>
      </c>
      <c r="AC109" s="288">
        <f t="shared" si="105"/>
        <v>0</v>
      </c>
      <c r="AD109" s="288">
        <f t="shared" si="105"/>
        <v>0</v>
      </c>
      <c r="AE109" s="288">
        <f t="shared" si="105"/>
        <v>0</v>
      </c>
      <c r="AF109" s="288">
        <f t="shared" si="105"/>
        <v>0</v>
      </c>
      <c r="AG109" s="288">
        <f t="shared" si="105"/>
        <v>0</v>
      </c>
      <c r="AH109" s="288">
        <f t="shared" si="105"/>
        <v>0</v>
      </c>
      <c r="AI109" s="288">
        <f t="shared" si="105"/>
        <v>0</v>
      </c>
      <c r="AJ109" s="288">
        <f t="shared" si="105"/>
        <v>0</v>
      </c>
      <c r="AK109" s="288">
        <f t="shared" si="105"/>
        <v>0</v>
      </c>
      <c r="AL109" s="288">
        <f t="shared" si="104"/>
        <v>0</v>
      </c>
      <c r="AM109" s="288">
        <f t="shared" si="104"/>
        <v>0</v>
      </c>
      <c r="AN109" s="288">
        <f t="shared" si="104"/>
        <v>0</v>
      </c>
      <c r="AO109" s="288">
        <f t="shared" si="104"/>
        <v>0</v>
      </c>
      <c r="AP109" s="288">
        <f t="shared" si="102"/>
        <v>0</v>
      </c>
      <c r="AQ109" s="288">
        <f t="shared" si="102"/>
        <v>0</v>
      </c>
      <c r="AR109" s="288">
        <f t="shared" si="102"/>
        <v>0</v>
      </c>
      <c r="AS109" s="288">
        <f t="shared" si="102"/>
        <v>0</v>
      </c>
      <c r="AT109" s="288">
        <f t="shared" si="102"/>
        <v>0</v>
      </c>
      <c r="AU109" s="288">
        <f t="shared" si="102"/>
        <v>0</v>
      </c>
      <c r="AV109" s="288">
        <f t="shared" si="102"/>
        <v>0</v>
      </c>
      <c r="AW109" s="288">
        <f t="shared" si="101"/>
        <v>0</v>
      </c>
      <c r="AX109" s="288">
        <f t="shared" si="101"/>
        <v>0</v>
      </c>
      <c r="AY109" s="288">
        <f t="shared" si="101"/>
        <v>0</v>
      </c>
      <c r="AZ109" s="288">
        <f t="shared" si="101"/>
        <v>0</v>
      </c>
      <c r="BA109" s="288">
        <f t="shared" si="101"/>
        <v>0</v>
      </c>
      <c r="BB109" s="288">
        <f t="shared" si="101"/>
        <v>0</v>
      </c>
      <c r="BC109" s="288">
        <f t="shared" si="101"/>
        <v>0</v>
      </c>
      <c r="BD109" s="288">
        <f t="shared" si="96"/>
        <v>0</v>
      </c>
      <c r="BE109" s="288">
        <f t="shared" si="96"/>
        <v>0</v>
      </c>
      <c r="BF109" s="288">
        <f t="shared" si="96"/>
        <v>0</v>
      </c>
      <c r="BG109" s="288">
        <f t="shared" si="96"/>
        <v>0</v>
      </c>
      <c r="BH109" s="288">
        <f t="shared" si="96"/>
        <v>0</v>
      </c>
      <c r="BI109" s="288">
        <f t="shared" si="96"/>
        <v>0</v>
      </c>
      <c r="BJ109" s="288">
        <f t="shared" si="96"/>
        <v>0</v>
      </c>
      <c r="BK109" s="288">
        <f t="shared" si="96"/>
        <v>0</v>
      </c>
      <c r="BL109" s="288">
        <f t="shared" si="100"/>
        <v>0</v>
      </c>
      <c r="BM109" s="288">
        <f t="shared" si="100"/>
        <v>0</v>
      </c>
      <c r="BN109" s="288">
        <f t="shared" si="100"/>
        <v>0</v>
      </c>
      <c r="BO109" s="288">
        <f t="shared" si="100"/>
        <v>0</v>
      </c>
      <c r="BP109" s="288">
        <f t="shared" si="100"/>
        <v>0</v>
      </c>
      <c r="BQ109" s="288">
        <f t="shared" si="100"/>
        <v>0</v>
      </c>
      <c r="BR109" s="288">
        <f t="shared" si="100"/>
        <v>0</v>
      </c>
      <c r="BS109" s="288">
        <f t="shared" si="100"/>
        <v>0</v>
      </c>
      <c r="BT109" s="288">
        <f t="shared" si="100"/>
        <v>0</v>
      </c>
      <c r="BU109" s="288">
        <f t="shared" si="100"/>
        <v>0</v>
      </c>
      <c r="BV109" s="288">
        <f t="shared" si="107"/>
        <v>0</v>
      </c>
      <c r="BW109" s="288">
        <f t="shared" si="107"/>
        <v>0</v>
      </c>
      <c r="BX109" s="288">
        <f t="shared" si="107"/>
        <v>0</v>
      </c>
      <c r="BY109" s="288">
        <f t="shared" si="107"/>
        <v>0</v>
      </c>
      <c r="BZ109" s="288">
        <f t="shared" si="107"/>
        <v>0</v>
      </c>
      <c r="CA109" s="288">
        <f t="shared" si="107"/>
        <v>0</v>
      </c>
      <c r="CB109" s="288">
        <f t="shared" si="107"/>
        <v>0</v>
      </c>
      <c r="CC109" s="288">
        <f t="shared" si="107"/>
        <v>0</v>
      </c>
      <c r="CD109" s="288">
        <f t="shared" si="107"/>
        <v>0</v>
      </c>
      <c r="CE109" s="288">
        <f t="shared" si="93"/>
        <v>0</v>
      </c>
      <c r="CF109" s="288">
        <f t="shared" si="93"/>
        <v>0</v>
      </c>
      <c r="CG109" s="288">
        <f t="shared" si="93"/>
        <v>0</v>
      </c>
      <c r="CH109" s="288">
        <f t="shared" si="93"/>
        <v>0</v>
      </c>
      <c r="CI109" s="288">
        <f t="shared" si="93"/>
        <v>0</v>
      </c>
      <c r="CJ109" s="288">
        <f t="shared" si="93"/>
        <v>0</v>
      </c>
      <c r="CK109" s="288">
        <f t="shared" si="93"/>
        <v>0</v>
      </c>
      <c r="CL109" s="288">
        <f t="shared" si="93"/>
        <v>0</v>
      </c>
      <c r="CM109" s="288">
        <f t="shared" si="91"/>
        <v>0</v>
      </c>
      <c r="CN109" s="288">
        <f t="shared" si="91"/>
        <v>0</v>
      </c>
      <c r="CO109" s="288">
        <f t="shared" si="91"/>
        <v>0</v>
      </c>
      <c r="CP109" s="288">
        <f t="shared" si="91"/>
        <v>0</v>
      </c>
      <c r="CQ109" s="288">
        <f t="shared" si="80"/>
        <v>0</v>
      </c>
      <c r="CR109" s="288">
        <f t="shared" si="81"/>
        <v>0</v>
      </c>
      <c r="CS109" s="288">
        <f t="shared" si="82"/>
        <v>0</v>
      </c>
      <c r="CT109" s="288">
        <f t="shared" si="95"/>
        <v>0</v>
      </c>
      <c r="CU109" s="288">
        <f t="shared" si="84"/>
        <v>0</v>
      </c>
      <c r="CV109" s="288">
        <f t="shared" si="106"/>
        <v>0</v>
      </c>
      <c r="CW109" s="288">
        <f t="shared" si="106"/>
        <v>0</v>
      </c>
      <c r="CX109" s="288">
        <f t="shared" si="106"/>
        <v>0</v>
      </c>
      <c r="CY109" s="288">
        <f t="shared" si="106"/>
        <v>0</v>
      </c>
      <c r="CZ109" s="288">
        <f t="shared" si="106"/>
        <v>0</v>
      </c>
      <c r="DA109" s="288">
        <f t="shared" si="106"/>
        <v>0</v>
      </c>
      <c r="DB109" s="288">
        <f>IF(DB$2&gt;$B109,(IF(DB$2&lt;=$B110,(IF(AVERAGE($B109,$B110)&gt;DB$2,$A109,$A110)),0)),0)</f>
        <v>0</v>
      </c>
      <c r="DC109" s="288">
        <f>IF(DC$2&gt;$B109,(IF(DC$2&lt;=$B110,(IF(AVERAGE($B109,$B110)&gt;DC$2,$A109,$A110)),0)),0)</f>
        <v>0</v>
      </c>
      <c r="DD109" s="288">
        <f>IF(DD$2&gt;$B109,(IF(DD$2&lt;=$B110,(IF(AVERAGE($B109,$B110)&gt;DD$2,$A109,$A110)),0)),0)</f>
        <v>0</v>
      </c>
      <c r="DE109" s="288">
        <f>IF(DE$2&gt;$B109,(IF(DE$2&lt;=$B110,(IF(AVERAGE($B109,$B110)&gt;DE$2,$A109,$A110)),0)),0)</f>
        <v>0</v>
      </c>
      <c r="DG109" s="314">
        <f t="shared" si="60"/>
        <v>0</v>
      </c>
      <c r="DH109" s="289">
        <f>MAX(DE$3:DE$109)</f>
        <v>0</v>
      </c>
      <c r="DJ109" s="288">
        <f>LOOKUP(DH109, 'Mortality Table'!A:A,('Mortality Table'!J:J/'Mortality Table'!I:I))</f>
        <v>8.0182049218943969E-3</v>
      </c>
      <c r="DK109" s="288">
        <f>LOOKUP(A109, 'Mortality Table'!A:A,('Mortality Table'!J:J/'Mortality Table'!I:I))</f>
        <v>0.92057461789832573</v>
      </c>
      <c r="DL109" s="288">
        <f t="shared" si="61"/>
        <v>0.91255641297643131</v>
      </c>
      <c r="DN109" s="288">
        <f>LOOKUP(DH109, 'Mortality Table'!A:A,('Mortality Table'!L:L/'Mortality Table'!K:K))</f>
        <v>8.1221168797731332E-3</v>
      </c>
      <c r="DO109" s="288">
        <f>LOOKUP(A109, 'Mortality Table'!A:A,('Mortality Table'!L:L/'Mortality Table'!K:K))</f>
        <v>0.93250480824031101</v>
      </c>
      <c r="DP109" s="288">
        <f t="shared" si="62"/>
        <v>0.92438269136053786</v>
      </c>
      <c r="DR109" s="288">
        <f>LOOKUP(DH109, 'Mortality Table'!A:A,('Mortality Table'!N:N/'Mortality Table'!M:M))</f>
        <v>8.3046591523291084E-3</v>
      </c>
      <c r="DS109" s="288">
        <f>LOOKUP(A109, 'Mortality Table'!A:A,('Mortality Table'!N:N/'Mortality Table'!M:M))</f>
        <v>0.95346258924559113</v>
      </c>
      <c r="DT109" s="288">
        <f t="shared" si="63"/>
        <v>0.94515793009326199</v>
      </c>
    </row>
    <row r="110" spans="1:124">
      <c r="C110" s="288">
        <f>MAX(C3:C109)</f>
        <v>53</v>
      </c>
      <c r="D110" s="288">
        <f t="shared" ref="D110:BO110" si="108">MAX(D3:D109)</f>
        <v>17</v>
      </c>
      <c r="E110" s="288">
        <f t="shared" si="108"/>
        <v>15</v>
      </c>
      <c r="F110" s="288">
        <f t="shared" si="108"/>
        <v>14</v>
      </c>
      <c r="G110" s="288">
        <f t="shared" si="108"/>
        <v>14</v>
      </c>
      <c r="H110" s="288">
        <f t="shared" si="108"/>
        <v>13</v>
      </c>
      <c r="I110" s="288">
        <f t="shared" si="108"/>
        <v>13</v>
      </c>
      <c r="J110" s="288">
        <f t="shared" si="108"/>
        <v>12</v>
      </c>
      <c r="K110" s="288">
        <f t="shared" si="108"/>
        <v>12</v>
      </c>
      <c r="L110" s="288">
        <f t="shared" si="108"/>
        <v>10</v>
      </c>
      <c r="M110" s="288">
        <f t="shared" si="108"/>
        <v>12</v>
      </c>
      <c r="N110" s="288">
        <f t="shared" si="108"/>
        <v>12</v>
      </c>
      <c r="O110" s="288">
        <f t="shared" si="108"/>
        <v>12</v>
      </c>
      <c r="P110" s="288">
        <f t="shared" si="108"/>
        <v>13</v>
      </c>
      <c r="Q110" s="288">
        <f t="shared" si="108"/>
        <v>14</v>
      </c>
      <c r="R110" s="288">
        <f t="shared" si="108"/>
        <v>15</v>
      </c>
      <c r="S110" s="288">
        <f t="shared" si="108"/>
        <v>16</v>
      </c>
      <c r="T110" s="288">
        <f t="shared" si="108"/>
        <v>17</v>
      </c>
      <c r="U110" s="288">
        <f t="shared" si="108"/>
        <v>18</v>
      </c>
      <c r="V110" s="288">
        <f t="shared" si="108"/>
        <v>19</v>
      </c>
      <c r="W110" s="288">
        <f t="shared" si="108"/>
        <v>20</v>
      </c>
      <c r="X110" s="288">
        <f t="shared" si="108"/>
        <v>27</v>
      </c>
      <c r="Y110" s="288">
        <f t="shared" si="108"/>
        <v>30</v>
      </c>
      <c r="Z110" s="288">
        <f t="shared" si="108"/>
        <v>29</v>
      </c>
      <c r="AA110" s="288">
        <f t="shared" si="108"/>
        <v>29</v>
      </c>
      <c r="AB110" s="288">
        <f t="shared" si="108"/>
        <v>28</v>
      </c>
      <c r="AC110" s="288">
        <f t="shared" si="108"/>
        <v>28</v>
      </c>
      <c r="AD110" s="288">
        <f t="shared" si="108"/>
        <v>29</v>
      </c>
      <c r="AE110" s="288">
        <f t="shared" si="108"/>
        <v>29</v>
      </c>
      <c r="AF110" s="288">
        <f t="shared" si="108"/>
        <v>30</v>
      </c>
      <c r="AG110" s="288">
        <f t="shared" si="108"/>
        <v>31</v>
      </c>
      <c r="AH110" s="288">
        <f t="shared" si="108"/>
        <v>32</v>
      </c>
      <c r="AI110" s="288">
        <f t="shared" si="108"/>
        <v>33</v>
      </c>
      <c r="AJ110" s="288">
        <f t="shared" si="108"/>
        <v>34</v>
      </c>
      <c r="AK110" s="288">
        <f t="shared" si="108"/>
        <v>35</v>
      </c>
      <c r="AL110" s="288">
        <f t="shared" si="108"/>
        <v>36</v>
      </c>
      <c r="AM110" s="288">
        <f t="shared" si="108"/>
        <v>36</v>
      </c>
      <c r="AN110" s="288">
        <f t="shared" si="108"/>
        <v>37</v>
      </c>
      <c r="AO110" s="288">
        <f t="shared" si="108"/>
        <v>39</v>
      </c>
      <c r="AP110" s="288">
        <f t="shared" si="108"/>
        <v>39</v>
      </c>
      <c r="AQ110" s="288">
        <f t="shared" si="108"/>
        <v>40</v>
      </c>
      <c r="AR110" s="288">
        <f t="shared" si="108"/>
        <v>41</v>
      </c>
      <c r="AS110" s="288">
        <f t="shared" si="108"/>
        <v>42</v>
      </c>
      <c r="AT110" s="288">
        <f t="shared" si="108"/>
        <v>43</v>
      </c>
      <c r="AU110" s="288">
        <f t="shared" si="108"/>
        <v>44</v>
      </c>
      <c r="AV110" s="288">
        <f t="shared" si="108"/>
        <v>45</v>
      </c>
      <c r="AW110" s="288">
        <f t="shared" si="108"/>
        <v>46</v>
      </c>
      <c r="AX110" s="288">
        <f t="shared" si="108"/>
        <v>47</v>
      </c>
      <c r="AY110" s="288">
        <f t="shared" si="108"/>
        <v>48</v>
      </c>
      <c r="AZ110" s="288">
        <f t="shared" si="108"/>
        <v>49</v>
      </c>
      <c r="BA110" s="288">
        <f t="shared" si="108"/>
        <v>50</v>
      </c>
      <c r="BB110" s="288">
        <f t="shared" si="108"/>
        <v>51</v>
      </c>
      <c r="BC110" s="288">
        <f t="shared" si="108"/>
        <v>52</v>
      </c>
      <c r="BD110" s="288">
        <f t="shared" si="108"/>
        <v>53</v>
      </c>
      <c r="BE110" s="288">
        <f t="shared" si="108"/>
        <v>54</v>
      </c>
      <c r="BF110" s="288">
        <f t="shared" si="108"/>
        <v>55</v>
      </c>
      <c r="BG110" s="288">
        <f t="shared" si="108"/>
        <v>56</v>
      </c>
      <c r="BH110" s="288">
        <f t="shared" si="108"/>
        <v>57</v>
      </c>
      <c r="BI110" s="288">
        <f t="shared" si="108"/>
        <v>58</v>
      </c>
      <c r="BJ110" s="288">
        <f t="shared" si="108"/>
        <v>59</v>
      </c>
      <c r="BK110" s="288">
        <f t="shared" si="108"/>
        <v>60</v>
      </c>
      <c r="BL110" s="288">
        <f t="shared" si="108"/>
        <v>61</v>
      </c>
      <c r="BM110" s="288">
        <f t="shared" si="108"/>
        <v>62</v>
      </c>
      <c r="BN110" s="288">
        <f t="shared" si="108"/>
        <v>63</v>
      </c>
      <c r="BO110" s="288">
        <f t="shared" si="108"/>
        <v>64</v>
      </c>
      <c r="BP110" s="288">
        <f t="shared" ref="BP110:DE110" si="109">MAX(BP3:BP109)</f>
        <v>65</v>
      </c>
      <c r="BQ110" s="288">
        <f t="shared" si="109"/>
        <v>66</v>
      </c>
      <c r="BR110" s="288">
        <f t="shared" si="109"/>
        <v>67</v>
      </c>
      <c r="BS110" s="288">
        <f t="shared" si="109"/>
        <v>68</v>
      </c>
      <c r="BT110" s="288">
        <f t="shared" si="109"/>
        <v>69</v>
      </c>
      <c r="BU110" s="288">
        <f t="shared" si="109"/>
        <v>70</v>
      </c>
      <c r="BV110" s="288">
        <f t="shared" si="109"/>
        <v>71</v>
      </c>
      <c r="BW110" s="288">
        <f t="shared" si="109"/>
        <v>72</v>
      </c>
      <c r="BX110" s="288">
        <f t="shared" si="109"/>
        <v>73</v>
      </c>
      <c r="BY110" s="288">
        <f t="shared" si="109"/>
        <v>74</v>
      </c>
      <c r="BZ110" s="288">
        <f t="shared" si="109"/>
        <v>75</v>
      </c>
      <c r="CA110" s="288">
        <f t="shared" si="109"/>
        <v>76</v>
      </c>
      <c r="CB110" s="288">
        <f t="shared" si="109"/>
        <v>77</v>
      </c>
      <c r="CC110" s="288">
        <f t="shared" si="109"/>
        <v>78</v>
      </c>
      <c r="CD110" s="288">
        <f t="shared" si="109"/>
        <v>79</v>
      </c>
      <c r="CE110" s="288">
        <f t="shared" si="109"/>
        <v>80</v>
      </c>
      <c r="CF110" s="288">
        <f t="shared" si="109"/>
        <v>81</v>
      </c>
      <c r="CG110" s="288">
        <f t="shared" si="109"/>
        <v>82</v>
      </c>
      <c r="CH110" s="288">
        <f t="shared" si="109"/>
        <v>83</v>
      </c>
      <c r="CI110" s="288">
        <f t="shared" si="109"/>
        <v>84</v>
      </c>
      <c r="CJ110" s="288">
        <f t="shared" si="109"/>
        <v>85</v>
      </c>
      <c r="CK110" s="288">
        <f t="shared" si="109"/>
        <v>86</v>
      </c>
      <c r="CL110" s="288">
        <f t="shared" si="109"/>
        <v>87</v>
      </c>
      <c r="CM110" s="288">
        <f t="shared" si="109"/>
        <v>88</v>
      </c>
      <c r="CN110" s="288">
        <f t="shared" si="109"/>
        <v>89</v>
      </c>
      <c r="CO110" s="288">
        <f t="shared" si="109"/>
        <v>90</v>
      </c>
      <c r="CP110" s="288">
        <f t="shared" si="109"/>
        <v>91</v>
      </c>
      <c r="CQ110" s="288">
        <f t="shared" si="109"/>
        <v>92</v>
      </c>
      <c r="CR110" s="288">
        <f t="shared" si="109"/>
        <v>93</v>
      </c>
      <c r="CS110" s="288">
        <f t="shared" si="109"/>
        <v>95</v>
      </c>
      <c r="CT110" s="288">
        <f t="shared" si="109"/>
        <v>95</v>
      </c>
      <c r="CU110" s="288">
        <f t="shared" si="109"/>
        <v>97</v>
      </c>
      <c r="CV110" s="288">
        <f t="shared" si="109"/>
        <v>97</v>
      </c>
      <c r="CW110" s="288">
        <f t="shared" si="109"/>
        <v>98</v>
      </c>
      <c r="CX110" s="288">
        <f t="shared" si="109"/>
        <v>99</v>
      </c>
      <c r="CY110" s="288">
        <f t="shared" si="109"/>
        <v>100</v>
      </c>
      <c r="CZ110" s="288">
        <f t="shared" si="109"/>
        <v>101</v>
      </c>
      <c r="DA110" s="288">
        <f t="shared" si="109"/>
        <v>103</v>
      </c>
      <c r="DB110" s="288">
        <f t="shared" si="109"/>
        <v>103</v>
      </c>
      <c r="DC110" s="288">
        <f t="shared" si="109"/>
        <v>104</v>
      </c>
      <c r="DD110" s="288">
        <f t="shared" si="109"/>
        <v>105</v>
      </c>
      <c r="DE110" s="288">
        <f t="shared" si="109"/>
        <v>0</v>
      </c>
    </row>
  </sheetData>
  <mergeCells count="5">
    <mergeCell ref="DG1:DG2"/>
    <mergeCell ref="DH1:DH2"/>
    <mergeCell ref="DJ2:DL2"/>
    <mergeCell ref="DN2:DP2"/>
    <mergeCell ref="DR2:DT2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603"/>
  <sheetViews>
    <sheetView workbookViewId="0">
      <selection activeCell="I11" sqref="I11"/>
    </sheetView>
  </sheetViews>
  <sheetFormatPr defaultRowHeight="15"/>
  <cols>
    <col min="1" max="1" width="9.140625" style="348"/>
    <col min="2" max="2" width="11.28515625" style="370" bestFit="1" customWidth="1"/>
    <col min="3" max="3" width="9.140625" style="361"/>
    <col min="4" max="4" width="28.5703125" style="362" bestFit="1" customWidth="1"/>
    <col min="5" max="5" width="2.42578125" style="356" customWidth="1"/>
    <col min="6" max="6" width="11.7109375" style="369" customWidth="1"/>
    <col min="7" max="7" width="20.5703125" style="364" bestFit="1" customWidth="1"/>
    <col min="8" max="8" width="13.85546875" style="11" bestFit="1" customWidth="1"/>
    <col min="9" max="9" width="17.5703125" style="11" customWidth="1"/>
    <col min="10" max="15" width="9.140625" style="11"/>
    <col min="16" max="16" width="0.85546875" style="11" customWidth="1"/>
    <col min="17" max="22" width="9.140625" style="11"/>
    <col min="23" max="23" width="13.28515625" style="368" customWidth="1"/>
    <col min="24" max="25" width="12.85546875" style="11" customWidth="1"/>
    <col min="26" max="16384" width="9.140625" style="11"/>
  </cols>
  <sheetData>
    <row r="1" spans="1:25" ht="25.5" customHeight="1">
      <c r="A1" s="348" t="s">
        <v>300</v>
      </c>
      <c r="B1" s="349" t="s">
        <v>304</v>
      </c>
      <c r="C1" s="349" t="s">
        <v>305</v>
      </c>
      <c r="D1" s="349" t="s">
        <v>306</v>
      </c>
      <c r="E1" s="350"/>
      <c r="F1" s="349" t="s">
        <v>307</v>
      </c>
      <c r="G1" s="348" t="s">
        <v>308</v>
      </c>
      <c r="W1" s="351">
        <f>DATE('Profit Calculation'!J$6-1,1,1)</f>
        <v>41640</v>
      </c>
      <c r="X1" s="352">
        <f>DATE('Profit Calculation'!J$6-1,'Profit Calculation'!R$6,'Profit Calculation'!Z$6)</f>
        <v>41730</v>
      </c>
      <c r="Y1" s="384">
        <v>2008</v>
      </c>
    </row>
    <row r="2" spans="1:25">
      <c r="A2" s="348">
        <v>1</v>
      </c>
      <c r="B2" s="353">
        <f>DATE('Profit Calculation'!J$6,1,1)</f>
        <v>42005</v>
      </c>
      <c r="C2" s="354"/>
      <c r="D2" s="355">
        <f>IF(B2=F$2,LOOKUP(B2,F:F,G:G),0)</f>
        <v>0</v>
      </c>
      <c r="F2" s="357">
        <f>DATE('Profit Calculation'!J$6,'Profit Calculation'!R$6,'Profit Calculation'!Z$6)</f>
        <v>42095</v>
      </c>
      <c r="G2" s="358">
        <f>IF(Q$27=2,ROUND(Single!BT$2,0),ROUND('Annual Calculation'!CD$2,0))</f>
        <v>89582629</v>
      </c>
      <c r="I2" s="359"/>
      <c r="W2" s="351">
        <f>DATE('Profit Calculation'!J$6+A2-1,1,1)</f>
        <v>42005</v>
      </c>
      <c r="X2" s="352">
        <f>DATE('Profit Calculation'!J$6,'Profit Calculation'!R$6,'Profit Calculation'!Z$6)</f>
        <v>42095</v>
      </c>
      <c r="Y2" s="383">
        <f>DATE(Y$1+(4*(A2-1)),12,31)</f>
        <v>39813</v>
      </c>
    </row>
    <row r="3" spans="1:25" ht="15.75" thickBot="1">
      <c r="A3" s="348">
        <f>A2+1</f>
        <v>2</v>
      </c>
      <c r="B3" s="360">
        <f>DATE('Profit Calculation'!J$6,A$2,A$2+A3-1)</f>
        <v>42006</v>
      </c>
      <c r="D3" s="362">
        <f>IF(OR(LOOKUP(B3,W$1:W$35,W$1:W$35) = B3, LOOKUP(B3,X$1:X$35,X$1:X$35) = B3),LOOKUP(B3,F:F,G:G),D2*(1+((IF($Q$18&lt;6,$R$14,IF($Q$18&lt;11,$R$15,$R$16)))))^(1/365))</f>
        <v>0</v>
      </c>
      <c r="F3" s="363">
        <f>DATE('Profit Calculation'!J$6,'Profit Calculation'!R$6+A3-1,'Profit Calculation'!Z$6)</f>
        <v>42125</v>
      </c>
      <c r="G3" s="364">
        <f>IF(Q$27=2,IF(LOOKUP(F3,X$1:X$35,X$1:X$35) = F3,ROUND(LOOKUP(LOOKUP(F3,X$1:X$35,A:A),Single!A$2:A$107,Table13[Saving]),0),IF( LOOKUP(F3,W$1:W$35,W$1:W$35) =
 F3,ROUND(G2*(1+IF($Q$18&lt;6,$R$14,IF($Q$18&lt;11,$R$15,$R$16)))^(1/12),0),G2*(1+IF($Q$18&lt;6,$R$14,IF($Q$18&lt;11,$R$15,$R$16)))^(1/12))),IF(LOOKUP(F3,X$1:X$35,X$1:X$35) = F3,ROUND(LOOKUP(LOOKUP(F3,X$1:X$35,A:A),'Annual Calculation'!A$2:A$107,Table1[Saving]),0),IF( LOOKUP(F3,W$1:W$35,W$1:W$35) =
 F3,ROUND(G2*(1+IF($Q$18&lt;6,$R$14,IF($Q$18&lt;11,$R$15,$R$16)))^(1/12),0),G2*(1+IF($Q$18&lt;6,$R$14,IF($Q$18&lt;11,$R$15,$R$16)))^(1/12))))</f>
        <v>90632082.056197047</v>
      </c>
      <c r="I3" s="359"/>
      <c r="W3" s="351">
        <f>DATE('Profit Calculation'!J$6+A3-1,1,1)</f>
        <v>42370</v>
      </c>
      <c r="X3" s="352">
        <f>DATE('Profit Calculation'!J$6+A3-1,'Profit Calculation'!R$6,'Profit Calculation'!Z$6)</f>
        <v>42461</v>
      </c>
      <c r="Y3" s="383">
        <f>DATE(Y$1+(4*(A3-1)),12,31)</f>
        <v>41274</v>
      </c>
    </row>
    <row r="4" spans="1:25" ht="15.75" thickTop="1">
      <c r="A4" s="348">
        <f>A3+1</f>
        <v>3</v>
      </c>
      <c r="B4" s="360">
        <f>DATE('Profit Calculation'!J$6,A$2,A$2+A4-1)</f>
        <v>42007</v>
      </c>
      <c r="D4" s="362">
        <f t="shared" ref="D4:D67" si="0">IF(OR(LOOKUP(B4,W$1:W$35,W$1:W$35) = B4, LOOKUP(B4,X$1:X$35,X$1:X$35) = B4),LOOKUP(B4,F:F,G:G),D3*(1+((IF($Q$18&lt;6,$R$14,IF($Q$18&lt;11,$R$15,$R$16)))))^(1/365))</f>
        <v>0</v>
      </c>
      <c r="F4" s="363">
        <f>DATE('Profit Calculation'!J$6,'Profit Calculation'!R$6+A4-1,'Profit Calculation'!Z$6)</f>
        <v>42156</v>
      </c>
      <c r="G4" s="364">
        <f>IF(Q$27=2,IF(LOOKUP(F4,X$1:X$35,X$1:X$35) = F4,ROUND(LOOKUP(LOOKUP(F4,X$1:X$35,A:A),Single!A$2:A$107,Table13[Saving]),0),IF( LOOKUP(F4,W$1:W$35,W$1:W$35) =
 F4,ROUND(G3*(1+IF($Q$18&lt;6,$R$14,IF($Q$18&lt;11,$R$15,$R$16)))^(1/12),0),G3*(1+IF($Q$18&lt;6,$R$14,IF($Q$18&lt;11,$R$15,$R$16)))^(1/12))),IF(LOOKUP(F4,X$1:X$35,X$1:X$35) = F4,ROUND(LOOKUP(LOOKUP(F4,X$1:X$35,A:A),'Annual Calculation'!A$2:A$107,Table1[Saving]),0),IF( LOOKUP(F4,W$1:W$35,W$1:W$35) =
 F4,ROUND(G3*(1+IF($Q$18&lt;6,$R$14,IF($Q$18&lt;11,$R$15,$R$16)))^(1/12),0),G3*(1+IF($Q$18&lt;6,$R$14,IF($Q$18&lt;11,$R$15,$R$16)))^(1/12))))</f>
        <v>91693829.367758736</v>
      </c>
      <c r="L4" s="568"/>
      <c r="M4" s="569"/>
      <c r="N4" s="569"/>
      <c r="O4" s="569"/>
      <c r="P4" s="569"/>
      <c r="Q4" s="569"/>
      <c r="R4" s="569"/>
      <c r="S4" s="569"/>
      <c r="T4" s="570"/>
      <c r="W4" s="351">
        <f>DATE('Profit Calculation'!J$6+A4-1,1,1)</f>
        <v>42736</v>
      </c>
      <c r="X4" s="352">
        <f>DATE('Profit Calculation'!J$6+A4-1,'Profit Calculation'!R$6,'Profit Calculation'!Z$6)</f>
        <v>42826</v>
      </c>
      <c r="Y4" s="383">
        <f>DATE(Y$1+(4*(A4-1)),12,31)</f>
        <v>42735</v>
      </c>
    </row>
    <row r="5" spans="1:25">
      <c r="A5" s="348">
        <f t="shared" ref="A5:A68" si="1">A4+1</f>
        <v>4</v>
      </c>
      <c r="B5" s="360">
        <f>DATE('Profit Calculation'!J$6,A$2,A$2+A5-1)</f>
        <v>42008</v>
      </c>
      <c r="D5" s="362">
        <f t="shared" si="0"/>
        <v>0</v>
      </c>
      <c r="F5" s="363">
        <f>DATE('Profit Calculation'!J$6,'Profit Calculation'!R$6+A5-1,'Profit Calculation'!Z$6)</f>
        <v>42186</v>
      </c>
      <c r="G5" s="364">
        <f>IF(Q$27=2,IF(LOOKUP(F5,X$1:X$35,X$1:X$35) = F5,ROUND(LOOKUP(LOOKUP(F5,X$1:X$35,A:A),Single!A$2:A$107,Table13[Saving]),0),IF( LOOKUP(F5,W$1:W$35,W$1:W$35) =
 F5,ROUND(G4*(1+IF($Q$18&lt;6,$R$14,IF($Q$18&lt;11,$R$15,$R$16)))^(1/12),0),G4*(1+IF($Q$18&lt;6,$R$14,IF($Q$18&lt;11,$R$15,$R$16)))^(1/12))),IF(LOOKUP(F5,X$1:X$35,X$1:X$35) = F5,ROUND(LOOKUP(LOOKUP(F5,X$1:X$35,A:A),'Annual Calculation'!A$2:A$107,Table1[Saving]),0),IF( LOOKUP(F5,W$1:W$35,W$1:W$35) =
 F5,ROUND(G4*(1+IF($Q$18&lt;6,$R$14,IF($Q$18&lt;11,$R$15,$R$16)))^(1/12),0),G4*(1+IF($Q$18&lt;6,$R$14,IF($Q$18&lt;11,$R$15,$R$16)))^(1/12))))</f>
        <v>92768014.960865244</v>
      </c>
      <c r="L5" s="571"/>
      <c r="M5" s="572"/>
      <c r="N5" s="572"/>
      <c r="O5" s="572"/>
      <c r="P5" s="572"/>
      <c r="Q5" s="572"/>
      <c r="R5" s="572"/>
      <c r="S5" s="572"/>
      <c r="T5" s="573"/>
      <c r="W5" s="351">
        <f>DATE('Profit Calculation'!J$6+A5-1,1,1)</f>
        <v>43101</v>
      </c>
      <c r="X5" s="352">
        <f>DATE('Profit Calculation'!J$6+A5-1,'Profit Calculation'!R$6,'Profit Calculation'!Z$6)</f>
        <v>43191</v>
      </c>
      <c r="Y5" s="383">
        <f t="shared" ref="Y5:Y35" si="2">DATE(Y$1+(4*(A5-1)),12,31)</f>
        <v>44196</v>
      </c>
    </row>
    <row r="6" spans="1:25">
      <c r="A6" s="348">
        <f t="shared" si="1"/>
        <v>5</v>
      </c>
      <c r="B6" s="360">
        <f>DATE('Profit Calculation'!J$6,A$2,A$2+A6-1)</f>
        <v>42009</v>
      </c>
      <c r="D6" s="362">
        <f t="shared" si="0"/>
        <v>0</v>
      </c>
      <c r="F6" s="363">
        <f>DATE('Profit Calculation'!J$6,'Profit Calculation'!R$6+A6-1,'Profit Calculation'!Z$6)</f>
        <v>42217</v>
      </c>
      <c r="G6" s="364">
        <f>IF(Q$27=2,IF(LOOKUP(F6,X$1:X$35,X$1:X$35) = F6,ROUND(LOOKUP(LOOKUP(F6,X$1:X$35,A:A),Single!A$2:A$107,Table13[Saving]),0),IF( LOOKUP(F6,W$1:W$35,W$1:W$35) =
 F6,ROUND(G5*(1+IF($Q$18&lt;6,$R$14,IF($Q$18&lt;11,$R$15,$R$16)))^(1/12),0),G5*(1+IF($Q$18&lt;6,$R$14,IF($Q$18&lt;11,$R$15,$R$16)))^(1/12))),IF(LOOKUP(F6,X$1:X$35,X$1:X$35) = F6,ROUND(LOOKUP(LOOKUP(F6,X$1:X$35,A:A),'Annual Calculation'!A$2:A$107,Table1[Saving]),0),IF( LOOKUP(F6,W$1:W$35,W$1:W$35) =
 F6,ROUND(G5*(1+IF($Q$18&lt;6,$R$14,IF($Q$18&lt;11,$R$15,$R$16)))^(1/12),0),G5*(1+IF($Q$18&lt;6,$R$14,IF($Q$18&lt;11,$R$15,$R$16)))^(1/12))))</f>
        <v>93854784.548951492</v>
      </c>
      <c r="L6" s="571"/>
      <c r="M6" s="572"/>
      <c r="N6" s="572"/>
      <c r="O6" s="572"/>
      <c r="P6" s="572"/>
      <c r="Q6" s="572"/>
      <c r="R6" s="572"/>
      <c r="S6" s="572"/>
      <c r="T6" s="573"/>
      <c r="W6" s="351">
        <f>DATE('Profit Calculation'!J$6+A6-1,1,1)</f>
        <v>43466</v>
      </c>
      <c r="X6" s="352">
        <f>DATE('Profit Calculation'!J$6+A6-1,'Profit Calculation'!R$6,'Profit Calculation'!Z$6)</f>
        <v>43556</v>
      </c>
      <c r="Y6" s="383">
        <f t="shared" si="2"/>
        <v>45657</v>
      </c>
    </row>
    <row r="7" spans="1:25">
      <c r="A7" s="348">
        <f t="shared" si="1"/>
        <v>6</v>
      </c>
      <c r="B7" s="360">
        <f>DATE('Profit Calculation'!J$6,A$2,A$2+A7-1)</f>
        <v>42010</v>
      </c>
      <c r="D7" s="362">
        <f t="shared" si="0"/>
        <v>0</v>
      </c>
      <c r="F7" s="363">
        <f>DATE('Profit Calculation'!J$6,'Profit Calculation'!R$6+A7-1,'Profit Calculation'!Z$6)</f>
        <v>42248</v>
      </c>
      <c r="G7" s="364">
        <f>IF(Q$27=2,IF(LOOKUP(F7,X$1:X$35,X$1:X$35) = F7,ROUND(LOOKUP(LOOKUP(F7,X$1:X$35,A:A),Single!A$2:A$107,Table13[Saving]),0),IF( LOOKUP(F7,W$1:W$35,W$1:W$35) =
 F7,ROUND(G6*(1+IF($Q$18&lt;6,$R$14,IF($Q$18&lt;11,$R$15,$R$16)))^(1/12),0),G6*(1+IF($Q$18&lt;6,$R$14,IF($Q$18&lt;11,$R$15,$R$16)))^(1/12))),IF(LOOKUP(F7,X$1:X$35,X$1:X$35) = F7,ROUND(LOOKUP(LOOKUP(F7,X$1:X$35,A:A),'Annual Calculation'!A$2:A$107,Table1[Saving]),0),IF( LOOKUP(F7,W$1:W$35,W$1:W$35) =
 F7,ROUND(G6*(1+IF($Q$18&lt;6,$R$14,IF($Q$18&lt;11,$R$15,$R$16)))^(1/12),0),G6*(1+IF($Q$18&lt;6,$R$14,IF($Q$18&lt;11,$R$15,$R$16)))^(1/12))))</f>
        <v>94954285.552473202</v>
      </c>
      <c r="L7" s="571"/>
      <c r="M7" s="574" t="s">
        <v>309</v>
      </c>
      <c r="N7" s="574"/>
      <c r="O7" s="574"/>
      <c r="P7" s="575"/>
      <c r="Q7" s="576">
        <f>LOOKUP(IF((Q18-1)&lt;=0,1,(Q18-1)),'Annual Calculation'!A2:A107,'Annual Calculation'!CD2:CD107)</f>
        <v>8476254626</v>
      </c>
      <c r="R7" s="576"/>
      <c r="S7" s="576"/>
      <c r="T7" s="573"/>
      <c r="U7" s="365"/>
      <c r="W7" s="351">
        <f>DATE('Profit Calculation'!J$6+A7-1,1,1)</f>
        <v>43831</v>
      </c>
      <c r="X7" s="352">
        <f>DATE('Profit Calculation'!J$6+A7-1,'Profit Calculation'!R$6,'Profit Calculation'!Z$6)</f>
        <v>43922</v>
      </c>
      <c r="Y7" s="383">
        <f t="shared" si="2"/>
        <v>47118</v>
      </c>
    </row>
    <row r="8" spans="1:25">
      <c r="A8" s="348">
        <f t="shared" si="1"/>
        <v>7</v>
      </c>
      <c r="B8" s="360">
        <f>DATE('Profit Calculation'!J$6,A$2,A$2+A8-1)</f>
        <v>42011</v>
      </c>
      <c r="D8" s="362">
        <f t="shared" si="0"/>
        <v>0</v>
      </c>
      <c r="F8" s="363">
        <f>DATE('Profit Calculation'!J$6,'Profit Calculation'!R$6+A8-1,'Profit Calculation'!Z$6)</f>
        <v>42278</v>
      </c>
      <c r="G8" s="364">
        <f>IF(Q$27=2,IF(LOOKUP(F8,X$1:X$35,X$1:X$35) = F8,ROUND(LOOKUP(LOOKUP(F8,X$1:X$35,A:A),Single!A$2:A$107,Table13[Saving]),0),IF( LOOKUP(F8,W$1:W$35,W$1:W$35) =
 F8,ROUND(G7*(1+IF($Q$18&lt;6,$R$14,IF($Q$18&lt;11,$R$15,$R$16)))^(1/12),0),G7*(1+IF($Q$18&lt;6,$R$14,IF($Q$18&lt;11,$R$15,$R$16)))^(1/12))),IF(LOOKUP(F8,X$1:X$35,X$1:X$35) = F8,ROUND(LOOKUP(LOOKUP(F8,X$1:X$35,A:A),'Annual Calculation'!A$2:A$107,Table1[Saving]),0),IF( LOOKUP(F8,W$1:W$35,W$1:W$35) =
 F8,ROUND(G7*(1+IF($Q$18&lt;6,$R$14,IF($Q$18&lt;11,$R$15,$R$16)))^(1/12),0),G7*(1+IF($Q$18&lt;6,$R$14,IF($Q$18&lt;11,$R$15,$R$16)))^(1/12))))</f>
        <v>96066667.118904456</v>
      </c>
      <c r="L8" s="571"/>
      <c r="M8" s="574"/>
      <c r="N8" s="574"/>
      <c r="O8" s="574"/>
      <c r="P8" s="575"/>
      <c r="Q8" s="576"/>
      <c r="R8" s="576"/>
      <c r="S8" s="576"/>
      <c r="T8" s="573"/>
      <c r="U8" s="365"/>
      <c r="W8" s="351">
        <f>DATE('Profit Calculation'!J$6+A8-1,1,1)</f>
        <v>44197</v>
      </c>
      <c r="X8" s="352">
        <f>DATE('Profit Calculation'!J$6+A8-1,'Profit Calculation'!R$6,'Profit Calculation'!Z$6)</f>
        <v>44287</v>
      </c>
      <c r="Y8" s="383">
        <f t="shared" si="2"/>
        <v>48579</v>
      </c>
    </row>
    <row r="9" spans="1:25">
      <c r="A9" s="348">
        <f t="shared" si="1"/>
        <v>8</v>
      </c>
      <c r="B9" s="360">
        <f>DATE('Profit Calculation'!J$6,A$2,A$2+A9-1)</f>
        <v>42012</v>
      </c>
      <c r="D9" s="362">
        <f t="shared" si="0"/>
        <v>0</v>
      </c>
      <c r="F9" s="363">
        <f>DATE('Profit Calculation'!J$6,'Profit Calculation'!R$6+A9-1,'Profit Calculation'!Z$6)</f>
        <v>42309</v>
      </c>
      <c r="G9" s="364">
        <f>IF(Q$27=2,IF(LOOKUP(F9,X$1:X$35,X$1:X$35) = F9,ROUND(LOOKUP(LOOKUP(F9,X$1:X$35,A:A),Single!A$2:A$107,Table13[Saving]),0),IF( LOOKUP(F9,W$1:W$35,W$1:W$35) =
 F9,ROUND(G8*(1+IF($Q$18&lt;6,$R$14,IF($Q$18&lt;11,$R$15,$R$16)))^(1/12),0),G8*(1+IF($Q$18&lt;6,$R$14,IF($Q$18&lt;11,$R$15,$R$16)))^(1/12))),IF(LOOKUP(F9,X$1:X$35,X$1:X$35) = F9,ROUND(LOOKUP(LOOKUP(F9,X$1:X$35,A:A),'Annual Calculation'!A$2:A$107,Table1[Saving]),0),IF( LOOKUP(F9,W$1:W$35,W$1:W$35) =
 F9,ROUND(G8*(1+IF($Q$18&lt;6,$R$14,IF($Q$18&lt;11,$R$15,$R$16)))^(1/12),0),G8*(1+IF($Q$18&lt;6,$R$14,IF($Q$18&lt;11,$R$15,$R$16)))^(1/12))))</f>
        <v>97192080.142969638</v>
      </c>
      <c r="L9" s="571"/>
      <c r="M9" s="577"/>
      <c r="N9" s="577"/>
      <c r="O9" s="577"/>
      <c r="P9" s="577"/>
      <c r="Q9" s="577"/>
      <c r="R9" s="577"/>
      <c r="S9" s="577"/>
      <c r="T9" s="573"/>
      <c r="U9" s="365"/>
      <c r="W9" s="351">
        <f>DATE('Profit Calculation'!J$6+A9-1,1,1)</f>
        <v>44562</v>
      </c>
      <c r="X9" s="352">
        <f>DATE('Profit Calculation'!J$6+A9-1,'Profit Calculation'!R$6,'Profit Calculation'!Z$6)</f>
        <v>44652</v>
      </c>
      <c r="Y9" s="383">
        <f t="shared" si="2"/>
        <v>50040</v>
      </c>
    </row>
    <row r="10" spans="1:25">
      <c r="A10" s="348">
        <f t="shared" si="1"/>
        <v>9</v>
      </c>
      <c r="B10" s="360">
        <f>DATE('Profit Calculation'!J$6,A$2,A$2+A10-1)</f>
        <v>42013</v>
      </c>
      <c r="D10" s="362">
        <f t="shared" si="0"/>
        <v>0</v>
      </c>
      <c r="F10" s="363">
        <f>DATE('Profit Calculation'!J$6,'Profit Calculation'!R$6+A10-1,'Profit Calculation'!Z$6)</f>
        <v>42339</v>
      </c>
      <c r="G10" s="364">
        <f>IF(Q$27=2,IF(LOOKUP(F10,X$1:X$35,X$1:X$35) = F10,ROUND(LOOKUP(LOOKUP(F10,X$1:X$35,A:A),Single!A$2:A$107,Table13[Saving]),0),IF( LOOKUP(F10,W$1:W$35,W$1:W$35) =
 F10,ROUND(G9*(1+IF($Q$18&lt;6,$R$14,IF($Q$18&lt;11,$R$15,$R$16)))^(1/12),0),G9*(1+IF($Q$18&lt;6,$R$14,IF($Q$18&lt;11,$R$15,$R$16)))^(1/12))),IF(LOOKUP(F10,X$1:X$35,X$1:X$35) = F10,ROUND(LOOKUP(LOOKUP(F10,X$1:X$35,A:A),'Annual Calculation'!A$2:A$107,Table1[Saving]),0),IF( LOOKUP(F10,W$1:W$35,W$1:W$35) =
 F10,ROUND(G9*(1+IF($Q$18&lt;6,$R$14,IF($Q$18&lt;11,$R$15,$R$16)))^(1/12),0),G9*(1+IF($Q$18&lt;6,$R$14,IF($Q$18&lt;11,$R$15,$R$16)))^(1/12))))</f>
        <v>98330677.287112266</v>
      </c>
      <c r="L10" s="571"/>
      <c r="M10" s="574" t="s">
        <v>308</v>
      </c>
      <c r="N10" s="574"/>
      <c r="O10" s="574"/>
      <c r="P10" s="575"/>
      <c r="Q10" s="576">
        <f>LOOKUP((IF((Q18-1)&lt;=0,1,(Q18-1))) + 1,'Annual Calculation'!A2:A107,'Annual Calculation'!CD2:CD107)</f>
        <v>10750807783</v>
      </c>
      <c r="R10" s="576"/>
      <c r="S10" s="576"/>
      <c r="T10" s="573"/>
      <c r="W10" s="351">
        <f>DATE('Profit Calculation'!J$6+A10-1,1,1)</f>
        <v>44927</v>
      </c>
      <c r="X10" s="352">
        <f>DATE('Profit Calculation'!J$6+A10-1,'Profit Calculation'!R$6,'Profit Calculation'!Z$6)</f>
        <v>45017</v>
      </c>
      <c r="Y10" s="383">
        <f t="shared" si="2"/>
        <v>51501</v>
      </c>
    </row>
    <row r="11" spans="1:25">
      <c r="A11" s="348">
        <f t="shared" si="1"/>
        <v>10</v>
      </c>
      <c r="B11" s="360">
        <f>DATE('Profit Calculation'!J$6,A$2,A$2+A11-1)</f>
        <v>42014</v>
      </c>
      <c r="D11" s="362">
        <f t="shared" si="0"/>
        <v>0</v>
      </c>
      <c r="F11" s="363">
        <f>DATE('Profit Calculation'!J$6,'Profit Calculation'!R$6+A11-1,'Profit Calculation'!Z$6)</f>
        <v>42370</v>
      </c>
      <c r="G11" s="364">
        <f>IF(Q$27=2,IF(LOOKUP(F11,X$1:X$35,X$1:X$35) = F11,ROUND(LOOKUP(LOOKUP(F11,X$1:X$35,A:A),Single!A$2:A$107,Table13[Saving]),0),IF( LOOKUP(F11,W$1:W$35,W$1:W$35) =
 F11,ROUND(G10*(1+IF($Q$18&lt;6,$R$14,IF($Q$18&lt;11,$R$15,$R$16)))^(1/12),0),G10*(1+IF($Q$18&lt;6,$R$14,IF($Q$18&lt;11,$R$15,$R$16)))^(1/12))),IF(LOOKUP(F11,X$1:X$35,X$1:X$35) = F11,ROUND(LOOKUP(LOOKUP(F11,X$1:X$35,A:A),'Annual Calculation'!A$2:A$107,Table1[Saving]),0),IF( LOOKUP(F11,W$1:W$35,W$1:W$35) =
 F11,ROUND(G10*(1+IF($Q$18&lt;6,$R$14,IF($Q$18&lt;11,$R$15,$R$16)))^(1/12),0),G10*(1+IF($Q$18&lt;6,$R$14,IF($Q$18&lt;11,$R$15,$R$16)))^(1/12))))</f>
        <v>99482613</v>
      </c>
      <c r="L11" s="571"/>
      <c r="M11" s="574"/>
      <c r="N11" s="574"/>
      <c r="O11" s="574"/>
      <c r="P11" s="575"/>
      <c r="Q11" s="576"/>
      <c r="R11" s="576"/>
      <c r="S11" s="576"/>
      <c r="T11" s="573"/>
      <c r="W11" s="351">
        <f>DATE('Profit Calculation'!J$6+A11-1,1,1)</f>
        <v>45292</v>
      </c>
      <c r="X11" s="352">
        <f>DATE('Profit Calculation'!J$6+A11-1,'Profit Calculation'!R$6,'Profit Calculation'!Z$6)</f>
        <v>45383</v>
      </c>
      <c r="Y11" s="383">
        <f t="shared" si="2"/>
        <v>52962</v>
      </c>
    </row>
    <row r="12" spans="1:25">
      <c r="A12" s="348">
        <f t="shared" si="1"/>
        <v>11</v>
      </c>
      <c r="B12" s="360">
        <f>DATE('Profit Calculation'!J$6,A$2,A$2+A12-1)</f>
        <v>42015</v>
      </c>
      <c r="D12" s="362">
        <f t="shared" si="0"/>
        <v>0</v>
      </c>
      <c r="F12" s="363">
        <f>DATE('Profit Calculation'!J$6,'Profit Calculation'!R$6+A12-1,'Profit Calculation'!Z$6)</f>
        <v>42401</v>
      </c>
      <c r="G12" s="364">
        <f>IF(Q$27=2,IF(LOOKUP(F12,X$1:X$35,X$1:X$35) = F12,ROUND(LOOKUP(LOOKUP(F12,X$1:X$35,A:A),Single!A$2:A$107,Table13[Saving]),0),IF( LOOKUP(F12,W$1:W$35,W$1:W$35) =
 F12,ROUND(G11*(1+IF($Q$18&lt;6,$R$14,IF($Q$18&lt;11,$R$15,$R$16)))^(1/12),0),G11*(1+IF($Q$18&lt;6,$R$14,IF($Q$18&lt;11,$R$15,$R$16)))^(1/12))),IF(LOOKUP(F12,X$1:X$35,X$1:X$35) = F12,ROUND(LOOKUP(LOOKUP(F12,X$1:X$35,A:A),'Annual Calculation'!A$2:A$107,Table1[Saving]),0),IF( LOOKUP(F12,W$1:W$35,W$1:W$35) =
 F12,ROUND(G11*(1+IF($Q$18&lt;6,$R$14,IF($Q$18&lt;11,$R$15,$R$16)))^(1/12),0),G11*(1+IF($Q$18&lt;6,$R$14,IF($Q$18&lt;11,$R$15,$R$16)))^(1/12))))</f>
        <v>100648043.54626493</v>
      </c>
      <c r="L12" s="571"/>
      <c r="M12" s="577"/>
      <c r="N12" s="577"/>
      <c r="O12" s="577"/>
      <c r="P12" s="577"/>
      <c r="Q12" s="577"/>
      <c r="R12" s="577"/>
      <c r="S12" s="577"/>
      <c r="T12" s="573"/>
      <c r="W12" s="351">
        <f>DATE('Profit Calculation'!J$6+A12-1,1,1)</f>
        <v>45658</v>
      </c>
      <c r="X12" s="352">
        <f>DATE('Profit Calculation'!J$6+A12-1,'Profit Calculation'!R$6,'Profit Calculation'!Z$6)</f>
        <v>45748</v>
      </c>
      <c r="Y12" s="383">
        <f t="shared" si="2"/>
        <v>54423</v>
      </c>
    </row>
    <row r="13" spans="1:25">
      <c r="A13" s="348">
        <f t="shared" si="1"/>
        <v>12</v>
      </c>
      <c r="B13" s="360">
        <f>DATE('Profit Calculation'!J$6,A$2,A$2+A13-1)</f>
        <v>42016</v>
      </c>
      <c r="D13" s="362">
        <f t="shared" si="0"/>
        <v>0</v>
      </c>
      <c r="F13" s="363">
        <f>DATE('Profit Calculation'!J$6,'Profit Calculation'!R$6+A13-1,'Profit Calculation'!Z$6)</f>
        <v>42430</v>
      </c>
      <c r="G13" s="364">
        <f>IF(Q$27=2,IF(LOOKUP(F13,X$1:X$35,X$1:X$35) = F13,ROUND(LOOKUP(LOOKUP(F13,X$1:X$35,A:A),Single!A$2:A$107,Table13[Saving]),0),IF( LOOKUP(F13,W$1:W$35,W$1:W$35) =
 F13,ROUND(G12*(1+IF($Q$18&lt;6,$R$14,IF($Q$18&lt;11,$R$15,$R$16)))^(1/12),0),G12*(1+IF($Q$18&lt;6,$R$14,IF($Q$18&lt;11,$R$15,$R$16)))^(1/12))),IF(LOOKUP(F13,X$1:X$35,X$1:X$35) = F13,ROUND(LOOKUP(LOOKUP(F13,X$1:X$35,A:A),'Annual Calculation'!A$2:A$107,Table1[Saving]),0),IF( LOOKUP(F13,W$1:W$35,W$1:W$35) =
 F13,ROUND(G12*(1+IF($Q$18&lt;6,$R$14,IF($Q$18&lt;11,$R$15,$R$16)))^(1/12),0),G12*(1+IF($Q$18&lt;6,$R$14,IF($Q$18&lt;11,$R$15,$R$16)))^(1/12))))</f>
        <v>101827127.01455522</v>
      </c>
      <c r="L13" s="571"/>
      <c r="M13" s="578" t="s">
        <v>310</v>
      </c>
      <c r="N13" s="578"/>
      <c r="O13" s="578"/>
      <c r="P13" s="578"/>
      <c r="Q13" s="578"/>
      <c r="R13" s="578"/>
      <c r="S13" s="578"/>
      <c r="T13" s="573"/>
      <c r="W13" s="351">
        <f>DATE('Profit Calculation'!J$6+A13-1,1,1)</f>
        <v>46023</v>
      </c>
      <c r="X13" s="352">
        <f>DATE('Profit Calculation'!J$6+A13-1,'Profit Calculation'!R$6,'Profit Calculation'!Z$6)</f>
        <v>46113</v>
      </c>
      <c r="Y13" s="383">
        <f t="shared" si="2"/>
        <v>55884</v>
      </c>
    </row>
    <row r="14" spans="1:25">
      <c r="A14" s="348">
        <f t="shared" si="1"/>
        <v>13</v>
      </c>
      <c r="B14" s="360">
        <f>DATE('Profit Calculation'!J$6,A$2,A$2+A14-1)</f>
        <v>42017</v>
      </c>
      <c r="D14" s="362">
        <f t="shared" si="0"/>
        <v>0</v>
      </c>
      <c r="F14" s="357">
        <f>DATE('Profit Calculation'!J$6,'Profit Calculation'!R$6+A14-1,'Profit Calculation'!Z$6)</f>
        <v>42461</v>
      </c>
      <c r="G14" s="358">
        <f ca="1">IF(Q$27=2,IF(LOOKUP(F14,X$1:X$35,X$1:X$35) = F14,ROUND(LOOKUP(LOOKUP(F14,X$1:X$35,A:A),Single!A$2:A$107,Table13[Saving]),0),IF( LOOKUP(F14,W$1:W$35,W$1:W$35) =
 F14,ROUND(G13*(1+IF($Q$18&lt;6,$R$14,IF($Q$18&lt;11,$R$15,$R$16)))^(1/12),0),G13*(1+IF($Q$18&lt;6,$R$14,IF($Q$18&lt;11,$R$15,$R$16)))^(1/12))),IF(LOOKUP(F14,X$1:X$35,X$1:X$35) = F14,ROUND(LOOKUP(LOOKUP(F14,X$1:X$35,A:A),'Annual Calculation'!A$2:A$107,Table1[Saving]),0),IF( LOOKUP(F14,W$1:W$35,W$1:W$35) =
 F14,ROUND(G13*(1+IF($Q$18&lt;6,$R$14,IF($Q$18&lt;11,$R$15,$R$16)))^(1/12),0),G13*(1+IF($Q$18&lt;6,$R$14,IF($Q$18&lt;11,$R$15,$R$16)))^(1/12))))</f>
        <v>101800725</v>
      </c>
      <c r="L14" s="571"/>
      <c r="M14" s="579">
        <v>1</v>
      </c>
      <c r="N14" s="579"/>
      <c r="O14" s="580" t="s">
        <v>311</v>
      </c>
      <c r="P14" s="580"/>
      <c r="Q14" s="580"/>
      <c r="R14" s="581">
        <v>0.18</v>
      </c>
      <c r="S14" s="581"/>
      <c r="T14" s="573"/>
      <c r="W14" s="351">
        <f>DATE('Profit Calculation'!J$6+A14-1,1,1)</f>
        <v>46388</v>
      </c>
      <c r="X14" s="352">
        <f>DATE('Profit Calculation'!J$6+A14-1,'Profit Calculation'!R$6,'Profit Calculation'!Z$6)</f>
        <v>46478</v>
      </c>
      <c r="Y14" s="383">
        <f t="shared" si="2"/>
        <v>57345</v>
      </c>
    </row>
    <row r="15" spans="1:25">
      <c r="A15" s="348">
        <f t="shared" si="1"/>
        <v>14</v>
      </c>
      <c r="B15" s="360">
        <f>DATE('Profit Calculation'!J$6,A$2,A$2+A15-1)</f>
        <v>42018</v>
      </c>
      <c r="D15" s="362">
        <f t="shared" si="0"/>
        <v>0</v>
      </c>
      <c r="F15" s="363">
        <f>DATE('Profit Calculation'!J$6,'Profit Calculation'!R$6+A15-1,'Profit Calculation'!Z$6)</f>
        <v>42491</v>
      </c>
      <c r="G15" s="364">
        <f ca="1">IF(Q$27=2,IF(LOOKUP(F15,X$1:X$35,X$1:X$35) = F15,ROUND(LOOKUP(LOOKUP(F15,X$1:X$35,A:A),Single!A$2:A$107,Table13[Saving]),0),IF( LOOKUP(F15,W$1:W$35,W$1:W$35) =
 F15,ROUND(G14*(1+IF($Q$18&lt;6,$R$14,IF($Q$18&lt;11,$R$15,$R$16)))^(1/12),0),G14*(1+IF($Q$18&lt;6,$R$14,IF($Q$18&lt;11,$R$15,$R$16)))^(1/12))),IF(LOOKUP(F15,X$1:X$35,X$1:X$35) = F15,ROUND(LOOKUP(LOOKUP(F15,X$1:X$35,A:A),'Annual Calculation'!A$2:A$107,Table1[Saving]),0),IF( LOOKUP(F15,W$1:W$35,W$1:W$35) =
 F15,ROUND(G14*(1+IF($Q$18&lt;6,$R$14,IF($Q$18&lt;11,$R$15,$R$16)))^(1/12),0),G14*(1+IF($Q$18&lt;6,$R$14,IF($Q$18&lt;11,$R$15,$R$16)))^(1/12))))</f>
        <v>102993312.03575584</v>
      </c>
      <c r="L15" s="571"/>
      <c r="M15" s="579">
        <v>2</v>
      </c>
      <c r="N15" s="579"/>
      <c r="O15" s="582" t="s">
        <v>312</v>
      </c>
      <c r="P15" s="582"/>
      <c r="Q15" s="582"/>
      <c r="R15" s="581">
        <v>0.15</v>
      </c>
      <c r="S15" s="581"/>
      <c r="T15" s="573"/>
      <c r="W15" s="351">
        <f>DATE('Profit Calculation'!J$6+A15-1,1,1)</f>
        <v>46753</v>
      </c>
      <c r="X15" s="352">
        <f>DATE('Profit Calculation'!J$6+A15-1,'Profit Calculation'!R$6,'Profit Calculation'!Z$6)</f>
        <v>46844</v>
      </c>
      <c r="Y15" s="383">
        <f t="shared" si="2"/>
        <v>58806</v>
      </c>
    </row>
    <row r="16" spans="1:25">
      <c r="A16" s="348">
        <f t="shared" si="1"/>
        <v>15</v>
      </c>
      <c r="B16" s="360">
        <f>DATE('Profit Calculation'!J$6,A$2,A$2+A16-1)</f>
        <v>42019</v>
      </c>
      <c r="D16" s="362">
        <f t="shared" si="0"/>
        <v>0</v>
      </c>
      <c r="F16" s="363">
        <f>DATE('Profit Calculation'!J$6,'Profit Calculation'!R$6+A16-1,'Profit Calculation'!Z$6)</f>
        <v>42522</v>
      </c>
      <c r="G16" s="364">
        <f ca="1">IF(Q$27=2,IF(LOOKUP(F16,X$1:X$35,X$1:X$35) = F16,ROUND(LOOKUP(LOOKUP(F16,X$1:X$35,A:A),Single!A$2:A$107,Table13[Saving]),0),IF( LOOKUP(F16,W$1:W$35,W$1:W$35) =
 F16,ROUND(G15*(1+IF($Q$18&lt;6,$R$14,IF($Q$18&lt;11,$R$15,$R$16)))^(1/12),0),G15*(1+IF($Q$18&lt;6,$R$14,IF($Q$18&lt;11,$R$15,$R$16)))^(1/12))),IF(LOOKUP(F16,X$1:X$35,X$1:X$35) = F16,ROUND(LOOKUP(LOOKUP(F16,X$1:X$35,A:A),'Annual Calculation'!A$2:A$107,Table1[Saving]),0),IF( LOOKUP(F16,W$1:W$35,W$1:W$35) =
 F16,ROUND(G15*(1+IF($Q$18&lt;6,$R$14,IF($Q$18&lt;11,$R$15,$R$16)))^(1/12),0),G15*(1+IF($Q$18&lt;6,$R$14,IF($Q$18&lt;11,$R$15,$R$16)))^(1/12))))</f>
        <v>104199870.12955526</v>
      </c>
      <c r="L16" s="571"/>
      <c r="M16" s="579">
        <v>3</v>
      </c>
      <c r="N16" s="579"/>
      <c r="O16" s="582" t="s">
        <v>313</v>
      </c>
      <c r="P16" s="582"/>
      <c r="Q16" s="582"/>
      <c r="R16" s="581">
        <v>0.15</v>
      </c>
      <c r="S16" s="581"/>
      <c r="T16" s="573"/>
      <c r="W16" s="351">
        <f>DATE('Profit Calculation'!J$6+A16-1,1,1)</f>
        <v>47119</v>
      </c>
      <c r="X16" s="352">
        <f>DATE('Profit Calculation'!J$6+A16-1,'Profit Calculation'!R$6,'Profit Calculation'!Z$6)</f>
        <v>47209</v>
      </c>
      <c r="Y16" s="383">
        <f t="shared" si="2"/>
        <v>60267</v>
      </c>
    </row>
    <row r="17" spans="1:25">
      <c r="A17" s="348">
        <f t="shared" si="1"/>
        <v>16</v>
      </c>
      <c r="B17" s="360">
        <f>DATE('Profit Calculation'!J$6,A$2,A$2+A17-1)</f>
        <v>42020</v>
      </c>
      <c r="D17" s="362">
        <f t="shared" si="0"/>
        <v>0</v>
      </c>
      <c r="F17" s="363">
        <f>DATE('Profit Calculation'!J$6,'Profit Calculation'!R$6+A17-1,'Profit Calculation'!Z$6)</f>
        <v>42552</v>
      </c>
      <c r="G17" s="364">
        <f ca="1">IF(Q$27=2,IF(LOOKUP(F17,X$1:X$35,X$1:X$35) = F17,ROUND(LOOKUP(LOOKUP(F17,X$1:X$35,A:A),Single!A$2:A$107,Table13[Saving]),0),IF( LOOKUP(F17,W$1:W$35,W$1:W$35) =
 F17,ROUND(G16*(1+IF($Q$18&lt;6,$R$14,IF($Q$18&lt;11,$R$15,$R$16)))^(1/12),0),G16*(1+IF($Q$18&lt;6,$R$14,IF($Q$18&lt;11,$R$15,$R$16)))^(1/12))),IF(LOOKUP(F17,X$1:X$35,X$1:X$35) = F17,ROUND(LOOKUP(LOOKUP(F17,X$1:X$35,A:A),'Annual Calculation'!A$2:A$107,Table1[Saving]),0),IF( LOOKUP(F17,W$1:W$35,W$1:W$35) =
 F17,ROUND(G16*(1+IF($Q$18&lt;6,$R$14,IF($Q$18&lt;11,$R$15,$R$16)))^(1/12),0),G16*(1+IF($Q$18&lt;6,$R$14,IF($Q$18&lt;11,$R$15,$R$16)))^(1/12))))</f>
        <v>105420562.9511825</v>
      </c>
      <c r="L17" s="571"/>
      <c r="M17" s="583"/>
      <c r="N17" s="583"/>
      <c r="O17" s="583"/>
      <c r="P17" s="583"/>
      <c r="Q17" s="583"/>
      <c r="R17" s="583"/>
      <c r="S17" s="583"/>
      <c r="T17" s="573"/>
      <c r="W17" s="351">
        <f>DATE('Profit Calculation'!J$6+A17-1,1,1)</f>
        <v>47484</v>
      </c>
      <c r="X17" s="352">
        <f>DATE('Profit Calculation'!J$6+A17-1,'Profit Calculation'!R$6,'Profit Calculation'!Z$6)</f>
        <v>47574</v>
      </c>
      <c r="Y17" s="383">
        <f t="shared" si="2"/>
        <v>61728</v>
      </c>
    </row>
    <row r="18" spans="1:25">
      <c r="A18" s="348">
        <f t="shared" si="1"/>
        <v>17</v>
      </c>
      <c r="B18" s="360">
        <f>DATE('Profit Calculation'!J$6,A$2,A$2+A18-1)</f>
        <v>42021</v>
      </c>
      <c r="D18" s="362">
        <f t="shared" si="0"/>
        <v>0</v>
      </c>
      <c r="F18" s="363">
        <f>DATE('Profit Calculation'!J$6,'Profit Calculation'!R$6+A18-1,'Profit Calculation'!Z$6)</f>
        <v>42583</v>
      </c>
      <c r="G18" s="364">
        <f ca="1">IF(Q$27=2,IF(LOOKUP(F18,X$1:X$35,X$1:X$35) = F18,ROUND(LOOKUP(LOOKUP(F18,X$1:X$35,A:A),Single!A$2:A$107,Table13[Saving]),0),IF( LOOKUP(F18,W$1:W$35,W$1:W$35) =
 F18,ROUND(G17*(1+IF($Q$18&lt;6,$R$14,IF($Q$18&lt;11,$R$15,$R$16)))^(1/12),0),G17*(1+IF($Q$18&lt;6,$R$14,IF($Q$18&lt;11,$R$15,$R$16)))^(1/12))),IF(LOOKUP(F18,X$1:X$35,X$1:X$35) = F18,ROUND(LOOKUP(LOOKUP(F18,X$1:X$35,A:A),'Annual Calculation'!A$2:A$107,Table1[Saving]),0),IF( LOOKUP(F18,W$1:W$35,W$1:W$35) =
 F18,ROUND(G17*(1+IF($Q$18&lt;6,$R$14,IF($Q$18&lt;11,$R$15,$R$16)))^(1/12),0),G17*(1+IF($Q$18&lt;6,$R$14,IF($Q$18&lt;11,$R$15,$R$16)))^(1/12))))</f>
        <v>106655556.08779977</v>
      </c>
      <c r="L18" s="571"/>
      <c r="M18" s="574" t="s">
        <v>314</v>
      </c>
      <c r="N18" s="574"/>
      <c r="O18" s="574"/>
      <c r="P18" s="575"/>
      <c r="Q18" s="576">
        <f>IF('Profit Calculation'!Z$14=0,1,'Profit Calculation'!Z$14)</f>
        <v>14</v>
      </c>
      <c r="R18" s="576"/>
      <c r="S18" s="576"/>
      <c r="T18" s="573"/>
      <c r="W18" s="351">
        <f>DATE('Profit Calculation'!J$6+A18-1,1,1)</f>
        <v>47849</v>
      </c>
      <c r="X18" s="352">
        <f>DATE('Profit Calculation'!J$6+A18-1,'Profit Calculation'!R$6,'Profit Calculation'!Z$6)</f>
        <v>47939</v>
      </c>
      <c r="Y18" s="383">
        <f t="shared" si="2"/>
        <v>63189</v>
      </c>
    </row>
    <row r="19" spans="1:25">
      <c r="A19" s="348">
        <f t="shared" si="1"/>
        <v>18</v>
      </c>
      <c r="B19" s="360">
        <f>DATE('Profit Calculation'!J$6,A$2,A$2+A19-1)</f>
        <v>42022</v>
      </c>
      <c r="D19" s="362">
        <f t="shared" si="0"/>
        <v>0</v>
      </c>
      <c r="F19" s="363">
        <f>DATE('Profit Calculation'!J$6,'Profit Calculation'!R$6+A19-1,'Profit Calculation'!Z$6)</f>
        <v>42614</v>
      </c>
      <c r="G19" s="364">
        <f ca="1">IF(Q$27=2,IF(LOOKUP(F19,X$1:X$35,X$1:X$35) = F19,ROUND(LOOKUP(LOOKUP(F19,X$1:X$35,A:A),Single!A$2:A$107,Table13[Saving]),0),IF( LOOKUP(F19,W$1:W$35,W$1:W$35) =
 F19,ROUND(G18*(1+IF($Q$18&lt;6,$R$14,IF($Q$18&lt;11,$R$15,$R$16)))^(1/12),0),G18*(1+IF($Q$18&lt;6,$R$14,IF($Q$18&lt;11,$R$15,$R$16)))^(1/12))),IF(LOOKUP(F19,X$1:X$35,X$1:X$35) = F19,ROUND(LOOKUP(LOOKUP(F19,X$1:X$35,A:A),'Annual Calculation'!A$2:A$107,Table1[Saving]),0),IF( LOOKUP(F19,W$1:W$35,W$1:W$35) =
 F19,ROUND(G18*(1+IF($Q$18&lt;6,$R$14,IF($Q$18&lt;11,$R$15,$R$16)))^(1/12),0),G18*(1+IF($Q$18&lt;6,$R$14,IF($Q$18&lt;11,$R$15,$R$16)))^(1/12))))</f>
        <v>107905017.06640911</v>
      </c>
      <c r="L19" s="571"/>
      <c r="M19" s="574"/>
      <c r="N19" s="574"/>
      <c r="O19" s="574"/>
      <c r="P19" s="575"/>
      <c r="Q19" s="576"/>
      <c r="R19" s="576"/>
      <c r="S19" s="576"/>
      <c r="T19" s="573"/>
      <c r="W19" s="351">
        <f>DATE('Profit Calculation'!J$6+A19-1,1,1)</f>
        <v>48214</v>
      </c>
      <c r="X19" s="352">
        <f>DATE('Profit Calculation'!J$6+A19-1,'Profit Calculation'!R$6,'Profit Calculation'!Z$6)</f>
        <v>48305</v>
      </c>
      <c r="Y19" s="383">
        <f t="shared" si="2"/>
        <v>64650</v>
      </c>
    </row>
    <row r="20" spans="1:25">
      <c r="A20" s="348">
        <f t="shared" si="1"/>
        <v>19</v>
      </c>
      <c r="B20" s="360">
        <f>DATE('Profit Calculation'!J$6,A$2,A$2+A20-1)</f>
        <v>42023</v>
      </c>
      <c r="D20" s="362">
        <f t="shared" si="0"/>
        <v>0</v>
      </c>
      <c r="F20" s="363">
        <f>DATE('Profit Calculation'!J$6,'Profit Calculation'!R$6+A20-1,'Profit Calculation'!Z$6)</f>
        <v>42644</v>
      </c>
      <c r="G20" s="364">
        <f ca="1">IF(Q$27=2,IF(LOOKUP(F20,X$1:X$35,X$1:X$35) = F20,ROUND(LOOKUP(LOOKUP(F20,X$1:X$35,A:A),Single!A$2:A$107,Table13[Saving]),0),IF( LOOKUP(F20,W$1:W$35,W$1:W$35) =
 F20,ROUND(G19*(1+IF($Q$18&lt;6,$R$14,IF($Q$18&lt;11,$R$15,$R$16)))^(1/12),0),G19*(1+IF($Q$18&lt;6,$R$14,IF($Q$18&lt;11,$R$15,$R$16)))^(1/12))),IF(LOOKUP(F20,X$1:X$35,X$1:X$35) = F20,ROUND(LOOKUP(LOOKUP(F20,X$1:X$35,A:A),'Annual Calculation'!A$2:A$107,Table1[Saving]),0),IF( LOOKUP(F20,W$1:W$35,W$1:W$35) =
 F20,ROUND(G19*(1+IF($Q$18&lt;6,$R$14,IF($Q$18&lt;11,$R$15,$R$16)))^(1/12),0),G19*(1+IF($Q$18&lt;6,$R$14,IF($Q$18&lt;11,$R$15,$R$16)))^(1/12))))</f>
        <v>109169115.37657745</v>
      </c>
      <c r="L20" s="571"/>
      <c r="M20" s="366"/>
      <c r="N20" s="366"/>
      <c r="O20" s="366"/>
      <c r="P20" s="366"/>
      <c r="Q20" s="366"/>
      <c r="R20" s="366"/>
      <c r="S20" s="366"/>
      <c r="T20" s="573"/>
      <c r="W20" s="351">
        <f>DATE('Profit Calculation'!J$6+A20-1,1,1)</f>
        <v>48580</v>
      </c>
      <c r="X20" s="352">
        <f>DATE('Profit Calculation'!J$6+A20-1,'Profit Calculation'!R$6,'Profit Calculation'!Z$6)</f>
        <v>48670</v>
      </c>
      <c r="Y20" s="383">
        <f t="shared" si="2"/>
        <v>66111</v>
      </c>
    </row>
    <row r="21" spans="1:25">
      <c r="A21" s="348">
        <f t="shared" si="1"/>
        <v>20</v>
      </c>
      <c r="B21" s="360">
        <f>DATE('Profit Calculation'!J$6,A$2,A$2+A21-1)</f>
        <v>42024</v>
      </c>
      <c r="D21" s="362">
        <f t="shared" si="0"/>
        <v>0</v>
      </c>
      <c r="F21" s="363">
        <f>DATE('Profit Calculation'!J$6,'Profit Calculation'!R$6+A21-1,'Profit Calculation'!Z$6)</f>
        <v>42675</v>
      </c>
      <c r="G21" s="364">
        <f ca="1">IF(Q$27=2,IF(LOOKUP(F21,X$1:X$35,X$1:X$35) = F21,ROUND(LOOKUP(LOOKUP(F21,X$1:X$35,A:A),Single!A$2:A$107,Table13[Saving]),0),IF( LOOKUP(F21,W$1:W$35,W$1:W$35) =
 F21,ROUND(G20*(1+IF($Q$18&lt;6,$R$14,IF($Q$18&lt;11,$R$15,$R$16)))^(1/12),0),G20*(1+IF($Q$18&lt;6,$R$14,IF($Q$18&lt;11,$R$15,$R$16)))^(1/12))),IF(LOOKUP(F21,X$1:X$35,X$1:X$35) = F21,ROUND(LOOKUP(LOOKUP(F21,X$1:X$35,A:A),'Annual Calculation'!A$2:A$107,Table1[Saving]),0),IF( LOOKUP(F21,W$1:W$35,W$1:W$35) =
 F21,ROUND(G20*(1+IF($Q$18&lt;6,$R$14,IF($Q$18&lt;11,$R$15,$R$16)))^(1/12),0),G20*(1+IF($Q$18&lt;6,$R$14,IF($Q$18&lt;11,$R$15,$R$16)))^(1/12))))</f>
        <v>110448022.49342795</v>
      </c>
      <c r="L21" s="571"/>
      <c r="M21" s="574" t="s">
        <v>315</v>
      </c>
      <c r="N21" s="574"/>
      <c r="O21" s="574"/>
      <c r="P21" s="575"/>
      <c r="Q21" s="584">
        <f>'Profit Calculation'!R$14</f>
        <v>47119</v>
      </c>
      <c r="R21" s="584"/>
      <c r="S21" s="584"/>
      <c r="T21" s="573"/>
      <c r="W21" s="351">
        <f>DATE('Profit Calculation'!J$6+A21-1,1,1)</f>
        <v>48945</v>
      </c>
      <c r="X21" s="352">
        <f>DATE('Profit Calculation'!J$6+A21-1,'Profit Calculation'!R$6,'Profit Calculation'!Z$6)</f>
        <v>49035</v>
      </c>
      <c r="Y21" s="383">
        <f t="shared" si="2"/>
        <v>67572</v>
      </c>
    </row>
    <row r="22" spans="1:25">
      <c r="A22" s="348">
        <f t="shared" si="1"/>
        <v>21</v>
      </c>
      <c r="B22" s="360">
        <f>DATE('Profit Calculation'!J$6,A$2,A$2+A22-1)</f>
        <v>42025</v>
      </c>
      <c r="D22" s="362">
        <f t="shared" si="0"/>
        <v>0</v>
      </c>
      <c r="F22" s="363">
        <f>DATE('Profit Calculation'!J$6,'Profit Calculation'!R$6+A22-1,'Profit Calculation'!Z$6)</f>
        <v>42705</v>
      </c>
      <c r="G22" s="364">
        <f ca="1">IF(Q$27=2,IF(LOOKUP(F22,X$1:X$35,X$1:X$35) = F22,ROUND(LOOKUP(LOOKUP(F22,X$1:X$35,A:A),Single!A$2:A$107,Table13[Saving]),0),IF( LOOKUP(F22,W$1:W$35,W$1:W$35) =
 F22,ROUND(G21*(1+IF($Q$18&lt;6,$R$14,IF($Q$18&lt;11,$R$15,$R$16)))^(1/12),0),G21*(1+IF($Q$18&lt;6,$R$14,IF($Q$18&lt;11,$R$15,$R$16)))^(1/12))),IF(LOOKUP(F22,X$1:X$35,X$1:X$35) = F22,ROUND(LOOKUP(LOOKUP(F22,X$1:X$35,A:A),'Annual Calculation'!A$2:A$107,Table1[Saving]),0),IF( LOOKUP(F22,W$1:W$35,W$1:W$35) =
 F22,ROUND(G21*(1+IF($Q$18&lt;6,$R$14,IF($Q$18&lt;11,$R$15,$R$16)))^(1/12),0),G21*(1+IF($Q$18&lt;6,$R$14,IF($Q$18&lt;11,$R$15,$R$16)))^(1/12))))</f>
        <v>111741911.90090056</v>
      </c>
      <c r="L22" s="571"/>
      <c r="M22" s="574"/>
      <c r="N22" s="574"/>
      <c r="O22" s="574"/>
      <c r="P22" s="575"/>
      <c r="Q22" s="584"/>
      <c r="R22" s="584"/>
      <c r="S22" s="584"/>
      <c r="T22" s="573"/>
      <c r="W22" s="351">
        <f>DATE('Profit Calculation'!J$6+A22-1,1,1)</f>
        <v>49310</v>
      </c>
      <c r="X22" s="352">
        <f>DATE('Profit Calculation'!J$6+A22-1,'Profit Calculation'!R$6,'Profit Calculation'!Z$6)</f>
        <v>49400</v>
      </c>
      <c r="Y22" s="383">
        <f t="shared" si="2"/>
        <v>69033</v>
      </c>
    </row>
    <row r="23" spans="1:25">
      <c r="A23" s="348">
        <f t="shared" si="1"/>
        <v>22</v>
      </c>
      <c r="B23" s="360">
        <f>DATE('Profit Calculation'!J$6,A$2,A$2+A23-1)</f>
        <v>42026</v>
      </c>
      <c r="D23" s="362">
        <f t="shared" si="0"/>
        <v>0</v>
      </c>
      <c r="F23" s="363">
        <f>DATE('Profit Calculation'!J$6,'Profit Calculation'!R$6+A23-1,'Profit Calculation'!Z$6)</f>
        <v>42736</v>
      </c>
      <c r="G23" s="364">
        <f ca="1">IF(Q$27=2,IF(LOOKUP(F23,X$1:X$35,X$1:X$35) = F23,ROUND(LOOKUP(LOOKUP(F23,X$1:X$35,A:A),Single!A$2:A$107,Table13[Saving]),0),IF( LOOKUP(F23,W$1:W$35,W$1:W$35) =
 F23,ROUND(G22*(1+IF($Q$18&lt;6,$R$14,IF($Q$18&lt;11,$R$15,$R$16)))^(1/12),0),G22*(1+IF($Q$18&lt;6,$R$14,IF($Q$18&lt;11,$R$15,$R$16)))^(1/12))),IF(LOOKUP(F23,X$1:X$35,X$1:X$35) = F23,ROUND(LOOKUP(LOOKUP(F23,X$1:X$35,A:A),'Annual Calculation'!A$2:A$107,Table1[Saving]),0),IF( LOOKUP(F23,W$1:W$35,W$1:W$35) =
 F23,ROUND(G22*(1+IF($Q$18&lt;6,$R$14,IF($Q$18&lt;11,$R$15,$R$16)))^(1/12),0),G22*(1+IF($Q$18&lt;6,$R$14,IF($Q$18&lt;11,$R$15,$R$16)))^(1/12))))</f>
        <v>113050959</v>
      </c>
      <c r="L23" s="571"/>
      <c r="M23" s="366"/>
      <c r="N23" s="366"/>
      <c r="O23" s="366"/>
      <c r="P23" s="366"/>
      <c r="Q23" s="366"/>
      <c r="R23" s="366"/>
      <c r="S23" s="366"/>
      <c r="T23" s="573"/>
      <c r="W23" s="351">
        <f>DATE('Profit Calculation'!J$6+A23-1,1,1)</f>
        <v>49675</v>
      </c>
      <c r="X23" s="352">
        <f>DATE('Profit Calculation'!J$6+A23-1,'Profit Calculation'!R$6,'Profit Calculation'!Z$6)</f>
        <v>49766</v>
      </c>
      <c r="Y23" s="383">
        <f t="shared" si="2"/>
        <v>70494</v>
      </c>
    </row>
    <row r="24" spans="1:25">
      <c r="A24" s="348">
        <f t="shared" si="1"/>
        <v>23</v>
      </c>
      <c r="B24" s="360">
        <f>DATE('Profit Calculation'!J$6,A$2,A$2+A24-1)</f>
        <v>42027</v>
      </c>
      <c r="D24" s="362">
        <f t="shared" si="0"/>
        <v>0</v>
      </c>
      <c r="F24" s="363">
        <f>DATE('Profit Calculation'!J$6,'Profit Calculation'!R$6+A24-1,'Profit Calculation'!Z$6)</f>
        <v>42767</v>
      </c>
      <c r="G24" s="364">
        <f ca="1">IF(Q$27=2,IF(LOOKUP(F24,X$1:X$35,X$1:X$35) = F24,ROUND(LOOKUP(LOOKUP(F24,X$1:X$35,A:A),Single!A$2:A$107,Table13[Saving]),0),IF( LOOKUP(F24,W$1:W$35,W$1:W$35) =
 F24,ROUND(G23*(1+IF($Q$18&lt;6,$R$14,IF($Q$18&lt;11,$R$15,$R$16)))^(1/12),0),G23*(1+IF($Q$18&lt;6,$R$14,IF($Q$18&lt;11,$R$15,$R$16)))^(1/12))),IF(LOOKUP(F24,X$1:X$35,X$1:X$35) = F24,ROUND(LOOKUP(LOOKUP(F24,X$1:X$35,A:A),'Annual Calculation'!A$2:A$107,Table1[Saving]),0),IF( LOOKUP(F24,W$1:W$35,W$1:W$35) =
 F24,ROUND(G23*(1+IF($Q$18&lt;6,$R$14,IF($Q$18&lt;11,$R$15,$R$16)))^(1/12),0),G23*(1+IF($Q$18&lt;6,$R$14,IF($Q$18&lt;11,$R$15,$R$16)))^(1/12))))</f>
        <v>114375341.59239475</v>
      </c>
      <c r="L24" s="571"/>
      <c r="M24" s="574" t="s">
        <v>316</v>
      </c>
      <c r="N24" s="574"/>
      <c r="O24" s="574"/>
      <c r="P24" s="575"/>
      <c r="Q24" s="584">
        <f>'Profit Calculation'!J$10</f>
        <v>42111</v>
      </c>
      <c r="R24" s="584"/>
      <c r="S24" s="584"/>
      <c r="T24" s="573"/>
      <c r="W24" s="351">
        <f>DATE('Profit Calculation'!J$6+A24-1,1,1)</f>
        <v>50041</v>
      </c>
      <c r="X24" s="352">
        <f>DATE('Profit Calculation'!J$6+A24-1,'Profit Calculation'!R$6,'Profit Calculation'!Z$6)</f>
        <v>50131</v>
      </c>
      <c r="Y24" s="383">
        <f t="shared" si="2"/>
        <v>71955</v>
      </c>
    </row>
    <row r="25" spans="1:25">
      <c r="A25" s="348">
        <f t="shared" si="1"/>
        <v>24</v>
      </c>
      <c r="B25" s="360">
        <f>DATE('Profit Calculation'!J$6,A$2,A$2+A25-1)</f>
        <v>42028</v>
      </c>
      <c r="D25" s="362">
        <f t="shared" si="0"/>
        <v>0</v>
      </c>
      <c r="F25" s="363">
        <f>DATE('Profit Calculation'!J$6,'Profit Calculation'!R$6+A25-1,'Profit Calculation'!Z$6)</f>
        <v>42795</v>
      </c>
      <c r="G25" s="364">
        <f ca="1">IF(Q$27=2,IF(LOOKUP(F25,X$1:X$35,X$1:X$35) = F25,ROUND(LOOKUP(LOOKUP(F25,X$1:X$35,A:A),Single!A$2:A$107,Table13[Saving]),0),IF( LOOKUP(F25,W$1:W$35,W$1:W$35) =
 F25,ROUND(G24*(1+IF($Q$18&lt;6,$R$14,IF($Q$18&lt;11,$R$15,$R$16)))^(1/12),0),G24*(1+IF($Q$18&lt;6,$R$14,IF($Q$18&lt;11,$R$15,$R$16)))^(1/12))),IF(LOOKUP(F25,X$1:X$35,X$1:X$35) = F25,ROUND(LOOKUP(LOOKUP(F25,X$1:X$35,A:A),'Annual Calculation'!A$2:A$107,Table1[Saving]),0),IF( LOOKUP(F25,W$1:W$35,W$1:W$35) =
 F25,ROUND(G24*(1+IF($Q$18&lt;6,$R$14,IF($Q$18&lt;11,$R$15,$R$16)))^(1/12),0),G24*(1+IF($Q$18&lt;6,$R$14,IF($Q$18&lt;11,$R$15,$R$16)))^(1/12))))</f>
        <v>115715239.21682951</v>
      </c>
      <c r="L25" s="571"/>
      <c r="M25" s="574"/>
      <c r="N25" s="574"/>
      <c r="O25" s="574"/>
      <c r="P25" s="575"/>
      <c r="Q25" s="584"/>
      <c r="R25" s="584"/>
      <c r="S25" s="584"/>
      <c r="T25" s="573"/>
      <c r="W25" s="351">
        <f>DATE('Profit Calculation'!J$6+A25-1,1,1)</f>
        <v>50406</v>
      </c>
      <c r="X25" s="352">
        <f>DATE('Profit Calculation'!J$6+A25-1,'Profit Calculation'!R$6,'Profit Calculation'!Z$6)</f>
        <v>50496</v>
      </c>
      <c r="Y25" s="383">
        <f t="shared" si="2"/>
        <v>73415</v>
      </c>
    </row>
    <row r="26" spans="1:25">
      <c r="A26" s="348">
        <f t="shared" si="1"/>
        <v>25</v>
      </c>
      <c r="B26" s="360">
        <f>DATE('Profit Calculation'!J$6,A$2,A$2+A26-1)</f>
        <v>42029</v>
      </c>
      <c r="D26" s="362">
        <f t="shared" si="0"/>
        <v>0</v>
      </c>
      <c r="F26" s="357">
        <f>DATE('Profit Calculation'!J$6,'Profit Calculation'!R$6+A26-1,'Profit Calculation'!Z$6)</f>
        <v>42826</v>
      </c>
      <c r="G26" s="358">
        <f ca="1">IF(Q$27=2,IF(LOOKUP(F26,X$1:X$35,X$1:X$35) = F26,ROUND(LOOKUP(LOOKUP(F26,X$1:X$35,A:A),Single!A$2:A$107,Table13[Saving]),0),IF( LOOKUP(F26,W$1:W$35,W$1:W$35) =
 F26,ROUND(G25*(1+IF($Q$18&lt;6,$R$14,IF($Q$18&lt;11,$R$15,$R$16)))^(1/12),0),G25*(1+IF($Q$18&lt;6,$R$14,IF($Q$18&lt;11,$R$15,$R$16)))^(1/12))),IF(LOOKUP(F26,X$1:X$35,X$1:X$35) = F26,ROUND(LOOKUP(LOOKUP(F26,X$1:X$35,A:A),'Annual Calculation'!A$2:A$107,Table1[Saving]),0),IF( LOOKUP(F26,W$1:W$35,W$1:W$35) =
 F26,ROUND(G25*(1+IF($Q$18&lt;6,$R$14,IF($Q$18&lt;11,$R$15,$R$16)))^(1/12),0),G25*(1+IF($Q$18&lt;6,$R$14,IF($Q$18&lt;11,$R$15,$R$16)))^(1/12))))</f>
        <v>115595827</v>
      </c>
      <c r="L26" s="385"/>
      <c r="M26" s="386"/>
      <c r="N26" s="386"/>
      <c r="O26" s="386"/>
      <c r="P26" s="386"/>
      <c r="Q26" s="386"/>
      <c r="R26" s="386"/>
      <c r="S26" s="386"/>
      <c r="T26" s="386"/>
      <c r="U26" s="367"/>
      <c r="W26" s="351">
        <f>DATE('Profit Calculation'!J$6+A26-1,1,1)</f>
        <v>50771</v>
      </c>
      <c r="X26" s="352">
        <f>DATE('Profit Calculation'!J$6+A26-1,'Profit Calculation'!R$6,'Profit Calculation'!Z$6)</f>
        <v>50861</v>
      </c>
      <c r="Y26" s="383">
        <f t="shared" si="2"/>
        <v>74876</v>
      </c>
    </row>
    <row r="27" spans="1:25">
      <c r="A27" s="348">
        <f t="shared" si="1"/>
        <v>26</v>
      </c>
      <c r="B27" s="360">
        <f>DATE('Profit Calculation'!J$6,A$2,A$2+A27-1)</f>
        <v>42030</v>
      </c>
      <c r="D27" s="362">
        <f t="shared" si="0"/>
        <v>0</v>
      </c>
      <c r="F27" s="363">
        <f>DATE('Profit Calculation'!J$6,'Profit Calculation'!R$6+A27-1,'Profit Calculation'!Z$6)</f>
        <v>42856</v>
      </c>
      <c r="G27" s="364">
        <f ca="1">IF(Q$27=2,IF(LOOKUP(F27,X$1:X$35,X$1:X$35) = F27,ROUND(LOOKUP(LOOKUP(F27,X$1:X$35,A:A),Single!A$2:A$107,Table13[Saving]),0),IF( LOOKUP(F27,W$1:W$35,W$1:W$35) =
 F27,ROUND(G26*(1+IF($Q$18&lt;6,$R$14,IF($Q$18&lt;11,$R$15,$R$16)))^(1/12),0),G26*(1+IF($Q$18&lt;6,$R$14,IF($Q$18&lt;11,$R$15,$R$16)))^(1/12))),IF(LOOKUP(F27,X$1:X$35,X$1:X$35) = F27,ROUND(LOOKUP(LOOKUP(F27,X$1:X$35,A:A),'Annual Calculation'!A$2:A$107,Table1[Saving]),0),IF( LOOKUP(F27,W$1:W$35,W$1:W$35) =
 F27,ROUND(G26*(1+IF($Q$18&lt;6,$R$14,IF($Q$18&lt;11,$R$15,$R$16)))^(1/12),0),G26*(1+IF($Q$18&lt;6,$R$14,IF($Q$18&lt;11,$R$15,$R$16)))^(1/12))))</f>
        <v>116950022.50958675</v>
      </c>
      <c r="L27" s="385"/>
      <c r="M27" s="574" t="s">
        <v>332</v>
      </c>
      <c r="N27" s="574"/>
      <c r="O27" s="574"/>
      <c r="P27" s="575"/>
      <c r="Q27" s="585">
        <f>IF('Profit Calculation'!J18= "Single Payment",2,1)</f>
        <v>2</v>
      </c>
      <c r="R27" s="585"/>
      <c r="S27" s="585"/>
      <c r="T27" s="386"/>
      <c r="U27" s="367"/>
      <c r="W27" s="351">
        <f>DATE('Profit Calculation'!J$6+A27-1,1,1)</f>
        <v>51136</v>
      </c>
      <c r="X27" s="352">
        <f>DATE('Profit Calculation'!J$6+A27-1,'Profit Calculation'!R$6,'Profit Calculation'!Z$6)</f>
        <v>51227</v>
      </c>
      <c r="Y27" s="383">
        <f t="shared" si="2"/>
        <v>76337</v>
      </c>
    </row>
    <row r="28" spans="1:25">
      <c r="A28" s="348">
        <f t="shared" si="1"/>
        <v>27</v>
      </c>
      <c r="B28" s="360">
        <f>DATE('Profit Calculation'!J$6,A$2,A$2+A28-1)</f>
        <v>42031</v>
      </c>
      <c r="D28" s="362">
        <f t="shared" si="0"/>
        <v>0</v>
      </c>
      <c r="F28" s="363">
        <f>DATE('Profit Calculation'!J$6,'Profit Calculation'!R$6+A28-1,'Profit Calculation'!Z$6)</f>
        <v>42887</v>
      </c>
      <c r="G28" s="364">
        <f ca="1">IF(Q$27=2,IF(LOOKUP(F28,X$1:X$35,X$1:X$35) = F28,ROUND(LOOKUP(LOOKUP(F28,X$1:X$35,A:A),Single!A$2:A$107,Table13[Saving]),0),IF( LOOKUP(F28,W$1:W$35,W$1:W$35) =
 F28,ROUND(G27*(1+IF($Q$18&lt;6,$R$14,IF($Q$18&lt;11,$R$15,$R$16)))^(1/12),0),G27*(1+IF($Q$18&lt;6,$R$14,IF($Q$18&lt;11,$R$15,$R$16)))^(1/12))),IF(LOOKUP(F28,X$1:X$35,X$1:X$35) = F28,ROUND(LOOKUP(LOOKUP(F28,X$1:X$35,A:A),'Annual Calculation'!A$2:A$107,Table1[Saving]),0),IF( LOOKUP(F28,W$1:W$35,W$1:W$35) =
 F28,ROUND(G27*(1+IF($Q$18&lt;6,$R$14,IF($Q$18&lt;11,$R$15,$R$16)))^(1/12),0),G27*(1+IF($Q$18&lt;6,$R$14,IF($Q$18&lt;11,$R$15,$R$16)))^(1/12))))</f>
        <v>118320082.30706154</v>
      </c>
      <c r="L28" s="385"/>
      <c r="M28" s="574"/>
      <c r="N28" s="574"/>
      <c r="O28" s="574"/>
      <c r="P28" s="575"/>
      <c r="Q28" s="585"/>
      <c r="R28" s="585"/>
      <c r="S28" s="585"/>
      <c r="T28" s="386"/>
      <c r="U28" s="367"/>
      <c r="W28" s="351">
        <f>DATE('Profit Calculation'!J$6+A28-1,1,1)</f>
        <v>51502</v>
      </c>
      <c r="X28" s="352">
        <f>DATE('Profit Calculation'!J$6+A28-1,'Profit Calculation'!R$6,'Profit Calculation'!Z$6)</f>
        <v>51592</v>
      </c>
      <c r="Y28" s="383">
        <f t="shared" si="2"/>
        <v>77798</v>
      </c>
    </row>
    <row r="29" spans="1:25">
      <c r="A29" s="348">
        <f t="shared" si="1"/>
        <v>28</v>
      </c>
      <c r="B29" s="360">
        <f>DATE('Profit Calculation'!J$6,A$2,A$2+A29-1)</f>
        <v>42032</v>
      </c>
      <c r="D29" s="362">
        <f t="shared" si="0"/>
        <v>0</v>
      </c>
      <c r="F29" s="363">
        <f>DATE('Profit Calculation'!J$6,'Profit Calculation'!R$6+A29-1,'Profit Calculation'!Z$6)</f>
        <v>42917</v>
      </c>
      <c r="G29" s="364">
        <f ca="1">IF(Q$27=2,IF(LOOKUP(F29,X$1:X$35,X$1:X$35) = F29,ROUND(LOOKUP(LOOKUP(F29,X$1:X$35,A:A),Single!A$2:A$107,Table13[Saving]),0),IF( LOOKUP(F29,W$1:W$35,W$1:W$35) =
 F29,ROUND(G28*(1+IF($Q$18&lt;6,$R$14,IF($Q$18&lt;11,$R$15,$R$16)))^(1/12),0),G28*(1+IF($Q$18&lt;6,$R$14,IF($Q$18&lt;11,$R$15,$R$16)))^(1/12))),IF(LOOKUP(F29,X$1:X$35,X$1:X$35) = F29,ROUND(LOOKUP(LOOKUP(F29,X$1:X$35,A:A),'Annual Calculation'!A$2:A$107,Table1[Saving]),0),IF( LOOKUP(F29,W$1:W$35,W$1:W$35) =
 F29,ROUND(G28*(1+IF($Q$18&lt;6,$R$14,IF($Q$18&lt;11,$R$15,$R$16)))^(1/12),0),G28*(1+IF($Q$18&lt;6,$R$14,IF($Q$18&lt;11,$R$15,$R$16)))^(1/12))))</f>
        <v>119706192.24123898</v>
      </c>
      <c r="L29" s="385"/>
      <c r="M29" s="386"/>
      <c r="N29" s="386"/>
      <c r="O29" s="386"/>
      <c r="P29" s="386"/>
      <c r="Q29" s="386"/>
      <c r="R29" s="386"/>
      <c r="S29" s="386"/>
      <c r="T29" s="386"/>
      <c r="W29" s="351">
        <f>DATE('Profit Calculation'!J$6+A29-1,1,1)</f>
        <v>51867</v>
      </c>
      <c r="X29" s="352">
        <f>DATE('Profit Calculation'!J$6+A29-1,'Profit Calculation'!R$6,'Profit Calculation'!Z$6)</f>
        <v>51957</v>
      </c>
      <c r="Y29" s="383">
        <f t="shared" si="2"/>
        <v>79259</v>
      </c>
    </row>
    <row r="30" spans="1:25">
      <c r="A30" s="348">
        <f t="shared" si="1"/>
        <v>29</v>
      </c>
      <c r="B30" s="360">
        <f>DATE('Profit Calculation'!J$6,A$2,A$2+A30-1)</f>
        <v>42033</v>
      </c>
      <c r="D30" s="362">
        <f t="shared" si="0"/>
        <v>0</v>
      </c>
      <c r="F30" s="363">
        <f>DATE('Profit Calculation'!J$6,'Profit Calculation'!R$6+A30-1,'Profit Calculation'!Z$6)</f>
        <v>42948</v>
      </c>
      <c r="G30" s="364">
        <f ca="1">IF(Q$27=2,IF(LOOKUP(F30,X$1:X$35,X$1:X$35) = F30,ROUND(LOOKUP(LOOKUP(F30,X$1:X$35,A:A),Single!A$2:A$107,Table13[Saving]),0),IF( LOOKUP(F30,W$1:W$35,W$1:W$35) =
 F30,ROUND(G29*(1+IF($Q$18&lt;6,$R$14,IF($Q$18&lt;11,$R$15,$R$16)))^(1/12),0),G29*(1+IF($Q$18&lt;6,$R$14,IF($Q$18&lt;11,$R$15,$R$16)))^(1/12))),IF(LOOKUP(F30,X$1:X$35,X$1:X$35) = F30,ROUND(LOOKUP(LOOKUP(F30,X$1:X$35,A:A),'Annual Calculation'!A$2:A$107,Table1[Saving]),0),IF( LOOKUP(F30,W$1:W$35,W$1:W$35) =
 F30,ROUND(G29*(1+IF($Q$18&lt;6,$R$14,IF($Q$18&lt;11,$R$15,$R$16)))^(1/12),0),G29*(1+IF($Q$18&lt;6,$R$14,IF($Q$18&lt;11,$R$15,$R$16)))^(1/12))))</f>
        <v>121108540.33813709</v>
      </c>
      <c r="L30" s="385"/>
      <c r="M30" s="386"/>
      <c r="N30" s="386"/>
      <c r="O30" s="386"/>
      <c r="P30" s="386"/>
      <c r="Q30" s="386"/>
      <c r="R30" s="386"/>
      <c r="S30" s="386"/>
      <c r="T30" s="386"/>
      <c r="W30" s="351">
        <f>DATE('Profit Calculation'!J$6+A30-1,1,1)</f>
        <v>52232</v>
      </c>
      <c r="X30" s="352">
        <f>DATE('Profit Calculation'!J$6+A30-1,'Profit Calculation'!R$6,'Profit Calculation'!Z$6)</f>
        <v>52322</v>
      </c>
      <c r="Y30" s="383">
        <f t="shared" si="2"/>
        <v>80720</v>
      </c>
    </row>
    <row r="31" spans="1:25" ht="15.75" thickBot="1">
      <c r="A31" s="348">
        <f t="shared" si="1"/>
        <v>30</v>
      </c>
      <c r="B31" s="360">
        <f>DATE('Profit Calculation'!J$6,A$2,A$2+A31-1)</f>
        <v>42034</v>
      </c>
      <c r="D31" s="362">
        <f t="shared" si="0"/>
        <v>0</v>
      </c>
      <c r="F31" s="363">
        <f>DATE('Profit Calculation'!J$6,'Profit Calculation'!R$6+A31-1,'Profit Calculation'!Z$6)</f>
        <v>42979</v>
      </c>
      <c r="G31" s="364">
        <f ca="1">IF(Q$27=2,IF(LOOKUP(F31,X$1:X$35,X$1:X$35) = F31,ROUND(LOOKUP(LOOKUP(F31,X$1:X$35,A:A),Single!A$2:A$107,Table13[Saving]),0),IF( LOOKUP(F31,W$1:W$35,W$1:W$35) =
 F31,ROUND(G30*(1+IF($Q$18&lt;6,$R$14,IF($Q$18&lt;11,$R$15,$R$16)))^(1/12),0),G30*(1+IF($Q$18&lt;6,$R$14,IF($Q$18&lt;11,$R$15,$R$16)))^(1/12))),IF(LOOKUP(F31,X$1:X$35,X$1:X$35) = F31,ROUND(LOOKUP(LOOKUP(F31,X$1:X$35,A:A),'Annual Calculation'!A$2:A$107,Table1[Saving]),0),IF( LOOKUP(F31,W$1:W$35,W$1:W$35) =
 F31,ROUND(G30*(1+IF($Q$18&lt;6,$R$14,IF($Q$18&lt;11,$R$15,$R$16)))^(1/12),0),G30*(1+IF($Q$18&lt;6,$R$14,IF($Q$18&lt;11,$R$15,$R$16)))^(1/12))))</f>
        <v>122527316.82648307</v>
      </c>
      <c r="L31" s="387"/>
      <c r="M31" s="388"/>
      <c r="N31" s="388"/>
      <c r="O31" s="388"/>
      <c r="P31" s="388"/>
      <c r="Q31" s="388"/>
      <c r="R31" s="388"/>
      <c r="S31" s="388"/>
      <c r="T31" s="388"/>
      <c r="W31" s="351">
        <f>DATE('Profit Calculation'!J$6+A31-1,1,1)</f>
        <v>52597</v>
      </c>
      <c r="X31" s="352">
        <f>DATE('Profit Calculation'!J$6+A31-1,'Profit Calculation'!R$6,'Profit Calculation'!Z$6)</f>
        <v>52688</v>
      </c>
      <c r="Y31" s="383">
        <f t="shared" si="2"/>
        <v>82181</v>
      </c>
    </row>
    <row r="32" spans="1:25" ht="15.75" thickTop="1">
      <c r="A32" s="348">
        <f t="shared" si="1"/>
        <v>31</v>
      </c>
      <c r="B32" s="360">
        <f>DATE('Profit Calculation'!J$6,A$2,A$2+A32-1)</f>
        <v>42035</v>
      </c>
      <c r="D32" s="362">
        <f t="shared" si="0"/>
        <v>0</v>
      </c>
      <c r="F32" s="363">
        <f>DATE('Profit Calculation'!J$6,'Profit Calculation'!R$6+A32-1,'Profit Calculation'!Z$6)</f>
        <v>43009</v>
      </c>
      <c r="G32" s="364">
        <f ca="1">IF(Q$27=2,IF(LOOKUP(F32,X$1:X$35,X$1:X$35) = F32,ROUND(LOOKUP(LOOKUP(F32,X$1:X$35,A:A),Single!A$2:A$107,Table13[Saving]),0),IF( LOOKUP(F32,W$1:W$35,W$1:W$35) =
 F32,ROUND(G31*(1+IF($Q$18&lt;6,$R$14,IF($Q$18&lt;11,$R$15,$R$16)))^(1/12),0),G31*(1+IF($Q$18&lt;6,$R$14,IF($Q$18&lt;11,$R$15,$R$16)))^(1/12))),IF(LOOKUP(F32,X$1:X$35,X$1:X$35) = F32,ROUND(LOOKUP(LOOKUP(F32,X$1:X$35,A:A),'Annual Calculation'!A$2:A$107,Table1[Saving]),0),IF( LOOKUP(F32,W$1:W$35,W$1:W$35) =
 F32,ROUND(G31*(1+IF($Q$18&lt;6,$R$14,IF($Q$18&lt;11,$R$15,$R$16)))^(1/12),0),G31*(1+IF($Q$18&lt;6,$R$14,IF($Q$18&lt;11,$R$15,$R$16)))^(1/12))))</f>
        <v>123962714.16351788</v>
      </c>
      <c r="W32" s="351">
        <f>DATE('Profit Calculation'!J$6+A32-1,1,1)</f>
        <v>52963</v>
      </c>
      <c r="X32" s="352">
        <f>DATE('Profit Calculation'!J$6+A32-1,'Profit Calculation'!R$6,'Profit Calculation'!Z$6)</f>
        <v>53053</v>
      </c>
      <c r="Y32" s="383">
        <f t="shared" si="2"/>
        <v>83642</v>
      </c>
    </row>
    <row r="33" spans="1:25">
      <c r="A33" s="348">
        <f t="shared" si="1"/>
        <v>32</v>
      </c>
      <c r="B33" s="360">
        <f>DATE('Profit Calculation'!J$6,A$2,A$2+A33-1)</f>
        <v>42036</v>
      </c>
      <c r="D33" s="362">
        <f t="shared" si="0"/>
        <v>0</v>
      </c>
      <c r="F33" s="363">
        <f>DATE('Profit Calculation'!J$6,'Profit Calculation'!R$6+A33-1,'Profit Calculation'!Z$6)</f>
        <v>43040</v>
      </c>
      <c r="G33" s="364">
        <f ca="1">IF(Q$27=2,IF(LOOKUP(F33,X$1:X$35,X$1:X$35) = F33,ROUND(LOOKUP(LOOKUP(F33,X$1:X$35,A:A),Single!A$2:A$107,Table13[Saving]),0),IF( LOOKUP(F33,W$1:W$35,W$1:W$35) =
 F33,ROUND(G32*(1+IF($Q$18&lt;6,$R$14,IF($Q$18&lt;11,$R$15,$R$16)))^(1/12),0),G32*(1+IF($Q$18&lt;6,$R$14,IF($Q$18&lt;11,$R$15,$R$16)))^(1/12))),IF(LOOKUP(F33,X$1:X$35,X$1:X$35) = F33,ROUND(LOOKUP(LOOKUP(F33,X$1:X$35,A:A),'Annual Calculation'!A$2:A$107,Table1[Saving]),0),IF( LOOKUP(F33,W$1:W$35,W$1:W$35) =
 F33,ROUND(G32*(1+IF($Q$18&lt;6,$R$14,IF($Q$18&lt;11,$R$15,$R$16)))^(1/12),0),G32*(1+IF($Q$18&lt;6,$R$14,IF($Q$18&lt;11,$R$15,$R$16)))^(1/12))))</f>
        <v>125414927.06110302</v>
      </c>
      <c r="W33" s="351">
        <f>DATE('Profit Calculation'!J$6+A33-1,1,1)</f>
        <v>53328</v>
      </c>
      <c r="X33" s="352">
        <f>DATE('Profit Calculation'!J$6+A33-1,'Profit Calculation'!R$6,'Profit Calculation'!Z$6)</f>
        <v>53418</v>
      </c>
      <c r="Y33" s="383">
        <f t="shared" si="2"/>
        <v>85103</v>
      </c>
    </row>
    <row r="34" spans="1:25">
      <c r="A34" s="348">
        <f t="shared" si="1"/>
        <v>33</v>
      </c>
      <c r="B34" s="360">
        <f>DATE('Profit Calculation'!J$6,A$2,A$2+A34-1)</f>
        <v>42037</v>
      </c>
      <c r="D34" s="362">
        <f t="shared" si="0"/>
        <v>0</v>
      </c>
      <c r="F34" s="363">
        <f>DATE('Profit Calculation'!J$6,'Profit Calculation'!R$6+A34-1,'Profit Calculation'!Z$6)</f>
        <v>43070</v>
      </c>
      <c r="G34" s="364">
        <f ca="1">IF(Q$27=2,IF(LOOKUP(F34,X$1:X$35,X$1:X$35) = F34,ROUND(LOOKUP(LOOKUP(F34,X$1:X$35,A:A),Single!A$2:A$107,Table13[Saving]),0),IF( LOOKUP(F34,W$1:W$35,W$1:W$35) =
 F34,ROUND(G33*(1+IF($Q$18&lt;6,$R$14,IF($Q$18&lt;11,$R$15,$R$16)))^(1/12),0),G33*(1+IF($Q$18&lt;6,$R$14,IF($Q$18&lt;11,$R$15,$R$16)))^(1/12))),IF(LOOKUP(F34,X$1:X$35,X$1:X$35) = F34,ROUND(LOOKUP(LOOKUP(F34,X$1:X$35,A:A),'Annual Calculation'!A$2:A$107,Table1[Saving]),0),IF( LOOKUP(F34,W$1:W$35,W$1:W$35) =
 F34,ROUND(G33*(1+IF($Q$18&lt;6,$R$14,IF($Q$18&lt;11,$R$15,$R$16)))^(1/12),0),G33*(1+IF($Q$18&lt;6,$R$14,IF($Q$18&lt;11,$R$15,$R$16)))^(1/12))))</f>
        <v>126884152.51213332</v>
      </c>
      <c r="W34" s="351">
        <f>DATE('Profit Calculation'!J$6+A34-1,1,1)</f>
        <v>53693</v>
      </c>
      <c r="X34" s="352">
        <f>DATE('Profit Calculation'!J$6+A34-1,'Profit Calculation'!R$6,'Profit Calculation'!Z$6)</f>
        <v>53783</v>
      </c>
      <c r="Y34" s="383">
        <f t="shared" si="2"/>
        <v>86564</v>
      </c>
    </row>
    <row r="35" spans="1:25">
      <c r="A35" s="348">
        <f t="shared" si="1"/>
        <v>34</v>
      </c>
      <c r="B35" s="360">
        <f>DATE('Profit Calculation'!J$6,A$2,A$2+A35-1)</f>
        <v>42038</v>
      </c>
      <c r="D35" s="362">
        <f t="shared" si="0"/>
        <v>0</v>
      </c>
      <c r="F35" s="363">
        <f>DATE('Profit Calculation'!J$6,'Profit Calculation'!R$6+A35-1,'Profit Calculation'!Z$6)</f>
        <v>43101</v>
      </c>
      <c r="G35" s="364">
        <f ca="1">IF(Q$27=2,IF(LOOKUP(F35,X$1:X$35,X$1:X$35) = F35,ROUND(LOOKUP(LOOKUP(F35,X$1:X$35,A:A),Single!A$2:A$107,Table13[Saving]),0),IF( LOOKUP(F35,W$1:W$35,W$1:W$35) =
 F35,ROUND(G34*(1+IF($Q$18&lt;6,$R$14,IF($Q$18&lt;11,$R$15,$R$16)))^(1/12),0),G34*(1+IF($Q$18&lt;6,$R$14,IF($Q$18&lt;11,$R$15,$R$16)))^(1/12))),IF(LOOKUP(F35,X$1:X$35,X$1:X$35) = F35,ROUND(LOOKUP(LOOKUP(F35,X$1:X$35,A:A),'Annual Calculation'!A$2:A$107,Table1[Saving]),0),IF( LOOKUP(F35,W$1:W$35,W$1:W$35) =
 F35,ROUND(G34*(1+IF($Q$18&lt;6,$R$14,IF($Q$18&lt;11,$R$15,$R$16)))^(1/12),0),G34*(1+IF($Q$18&lt;6,$R$14,IF($Q$18&lt;11,$R$15,$R$16)))^(1/12))))</f>
        <v>128370590</v>
      </c>
      <c r="W35" s="351">
        <f>DATE('Profit Calculation'!J$6+A35-1,1,1)</f>
        <v>54058</v>
      </c>
      <c r="X35" s="352">
        <f>DATE('Profit Calculation'!J$6+A35-1,'Profit Calculation'!R$6,'Profit Calculation'!Z$6)</f>
        <v>54149</v>
      </c>
      <c r="Y35" s="383">
        <f t="shared" si="2"/>
        <v>88025</v>
      </c>
    </row>
    <row r="36" spans="1:25">
      <c r="A36" s="348">
        <f t="shared" si="1"/>
        <v>35</v>
      </c>
      <c r="B36" s="360">
        <f>DATE('Profit Calculation'!J$6,A$2,A$2+A36-1)</f>
        <v>42039</v>
      </c>
      <c r="D36" s="362">
        <f t="shared" si="0"/>
        <v>0</v>
      </c>
      <c r="F36" s="363">
        <f>DATE('Profit Calculation'!J$6,'Profit Calculation'!R$6+A36-1,'Profit Calculation'!Z$6)</f>
        <v>43132</v>
      </c>
      <c r="G36" s="364">
        <f ca="1">IF(Q$27=2,IF(LOOKUP(F36,X$1:X$35,X$1:X$35) = F36,ROUND(LOOKUP(LOOKUP(F36,X$1:X$35,A:A),Single!A$2:A$107,Table13[Saving]),0),IF( LOOKUP(F36,W$1:W$35,W$1:W$35) =
 F36,ROUND(G35*(1+IF($Q$18&lt;6,$R$14,IF($Q$18&lt;11,$R$15,$R$16)))^(1/12),0),G35*(1+IF($Q$18&lt;6,$R$14,IF($Q$18&lt;11,$R$15,$R$16)))^(1/12))),IF(LOOKUP(F36,X$1:X$35,X$1:X$35) = F36,ROUND(LOOKUP(LOOKUP(F36,X$1:X$35,A:A),'Annual Calculation'!A$2:A$107,Table1[Saving]),0),IF( LOOKUP(F36,W$1:W$35,W$1:W$35) =
 F36,ROUND(G35*(1+IF($Q$18&lt;6,$R$14,IF($Q$18&lt;11,$R$15,$R$16)))^(1/12),0),G35*(1+IF($Q$18&lt;6,$R$14,IF($Q$18&lt;11,$R$15,$R$16)))^(1/12))))</f>
        <v>129874440.79680257</v>
      </c>
    </row>
    <row r="37" spans="1:25">
      <c r="A37" s="348">
        <f t="shared" si="1"/>
        <v>36</v>
      </c>
      <c r="B37" s="360">
        <f>DATE('Profit Calculation'!J$6,A$2,A$2+A37-1)</f>
        <v>42040</v>
      </c>
      <c r="D37" s="362">
        <f t="shared" si="0"/>
        <v>0</v>
      </c>
      <c r="F37" s="363">
        <f>DATE('Profit Calculation'!J$6,'Profit Calculation'!R$6+A37-1,'Profit Calculation'!Z$6)</f>
        <v>43160</v>
      </c>
      <c r="G37" s="364">
        <f ca="1">IF(Q$27=2,IF(LOOKUP(F37,X$1:X$35,X$1:X$35) = F37,ROUND(LOOKUP(LOOKUP(F37,X$1:X$35,A:A),Single!A$2:A$107,Table13[Saving]),0),IF( LOOKUP(F37,W$1:W$35,W$1:W$35) =
 F37,ROUND(G36*(1+IF($Q$18&lt;6,$R$14,IF($Q$18&lt;11,$R$15,$R$16)))^(1/12),0),G36*(1+IF($Q$18&lt;6,$R$14,IF($Q$18&lt;11,$R$15,$R$16)))^(1/12))),IF(LOOKUP(F37,X$1:X$35,X$1:X$35) = F37,ROUND(LOOKUP(LOOKUP(F37,X$1:X$35,A:A),'Annual Calculation'!A$2:A$107,Table1[Saving]),0),IF( LOOKUP(F37,W$1:W$35,W$1:W$35) =
 F37,ROUND(G36*(1+IF($Q$18&lt;6,$R$14,IF($Q$18&lt;11,$R$15,$R$16)))^(1/12),0),G36*(1+IF($Q$18&lt;6,$R$14,IF($Q$18&lt;11,$R$15,$R$16)))^(1/12))))</f>
        <v>131395909.08074953</v>
      </c>
    </row>
    <row r="38" spans="1:25">
      <c r="A38" s="348">
        <f t="shared" si="1"/>
        <v>37</v>
      </c>
      <c r="B38" s="360">
        <f>DATE('Profit Calculation'!J$6,A$2,A$2+A38-1)</f>
        <v>42041</v>
      </c>
      <c r="D38" s="362">
        <f t="shared" si="0"/>
        <v>0</v>
      </c>
      <c r="F38" s="357">
        <f>DATE('Profit Calculation'!J$6,'Profit Calculation'!R$6+A38-1,'Profit Calculation'!Z$6)</f>
        <v>43191</v>
      </c>
      <c r="G38" s="358">
        <f ca="1">IF(Q$27=2,IF(LOOKUP(F38,X$1:X$35,X$1:X$35) = F38,ROUND(LOOKUP(LOOKUP(F38,X$1:X$35,A:A),Single!A$2:A$107,Table13[Saving]),0),IF( LOOKUP(F38,W$1:W$35,W$1:W$35) =
 F38,ROUND(G37*(1+IF($Q$18&lt;6,$R$14,IF($Q$18&lt;11,$R$15,$R$16)))^(1/12),0),G37*(1+IF($Q$18&lt;6,$R$14,IF($Q$18&lt;11,$R$15,$R$16)))^(1/12))),IF(LOOKUP(F38,X$1:X$35,X$1:X$35) = F38,ROUND(LOOKUP(LOOKUP(F38,X$1:X$35,A:A),'Annual Calculation'!A$2:A$107,Table1[Saving]),0),IF( LOOKUP(F38,W$1:W$35,W$1:W$35) =
 F38,ROUND(G37*(1+IF($Q$18&lt;6,$R$14,IF($Q$18&lt;11,$R$15,$R$16)))^(1/12),0),G37*(1+IF($Q$18&lt;6,$R$14,IF($Q$18&lt;11,$R$15,$R$16)))^(1/12))))</f>
        <v>130767345</v>
      </c>
    </row>
    <row r="39" spans="1:25">
      <c r="A39" s="348">
        <f t="shared" si="1"/>
        <v>38</v>
      </c>
      <c r="B39" s="360">
        <f>DATE('Profit Calculation'!J$6,A$2,A$2+A39-1)</f>
        <v>42042</v>
      </c>
      <c r="D39" s="362">
        <f t="shared" si="0"/>
        <v>0</v>
      </c>
      <c r="F39" s="363">
        <f>DATE('Profit Calculation'!J$6,'Profit Calculation'!R$6+A39-1,'Profit Calculation'!Z$6)</f>
        <v>43221</v>
      </c>
      <c r="G39" s="364">
        <f ca="1">IF(Q$27=2,IF(LOOKUP(F39,X$1:X$35,X$1:X$35) = F39,ROUND(LOOKUP(LOOKUP(F39,X$1:X$35,A:A),Single!A$2:A$107,Table13[Saving]),0),IF( LOOKUP(F39,W$1:W$35,W$1:W$35) =
 F39,ROUND(G38*(1+IF($Q$18&lt;6,$R$14,IF($Q$18&lt;11,$R$15,$R$16)))^(1/12),0),G38*(1+IF($Q$18&lt;6,$R$14,IF($Q$18&lt;11,$R$15,$R$16)))^(1/12))),IF(LOOKUP(F39,X$1:X$35,X$1:X$35) = F39,ROUND(LOOKUP(LOOKUP(F39,X$1:X$35,A:A),'Annual Calculation'!A$2:A$107,Table1[Saving]),0),IF( LOOKUP(F39,W$1:W$35,W$1:W$35) =
 F39,ROUND(G38*(1+IF($Q$18&lt;6,$R$14,IF($Q$18&lt;11,$R$15,$R$16)))^(1/12),0),G38*(1+IF($Q$18&lt;6,$R$14,IF($Q$18&lt;11,$R$15,$R$16)))^(1/12))))</f>
        <v>132299273.58250481</v>
      </c>
    </row>
    <row r="40" spans="1:25">
      <c r="A40" s="348">
        <f t="shared" si="1"/>
        <v>39</v>
      </c>
      <c r="B40" s="360">
        <f>DATE('Profit Calculation'!J$6,A$2,A$2+A40-1)</f>
        <v>42043</v>
      </c>
      <c r="D40" s="362">
        <f t="shared" si="0"/>
        <v>0</v>
      </c>
      <c r="F40" s="363">
        <f>DATE('Profit Calculation'!J$6,'Profit Calculation'!R$6+A40-1,'Profit Calculation'!Z$6)</f>
        <v>43252</v>
      </c>
      <c r="G40" s="364">
        <f ca="1">IF(Q$27=2,IF(LOOKUP(F40,X$1:X$35,X$1:X$35) = F40,ROUND(LOOKUP(LOOKUP(F40,X$1:X$35,A:A),Single!A$2:A$107,Table13[Saving]),0),IF( LOOKUP(F40,W$1:W$35,W$1:W$35) =
 F40,ROUND(G39*(1+IF($Q$18&lt;6,$R$14,IF($Q$18&lt;11,$R$15,$R$16)))^(1/12),0),G39*(1+IF($Q$18&lt;6,$R$14,IF($Q$18&lt;11,$R$15,$R$16)))^(1/12))),IF(LOOKUP(F40,X$1:X$35,X$1:X$35) = F40,ROUND(LOOKUP(LOOKUP(F40,X$1:X$35,A:A),'Annual Calculation'!A$2:A$107,Table1[Saving]),0),IF( LOOKUP(F40,W$1:W$35,W$1:W$35) =
 F40,ROUND(G39*(1+IF($Q$18&lt;6,$R$14,IF($Q$18&lt;11,$R$15,$R$16)))^(1/12),0),G39*(1+IF($Q$18&lt;6,$R$14,IF($Q$18&lt;11,$R$15,$R$16)))^(1/12))))</f>
        <v>133849148.58108081</v>
      </c>
    </row>
    <row r="41" spans="1:25">
      <c r="A41" s="348">
        <f t="shared" si="1"/>
        <v>40</v>
      </c>
      <c r="B41" s="360">
        <f>DATE('Profit Calculation'!J$6,A$2,A$2+A41-1)</f>
        <v>42044</v>
      </c>
      <c r="D41" s="362">
        <f t="shared" si="0"/>
        <v>0</v>
      </c>
      <c r="F41" s="363">
        <f>DATE('Profit Calculation'!J$6,'Profit Calculation'!R$6+A41-1,'Profit Calculation'!Z$6)</f>
        <v>43282</v>
      </c>
      <c r="G41" s="364">
        <f ca="1">IF(Q$27=2,IF(LOOKUP(F41,X$1:X$35,X$1:X$35) = F41,ROUND(LOOKUP(LOOKUP(F41,X$1:X$35,A:A),Single!A$2:A$107,Table13[Saving]),0),IF( LOOKUP(F41,W$1:W$35,W$1:W$35) =
 F41,ROUND(G40*(1+IF($Q$18&lt;6,$R$14,IF($Q$18&lt;11,$R$15,$R$16)))^(1/12),0),G40*(1+IF($Q$18&lt;6,$R$14,IF($Q$18&lt;11,$R$15,$R$16)))^(1/12))),IF(LOOKUP(F41,X$1:X$35,X$1:X$35) = F41,ROUND(LOOKUP(LOOKUP(F41,X$1:X$35,A:A),'Annual Calculation'!A$2:A$107,Table1[Saving]),0),IF( LOOKUP(F41,W$1:W$35,W$1:W$35) =
 F41,ROUND(G40*(1+IF($Q$18&lt;6,$R$14,IF($Q$18&lt;11,$R$15,$R$16)))^(1/12),0),G40*(1+IF($Q$18&lt;6,$R$14,IF($Q$18&lt;11,$R$15,$R$16)))^(1/12))))</f>
        <v>135417180.23650128</v>
      </c>
    </row>
    <row r="42" spans="1:25">
      <c r="A42" s="348">
        <f t="shared" si="1"/>
        <v>41</v>
      </c>
      <c r="B42" s="360">
        <f>DATE('Profit Calculation'!J$6,A$2,A$2+A42-1)</f>
        <v>42045</v>
      </c>
      <c r="D42" s="362">
        <f t="shared" si="0"/>
        <v>0</v>
      </c>
      <c r="F42" s="363">
        <f>DATE('Profit Calculation'!J$6,'Profit Calculation'!R$6+A42-1,'Profit Calculation'!Z$6)</f>
        <v>43313</v>
      </c>
      <c r="G42" s="364">
        <f ca="1">IF(Q$27=2,IF(LOOKUP(F42,X$1:X$35,X$1:X$35) = F42,ROUND(LOOKUP(LOOKUP(F42,X$1:X$35,A:A),Single!A$2:A$107,Table13[Saving]),0),IF( LOOKUP(F42,W$1:W$35,W$1:W$35) =
 F42,ROUND(G41*(1+IF($Q$18&lt;6,$R$14,IF($Q$18&lt;11,$R$15,$R$16)))^(1/12),0),G41*(1+IF($Q$18&lt;6,$R$14,IF($Q$18&lt;11,$R$15,$R$16)))^(1/12))),IF(LOOKUP(F42,X$1:X$35,X$1:X$35) = F42,ROUND(LOOKUP(LOOKUP(F42,X$1:X$35,A:A),'Annual Calculation'!A$2:A$107,Table1[Saving]),0),IF( LOOKUP(F42,W$1:W$35,W$1:W$35) =
 F42,ROUND(G41*(1+IF($Q$18&lt;6,$R$14,IF($Q$18&lt;11,$R$15,$R$16)))^(1/12),0),G41*(1+IF($Q$18&lt;6,$R$14,IF($Q$18&lt;11,$R$15,$R$16)))^(1/12))))</f>
        <v>137003581.2524927</v>
      </c>
    </row>
    <row r="43" spans="1:25">
      <c r="A43" s="348">
        <f t="shared" si="1"/>
        <v>42</v>
      </c>
      <c r="B43" s="360">
        <f>DATE('Profit Calculation'!J$6,A$2,A$2+A43-1)</f>
        <v>42046</v>
      </c>
      <c r="D43" s="362">
        <f t="shared" si="0"/>
        <v>0</v>
      </c>
      <c r="F43" s="363">
        <f>DATE('Profit Calculation'!J$6,'Profit Calculation'!R$6+A43-1,'Profit Calculation'!Z$6)</f>
        <v>43344</v>
      </c>
      <c r="G43" s="364">
        <f ca="1">IF(Q$27=2,IF(LOOKUP(F43,X$1:X$35,X$1:X$35) = F43,ROUND(LOOKUP(LOOKUP(F43,X$1:X$35,A:A),Single!A$2:A$107,Table13[Saving]),0),IF( LOOKUP(F43,W$1:W$35,W$1:W$35) =
 F43,ROUND(G42*(1+IF($Q$18&lt;6,$R$14,IF($Q$18&lt;11,$R$15,$R$16)))^(1/12),0),G42*(1+IF($Q$18&lt;6,$R$14,IF($Q$18&lt;11,$R$15,$R$16)))^(1/12))),IF(LOOKUP(F43,X$1:X$35,X$1:X$35) = F43,ROUND(LOOKUP(LOOKUP(F43,X$1:X$35,A:A),'Annual Calculation'!A$2:A$107,Table1[Saving]),0),IF( LOOKUP(F43,W$1:W$35,W$1:W$35) =
 F43,ROUND(G42*(1+IF($Q$18&lt;6,$R$14,IF($Q$18&lt;11,$R$15,$R$16)))^(1/12),0),G42*(1+IF($Q$18&lt;6,$R$14,IF($Q$18&lt;11,$R$15,$R$16)))^(1/12))))</f>
        <v>138608566.82458803</v>
      </c>
    </row>
    <row r="44" spans="1:25">
      <c r="A44" s="348">
        <f t="shared" si="1"/>
        <v>43</v>
      </c>
      <c r="B44" s="360">
        <f>DATE('Profit Calculation'!J$6,A$2,A$2+A44-1)</f>
        <v>42047</v>
      </c>
      <c r="D44" s="362">
        <f t="shared" si="0"/>
        <v>0</v>
      </c>
      <c r="F44" s="363">
        <f>DATE('Profit Calculation'!J$6,'Profit Calculation'!R$6+A44-1,'Profit Calculation'!Z$6)</f>
        <v>43374</v>
      </c>
      <c r="G44" s="364">
        <f ca="1">IF(Q$27=2,IF(LOOKUP(F44,X$1:X$35,X$1:X$35) = F44,ROUND(LOOKUP(LOOKUP(F44,X$1:X$35,A:A),Single!A$2:A$107,Table13[Saving]),0),IF( LOOKUP(F44,W$1:W$35,W$1:W$35) =
 F44,ROUND(G43*(1+IF($Q$18&lt;6,$R$14,IF($Q$18&lt;11,$R$15,$R$16)))^(1/12),0),G43*(1+IF($Q$18&lt;6,$R$14,IF($Q$18&lt;11,$R$15,$R$16)))^(1/12))),IF(LOOKUP(F44,X$1:X$35,X$1:X$35) = F44,ROUND(LOOKUP(LOOKUP(F44,X$1:X$35,A:A),'Annual Calculation'!A$2:A$107,Table1[Saving]),0),IF( LOOKUP(F44,W$1:W$35,W$1:W$35) =
 F44,ROUND(G43*(1+IF($Q$18&lt;6,$R$14,IF($Q$18&lt;11,$R$15,$R$16)))^(1/12),0),G43*(1+IF($Q$18&lt;6,$R$14,IF($Q$18&lt;11,$R$15,$R$16)))^(1/12))))</f>
        <v>140232354.66931802</v>
      </c>
    </row>
    <row r="45" spans="1:25">
      <c r="A45" s="348">
        <f t="shared" si="1"/>
        <v>44</v>
      </c>
      <c r="B45" s="360">
        <f>DATE('Profit Calculation'!J$6,A$2,A$2+A45-1)</f>
        <v>42048</v>
      </c>
      <c r="D45" s="362">
        <f t="shared" si="0"/>
        <v>0</v>
      </c>
      <c r="F45" s="363">
        <f>DATE('Profit Calculation'!J$6,'Profit Calculation'!R$6+A45-1,'Profit Calculation'!Z$6)</f>
        <v>43405</v>
      </c>
      <c r="G45" s="364">
        <f ca="1">IF(Q$27=2,IF(LOOKUP(F45,X$1:X$35,X$1:X$35) = F45,ROUND(LOOKUP(LOOKUP(F45,X$1:X$35,A:A),Single!A$2:A$107,Table13[Saving]),0),IF( LOOKUP(F45,W$1:W$35,W$1:W$35) =
 F45,ROUND(G44*(1+IF($Q$18&lt;6,$R$14,IF($Q$18&lt;11,$R$15,$R$16)))^(1/12),0),G44*(1+IF($Q$18&lt;6,$R$14,IF($Q$18&lt;11,$R$15,$R$16)))^(1/12))),IF(LOOKUP(F45,X$1:X$35,X$1:X$35) = F45,ROUND(LOOKUP(LOOKUP(F45,X$1:X$35,A:A),'Annual Calculation'!A$2:A$107,Table1[Saving]),0),IF( LOOKUP(F45,W$1:W$35,W$1:W$35) =
 F45,ROUND(G44*(1+IF($Q$18&lt;6,$R$14,IF($Q$18&lt;11,$R$15,$R$16)))^(1/12),0),G44*(1+IF($Q$18&lt;6,$R$14,IF($Q$18&lt;11,$R$15,$R$16)))^(1/12))))</f>
        <v>141875165.05374449</v>
      </c>
    </row>
    <row r="46" spans="1:25">
      <c r="A46" s="348">
        <f t="shared" si="1"/>
        <v>45</v>
      </c>
      <c r="B46" s="360">
        <f>DATE('Profit Calculation'!J$6,A$2,A$2+A46-1)</f>
        <v>42049</v>
      </c>
      <c r="D46" s="362">
        <f t="shared" si="0"/>
        <v>0</v>
      </c>
      <c r="F46" s="363">
        <f>DATE('Profit Calculation'!J$6,'Profit Calculation'!R$6+A46-1,'Profit Calculation'!Z$6)</f>
        <v>43435</v>
      </c>
      <c r="G46" s="364">
        <f ca="1">IF(Q$27=2,IF(LOOKUP(F46,X$1:X$35,X$1:X$35) = F46,ROUND(LOOKUP(LOOKUP(F46,X$1:X$35,A:A),Single!A$2:A$107,Table13[Saving]),0),IF( LOOKUP(F46,W$1:W$35,W$1:W$35) =
 F46,ROUND(G45*(1+IF($Q$18&lt;6,$R$14,IF($Q$18&lt;11,$R$15,$R$16)))^(1/12),0),G45*(1+IF($Q$18&lt;6,$R$14,IF($Q$18&lt;11,$R$15,$R$16)))^(1/12))),IF(LOOKUP(F46,X$1:X$35,X$1:X$35) = F46,ROUND(LOOKUP(LOOKUP(F46,X$1:X$35,A:A),'Annual Calculation'!A$2:A$107,Table1[Saving]),0),IF( LOOKUP(F46,W$1:W$35,W$1:W$35) =
 F46,ROUND(G45*(1+IF($Q$18&lt;6,$R$14,IF($Q$18&lt;11,$R$15,$R$16)))^(1/12),0),G45*(1+IF($Q$18&lt;6,$R$14,IF($Q$18&lt;11,$R$15,$R$16)))^(1/12))))</f>
        <v>143537220.82533959</v>
      </c>
    </row>
    <row r="47" spans="1:25">
      <c r="A47" s="348">
        <f t="shared" si="1"/>
        <v>46</v>
      </c>
      <c r="B47" s="360">
        <f>DATE('Profit Calculation'!J$6,A$2,A$2+A47-1)</f>
        <v>42050</v>
      </c>
      <c r="D47" s="362">
        <f t="shared" si="0"/>
        <v>0</v>
      </c>
      <c r="F47" s="363">
        <f>DATE('Profit Calculation'!J$6,'Profit Calculation'!R$6+A47-1,'Profit Calculation'!Z$6)</f>
        <v>43466</v>
      </c>
      <c r="G47" s="364">
        <f ca="1">IF(Q$27=2,IF(LOOKUP(F47,X$1:X$35,X$1:X$35) = F47,ROUND(LOOKUP(LOOKUP(F47,X$1:X$35,A:A),Single!A$2:A$107,Table13[Saving]),0),IF( LOOKUP(F47,W$1:W$35,W$1:W$35) =
 F47,ROUND(G46*(1+IF($Q$18&lt;6,$R$14,IF($Q$18&lt;11,$R$15,$R$16)))^(1/12),0),G46*(1+IF($Q$18&lt;6,$R$14,IF($Q$18&lt;11,$R$15,$R$16)))^(1/12))),IF(LOOKUP(F47,X$1:X$35,X$1:X$35) = F47,ROUND(LOOKUP(LOOKUP(F47,X$1:X$35,A:A),'Annual Calculation'!A$2:A$107,Table1[Saving]),0),IF( LOOKUP(F47,W$1:W$35,W$1:W$35) =
 F47,ROUND(G46*(1+IF($Q$18&lt;6,$R$14,IF($Q$18&lt;11,$R$15,$R$16)))^(1/12),0),G46*(1+IF($Q$18&lt;6,$R$14,IF($Q$18&lt;11,$R$15,$R$16)))^(1/12))))</f>
        <v>145218747</v>
      </c>
    </row>
    <row r="48" spans="1:25">
      <c r="A48" s="348">
        <f t="shared" si="1"/>
        <v>47</v>
      </c>
      <c r="B48" s="360">
        <f>DATE('Profit Calculation'!J$6,A$2,A$2+A48-1)</f>
        <v>42051</v>
      </c>
      <c r="D48" s="362">
        <f t="shared" si="0"/>
        <v>0</v>
      </c>
      <c r="F48" s="363">
        <f>DATE('Profit Calculation'!J$6,'Profit Calculation'!R$6+A48-1,'Profit Calculation'!Z$6)</f>
        <v>43497</v>
      </c>
      <c r="G48" s="364">
        <f ca="1">IF(Q$27=2,IF(LOOKUP(F48,X$1:X$35,X$1:X$35) = F48,ROUND(LOOKUP(LOOKUP(F48,X$1:X$35,A:A),Single!A$2:A$107,Table13[Saving]),0),IF( LOOKUP(F48,W$1:W$35,W$1:W$35) =
 F48,ROUND(G47*(1+IF($Q$18&lt;6,$R$14,IF($Q$18&lt;11,$R$15,$R$16)))^(1/12),0),G47*(1+IF($Q$18&lt;6,$R$14,IF($Q$18&lt;11,$R$15,$R$16)))^(1/12))),IF(LOOKUP(F48,X$1:X$35,X$1:X$35) = F48,ROUND(LOOKUP(LOOKUP(F48,X$1:X$35,A:A),'Annual Calculation'!A$2:A$107,Table1[Saving]),0),IF( LOOKUP(F48,W$1:W$35,W$1:W$35) =
 F48,ROUND(G47*(1+IF($Q$18&lt;6,$R$14,IF($Q$18&lt;11,$R$15,$R$16)))^(1/12),0),G47*(1+IF($Q$18&lt;6,$R$14,IF($Q$18&lt;11,$R$15,$R$16)))^(1/12))))</f>
        <v>146919972.55631021</v>
      </c>
    </row>
    <row r="49" spans="1:7">
      <c r="A49" s="348">
        <f t="shared" si="1"/>
        <v>48</v>
      </c>
      <c r="B49" s="360">
        <f>DATE('Profit Calculation'!J$6,A$2,A$2+A49-1)</f>
        <v>42052</v>
      </c>
      <c r="D49" s="362">
        <f t="shared" si="0"/>
        <v>0</v>
      </c>
      <c r="F49" s="363">
        <f>DATE('Profit Calculation'!J$6,'Profit Calculation'!R$6+A49-1,'Profit Calculation'!Z$6)</f>
        <v>43525</v>
      </c>
      <c r="G49" s="364">
        <f ca="1">IF(Q$27=2,IF(LOOKUP(F49,X$1:X$35,X$1:X$35) = F49,ROUND(LOOKUP(LOOKUP(F49,X$1:X$35,A:A),Single!A$2:A$107,Table13[Saving]),0),IF( LOOKUP(F49,W$1:W$35,W$1:W$35) =
 F49,ROUND(G48*(1+IF($Q$18&lt;6,$R$14,IF($Q$18&lt;11,$R$15,$R$16)))^(1/12),0),G48*(1+IF($Q$18&lt;6,$R$14,IF($Q$18&lt;11,$R$15,$R$16)))^(1/12))),IF(LOOKUP(F49,X$1:X$35,X$1:X$35) = F49,ROUND(LOOKUP(LOOKUP(F49,X$1:X$35,A:A),'Annual Calculation'!A$2:A$107,Table1[Saving]),0),IF( LOOKUP(F49,W$1:W$35,W$1:W$35) =
 F49,ROUND(G48*(1+IF($Q$18&lt;6,$R$14,IF($Q$18&lt;11,$R$15,$R$16)))^(1/12),0),G48*(1+IF($Q$18&lt;6,$R$14,IF($Q$18&lt;11,$R$15,$R$16)))^(1/12))))</f>
        <v>148641127.82867453</v>
      </c>
    </row>
    <row r="50" spans="1:7">
      <c r="A50" s="348">
        <f t="shared" si="1"/>
        <v>49</v>
      </c>
      <c r="B50" s="360">
        <f>DATE('Profit Calculation'!J$6,A$2,A$2+A50-1)</f>
        <v>42053</v>
      </c>
      <c r="D50" s="362">
        <f t="shared" si="0"/>
        <v>0</v>
      </c>
      <c r="F50" s="357">
        <f>DATE('Profit Calculation'!J$6,'Profit Calculation'!R$6+A50-1,'Profit Calculation'!Z$6)</f>
        <v>43556</v>
      </c>
      <c r="G50" s="358">
        <f ca="1">IF(Q$27=2,IF(LOOKUP(F50,X$1:X$35,X$1:X$35) = F50,ROUND(LOOKUP(LOOKUP(F50,X$1:X$35,A:A),Single!A$2:A$107,Table13[Saving]),0),IF( LOOKUP(F50,W$1:W$35,W$1:W$35) =
 F50,ROUND(G49*(1+IF($Q$18&lt;6,$R$14,IF($Q$18&lt;11,$R$15,$R$16)))^(1/12),0),G49*(1+IF($Q$18&lt;6,$R$14,IF($Q$18&lt;11,$R$15,$R$16)))^(1/12))),IF(LOOKUP(F50,X$1:X$35,X$1:X$35) = F50,ROUND(LOOKUP(LOOKUP(F50,X$1:X$35,A:A),'Annual Calculation'!A$2:A$107,Table1[Saving]),0),IF( LOOKUP(F50,W$1:W$35,W$1:W$35) =
 F50,ROUND(G49*(1+IF($Q$18&lt;6,$R$14,IF($Q$18&lt;11,$R$15,$R$16)))^(1/12),0),G49*(1+IF($Q$18&lt;6,$R$14,IF($Q$18&lt;11,$R$15,$R$16)))^(1/12))))</f>
        <v>147996875</v>
      </c>
    </row>
    <row r="51" spans="1:7">
      <c r="A51" s="348">
        <f t="shared" si="1"/>
        <v>50</v>
      </c>
      <c r="B51" s="360">
        <f>DATE('Profit Calculation'!J$6,A$2,A$2+A51-1)</f>
        <v>42054</v>
      </c>
      <c r="D51" s="362">
        <f t="shared" si="0"/>
        <v>0</v>
      </c>
      <c r="F51" s="363">
        <f>DATE('Profit Calculation'!J$6,'Profit Calculation'!R$6+A51-1,'Profit Calculation'!Z$6)</f>
        <v>43586</v>
      </c>
      <c r="G51" s="364">
        <f ca="1">IF(Q$27=2,IF(LOOKUP(F51,X$1:X$35,X$1:X$35) = F51,ROUND(LOOKUP(LOOKUP(F51,X$1:X$35,A:A),Single!A$2:A$107,Table13[Saving]),0),IF( LOOKUP(F51,W$1:W$35,W$1:W$35) =
 F51,ROUND(G50*(1+IF($Q$18&lt;6,$R$14,IF($Q$18&lt;11,$R$15,$R$16)))^(1/12),0),G50*(1+IF($Q$18&lt;6,$R$14,IF($Q$18&lt;11,$R$15,$R$16)))^(1/12))),IF(LOOKUP(F51,X$1:X$35,X$1:X$35) = F51,ROUND(LOOKUP(LOOKUP(F51,X$1:X$35,A:A),'Annual Calculation'!A$2:A$107,Table1[Saving]),0),IF( LOOKUP(F51,W$1:W$35,W$1:W$35) =
 F51,ROUND(G50*(1+IF($Q$18&lt;6,$R$14,IF($Q$18&lt;11,$R$15,$R$16)))^(1/12),0),G50*(1+IF($Q$18&lt;6,$R$14,IF($Q$18&lt;11,$R$15,$R$16)))^(1/12))))</f>
        <v>149730646.09502292</v>
      </c>
    </row>
    <row r="52" spans="1:7">
      <c r="A52" s="348">
        <f t="shared" si="1"/>
        <v>51</v>
      </c>
      <c r="B52" s="360">
        <f>DATE('Profit Calculation'!J$6,A$2,A$2+A52-1)</f>
        <v>42055</v>
      </c>
      <c r="D52" s="362">
        <f t="shared" si="0"/>
        <v>0</v>
      </c>
      <c r="F52" s="363">
        <f>DATE('Profit Calculation'!J$6,'Profit Calculation'!R$6+A52-1,'Profit Calculation'!Z$6)</f>
        <v>43617</v>
      </c>
      <c r="G52" s="364">
        <f ca="1">IF(Q$27=2,IF(LOOKUP(F52,X$1:X$35,X$1:X$35) = F52,ROUND(LOOKUP(LOOKUP(F52,X$1:X$35,A:A),Single!A$2:A$107,Table13[Saving]),0),IF( LOOKUP(F52,W$1:W$35,W$1:W$35) =
 F52,ROUND(G51*(1+IF($Q$18&lt;6,$R$14,IF($Q$18&lt;11,$R$15,$R$16)))^(1/12),0),G51*(1+IF($Q$18&lt;6,$R$14,IF($Q$18&lt;11,$R$15,$R$16)))^(1/12))),IF(LOOKUP(F52,X$1:X$35,X$1:X$35) = F52,ROUND(LOOKUP(LOOKUP(F52,X$1:X$35,A:A),'Annual Calculation'!A$2:A$107,Table1[Saving]),0),IF( LOOKUP(F52,W$1:W$35,W$1:W$35) =
 F52,ROUND(G51*(1+IF($Q$18&lt;6,$R$14,IF($Q$18&lt;11,$R$15,$R$16)))^(1/12),0),G51*(1+IF($Q$18&lt;6,$R$14,IF($Q$18&lt;11,$R$15,$R$16)))^(1/12))))</f>
        <v>151484728.17438209</v>
      </c>
    </row>
    <row r="53" spans="1:7">
      <c r="A53" s="348">
        <f t="shared" si="1"/>
        <v>52</v>
      </c>
      <c r="B53" s="360">
        <f>DATE('Profit Calculation'!J$6,A$2,A$2+A53-1)</f>
        <v>42056</v>
      </c>
      <c r="D53" s="362">
        <f t="shared" si="0"/>
        <v>0</v>
      </c>
      <c r="F53" s="363">
        <f>DATE('Profit Calculation'!J$6,'Profit Calculation'!R$6+A53-1,'Profit Calculation'!Z$6)</f>
        <v>43647</v>
      </c>
      <c r="G53" s="364">
        <f ca="1">IF(Q$27=2,IF(LOOKUP(F53,X$1:X$35,X$1:X$35) = F53,ROUND(LOOKUP(LOOKUP(F53,X$1:X$35,A:A),Single!A$2:A$107,Table13[Saving]),0),IF( LOOKUP(F53,W$1:W$35,W$1:W$35) =
 F53,ROUND(G52*(1+IF($Q$18&lt;6,$R$14,IF($Q$18&lt;11,$R$15,$R$16)))^(1/12),0),G52*(1+IF($Q$18&lt;6,$R$14,IF($Q$18&lt;11,$R$15,$R$16)))^(1/12))),IF(LOOKUP(F53,X$1:X$35,X$1:X$35) = F53,ROUND(LOOKUP(LOOKUP(F53,X$1:X$35,A:A),'Annual Calculation'!A$2:A$107,Table1[Saving]),0),IF( LOOKUP(F53,W$1:W$35,W$1:W$35) =
 F53,ROUND(G52*(1+IF($Q$18&lt;6,$R$14,IF($Q$18&lt;11,$R$15,$R$16)))^(1/12),0),G52*(1+IF($Q$18&lt;6,$R$14,IF($Q$18&lt;11,$R$15,$R$16)))^(1/12))))</f>
        <v>153259359.17957154</v>
      </c>
    </row>
    <row r="54" spans="1:7">
      <c r="A54" s="348">
        <f t="shared" si="1"/>
        <v>53</v>
      </c>
      <c r="B54" s="360">
        <f>DATE('Profit Calculation'!J$6,A$2,A$2+A54-1)</f>
        <v>42057</v>
      </c>
      <c r="D54" s="362">
        <f t="shared" si="0"/>
        <v>0</v>
      </c>
      <c r="F54" s="363">
        <f>DATE('Profit Calculation'!J$6,'Profit Calculation'!R$6+A54-1,'Profit Calculation'!Z$6)</f>
        <v>43678</v>
      </c>
      <c r="G54" s="364">
        <f ca="1">IF(Q$27=2,IF(LOOKUP(F54,X$1:X$35,X$1:X$35) = F54,ROUND(LOOKUP(LOOKUP(F54,X$1:X$35,A:A),Single!A$2:A$107,Table13[Saving]),0),IF( LOOKUP(F54,W$1:W$35,W$1:W$35) =
 F54,ROUND(G53*(1+IF($Q$18&lt;6,$R$14,IF($Q$18&lt;11,$R$15,$R$16)))^(1/12),0),G53*(1+IF($Q$18&lt;6,$R$14,IF($Q$18&lt;11,$R$15,$R$16)))^(1/12))),IF(LOOKUP(F54,X$1:X$35,X$1:X$35) = F54,ROUND(LOOKUP(LOOKUP(F54,X$1:X$35,A:A),'Annual Calculation'!A$2:A$107,Table1[Saving]),0),IF( LOOKUP(F54,W$1:W$35,W$1:W$35) =
 F54,ROUND(G53*(1+IF($Q$18&lt;6,$R$14,IF($Q$18&lt;11,$R$15,$R$16)))^(1/12),0),G53*(1+IF($Q$18&lt;6,$R$14,IF($Q$18&lt;11,$R$15,$R$16)))^(1/12))))</f>
        <v>155054779.8395502</v>
      </c>
    </row>
    <row r="55" spans="1:7">
      <c r="A55" s="348">
        <f t="shared" si="1"/>
        <v>54</v>
      </c>
      <c r="B55" s="360">
        <f>DATE('Profit Calculation'!J$6,A$2,A$2+A55-1)</f>
        <v>42058</v>
      </c>
      <c r="D55" s="362">
        <f t="shared" si="0"/>
        <v>0</v>
      </c>
      <c r="F55" s="363">
        <f>DATE('Profit Calculation'!J$6,'Profit Calculation'!R$6+A55-1,'Profit Calculation'!Z$6)</f>
        <v>43709</v>
      </c>
      <c r="G55" s="364">
        <f ca="1">IF(Q$27=2,IF(LOOKUP(F55,X$1:X$35,X$1:X$35) = F55,ROUND(LOOKUP(LOOKUP(F55,X$1:X$35,A:A),Single!A$2:A$107,Table13[Saving]),0),IF( LOOKUP(F55,W$1:W$35,W$1:W$35) =
 F55,ROUND(G54*(1+IF($Q$18&lt;6,$R$14,IF($Q$18&lt;11,$R$15,$R$16)))^(1/12),0),G54*(1+IF($Q$18&lt;6,$R$14,IF($Q$18&lt;11,$R$15,$R$16)))^(1/12))),IF(LOOKUP(F55,X$1:X$35,X$1:X$35) = F55,ROUND(LOOKUP(LOOKUP(F55,X$1:X$35,A:A),'Annual Calculation'!A$2:A$107,Table1[Saving]),0),IF( LOOKUP(F55,W$1:W$35,W$1:W$35) =
 F55,ROUND(G54*(1+IF($Q$18&lt;6,$R$14,IF($Q$18&lt;11,$R$15,$R$16)))^(1/12),0),G54*(1+IF($Q$18&lt;6,$R$14,IF($Q$18&lt;11,$R$15,$R$16)))^(1/12))))</f>
        <v>156871233.70339668</v>
      </c>
    </row>
    <row r="56" spans="1:7">
      <c r="A56" s="348">
        <f t="shared" si="1"/>
        <v>55</v>
      </c>
      <c r="B56" s="360">
        <f>DATE('Profit Calculation'!J$6,A$2,A$2+A56-1)</f>
        <v>42059</v>
      </c>
      <c r="D56" s="362">
        <f t="shared" si="0"/>
        <v>0</v>
      </c>
      <c r="F56" s="363">
        <f>DATE('Profit Calculation'!J$6,'Profit Calculation'!R$6+A56-1,'Profit Calculation'!Z$6)</f>
        <v>43739</v>
      </c>
      <c r="G56" s="364">
        <f ca="1">IF(Q$27=2,IF(LOOKUP(F56,X$1:X$35,X$1:X$35) = F56,ROUND(LOOKUP(LOOKUP(F56,X$1:X$35,A:A),Single!A$2:A$107,Table13[Saving]),0),IF( LOOKUP(F56,W$1:W$35,W$1:W$35) =
 F56,ROUND(G55*(1+IF($Q$18&lt;6,$R$14,IF($Q$18&lt;11,$R$15,$R$16)))^(1/12),0),G55*(1+IF($Q$18&lt;6,$R$14,IF($Q$18&lt;11,$R$15,$R$16)))^(1/12))),IF(LOOKUP(F56,X$1:X$35,X$1:X$35) = F56,ROUND(LOOKUP(LOOKUP(F56,X$1:X$35,A:A),'Annual Calculation'!A$2:A$107,Table1[Saving]),0),IF( LOOKUP(F56,W$1:W$35,W$1:W$35) =
 F56,ROUND(G55*(1+IF($Q$18&lt;6,$R$14,IF($Q$18&lt;11,$R$15,$R$16)))^(1/12),0),G55*(1+IF($Q$18&lt;6,$R$14,IF($Q$18&lt;11,$R$15,$R$16)))^(1/12))))</f>
        <v>158708967.17334688</v>
      </c>
    </row>
    <row r="57" spans="1:7">
      <c r="A57" s="348">
        <f t="shared" si="1"/>
        <v>56</v>
      </c>
      <c r="B57" s="360">
        <f>DATE('Profit Calculation'!J$6,A$2,A$2+A57-1)</f>
        <v>42060</v>
      </c>
      <c r="D57" s="362">
        <f t="shared" si="0"/>
        <v>0</v>
      </c>
      <c r="F57" s="363">
        <f>DATE('Profit Calculation'!J$6,'Profit Calculation'!R$6+A57-1,'Profit Calculation'!Z$6)</f>
        <v>43770</v>
      </c>
      <c r="G57" s="364">
        <f ca="1">IF(Q$27=2,IF(LOOKUP(F57,X$1:X$35,X$1:X$35) = F57,ROUND(LOOKUP(LOOKUP(F57,X$1:X$35,A:A),Single!A$2:A$107,Table13[Saving]),0),IF( LOOKUP(F57,W$1:W$35,W$1:W$35) =
 F57,ROUND(G56*(1+IF($Q$18&lt;6,$R$14,IF($Q$18&lt;11,$R$15,$R$16)))^(1/12),0),G56*(1+IF($Q$18&lt;6,$R$14,IF($Q$18&lt;11,$R$15,$R$16)))^(1/12))),IF(LOOKUP(F57,X$1:X$35,X$1:X$35) = F57,ROUND(LOOKUP(LOOKUP(F57,X$1:X$35,A:A),'Annual Calculation'!A$2:A$107,Table1[Saving]),0),IF( LOOKUP(F57,W$1:W$35,W$1:W$35) =
 F57,ROUND(G56*(1+IF($Q$18&lt;6,$R$14,IF($Q$18&lt;11,$R$15,$R$16)))^(1/12),0),G56*(1+IF($Q$18&lt;6,$R$14,IF($Q$18&lt;11,$R$15,$R$16)))^(1/12))))</f>
        <v>160568229.53821838</v>
      </c>
    </row>
    <row r="58" spans="1:7">
      <c r="A58" s="348">
        <f t="shared" si="1"/>
        <v>57</v>
      </c>
      <c r="B58" s="360">
        <f>DATE('Profit Calculation'!J$6,A$2,A$2+A58-1)</f>
        <v>42061</v>
      </c>
      <c r="D58" s="362">
        <f t="shared" si="0"/>
        <v>0</v>
      </c>
      <c r="F58" s="363">
        <f>DATE('Profit Calculation'!J$6,'Profit Calculation'!R$6+A58-1,'Profit Calculation'!Z$6)</f>
        <v>43800</v>
      </c>
      <c r="G58" s="364">
        <f ca="1">IF(Q$27=2,IF(LOOKUP(F58,X$1:X$35,X$1:X$35) = F58,ROUND(LOOKUP(LOOKUP(F58,X$1:X$35,A:A),Single!A$2:A$107,Table13[Saving]),0),IF( LOOKUP(F58,W$1:W$35,W$1:W$35) =
 F58,ROUND(G57*(1+IF($Q$18&lt;6,$R$14,IF($Q$18&lt;11,$R$15,$R$16)))^(1/12),0),G57*(1+IF($Q$18&lt;6,$R$14,IF($Q$18&lt;11,$R$15,$R$16)))^(1/12))),IF(LOOKUP(F58,X$1:X$35,X$1:X$35) = F58,ROUND(LOOKUP(LOOKUP(F58,X$1:X$35,A:A),'Annual Calculation'!A$2:A$107,Table1[Saving]),0),IF( LOOKUP(F58,W$1:W$35,W$1:W$35) =
 F58,ROUND(G57*(1+IF($Q$18&lt;6,$R$14,IF($Q$18&lt;11,$R$15,$R$16)))^(1/12),0),G57*(1+IF($Q$18&lt;6,$R$14,IF($Q$18&lt;11,$R$15,$R$16)))^(1/12))))</f>
        <v>162449273.00722656</v>
      </c>
    </row>
    <row r="59" spans="1:7">
      <c r="A59" s="348">
        <f t="shared" si="1"/>
        <v>58</v>
      </c>
      <c r="B59" s="360">
        <f>DATE('Profit Calculation'!J$6,A$2,A$2+A59-1)</f>
        <v>42062</v>
      </c>
      <c r="D59" s="362">
        <f t="shared" si="0"/>
        <v>0</v>
      </c>
      <c r="F59" s="363">
        <f>DATE('Profit Calculation'!J$6,'Profit Calculation'!R$6+A59-1,'Profit Calculation'!Z$6)</f>
        <v>43831</v>
      </c>
      <c r="G59" s="364">
        <f ca="1">IF(Q$27=2,IF(LOOKUP(F59,X$1:X$35,X$1:X$35) = F59,ROUND(LOOKUP(LOOKUP(F59,X$1:X$35,A:A),Single!A$2:A$107,Table13[Saving]),0),IF( LOOKUP(F59,W$1:W$35,W$1:W$35) =
 F59,ROUND(G58*(1+IF($Q$18&lt;6,$R$14,IF($Q$18&lt;11,$R$15,$R$16)))^(1/12),0),G58*(1+IF($Q$18&lt;6,$R$14,IF($Q$18&lt;11,$R$15,$R$16)))^(1/12))),IF(LOOKUP(F59,X$1:X$35,X$1:X$35) = F59,ROUND(LOOKUP(LOOKUP(F59,X$1:X$35,A:A),'Annual Calculation'!A$2:A$107,Table1[Saving]),0),IF( LOOKUP(F59,W$1:W$35,W$1:W$35) =
 F59,ROUND(G58*(1+IF($Q$18&lt;6,$R$14,IF($Q$18&lt;11,$R$15,$R$16)))^(1/12),0),G58*(1+IF($Q$18&lt;6,$R$14,IF($Q$18&lt;11,$R$15,$R$16)))^(1/12))))</f>
        <v>164352353</v>
      </c>
    </row>
    <row r="60" spans="1:7">
      <c r="A60" s="348">
        <f t="shared" si="1"/>
        <v>59</v>
      </c>
      <c r="B60" s="360">
        <f>DATE('Profit Calculation'!J$6,A$2,A$2+A60-1)</f>
        <v>42063</v>
      </c>
      <c r="D60" s="362">
        <f t="shared" si="0"/>
        <v>0</v>
      </c>
      <c r="F60" s="363">
        <f>DATE('Profit Calculation'!J$6,'Profit Calculation'!R$6+A60-1,'Profit Calculation'!Z$6)</f>
        <v>43862</v>
      </c>
      <c r="G60" s="364">
        <f ca="1">IF(Q$27=2,IF(LOOKUP(F60,X$1:X$35,X$1:X$35) = F60,ROUND(LOOKUP(LOOKUP(F60,X$1:X$35,A:A),Single!A$2:A$107,Table13[Saving]),0),IF( LOOKUP(F60,W$1:W$35,W$1:W$35) =
 F60,ROUND(G59*(1+IF($Q$18&lt;6,$R$14,IF($Q$18&lt;11,$R$15,$R$16)))^(1/12),0),G59*(1+IF($Q$18&lt;6,$R$14,IF($Q$18&lt;11,$R$15,$R$16)))^(1/12))),IF(LOOKUP(F60,X$1:X$35,X$1:X$35) = F60,ROUND(LOOKUP(LOOKUP(F60,X$1:X$35,A:A),'Annual Calculation'!A$2:A$107,Table1[Saving]),0),IF( LOOKUP(F60,W$1:W$35,W$1:W$35) =
 F60,ROUND(G59*(1+IF($Q$18&lt;6,$R$14,IF($Q$18&lt;11,$R$15,$R$16)))^(1/12),0),G59*(1+IF($Q$18&lt;6,$R$14,IF($Q$18&lt;11,$R$15,$R$16)))^(1/12))))</f>
        <v>166277727.16097742</v>
      </c>
    </row>
    <row r="61" spans="1:7">
      <c r="A61" s="348">
        <f t="shared" si="1"/>
        <v>60</v>
      </c>
      <c r="B61" s="360">
        <f>DATE('Profit Calculation'!J$6,A$2,A$2+A61-1)</f>
        <v>42064</v>
      </c>
      <c r="D61" s="362">
        <f t="shared" si="0"/>
        <v>0</v>
      </c>
      <c r="F61" s="363">
        <f>DATE('Profit Calculation'!J$6,'Profit Calculation'!R$6+A61-1,'Profit Calculation'!Z$6)</f>
        <v>43891</v>
      </c>
      <c r="G61" s="364">
        <f ca="1">IF(Q$27=2,IF(LOOKUP(F61,X$1:X$35,X$1:X$35) = F61,ROUND(LOOKUP(LOOKUP(F61,X$1:X$35,A:A),Single!A$2:A$107,Table13[Saving]),0),IF( LOOKUP(F61,W$1:W$35,W$1:W$35) =
 F61,ROUND(G60*(1+IF($Q$18&lt;6,$R$14,IF($Q$18&lt;11,$R$15,$R$16)))^(1/12),0),G60*(1+IF($Q$18&lt;6,$R$14,IF($Q$18&lt;11,$R$15,$R$16)))^(1/12))),IF(LOOKUP(F61,X$1:X$35,X$1:X$35) = F61,ROUND(LOOKUP(LOOKUP(F61,X$1:X$35,A:A),'Annual Calculation'!A$2:A$107,Table1[Saving]),0),IF( LOOKUP(F61,W$1:W$35,W$1:W$35) =
 F61,ROUND(G60*(1+IF($Q$18&lt;6,$R$14,IF($Q$18&lt;11,$R$15,$R$16)))^(1/12),0),G60*(1+IF($Q$18&lt;6,$R$14,IF($Q$18&lt;11,$R$15,$R$16)))^(1/12))))</f>
        <v>168225656.92029032</v>
      </c>
    </row>
    <row r="62" spans="1:7">
      <c r="A62" s="348">
        <f t="shared" si="1"/>
        <v>61</v>
      </c>
      <c r="B62" s="360">
        <f>DATE('Profit Calculation'!J$6,A$2,A$2+A62-1)</f>
        <v>42065</v>
      </c>
      <c r="D62" s="362">
        <f t="shared" si="0"/>
        <v>0</v>
      </c>
      <c r="F62" s="357">
        <f>DATE('Profit Calculation'!J$6,'Profit Calculation'!R$6+A62-1,'Profit Calculation'!Z$6)</f>
        <v>43922</v>
      </c>
      <c r="G62" s="358">
        <f ca="1">IF(Q$27=2,IF(LOOKUP(F62,X$1:X$35,X$1:X$35) = F62,ROUND(LOOKUP(LOOKUP(F62,X$1:X$35,A:A),Single!A$2:A$107,Table13[Saving]),0),IF( LOOKUP(F62,W$1:W$35,W$1:W$35) =
 F62,ROUND(G61*(1+IF($Q$18&lt;6,$R$14,IF($Q$18&lt;11,$R$15,$R$16)))^(1/12),0),G61*(1+IF($Q$18&lt;6,$R$14,IF($Q$18&lt;11,$R$15,$R$16)))^(1/12))),IF(LOOKUP(F62,X$1:X$35,X$1:X$35) = F62,ROUND(LOOKUP(LOOKUP(F62,X$1:X$35,A:A),'Annual Calculation'!A$2:A$107,Table1[Saving]),0),IF( LOOKUP(F62,W$1:W$35,W$1:W$35) =
 F62,ROUND(G61*(1+IF($Q$18&lt;6,$R$14,IF($Q$18&lt;11,$R$15,$R$16)))^(1/12),0),G61*(1+IF($Q$18&lt;6,$R$14,IF($Q$18&lt;11,$R$15,$R$16)))^(1/12))))</f>
        <v>167271072</v>
      </c>
    </row>
    <row r="63" spans="1:7">
      <c r="A63" s="348">
        <f t="shared" si="1"/>
        <v>62</v>
      </c>
      <c r="B63" s="360">
        <f>DATE('Profit Calculation'!J$6,A$2,A$2+A63-1)</f>
        <v>42066</v>
      </c>
      <c r="D63" s="362">
        <f t="shared" si="0"/>
        <v>0</v>
      </c>
      <c r="F63" s="363">
        <f>DATE('Profit Calculation'!J$6,'Profit Calculation'!R$6+A63-1,'Profit Calculation'!Z$6)</f>
        <v>43952</v>
      </c>
      <c r="G63" s="364">
        <f ca="1">IF(Q$27=2,IF(LOOKUP(F63,X$1:X$35,X$1:X$35) = F63,ROUND(LOOKUP(LOOKUP(F63,X$1:X$35,A:A),Single!A$2:A$107,Table13[Saving]),0),IF( LOOKUP(F63,W$1:W$35,W$1:W$35) =
 F63,ROUND(G62*(1+IF($Q$18&lt;6,$R$14,IF($Q$18&lt;11,$R$15,$R$16)))^(1/12),0),G62*(1+IF($Q$18&lt;6,$R$14,IF($Q$18&lt;11,$R$15,$R$16)))^(1/12))),IF(LOOKUP(F63,X$1:X$35,X$1:X$35) = F63,ROUND(LOOKUP(LOOKUP(F63,X$1:X$35,A:A),'Annual Calculation'!A$2:A$107,Table1[Saving]),0),IF( LOOKUP(F63,W$1:W$35,W$1:W$35) =
 F63,ROUND(G62*(1+IF($Q$18&lt;6,$R$14,IF($Q$18&lt;11,$R$15,$R$16)))^(1/12),0),G62*(1+IF($Q$18&lt;6,$R$14,IF($Q$18&lt;11,$R$15,$R$16)))^(1/12))))</f>
        <v>169230638.71157482</v>
      </c>
    </row>
    <row r="64" spans="1:7">
      <c r="A64" s="348">
        <f t="shared" si="1"/>
        <v>63</v>
      </c>
      <c r="B64" s="360">
        <f>DATE('Profit Calculation'!J$6,A$2,A$2+A64-1)</f>
        <v>42067</v>
      </c>
      <c r="D64" s="362">
        <f t="shared" si="0"/>
        <v>0</v>
      </c>
      <c r="F64" s="363">
        <f>DATE('Profit Calculation'!J$6,'Profit Calculation'!R$6+A64-1,'Profit Calculation'!Z$6)</f>
        <v>43983</v>
      </c>
      <c r="G64" s="364">
        <f ca="1">IF(Q$27=2,IF(LOOKUP(F64,X$1:X$35,X$1:X$35) = F64,ROUND(LOOKUP(LOOKUP(F64,X$1:X$35,A:A),Single!A$2:A$107,Table13[Saving]),0),IF( LOOKUP(F64,W$1:W$35,W$1:W$35) =
 F64,ROUND(G63*(1+IF($Q$18&lt;6,$R$14,IF($Q$18&lt;11,$R$15,$R$16)))^(1/12),0),G63*(1+IF($Q$18&lt;6,$R$14,IF($Q$18&lt;11,$R$15,$R$16)))^(1/12))),IF(LOOKUP(F64,X$1:X$35,X$1:X$35) = F64,ROUND(LOOKUP(LOOKUP(F64,X$1:X$35,A:A),'Annual Calculation'!A$2:A$107,Table1[Saving]),0),IF( LOOKUP(F64,W$1:W$35,W$1:W$35) =
 F64,ROUND(G63*(1+IF($Q$18&lt;6,$R$14,IF($Q$18&lt;11,$R$15,$R$16)))^(1/12),0),G63*(1+IF($Q$18&lt;6,$R$14,IF($Q$18&lt;11,$R$15,$R$16)))^(1/12))))</f>
        <v>171213161.58437464</v>
      </c>
    </row>
    <row r="65" spans="1:7">
      <c r="A65" s="348">
        <f t="shared" si="1"/>
        <v>64</v>
      </c>
      <c r="B65" s="360">
        <f>DATE('Profit Calculation'!J$6,A$2,A$2+A65-1)</f>
        <v>42068</v>
      </c>
      <c r="D65" s="362">
        <f t="shared" si="0"/>
        <v>0</v>
      </c>
      <c r="F65" s="363">
        <f>DATE('Profit Calculation'!J$6,'Profit Calculation'!R$6+A65-1,'Profit Calculation'!Z$6)</f>
        <v>44013</v>
      </c>
      <c r="G65" s="364">
        <f ca="1">IF(Q$27=2,IF(LOOKUP(F65,X$1:X$35,X$1:X$35) = F65,ROUND(LOOKUP(LOOKUP(F65,X$1:X$35,A:A),Single!A$2:A$107,Table13[Saving]),0),IF( LOOKUP(F65,W$1:W$35,W$1:W$35) =
 F65,ROUND(G64*(1+IF($Q$18&lt;6,$R$14,IF($Q$18&lt;11,$R$15,$R$16)))^(1/12),0),G64*(1+IF($Q$18&lt;6,$R$14,IF($Q$18&lt;11,$R$15,$R$16)))^(1/12))),IF(LOOKUP(F65,X$1:X$35,X$1:X$35) = F65,ROUND(LOOKUP(LOOKUP(F65,X$1:X$35,A:A),'Annual Calculation'!A$2:A$107,Table1[Saving]),0),IF( LOOKUP(F65,W$1:W$35,W$1:W$35) =
 F65,ROUND(G64*(1+IF($Q$18&lt;6,$R$14,IF($Q$18&lt;11,$R$15,$R$16)))^(1/12),0),G64*(1+IF($Q$18&lt;6,$R$14,IF($Q$18&lt;11,$R$15,$R$16)))^(1/12))))</f>
        <v>173218909.54792103</v>
      </c>
    </row>
    <row r="66" spans="1:7">
      <c r="A66" s="348">
        <f t="shared" si="1"/>
        <v>65</v>
      </c>
      <c r="B66" s="360">
        <f>DATE('Profit Calculation'!J$6,A$2,A$2+A66-1)</f>
        <v>42069</v>
      </c>
      <c r="D66" s="362">
        <f t="shared" si="0"/>
        <v>0</v>
      </c>
      <c r="F66" s="363">
        <f>DATE('Profit Calculation'!J$6,'Profit Calculation'!R$6+A66-1,'Profit Calculation'!Z$6)</f>
        <v>44044</v>
      </c>
      <c r="G66" s="364">
        <f ca="1">IF(Q$27=2,IF(LOOKUP(F66,X$1:X$35,X$1:X$35) = F66,ROUND(LOOKUP(LOOKUP(F66,X$1:X$35,A:A),Single!A$2:A$107,Table13[Saving]),0),IF( LOOKUP(F66,W$1:W$35,W$1:W$35) =
 F66,ROUND(G65*(1+IF($Q$18&lt;6,$R$14,IF($Q$18&lt;11,$R$15,$R$16)))^(1/12),0),G65*(1+IF($Q$18&lt;6,$R$14,IF($Q$18&lt;11,$R$15,$R$16)))^(1/12))),IF(LOOKUP(F66,X$1:X$35,X$1:X$35) = F66,ROUND(LOOKUP(LOOKUP(F66,X$1:X$35,A:A),'Annual Calculation'!A$2:A$107,Table1[Saving]),0),IF( LOOKUP(F66,W$1:W$35,W$1:W$35) =
 F66,ROUND(G65*(1+IF($Q$18&lt;6,$R$14,IF($Q$18&lt;11,$R$15,$R$16)))^(1/12),0),G65*(1+IF($Q$18&lt;6,$R$14,IF($Q$18&lt;11,$R$15,$R$16)))^(1/12))))</f>
        <v>175248154.68222252</v>
      </c>
    </row>
    <row r="67" spans="1:7">
      <c r="A67" s="348">
        <f t="shared" si="1"/>
        <v>66</v>
      </c>
      <c r="B67" s="360">
        <f>DATE('Profit Calculation'!J$6,A$2,A$2+A67-1)</f>
        <v>42070</v>
      </c>
      <c r="D67" s="362">
        <f t="shared" si="0"/>
        <v>0</v>
      </c>
      <c r="F67" s="363">
        <f>DATE('Profit Calculation'!J$6,'Profit Calculation'!R$6+A67-1,'Profit Calculation'!Z$6)</f>
        <v>44075</v>
      </c>
      <c r="G67" s="364">
        <f ca="1">IF(Q$27=2,IF(LOOKUP(F67,X$1:X$35,X$1:X$35) = F67,ROUND(LOOKUP(LOOKUP(F67,X$1:X$35,A:A),Single!A$2:A$107,Table13[Saving]),0),IF( LOOKUP(F67,W$1:W$35,W$1:W$35) =
 F67,ROUND(G66*(1+IF($Q$18&lt;6,$R$14,IF($Q$18&lt;11,$R$15,$R$16)))^(1/12),0),G66*(1+IF($Q$18&lt;6,$R$14,IF($Q$18&lt;11,$R$15,$R$16)))^(1/12))),IF(LOOKUP(F67,X$1:X$35,X$1:X$35) = F67,ROUND(LOOKUP(LOOKUP(F67,X$1:X$35,A:A),'Annual Calculation'!A$2:A$107,Table1[Saving]),0),IF( LOOKUP(F67,W$1:W$35,W$1:W$35) =
 F67,ROUND(G66*(1+IF($Q$18&lt;6,$R$14,IF($Q$18&lt;11,$R$15,$R$16)))^(1/12),0),G66*(1+IF($Q$18&lt;6,$R$14,IF($Q$18&lt;11,$R$15,$R$16)))^(1/12))))</f>
        <v>177301172.25468236</v>
      </c>
    </row>
    <row r="68" spans="1:7">
      <c r="A68" s="348">
        <f t="shared" si="1"/>
        <v>67</v>
      </c>
      <c r="B68" s="360">
        <f>DATE('Profit Calculation'!J$6,A$2,A$2+A68-1)</f>
        <v>42071</v>
      </c>
      <c r="D68" s="362">
        <f t="shared" ref="D68:D131" si="3">IF(OR(LOOKUP(B68,W$1:W$35,W$1:W$35) = B68, LOOKUP(B68,X$1:X$35,X$1:X$35) = B68),LOOKUP(B68,F:F,G:G),D67*(1+((IF($Q$18&lt;6,$R$14,IF($Q$18&lt;11,$R$15,$R$16)))))^(1/365))</f>
        <v>0</v>
      </c>
      <c r="F68" s="363">
        <f>DATE('Profit Calculation'!J$6,'Profit Calculation'!R$6+A68-1,'Profit Calculation'!Z$6)</f>
        <v>44105</v>
      </c>
      <c r="G68" s="364">
        <f ca="1">IF(Q$27=2,IF(LOOKUP(F68,X$1:X$35,X$1:X$35) = F68,ROUND(LOOKUP(LOOKUP(F68,X$1:X$35,A:A),Single!A$2:A$107,Table13[Saving]),0),IF( LOOKUP(F68,W$1:W$35,W$1:W$35) =
 F68,ROUND(G67*(1+IF($Q$18&lt;6,$R$14,IF($Q$18&lt;11,$R$15,$R$16)))^(1/12),0),G67*(1+IF($Q$18&lt;6,$R$14,IF($Q$18&lt;11,$R$15,$R$16)))^(1/12))),IF(LOOKUP(F68,X$1:X$35,X$1:X$35) = F68,ROUND(LOOKUP(LOOKUP(F68,X$1:X$35,A:A),'Annual Calculation'!A$2:A$107,Table1[Saving]),0),IF( LOOKUP(F68,W$1:W$35,W$1:W$35) =
 F68,ROUND(G67*(1+IF($Q$18&lt;6,$R$14,IF($Q$18&lt;11,$R$15,$R$16)))^(1/12),0),G67*(1+IF($Q$18&lt;6,$R$14,IF($Q$18&lt;11,$R$15,$R$16)))^(1/12))))</f>
        <v>179378240.75743857</v>
      </c>
    </row>
    <row r="69" spans="1:7">
      <c r="A69" s="348">
        <f t="shared" ref="A69:A132" si="4">A68+1</f>
        <v>68</v>
      </c>
      <c r="B69" s="360">
        <f>DATE('Profit Calculation'!J$6,A$2,A$2+A69-1)</f>
        <v>42072</v>
      </c>
      <c r="D69" s="362">
        <f t="shared" si="3"/>
        <v>0</v>
      </c>
      <c r="F69" s="363">
        <f>DATE('Profit Calculation'!J$6,'Profit Calculation'!R$6+A69-1,'Profit Calculation'!Z$6)</f>
        <v>44136</v>
      </c>
      <c r="G69" s="364">
        <f ca="1">IF(Q$27=2,IF(LOOKUP(F69,X$1:X$35,X$1:X$35) = F69,ROUND(LOOKUP(LOOKUP(F69,X$1:X$35,A:A),Single!A$2:A$107,Table13[Saving]),0),IF( LOOKUP(F69,W$1:W$35,W$1:W$35) =
 F69,ROUND(G68*(1+IF($Q$18&lt;6,$R$14,IF($Q$18&lt;11,$R$15,$R$16)))^(1/12),0),G68*(1+IF($Q$18&lt;6,$R$14,IF($Q$18&lt;11,$R$15,$R$16)))^(1/12))),IF(LOOKUP(F69,X$1:X$35,X$1:X$35) = F69,ROUND(LOOKUP(LOOKUP(F69,X$1:X$35,A:A),'Annual Calculation'!A$2:A$107,Table1[Saving]),0),IF( LOOKUP(F69,W$1:W$35,W$1:W$35) =
 F69,ROUND(G68*(1+IF($Q$18&lt;6,$R$14,IF($Q$18&lt;11,$R$15,$R$16)))^(1/12),0),G68*(1+IF($Q$18&lt;6,$R$14,IF($Q$18&lt;11,$R$15,$R$16)))^(1/12))))</f>
        <v>181479641.94514143</v>
      </c>
    </row>
    <row r="70" spans="1:7">
      <c r="A70" s="348">
        <f t="shared" si="4"/>
        <v>69</v>
      </c>
      <c r="B70" s="360">
        <f>DATE('Profit Calculation'!J$6,A$2,A$2+A70-1)</f>
        <v>42073</v>
      </c>
      <c r="D70" s="362">
        <f t="shared" si="3"/>
        <v>0</v>
      </c>
      <c r="F70" s="363">
        <f>DATE('Profit Calculation'!J$6,'Profit Calculation'!R$6+A70-1,'Profit Calculation'!Z$6)</f>
        <v>44166</v>
      </c>
      <c r="G70" s="364">
        <f ca="1">IF(Q$27=2,IF(LOOKUP(F70,X$1:X$35,X$1:X$35) = F70,ROUND(LOOKUP(LOOKUP(F70,X$1:X$35,A:A),Single!A$2:A$107,Table13[Saving]),0),IF( LOOKUP(F70,W$1:W$35,W$1:W$35) =
 F70,ROUND(G69*(1+IF($Q$18&lt;6,$R$14,IF($Q$18&lt;11,$R$15,$R$16)))^(1/12),0),G69*(1+IF($Q$18&lt;6,$R$14,IF($Q$18&lt;11,$R$15,$R$16)))^(1/12))),IF(LOOKUP(F70,X$1:X$35,X$1:X$35) = F70,ROUND(LOOKUP(LOOKUP(F70,X$1:X$35,A:A),'Annual Calculation'!A$2:A$107,Table1[Saving]),0),IF( LOOKUP(F70,W$1:W$35,W$1:W$35) =
 F70,ROUND(G69*(1+IF($Q$18&lt;6,$R$14,IF($Q$18&lt;11,$R$15,$R$16)))^(1/12),0),G69*(1+IF($Q$18&lt;6,$R$14,IF($Q$18&lt;11,$R$15,$R$16)))^(1/12))))</f>
        <v>183605660.87317351</v>
      </c>
    </row>
    <row r="71" spans="1:7">
      <c r="A71" s="348">
        <f t="shared" si="4"/>
        <v>70</v>
      </c>
      <c r="B71" s="360">
        <f>DATE('Profit Calculation'!J$6,A$2,A$2+A71-1)</f>
        <v>42074</v>
      </c>
      <c r="D71" s="362">
        <f t="shared" si="3"/>
        <v>0</v>
      </c>
      <c r="F71" s="363">
        <f>DATE('Profit Calculation'!J$6,'Profit Calculation'!R$6+A71-1,'Profit Calculation'!Z$6)</f>
        <v>44197</v>
      </c>
      <c r="G71" s="364">
        <f ca="1">IF(Q$27=2,IF(LOOKUP(F71,X$1:X$35,X$1:X$35) = F71,ROUND(LOOKUP(LOOKUP(F71,X$1:X$35,A:A),Single!A$2:A$107,Table13[Saving]),0),IF( LOOKUP(F71,W$1:W$35,W$1:W$35) =
 F71,ROUND(G70*(1+IF($Q$18&lt;6,$R$14,IF($Q$18&lt;11,$R$15,$R$16)))^(1/12),0),G70*(1+IF($Q$18&lt;6,$R$14,IF($Q$18&lt;11,$R$15,$R$16)))^(1/12))),IF(LOOKUP(F71,X$1:X$35,X$1:X$35) = F71,ROUND(LOOKUP(LOOKUP(F71,X$1:X$35,A:A),'Annual Calculation'!A$2:A$107,Table1[Saving]),0),IF( LOOKUP(F71,W$1:W$35,W$1:W$35) =
 F71,ROUND(G70*(1+IF($Q$18&lt;6,$R$14,IF($Q$18&lt;11,$R$15,$R$16)))^(1/12),0),G70*(1+IF($Q$18&lt;6,$R$14,IF($Q$18&lt;11,$R$15,$R$16)))^(1/12))))</f>
        <v>185756586</v>
      </c>
    </row>
    <row r="72" spans="1:7">
      <c r="A72" s="348">
        <f t="shared" si="4"/>
        <v>71</v>
      </c>
      <c r="B72" s="360">
        <f>DATE('Profit Calculation'!J$6,A$2,A$2+A72-1)</f>
        <v>42075</v>
      </c>
      <c r="D72" s="362">
        <f t="shared" si="3"/>
        <v>0</v>
      </c>
      <c r="F72" s="363">
        <f>DATE('Profit Calculation'!J$6,'Profit Calculation'!R$6+A72-1,'Profit Calculation'!Z$6)</f>
        <v>44228</v>
      </c>
      <c r="G72" s="364">
        <f ca="1">IF(Q$27=2,IF(LOOKUP(F72,X$1:X$35,X$1:X$35) = F72,ROUND(LOOKUP(LOOKUP(F72,X$1:X$35,A:A),Single!A$2:A$107,Table13[Saving]),0),IF( LOOKUP(F72,W$1:W$35,W$1:W$35) =
 F72,ROUND(G71*(1+IF($Q$18&lt;6,$R$14,IF($Q$18&lt;11,$R$15,$R$16)))^(1/12),0),G71*(1+IF($Q$18&lt;6,$R$14,IF($Q$18&lt;11,$R$15,$R$16)))^(1/12))),IF(LOOKUP(F72,X$1:X$35,X$1:X$35) = F72,ROUND(LOOKUP(LOOKUP(F72,X$1:X$35,A:A),'Annual Calculation'!A$2:A$107,Table1[Saving]),0),IF( LOOKUP(F72,W$1:W$35,W$1:W$35) =
 F72,ROUND(G71*(1+IF($Q$18&lt;6,$R$14,IF($Q$18&lt;11,$R$15,$R$16)))^(1/12),0),G71*(1+IF($Q$18&lt;6,$R$14,IF($Q$18&lt;11,$R$15,$R$16)))^(1/12))))</f>
        <v>187932708.9723056</v>
      </c>
    </row>
    <row r="73" spans="1:7">
      <c r="A73" s="348">
        <f t="shared" si="4"/>
        <v>72</v>
      </c>
      <c r="B73" s="360">
        <f>DATE('Profit Calculation'!J$6,A$2,A$2+A73-1)</f>
        <v>42076</v>
      </c>
      <c r="D73" s="362">
        <f t="shared" si="3"/>
        <v>0</v>
      </c>
      <c r="F73" s="363">
        <f>DATE('Profit Calculation'!J$6,'Profit Calculation'!R$6+A73-1,'Profit Calculation'!Z$6)</f>
        <v>44256</v>
      </c>
      <c r="G73" s="364">
        <f ca="1">IF(Q$27=2,IF(LOOKUP(F73,X$1:X$35,X$1:X$35) = F73,ROUND(LOOKUP(LOOKUP(F73,X$1:X$35,A:A),Single!A$2:A$107,Table13[Saving]),0),IF( LOOKUP(F73,W$1:W$35,W$1:W$35) =
 F73,ROUND(G72*(1+IF($Q$18&lt;6,$R$14,IF($Q$18&lt;11,$R$15,$R$16)))^(1/12),0),G72*(1+IF($Q$18&lt;6,$R$14,IF($Q$18&lt;11,$R$15,$R$16)))^(1/12))),IF(LOOKUP(F73,X$1:X$35,X$1:X$35) = F73,ROUND(LOOKUP(LOOKUP(F73,X$1:X$35,A:A),'Annual Calculation'!A$2:A$107,Table1[Saving]),0),IF( LOOKUP(F73,W$1:W$35,W$1:W$35) =
 F73,ROUND(G72*(1+IF($Q$18&lt;6,$R$14,IF($Q$18&lt;11,$R$15,$R$16)))^(1/12),0),G72*(1+IF($Q$18&lt;6,$R$14,IF($Q$18&lt;11,$R$15,$R$16)))^(1/12))))</f>
        <v>190134325.04443914</v>
      </c>
    </row>
    <row r="74" spans="1:7">
      <c r="A74" s="348">
        <f t="shared" si="4"/>
        <v>73</v>
      </c>
      <c r="B74" s="360">
        <f>DATE('Profit Calculation'!J$6,A$2,A$2+A74-1)</f>
        <v>42077</v>
      </c>
      <c r="D74" s="362">
        <f t="shared" si="3"/>
        <v>0</v>
      </c>
      <c r="F74" s="357">
        <f>DATE('Profit Calculation'!J$6,'Profit Calculation'!R$6+A74-1,'Profit Calculation'!Z$6)</f>
        <v>44287</v>
      </c>
      <c r="G74" s="358">
        <f ca="1">IF(Q$27=2,IF(LOOKUP(F74,X$1:X$35,X$1:X$35) = F74,ROUND(LOOKUP(LOOKUP(F74,X$1:X$35,A:A),Single!A$2:A$107,Table13[Saving]),0),IF( LOOKUP(F74,W$1:W$35,W$1:W$35) =
 F74,ROUND(G73*(1+IF($Q$18&lt;6,$R$14,IF($Q$18&lt;11,$R$15,$R$16)))^(1/12),0),G73*(1+IF($Q$18&lt;6,$R$14,IF($Q$18&lt;11,$R$15,$R$16)))^(1/12))),IF(LOOKUP(F74,X$1:X$35,X$1:X$35) = F74,ROUND(LOOKUP(LOOKUP(F74,X$1:X$35,A:A),'Annual Calculation'!A$2:A$107,Table1[Saving]),0),IF( LOOKUP(F74,W$1:W$35,W$1:W$35) =
 F74,ROUND(G73*(1+IF($Q$18&lt;6,$R$14,IF($Q$18&lt;11,$R$15,$R$16)))^(1/12),0),G73*(1+IF($Q$18&lt;6,$R$14,IF($Q$18&lt;11,$R$15,$R$16)))^(1/12))))</f>
        <v>184711855</v>
      </c>
    </row>
    <row r="75" spans="1:7">
      <c r="A75" s="348">
        <f t="shared" si="4"/>
        <v>74</v>
      </c>
      <c r="B75" s="360">
        <f>DATE('Profit Calculation'!J$6,A$2,A$2+A75-1)</f>
        <v>42078</v>
      </c>
      <c r="D75" s="362">
        <f t="shared" si="3"/>
        <v>0</v>
      </c>
      <c r="F75" s="363">
        <f>DATE('Profit Calculation'!J$6,'Profit Calculation'!R$6+A75-1,'Profit Calculation'!Z$6)</f>
        <v>44317</v>
      </c>
      <c r="G75" s="364">
        <f ca="1">IF(Q$27=2,IF(LOOKUP(F75,X$1:X$35,X$1:X$35) = F75,ROUND(LOOKUP(LOOKUP(F75,X$1:X$35,A:A),Single!A$2:A$107,Table13[Saving]),0),IF( LOOKUP(F75,W$1:W$35,W$1:W$35) =
 F75,ROUND(G74*(1+IF($Q$18&lt;6,$R$14,IF($Q$18&lt;11,$R$15,$R$16)))^(1/12),0),G74*(1+IF($Q$18&lt;6,$R$14,IF($Q$18&lt;11,$R$15,$R$16)))^(1/12))),IF(LOOKUP(F75,X$1:X$35,X$1:X$35) = F75,ROUND(LOOKUP(LOOKUP(F75,X$1:X$35,A:A),'Annual Calculation'!A$2:A$107,Table1[Saving]),0),IF( LOOKUP(F75,W$1:W$35,W$1:W$35) =
 F75,ROUND(G74*(1+IF($Q$18&lt;6,$R$14,IF($Q$18&lt;11,$R$15,$R$16)))^(1/12),0),G74*(1+IF($Q$18&lt;6,$R$14,IF($Q$18&lt;11,$R$15,$R$16)))^(1/12))))</f>
        <v>186875739.03543702</v>
      </c>
    </row>
    <row r="76" spans="1:7">
      <c r="A76" s="348">
        <f t="shared" si="4"/>
        <v>75</v>
      </c>
      <c r="B76" s="360">
        <f>DATE('Profit Calculation'!J$6,A$2,A$2+A76-1)</f>
        <v>42079</v>
      </c>
      <c r="D76" s="362">
        <f t="shared" si="3"/>
        <v>0</v>
      </c>
      <c r="F76" s="363">
        <f>DATE('Profit Calculation'!J$6,'Profit Calculation'!R$6+A76-1,'Profit Calculation'!Z$6)</f>
        <v>44348</v>
      </c>
      <c r="G76" s="364">
        <f ca="1">IF(Q$27=2,IF(LOOKUP(F76,X$1:X$35,X$1:X$35) = F76,ROUND(LOOKUP(LOOKUP(F76,X$1:X$35,A:A),Single!A$2:A$107,Table13[Saving]),0),IF( LOOKUP(F76,W$1:W$35,W$1:W$35) =
 F76,ROUND(G75*(1+IF($Q$18&lt;6,$R$14,IF($Q$18&lt;11,$R$15,$R$16)))^(1/12),0),G75*(1+IF($Q$18&lt;6,$R$14,IF($Q$18&lt;11,$R$15,$R$16)))^(1/12))),IF(LOOKUP(F76,X$1:X$35,X$1:X$35) = F76,ROUND(LOOKUP(LOOKUP(F76,X$1:X$35,A:A),'Annual Calculation'!A$2:A$107,Table1[Saving]),0),IF( LOOKUP(F76,W$1:W$35,W$1:W$35) =
 F76,ROUND(G75*(1+IF($Q$18&lt;6,$R$14,IF($Q$18&lt;11,$R$15,$R$16)))^(1/12),0),G75*(1+IF($Q$18&lt;6,$R$14,IF($Q$18&lt;11,$R$15,$R$16)))^(1/12))))</f>
        <v>189064972.79257336</v>
      </c>
    </row>
    <row r="77" spans="1:7">
      <c r="A77" s="348">
        <f t="shared" si="4"/>
        <v>76</v>
      </c>
      <c r="B77" s="360">
        <f>DATE('Profit Calculation'!J$6,A$2,A$2+A77-1)</f>
        <v>42080</v>
      </c>
      <c r="D77" s="362">
        <f t="shared" si="3"/>
        <v>0</v>
      </c>
      <c r="F77" s="363">
        <f>DATE('Profit Calculation'!J$6,'Profit Calculation'!R$6+A77-1,'Profit Calculation'!Z$6)</f>
        <v>44378</v>
      </c>
      <c r="G77" s="364">
        <f ca="1">IF(Q$27=2,IF(LOOKUP(F77,X$1:X$35,X$1:X$35) = F77,ROUND(LOOKUP(LOOKUP(F77,X$1:X$35,A:A),Single!A$2:A$107,Table13[Saving]),0),IF( LOOKUP(F77,W$1:W$35,W$1:W$35) =
 F77,ROUND(G76*(1+IF($Q$18&lt;6,$R$14,IF($Q$18&lt;11,$R$15,$R$16)))^(1/12),0),G76*(1+IF($Q$18&lt;6,$R$14,IF($Q$18&lt;11,$R$15,$R$16)))^(1/12))),IF(LOOKUP(F77,X$1:X$35,X$1:X$35) = F77,ROUND(LOOKUP(LOOKUP(F77,X$1:X$35,A:A),'Annual Calculation'!A$2:A$107,Table1[Saving]),0),IF( LOOKUP(F77,W$1:W$35,W$1:W$35) =
 F77,ROUND(G76*(1+IF($Q$18&lt;6,$R$14,IF($Q$18&lt;11,$R$15,$R$16)))^(1/12),0),G76*(1+IF($Q$18&lt;6,$R$14,IF($Q$18&lt;11,$R$15,$R$16)))^(1/12))))</f>
        <v>191279853.24129269</v>
      </c>
    </row>
    <row r="78" spans="1:7">
      <c r="A78" s="348">
        <f t="shared" si="4"/>
        <v>77</v>
      </c>
      <c r="B78" s="360">
        <f>DATE('Profit Calculation'!J$6,A$2,A$2+A78-1)</f>
        <v>42081</v>
      </c>
      <c r="D78" s="362">
        <f t="shared" si="3"/>
        <v>0</v>
      </c>
      <c r="F78" s="363">
        <f>DATE('Profit Calculation'!J$6,'Profit Calculation'!R$6+A78-1,'Profit Calculation'!Z$6)</f>
        <v>44409</v>
      </c>
      <c r="G78" s="364">
        <f ca="1">IF(Q$27=2,IF(LOOKUP(F78,X$1:X$35,X$1:X$35) = F78,ROUND(LOOKUP(LOOKUP(F78,X$1:X$35,A:A),Single!A$2:A$107,Table13[Saving]),0),IF( LOOKUP(F78,W$1:W$35,W$1:W$35) =
 F78,ROUND(G77*(1+IF($Q$18&lt;6,$R$14,IF($Q$18&lt;11,$R$15,$R$16)))^(1/12),0),G77*(1+IF($Q$18&lt;6,$R$14,IF($Q$18&lt;11,$R$15,$R$16)))^(1/12))),IF(LOOKUP(F78,X$1:X$35,X$1:X$35) = F78,ROUND(LOOKUP(LOOKUP(F78,X$1:X$35,A:A),'Annual Calculation'!A$2:A$107,Table1[Saving]),0),IF( LOOKUP(F78,W$1:W$35,W$1:W$35) =
 F78,ROUND(G77*(1+IF($Q$18&lt;6,$R$14,IF($Q$18&lt;11,$R$15,$R$16)))^(1/12),0),G77*(1+IF($Q$18&lt;6,$R$14,IF($Q$18&lt;11,$R$15,$R$16)))^(1/12))))</f>
        <v>193520680.83045617</v>
      </c>
    </row>
    <row r="79" spans="1:7">
      <c r="A79" s="348">
        <f t="shared" si="4"/>
        <v>78</v>
      </c>
      <c r="B79" s="360">
        <f>DATE('Profit Calculation'!J$6,A$2,A$2+A79-1)</f>
        <v>42082</v>
      </c>
      <c r="D79" s="362">
        <f t="shared" si="3"/>
        <v>0</v>
      </c>
      <c r="F79" s="363">
        <f>DATE('Profit Calculation'!J$6,'Profit Calculation'!R$6+A79-1,'Profit Calculation'!Z$6)</f>
        <v>44440</v>
      </c>
      <c r="G79" s="364">
        <f ca="1">IF(Q$27=2,IF(LOOKUP(F79,X$1:X$35,X$1:X$35) = F79,ROUND(LOOKUP(LOOKUP(F79,X$1:X$35,A:A),Single!A$2:A$107,Table13[Saving]),0),IF( LOOKUP(F79,W$1:W$35,W$1:W$35) =
 F79,ROUND(G78*(1+IF($Q$18&lt;6,$R$14,IF($Q$18&lt;11,$R$15,$R$16)))^(1/12),0),G78*(1+IF($Q$18&lt;6,$R$14,IF($Q$18&lt;11,$R$15,$R$16)))^(1/12))),IF(LOOKUP(F79,X$1:X$35,X$1:X$35) = F79,ROUND(LOOKUP(LOOKUP(F79,X$1:X$35,A:A),'Annual Calculation'!A$2:A$107,Table1[Saving]),0),IF( LOOKUP(F79,W$1:W$35,W$1:W$35) =
 F79,ROUND(G78*(1+IF($Q$18&lt;6,$R$14,IF($Q$18&lt;11,$R$15,$R$16)))^(1/12),0),G78*(1+IF($Q$18&lt;6,$R$14,IF($Q$18&lt;11,$R$15,$R$16)))^(1/12))))</f>
        <v>195787759.52865842</v>
      </c>
    </row>
    <row r="80" spans="1:7">
      <c r="A80" s="348">
        <f t="shared" si="4"/>
        <v>79</v>
      </c>
      <c r="B80" s="360">
        <f>DATE('Profit Calculation'!J$6,A$2,A$2+A80-1)</f>
        <v>42083</v>
      </c>
      <c r="D80" s="362">
        <f t="shared" si="3"/>
        <v>0</v>
      </c>
      <c r="F80" s="363">
        <f>DATE('Profit Calculation'!J$6,'Profit Calculation'!R$6+A80-1,'Profit Calculation'!Z$6)</f>
        <v>44470</v>
      </c>
      <c r="G80" s="364">
        <f ca="1">IF(Q$27=2,IF(LOOKUP(F80,X$1:X$35,X$1:X$35) = F80,ROUND(LOOKUP(LOOKUP(F80,X$1:X$35,A:A),Single!A$2:A$107,Table13[Saving]),0),IF( LOOKUP(F80,W$1:W$35,W$1:W$35) =
 F80,ROUND(G79*(1+IF($Q$18&lt;6,$R$14,IF($Q$18&lt;11,$R$15,$R$16)))^(1/12),0),G79*(1+IF($Q$18&lt;6,$R$14,IF($Q$18&lt;11,$R$15,$R$16)))^(1/12))),IF(LOOKUP(F80,X$1:X$35,X$1:X$35) = F80,ROUND(LOOKUP(LOOKUP(F80,X$1:X$35,A:A),'Annual Calculation'!A$2:A$107,Table1[Saving]),0),IF( LOOKUP(F80,W$1:W$35,W$1:W$35) =
 F80,ROUND(G79*(1+IF($Q$18&lt;6,$R$14,IF($Q$18&lt;11,$R$15,$R$16)))^(1/12),0),G79*(1+IF($Q$18&lt;6,$R$14,IF($Q$18&lt;11,$R$15,$R$16)))^(1/12))))</f>
        <v>198081396.86546087</v>
      </c>
    </row>
    <row r="81" spans="1:7">
      <c r="A81" s="348">
        <f t="shared" si="4"/>
        <v>80</v>
      </c>
      <c r="B81" s="360">
        <f>DATE('Profit Calculation'!J$6,A$2,A$2+A81-1)</f>
        <v>42084</v>
      </c>
      <c r="D81" s="362">
        <f t="shared" si="3"/>
        <v>0</v>
      </c>
      <c r="F81" s="363">
        <f>DATE('Profit Calculation'!J$6,'Profit Calculation'!R$6+A81-1,'Profit Calculation'!Z$6)</f>
        <v>44501</v>
      </c>
      <c r="G81" s="364">
        <f ca="1">IF(Q$27=2,IF(LOOKUP(F81,X$1:X$35,X$1:X$35) = F81,ROUND(LOOKUP(LOOKUP(F81,X$1:X$35,A:A),Single!A$2:A$107,Table13[Saving]),0),IF( LOOKUP(F81,W$1:W$35,W$1:W$35) =
 F81,ROUND(G80*(1+IF($Q$18&lt;6,$R$14,IF($Q$18&lt;11,$R$15,$R$16)))^(1/12),0),G80*(1+IF($Q$18&lt;6,$R$14,IF($Q$18&lt;11,$R$15,$R$16)))^(1/12))),IF(LOOKUP(F81,X$1:X$35,X$1:X$35) = F81,ROUND(LOOKUP(LOOKUP(F81,X$1:X$35,A:A),'Annual Calculation'!A$2:A$107,Table1[Saving]),0),IF( LOOKUP(F81,W$1:W$35,W$1:W$35) =
 F81,ROUND(G80*(1+IF($Q$18&lt;6,$R$14,IF($Q$18&lt;11,$R$15,$R$16)))^(1/12),0),G80*(1+IF($Q$18&lt;6,$R$14,IF($Q$18&lt;11,$R$15,$R$16)))^(1/12))))</f>
        <v>200401903.97310826</v>
      </c>
    </row>
    <row r="82" spans="1:7">
      <c r="A82" s="348">
        <f t="shared" si="4"/>
        <v>81</v>
      </c>
      <c r="B82" s="360">
        <f>DATE('Profit Calculation'!J$6,A$2,A$2+A82-1)</f>
        <v>42085</v>
      </c>
      <c r="D82" s="362">
        <f t="shared" si="3"/>
        <v>0</v>
      </c>
      <c r="F82" s="363">
        <f>DATE('Profit Calculation'!J$6,'Profit Calculation'!R$6+A82-1,'Profit Calculation'!Z$6)</f>
        <v>44531</v>
      </c>
      <c r="G82" s="364">
        <f ca="1">IF(Q$27=2,IF(LOOKUP(F82,X$1:X$35,X$1:X$35) = F82,ROUND(LOOKUP(LOOKUP(F82,X$1:X$35,A:A),Single!A$2:A$107,Table13[Saving]),0),IF( LOOKUP(F82,W$1:W$35,W$1:W$35) =
 F82,ROUND(G81*(1+IF($Q$18&lt;6,$R$14,IF($Q$18&lt;11,$R$15,$R$16)))^(1/12),0),G81*(1+IF($Q$18&lt;6,$R$14,IF($Q$18&lt;11,$R$15,$R$16)))^(1/12))),IF(LOOKUP(F82,X$1:X$35,X$1:X$35) = F82,ROUND(LOOKUP(LOOKUP(F82,X$1:X$35,A:A),'Annual Calculation'!A$2:A$107,Table1[Saving]),0),IF( LOOKUP(F82,W$1:W$35,W$1:W$35) =
 F82,ROUND(G81*(1+IF($Q$18&lt;6,$R$14,IF($Q$18&lt;11,$R$15,$R$16)))^(1/12),0),G81*(1+IF($Q$18&lt;6,$R$14,IF($Q$18&lt;11,$R$15,$R$16)))^(1/12))))</f>
        <v>202749595.62873366</v>
      </c>
    </row>
    <row r="83" spans="1:7">
      <c r="A83" s="348">
        <f t="shared" si="4"/>
        <v>82</v>
      </c>
      <c r="B83" s="360">
        <f>DATE('Profit Calculation'!J$6,A$2,A$2+A83-1)</f>
        <v>42086</v>
      </c>
      <c r="D83" s="362">
        <f t="shared" si="3"/>
        <v>0</v>
      </c>
      <c r="F83" s="363">
        <f>DATE('Profit Calculation'!J$6,'Profit Calculation'!R$6+A83-1,'Profit Calculation'!Z$6)</f>
        <v>44562</v>
      </c>
      <c r="G83" s="364">
        <f ca="1">IF(Q$27=2,IF(LOOKUP(F83,X$1:X$35,X$1:X$35) = F83,ROUND(LOOKUP(LOOKUP(F83,X$1:X$35,A:A),Single!A$2:A$107,Table13[Saving]),0),IF( LOOKUP(F83,W$1:W$35,W$1:W$35) =
 F83,ROUND(G82*(1+IF($Q$18&lt;6,$R$14,IF($Q$18&lt;11,$R$15,$R$16)))^(1/12),0),G82*(1+IF($Q$18&lt;6,$R$14,IF($Q$18&lt;11,$R$15,$R$16)))^(1/12))),IF(LOOKUP(F83,X$1:X$35,X$1:X$35) = F83,ROUND(LOOKUP(LOOKUP(F83,X$1:X$35,A:A),'Annual Calculation'!A$2:A$107,Table1[Saving]),0),IF( LOOKUP(F83,W$1:W$35,W$1:W$35) =
 F83,ROUND(G82*(1+IF($Q$18&lt;6,$R$14,IF($Q$18&lt;11,$R$15,$R$16)))^(1/12),0),G82*(1+IF($Q$18&lt;6,$R$14,IF($Q$18&lt;11,$R$15,$R$16)))^(1/12))))</f>
        <v>205124790</v>
      </c>
    </row>
    <row r="84" spans="1:7">
      <c r="A84" s="348">
        <f t="shared" si="4"/>
        <v>83</v>
      </c>
      <c r="B84" s="360">
        <f>DATE('Profit Calculation'!J$6,A$2,A$2+A84-1)</f>
        <v>42087</v>
      </c>
      <c r="D84" s="362">
        <f t="shared" si="3"/>
        <v>0</v>
      </c>
      <c r="F84" s="363">
        <f>DATE('Profit Calculation'!J$6,'Profit Calculation'!R$6+A84-1,'Profit Calculation'!Z$6)</f>
        <v>44593</v>
      </c>
      <c r="G84" s="364">
        <f ca="1">IF(Q$27=2,IF(LOOKUP(F84,X$1:X$35,X$1:X$35) = F84,ROUND(LOOKUP(LOOKUP(F84,X$1:X$35,A:A),Single!A$2:A$107,Table13[Saving]),0),IF( LOOKUP(F84,W$1:W$35,W$1:W$35) =
 F84,ROUND(G83*(1+IF($Q$18&lt;6,$R$14,IF($Q$18&lt;11,$R$15,$R$16)))^(1/12),0),G83*(1+IF($Q$18&lt;6,$R$14,IF($Q$18&lt;11,$R$15,$R$16)))^(1/12))),IF(LOOKUP(F84,X$1:X$35,X$1:X$35) = F84,ROUND(LOOKUP(LOOKUP(F84,X$1:X$35,A:A),'Annual Calculation'!A$2:A$107,Table1[Saving]),0),IF( LOOKUP(F84,W$1:W$35,W$1:W$35) =
 F84,ROUND(G83*(1+IF($Q$18&lt;6,$R$14,IF($Q$18&lt;11,$R$15,$R$16)))^(1/12),0),G83*(1+IF($Q$18&lt;6,$R$14,IF($Q$18&lt;11,$R$15,$R$16)))^(1/12))))</f>
        <v>207527809.87305236</v>
      </c>
    </row>
    <row r="85" spans="1:7">
      <c r="A85" s="348">
        <f t="shared" si="4"/>
        <v>84</v>
      </c>
      <c r="B85" s="360">
        <f>DATE('Profit Calculation'!J$6,A$2,A$2+A85-1)</f>
        <v>42088</v>
      </c>
      <c r="D85" s="362">
        <f t="shared" si="3"/>
        <v>0</v>
      </c>
      <c r="F85" s="363">
        <f>DATE('Profit Calculation'!J$6,'Profit Calculation'!R$6+A85-1,'Profit Calculation'!Z$6)</f>
        <v>44621</v>
      </c>
      <c r="G85" s="364">
        <f ca="1">IF(Q$27=2,IF(LOOKUP(F85,X$1:X$35,X$1:X$35) = F85,ROUND(LOOKUP(LOOKUP(F85,X$1:X$35,A:A),Single!A$2:A$107,Table13[Saving]),0),IF( LOOKUP(F85,W$1:W$35,W$1:W$35) =
 F85,ROUND(G84*(1+IF($Q$18&lt;6,$R$14,IF($Q$18&lt;11,$R$15,$R$16)))^(1/12),0),G84*(1+IF($Q$18&lt;6,$R$14,IF($Q$18&lt;11,$R$15,$R$16)))^(1/12))),IF(LOOKUP(F85,X$1:X$35,X$1:X$35) = F85,ROUND(LOOKUP(LOOKUP(F85,X$1:X$35,A:A),'Annual Calculation'!A$2:A$107,Table1[Saving]),0),IF( LOOKUP(F85,W$1:W$35,W$1:W$35) =
 F85,ROUND(G84*(1+IF($Q$18&lt;6,$R$14,IF($Q$18&lt;11,$R$15,$R$16)))^(1/12),0),G84*(1+IF($Q$18&lt;6,$R$14,IF($Q$18&lt;11,$R$15,$R$16)))^(1/12))))</f>
        <v>209958980.9242743</v>
      </c>
    </row>
    <row r="86" spans="1:7">
      <c r="A86" s="348">
        <f t="shared" si="4"/>
        <v>85</v>
      </c>
      <c r="B86" s="360">
        <f>DATE('Profit Calculation'!J$6,A$2,A$2+A86-1)</f>
        <v>42089</v>
      </c>
      <c r="D86" s="362">
        <f t="shared" si="3"/>
        <v>0</v>
      </c>
      <c r="F86" s="357">
        <f>DATE('Profit Calculation'!J$6,'Profit Calculation'!R$6+A86-1,'Profit Calculation'!Z$6)</f>
        <v>44652</v>
      </c>
      <c r="G86" s="358">
        <f ca="1">IF(Q$27=2,IF(LOOKUP(F86,X$1:X$35,X$1:X$35) = F86,ROUND(LOOKUP(LOOKUP(F86,X$1:X$35,A:A),Single!A$2:A$107,Table13[Saving]),0),IF( LOOKUP(F86,W$1:W$35,W$1:W$35) =
 F86,ROUND(G85*(1+IF($Q$18&lt;6,$R$14,IF($Q$18&lt;11,$R$15,$R$16)))^(1/12),0),G85*(1+IF($Q$18&lt;6,$R$14,IF($Q$18&lt;11,$R$15,$R$16)))^(1/12))),IF(LOOKUP(F86,X$1:X$35,X$1:X$35) = F86,ROUND(LOOKUP(LOOKUP(F86,X$1:X$35,A:A),'Annual Calculation'!A$2:A$107,Table1[Saving]),0),IF( LOOKUP(F86,W$1:W$35,W$1:W$35) =
 F86,ROUND(G85*(1+IF($Q$18&lt;6,$R$14,IF($Q$18&lt;11,$R$15,$R$16)))^(1/12),0),G85*(1+IF($Q$18&lt;6,$R$14,IF($Q$18&lt;11,$R$15,$R$16)))^(1/12))))</f>
        <v>204540925</v>
      </c>
    </row>
    <row r="87" spans="1:7">
      <c r="A87" s="348">
        <f t="shared" si="4"/>
        <v>86</v>
      </c>
      <c r="B87" s="360">
        <f>DATE('Profit Calculation'!J$6,A$2,A$2+A87-1)</f>
        <v>42090</v>
      </c>
      <c r="D87" s="362">
        <f t="shared" si="3"/>
        <v>0</v>
      </c>
      <c r="F87" s="363">
        <f>DATE('Profit Calculation'!J$6,'Profit Calculation'!R$6+A87-1,'Profit Calculation'!Z$6)</f>
        <v>44682</v>
      </c>
      <c r="G87" s="364">
        <f ca="1">IF(Q$27=2,IF(LOOKUP(F87,X$1:X$35,X$1:X$35) = F87,ROUND(LOOKUP(LOOKUP(F87,X$1:X$35,A:A),Single!A$2:A$107,Table13[Saving]),0),IF( LOOKUP(F87,W$1:W$35,W$1:W$35) =
 F87,ROUND(G86*(1+IF($Q$18&lt;6,$R$14,IF($Q$18&lt;11,$R$15,$R$16)))^(1/12),0),G86*(1+IF($Q$18&lt;6,$R$14,IF($Q$18&lt;11,$R$15,$R$16)))^(1/12))),IF(LOOKUP(F87,X$1:X$35,X$1:X$35) = F87,ROUND(LOOKUP(LOOKUP(F87,X$1:X$35,A:A),'Annual Calculation'!A$2:A$107,Table1[Saving]),0),IF( LOOKUP(F87,W$1:W$35,W$1:W$35) =
 F87,ROUND(G86*(1+IF($Q$18&lt;6,$R$14,IF($Q$18&lt;11,$R$15,$R$16)))^(1/12),0),G86*(1+IF($Q$18&lt;6,$R$14,IF($Q$18&lt;11,$R$15,$R$16)))^(1/12))))</f>
        <v>206937104.94308496</v>
      </c>
    </row>
    <row r="88" spans="1:7">
      <c r="A88" s="348">
        <f t="shared" si="4"/>
        <v>87</v>
      </c>
      <c r="B88" s="360">
        <f>DATE('Profit Calculation'!J$6,A$2,A$2+A88-1)</f>
        <v>42091</v>
      </c>
      <c r="D88" s="362">
        <f t="shared" si="3"/>
        <v>0</v>
      </c>
      <c r="F88" s="363">
        <f>DATE('Profit Calculation'!J$6,'Profit Calculation'!R$6+A88-1,'Profit Calculation'!Z$6)</f>
        <v>44713</v>
      </c>
      <c r="G88" s="364">
        <f ca="1">IF(Q$27=2,IF(LOOKUP(F88,X$1:X$35,X$1:X$35) = F88,ROUND(LOOKUP(LOOKUP(F88,X$1:X$35,A:A),Single!A$2:A$107,Table13[Saving]),0),IF( LOOKUP(F88,W$1:W$35,W$1:W$35) =
 F88,ROUND(G87*(1+IF($Q$18&lt;6,$R$14,IF($Q$18&lt;11,$R$15,$R$16)))^(1/12),0),G87*(1+IF($Q$18&lt;6,$R$14,IF($Q$18&lt;11,$R$15,$R$16)))^(1/12))),IF(LOOKUP(F88,X$1:X$35,X$1:X$35) = F88,ROUND(LOOKUP(LOOKUP(F88,X$1:X$35,A:A),'Annual Calculation'!A$2:A$107,Table1[Saving]),0),IF( LOOKUP(F88,W$1:W$35,W$1:W$35) =
 F88,ROUND(G87*(1+IF($Q$18&lt;6,$R$14,IF($Q$18&lt;11,$R$15,$R$16)))^(1/12),0),G87*(1+IF($Q$18&lt;6,$R$14,IF($Q$18&lt;11,$R$15,$R$16)))^(1/12))))</f>
        <v>209361355.93512818</v>
      </c>
    </row>
    <row r="89" spans="1:7">
      <c r="A89" s="348">
        <f t="shared" si="4"/>
        <v>88</v>
      </c>
      <c r="B89" s="360">
        <f>DATE('Profit Calculation'!J$6,A$2,A$2+A89-1)</f>
        <v>42092</v>
      </c>
      <c r="D89" s="362">
        <f t="shared" si="3"/>
        <v>0</v>
      </c>
      <c r="F89" s="363">
        <f>DATE('Profit Calculation'!J$6,'Profit Calculation'!R$6+A89-1,'Profit Calculation'!Z$6)</f>
        <v>44743</v>
      </c>
      <c r="G89" s="364">
        <f ca="1">IF(Q$27=2,IF(LOOKUP(F89,X$1:X$35,X$1:X$35) = F89,ROUND(LOOKUP(LOOKUP(F89,X$1:X$35,A:A),Single!A$2:A$107,Table13[Saving]),0),IF( LOOKUP(F89,W$1:W$35,W$1:W$35) =
 F89,ROUND(G88*(1+IF($Q$18&lt;6,$R$14,IF($Q$18&lt;11,$R$15,$R$16)))^(1/12),0),G88*(1+IF($Q$18&lt;6,$R$14,IF($Q$18&lt;11,$R$15,$R$16)))^(1/12))),IF(LOOKUP(F89,X$1:X$35,X$1:X$35) = F89,ROUND(LOOKUP(LOOKUP(F89,X$1:X$35,A:A),'Annual Calculation'!A$2:A$107,Table1[Saving]),0),IF( LOOKUP(F89,W$1:W$35,W$1:W$35) =
 F89,ROUND(G88*(1+IF($Q$18&lt;6,$R$14,IF($Q$18&lt;11,$R$15,$R$16)))^(1/12),0),G88*(1+IF($Q$18&lt;6,$R$14,IF($Q$18&lt;11,$R$15,$R$16)))^(1/12))))</f>
        <v>211814006.82613605</v>
      </c>
    </row>
    <row r="90" spans="1:7">
      <c r="A90" s="348">
        <f t="shared" si="4"/>
        <v>89</v>
      </c>
      <c r="B90" s="360">
        <f>DATE('Profit Calculation'!J$6,A$2,A$2+A90-1)</f>
        <v>42093</v>
      </c>
      <c r="D90" s="362">
        <f t="shared" si="3"/>
        <v>0</v>
      </c>
      <c r="F90" s="363">
        <f>DATE('Profit Calculation'!J$6,'Profit Calculation'!R$6+A90-1,'Profit Calculation'!Z$6)</f>
        <v>44774</v>
      </c>
      <c r="G90" s="364">
        <f ca="1">IF(Q$27=2,IF(LOOKUP(F90,X$1:X$35,X$1:X$35) = F90,ROUND(LOOKUP(LOOKUP(F90,X$1:X$35,A:A),Single!A$2:A$107,Table13[Saving]),0),IF( LOOKUP(F90,W$1:W$35,W$1:W$35) =
 F90,ROUND(G89*(1+IF($Q$18&lt;6,$R$14,IF($Q$18&lt;11,$R$15,$R$16)))^(1/12),0),G89*(1+IF($Q$18&lt;6,$R$14,IF($Q$18&lt;11,$R$15,$R$16)))^(1/12))),IF(LOOKUP(F90,X$1:X$35,X$1:X$35) = F90,ROUND(LOOKUP(LOOKUP(F90,X$1:X$35,A:A),'Annual Calculation'!A$2:A$107,Table1[Saving]),0),IF( LOOKUP(F90,W$1:W$35,W$1:W$35) =
 F90,ROUND(G89*(1+IF($Q$18&lt;6,$R$14,IF($Q$18&lt;11,$R$15,$R$16)))^(1/12),0),G89*(1+IF($Q$18&lt;6,$R$14,IF($Q$18&lt;11,$R$15,$R$16)))^(1/12))))</f>
        <v>214295390.31856549</v>
      </c>
    </row>
    <row r="91" spans="1:7">
      <c r="A91" s="348">
        <f t="shared" si="4"/>
        <v>90</v>
      </c>
      <c r="B91" s="360">
        <f>DATE('Profit Calculation'!J$6,A$2,A$2+A91-1)</f>
        <v>42094</v>
      </c>
      <c r="D91" s="362">
        <f t="shared" si="3"/>
        <v>0</v>
      </c>
      <c r="F91" s="363">
        <f>DATE('Profit Calculation'!J$6,'Profit Calculation'!R$6+A91-1,'Profit Calculation'!Z$6)</f>
        <v>44805</v>
      </c>
      <c r="G91" s="364">
        <f ca="1">IF(Q$27=2,IF(LOOKUP(F91,X$1:X$35,X$1:X$35) = F91,ROUND(LOOKUP(LOOKUP(F91,X$1:X$35,A:A),Single!A$2:A$107,Table13[Saving]),0),IF( LOOKUP(F91,W$1:W$35,W$1:W$35) =
 F91,ROUND(G90*(1+IF($Q$18&lt;6,$R$14,IF($Q$18&lt;11,$R$15,$R$16)))^(1/12),0),G90*(1+IF($Q$18&lt;6,$R$14,IF($Q$18&lt;11,$R$15,$R$16)))^(1/12))),IF(LOOKUP(F91,X$1:X$35,X$1:X$35) = F91,ROUND(LOOKUP(LOOKUP(F91,X$1:X$35,A:A),'Annual Calculation'!A$2:A$107,Table1[Saving]),0),IF( LOOKUP(F91,W$1:W$35,W$1:W$35) =
 F91,ROUND(G90*(1+IF($Q$18&lt;6,$R$14,IF($Q$18&lt;11,$R$15,$R$16)))^(1/12),0),G90*(1+IF($Q$18&lt;6,$R$14,IF($Q$18&lt;11,$R$15,$R$16)))^(1/12))))</f>
        <v>216805843.01245505</v>
      </c>
    </row>
    <row r="92" spans="1:7">
      <c r="A92" s="348">
        <f t="shared" si="4"/>
        <v>91</v>
      </c>
      <c r="B92" s="360">
        <f>DATE('Profit Calculation'!J$6,A$2,A$2+A92-1)</f>
        <v>42095</v>
      </c>
      <c r="D92" s="362">
        <f t="shared" si="3"/>
        <v>89582629</v>
      </c>
      <c r="F92" s="363">
        <f>DATE('Profit Calculation'!J$6,'Profit Calculation'!R$6+A92-1,'Profit Calculation'!Z$6)</f>
        <v>44835</v>
      </c>
      <c r="G92" s="364">
        <f ca="1">IF(Q$27=2,IF(LOOKUP(F92,X$1:X$35,X$1:X$35) = F92,ROUND(LOOKUP(LOOKUP(F92,X$1:X$35,A:A),Single!A$2:A$107,Table13[Saving]),0),IF( LOOKUP(F92,W$1:W$35,W$1:W$35) =
 F92,ROUND(G91*(1+IF($Q$18&lt;6,$R$14,IF($Q$18&lt;11,$R$15,$R$16)))^(1/12),0),G91*(1+IF($Q$18&lt;6,$R$14,IF($Q$18&lt;11,$R$15,$R$16)))^(1/12))),IF(LOOKUP(F92,X$1:X$35,X$1:X$35) = F92,ROUND(LOOKUP(LOOKUP(F92,X$1:X$35,A:A),'Annual Calculation'!A$2:A$107,Table1[Saving]),0),IF( LOOKUP(F92,W$1:W$35,W$1:W$35) =
 F92,ROUND(G91*(1+IF($Q$18&lt;6,$R$14,IF($Q$18&lt;11,$R$15,$R$16)))^(1/12),0),G91*(1+IF($Q$18&lt;6,$R$14,IF($Q$18&lt;11,$R$15,$R$16)))^(1/12))))</f>
        <v>219345705.45108473</v>
      </c>
    </row>
    <row r="93" spans="1:7">
      <c r="A93" s="348">
        <f t="shared" si="4"/>
        <v>92</v>
      </c>
      <c r="B93" s="360">
        <f>DATE('Profit Calculation'!J$6,A$2,A$2+A93-1)</f>
        <v>42096</v>
      </c>
      <c r="D93" s="362">
        <f t="shared" si="3"/>
        <v>89616937.601637021</v>
      </c>
      <c r="F93" s="363">
        <f>DATE('Profit Calculation'!J$6,'Profit Calculation'!R$6+A93-1,'Profit Calculation'!Z$6)</f>
        <v>44866</v>
      </c>
      <c r="G93" s="364">
        <f ca="1">IF(Q$27=2,IF(LOOKUP(F93,X$1:X$35,X$1:X$35) = F93,ROUND(LOOKUP(LOOKUP(F93,X$1:X$35,A:A),Single!A$2:A$107,Table13[Saving]),0),IF( LOOKUP(F93,W$1:W$35,W$1:W$35) =
 F93,ROUND(G92*(1+IF($Q$18&lt;6,$R$14,IF($Q$18&lt;11,$R$15,$R$16)))^(1/12),0),G92*(1+IF($Q$18&lt;6,$R$14,IF($Q$18&lt;11,$R$15,$R$16)))^(1/12))),IF(LOOKUP(F93,X$1:X$35,X$1:X$35) = F93,ROUND(LOOKUP(LOOKUP(F93,X$1:X$35,A:A),'Annual Calculation'!A$2:A$107,Table1[Saving]),0),IF( LOOKUP(F93,W$1:W$35,W$1:W$35) =
 F93,ROUND(G92*(1+IF($Q$18&lt;6,$R$14,IF($Q$18&lt;11,$R$15,$R$16)))^(1/12),0),G92*(1+IF($Q$18&lt;6,$R$14,IF($Q$18&lt;11,$R$15,$R$16)))^(1/12))))</f>
        <v>221915322.16717082</v>
      </c>
    </row>
    <row r="94" spans="1:7">
      <c r="A94" s="348">
        <f t="shared" si="4"/>
        <v>93</v>
      </c>
      <c r="B94" s="360">
        <f>DATE('Profit Calculation'!J$6,A$2,A$2+A94-1)</f>
        <v>42097</v>
      </c>
      <c r="D94" s="362">
        <f t="shared" si="3"/>
        <v>89651259.342876658</v>
      </c>
      <c r="F94" s="363">
        <f>DATE('Profit Calculation'!J$6,'Profit Calculation'!R$6+A94-1,'Profit Calculation'!Z$6)</f>
        <v>44896</v>
      </c>
      <c r="G94" s="364">
        <f ca="1">IF(Q$27=2,IF(LOOKUP(F94,X$1:X$35,X$1:X$35) = F94,ROUND(LOOKUP(LOOKUP(F94,X$1:X$35,A:A),Single!A$2:A$107,Table13[Saving]),0),IF( LOOKUP(F94,W$1:W$35,W$1:W$35) =
 F94,ROUND(G93*(1+IF($Q$18&lt;6,$R$14,IF($Q$18&lt;11,$R$15,$R$16)))^(1/12),0),G93*(1+IF($Q$18&lt;6,$R$14,IF($Q$18&lt;11,$R$15,$R$16)))^(1/12))),IF(LOOKUP(F94,X$1:X$35,X$1:X$35) = F94,ROUND(LOOKUP(LOOKUP(F94,X$1:X$35,A:A),'Annual Calculation'!A$2:A$107,Table1[Saving]),0),IF( LOOKUP(F94,W$1:W$35,W$1:W$35) =
 F94,ROUND(G93*(1+IF($Q$18&lt;6,$R$14,IF($Q$18&lt;11,$R$15,$R$16)))^(1/12),0),G93*(1+IF($Q$18&lt;6,$R$14,IF($Q$18&lt;11,$R$15,$R$16)))^(1/12))))</f>
        <v>224515041.72960171</v>
      </c>
    </row>
    <row r="95" spans="1:7">
      <c r="A95" s="348">
        <f t="shared" si="4"/>
        <v>94</v>
      </c>
      <c r="B95" s="360">
        <f>DATE('Profit Calculation'!J$6,A$2,A$2+A95-1)</f>
        <v>42098</v>
      </c>
      <c r="D95" s="362">
        <f t="shared" si="3"/>
        <v>89685594.228751153</v>
      </c>
      <c r="F95" s="363">
        <f>DATE('Profit Calculation'!J$6,'Profit Calculation'!R$6+A95-1,'Profit Calculation'!Z$6)</f>
        <v>44927</v>
      </c>
      <c r="G95" s="364">
        <f ca="1">IF(Q$27=2,IF(LOOKUP(F95,X$1:X$35,X$1:X$35) = F95,ROUND(LOOKUP(LOOKUP(F95,X$1:X$35,A:A),Single!A$2:A$107,Table13[Saving]),0),IF( LOOKUP(F95,W$1:W$35,W$1:W$35) =
 F95,ROUND(G94*(1+IF($Q$18&lt;6,$R$14,IF($Q$18&lt;11,$R$15,$R$16)))^(1/12),0),G94*(1+IF($Q$18&lt;6,$R$14,IF($Q$18&lt;11,$R$15,$R$16)))^(1/12))),IF(LOOKUP(F95,X$1:X$35,X$1:X$35) = F95,ROUND(LOOKUP(LOOKUP(F95,X$1:X$35,A:A),'Annual Calculation'!A$2:A$107,Table1[Saving]),0),IF( LOOKUP(F95,W$1:W$35,W$1:W$35) =
 F95,ROUND(G94*(1+IF($Q$18&lt;6,$R$14,IF($Q$18&lt;11,$R$15,$R$16)))^(1/12),0),G94*(1+IF($Q$18&lt;6,$R$14,IF($Q$18&lt;11,$R$15,$R$16)))^(1/12))))</f>
        <v>227145217</v>
      </c>
    </row>
    <row r="96" spans="1:7">
      <c r="A96" s="348">
        <f t="shared" si="4"/>
        <v>95</v>
      </c>
      <c r="B96" s="360">
        <f>DATE('Profit Calculation'!J$6,A$2,A$2+A96-1)</f>
        <v>42099</v>
      </c>
      <c r="D96" s="362">
        <f t="shared" si="3"/>
        <v>89719942.264294669</v>
      </c>
      <c r="F96" s="363">
        <f>DATE('Profit Calculation'!J$6,'Profit Calculation'!R$6+A96-1,'Profit Calculation'!Z$6)</f>
        <v>44958</v>
      </c>
      <c r="G96" s="364">
        <f ca="1">IF(Q$27=2,IF(LOOKUP(F96,X$1:X$35,X$1:X$35) = F96,ROUND(LOOKUP(LOOKUP(F96,X$1:X$35,A:A),Single!A$2:A$107,Table13[Saving]),0),IF( LOOKUP(F96,W$1:W$35,W$1:W$35) =
 F96,ROUND(G95*(1+IF($Q$18&lt;6,$R$14,IF($Q$18&lt;11,$R$15,$R$16)))^(1/12),0),G95*(1+IF($Q$18&lt;6,$R$14,IF($Q$18&lt;11,$R$15,$R$16)))^(1/12))),IF(LOOKUP(F96,X$1:X$35,X$1:X$35) = F96,ROUND(LOOKUP(LOOKUP(F96,X$1:X$35,A:A),'Annual Calculation'!A$2:A$107,Table1[Saving]),0),IF( LOOKUP(F96,W$1:W$35,W$1:W$35) =
 F96,ROUND(G95*(1+IF($Q$18&lt;6,$R$14,IF($Q$18&lt;11,$R$15,$R$16)))^(1/12),0),G95*(1+IF($Q$18&lt;6,$R$14,IF($Q$18&lt;11,$R$15,$R$16)))^(1/12))))</f>
        <v>229806204.34589708</v>
      </c>
    </row>
    <row r="97" spans="1:7">
      <c r="A97" s="348">
        <f t="shared" si="4"/>
        <v>96</v>
      </c>
      <c r="B97" s="360">
        <f>DATE('Profit Calculation'!J$6,A$2,A$2+A97-1)</f>
        <v>42100</v>
      </c>
      <c r="D97" s="362">
        <f t="shared" si="3"/>
        <v>89754303.454543307</v>
      </c>
      <c r="F97" s="363">
        <f>DATE('Profit Calculation'!J$6,'Profit Calculation'!R$6+A97-1,'Profit Calculation'!Z$6)</f>
        <v>44986</v>
      </c>
      <c r="G97" s="364">
        <f ca="1">IF(Q$27=2,IF(LOOKUP(F97,X$1:X$35,X$1:X$35) = F97,ROUND(LOOKUP(LOOKUP(F97,X$1:X$35,A:A),Single!A$2:A$107,Table13[Saving]),0),IF( LOOKUP(F97,W$1:W$35,W$1:W$35) =
 F97,ROUND(G96*(1+IF($Q$18&lt;6,$R$14,IF($Q$18&lt;11,$R$15,$R$16)))^(1/12),0),G96*(1+IF($Q$18&lt;6,$R$14,IF($Q$18&lt;11,$R$15,$R$16)))^(1/12))),IF(LOOKUP(F97,X$1:X$35,X$1:X$35) = F97,ROUND(LOOKUP(LOOKUP(F97,X$1:X$35,A:A),'Annual Calculation'!A$2:A$107,Table1[Saving]),0),IF( LOOKUP(F97,W$1:W$35,W$1:W$35) =
 F97,ROUND(G96*(1+IF($Q$18&lt;6,$R$14,IF($Q$18&lt;11,$R$15,$R$16)))^(1/12),0),G96*(1+IF($Q$18&lt;6,$R$14,IF($Q$18&lt;11,$R$15,$R$16)))^(1/12))))</f>
        <v>232498364.9374761</v>
      </c>
    </row>
    <row r="98" spans="1:7">
      <c r="A98" s="348">
        <f t="shared" si="4"/>
        <v>97</v>
      </c>
      <c r="B98" s="360">
        <f>DATE('Profit Calculation'!J$6,A$2,A$2+A98-1)</f>
        <v>42101</v>
      </c>
      <c r="D98" s="362">
        <f t="shared" si="3"/>
        <v>89788677.804535091</v>
      </c>
      <c r="F98" s="357">
        <f>DATE('Profit Calculation'!J$6,'Profit Calculation'!R$6+A98-1,'Profit Calculation'!Z$6)</f>
        <v>45017</v>
      </c>
      <c r="G98" s="358">
        <f ca="1">IF(Q$27=2,IF(LOOKUP(F98,X$1:X$35,X$1:X$35) = F98,ROUND(LOOKUP(LOOKUP(F98,X$1:X$35,A:A),Single!A$2:A$107,Table13[Saving]),0),IF( LOOKUP(F98,W$1:W$35,W$1:W$35) =
 F98,ROUND(G97*(1+IF($Q$18&lt;6,$R$14,IF($Q$18&lt;11,$R$15,$R$16)))^(1/12),0),G97*(1+IF($Q$18&lt;6,$R$14,IF($Q$18&lt;11,$R$15,$R$16)))^(1/12))),IF(LOOKUP(F98,X$1:X$35,X$1:X$35) = F98,ROUND(LOOKUP(LOOKUP(F98,X$1:X$35,A:A),'Annual Calculation'!A$2:A$107,Table1[Saving]),0),IF( LOOKUP(F98,W$1:W$35,W$1:W$35) =
 F98,ROUND(G97*(1+IF($Q$18&lt;6,$R$14,IF($Q$18&lt;11,$R$15,$R$16)))^(1/12),0),G97*(1+IF($Q$18&lt;6,$R$14,IF($Q$18&lt;11,$R$15,$R$16)))^(1/12))))</f>
        <v>226957300</v>
      </c>
    </row>
    <row r="99" spans="1:7">
      <c r="A99" s="348">
        <f t="shared" si="4"/>
        <v>98</v>
      </c>
      <c r="B99" s="360">
        <f>DATE('Profit Calculation'!J$6,A$2,A$2+A99-1)</f>
        <v>42102</v>
      </c>
      <c r="D99" s="362">
        <f t="shared" si="3"/>
        <v>89823065.31930998</v>
      </c>
      <c r="F99" s="363">
        <f>DATE('Profit Calculation'!J$6,'Profit Calculation'!R$6+A99-1,'Profit Calculation'!Z$6)</f>
        <v>45047</v>
      </c>
      <c r="G99" s="364">
        <f ca="1">IF(Q$27=2,IF(LOOKUP(F99,X$1:X$35,X$1:X$35) = F99,ROUND(LOOKUP(LOOKUP(F99,X$1:X$35,A:A),Single!A$2:A$107,Table13[Saving]),0),IF( LOOKUP(F99,W$1:W$35,W$1:W$35) =
 F99,ROUND(G98*(1+IF($Q$18&lt;6,$R$14,IF($Q$18&lt;11,$R$15,$R$16)))^(1/12),0),G98*(1+IF($Q$18&lt;6,$R$14,IF($Q$18&lt;11,$R$15,$R$16)))^(1/12))),IF(LOOKUP(F99,X$1:X$35,X$1:X$35) = F99,ROUND(LOOKUP(LOOKUP(F99,X$1:X$35,A:A),'Annual Calculation'!A$2:A$107,Table1[Saving]),0),IF( LOOKUP(F99,W$1:W$35,W$1:W$35) =
 F99,ROUND(G98*(1+IF($Q$18&lt;6,$R$14,IF($Q$18&lt;11,$R$15,$R$16)))^(1/12),0),G98*(1+IF($Q$18&lt;6,$R$14,IF($Q$18&lt;11,$R$15,$R$16)))^(1/12))))</f>
        <v>229616085.91385424</v>
      </c>
    </row>
    <row r="100" spans="1:7">
      <c r="A100" s="348">
        <f t="shared" si="4"/>
        <v>99</v>
      </c>
      <c r="B100" s="360">
        <f>DATE('Profit Calculation'!J$6,A$2,A$2+A100-1)</f>
        <v>42103</v>
      </c>
      <c r="D100" s="362">
        <f t="shared" si="3"/>
        <v>89857466.003909841</v>
      </c>
      <c r="F100" s="363">
        <f>DATE('Profit Calculation'!J$6,'Profit Calculation'!R$6+A100-1,'Profit Calculation'!Z$6)</f>
        <v>45078</v>
      </c>
      <c r="G100" s="364">
        <f ca="1">IF(Q$27=2,IF(LOOKUP(F100,X$1:X$35,X$1:X$35) = F100,ROUND(LOOKUP(LOOKUP(F100,X$1:X$35,A:A),Single!A$2:A$107,Table13[Saving]),0),IF( LOOKUP(F100,W$1:W$35,W$1:W$35) =
 F100,ROUND(G99*(1+IF($Q$18&lt;6,$R$14,IF($Q$18&lt;11,$R$15,$R$16)))^(1/12),0),G99*(1+IF($Q$18&lt;6,$R$14,IF($Q$18&lt;11,$R$15,$R$16)))^(1/12))),IF(LOOKUP(F100,X$1:X$35,X$1:X$35) = F100,ROUND(LOOKUP(LOOKUP(F100,X$1:X$35,A:A),'Annual Calculation'!A$2:A$107,Table1[Saving]),0),IF( LOOKUP(F100,W$1:W$35,W$1:W$35) =
 F100,ROUND(G99*(1+IF($Q$18&lt;6,$R$14,IF($Q$18&lt;11,$R$15,$R$16)))^(1/12),0),G99*(1+IF($Q$18&lt;6,$R$14,IF($Q$18&lt;11,$R$15,$R$16)))^(1/12))))</f>
        <v>232306019.28379697</v>
      </c>
    </row>
    <row r="101" spans="1:7">
      <c r="A101" s="348">
        <f t="shared" si="4"/>
        <v>100</v>
      </c>
      <c r="B101" s="360">
        <f>DATE('Profit Calculation'!J$6,A$2,A$2+A101-1)</f>
        <v>42104</v>
      </c>
      <c r="D101" s="362">
        <f t="shared" si="3"/>
        <v>89891879.86337851</v>
      </c>
      <c r="F101" s="363">
        <f>DATE('Profit Calculation'!J$6,'Profit Calculation'!R$6+A101-1,'Profit Calculation'!Z$6)</f>
        <v>45108</v>
      </c>
      <c r="G101" s="364">
        <f ca="1">IF(Q$27=2,IF(LOOKUP(F101,X$1:X$35,X$1:X$35) = F101,ROUND(LOOKUP(LOOKUP(F101,X$1:X$35,A:A),Single!A$2:A$107,Table13[Saving]),0),IF( LOOKUP(F101,W$1:W$35,W$1:W$35) =
 F101,ROUND(G100*(1+IF($Q$18&lt;6,$R$14,IF($Q$18&lt;11,$R$15,$R$16)))^(1/12),0),G100*(1+IF($Q$18&lt;6,$R$14,IF($Q$18&lt;11,$R$15,$R$16)))^(1/12))),IF(LOOKUP(F101,X$1:X$35,X$1:X$35) = F101,ROUND(LOOKUP(LOOKUP(F101,X$1:X$35,A:A),'Annual Calculation'!A$2:A$107,Table1[Saving]),0),IF( LOOKUP(F101,W$1:W$35,W$1:W$35) =
 F101,ROUND(G100*(1+IF($Q$18&lt;6,$R$14,IF($Q$18&lt;11,$R$15,$R$16)))^(1/12),0),G100*(1+IF($Q$18&lt;6,$R$14,IF($Q$18&lt;11,$R$15,$R$16)))^(1/12))))</f>
        <v>235027464.99968851</v>
      </c>
    </row>
    <row r="102" spans="1:7">
      <c r="A102" s="348">
        <f t="shared" si="4"/>
        <v>101</v>
      </c>
      <c r="B102" s="360">
        <f>DATE('Profit Calculation'!J$6,A$2,A$2+A102-1)</f>
        <v>42105</v>
      </c>
      <c r="D102" s="362">
        <f t="shared" si="3"/>
        <v>89926306.902761728</v>
      </c>
      <c r="F102" s="363">
        <f>DATE('Profit Calculation'!J$6,'Profit Calculation'!R$6+A102-1,'Profit Calculation'!Z$6)</f>
        <v>45139</v>
      </c>
      <c r="G102" s="364">
        <f ca="1">IF(Q$27=2,IF(LOOKUP(F102,X$1:X$35,X$1:X$35) = F102,ROUND(LOOKUP(LOOKUP(F102,X$1:X$35,A:A),Single!A$2:A$107,Table13[Saving]),0),IF( LOOKUP(F102,W$1:W$35,W$1:W$35) =
 F102,ROUND(G101*(1+IF($Q$18&lt;6,$R$14,IF($Q$18&lt;11,$R$15,$R$16)))^(1/12),0),G101*(1+IF($Q$18&lt;6,$R$14,IF($Q$18&lt;11,$R$15,$R$16)))^(1/12))),IF(LOOKUP(F102,X$1:X$35,X$1:X$35) = F102,ROUND(LOOKUP(LOOKUP(F102,X$1:X$35,A:A),'Annual Calculation'!A$2:A$107,Table1[Saving]),0),IF( LOOKUP(F102,W$1:W$35,W$1:W$35) =
 F102,ROUND(G101*(1+IF($Q$18&lt;6,$R$14,IF($Q$18&lt;11,$R$15,$R$16)))^(1/12),0),G101*(1+IF($Q$18&lt;6,$R$14,IF($Q$18&lt;11,$R$15,$R$16)))^(1/12))))</f>
        <v>237780792.22604361</v>
      </c>
    </row>
    <row r="103" spans="1:7">
      <c r="A103" s="348">
        <f t="shared" si="4"/>
        <v>102</v>
      </c>
      <c r="B103" s="360">
        <f>DATE('Profit Calculation'!J$6,A$2,A$2+A103-1)</f>
        <v>42106</v>
      </c>
      <c r="D103" s="362">
        <f t="shared" si="3"/>
        <v>89960747.127107173</v>
      </c>
      <c r="F103" s="363">
        <f>DATE('Profit Calculation'!J$6,'Profit Calculation'!R$6+A103-1,'Profit Calculation'!Z$6)</f>
        <v>45170</v>
      </c>
      <c r="G103" s="364">
        <f ca="1">IF(Q$27=2,IF(LOOKUP(F103,X$1:X$35,X$1:X$35) = F103,ROUND(LOOKUP(LOOKUP(F103,X$1:X$35,A:A),Single!A$2:A$107,Table13[Saving]),0),IF( LOOKUP(F103,W$1:W$35,W$1:W$35) =
 F103,ROUND(G102*(1+IF($Q$18&lt;6,$R$14,IF($Q$18&lt;11,$R$15,$R$16)))^(1/12),0),G102*(1+IF($Q$18&lt;6,$R$14,IF($Q$18&lt;11,$R$15,$R$16)))^(1/12))),IF(LOOKUP(F103,X$1:X$35,X$1:X$35) = F103,ROUND(LOOKUP(LOOKUP(F103,X$1:X$35,A:A),'Annual Calculation'!A$2:A$107,Table1[Saving]),0),IF( LOOKUP(F103,W$1:W$35,W$1:W$35) =
 F103,ROUND(G102*(1+IF($Q$18&lt;6,$R$14,IF($Q$18&lt;11,$R$15,$R$16)))^(1/12),0),G102*(1+IF($Q$18&lt;6,$R$14,IF($Q$18&lt;11,$R$15,$R$16)))^(1/12))))</f>
        <v>240566374.45210862</v>
      </c>
    </row>
    <row r="104" spans="1:7">
      <c r="A104" s="348">
        <f t="shared" si="4"/>
        <v>103</v>
      </c>
      <c r="B104" s="360">
        <f>DATE('Profit Calculation'!J$6,A$2,A$2+A104-1)</f>
        <v>42107</v>
      </c>
      <c r="D104" s="362">
        <f t="shared" si="3"/>
        <v>89995200.541464463</v>
      </c>
      <c r="F104" s="363">
        <f>DATE('Profit Calculation'!J$6,'Profit Calculation'!R$6+A104-1,'Profit Calculation'!Z$6)</f>
        <v>45200</v>
      </c>
      <c r="G104" s="364">
        <f ca="1">IF(Q$27=2,IF(LOOKUP(F104,X$1:X$35,X$1:X$35) = F104,ROUND(LOOKUP(LOOKUP(F104,X$1:X$35,A:A),Single!A$2:A$107,Table13[Saving]),0),IF( LOOKUP(F104,W$1:W$35,W$1:W$35) =
 F104,ROUND(G103*(1+IF($Q$18&lt;6,$R$14,IF($Q$18&lt;11,$R$15,$R$16)))^(1/12),0),G103*(1+IF($Q$18&lt;6,$R$14,IF($Q$18&lt;11,$R$15,$R$16)))^(1/12))),IF(LOOKUP(F104,X$1:X$35,X$1:X$35) = F104,ROUND(LOOKUP(LOOKUP(F104,X$1:X$35,A:A),'Annual Calculation'!A$2:A$107,Table1[Saving]),0),IF( LOOKUP(F104,W$1:W$35,W$1:W$35) =
 F104,ROUND(G103*(1+IF($Q$18&lt;6,$R$14,IF($Q$18&lt;11,$R$15,$R$16)))^(1/12),0),G103*(1+IF($Q$18&lt;6,$R$14,IF($Q$18&lt;11,$R$15,$R$16)))^(1/12))))</f>
        <v>243384589.54252541</v>
      </c>
    </row>
    <row r="105" spans="1:7">
      <c r="A105" s="348">
        <f t="shared" si="4"/>
        <v>104</v>
      </c>
      <c r="B105" s="360">
        <f>DATE('Profit Calculation'!J$6,A$2,A$2+A105-1)</f>
        <v>42108</v>
      </c>
      <c r="D105" s="362">
        <f t="shared" si="3"/>
        <v>90029667.150885135</v>
      </c>
      <c r="F105" s="363">
        <f>DATE('Profit Calculation'!J$6,'Profit Calculation'!R$6+A105-1,'Profit Calculation'!Z$6)</f>
        <v>45231</v>
      </c>
      <c r="G105" s="364">
        <f ca="1">IF(Q$27=2,IF(LOOKUP(F105,X$1:X$35,X$1:X$35) = F105,ROUND(LOOKUP(LOOKUP(F105,X$1:X$35,A:A),Single!A$2:A$107,Table13[Saving]),0),IF( LOOKUP(F105,W$1:W$35,W$1:W$35) =
 F105,ROUND(G104*(1+IF($Q$18&lt;6,$R$14,IF($Q$18&lt;11,$R$15,$R$16)))^(1/12),0),G104*(1+IF($Q$18&lt;6,$R$14,IF($Q$18&lt;11,$R$15,$R$16)))^(1/12))),IF(LOOKUP(F105,X$1:X$35,X$1:X$35) = F105,ROUND(LOOKUP(LOOKUP(F105,X$1:X$35,A:A),'Annual Calculation'!A$2:A$107,Table1[Saving]),0),IF( LOOKUP(F105,W$1:W$35,W$1:W$35) =
 F105,ROUND(G104*(1+IF($Q$18&lt;6,$R$14,IF($Q$18&lt;11,$R$15,$R$16)))^(1/12),0),G104*(1+IF($Q$18&lt;6,$R$14,IF($Q$18&lt;11,$R$15,$R$16)))^(1/12))))</f>
        <v>246235819.7885887</v>
      </c>
    </row>
    <row r="106" spans="1:7">
      <c r="A106" s="348">
        <f t="shared" si="4"/>
        <v>105</v>
      </c>
      <c r="B106" s="360">
        <f>DATE('Profit Calculation'!J$6,A$2,A$2+A106-1)</f>
        <v>42109</v>
      </c>
      <c r="D106" s="362">
        <f t="shared" si="3"/>
        <v>90064146.96042268</v>
      </c>
      <c r="F106" s="363">
        <f>DATE('Profit Calculation'!J$6,'Profit Calculation'!R$6+A106-1,'Profit Calculation'!Z$6)</f>
        <v>45261</v>
      </c>
      <c r="G106" s="364">
        <f ca="1">IF(Q$27=2,IF(LOOKUP(F106,X$1:X$35,X$1:X$35) = F106,ROUND(LOOKUP(LOOKUP(F106,X$1:X$35,A:A),Single!A$2:A$107,Table13[Saving]),0),IF( LOOKUP(F106,W$1:W$35,W$1:W$35) =
 F106,ROUND(G105*(1+IF($Q$18&lt;6,$R$14,IF($Q$18&lt;11,$R$15,$R$16)))^(1/12),0),G105*(1+IF($Q$18&lt;6,$R$14,IF($Q$18&lt;11,$R$15,$R$16)))^(1/12))),IF(LOOKUP(F106,X$1:X$35,X$1:X$35) = F106,ROUND(LOOKUP(LOOKUP(F106,X$1:X$35,A:A),'Annual Calculation'!A$2:A$107,Table1[Saving]),0),IF( LOOKUP(F106,W$1:W$35,W$1:W$35) =
 F106,ROUND(G105*(1+IF($Q$18&lt;6,$R$14,IF($Q$18&lt;11,$R$15,$R$16)))^(1/12),0),G105*(1+IF($Q$18&lt;6,$R$14,IF($Q$18&lt;11,$R$15,$R$16)))^(1/12))))</f>
        <v>249120451.96010402</v>
      </c>
    </row>
    <row r="107" spans="1:7">
      <c r="A107" s="348">
        <f t="shared" si="4"/>
        <v>106</v>
      </c>
      <c r="B107" s="360">
        <f>DATE('Profit Calculation'!J$6,A$2,A$2+A107-1)</f>
        <v>42110</v>
      </c>
      <c r="D107" s="362">
        <f t="shared" si="3"/>
        <v>90098639.97513251</v>
      </c>
      <c r="F107" s="363">
        <f>DATE('Profit Calculation'!J$6,'Profit Calculation'!R$6+A107-1,'Profit Calculation'!Z$6)</f>
        <v>45292</v>
      </c>
      <c r="G107" s="364">
        <f ca="1">IF(Q$27=2,IF(LOOKUP(F107,X$1:X$35,X$1:X$35) = F107,ROUND(LOOKUP(LOOKUP(F107,X$1:X$35,A:A),Single!A$2:A$107,Table13[Saving]),0),IF( LOOKUP(F107,W$1:W$35,W$1:W$35) =
 F107,ROUND(G106*(1+IF($Q$18&lt;6,$R$14,IF($Q$18&lt;11,$R$15,$R$16)))^(1/12),0),G106*(1+IF($Q$18&lt;6,$R$14,IF($Q$18&lt;11,$R$15,$R$16)))^(1/12))),IF(LOOKUP(F107,X$1:X$35,X$1:X$35) = F107,ROUND(LOOKUP(LOOKUP(F107,X$1:X$35,A:A),'Annual Calculation'!A$2:A$107,Table1[Saving]),0),IF( LOOKUP(F107,W$1:W$35,W$1:W$35) =
 F107,ROUND(G106*(1+IF($Q$18&lt;6,$R$14,IF($Q$18&lt;11,$R$15,$R$16)))^(1/12),0),G106*(1+IF($Q$18&lt;6,$R$14,IF($Q$18&lt;11,$R$15,$R$16)))^(1/12))))</f>
        <v>252038877</v>
      </c>
    </row>
    <row r="108" spans="1:7">
      <c r="A108" s="348">
        <f t="shared" si="4"/>
        <v>107</v>
      </c>
      <c r="B108" s="360">
        <f>DATE('Profit Calculation'!J$6,A$2,A$2+A108-1)</f>
        <v>42111</v>
      </c>
      <c r="D108" s="362">
        <f t="shared" si="3"/>
        <v>90133146.20007199</v>
      </c>
      <c r="F108" s="363">
        <f>DATE('Profit Calculation'!J$6,'Profit Calculation'!R$6+A108-1,'Profit Calculation'!Z$6)</f>
        <v>45323</v>
      </c>
      <c r="G108" s="364">
        <f ca="1">IF(Q$27=2,IF(LOOKUP(F108,X$1:X$35,X$1:X$35) = F108,ROUND(LOOKUP(LOOKUP(F108,X$1:X$35,A:A),Single!A$2:A$107,Table13[Saving]),0),IF( LOOKUP(F108,W$1:W$35,W$1:W$35) =
 F108,ROUND(G107*(1+IF($Q$18&lt;6,$R$14,IF($Q$18&lt;11,$R$15,$R$16)))^(1/12),0),G107*(1+IF($Q$18&lt;6,$R$14,IF($Q$18&lt;11,$R$15,$R$16)))^(1/12))),IF(LOOKUP(F108,X$1:X$35,X$1:X$35) = F108,ROUND(LOOKUP(LOOKUP(F108,X$1:X$35,A:A),'Annual Calculation'!A$2:A$107,Table1[Saving]),0),IF( LOOKUP(F108,W$1:W$35,W$1:W$35) =
 F108,ROUND(G107*(1+IF($Q$18&lt;6,$R$14,IF($Q$18&lt;11,$R$15,$R$16)))^(1/12),0),G107*(1+IF($Q$18&lt;6,$R$14,IF($Q$18&lt;11,$R$15,$R$16)))^(1/12))))</f>
        <v>254991491.50462815</v>
      </c>
    </row>
    <row r="109" spans="1:7">
      <c r="A109" s="348">
        <f t="shared" si="4"/>
        <v>108</v>
      </c>
      <c r="B109" s="360">
        <f>DATE('Profit Calculation'!J$6,A$2,A$2+A109-1)</f>
        <v>42112</v>
      </c>
      <c r="D109" s="362">
        <f t="shared" si="3"/>
        <v>90167665.640300393</v>
      </c>
      <c r="F109" s="363">
        <f>DATE('Profit Calculation'!J$6,'Profit Calculation'!R$6+A109-1,'Profit Calculation'!Z$6)</f>
        <v>45352</v>
      </c>
      <c r="G109" s="364">
        <f ca="1">IF(Q$27=2,IF(LOOKUP(F109,X$1:X$35,X$1:X$35) = F109,ROUND(LOOKUP(LOOKUP(F109,X$1:X$35,A:A),Single!A$2:A$107,Table13[Saving]),0),IF( LOOKUP(F109,W$1:W$35,W$1:W$35) =
 F109,ROUND(G108*(1+IF($Q$18&lt;6,$R$14,IF($Q$18&lt;11,$R$15,$R$16)))^(1/12),0),G108*(1+IF($Q$18&lt;6,$R$14,IF($Q$18&lt;11,$R$15,$R$16)))^(1/12))),IF(LOOKUP(F109,X$1:X$35,X$1:X$35) = F109,ROUND(LOOKUP(LOOKUP(F109,X$1:X$35,A:A),'Annual Calculation'!A$2:A$107,Table1[Saving]),0),IF( LOOKUP(F109,W$1:W$35,W$1:W$35) =
 F109,ROUND(G108*(1+IF($Q$18&lt;6,$R$14,IF($Q$18&lt;11,$R$15,$R$16)))^(1/12),0),G108*(1+IF($Q$18&lt;6,$R$14,IF($Q$18&lt;11,$R$15,$R$16)))^(1/12))))</f>
        <v>257978695.64287436</v>
      </c>
    </row>
    <row r="110" spans="1:7">
      <c r="A110" s="348">
        <f t="shared" si="4"/>
        <v>109</v>
      </c>
      <c r="B110" s="360">
        <f>DATE('Profit Calculation'!J$6,A$2,A$2+A110-1)</f>
        <v>42113</v>
      </c>
      <c r="D110" s="362">
        <f t="shared" si="3"/>
        <v>90202198.300878957</v>
      </c>
      <c r="F110" s="357">
        <f>DATE('Profit Calculation'!J$6,'Profit Calculation'!R$6+A110-1,'Profit Calculation'!Z$6)</f>
        <v>45383</v>
      </c>
      <c r="G110" s="358">
        <f ca="1">IF(Q$27=2,IF(LOOKUP(F110,X$1:X$35,X$1:X$35) = F110,ROUND(LOOKUP(LOOKUP(F110,X$1:X$35,A:A),Single!A$2:A$107,Table13[Saving]),0),IF( LOOKUP(F110,W$1:W$35,W$1:W$35) =
 F110,ROUND(G109*(1+IF($Q$18&lt;6,$R$14,IF($Q$18&lt;11,$R$15,$R$16)))^(1/12),0),G109*(1+IF($Q$18&lt;6,$R$14,IF($Q$18&lt;11,$R$15,$R$16)))^(1/12))),IF(LOOKUP(F110,X$1:X$35,X$1:X$35) = F110,ROUND(LOOKUP(LOOKUP(F110,X$1:X$35,A:A),'Annual Calculation'!A$2:A$107,Table1[Saving]),0),IF( LOOKUP(F110,W$1:W$35,W$1:W$35) =
 F110,ROUND(G109*(1+IF($Q$18&lt;6,$R$14,IF($Q$18&lt;11,$R$15,$R$16)))^(1/12),0),G109*(1+IF($Q$18&lt;6,$R$14,IF($Q$18&lt;11,$R$15,$R$16)))^(1/12))))</f>
        <v>252736132</v>
      </c>
    </row>
    <row r="111" spans="1:7">
      <c r="A111" s="348">
        <f t="shared" si="4"/>
        <v>110</v>
      </c>
      <c r="B111" s="360">
        <f>DATE('Profit Calculation'!J$6,A$2,A$2+A111-1)</f>
        <v>42114</v>
      </c>
      <c r="D111" s="362">
        <f t="shared" si="3"/>
        <v>90236744.186870843</v>
      </c>
      <c r="F111" s="363">
        <f>DATE('Profit Calculation'!J$6,'Profit Calculation'!R$6+A111-1,'Profit Calculation'!Z$6)</f>
        <v>45413</v>
      </c>
      <c r="G111" s="364">
        <f ca="1">IF(Q$27=2,IF(LOOKUP(F111,X$1:X$35,X$1:X$35) = F111,ROUND(LOOKUP(LOOKUP(F111,X$1:X$35,A:A),Single!A$2:A$107,Table13[Saving]),0),IF( LOOKUP(F111,W$1:W$35,W$1:W$35) =
 F111,ROUND(G110*(1+IF($Q$18&lt;6,$R$14,IF($Q$18&lt;11,$R$15,$R$16)))^(1/12),0),G110*(1+IF($Q$18&lt;6,$R$14,IF($Q$18&lt;11,$R$15,$R$16)))^(1/12))),IF(LOOKUP(F111,X$1:X$35,X$1:X$35) = F111,ROUND(LOOKUP(LOOKUP(F111,X$1:X$35,A:A),'Annual Calculation'!A$2:A$107,Table1[Saving]),0),IF( LOOKUP(F111,W$1:W$35,W$1:W$35) =
 F111,ROUND(G110*(1+IF($Q$18&lt;6,$R$14,IF($Q$18&lt;11,$R$15,$R$16)))^(1/12),0),G110*(1+IF($Q$18&lt;6,$R$14,IF($Q$18&lt;11,$R$15,$R$16)))^(1/12))))</f>
        <v>255696914.7890251</v>
      </c>
    </row>
    <row r="112" spans="1:7">
      <c r="A112" s="348">
        <f t="shared" si="4"/>
        <v>111</v>
      </c>
      <c r="B112" s="360">
        <f>DATE('Profit Calculation'!J$6,A$2,A$2+A112-1)</f>
        <v>42115</v>
      </c>
      <c r="D112" s="362">
        <f t="shared" si="3"/>
        <v>90271303.303341165</v>
      </c>
      <c r="F112" s="363">
        <f>DATE('Profit Calculation'!J$6,'Profit Calculation'!R$6+A112-1,'Profit Calculation'!Z$6)</f>
        <v>45444</v>
      </c>
      <c r="G112" s="364">
        <f ca="1">IF(Q$27=2,IF(LOOKUP(F112,X$1:X$35,X$1:X$35) = F112,ROUND(LOOKUP(LOOKUP(F112,X$1:X$35,A:A),Single!A$2:A$107,Table13[Saving]),0),IF( LOOKUP(F112,W$1:W$35,W$1:W$35) =
 F112,ROUND(G111*(1+IF($Q$18&lt;6,$R$14,IF($Q$18&lt;11,$R$15,$R$16)))^(1/12),0),G111*(1+IF($Q$18&lt;6,$R$14,IF($Q$18&lt;11,$R$15,$R$16)))^(1/12))),IF(LOOKUP(F112,X$1:X$35,X$1:X$35) = F112,ROUND(LOOKUP(LOOKUP(F112,X$1:X$35,A:A),'Annual Calculation'!A$2:A$107,Table1[Saving]),0),IF( LOOKUP(F112,W$1:W$35,W$1:W$35) =
 F112,ROUND(G111*(1+IF($Q$18&lt;6,$R$14,IF($Q$18&lt;11,$R$15,$R$16)))^(1/12),0),G111*(1+IF($Q$18&lt;6,$R$14,IF($Q$18&lt;11,$R$15,$R$16)))^(1/12))))</f>
        <v>258692382.90244135</v>
      </c>
    </row>
    <row r="113" spans="1:7">
      <c r="A113" s="348">
        <f t="shared" si="4"/>
        <v>112</v>
      </c>
      <c r="B113" s="360">
        <f>DATE('Profit Calculation'!J$6,A$2,A$2+A113-1)</f>
        <v>42116</v>
      </c>
      <c r="D113" s="362">
        <f t="shared" si="3"/>
        <v>90305875.655356959</v>
      </c>
      <c r="F113" s="363">
        <f>DATE('Profit Calculation'!J$6,'Profit Calculation'!R$6+A113-1,'Profit Calculation'!Z$6)</f>
        <v>45474</v>
      </c>
      <c r="G113" s="364">
        <f ca="1">IF(Q$27=2,IF(LOOKUP(F113,X$1:X$35,X$1:X$35) = F113,ROUND(LOOKUP(LOOKUP(F113,X$1:X$35,A:A),Single!A$2:A$107,Table13[Saving]),0),IF( LOOKUP(F113,W$1:W$35,W$1:W$35) =
 F113,ROUND(G112*(1+IF($Q$18&lt;6,$R$14,IF($Q$18&lt;11,$R$15,$R$16)))^(1/12),0),G112*(1+IF($Q$18&lt;6,$R$14,IF($Q$18&lt;11,$R$15,$R$16)))^(1/12))),IF(LOOKUP(F113,X$1:X$35,X$1:X$35) = F113,ROUND(LOOKUP(LOOKUP(F113,X$1:X$35,A:A),'Annual Calculation'!A$2:A$107,Table1[Saving]),0),IF( LOOKUP(F113,W$1:W$35,W$1:W$35) =
 F113,ROUND(G112*(1+IF($Q$18&lt;6,$R$14,IF($Q$18&lt;11,$R$15,$R$16)))^(1/12),0),G112*(1+IF($Q$18&lt;6,$R$14,IF($Q$18&lt;11,$R$15,$R$16)))^(1/12))))</f>
        <v>261722942.67594236</v>
      </c>
    </row>
    <row r="114" spans="1:7">
      <c r="A114" s="348">
        <f t="shared" si="4"/>
        <v>113</v>
      </c>
      <c r="B114" s="360">
        <f>DATE('Profit Calculation'!J$6,A$2,A$2+A114-1)</f>
        <v>42117</v>
      </c>
      <c r="D114" s="362">
        <f t="shared" si="3"/>
        <v>90340461.247987211</v>
      </c>
      <c r="F114" s="363">
        <f>DATE('Profit Calculation'!J$6,'Profit Calculation'!R$6+A114-1,'Profit Calculation'!Z$6)</f>
        <v>45505</v>
      </c>
      <c r="G114" s="364">
        <f ca="1">IF(Q$27=2,IF(LOOKUP(F114,X$1:X$35,X$1:X$35) = F114,ROUND(LOOKUP(LOOKUP(F114,X$1:X$35,A:A),Single!A$2:A$107,Table13[Saving]),0),IF( LOOKUP(F114,W$1:W$35,W$1:W$35) =
 F114,ROUND(G113*(1+IF($Q$18&lt;6,$R$14,IF($Q$18&lt;11,$R$15,$R$16)))^(1/12),0),G113*(1+IF($Q$18&lt;6,$R$14,IF($Q$18&lt;11,$R$15,$R$16)))^(1/12))),IF(LOOKUP(F114,X$1:X$35,X$1:X$35) = F114,ROUND(LOOKUP(LOOKUP(F114,X$1:X$35,A:A),'Annual Calculation'!A$2:A$107,Table1[Saving]),0),IF( LOOKUP(F114,W$1:W$35,W$1:W$35) =
 F114,ROUND(G113*(1+IF($Q$18&lt;6,$R$14,IF($Q$18&lt;11,$R$15,$R$16)))^(1/12),0),G113*(1+IF($Q$18&lt;6,$R$14,IF($Q$18&lt;11,$R$15,$R$16)))^(1/12))))</f>
        <v>264789005.20541057</v>
      </c>
    </row>
    <row r="115" spans="1:7">
      <c r="A115" s="348">
        <f t="shared" si="4"/>
        <v>114</v>
      </c>
      <c r="B115" s="360">
        <f>DATE('Profit Calculation'!J$6,A$2,A$2+A115-1)</f>
        <v>42118</v>
      </c>
      <c r="D115" s="362">
        <f t="shared" si="3"/>
        <v>90375060.086302862</v>
      </c>
      <c r="F115" s="363">
        <f>DATE('Profit Calculation'!J$6,'Profit Calculation'!R$6+A115-1,'Profit Calculation'!Z$6)</f>
        <v>45536</v>
      </c>
      <c r="G115" s="364">
        <f ca="1">IF(Q$27=2,IF(LOOKUP(F115,X$1:X$35,X$1:X$35) = F115,ROUND(LOOKUP(LOOKUP(F115,X$1:X$35,A:A),Single!A$2:A$107,Table13[Saving]),0),IF( LOOKUP(F115,W$1:W$35,W$1:W$35) =
 F115,ROUND(G114*(1+IF($Q$18&lt;6,$R$14,IF($Q$18&lt;11,$R$15,$R$16)))^(1/12),0),G114*(1+IF($Q$18&lt;6,$R$14,IF($Q$18&lt;11,$R$15,$R$16)))^(1/12))),IF(LOOKUP(F115,X$1:X$35,X$1:X$35) = F115,ROUND(LOOKUP(LOOKUP(F115,X$1:X$35,A:A),'Annual Calculation'!A$2:A$107,Table1[Saving]),0),IF( LOOKUP(F115,W$1:W$35,W$1:W$35) =
 F115,ROUND(G114*(1+IF($Q$18&lt;6,$R$14,IF($Q$18&lt;11,$R$15,$R$16)))^(1/12),0),G114*(1+IF($Q$18&lt;6,$R$14,IF($Q$18&lt;11,$R$15,$R$16)))^(1/12))))</f>
        <v>267890986.40268257</v>
      </c>
    </row>
    <row r="116" spans="1:7">
      <c r="A116" s="348">
        <f t="shared" si="4"/>
        <v>115</v>
      </c>
      <c r="B116" s="360">
        <f>DATE('Profit Calculation'!J$6,A$2,A$2+A116-1)</f>
        <v>42119</v>
      </c>
      <c r="D116" s="362">
        <f t="shared" si="3"/>
        <v>90409672.175376758</v>
      </c>
      <c r="F116" s="363">
        <f>DATE('Profit Calculation'!J$6,'Profit Calculation'!R$6+A116-1,'Profit Calculation'!Z$6)</f>
        <v>45566</v>
      </c>
      <c r="G116" s="364">
        <f ca="1">IF(Q$27=2,IF(LOOKUP(F116,X$1:X$35,X$1:X$35) = F116,ROUND(LOOKUP(LOOKUP(F116,X$1:X$35,A:A),Single!A$2:A$107,Table13[Saving]),0),IF( LOOKUP(F116,W$1:W$35,W$1:W$35) =
 F116,ROUND(G115*(1+IF($Q$18&lt;6,$R$14,IF($Q$18&lt;11,$R$15,$R$16)))^(1/12),0),G115*(1+IF($Q$18&lt;6,$R$14,IF($Q$18&lt;11,$R$15,$R$16)))^(1/12))),IF(LOOKUP(F116,X$1:X$35,X$1:X$35) = F116,ROUND(LOOKUP(LOOKUP(F116,X$1:X$35,A:A),'Annual Calculation'!A$2:A$107,Table1[Saving]),0),IF( LOOKUP(F116,W$1:W$35,W$1:W$35) =
 F116,ROUND(G115*(1+IF($Q$18&lt;6,$R$14,IF($Q$18&lt;11,$R$15,$R$16)))^(1/12),0),G115*(1+IF($Q$18&lt;6,$R$14,IF($Q$18&lt;11,$R$15,$R$16)))^(1/12))))</f>
        <v>271029307.05196756</v>
      </c>
    </row>
    <row r="117" spans="1:7">
      <c r="A117" s="348">
        <f t="shared" si="4"/>
        <v>116</v>
      </c>
      <c r="B117" s="360">
        <f>DATE('Profit Calculation'!J$6,A$2,A$2+A117-1)</f>
        <v>42120</v>
      </c>
      <c r="D117" s="362">
        <f t="shared" si="3"/>
        <v>90444297.520283729</v>
      </c>
      <c r="F117" s="363">
        <f>DATE('Profit Calculation'!J$6,'Profit Calculation'!R$6+A117-1,'Profit Calculation'!Z$6)</f>
        <v>45597</v>
      </c>
      <c r="G117" s="364">
        <f ca="1">IF(Q$27=2,IF(LOOKUP(F117,X$1:X$35,X$1:X$35) = F117,ROUND(LOOKUP(LOOKUP(F117,X$1:X$35,A:A),Single!A$2:A$107,Table13[Saving]),0),IF( LOOKUP(F117,W$1:W$35,W$1:W$35) =
 F117,ROUND(G116*(1+IF($Q$18&lt;6,$R$14,IF($Q$18&lt;11,$R$15,$R$16)))^(1/12),0),G116*(1+IF($Q$18&lt;6,$R$14,IF($Q$18&lt;11,$R$15,$R$16)))^(1/12))),IF(LOOKUP(F117,X$1:X$35,X$1:X$35) = F117,ROUND(LOOKUP(LOOKUP(F117,X$1:X$35,A:A),'Annual Calculation'!A$2:A$107,Table1[Saving]),0),IF( LOOKUP(F117,W$1:W$35,W$1:W$35) =
 F117,ROUND(G116*(1+IF($Q$18&lt;6,$R$14,IF($Q$18&lt;11,$R$15,$R$16)))^(1/12),0),G116*(1+IF($Q$18&lt;6,$R$14,IF($Q$18&lt;11,$R$15,$R$16)))^(1/12))))</f>
        <v>274204392.86692679</v>
      </c>
    </row>
    <row r="118" spans="1:7">
      <c r="A118" s="348">
        <f t="shared" si="4"/>
        <v>117</v>
      </c>
      <c r="B118" s="360">
        <f>DATE('Profit Calculation'!J$6,A$2,A$2+A118-1)</f>
        <v>42121</v>
      </c>
      <c r="D118" s="362">
        <f t="shared" si="3"/>
        <v>90478936.126100525</v>
      </c>
      <c r="F118" s="363">
        <f>DATE('Profit Calculation'!J$6,'Profit Calculation'!R$6+A118-1,'Profit Calculation'!Z$6)</f>
        <v>45627</v>
      </c>
      <c r="G118" s="364">
        <f ca="1">IF(Q$27=2,IF(LOOKUP(F118,X$1:X$35,X$1:X$35) = F118,ROUND(LOOKUP(LOOKUP(F118,X$1:X$35,A:A),Single!A$2:A$107,Table13[Saving]),0),IF( LOOKUP(F118,W$1:W$35,W$1:W$35) =
 F118,ROUND(G117*(1+IF($Q$18&lt;6,$R$14,IF($Q$18&lt;11,$R$15,$R$16)))^(1/12),0),G117*(1+IF($Q$18&lt;6,$R$14,IF($Q$18&lt;11,$R$15,$R$16)))^(1/12))),IF(LOOKUP(F118,X$1:X$35,X$1:X$35) = F118,ROUND(LOOKUP(LOOKUP(F118,X$1:X$35,A:A),'Annual Calculation'!A$2:A$107,Table1[Saving]),0),IF( LOOKUP(F118,W$1:W$35,W$1:W$35) =
 F118,ROUND(G117*(1+IF($Q$18&lt;6,$R$14,IF($Q$18&lt;11,$R$15,$R$16)))^(1/12),0),G117*(1+IF($Q$18&lt;6,$R$14,IF($Q$18&lt;11,$R$15,$R$16)))^(1/12))))</f>
        <v>277416674.54842168</v>
      </c>
    </row>
    <row r="119" spans="1:7">
      <c r="A119" s="348">
        <f t="shared" si="4"/>
        <v>118</v>
      </c>
      <c r="B119" s="360">
        <f>DATE('Profit Calculation'!J$6,A$2,A$2+A119-1)</f>
        <v>42122</v>
      </c>
      <c r="D119" s="362">
        <f t="shared" si="3"/>
        <v>90513587.99790585</v>
      </c>
      <c r="F119" s="363">
        <f>DATE('Profit Calculation'!J$6,'Profit Calculation'!R$6+A119-1,'Profit Calculation'!Z$6)</f>
        <v>45658</v>
      </c>
      <c r="G119" s="364">
        <f ca="1">IF(Q$27=2,IF(LOOKUP(F119,X$1:X$35,X$1:X$35) = F119,ROUND(LOOKUP(LOOKUP(F119,X$1:X$35,A:A),Single!A$2:A$107,Table13[Saving]),0),IF( LOOKUP(F119,W$1:W$35,W$1:W$35) =
 F119,ROUND(G118*(1+IF($Q$18&lt;6,$R$14,IF($Q$18&lt;11,$R$15,$R$16)))^(1/12),0),G118*(1+IF($Q$18&lt;6,$R$14,IF($Q$18&lt;11,$R$15,$R$16)))^(1/12))),IF(LOOKUP(F119,X$1:X$35,X$1:X$35) = F119,ROUND(LOOKUP(LOOKUP(F119,X$1:X$35,A:A),'Annual Calculation'!A$2:A$107,Table1[Saving]),0),IF( LOOKUP(F119,W$1:W$35,W$1:W$35) =
 F119,ROUND(G118*(1+IF($Q$18&lt;6,$R$14,IF($Q$18&lt;11,$R$15,$R$16)))^(1/12),0),G118*(1+IF($Q$18&lt;6,$R$14,IF($Q$18&lt;11,$R$15,$R$16)))^(1/12))))</f>
        <v>280666588</v>
      </c>
    </row>
    <row r="120" spans="1:7">
      <c r="A120" s="348">
        <f t="shared" si="4"/>
        <v>119</v>
      </c>
      <c r="B120" s="360">
        <f>DATE('Profit Calculation'!J$6,A$2,A$2+A120-1)</f>
        <v>42123</v>
      </c>
      <c r="D120" s="362">
        <f t="shared" si="3"/>
        <v>90548253.140780345</v>
      </c>
      <c r="F120" s="363">
        <f>DATE('Profit Calculation'!J$6,'Profit Calculation'!R$6+A120-1,'Profit Calculation'!Z$6)</f>
        <v>45689</v>
      </c>
      <c r="G120" s="364">
        <f ca="1">IF(Q$27=2,IF(LOOKUP(F120,X$1:X$35,X$1:X$35) = F120,ROUND(LOOKUP(LOOKUP(F120,X$1:X$35,A:A),Single!A$2:A$107,Table13[Saving]),0),IF( LOOKUP(F120,W$1:W$35,W$1:W$35) =
 F120,ROUND(G119*(1+IF($Q$18&lt;6,$R$14,IF($Q$18&lt;11,$R$15,$R$16)))^(1/12),0),G119*(1+IF($Q$18&lt;6,$R$14,IF($Q$18&lt;11,$R$15,$R$16)))^(1/12))),IF(LOOKUP(F120,X$1:X$35,X$1:X$35) = F120,ROUND(LOOKUP(LOOKUP(F120,X$1:X$35,A:A),'Annual Calculation'!A$2:A$107,Table1[Saving]),0),IF( LOOKUP(F120,W$1:W$35,W$1:W$35) =
 F120,ROUND(G119*(1+IF($Q$18&lt;6,$R$14,IF($Q$18&lt;11,$R$15,$R$16)))^(1/12),0),G119*(1+IF($Q$18&lt;6,$R$14,IF($Q$18&lt;11,$R$15,$R$16)))^(1/12))))</f>
        <v>283954573.76059872</v>
      </c>
    </row>
    <row r="121" spans="1:7">
      <c r="A121" s="348">
        <f t="shared" si="4"/>
        <v>120</v>
      </c>
      <c r="B121" s="360">
        <f>DATE('Profit Calculation'!J$6,A$2,A$2+A121-1)</f>
        <v>42124</v>
      </c>
      <c r="D121" s="362">
        <f t="shared" si="3"/>
        <v>90582931.559806585</v>
      </c>
      <c r="F121" s="363">
        <f>DATE('Profit Calculation'!J$6,'Profit Calculation'!R$6+A121-1,'Profit Calculation'!Z$6)</f>
        <v>45717</v>
      </c>
      <c r="G121" s="364">
        <f ca="1">IF(Q$27=2,IF(LOOKUP(F121,X$1:X$35,X$1:X$35) = F121,ROUND(LOOKUP(LOOKUP(F121,X$1:X$35,A:A),Single!A$2:A$107,Table13[Saving]),0),IF( LOOKUP(F121,W$1:W$35,W$1:W$35) =
 F121,ROUND(G120*(1+IF($Q$18&lt;6,$R$14,IF($Q$18&lt;11,$R$15,$R$16)))^(1/12),0),G120*(1+IF($Q$18&lt;6,$R$14,IF($Q$18&lt;11,$R$15,$R$16)))^(1/12))),IF(LOOKUP(F121,X$1:X$35,X$1:X$35) = F121,ROUND(LOOKUP(LOOKUP(F121,X$1:X$35,A:A),'Annual Calculation'!A$2:A$107,Table1[Saving]),0),IF( LOOKUP(F121,W$1:W$35,W$1:W$35) =
 F121,ROUND(G120*(1+IF($Q$18&lt;6,$R$14,IF($Q$18&lt;11,$R$15,$R$16)))^(1/12),0),G120*(1+IF($Q$18&lt;6,$R$14,IF($Q$18&lt;11,$R$15,$R$16)))^(1/12))))</f>
        <v>287281078.00121653</v>
      </c>
    </row>
    <row r="122" spans="1:7">
      <c r="A122" s="348">
        <f t="shared" si="4"/>
        <v>121</v>
      </c>
      <c r="B122" s="360">
        <f>DATE('Profit Calculation'!J$6,A$2,A$2+A122-1)</f>
        <v>42125</v>
      </c>
      <c r="D122" s="362">
        <f t="shared" si="3"/>
        <v>90617623.260069132</v>
      </c>
      <c r="F122" s="357">
        <f>DATE('Profit Calculation'!J$6,'Profit Calculation'!R$6+A122-1,'Profit Calculation'!Z$6)</f>
        <v>45748</v>
      </c>
      <c r="G122" s="358">
        <f ca="1">IF(Q$27=2,IF(LOOKUP(F122,X$1:X$35,X$1:X$35) = F122,ROUND(LOOKUP(LOOKUP(F122,X$1:X$35,A:A),Single!A$2:A$107,Table13[Saving]),0),IF( LOOKUP(F122,W$1:W$35,W$1:W$35) =
 F122,ROUND(G121*(1+IF($Q$18&lt;6,$R$14,IF($Q$18&lt;11,$R$15,$R$16)))^(1/12),0),G121*(1+IF($Q$18&lt;6,$R$14,IF($Q$18&lt;11,$R$15,$R$16)))^(1/12))),IF(LOOKUP(F122,X$1:X$35,X$1:X$35) = F122,ROUND(LOOKUP(LOOKUP(F122,X$1:X$35,A:A),'Annual Calculation'!A$2:A$107,Table1[Saving]),0),IF( LOOKUP(F122,W$1:W$35,W$1:W$35) =
 F122,ROUND(G121*(1+IF($Q$18&lt;6,$R$14,IF($Q$18&lt;11,$R$15,$R$16)))^(1/12),0),G121*(1+IF($Q$18&lt;6,$R$14,IF($Q$18&lt;11,$R$15,$R$16)))^(1/12))))</f>
        <v>281112389</v>
      </c>
    </row>
    <row r="123" spans="1:7">
      <c r="A123" s="348">
        <f t="shared" si="4"/>
        <v>122</v>
      </c>
      <c r="B123" s="360">
        <f>DATE('Profit Calculation'!J$6,A$2,A$2+A123-1)</f>
        <v>42126</v>
      </c>
      <c r="D123" s="362">
        <f t="shared" si="3"/>
        <v>90652328.246654451</v>
      </c>
      <c r="F123" s="363">
        <f>DATE('Profit Calculation'!J$6,'Profit Calculation'!R$6+A123-1,'Profit Calculation'!Z$6)</f>
        <v>45778</v>
      </c>
      <c r="G123" s="364">
        <f ca="1">IF(Q$27=2,IF(LOOKUP(F123,X$1:X$35,X$1:X$35) = F123,ROUND(LOOKUP(LOOKUP(F123,X$1:X$35,A:A),Single!A$2:A$107,Table13[Saving]),0),IF( LOOKUP(F123,W$1:W$35,W$1:W$35) =
 F123,ROUND(G122*(1+IF($Q$18&lt;6,$R$14,IF($Q$18&lt;11,$R$15,$R$16)))^(1/12),0),G122*(1+IF($Q$18&lt;6,$R$14,IF($Q$18&lt;11,$R$15,$R$16)))^(1/12))),IF(LOOKUP(F123,X$1:X$35,X$1:X$35) = F123,ROUND(LOOKUP(LOOKUP(F123,X$1:X$35,A:A),'Annual Calculation'!A$2:A$107,Table1[Saving]),0),IF( LOOKUP(F123,W$1:W$35,W$1:W$35) =
 F123,ROUND(G122*(1+IF($Q$18&lt;6,$R$14,IF($Q$18&lt;11,$R$15,$R$16)))^(1/12),0),G122*(1+IF($Q$18&lt;6,$R$14,IF($Q$18&lt;11,$R$15,$R$16)))^(1/12))))</f>
        <v>284405597.28227651</v>
      </c>
    </row>
    <row r="124" spans="1:7">
      <c r="A124" s="348">
        <f t="shared" si="4"/>
        <v>123</v>
      </c>
      <c r="B124" s="360">
        <f>DATE('Profit Calculation'!J$6,A$2,A$2+A124-1)</f>
        <v>42127</v>
      </c>
      <c r="D124" s="362">
        <f t="shared" si="3"/>
        <v>90687046.524650991</v>
      </c>
      <c r="F124" s="363">
        <f>DATE('Profit Calculation'!J$6,'Profit Calculation'!R$6+A124-1,'Profit Calculation'!Z$6)</f>
        <v>45809</v>
      </c>
      <c r="G124" s="364">
        <f ca="1">IF(Q$27=2,IF(LOOKUP(F124,X$1:X$35,X$1:X$35) = F124,ROUND(LOOKUP(LOOKUP(F124,X$1:X$35,A:A),Single!A$2:A$107,Table13[Saving]),0),IF( LOOKUP(F124,W$1:W$35,W$1:W$35) =
 F124,ROUND(G123*(1+IF($Q$18&lt;6,$R$14,IF($Q$18&lt;11,$R$15,$R$16)))^(1/12),0),G123*(1+IF($Q$18&lt;6,$R$14,IF($Q$18&lt;11,$R$15,$R$16)))^(1/12))),IF(LOOKUP(F124,X$1:X$35,X$1:X$35) = F124,ROUND(LOOKUP(LOOKUP(F124,X$1:X$35,A:A),'Annual Calculation'!A$2:A$107,Table1[Saving]),0),IF( LOOKUP(F124,W$1:W$35,W$1:W$35) =
 F124,ROUND(G123*(1+IF($Q$18&lt;6,$R$14,IF($Q$18&lt;11,$R$15,$R$16)))^(1/12),0),G123*(1+IF($Q$18&lt;6,$R$14,IF($Q$18&lt;11,$R$15,$R$16)))^(1/12))))</f>
        <v>287737385.22597969</v>
      </c>
    </row>
    <row r="125" spans="1:7">
      <c r="A125" s="348">
        <f t="shared" si="4"/>
        <v>124</v>
      </c>
      <c r="B125" s="360">
        <f>DATE('Profit Calculation'!J$6,A$2,A$2+A125-1)</f>
        <v>42128</v>
      </c>
      <c r="D125" s="362">
        <f t="shared" si="3"/>
        <v>90721778.099149123</v>
      </c>
      <c r="F125" s="363">
        <f>DATE('Profit Calculation'!J$6,'Profit Calculation'!R$6+A125-1,'Profit Calculation'!Z$6)</f>
        <v>45839</v>
      </c>
      <c r="G125" s="364">
        <f ca="1">IF(Q$27=2,IF(LOOKUP(F125,X$1:X$35,X$1:X$35) = F125,ROUND(LOOKUP(LOOKUP(F125,X$1:X$35,A:A),Single!A$2:A$107,Table13[Saving]),0),IF( LOOKUP(F125,W$1:W$35,W$1:W$35) =
 F125,ROUND(G124*(1+IF($Q$18&lt;6,$R$14,IF($Q$18&lt;11,$R$15,$R$16)))^(1/12),0),G124*(1+IF($Q$18&lt;6,$R$14,IF($Q$18&lt;11,$R$15,$R$16)))^(1/12))),IF(LOOKUP(F125,X$1:X$35,X$1:X$35) = F125,ROUND(LOOKUP(LOOKUP(F125,X$1:X$35,A:A),'Annual Calculation'!A$2:A$107,Table1[Saving]),0),IF( LOOKUP(F125,W$1:W$35,W$1:W$35) =
 F125,ROUND(G124*(1+IF($Q$18&lt;6,$R$14,IF($Q$18&lt;11,$R$15,$R$16)))^(1/12),0),G124*(1+IF($Q$18&lt;6,$R$14,IF($Q$18&lt;11,$R$15,$R$16)))^(1/12))))</f>
        <v>291108204.78863788</v>
      </c>
    </row>
    <row r="126" spans="1:7">
      <c r="A126" s="348">
        <f t="shared" si="4"/>
        <v>125</v>
      </c>
      <c r="B126" s="360">
        <f>DATE('Profit Calculation'!J$6,A$2,A$2+A126-1)</f>
        <v>42129</v>
      </c>
      <c r="D126" s="362">
        <f t="shared" si="3"/>
        <v>90756522.975241184</v>
      </c>
      <c r="F126" s="363">
        <f>DATE('Profit Calculation'!J$6,'Profit Calculation'!R$6+A126-1,'Profit Calculation'!Z$6)</f>
        <v>45870</v>
      </c>
      <c r="G126" s="364">
        <f ca="1">IF(Q$27=2,IF(LOOKUP(F126,X$1:X$35,X$1:X$35) = F126,ROUND(LOOKUP(LOOKUP(F126,X$1:X$35,A:A),Single!A$2:A$107,Table13[Saving]),0),IF( LOOKUP(F126,W$1:W$35,W$1:W$35) =
 F126,ROUND(G125*(1+IF($Q$18&lt;6,$R$14,IF($Q$18&lt;11,$R$15,$R$16)))^(1/12),0),G125*(1+IF($Q$18&lt;6,$R$14,IF($Q$18&lt;11,$R$15,$R$16)))^(1/12))),IF(LOOKUP(F126,X$1:X$35,X$1:X$35) = F126,ROUND(LOOKUP(LOOKUP(F126,X$1:X$35,A:A),'Annual Calculation'!A$2:A$107,Table1[Saving]),0),IF( LOOKUP(F126,W$1:W$35,W$1:W$35) =
 F126,ROUND(G125*(1+IF($Q$18&lt;6,$R$14,IF($Q$18&lt;11,$R$15,$R$16)))^(1/12),0),G125*(1+IF($Q$18&lt;6,$R$14,IF($Q$18&lt;11,$R$15,$R$16)))^(1/12))))</f>
        <v>294518513.22242445</v>
      </c>
    </row>
    <row r="127" spans="1:7">
      <c r="A127" s="348">
        <f t="shared" si="4"/>
        <v>126</v>
      </c>
      <c r="B127" s="360">
        <f>DATE('Profit Calculation'!J$6,A$2,A$2+A127-1)</f>
        <v>42130</v>
      </c>
      <c r="D127" s="362">
        <f t="shared" si="3"/>
        <v>90791281.15802145</v>
      </c>
      <c r="F127" s="363">
        <f>DATE('Profit Calculation'!J$6,'Profit Calculation'!R$6+A127-1,'Profit Calculation'!Z$6)</f>
        <v>45901</v>
      </c>
      <c r="G127" s="364">
        <f ca="1">IF(Q$27=2,IF(LOOKUP(F127,X$1:X$35,X$1:X$35) = F127,ROUND(LOOKUP(LOOKUP(F127,X$1:X$35,A:A),Single!A$2:A$107,Table13[Saving]),0),IF( LOOKUP(F127,W$1:W$35,W$1:W$35) =
 F127,ROUND(G126*(1+IF($Q$18&lt;6,$R$14,IF($Q$18&lt;11,$R$15,$R$16)))^(1/12),0),G126*(1+IF($Q$18&lt;6,$R$14,IF($Q$18&lt;11,$R$15,$R$16)))^(1/12))),IF(LOOKUP(F127,X$1:X$35,X$1:X$35) = F127,ROUND(LOOKUP(LOOKUP(F127,X$1:X$35,A:A),'Annual Calculation'!A$2:A$107,Table1[Saving]),0),IF( LOOKUP(F127,W$1:W$35,W$1:W$35) =
 F127,ROUND(G126*(1+IF($Q$18&lt;6,$R$14,IF($Q$18&lt;11,$R$15,$R$16)))^(1/12),0),G126*(1+IF($Q$18&lt;6,$R$14,IF($Q$18&lt;11,$R$15,$R$16)))^(1/12))))</f>
        <v>297968773.13618392</v>
      </c>
    </row>
    <row r="128" spans="1:7">
      <c r="A128" s="348">
        <f t="shared" si="4"/>
        <v>127</v>
      </c>
      <c r="B128" s="360">
        <f>DATE('Profit Calculation'!J$6,A$2,A$2+A128-1)</f>
        <v>42131</v>
      </c>
      <c r="D128" s="362">
        <f t="shared" si="3"/>
        <v>90826052.652586147</v>
      </c>
      <c r="F128" s="363">
        <f>DATE('Profit Calculation'!J$6,'Profit Calculation'!R$6+A128-1,'Profit Calculation'!Z$6)</f>
        <v>45931</v>
      </c>
      <c r="G128" s="364">
        <f ca="1">IF(Q$27=2,IF(LOOKUP(F128,X$1:X$35,X$1:X$35) = F128,ROUND(LOOKUP(LOOKUP(F128,X$1:X$35,A:A),Single!A$2:A$107,Table13[Saving]),0),IF( LOOKUP(F128,W$1:W$35,W$1:W$35) =
 F128,ROUND(G127*(1+IF($Q$18&lt;6,$R$14,IF($Q$18&lt;11,$R$15,$R$16)))^(1/12),0),G127*(1+IF($Q$18&lt;6,$R$14,IF($Q$18&lt;11,$R$15,$R$16)))^(1/12))),IF(LOOKUP(F128,X$1:X$35,X$1:X$35) = F128,ROUND(LOOKUP(LOOKUP(F128,X$1:X$35,A:A),'Annual Calculation'!A$2:A$107,Table1[Saving]),0),IF( LOOKUP(F128,W$1:W$35,W$1:W$35) =
 F128,ROUND(G127*(1+IF($Q$18&lt;6,$R$14,IF($Q$18&lt;11,$R$15,$R$16)))^(1/12),0),G127*(1+IF($Q$18&lt;6,$R$14,IF($Q$18&lt;11,$R$15,$R$16)))^(1/12))))</f>
        <v>301459452.55818498</v>
      </c>
    </row>
    <row r="129" spans="1:7">
      <c r="A129" s="348">
        <f t="shared" si="4"/>
        <v>128</v>
      </c>
      <c r="B129" s="360">
        <f>DATE('Profit Calculation'!J$6,A$2,A$2+A129-1)</f>
        <v>42132</v>
      </c>
      <c r="D129" s="362">
        <f t="shared" si="3"/>
        <v>90860837.46403347</v>
      </c>
      <c r="F129" s="363">
        <f>DATE('Profit Calculation'!J$6,'Profit Calculation'!R$6+A129-1,'Profit Calculation'!Z$6)</f>
        <v>45962</v>
      </c>
      <c r="G129" s="364">
        <f ca="1">IF(Q$27=2,IF(LOOKUP(F129,X$1:X$35,X$1:X$35) = F129,ROUND(LOOKUP(LOOKUP(F129,X$1:X$35,A:A),Single!A$2:A$107,Table13[Saving]),0),IF( LOOKUP(F129,W$1:W$35,W$1:W$35) =
 F129,ROUND(G128*(1+IF($Q$18&lt;6,$R$14,IF($Q$18&lt;11,$R$15,$R$16)))^(1/12),0),G128*(1+IF($Q$18&lt;6,$R$14,IF($Q$18&lt;11,$R$15,$R$16)))^(1/12))),IF(LOOKUP(F129,X$1:X$35,X$1:X$35) = F129,ROUND(LOOKUP(LOOKUP(F129,X$1:X$35,A:A),'Annual Calculation'!A$2:A$107,Table1[Saving]),0),IF( LOOKUP(F129,W$1:W$35,W$1:W$35) =
 F129,ROUND(G128*(1+IF($Q$18&lt;6,$R$14,IF($Q$18&lt;11,$R$15,$R$16)))^(1/12),0),G128*(1+IF($Q$18&lt;6,$R$14,IF($Q$18&lt;11,$R$15,$R$16)))^(1/12))))</f>
        <v>304991024.99960858</v>
      </c>
    </row>
    <row r="130" spans="1:7">
      <c r="A130" s="348">
        <f t="shared" si="4"/>
        <v>129</v>
      </c>
      <c r="B130" s="360">
        <f>DATE('Profit Calculation'!J$6,A$2,A$2+A130-1)</f>
        <v>42133</v>
      </c>
      <c r="D130" s="362">
        <f t="shared" si="3"/>
        <v>90895635.597463548</v>
      </c>
      <c r="F130" s="363">
        <f>DATE('Profit Calculation'!J$6,'Profit Calculation'!R$6+A130-1,'Profit Calculation'!Z$6)</f>
        <v>45992</v>
      </c>
      <c r="G130" s="364">
        <f ca="1">IF(Q$27=2,IF(LOOKUP(F130,X$1:X$35,X$1:X$35) = F130,ROUND(LOOKUP(LOOKUP(F130,X$1:X$35,A:A),Single!A$2:A$107,Table13[Saving]),0),IF( LOOKUP(F130,W$1:W$35,W$1:W$35) =
 F130,ROUND(G129*(1+IF($Q$18&lt;6,$R$14,IF($Q$18&lt;11,$R$15,$R$16)))^(1/12),0),G129*(1+IF($Q$18&lt;6,$R$14,IF($Q$18&lt;11,$R$15,$R$16)))^(1/12))),IF(LOOKUP(F130,X$1:X$35,X$1:X$35) = F130,ROUND(LOOKUP(LOOKUP(F130,X$1:X$35,A:A),'Annual Calculation'!A$2:A$107,Table1[Saving]),0),IF( LOOKUP(F130,W$1:W$35,W$1:W$35) =
 F130,ROUND(G129*(1+IF($Q$18&lt;6,$R$14,IF($Q$18&lt;11,$R$15,$R$16)))^(1/12),0),G129*(1+IF($Q$18&lt;6,$R$14,IF($Q$18&lt;11,$R$15,$R$16)))^(1/12))))</f>
        <v>308563969.51877993</v>
      </c>
    </row>
    <row r="131" spans="1:7">
      <c r="A131" s="348">
        <f t="shared" si="4"/>
        <v>130</v>
      </c>
      <c r="B131" s="360">
        <f>DATE('Profit Calculation'!J$6,A$2,A$2+A131-1)</f>
        <v>42134</v>
      </c>
      <c r="D131" s="362">
        <f t="shared" si="3"/>
        <v>90930447.057978481</v>
      </c>
      <c r="F131" s="363">
        <f>DATE('Profit Calculation'!J$6,'Profit Calculation'!R$6+A131-1,'Profit Calculation'!Z$6)</f>
        <v>46023</v>
      </c>
      <c r="G131" s="364">
        <f ca="1">IF(Q$27=2,IF(LOOKUP(F131,X$1:X$35,X$1:X$35) = F131,ROUND(LOOKUP(LOOKUP(F131,X$1:X$35,A:A),Single!A$2:A$107,Table13[Saving]),0),IF( LOOKUP(F131,W$1:W$35,W$1:W$35) =
 F131,ROUND(G130*(1+IF($Q$18&lt;6,$R$14,IF($Q$18&lt;11,$R$15,$R$16)))^(1/12),0),G130*(1+IF($Q$18&lt;6,$R$14,IF($Q$18&lt;11,$R$15,$R$16)))^(1/12))),IF(LOOKUP(F131,X$1:X$35,X$1:X$35) = F131,ROUND(LOOKUP(LOOKUP(F131,X$1:X$35,A:A),'Annual Calculation'!A$2:A$107,Table1[Saving]),0),IF( LOOKUP(F131,W$1:W$35,W$1:W$35) =
 F131,ROUND(G130*(1+IF($Q$18&lt;6,$R$14,IF($Q$18&lt;11,$R$15,$R$16)))^(1/12),0),G130*(1+IF($Q$18&lt;6,$R$14,IF($Q$18&lt;11,$R$15,$R$16)))^(1/12))))</f>
        <v>312178771</v>
      </c>
    </row>
    <row r="132" spans="1:7">
      <c r="A132" s="348">
        <f t="shared" si="4"/>
        <v>131</v>
      </c>
      <c r="B132" s="360">
        <f>DATE('Profit Calculation'!J$6,A$2,A$2+A132-1)</f>
        <v>42135</v>
      </c>
      <c r="D132" s="362">
        <f t="shared" ref="D132:D195" si="5">IF(OR(LOOKUP(B132,W$1:W$35,W$1:W$35) = B132, LOOKUP(B132,X$1:X$35,X$1:X$35) = B132),LOOKUP(B132,F:F,G:G),D131*(1+((IF($Q$18&lt;6,$R$14,IF($Q$18&lt;11,$R$15,$R$16)))))^(1/365))</f>
        <v>90965271.850682303</v>
      </c>
      <c r="F132" s="363">
        <f>DATE('Profit Calculation'!J$6,'Profit Calculation'!R$6+A132-1,'Profit Calculation'!Z$6)</f>
        <v>46054</v>
      </c>
      <c r="G132" s="364">
        <f ca="1">IF(Q$27=2,IF(LOOKUP(F132,X$1:X$35,X$1:X$35) = F132,ROUND(LOOKUP(LOOKUP(F132,X$1:X$35,A:A),Single!A$2:A$107,Table13[Saving]),0),IF( LOOKUP(F132,W$1:W$35,W$1:W$35) =
 F132,ROUND(G131*(1+IF($Q$18&lt;6,$R$14,IF($Q$18&lt;11,$R$15,$R$16)))^(1/12),0),G131*(1+IF($Q$18&lt;6,$R$14,IF($Q$18&lt;11,$R$15,$R$16)))^(1/12))),IF(LOOKUP(F132,X$1:X$35,X$1:X$35) = F132,ROUND(LOOKUP(LOOKUP(F132,X$1:X$35,A:A),'Annual Calculation'!A$2:A$107,Table1[Saving]),0),IF( LOOKUP(F132,W$1:W$35,W$1:W$35) =
 F132,ROUND(G131*(1+IF($Q$18&lt;6,$R$14,IF($Q$18&lt;11,$R$15,$R$16)))^(1/12),0),G131*(1+IF($Q$18&lt;6,$R$14,IF($Q$18&lt;11,$R$15,$R$16)))^(1/12))))</f>
        <v>315835919.36640692</v>
      </c>
    </row>
    <row r="133" spans="1:7">
      <c r="A133" s="348">
        <f t="shared" ref="A133:A196" si="6">A132+1</f>
        <v>132</v>
      </c>
      <c r="B133" s="360">
        <f>DATE('Profit Calculation'!J$6,A$2,A$2+A133-1)</f>
        <v>42136</v>
      </c>
      <c r="D133" s="362">
        <f t="shared" si="5"/>
        <v>91000109.980681017</v>
      </c>
      <c r="F133" s="363">
        <f>DATE('Profit Calculation'!J$6,'Profit Calculation'!R$6+A133-1,'Profit Calculation'!Z$6)</f>
        <v>46082</v>
      </c>
      <c r="G133" s="364">
        <f ca="1">IF(Q$27=2,IF(LOOKUP(F133,X$1:X$35,X$1:X$35) = F133,ROUND(LOOKUP(LOOKUP(F133,X$1:X$35,A:A),Single!A$2:A$107,Table13[Saving]),0),IF( LOOKUP(F133,W$1:W$35,W$1:W$35) =
 F133,ROUND(G132*(1+IF($Q$18&lt;6,$R$14,IF($Q$18&lt;11,$R$15,$R$16)))^(1/12),0),G132*(1+IF($Q$18&lt;6,$R$14,IF($Q$18&lt;11,$R$15,$R$16)))^(1/12))),IF(LOOKUP(F133,X$1:X$35,X$1:X$35) = F133,ROUND(LOOKUP(LOOKUP(F133,X$1:X$35,A:A),'Annual Calculation'!A$2:A$107,Table1[Saving]),0),IF( LOOKUP(F133,W$1:W$35,W$1:W$35) =
 F133,ROUND(G132*(1+IF($Q$18&lt;6,$R$14,IF($Q$18&lt;11,$R$15,$R$16)))^(1/12),0),G132*(1+IF($Q$18&lt;6,$R$14,IF($Q$18&lt;11,$R$15,$R$16)))^(1/12))))</f>
        <v>319535910.92208987</v>
      </c>
    </row>
    <row r="134" spans="1:7">
      <c r="A134" s="348">
        <f t="shared" si="6"/>
        <v>133</v>
      </c>
      <c r="B134" s="360">
        <f>DATE('Profit Calculation'!J$6,A$2,A$2+A134-1)</f>
        <v>42137</v>
      </c>
      <c r="D134" s="362">
        <f t="shared" si="5"/>
        <v>91034961.453082561</v>
      </c>
      <c r="F134" s="357">
        <f>DATE('Profit Calculation'!J$6,'Profit Calculation'!R$6+A134-1,'Profit Calculation'!Z$6)</f>
        <v>46113</v>
      </c>
      <c r="G134" s="358">
        <f ca="1">IF(Q$27=2,IF(LOOKUP(F134,X$1:X$35,X$1:X$35) = F134,ROUND(LOOKUP(LOOKUP(F134,X$1:X$35,A:A),Single!A$2:A$107,Table13[Saving]),0),IF( LOOKUP(F134,W$1:W$35,W$1:W$35) =
 F134,ROUND(G133*(1+IF($Q$18&lt;6,$R$14,IF($Q$18&lt;11,$R$15,$R$16)))^(1/12),0),G133*(1+IF($Q$18&lt;6,$R$14,IF($Q$18&lt;11,$R$15,$R$16)))^(1/12))),IF(LOOKUP(F134,X$1:X$35,X$1:X$35) = F134,ROUND(LOOKUP(LOOKUP(F134,X$1:X$35,A:A),'Annual Calculation'!A$2:A$107,Table1[Saving]),0),IF( LOOKUP(F134,W$1:W$35,W$1:W$35) =
 F134,ROUND(G133*(1+IF($Q$18&lt;6,$R$14,IF($Q$18&lt;11,$R$15,$R$16)))^(1/12),0),G133*(1+IF($Q$18&lt;6,$R$14,IF($Q$18&lt;11,$R$15,$R$16)))^(1/12))))</f>
        <v>313321615</v>
      </c>
    </row>
    <row r="135" spans="1:7">
      <c r="A135" s="348">
        <f t="shared" si="6"/>
        <v>134</v>
      </c>
      <c r="B135" s="360">
        <f>DATE('Profit Calculation'!J$6,A$2,A$2+A135-1)</f>
        <v>42138</v>
      </c>
      <c r="D135" s="362">
        <f t="shared" si="5"/>
        <v>91069826.272996873</v>
      </c>
      <c r="F135" s="363">
        <f>DATE('Profit Calculation'!J$6,'Profit Calculation'!R$6+A135-1,'Profit Calculation'!Z$6)</f>
        <v>46143</v>
      </c>
      <c r="G135" s="364">
        <f ca="1">IF(Q$27=2,IF(LOOKUP(F135,X$1:X$35,X$1:X$35) = F135,ROUND(LOOKUP(LOOKUP(F135,X$1:X$35,A:A),Single!A$2:A$107,Table13[Saving]),0),IF( LOOKUP(F135,W$1:W$35,W$1:W$35) =
 F135,ROUND(G134*(1+IF($Q$18&lt;6,$R$14,IF($Q$18&lt;11,$R$15,$R$16)))^(1/12),0),G134*(1+IF($Q$18&lt;6,$R$14,IF($Q$18&lt;11,$R$15,$R$16)))^(1/12))),IF(LOOKUP(F135,X$1:X$35,X$1:X$35) = F135,ROUND(LOOKUP(LOOKUP(F135,X$1:X$35,A:A),'Annual Calculation'!A$2:A$107,Table1[Saving]),0),IF( LOOKUP(F135,W$1:W$35,W$1:W$35) =
 F135,ROUND(G134*(1+IF($Q$18&lt;6,$R$14,IF($Q$18&lt;11,$R$15,$R$16)))^(1/12),0),G134*(1+IF($Q$18&lt;6,$R$14,IF($Q$18&lt;11,$R$15,$R$16)))^(1/12))))</f>
        <v>316992151.68891931</v>
      </c>
    </row>
    <row r="136" spans="1:7">
      <c r="A136" s="348">
        <f t="shared" si="6"/>
        <v>135</v>
      </c>
      <c r="B136" s="360">
        <f>DATE('Profit Calculation'!J$6,A$2,A$2+A136-1)</f>
        <v>42139</v>
      </c>
      <c r="D136" s="362">
        <f t="shared" si="5"/>
        <v>91104704.445535794</v>
      </c>
      <c r="F136" s="363">
        <f>DATE('Profit Calculation'!J$6,'Profit Calculation'!R$6+A136-1,'Profit Calculation'!Z$6)</f>
        <v>46174</v>
      </c>
      <c r="G136" s="364">
        <f ca="1">IF(Q$27=2,IF(LOOKUP(F136,X$1:X$35,X$1:X$35) = F136,ROUND(LOOKUP(LOOKUP(F136,X$1:X$35,A:A),Single!A$2:A$107,Table13[Saving]),0),IF( LOOKUP(F136,W$1:W$35,W$1:W$35) =
 F136,ROUND(G135*(1+IF($Q$18&lt;6,$R$14,IF($Q$18&lt;11,$R$15,$R$16)))^(1/12),0),G135*(1+IF($Q$18&lt;6,$R$14,IF($Q$18&lt;11,$R$15,$R$16)))^(1/12))),IF(LOOKUP(F136,X$1:X$35,X$1:X$35) = F136,ROUND(LOOKUP(LOOKUP(F136,X$1:X$35,A:A),'Annual Calculation'!A$2:A$107,Table1[Saving]),0),IF( LOOKUP(F136,W$1:W$35,W$1:W$35) =
 F136,ROUND(G135*(1+IF($Q$18&lt;6,$R$14,IF($Q$18&lt;11,$R$15,$R$16)))^(1/12),0),G135*(1+IF($Q$18&lt;6,$R$14,IF($Q$18&lt;11,$R$15,$R$16)))^(1/12))))</f>
        <v>320705688.41020054</v>
      </c>
    </row>
    <row r="137" spans="1:7">
      <c r="A137" s="348">
        <f t="shared" si="6"/>
        <v>136</v>
      </c>
      <c r="B137" s="360">
        <f>DATE('Profit Calculation'!J$6,A$2,A$2+A137-1)</f>
        <v>42140</v>
      </c>
      <c r="D137" s="362">
        <f t="shared" si="5"/>
        <v>91139595.975813165</v>
      </c>
      <c r="F137" s="363">
        <f>DATE('Profit Calculation'!J$6,'Profit Calculation'!R$6+A137-1,'Profit Calculation'!Z$6)</f>
        <v>46204</v>
      </c>
      <c r="G137" s="364">
        <f ca="1">IF(Q$27=2,IF(LOOKUP(F137,X$1:X$35,X$1:X$35) = F137,ROUND(LOOKUP(LOOKUP(F137,X$1:X$35,A:A),Single!A$2:A$107,Table13[Saving]),0),IF( LOOKUP(F137,W$1:W$35,W$1:W$35) =
 F137,ROUND(G136*(1+IF($Q$18&lt;6,$R$14,IF($Q$18&lt;11,$R$15,$R$16)))^(1/12),0),G136*(1+IF($Q$18&lt;6,$R$14,IF($Q$18&lt;11,$R$15,$R$16)))^(1/12))),IF(LOOKUP(F137,X$1:X$35,X$1:X$35) = F137,ROUND(LOOKUP(LOOKUP(F137,X$1:X$35,A:A),'Annual Calculation'!A$2:A$107,Table1[Saving]),0),IF( LOOKUP(F137,W$1:W$35,W$1:W$35) =
 F137,ROUND(G136*(1+IF($Q$18&lt;6,$R$14,IF($Q$18&lt;11,$R$15,$R$16)))^(1/12),0),G136*(1+IF($Q$18&lt;6,$R$14,IF($Q$18&lt;11,$R$15,$R$16)))^(1/12))))</f>
        <v>324462728.90565044</v>
      </c>
    </row>
    <row r="138" spans="1:7">
      <c r="A138" s="348">
        <f t="shared" si="6"/>
        <v>137</v>
      </c>
      <c r="B138" s="360">
        <f>DATE('Profit Calculation'!J$6,A$2,A$2+A138-1)</f>
        <v>42141</v>
      </c>
      <c r="D138" s="362">
        <f t="shared" si="5"/>
        <v>91174500.868944764</v>
      </c>
      <c r="F138" s="363">
        <f>DATE('Profit Calculation'!J$6,'Profit Calculation'!R$6+A138-1,'Profit Calculation'!Z$6)</f>
        <v>46235</v>
      </c>
      <c r="G138" s="364">
        <f ca="1">IF(Q$27=2,IF(LOOKUP(F138,X$1:X$35,X$1:X$35) = F138,ROUND(LOOKUP(LOOKUP(F138,X$1:X$35,A:A),Single!A$2:A$107,Table13[Saving]),0),IF( LOOKUP(F138,W$1:W$35,W$1:W$35) =
 F138,ROUND(G137*(1+IF($Q$18&lt;6,$R$14,IF($Q$18&lt;11,$R$15,$R$16)))^(1/12),0),G137*(1+IF($Q$18&lt;6,$R$14,IF($Q$18&lt;11,$R$15,$R$16)))^(1/12))),IF(LOOKUP(F138,X$1:X$35,X$1:X$35) = F138,ROUND(LOOKUP(LOOKUP(F138,X$1:X$35,A:A),'Annual Calculation'!A$2:A$107,Table1[Saving]),0),IF( LOOKUP(F138,W$1:W$35,W$1:W$35) =
 F138,ROUND(G137*(1+IF($Q$18&lt;6,$R$14,IF($Q$18&lt;11,$R$15,$R$16)))^(1/12),0),G137*(1+IF($Q$18&lt;6,$R$14,IF($Q$18&lt;11,$R$15,$R$16)))^(1/12))))</f>
        <v>328263782.81836903</v>
      </c>
    </row>
    <row r="139" spans="1:7">
      <c r="A139" s="348">
        <f t="shared" si="6"/>
        <v>138</v>
      </c>
      <c r="B139" s="360">
        <f>DATE('Profit Calculation'!J$6,A$2,A$2+A139-1)</f>
        <v>42142</v>
      </c>
      <c r="D139" s="362">
        <f t="shared" si="5"/>
        <v>91209419.130048335</v>
      </c>
      <c r="F139" s="363">
        <f>DATE('Profit Calculation'!J$6,'Profit Calculation'!R$6+A139-1,'Profit Calculation'!Z$6)</f>
        <v>46266</v>
      </c>
      <c r="G139" s="364">
        <f ca="1">IF(Q$27=2,IF(LOOKUP(F139,X$1:X$35,X$1:X$35) = F139,ROUND(LOOKUP(LOOKUP(F139,X$1:X$35,A:A),Single!A$2:A$107,Table13[Saving]),0),IF( LOOKUP(F139,W$1:W$35,W$1:W$35) =
 F139,ROUND(G138*(1+IF($Q$18&lt;6,$R$14,IF($Q$18&lt;11,$R$15,$R$16)))^(1/12),0),G138*(1+IF($Q$18&lt;6,$R$14,IF($Q$18&lt;11,$R$15,$R$16)))^(1/12))),IF(LOOKUP(F139,X$1:X$35,X$1:X$35) = F139,ROUND(LOOKUP(LOOKUP(F139,X$1:X$35,A:A),'Annual Calculation'!A$2:A$107,Table1[Saving]),0),IF( LOOKUP(F139,W$1:W$35,W$1:W$35) =
 F139,ROUND(G138*(1+IF($Q$18&lt;6,$R$14,IF($Q$18&lt;11,$R$15,$R$16)))^(1/12),0),G138*(1+IF($Q$18&lt;6,$R$14,IF($Q$18&lt;11,$R$15,$R$16)))^(1/12))))</f>
        <v>332109365.76188302</v>
      </c>
    </row>
    <row r="140" spans="1:7">
      <c r="A140" s="348">
        <f t="shared" si="6"/>
        <v>139</v>
      </c>
      <c r="B140" s="360">
        <f>DATE('Profit Calculation'!J$6,A$2,A$2+A140-1)</f>
        <v>42143</v>
      </c>
      <c r="D140" s="362">
        <f t="shared" si="5"/>
        <v>91244350.764243588</v>
      </c>
      <c r="F140" s="363">
        <f>DATE('Profit Calculation'!J$6,'Profit Calculation'!R$6+A140-1,'Profit Calculation'!Z$6)</f>
        <v>46296</v>
      </c>
      <c r="G140" s="364">
        <f ca="1">IF(Q$27=2,IF(LOOKUP(F140,X$1:X$35,X$1:X$35) = F140,ROUND(LOOKUP(LOOKUP(F140,X$1:X$35,A:A),Single!A$2:A$107,Table13[Saving]),0),IF( LOOKUP(F140,W$1:W$35,W$1:W$35) =
 F140,ROUND(G139*(1+IF($Q$18&lt;6,$R$14,IF($Q$18&lt;11,$R$15,$R$16)))^(1/12),0),G139*(1+IF($Q$18&lt;6,$R$14,IF($Q$18&lt;11,$R$15,$R$16)))^(1/12))),IF(LOOKUP(F140,X$1:X$35,X$1:X$35) = F140,ROUND(LOOKUP(LOOKUP(F140,X$1:X$35,A:A),'Annual Calculation'!A$2:A$107,Table1[Saving]),0),IF( LOOKUP(F140,W$1:W$35,W$1:W$35) =
 F140,ROUND(G139*(1+IF($Q$18&lt;6,$R$14,IF($Q$18&lt;11,$R$15,$R$16)))^(1/12),0),G139*(1+IF($Q$18&lt;6,$R$14,IF($Q$18&lt;11,$R$15,$R$16)))^(1/12))))</f>
        <v>335999999.39008868</v>
      </c>
    </row>
    <row r="141" spans="1:7">
      <c r="A141" s="348">
        <f t="shared" si="6"/>
        <v>140</v>
      </c>
      <c r="B141" s="360">
        <f>DATE('Profit Calculation'!J$6,A$2,A$2+A141-1)</f>
        <v>42144</v>
      </c>
      <c r="D141" s="362">
        <f t="shared" si="5"/>
        <v>91279295.776652172</v>
      </c>
      <c r="F141" s="363">
        <f>DATE('Profit Calculation'!J$6,'Profit Calculation'!R$6+A141-1,'Profit Calculation'!Z$6)</f>
        <v>46327</v>
      </c>
      <c r="G141" s="364">
        <f ca="1">IF(Q$27=2,IF(LOOKUP(F141,X$1:X$35,X$1:X$35) = F141,ROUND(LOOKUP(LOOKUP(F141,X$1:X$35,A:A),Single!A$2:A$107,Table13[Saving]),0),IF( LOOKUP(F141,W$1:W$35,W$1:W$35) =
 F141,ROUND(G140*(1+IF($Q$18&lt;6,$R$14,IF($Q$18&lt;11,$R$15,$R$16)))^(1/12),0),G140*(1+IF($Q$18&lt;6,$R$14,IF($Q$18&lt;11,$R$15,$R$16)))^(1/12))),IF(LOOKUP(F141,X$1:X$35,X$1:X$35) = F141,ROUND(LOOKUP(LOOKUP(F141,X$1:X$35,A:A),'Annual Calculation'!A$2:A$107,Table1[Saving]),0),IF( LOOKUP(F141,W$1:W$35,W$1:W$35) =
 F141,ROUND(G140*(1+IF($Q$18&lt;6,$R$14,IF($Q$18&lt;11,$R$15,$R$16)))^(1/12),0),G140*(1+IF($Q$18&lt;6,$R$14,IF($Q$18&lt;11,$R$15,$R$16)))^(1/12))))</f>
        <v>339936211.46801436</v>
      </c>
    </row>
    <row r="142" spans="1:7">
      <c r="A142" s="348">
        <f t="shared" si="6"/>
        <v>141</v>
      </c>
      <c r="B142" s="360">
        <f>DATE('Profit Calculation'!J$6,A$2,A$2+A142-1)</f>
        <v>42145</v>
      </c>
      <c r="D142" s="362">
        <f t="shared" si="5"/>
        <v>91314254.172397718</v>
      </c>
      <c r="F142" s="363">
        <f>DATE('Profit Calculation'!J$6,'Profit Calculation'!R$6+A142-1,'Profit Calculation'!Z$6)</f>
        <v>46357</v>
      </c>
      <c r="G142" s="364">
        <f ca="1">IF(Q$27=2,IF(LOOKUP(F142,X$1:X$35,X$1:X$35) = F142,ROUND(LOOKUP(LOOKUP(F142,X$1:X$35,A:A),Single!A$2:A$107,Table13[Saving]),0),IF( LOOKUP(F142,W$1:W$35,W$1:W$35) =
 F142,ROUND(G141*(1+IF($Q$18&lt;6,$R$14,IF($Q$18&lt;11,$R$15,$R$16)))^(1/12),0),G141*(1+IF($Q$18&lt;6,$R$14,IF($Q$18&lt;11,$R$15,$R$16)))^(1/12))),IF(LOOKUP(F142,X$1:X$35,X$1:X$35) = F142,ROUND(LOOKUP(LOOKUP(F142,X$1:X$35,A:A),'Annual Calculation'!A$2:A$107,Table1[Saving]),0),IF( LOOKUP(F142,W$1:W$35,W$1:W$35) =
 F142,ROUND(G141*(1+IF($Q$18&lt;6,$R$14,IF($Q$18&lt;11,$R$15,$R$16)))^(1/12),0),G141*(1+IF($Q$18&lt;6,$R$14,IF($Q$18&lt;11,$R$15,$R$16)))^(1/12))))</f>
        <v>343918535.94341189</v>
      </c>
    </row>
    <row r="143" spans="1:7">
      <c r="A143" s="348">
        <f t="shared" si="6"/>
        <v>142</v>
      </c>
      <c r="B143" s="360">
        <f>DATE('Profit Calculation'!J$6,A$2,A$2+A143-1)</f>
        <v>42146</v>
      </c>
      <c r="D143" s="362">
        <f t="shared" si="5"/>
        <v>91349225.956605822</v>
      </c>
      <c r="F143" s="363">
        <f>DATE('Profit Calculation'!J$6,'Profit Calculation'!R$6+A143-1,'Profit Calculation'!Z$6)</f>
        <v>46388</v>
      </c>
      <c r="G143" s="364">
        <f ca="1">IF(Q$27=2,IF(LOOKUP(F143,X$1:X$35,X$1:X$35) = F143,ROUND(LOOKUP(LOOKUP(F143,X$1:X$35,A:A),Single!A$2:A$107,Table13[Saving]),0),IF( LOOKUP(F143,W$1:W$35,W$1:W$35) =
 F143,ROUND(G142*(1+IF($Q$18&lt;6,$R$14,IF($Q$18&lt;11,$R$15,$R$16)))^(1/12),0),G142*(1+IF($Q$18&lt;6,$R$14,IF($Q$18&lt;11,$R$15,$R$16)))^(1/12))),IF(LOOKUP(F143,X$1:X$35,X$1:X$35) = F143,ROUND(LOOKUP(LOOKUP(F143,X$1:X$35,A:A),'Annual Calculation'!A$2:A$107,Table1[Saving]),0),IF( LOOKUP(F143,W$1:W$35,W$1:W$35) =
 F143,ROUND(G142*(1+IF($Q$18&lt;6,$R$14,IF($Q$18&lt;11,$R$15,$R$16)))^(1/12),0),G142*(1+IF($Q$18&lt;6,$R$14,IF($Q$18&lt;11,$R$15,$R$16)))^(1/12))))</f>
        <v>347947513</v>
      </c>
    </row>
    <row r="144" spans="1:7">
      <c r="A144" s="348">
        <f t="shared" si="6"/>
        <v>143</v>
      </c>
      <c r="B144" s="360">
        <f>DATE('Profit Calculation'!J$6,A$2,A$2+A144-1)</f>
        <v>42147</v>
      </c>
      <c r="D144" s="362">
        <f t="shared" si="5"/>
        <v>91384211.134404019</v>
      </c>
      <c r="F144" s="363">
        <f>DATE('Profit Calculation'!J$6,'Profit Calculation'!R$6+A144-1,'Profit Calculation'!Z$6)</f>
        <v>46419</v>
      </c>
      <c r="G144" s="364">
        <f ca="1">IF(Q$27=2,IF(LOOKUP(F144,X$1:X$35,X$1:X$35) = F144,ROUND(LOOKUP(LOOKUP(F144,X$1:X$35,A:A),Single!A$2:A$107,Table13[Saving]),0),IF( LOOKUP(F144,W$1:W$35,W$1:W$35) =
 F144,ROUND(G143*(1+IF($Q$18&lt;6,$R$14,IF($Q$18&lt;11,$R$15,$R$16)))^(1/12),0),G143*(1+IF($Q$18&lt;6,$R$14,IF($Q$18&lt;11,$R$15,$R$16)))^(1/12))),IF(LOOKUP(F144,X$1:X$35,X$1:X$35) = F144,ROUND(LOOKUP(LOOKUP(F144,X$1:X$35,A:A),'Annual Calculation'!A$2:A$107,Table1[Saving]),0),IF( LOOKUP(F144,W$1:W$35,W$1:W$35) =
 F144,ROUND(G143*(1+IF($Q$18&lt;6,$R$14,IF($Q$18&lt;11,$R$15,$R$16)))^(1/12),0),G143*(1+IF($Q$18&lt;6,$R$14,IF($Q$18&lt;11,$R$15,$R$16)))^(1/12))))</f>
        <v>352023689.2072646</v>
      </c>
    </row>
    <row r="145" spans="1:7">
      <c r="A145" s="348">
        <f t="shared" si="6"/>
        <v>144</v>
      </c>
      <c r="B145" s="360">
        <f>DATE('Profit Calculation'!J$6,A$2,A$2+A145-1)</f>
        <v>42148</v>
      </c>
      <c r="D145" s="362">
        <f t="shared" si="5"/>
        <v>91419209.710921839</v>
      </c>
      <c r="F145" s="363">
        <f>DATE('Profit Calculation'!J$6,'Profit Calculation'!R$6+A145-1,'Profit Calculation'!Z$6)</f>
        <v>46447</v>
      </c>
      <c r="G145" s="364">
        <f ca="1">IF(Q$27=2,IF(LOOKUP(F145,X$1:X$35,X$1:X$35) = F145,ROUND(LOOKUP(LOOKUP(F145,X$1:X$35,A:A),Single!A$2:A$107,Table13[Saving]),0),IF( LOOKUP(F145,W$1:W$35,W$1:W$35) =
 F145,ROUND(G144*(1+IF($Q$18&lt;6,$R$14,IF($Q$18&lt;11,$R$15,$R$16)))^(1/12),0),G144*(1+IF($Q$18&lt;6,$R$14,IF($Q$18&lt;11,$R$15,$R$16)))^(1/12))),IF(LOOKUP(F145,X$1:X$35,X$1:X$35) = F145,ROUND(LOOKUP(LOOKUP(F145,X$1:X$35,A:A),'Annual Calculation'!A$2:A$107,Table1[Saving]),0),IF( LOOKUP(F145,W$1:W$35,W$1:W$35) =
 F145,ROUND(G144*(1+IF($Q$18&lt;6,$R$14,IF($Q$18&lt;11,$R$15,$R$16)))^(1/12),0),G144*(1+IF($Q$18&lt;6,$R$14,IF($Q$18&lt;11,$R$15,$R$16)))^(1/12))))</f>
        <v>356147617.48014802</v>
      </c>
    </row>
    <row r="146" spans="1:7">
      <c r="A146" s="348">
        <f t="shared" si="6"/>
        <v>145</v>
      </c>
      <c r="B146" s="360">
        <f>DATE('Profit Calculation'!J$6,A$2,A$2+A146-1)</f>
        <v>42149</v>
      </c>
      <c r="D146" s="362">
        <f t="shared" si="5"/>
        <v>91454221.691290751</v>
      </c>
      <c r="F146" s="357">
        <f>DATE('Profit Calculation'!J$6,'Profit Calculation'!R$6+A146-1,'Profit Calculation'!Z$6)</f>
        <v>46478</v>
      </c>
      <c r="G146" s="358">
        <f ca="1">IF(Q$27=2,IF(LOOKUP(F146,X$1:X$35,X$1:X$35) = F146,ROUND(LOOKUP(LOOKUP(F146,X$1:X$35,A:A),Single!A$2:A$107,Table13[Saving]),0),IF( LOOKUP(F146,W$1:W$35,W$1:W$35) =
 F146,ROUND(G145*(1+IF($Q$18&lt;6,$R$14,IF($Q$18&lt;11,$R$15,$R$16)))^(1/12),0),G145*(1+IF($Q$18&lt;6,$R$14,IF($Q$18&lt;11,$R$15,$R$16)))^(1/12))),IF(LOOKUP(F146,X$1:X$35,X$1:X$35) = F146,ROUND(LOOKUP(LOOKUP(F146,X$1:X$35,A:A),'Annual Calculation'!A$2:A$107,Table1[Saving]),0),IF( LOOKUP(F146,W$1:W$35,W$1:W$35) =
 F146,ROUND(G145*(1+IF($Q$18&lt;6,$R$14,IF($Q$18&lt;11,$R$15,$R$16)))^(1/12),0),G145*(1+IF($Q$18&lt;6,$R$14,IF($Q$18&lt;11,$R$15,$R$16)))^(1/12))))</f>
        <v>349548675</v>
      </c>
    </row>
    <row r="147" spans="1:7">
      <c r="A147" s="348">
        <f t="shared" si="6"/>
        <v>146</v>
      </c>
      <c r="B147" s="360">
        <f>DATE('Profit Calculation'!J$6,A$2,A$2+A147-1)</f>
        <v>42150</v>
      </c>
      <c r="D147" s="362">
        <f t="shared" si="5"/>
        <v>91489247.08064419</v>
      </c>
      <c r="F147" s="363">
        <f>DATE('Profit Calculation'!J$6,'Profit Calculation'!R$6+A147-1,'Profit Calculation'!Z$6)</f>
        <v>46508</v>
      </c>
      <c r="G147" s="364">
        <f ca="1">IF(Q$27=2,IF(LOOKUP(F147,X$1:X$35,X$1:X$35) = F147,ROUND(LOOKUP(LOOKUP(F147,X$1:X$35,A:A),Single!A$2:A$107,Table13[Saving]),0),IF( LOOKUP(F147,W$1:W$35,W$1:W$35) =
 F147,ROUND(G146*(1+IF($Q$18&lt;6,$R$14,IF($Q$18&lt;11,$R$15,$R$16)))^(1/12),0),G146*(1+IF($Q$18&lt;6,$R$14,IF($Q$18&lt;11,$R$15,$R$16)))^(1/12))),IF(LOOKUP(F147,X$1:X$35,X$1:X$35) = F147,ROUND(LOOKUP(LOOKUP(F147,X$1:X$35,A:A),'Annual Calculation'!A$2:A$107,Table1[Saving]),0),IF( LOOKUP(F147,W$1:W$35,W$1:W$35) =
 F147,ROUND(G146*(1+IF($Q$18&lt;6,$R$14,IF($Q$18&lt;11,$R$15,$R$16)))^(1/12),0),G146*(1+IF($Q$18&lt;6,$R$14,IF($Q$18&lt;11,$R$15,$R$16)))^(1/12))))</f>
        <v>353643608.68706983</v>
      </c>
    </row>
    <row r="148" spans="1:7">
      <c r="A148" s="348">
        <f t="shared" si="6"/>
        <v>147</v>
      </c>
      <c r="B148" s="360">
        <f>DATE('Profit Calculation'!J$6,A$2,A$2+A148-1)</f>
        <v>42151</v>
      </c>
      <c r="D148" s="362">
        <f t="shared" si="5"/>
        <v>91524285.884117573</v>
      </c>
      <c r="F148" s="363">
        <f>DATE('Profit Calculation'!J$6,'Profit Calculation'!R$6+A148-1,'Profit Calculation'!Z$6)</f>
        <v>46539</v>
      </c>
      <c r="G148" s="364">
        <f ca="1">IF(Q$27=2,IF(LOOKUP(F148,X$1:X$35,X$1:X$35) = F148,ROUND(LOOKUP(LOOKUP(F148,X$1:X$35,A:A),Single!A$2:A$107,Table13[Saving]),0),IF( LOOKUP(F148,W$1:W$35,W$1:W$35) =
 F148,ROUND(G147*(1+IF($Q$18&lt;6,$R$14,IF($Q$18&lt;11,$R$15,$R$16)))^(1/12),0),G147*(1+IF($Q$18&lt;6,$R$14,IF($Q$18&lt;11,$R$15,$R$16)))^(1/12))),IF(LOOKUP(F148,X$1:X$35,X$1:X$35) = F148,ROUND(LOOKUP(LOOKUP(F148,X$1:X$35,A:A),'Annual Calculation'!A$2:A$107,Table1[Saving]),0),IF( LOOKUP(F148,W$1:W$35,W$1:W$35) =
 F148,ROUND(G147*(1+IF($Q$18&lt;6,$R$14,IF($Q$18&lt;11,$R$15,$R$16)))^(1/12),0),G147*(1+IF($Q$18&lt;6,$R$14,IF($Q$18&lt;11,$R$15,$R$16)))^(1/12))))</f>
        <v>357786514.18207598</v>
      </c>
    </row>
    <row r="149" spans="1:7">
      <c r="A149" s="348">
        <f t="shared" si="6"/>
        <v>148</v>
      </c>
      <c r="B149" s="360">
        <f>DATE('Profit Calculation'!J$6,A$2,A$2+A149-1)</f>
        <v>42152</v>
      </c>
      <c r="D149" s="362">
        <f t="shared" si="5"/>
        <v>91559338.106848285</v>
      </c>
      <c r="F149" s="363">
        <f>DATE('Profit Calculation'!J$6,'Profit Calculation'!R$6+A149-1,'Profit Calculation'!Z$6)</f>
        <v>46569</v>
      </c>
      <c r="G149" s="364">
        <f ca="1">IF(Q$27=2,IF(LOOKUP(F149,X$1:X$35,X$1:X$35) = F149,ROUND(LOOKUP(LOOKUP(F149,X$1:X$35,A:A),Single!A$2:A$107,Table13[Saving]),0),IF( LOOKUP(F149,W$1:W$35,W$1:W$35) =
 F149,ROUND(G148*(1+IF($Q$18&lt;6,$R$14,IF($Q$18&lt;11,$R$15,$R$16)))^(1/12),0),G148*(1+IF($Q$18&lt;6,$R$14,IF($Q$18&lt;11,$R$15,$R$16)))^(1/12))),IF(LOOKUP(F149,X$1:X$35,X$1:X$35) = F149,ROUND(LOOKUP(LOOKUP(F149,X$1:X$35,A:A),'Annual Calculation'!A$2:A$107,Table1[Saving]),0),IF( LOOKUP(F149,W$1:W$35,W$1:W$35) =
 F149,ROUND(G148*(1+IF($Q$18&lt;6,$R$14,IF($Q$18&lt;11,$R$15,$R$16)))^(1/12),0),G148*(1+IF($Q$18&lt;6,$R$14,IF($Q$18&lt;11,$R$15,$R$16)))^(1/12))))</f>
        <v>361977953.47076297</v>
      </c>
    </row>
    <row r="150" spans="1:7">
      <c r="A150" s="348">
        <f t="shared" si="6"/>
        <v>149</v>
      </c>
      <c r="B150" s="360">
        <f>DATE('Profit Calculation'!J$6,A$2,A$2+A150-1)</f>
        <v>42153</v>
      </c>
      <c r="D150" s="362">
        <f t="shared" si="5"/>
        <v>91594403.75397566</v>
      </c>
      <c r="F150" s="363">
        <f>DATE('Profit Calculation'!J$6,'Profit Calculation'!R$6+A150-1,'Profit Calculation'!Z$6)</f>
        <v>46600</v>
      </c>
      <c r="G150" s="364">
        <f ca="1">IF(Q$27=2,IF(LOOKUP(F150,X$1:X$35,X$1:X$35) = F150,ROUND(LOOKUP(LOOKUP(F150,X$1:X$35,A:A),Single!A$2:A$107,Table13[Saving]),0),IF( LOOKUP(F150,W$1:W$35,W$1:W$35) =
 F150,ROUND(G149*(1+IF($Q$18&lt;6,$R$14,IF($Q$18&lt;11,$R$15,$R$16)))^(1/12),0),G149*(1+IF($Q$18&lt;6,$R$14,IF($Q$18&lt;11,$R$15,$R$16)))^(1/12))),IF(LOOKUP(F150,X$1:X$35,X$1:X$35) = F150,ROUND(LOOKUP(LOOKUP(F150,X$1:X$35,A:A),'Annual Calculation'!A$2:A$107,Table1[Saving]),0),IF( LOOKUP(F150,W$1:W$35,W$1:W$35) =
 F150,ROUND(G149*(1+IF($Q$18&lt;6,$R$14,IF($Q$18&lt;11,$R$15,$R$16)))^(1/12),0),G149*(1+IF($Q$18&lt;6,$R$14,IF($Q$18&lt;11,$R$15,$R$16)))^(1/12))))</f>
        <v>366218495.12249148</v>
      </c>
    </row>
    <row r="151" spans="1:7">
      <c r="A151" s="348">
        <f t="shared" si="6"/>
        <v>150</v>
      </c>
      <c r="B151" s="360">
        <f>DATE('Profit Calculation'!J$6,A$2,A$2+A151-1)</f>
        <v>42154</v>
      </c>
      <c r="D151" s="362">
        <f t="shared" si="5"/>
        <v>91629482.830641016</v>
      </c>
      <c r="F151" s="363">
        <f>DATE('Profit Calculation'!J$6,'Profit Calculation'!R$6+A151-1,'Profit Calculation'!Z$6)</f>
        <v>46631</v>
      </c>
      <c r="G151" s="364">
        <f ca="1">IF(Q$27=2,IF(LOOKUP(F151,X$1:X$35,X$1:X$35) = F151,ROUND(LOOKUP(LOOKUP(F151,X$1:X$35,A:A),Single!A$2:A$107,Table13[Saving]),0),IF( LOOKUP(F151,W$1:W$35,W$1:W$35) =
 F151,ROUND(G150*(1+IF($Q$18&lt;6,$R$14,IF($Q$18&lt;11,$R$15,$R$16)))^(1/12),0),G150*(1+IF($Q$18&lt;6,$R$14,IF($Q$18&lt;11,$R$15,$R$16)))^(1/12))),IF(LOOKUP(F151,X$1:X$35,X$1:X$35) = F151,ROUND(LOOKUP(LOOKUP(F151,X$1:X$35,A:A),'Annual Calculation'!A$2:A$107,Table1[Saving]),0),IF( LOOKUP(F151,W$1:W$35,W$1:W$35) =
 F151,ROUND(G150*(1+IF($Q$18&lt;6,$R$14,IF($Q$18&lt;11,$R$15,$R$16)))^(1/12),0),G150*(1+IF($Q$18&lt;6,$R$14,IF($Q$18&lt;11,$R$15,$R$16)))^(1/12))))</f>
        <v>370508714.36736518</v>
      </c>
    </row>
    <row r="152" spans="1:7">
      <c r="A152" s="348">
        <f t="shared" si="6"/>
        <v>151</v>
      </c>
      <c r="B152" s="360">
        <f>DATE('Profit Calculation'!J$6,A$2,A$2+A152-1)</f>
        <v>42155</v>
      </c>
      <c r="D152" s="362">
        <f t="shared" si="5"/>
        <v>91664575.34198764</v>
      </c>
      <c r="F152" s="363">
        <f>DATE('Profit Calculation'!J$6,'Profit Calculation'!R$6+A152-1,'Profit Calculation'!Z$6)</f>
        <v>46661</v>
      </c>
      <c r="G152" s="364">
        <f ca="1">IF(Q$27=2,IF(LOOKUP(F152,X$1:X$35,X$1:X$35) = F152,ROUND(LOOKUP(LOOKUP(F152,X$1:X$35,A:A),Single!A$2:A$107,Table13[Saving]),0),IF( LOOKUP(F152,W$1:W$35,W$1:W$35) =
 F152,ROUND(G151*(1+IF($Q$18&lt;6,$R$14,IF($Q$18&lt;11,$R$15,$R$16)))^(1/12),0),G151*(1+IF($Q$18&lt;6,$R$14,IF($Q$18&lt;11,$R$15,$R$16)))^(1/12))),IF(LOOKUP(F152,X$1:X$35,X$1:X$35) = F152,ROUND(LOOKUP(LOOKUP(F152,X$1:X$35,A:A),'Annual Calculation'!A$2:A$107,Table1[Saving]),0),IF( LOOKUP(F152,W$1:W$35,W$1:W$35) =
 F152,ROUND(G151*(1+IF($Q$18&lt;6,$R$14,IF($Q$18&lt;11,$R$15,$R$16)))^(1/12),0),G151*(1+IF($Q$18&lt;6,$R$14,IF($Q$18&lt;11,$R$15,$R$16)))^(1/12))))</f>
        <v>374849193.17426056</v>
      </c>
    </row>
    <row r="153" spans="1:7">
      <c r="A153" s="348">
        <f t="shared" si="6"/>
        <v>152</v>
      </c>
      <c r="B153" s="360">
        <f>DATE('Profit Calculation'!J$6,A$2,A$2+A153-1)</f>
        <v>42156</v>
      </c>
      <c r="D153" s="362">
        <f t="shared" si="5"/>
        <v>91699681.293160766</v>
      </c>
      <c r="F153" s="363">
        <f>DATE('Profit Calculation'!J$6,'Profit Calculation'!R$6+A153-1,'Profit Calculation'!Z$6)</f>
        <v>46692</v>
      </c>
      <c r="G153" s="364">
        <f ca="1">IF(Q$27=2,IF(LOOKUP(F153,X$1:X$35,X$1:X$35) = F153,ROUND(LOOKUP(LOOKUP(F153,X$1:X$35,A:A),Single!A$2:A$107,Table13[Saving]),0),IF( LOOKUP(F153,W$1:W$35,W$1:W$35) =
 F153,ROUND(G152*(1+IF($Q$18&lt;6,$R$14,IF($Q$18&lt;11,$R$15,$R$16)))^(1/12),0),G152*(1+IF($Q$18&lt;6,$R$14,IF($Q$18&lt;11,$R$15,$R$16)))^(1/12))),IF(LOOKUP(F153,X$1:X$35,X$1:X$35) = F153,ROUND(LOOKUP(LOOKUP(F153,X$1:X$35,A:A),'Annual Calculation'!A$2:A$107,Table1[Saving]),0),IF( LOOKUP(F153,W$1:W$35,W$1:W$35) =
 F153,ROUND(G152*(1+IF($Q$18&lt;6,$R$14,IF($Q$18&lt;11,$R$15,$R$16)))^(1/12),0),G152*(1+IF($Q$18&lt;6,$R$14,IF($Q$18&lt;11,$R$15,$R$16)))^(1/12))))</f>
        <v>379240520.3297711</v>
      </c>
    </row>
    <row r="154" spans="1:7">
      <c r="A154" s="348">
        <f t="shared" si="6"/>
        <v>153</v>
      </c>
      <c r="B154" s="360">
        <f>DATE('Profit Calculation'!J$6,A$2,A$2+A154-1)</f>
        <v>42157</v>
      </c>
      <c r="D154" s="362">
        <f t="shared" si="5"/>
        <v>91734800.68930763</v>
      </c>
      <c r="F154" s="363">
        <f>DATE('Profit Calculation'!J$6,'Profit Calculation'!R$6+A154-1,'Profit Calculation'!Z$6)</f>
        <v>46722</v>
      </c>
      <c r="G154" s="364">
        <f ca="1">IF(Q$27=2,IF(LOOKUP(F154,X$1:X$35,X$1:X$35) = F154,ROUND(LOOKUP(LOOKUP(F154,X$1:X$35,A:A),Single!A$2:A$107,Table13[Saving]),0),IF( LOOKUP(F154,W$1:W$35,W$1:W$35) =
 F154,ROUND(G153*(1+IF($Q$18&lt;6,$R$14,IF($Q$18&lt;11,$R$15,$R$16)))^(1/12),0),G153*(1+IF($Q$18&lt;6,$R$14,IF($Q$18&lt;11,$R$15,$R$16)))^(1/12))),IF(LOOKUP(F154,X$1:X$35,X$1:X$35) = F154,ROUND(LOOKUP(LOOKUP(F154,X$1:X$35,A:A),'Annual Calculation'!A$2:A$107,Table1[Saving]),0),IF( LOOKUP(F154,W$1:W$35,W$1:W$35) =
 F154,ROUND(G153*(1+IF($Q$18&lt;6,$R$14,IF($Q$18&lt;11,$R$15,$R$16)))^(1/12),0),G153*(1+IF($Q$18&lt;6,$R$14,IF($Q$18&lt;11,$R$15,$R$16)))^(1/12))))</f>
        <v>383683291.51807636</v>
      </c>
    </row>
    <row r="155" spans="1:7">
      <c r="A155" s="348">
        <f t="shared" si="6"/>
        <v>154</v>
      </c>
      <c r="B155" s="360">
        <f>DATE('Profit Calculation'!J$6,A$2,A$2+A155-1)</f>
        <v>42158</v>
      </c>
      <c r="D155" s="362">
        <f t="shared" si="5"/>
        <v>91769933.535577416</v>
      </c>
      <c r="F155" s="363">
        <f>DATE('Profit Calculation'!J$6,'Profit Calculation'!R$6+A155-1,'Profit Calculation'!Z$6)</f>
        <v>46753</v>
      </c>
      <c r="G155" s="364">
        <f ca="1">IF(Q$27=2,IF(LOOKUP(F155,X$1:X$35,X$1:X$35) = F155,ROUND(LOOKUP(LOOKUP(F155,X$1:X$35,A:A),Single!A$2:A$107,Table13[Saving]),0),IF( LOOKUP(F155,W$1:W$35,W$1:W$35) =
 F155,ROUND(G154*(1+IF($Q$18&lt;6,$R$14,IF($Q$18&lt;11,$R$15,$R$16)))^(1/12),0),G154*(1+IF($Q$18&lt;6,$R$14,IF($Q$18&lt;11,$R$15,$R$16)))^(1/12))),IF(LOOKUP(F155,X$1:X$35,X$1:X$35) = F155,ROUND(LOOKUP(LOOKUP(F155,X$1:X$35,A:A),'Annual Calculation'!A$2:A$107,Table1[Saving]),0),IF( LOOKUP(F155,W$1:W$35,W$1:W$35) =
 F155,ROUND(G154*(1+IF($Q$18&lt;6,$R$14,IF($Q$18&lt;11,$R$15,$R$16)))^(1/12),0),G154*(1+IF($Q$18&lt;6,$R$14,IF($Q$18&lt;11,$R$15,$R$16)))^(1/12))))</f>
        <v>388178109</v>
      </c>
    </row>
    <row r="156" spans="1:7">
      <c r="A156" s="348">
        <f t="shared" si="6"/>
        <v>155</v>
      </c>
      <c r="B156" s="360">
        <f>DATE('Profit Calculation'!J$6,A$2,A$2+A156-1)</f>
        <v>42159</v>
      </c>
      <c r="D156" s="362">
        <f t="shared" si="5"/>
        <v>91805079.837121293</v>
      </c>
      <c r="F156" s="363">
        <f>DATE('Profit Calculation'!J$6,'Profit Calculation'!R$6+A156-1,'Profit Calculation'!Z$6)</f>
        <v>46784</v>
      </c>
      <c r="G156" s="364">
        <f ca="1">IF(Q$27=2,IF(LOOKUP(F156,X$1:X$35,X$1:X$35) = F156,ROUND(LOOKUP(LOOKUP(F156,X$1:X$35,A:A),Single!A$2:A$107,Table13[Saving]),0),IF( LOOKUP(F156,W$1:W$35,W$1:W$35) =
 F156,ROUND(G155*(1+IF($Q$18&lt;6,$R$14,IF($Q$18&lt;11,$R$15,$R$16)))^(1/12),0),G155*(1+IF($Q$18&lt;6,$R$14,IF($Q$18&lt;11,$R$15,$R$16)))^(1/12))),IF(LOOKUP(F156,X$1:X$35,X$1:X$35) = F156,ROUND(LOOKUP(LOOKUP(F156,X$1:X$35,A:A),'Annual Calculation'!A$2:A$107,Table1[Saving]),0),IF( LOOKUP(F156,W$1:W$35,W$1:W$35) =
 F156,ROUND(G155*(1+IF($Q$18&lt;6,$R$14,IF($Q$18&lt;11,$R$15,$R$16)))^(1/12),0),G155*(1+IF($Q$18&lt;6,$R$14,IF($Q$18&lt;11,$R$15,$R$16)))^(1/12))))</f>
        <v>392725583.29704076</v>
      </c>
    </row>
    <row r="157" spans="1:7">
      <c r="A157" s="348">
        <f t="shared" si="6"/>
        <v>156</v>
      </c>
      <c r="B157" s="360">
        <f>DATE('Profit Calculation'!J$6,A$2,A$2+A157-1)</f>
        <v>42160</v>
      </c>
      <c r="D157" s="362">
        <f t="shared" si="5"/>
        <v>91840239.599092409</v>
      </c>
      <c r="F157" s="363">
        <f>DATE('Profit Calculation'!J$6,'Profit Calculation'!R$6+A157-1,'Profit Calculation'!Z$6)</f>
        <v>46813</v>
      </c>
      <c r="G157" s="364">
        <f ca="1">IF(Q$27=2,IF(LOOKUP(F157,X$1:X$35,X$1:X$35) = F157,ROUND(LOOKUP(LOOKUP(F157,X$1:X$35,A:A),Single!A$2:A$107,Table13[Saving]),0),IF( LOOKUP(F157,W$1:W$35,W$1:W$35) =
 F157,ROUND(G156*(1+IF($Q$18&lt;6,$R$14,IF($Q$18&lt;11,$R$15,$R$16)))^(1/12),0),G156*(1+IF($Q$18&lt;6,$R$14,IF($Q$18&lt;11,$R$15,$R$16)))^(1/12))),IF(LOOKUP(F157,X$1:X$35,X$1:X$35) = F157,ROUND(LOOKUP(LOOKUP(F157,X$1:X$35,A:A),'Annual Calculation'!A$2:A$107,Table1[Saving]),0),IF( LOOKUP(F157,W$1:W$35,W$1:W$35) =
 F157,ROUND(G156*(1+IF($Q$18&lt;6,$R$14,IF($Q$18&lt;11,$R$15,$R$16)))^(1/12),0),G156*(1+IF($Q$18&lt;6,$R$14,IF($Q$18&lt;11,$R$15,$R$16)))^(1/12))))</f>
        <v>397326330.87766653</v>
      </c>
    </row>
    <row r="158" spans="1:7">
      <c r="A158" s="348">
        <f t="shared" si="6"/>
        <v>157</v>
      </c>
      <c r="B158" s="360">
        <f>DATE('Profit Calculation'!J$6,A$2,A$2+A158-1)</f>
        <v>42161</v>
      </c>
      <c r="D158" s="362">
        <f t="shared" si="5"/>
        <v>91875412.826645866</v>
      </c>
      <c r="F158" s="357">
        <f>DATE('Profit Calculation'!J$6,'Profit Calculation'!R$6+A158-1,'Profit Calculation'!Z$6)</f>
        <v>46844</v>
      </c>
      <c r="G158" s="358">
        <f ca="1">IF(Q$27=2,IF(LOOKUP(F158,X$1:X$35,X$1:X$35) = F158,ROUND(LOOKUP(LOOKUP(F158,X$1:X$35,A:A),Single!A$2:A$107,Table13[Saving]),0),IF( LOOKUP(F158,W$1:W$35,W$1:W$35) =
 F158,ROUND(G157*(1+IF($Q$18&lt;6,$R$14,IF($Q$18&lt;11,$R$15,$R$16)))^(1/12),0),G157*(1+IF($Q$18&lt;6,$R$14,IF($Q$18&lt;11,$R$15,$R$16)))^(1/12))),IF(LOOKUP(F158,X$1:X$35,X$1:X$35) = F158,ROUND(LOOKUP(LOOKUP(F158,X$1:X$35,A:A),'Annual Calculation'!A$2:A$107,Table1[Saving]),0),IF( LOOKUP(F158,W$1:W$35,W$1:W$35) =
 F158,ROUND(G157*(1+IF($Q$18&lt;6,$R$14,IF($Q$18&lt;11,$R$15,$R$16)))^(1/12),0),G157*(1+IF($Q$18&lt;6,$R$14,IF($Q$18&lt;11,$R$15,$R$16)))^(1/12))))</f>
        <v>391209793</v>
      </c>
    </row>
    <row r="159" spans="1:7">
      <c r="A159" s="348">
        <f t="shared" si="6"/>
        <v>158</v>
      </c>
      <c r="B159" s="360">
        <f>DATE('Profit Calculation'!J$6,A$2,A$2+A159-1)</f>
        <v>42162</v>
      </c>
      <c r="D159" s="362">
        <f t="shared" si="5"/>
        <v>91910599.524938747</v>
      </c>
      <c r="F159" s="363">
        <f>DATE('Profit Calculation'!J$6,'Profit Calculation'!R$6+A159-1,'Profit Calculation'!Z$6)</f>
        <v>46874</v>
      </c>
      <c r="G159" s="364">
        <f ca="1">IF(Q$27=2,IF(LOOKUP(F159,X$1:X$35,X$1:X$35) = F159,ROUND(LOOKUP(LOOKUP(F159,X$1:X$35,A:A),Single!A$2:A$107,Table13[Saving]),0),IF( LOOKUP(F159,W$1:W$35,W$1:W$35) =
 F159,ROUND(G158*(1+IF($Q$18&lt;6,$R$14,IF($Q$18&lt;11,$R$15,$R$16)))^(1/12),0),G158*(1+IF($Q$18&lt;6,$R$14,IF($Q$18&lt;11,$R$15,$R$16)))^(1/12))),IF(LOOKUP(F159,X$1:X$35,X$1:X$35) = F159,ROUND(LOOKUP(LOOKUP(F159,X$1:X$35,A:A),'Annual Calculation'!A$2:A$107,Table1[Saving]),0),IF( LOOKUP(F159,W$1:W$35,W$1:W$35) =
 F159,ROUND(G158*(1+IF($Q$18&lt;6,$R$14,IF($Q$18&lt;11,$R$15,$R$16)))^(1/12),0),G158*(1+IF($Q$18&lt;6,$R$14,IF($Q$18&lt;11,$R$15,$R$16)))^(1/12))))</f>
        <v>395792783.22322804</v>
      </c>
    </row>
    <row r="160" spans="1:7">
      <c r="A160" s="348">
        <f t="shared" si="6"/>
        <v>159</v>
      </c>
      <c r="B160" s="360">
        <f>DATE('Profit Calculation'!J$6,A$2,A$2+A160-1)</f>
        <v>42163</v>
      </c>
      <c r="D160" s="362">
        <f t="shared" si="5"/>
        <v>91945799.699130118</v>
      </c>
      <c r="F160" s="363">
        <f>DATE('Profit Calculation'!J$6,'Profit Calculation'!R$6+A160-1,'Profit Calculation'!Z$6)</f>
        <v>46905</v>
      </c>
      <c r="G160" s="364">
        <f ca="1">IF(Q$27=2,IF(LOOKUP(F160,X$1:X$35,X$1:X$35) = F160,ROUND(LOOKUP(LOOKUP(F160,X$1:X$35,A:A),Single!A$2:A$107,Table13[Saving]),0),IF( LOOKUP(F160,W$1:W$35,W$1:W$35) =
 F160,ROUND(G159*(1+IF($Q$18&lt;6,$R$14,IF($Q$18&lt;11,$R$15,$R$16)))^(1/12),0),G159*(1+IF($Q$18&lt;6,$R$14,IF($Q$18&lt;11,$R$15,$R$16)))^(1/12))),IF(LOOKUP(F160,X$1:X$35,X$1:X$35) = F160,ROUND(LOOKUP(LOOKUP(F160,X$1:X$35,A:A),'Annual Calculation'!A$2:A$107,Table1[Saving]),0),IF( LOOKUP(F160,W$1:W$35,W$1:W$35) =
 F160,ROUND(G159*(1+IF($Q$18&lt;6,$R$14,IF($Q$18&lt;11,$R$15,$R$16)))^(1/12),0),G159*(1+IF($Q$18&lt;6,$R$14,IF($Q$18&lt;11,$R$15,$R$16)))^(1/12))))</f>
        <v>400429462.7961657</v>
      </c>
    </row>
    <row r="161" spans="1:7">
      <c r="A161" s="348">
        <f t="shared" si="6"/>
        <v>160</v>
      </c>
      <c r="B161" s="360">
        <f>DATE('Profit Calculation'!J$6,A$2,A$2+A161-1)</f>
        <v>42164</v>
      </c>
      <c r="D161" s="362">
        <f t="shared" si="5"/>
        <v>91981013.35438101</v>
      </c>
      <c r="F161" s="363">
        <f>DATE('Profit Calculation'!J$6,'Profit Calculation'!R$6+A161-1,'Profit Calculation'!Z$6)</f>
        <v>46935</v>
      </c>
      <c r="G161" s="364">
        <f ca="1">IF(Q$27=2,IF(LOOKUP(F161,X$1:X$35,X$1:X$35) = F161,ROUND(LOOKUP(LOOKUP(F161,X$1:X$35,A:A),Single!A$2:A$107,Table13[Saving]),0),IF( LOOKUP(F161,W$1:W$35,W$1:W$35) =
 F161,ROUND(G160*(1+IF($Q$18&lt;6,$R$14,IF($Q$18&lt;11,$R$15,$R$16)))^(1/12),0),G160*(1+IF($Q$18&lt;6,$R$14,IF($Q$18&lt;11,$R$15,$R$16)))^(1/12))),IF(LOOKUP(F161,X$1:X$35,X$1:X$35) = F161,ROUND(LOOKUP(LOOKUP(F161,X$1:X$35,A:A),'Annual Calculation'!A$2:A$107,Table1[Saving]),0),IF( LOOKUP(F161,W$1:W$35,W$1:W$35) =
 F161,ROUND(G160*(1+IF($Q$18&lt;6,$R$14,IF($Q$18&lt;11,$R$15,$R$16)))^(1/12),0),G160*(1+IF($Q$18&lt;6,$R$14,IF($Q$18&lt;11,$R$15,$R$16)))^(1/12))))</f>
        <v>405120460.68508428</v>
      </c>
    </row>
    <row r="162" spans="1:7">
      <c r="A162" s="348">
        <f t="shared" si="6"/>
        <v>161</v>
      </c>
      <c r="B162" s="360">
        <f>DATE('Profit Calculation'!J$6,A$2,A$2+A162-1)</f>
        <v>42165</v>
      </c>
      <c r="D162" s="362">
        <f t="shared" si="5"/>
        <v>92016240.495854437</v>
      </c>
      <c r="F162" s="363">
        <f>DATE('Profit Calculation'!J$6,'Profit Calculation'!R$6+A162-1,'Profit Calculation'!Z$6)</f>
        <v>46966</v>
      </c>
      <c r="G162" s="364">
        <f ca="1">IF(Q$27=2,IF(LOOKUP(F162,X$1:X$35,X$1:X$35) = F162,ROUND(LOOKUP(LOOKUP(F162,X$1:X$35,A:A),Single!A$2:A$107,Table13[Saving]),0),IF( LOOKUP(F162,W$1:W$35,W$1:W$35) =
 F162,ROUND(G161*(1+IF($Q$18&lt;6,$R$14,IF($Q$18&lt;11,$R$15,$R$16)))^(1/12),0),G161*(1+IF($Q$18&lt;6,$R$14,IF($Q$18&lt;11,$R$15,$R$16)))^(1/12))),IF(LOOKUP(F162,X$1:X$35,X$1:X$35) = F162,ROUND(LOOKUP(LOOKUP(F162,X$1:X$35,A:A),'Annual Calculation'!A$2:A$107,Table1[Saving]),0),IF( LOOKUP(F162,W$1:W$35,W$1:W$35) =
 F162,ROUND(G161*(1+IF($Q$18&lt;6,$R$14,IF($Q$18&lt;11,$R$15,$R$16)))^(1/12),0),G161*(1+IF($Q$18&lt;6,$R$14,IF($Q$18&lt;11,$R$15,$R$16)))^(1/12))))</f>
        <v>409866413.2245428</v>
      </c>
    </row>
    <row r="163" spans="1:7">
      <c r="A163" s="348">
        <f t="shared" si="6"/>
        <v>162</v>
      </c>
      <c r="B163" s="360">
        <f>DATE('Profit Calculation'!J$6,A$2,A$2+A163-1)</f>
        <v>42166</v>
      </c>
      <c r="D163" s="362">
        <f t="shared" si="5"/>
        <v>92051481.128715396</v>
      </c>
      <c r="F163" s="363">
        <f>DATE('Profit Calculation'!J$6,'Profit Calculation'!R$6+A163-1,'Profit Calculation'!Z$6)</f>
        <v>46997</v>
      </c>
      <c r="G163" s="364">
        <f ca="1">IF(Q$27=2,IF(LOOKUP(F163,X$1:X$35,X$1:X$35) = F163,ROUND(LOOKUP(LOOKUP(F163,X$1:X$35,A:A),Single!A$2:A$107,Table13[Saving]),0),IF( LOOKUP(F163,W$1:W$35,W$1:W$35) =
 F163,ROUND(G162*(1+IF($Q$18&lt;6,$R$14,IF($Q$18&lt;11,$R$15,$R$16)))^(1/12),0),G162*(1+IF($Q$18&lt;6,$R$14,IF($Q$18&lt;11,$R$15,$R$16)))^(1/12))),IF(LOOKUP(F163,X$1:X$35,X$1:X$35) = F163,ROUND(LOOKUP(LOOKUP(F163,X$1:X$35,A:A),'Annual Calculation'!A$2:A$107,Table1[Saving]),0),IF( LOOKUP(F163,W$1:W$35,W$1:W$35) =
 F163,ROUND(G162*(1+IF($Q$18&lt;6,$R$14,IF($Q$18&lt;11,$R$15,$R$16)))^(1/12),0),G162*(1+IF($Q$18&lt;6,$R$14,IF($Q$18&lt;11,$R$15,$R$16)))^(1/12))))</f>
        <v>414667964.20370662</v>
      </c>
    </row>
    <row r="164" spans="1:7">
      <c r="A164" s="348">
        <f t="shared" si="6"/>
        <v>163</v>
      </c>
      <c r="B164" s="360">
        <f>DATE('Profit Calculation'!J$6,A$2,A$2+A164-1)</f>
        <v>42167</v>
      </c>
      <c r="D164" s="362">
        <f t="shared" si="5"/>
        <v>92086735.258130848</v>
      </c>
      <c r="F164" s="363">
        <f>DATE('Profit Calculation'!J$6,'Profit Calculation'!R$6+A164-1,'Profit Calculation'!Z$6)</f>
        <v>47027</v>
      </c>
      <c r="G164" s="364">
        <f ca="1">IF(Q$27=2,IF(LOOKUP(F164,X$1:X$35,X$1:X$35) = F164,ROUND(LOOKUP(LOOKUP(F164,X$1:X$35,A:A),Single!A$2:A$107,Table13[Saving]),0),IF( LOOKUP(F164,W$1:W$35,W$1:W$35) =
 F164,ROUND(G163*(1+IF($Q$18&lt;6,$R$14,IF($Q$18&lt;11,$R$15,$R$16)))^(1/12),0),G163*(1+IF($Q$18&lt;6,$R$14,IF($Q$18&lt;11,$R$15,$R$16)))^(1/12))),IF(LOOKUP(F164,X$1:X$35,X$1:X$35) = F164,ROUND(LOOKUP(LOOKUP(F164,X$1:X$35,A:A),'Annual Calculation'!A$2:A$107,Table1[Saving]),0),IF( LOOKUP(F164,W$1:W$35,W$1:W$35) =
 F164,ROUND(G163*(1+IF($Q$18&lt;6,$R$14,IF($Q$18&lt;11,$R$15,$R$16)))^(1/12),0),G163*(1+IF($Q$18&lt;6,$R$14,IF($Q$18&lt;11,$R$15,$R$16)))^(1/12))))</f>
        <v>419525764.95367777</v>
      </c>
    </row>
    <row r="165" spans="1:7">
      <c r="A165" s="348">
        <f t="shared" si="6"/>
        <v>164</v>
      </c>
      <c r="B165" s="360">
        <f>DATE('Profit Calculation'!J$6,A$2,A$2+A165-1)</f>
        <v>42168</v>
      </c>
      <c r="D165" s="362">
        <f t="shared" si="5"/>
        <v>92122002.889269739</v>
      </c>
      <c r="F165" s="363">
        <f>DATE('Profit Calculation'!J$6,'Profit Calculation'!R$6+A165-1,'Profit Calculation'!Z$6)</f>
        <v>47058</v>
      </c>
      <c r="G165" s="364">
        <f ca="1">IF(Q$27=2,IF(LOOKUP(F165,X$1:X$35,X$1:X$35) = F165,ROUND(LOOKUP(LOOKUP(F165,X$1:X$35,A:A),Single!A$2:A$107,Table13[Saving]),0),IF( LOOKUP(F165,W$1:W$35,W$1:W$35) =
 F165,ROUND(G164*(1+IF($Q$18&lt;6,$R$14,IF($Q$18&lt;11,$R$15,$R$16)))^(1/12),0),G164*(1+IF($Q$18&lt;6,$R$14,IF($Q$18&lt;11,$R$15,$R$16)))^(1/12))),IF(LOOKUP(F165,X$1:X$35,X$1:X$35) = F165,ROUND(LOOKUP(LOOKUP(F165,X$1:X$35,A:A),'Annual Calculation'!A$2:A$107,Table1[Saving]),0),IF( LOOKUP(F165,W$1:W$35,W$1:W$35) =
 F165,ROUND(G164*(1+IF($Q$18&lt;6,$R$14,IF($Q$18&lt;11,$R$15,$R$16)))^(1/12),0),G164*(1+IF($Q$18&lt;6,$R$14,IF($Q$18&lt;11,$R$15,$R$16)))^(1/12))))</f>
        <v>424440474.43584806</v>
      </c>
    </row>
    <row r="166" spans="1:7">
      <c r="A166" s="348">
        <f t="shared" si="6"/>
        <v>165</v>
      </c>
      <c r="B166" s="360">
        <f>DATE('Profit Calculation'!J$6,A$2,A$2+A166-1)</f>
        <v>42169</v>
      </c>
      <c r="D166" s="362">
        <f t="shared" si="5"/>
        <v>92157284.02730301</v>
      </c>
      <c r="F166" s="363">
        <f>DATE('Profit Calculation'!J$6,'Profit Calculation'!R$6+A166-1,'Profit Calculation'!Z$6)</f>
        <v>47088</v>
      </c>
      <c r="G166" s="364">
        <f ca="1">IF(Q$27=2,IF(LOOKUP(F166,X$1:X$35,X$1:X$35) = F166,ROUND(LOOKUP(LOOKUP(F166,X$1:X$35,A:A),Single!A$2:A$107,Table13[Saving]),0),IF( LOOKUP(F166,W$1:W$35,W$1:W$35) =
 F166,ROUND(G165*(1+IF($Q$18&lt;6,$R$14,IF($Q$18&lt;11,$R$15,$R$16)))^(1/12),0),G165*(1+IF($Q$18&lt;6,$R$14,IF($Q$18&lt;11,$R$15,$R$16)))^(1/12))),IF(LOOKUP(F166,X$1:X$35,X$1:X$35) = F166,ROUND(LOOKUP(LOOKUP(F166,X$1:X$35,A:A),'Annual Calculation'!A$2:A$107,Table1[Saving]),0),IF( LOOKUP(F166,W$1:W$35,W$1:W$35) =
 F166,ROUND(G165*(1+IF($Q$18&lt;6,$R$14,IF($Q$18&lt;11,$R$15,$R$16)))^(1/12),0),G165*(1+IF($Q$18&lt;6,$R$14,IF($Q$18&lt;11,$R$15,$R$16)))^(1/12))))</f>
        <v>429412759.33128715</v>
      </c>
    </row>
    <row r="167" spans="1:7">
      <c r="A167" s="348">
        <f t="shared" si="6"/>
        <v>166</v>
      </c>
      <c r="B167" s="360">
        <f>DATE('Profit Calculation'!J$6,A$2,A$2+A167-1)</f>
        <v>42170</v>
      </c>
      <c r="D167" s="362">
        <f t="shared" si="5"/>
        <v>92192578.677403554</v>
      </c>
      <c r="F167" s="363">
        <f>DATE('Profit Calculation'!J$6,'Profit Calculation'!R$6+A167-1,'Profit Calculation'!Z$6)</f>
        <v>47119</v>
      </c>
      <c r="G167" s="364">
        <f ca="1">IF(Q$27=2,IF(LOOKUP(F167,X$1:X$35,X$1:X$35) = F167,ROUND(LOOKUP(LOOKUP(F167,X$1:X$35,A:A),Single!A$2:A$107,Table13[Saving]),0),IF( LOOKUP(F167,W$1:W$35,W$1:W$35) =
 F167,ROUND(G166*(1+IF($Q$18&lt;6,$R$14,IF($Q$18&lt;11,$R$15,$R$16)))^(1/12),0),G166*(1+IF($Q$18&lt;6,$R$14,IF($Q$18&lt;11,$R$15,$R$16)))^(1/12))),IF(LOOKUP(F167,X$1:X$35,X$1:X$35) = F167,ROUND(LOOKUP(LOOKUP(F167,X$1:X$35,A:A),'Annual Calculation'!A$2:A$107,Table1[Saving]),0),IF( LOOKUP(F167,W$1:W$35,W$1:W$35) =
 F167,ROUND(G166*(1+IF($Q$18&lt;6,$R$14,IF($Q$18&lt;11,$R$15,$R$16)))^(1/12),0),G166*(1+IF($Q$18&lt;6,$R$14,IF($Q$18&lt;11,$R$15,$R$16)))^(1/12))))</f>
        <v>434443294</v>
      </c>
    </row>
    <row r="168" spans="1:7">
      <c r="A168" s="348">
        <f t="shared" si="6"/>
        <v>167</v>
      </c>
      <c r="B168" s="360">
        <f>DATE('Profit Calculation'!J$6,A$2,A$2+A168-1)</f>
        <v>42171</v>
      </c>
      <c r="D168" s="362">
        <f t="shared" si="5"/>
        <v>92227886.844746277</v>
      </c>
      <c r="F168" s="363">
        <f>DATE('Profit Calculation'!J$6,'Profit Calculation'!R$6+A168-1,'Profit Calculation'!Z$6)</f>
        <v>47150</v>
      </c>
      <c r="G168" s="364">
        <f ca="1">IF(Q$27=2,IF(LOOKUP(F168,X$1:X$35,X$1:X$35) = F168,ROUND(LOOKUP(LOOKUP(F168,X$1:X$35,A:A),Single!A$2:A$107,Table13[Saving]),0),IF( LOOKUP(F168,W$1:W$35,W$1:W$35) =
 F168,ROUND(G167*(1+IF($Q$18&lt;6,$R$14,IF($Q$18&lt;11,$R$15,$R$16)))^(1/12),0),G167*(1+IF($Q$18&lt;6,$R$14,IF($Q$18&lt;11,$R$15,$R$16)))^(1/12))),IF(LOOKUP(F168,X$1:X$35,X$1:X$35) = F168,ROUND(LOOKUP(LOOKUP(F168,X$1:X$35,A:A),'Annual Calculation'!A$2:A$107,Table1[Saving]),0),IF( LOOKUP(F168,W$1:W$35,W$1:W$35) =
 F168,ROUND(G167*(1+IF($Q$18&lt;6,$R$14,IF($Q$18&lt;11,$R$15,$R$16)))^(1/12),0),G167*(1+IF($Q$18&lt;6,$R$14,IF($Q$18&lt;11,$R$15,$R$16)))^(1/12))))</f>
        <v>439532761.09559745</v>
      </c>
    </row>
    <row r="169" spans="1:7">
      <c r="A169" s="348">
        <f t="shared" si="6"/>
        <v>168</v>
      </c>
      <c r="B169" s="360">
        <f>DATE('Profit Calculation'!J$6,A$2,A$2+A169-1)</f>
        <v>42172</v>
      </c>
      <c r="D169" s="362">
        <f t="shared" si="5"/>
        <v>92263208.534508035</v>
      </c>
      <c r="F169" s="363">
        <f>DATE('Profit Calculation'!J$6,'Profit Calculation'!R$6+A169-1,'Profit Calculation'!Z$6)</f>
        <v>47178</v>
      </c>
      <c r="G169" s="364">
        <f ca="1">IF(Q$27=2,IF(LOOKUP(F169,X$1:X$35,X$1:X$35) = F169,ROUND(LOOKUP(LOOKUP(F169,X$1:X$35,A:A),Single!A$2:A$107,Table13[Saving]),0),IF( LOOKUP(F169,W$1:W$35,W$1:W$35) =
 F169,ROUND(G168*(1+IF($Q$18&lt;6,$R$14,IF($Q$18&lt;11,$R$15,$R$16)))^(1/12),0),G168*(1+IF($Q$18&lt;6,$R$14,IF($Q$18&lt;11,$R$15,$R$16)))^(1/12))),IF(LOOKUP(F169,X$1:X$35,X$1:X$35) = F169,ROUND(LOOKUP(LOOKUP(F169,X$1:X$35,A:A),'Annual Calculation'!A$2:A$107,Table1[Saving]),0),IF( LOOKUP(F169,W$1:W$35,W$1:W$35) =
 F169,ROUND(G168*(1+IF($Q$18&lt;6,$R$14,IF($Q$18&lt;11,$R$15,$R$16)))^(1/12),0),G168*(1+IF($Q$18&lt;6,$R$14,IF($Q$18&lt;11,$R$15,$R$16)))^(1/12))))</f>
        <v>444681850.87538612</v>
      </c>
    </row>
    <row r="170" spans="1:7">
      <c r="A170" s="348">
        <f t="shared" si="6"/>
        <v>169</v>
      </c>
      <c r="B170" s="360">
        <f>DATE('Profit Calculation'!J$6,A$2,A$2+A170-1)</f>
        <v>42173</v>
      </c>
      <c r="D170" s="362">
        <f t="shared" si="5"/>
        <v>92298543.751867682</v>
      </c>
      <c r="F170" s="357">
        <f>DATE('Profit Calculation'!J$6,'Profit Calculation'!R$6+A170-1,'Profit Calculation'!Z$6)</f>
        <v>47209</v>
      </c>
      <c r="G170" s="358">
        <f ca="1">IF(Q$27=2,IF(LOOKUP(F170,X$1:X$35,X$1:X$35) = F170,ROUND(LOOKUP(LOOKUP(F170,X$1:X$35,A:A),Single!A$2:A$107,Table13[Saving]),0),IF( LOOKUP(F170,W$1:W$35,W$1:W$35) =
 F170,ROUND(G169*(1+IF($Q$18&lt;6,$R$14,IF($Q$18&lt;11,$R$15,$R$16)))^(1/12),0),G169*(1+IF($Q$18&lt;6,$R$14,IF($Q$18&lt;11,$R$15,$R$16)))^(1/12))),IF(LOOKUP(F170,X$1:X$35,X$1:X$35) = F170,ROUND(LOOKUP(LOOKUP(F170,X$1:X$35,A:A),'Annual Calculation'!A$2:A$107,Table1[Saving]),0),IF( LOOKUP(F170,W$1:W$35,W$1:W$35) =
 F170,ROUND(G169*(1+IF($Q$18&lt;6,$R$14,IF($Q$18&lt;11,$R$15,$R$16)))^(1/12),0),G169*(1+IF($Q$18&lt;6,$R$14,IF($Q$18&lt;11,$R$15,$R$16)))^(1/12))))</f>
        <v>438501652</v>
      </c>
    </row>
    <row r="171" spans="1:7">
      <c r="A171" s="348">
        <f t="shared" si="6"/>
        <v>170</v>
      </c>
      <c r="B171" s="360">
        <f>DATE('Profit Calculation'!J$6,A$2,A$2+A171-1)</f>
        <v>42174</v>
      </c>
      <c r="D171" s="362">
        <f t="shared" si="5"/>
        <v>92333892.502006054</v>
      </c>
      <c r="F171" s="363">
        <f>DATE('Profit Calculation'!J$6,'Profit Calculation'!R$6+A171-1,'Profit Calculation'!Z$6)</f>
        <v>47239</v>
      </c>
      <c r="G171" s="364">
        <f ca="1">IF(Q$27=2,IF(LOOKUP(F171,X$1:X$35,X$1:X$35) = F171,ROUND(LOOKUP(LOOKUP(F171,X$1:X$35,A:A),Single!A$2:A$107,Table13[Saving]),0),IF( LOOKUP(F171,W$1:W$35,W$1:W$35) =
 F171,ROUND(G170*(1+IF($Q$18&lt;6,$R$14,IF($Q$18&lt;11,$R$15,$R$16)))^(1/12),0),G170*(1+IF($Q$18&lt;6,$R$14,IF($Q$18&lt;11,$R$15,$R$16)))^(1/12))),IF(LOOKUP(F171,X$1:X$35,X$1:X$35) = F171,ROUND(LOOKUP(LOOKUP(F171,X$1:X$35,A:A),'Annual Calculation'!A$2:A$107,Table1[Saving]),0),IF( LOOKUP(F171,W$1:W$35,W$1:W$35) =
 F171,ROUND(G170*(1+IF($Q$18&lt;6,$R$14,IF($Q$18&lt;11,$R$15,$R$16)))^(1/12),0),G170*(1+IF($Q$18&lt;6,$R$14,IF($Q$18&lt;11,$R$15,$R$16)))^(1/12))))</f>
        <v>443638662.42239845</v>
      </c>
    </row>
    <row r="172" spans="1:7">
      <c r="A172" s="348">
        <f t="shared" si="6"/>
        <v>171</v>
      </c>
      <c r="B172" s="360">
        <f>DATE('Profit Calculation'!J$6,A$2,A$2+A172-1)</f>
        <v>42175</v>
      </c>
      <c r="D172" s="362">
        <f t="shared" si="5"/>
        <v>92369254.790105984</v>
      </c>
      <c r="F172" s="363">
        <f>DATE('Profit Calculation'!J$6,'Profit Calculation'!R$6+A172-1,'Profit Calculation'!Z$6)</f>
        <v>47270</v>
      </c>
      <c r="G172" s="364">
        <f ca="1">IF(Q$27=2,IF(LOOKUP(F172,X$1:X$35,X$1:X$35) = F172,ROUND(LOOKUP(LOOKUP(F172,X$1:X$35,A:A),Single!A$2:A$107,Table13[Saving]),0),IF( LOOKUP(F172,W$1:W$35,W$1:W$35) =
 F172,ROUND(G171*(1+IF($Q$18&lt;6,$R$14,IF($Q$18&lt;11,$R$15,$R$16)))^(1/12),0),G171*(1+IF($Q$18&lt;6,$R$14,IF($Q$18&lt;11,$R$15,$R$16)))^(1/12))),IF(LOOKUP(F172,X$1:X$35,X$1:X$35) = F172,ROUND(LOOKUP(LOOKUP(F172,X$1:X$35,A:A),'Annual Calculation'!A$2:A$107,Table1[Saving]),0),IF( LOOKUP(F172,W$1:W$35,W$1:W$35) =
 F172,ROUND(G171*(1+IF($Q$18&lt;6,$R$14,IF($Q$18&lt;11,$R$15,$R$16)))^(1/12),0),G171*(1+IF($Q$18&lt;6,$R$14,IF($Q$18&lt;11,$R$15,$R$16)))^(1/12))))</f>
        <v>448835852.4951117</v>
      </c>
    </row>
    <row r="173" spans="1:7">
      <c r="A173" s="348">
        <f t="shared" si="6"/>
        <v>172</v>
      </c>
      <c r="B173" s="360">
        <f>DATE('Profit Calculation'!J$6,A$2,A$2+A173-1)</f>
        <v>42176</v>
      </c>
      <c r="D173" s="362">
        <f t="shared" si="5"/>
        <v>92404630.621352255</v>
      </c>
      <c r="F173" s="363">
        <f>DATE('Profit Calculation'!J$6,'Profit Calculation'!R$6+A173-1,'Profit Calculation'!Z$6)</f>
        <v>47300</v>
      </c>
      <c r="G173" s="364">
        <f ca="1">IF(Q$27=2,IF(LOOKUP(F173,X$1:X$35,X$1:X$35) = F173,ROUND(LOOKUP(LOOKUP(F173,X$1:X$35,A:A),Single!A$2:A$107,Table13[Saving]),0),IF( LOOKUP(F173,W$1:W$35,W$1:W$35) =
 F173,ROUND(G172*(1+IF($Q$18&lt;6,$R$14,IF($Q$18&lt;11,$R$15,$R$16)))^(1/12),0),G172*(1+IF($Q$18&lt;6,$R$14,IF($Q$18&lt;11,$R$15,$R$16)))^(1/12))),IF(LOOKUP(F173,X$1:X$35,X$1:X$35) = F173,ROUND(LOOKUP(LOOKUP(F173,X$1:X$35,A:A),'Annual Calculation'!A$2:A$107,Table1[Saving]),0),IF( LOOKUP(F173,W$1:W$35,W$1:W$35) =
 F173,ROUND(G172*(1+IF($Q$18&lt;6,$R$14,IF($Q$18&lt;11,$R$15,$R$16)))^(1/12),0),G172*(1+IF($Q$18&lt;6,$R$14,IF($Q$18&lt;11,$R$15,$R$16)))^(1/12))))</f>
        <v>454093927.21774352</v>
      </c>
    </row>
    <row r="174" spans="1:7">
      <c r="A174" s="348">
        <f t="shared" si="6"/>
        <v>173</v>
      </c>
      <c r="B174" s="360">
        <f>DATE('Profit Calculation'!J$6,A$2,A$2+A174-1)</f>
        <v>42177</v>
      </c>
      <c r="D174" s="362">
        <f t="shared" si="5"/>
        <v>92440020.00093168</v>
      </c>
      <c r="F174" s="363">
        <f>DATE('Profit Calculation'!J$6,'Profit Calculation'!R$6+A174-1,'Profit Calculation'!Z$6)</f>
        <v>47331</v>
      </c>
      <c r="G174" s="364">
        <f ca="1">IF(Q$27=2,IF(LOOKUP(F174,X$1:X$35,X$1:X$35) = F174,ROUND(LOOKUP(LOOKUP(F174,X$1:X$35,A:A),Single!A$2:A$107,Table13[Saving]),0),IF( LOOKUP(F174,W$1:W$35,W$1:W$35) =
 F174,ROUND(G173*(1+IF($Q$18&lt;6,$R$14,IF($Q$18&lt;11,$R$15,$R$16)))^(1/12),0),G173*(1+IF($Q$18&lt;6,$R$14,IF($Q$18&lt;11,$R$15,$R$16)))^(1/12))),IF(LOOKUP(F174,X$1:X$35,X$1:X$35) = F174,ROUND(LOOKUP(LOOKUP(F174,X$1:X$35,A:A),'Annual Calculation'!A$2:A$107,Table1[Saving]),0),IF( LOOKUP(F174,W$1:W$35,W$1:W$35) =
 F174,ROUND(G173*(1+IF($Q$18&lt;6,$R$14,IF($Q$18&lt;11,$R$15,$R$16)))^(1/12),0),G173*(1+IF($Q$18&lt;6,$R$14,IF($Q$18&lt;11,$R$15,$R$16)))^(1/12))))</f>
        <v>459413599.84890932</v>
      </c>
    </row>
    <row r="175" spans="1:7">
      <c r="A175" s="348">
        <f t="shared" si="6"/>
        <v>174</v>
      </c>
      <c r="B175" s="360">
        <f>DATE('Profit Calculation'!J$6,A$2,A$2+A175-1)</f>
        <v>42178</v>
      </c>
      <c r="D175" s="362">
        <f t="shared" si="5"/>
        <v>92475422.934033021</v>
      </c>
      <c r="F175" s="363">
        <f>DATE('Profit Calculation'!J$6,'Profit Calculation'!R$6+A175-1,'Profit Calculation'!Z$6)</f>
        <v>47362</v>
      </c>
      <c r="G175" s="364">
        <f ca="1">IF(Q$27=2,IF(LOOKUP(F175,X$1:X$35,X$1:X$35) = F175,ROUND(LOOKUP(LOOKUP(F175,X$1:X$35,A:A),Single!A$2:A$107,Table13[Saving]),0),IF( LOOKUP(F175,W$1:W$35,W$1:W$35) =
 F175,ROUND(G174*(1+IF($Q$18&lt;6,$R$14,IF($Q$18&lt;11,$R$15,$R$16)))^(1/12),0),G174*(1+IF($Q$18&lt;6,$R$14,IF($Q$18&lt;11,$R$15,$R$16)))^(1/12))),IF(LOOKUP(F175,X$1:X$35,X$1:X$35) = F175,ROUND(LOOKUP(LOOKUP(F175,X$1:X$35,A:A),'Annual Calculation'!A$2:A$107,Table1[Saving]),0),IF( LOOKUP(F175,W$1:W$35,W$1:W$35) =
 F175,ROUND(G174*(1+IF($Q$18&lt;6,$R$14,IF($Q$18&lt;11,$R$15,$R$16)))^(1/12),0),G174*(1+IF($Q$18&lt;6,$R$14,IF($Q$18&lt;11,$R$15,$R$16)))^(1/12))))</f>
        <v>464795592.00299007</v>
      </c>
    </row>
    <row r="176" spans="1:7">
      <c r="A176" s="348">
        <f t="shared" si="6"/>
        <v>175</v>
      </c>
      <c r="B176" s="360">
        <f>DATE('Profit Calculation'!J$6,A$2,A$2+A176-1)</f>
        <v>42179</v>
      </c>
      <c r="D176" s="362">
        <f t="shared" si="5"/>
        <v>92510839.425847054</v>
      </c>
      <c r="F176" s="363">
        <f>DATE('Profit Calculation'!J$6,'Profit Calculation'!R$6+A176-1,'Profit Calculation'!Z$6)</f>
        <v>47392</v>
      </c>
      <c r="G176" s="364">
        <f ca="1">IF(Q$27=2,IF(LOOKUP(F176,X$1:X$35,X$1:X$35) = F176,ROUND(LOOKUP(LOOKUP(F176,X$1:X$35,A:A),Single!A$2:A$107,Table13[Saving]),0),IF( LOOKUP(F176,W$1:W$35,W$1:W$35) =
 F176,ROUND(G175*(1+IF($Q$18&lt;6,$R$14,IF($Q$18&lt;11,$R$15,$R$16)))^(1/12),0),G175*(1+IF($Q$18&lt;6,$R$14,IF($Q$18&lt;11,$R$15,$R$16)))^(1/12))),IF(LOOKUP(F176,X$1:X$35,X$1:X$35) = F176,ROUND(LOOKUP(LOOKUP(F176,X$1:X$35,A:A),'Annual Calculation'!A$2:A$107,Table1[Saving]),0),IF( LOOKUP(F176,W$1:W$35,W$1:W$35) =
 F176,ROUND(G175*(1+IF($Q$18&lt;6,$R$14,IF($Q$18&lt;11,$R$15,$R$16)))^(1/12),0),G175*(1+IF($Q$18&lt;6,$R$14,IF($Q$18&lt;11,$R$15,$R$16)))^(1/12))))</f>
        <v>470240633.74801916</v>
      </c>
    </row>
    <row r="177" spans="1:7">
      <c r="A177" s="348">
        <f t="shared" si="6"/>
        <v>176</v>
      </c>
      <c r="B177" s="360">
        <f>DATE('Profit Calculation'!J$6,A$2,A$2+A177-1)</f>
        <v>42180</v>
      </c>
      <c r="D177" s="362">
        <f t="shared" si="5"/>
        <v>92546269.481566533</v>
      </c>
      <c r="F177" s="363">
        <f>DATE('Profit Calculation'!J$6,'Profit Calculation'!R$6+A177-1,'Profit Calculation'!Z$6)</f>
        <v>47423</v>
      </c>
      <c r="G177" s="364">
        <f ca="1">IF(Q$27=2,IF(LOOKUP(F177,X$1:X$35,X$1:X$35) = F177,ROUND(LOOKUP(LOOKUP(F177,X$1:X$35,A:A),Single!A$2:A$107,Table13[Saving]),0),IF( LOOKUP(F177,W$1:W$35,W$1:W$35) =
 F177,ROUND(G176*(1+IF($Q$18&lt;6,$R$14,IF($Q$18&lt;11,$R$15,$R$16)))^(1/12),0),G176*(1+IF($Q$18&lt;6,$R$14,IF($Q$18&lt;11,$R$15,$R$16)))^(1/12))),IF(LOOKUP(F177,X$1:X$35,X$1:X$35) = F177,ROUND(LOOKUP(LOOKUP(F177,X$1:X$35,A:A),'Annual Calculation'!A$2:A$107,Table1[Saving]),0),IF( LOOKUP(F177,W$1:W$35,W$1:W$35) =
 F177,ROUND(G176*(1+IF($Q$18&lt;6,$R$14,IF($Q$18&lt;11,$R$15,$R$16)))^(1/12),0),G176*(1+IF($Q$18&lt;6,$R$14,IF($Q$18&lt;11,$R$15,$R$16)))^(1/12))))</f>
        <v>475749463.70471638</v>
      </c>
    </row>
    <row r="178" spans="1:7">
      <c r="A178" s="348">
        <f t="shared" si="6"/>
        <v>177</v>
      </c>
      <c r="B178" s="360">
        <f>DATE('Profit Calculation'!J$6,A$2,A$2+A178-1)</f>
        <v>42181</v>
      </c>
      <c r="D178" s="362">
        <f t="shared" si="5"/>
        <v>92581713.1063862</v>
      </c>
      <c r="F178" s="363">
        <f>DATE('Profit Calculation'!J$6,'Profit Calculation'!R$6+A178-1,'Profit Calculation'!Z$6)</f>
        <v>47453</v>
      </c>
      <c r="G178" s="364">
        <f ca="1">IF(Q$27=2,IF(LOOKUP(F178,X$1:X$35,X$1:X$35) = F178,ROUND(LOOKUP(LOOKUP(F178,X$1:X$35,A:A),Single!A$2:A$107,Table13[Saving]),0),IF( LOOKUP(F178,W$1:W$35,W$1:W$35) =
 F178,ROUND(G177*(1+IF($Q$18&lt;6,$R$14,IF($Q$18&lt;11,$R$15,$R$16)))^(1/12),0),G177*(1+IF($Q$18&lt;6,$R$14,IF($Q$18&lt;11,$R$15,$R$16)))^(1/12))),IF(LOOKUP(F178,X$1:X$35,X$1:X$35) = F178,ROUND(LOOKUP(LOOKUP(F178,X$1:X$35,A:A),'Annual Calculation'!A$2:A$107,Table1[Saving]),0),IF( LOOKUP(F178,W$1:W$35,W$1:W$35) =
 F178,ROUND(G177*(1+IF($Q$18&lt;6,$R$14,IF($Q$18&lt;11,$R$15,$R$16)))^(1/12),0),G177*(1+IF($Q$18&lt;6,$R$14,IF($Q$18&lt;11,$R$15,$R$16)))^(1/12))))</f>
        <v>481322829.14668196</v>
      </c>
    </row>
    <row r="179" spans="1:7">
      <c r="A179" s="348">
        <f t="shared" si="6"/>
        <v>178</v>
      </c>
      <c r="B179" s="360">
        <f>DATE('Profit Calculation'!J$6,A$2,A$2+A179-1)</f>
        <v>42182</v>
      </c>
      <c r="D179" s="362">
        <f t="shared" si="5"/>
        <v>92617170.305502772</v>
      </c>
      <c r="F179" s="363">
        <f>DATE('Profit Calculation'!J$6,'Profit Calculation'!R$6+A179-1,'Profit Calculation'!Z$6)</f>
        <v>47484</v>
      </c>
      <c r="G179" s="364">
        <f ca="1">IF(Q$27=2,IF(LOOKUP(F179,X$1:X$35,X$1:X$35) = F179,ROUND(LOOKUP(LOOKUP(F179,X$1:X$35,A:A),Single!A$2:A$107,Table13[Saving]),0),IF( LOOKUP(F179,W$1:W$35,W$1:W$35) =
 F179,ROUND(G178*(1+IF($Q$18&lt;6,$R$14,IF($Q$18&lt;11,$R$15,$R$16)))^(1/12),0),G178*(1+IF($Q$18&lt;6,$R$14,IF($Q$18&lt;11,$R$15,$R$16)))^(1/12))),IF(LOOKUP(F179,X$1:X$35,X$1:X$35) = F179,ROUND(LOOKUP(LOOKUP(F179,X$1:X$35,A:A),'Annual Calculation'!A$2:A$107,Table1[Saving]),0),IF( LOOKUP(F179,W$1:W$35,W$1:W$35) =
 F179,ROUND(G178*(1+IF($Q$18&lt;6,$R$14,IF($Q$18&lt;11,$R$15,$R$16)))^(1/12),0),G178*(1+IF($Q$18&lt;6,$R$14,IF($Q$18&lt;11,$R$15,$R$16)))^(1/12))))</f>
        <v>486961486</v>
      </c>
    </row>
    <row r="180" spans="1:7">
      <c r="A180" s="348">
        <f t="shared" si="6"/>
        <v>179</v>
      </c>
      <c r="B180" s="360">
        <f>DATE('Profit Calculation'!J$6,A$2,A$2+A180-1)</f>
        <v>42183</v>
      </c>
      <c r="D180" s="362">
        <f t="shared" si="5"/>
        <v>92652641.084114984</v>
      </c>
      <c r="F180" s="363">
        <f>DATE('Profit Calculation'!J$6,'Profit Calculation'!R$6+A180-1,'Profit Calculation'!Z$6)</f>
        <v>47515</v>
      </c>
      <c r="G180" s="364">
        <f ca="1">IF(Q$27=2,IF(LOOKUP(F180,X$1:X$35,X$1:X$35) = F180,ROUND(LOOKUP(LOOKUP(F180,X$1:X$35,A:A),Single!A$2:A$107,Table13[Saving]),0),IF( LOOKUP(F180,W$1:W$35,W$1:W$35) =
 F180,ROUND(G179*(1+IF($Q$18&lt;6,$R$14,IF($Q$18&lt;11,$R$15,$R$16)))^(1/12),0),G179*(1+IF($Q$18&lt;6,$R$14,IF($Q$18&lt;11,$R$15,$R$16)))^(1/12))),IF(LOOKUP(F180,X$1:X$35,X$1:X$35) = F180,ROUND(LOOKUP(LOOKUP(F180,X$1:X$35,A:A),'Annual Calculation'!A$2:A$107,Table1[Saving]),0),IF( LOOKUP(F180,W$1:W$35,W$1:W$35) =
 F180,ROUND(G179*(1+IF($Q$18&lt;6,$R$14,IF($Q$18&lt;11,$R$15,$R$16)))^(1/12),0),G179*(1+IF($Q$18&lt;6,$R$14,IF($Q$18&lt;11,$R$15,$R$16)))^(1/12))))</f>
        <v>492666199.35165834</v>
      </c>
    </row>
    <row r="181" spans="1:7">
      <c r="A181" s="348">
        <f t="shared" si="6"/>
        <v>180</v>
      </c>
      <c r="B181" s="360">
        <f>DATE('Profit Calculation'!J$6,A$2,A$2+A181-1)</f>
        <v>42184</v>
      </c>
      <c r="D181" s="362">
        <f t="shared" si="5"/>
        <v>92688125.447423548</v>
      </c>
      <c r="F181" s="363">
        <f>DATE('Profit Calculation'!J$6,'Profit Calculation'!R$6+A181-1,'Profit Calculation'!Z$6)</f>
        <v>47543</v>
      </c>
      <c r="G181" s="364">
        <f ca="1">IF(Q$27=2,IF(LOOKUP(F181,X$1:X$35,X$1:X$35) = F181,ROUND(LOOKUP(LOOKUP(F181,X$1:X$35,A:A),Single!A$2:A$107,Table13[Saving]),0),IF( LOOKUP(F181,W$1:W$35,W$1:W$35) =
 F181,ROUND(G180*(1+IF($Q$18&lt;6,$R$14,IF($Q$18&lt;11,$R$15,$R$16)))^(1/12),0),G180*(1+IF($Q$18&lt;6,$R$14,IF($Q$18&lt;11,$R$15,$R$16)))^(1/12))),IF(LOOKUP(F181,X$1:X$35,X$1:X$35) = F181,ROUND(LOOKUP(LOOKUP(F181,X$1:X$35,A:A),'Annual Calculation'!A$2:A$107,Table1[Saving]),0),IF( LOOKUP(F181,W$1:W$35,W$1:W$35) =
 F181,ROUND(G180*(1+IF($Q$18&lt;6,$R$14,IF($Q$18&lt;11,$R$15,$R$16)))^(1/12),0),G180*(1+IF($Q$18&lt;6,$R$14,IF($Q$18&lt;11,$R$15,$R$16)))^(1/12))))</f>
        <v>498437742.94628292</v>
      </c>
    </row>
    <row r="182" spans="1:7">
      <c r="A182" s="348">
        <f t="shared" si="6"/>
        <v>181</v>
      </c>
      <c r="B182" s="360">
        <f>DATE('Profit Calculation'!J$6,A$2,A$2+A182-1)</f>
        <v>42185</v>
      </c>
      <c r="D182" s="362">
        <f t="shared" si="5"/>
        <v>92723623.400631174</v>
      </c>
      <c r="F182" s="357">
        <f>DATE('Profit Calculation'!J$6,'Profit Calculation'!R$6+A182-1,'Profit Calculation'!Z$6)</f>
        <v>47574</v>
      </c>
      <c r="G182" s="358">
        <f ca="1">IF(Q$27=2,IF(LOOKUP(F182,X$1:X$35,X$1:X$35) = F182,ROUND(LOOKUP(LOOKUP(F182,X$1:X$35,A:A),Single!A$2:A$107,Table13[Saving]),0),IF( LOOKUP(F182,W$1:W$35,W$1:W$35) =
 F182,ROUND(G181*(1+IF($Q$18&lt;6,$R$14,IF($Q$18&lt;11,$R$15,$R$16)))^(1/12),0),G181*(1+IF($Q$18&lt;6,$R$14,IF($Q$18&lt;11,$R$15,$R$16)))^(1/12))),IF(LOOKUP(F182,X$1:X$35,X$1:X$35) = F182,ROUND(LOOKUP(LOOKUP(F182,X$1:X$35,A:A),'Annual Calculation'!A$2:A$107,Table1[Saving]),0),IF( LOOKUP(F182,W$1:W$35,W$1:W$35) =
 F182,ROUND(G181*(1+IF($Q$18&lt;6,$R$14,IF($Q$18&lt;11,$R$15,$R$16)))^(1/12),0),G181*(1+IF($Q$18&lt;6,$R$14,IF($Q$18&lt;11,$R$15,$R$16)))^(1/12))))</f>
        <v>0</v>
      </c>
    </row>
    <row r="183" spans="1:7">
      <c r="A183" s="348">
        <f t="shared" si="6"/>
        <v>182</v>
      </c>
      <c r="B183" s="360">
        <f>DATE('Profit Calculation'!J$6,A$2,A$2+A183-1)</f>
        <v>42186</v>
      </c>
      <c r="D183" s="362">
        <f t="shared" si="5"/>
        <v>92759134.948942542</v>
      </c>
      <c r="F183" s="363">
        <f>DATE('Profit Calculation'!J$6,'Profit Calculation'!R$6+A183-1,'Profit Calculation'!Z$6)</f>
        <v>47604</v>
      </c>
      <c r="G183" s="364">
        <f ca="1">IF(Q$27=2,IF(LOOKUP(F183,X$1:X$35,X$1:X$35) = F183,ROUND(LOOKUP(LOOKUP(F183,X$1:X$35,A:A),Single!A$2:A$107,Table13[Saving]),0),IF( LOOKUP(F183,W$1:W$35,W$1:W$35) =
 F183,ROUND(G182*(1+IF($Q$18&lt;6,$R$14,IF($Q$18&lt;11,$R$15,$R$16)))^(1/12),0),G182*(1+IF($Q$18&lt;6,$R$14,IF($Q$18&lt;11,$R$15,$R$16)))^(1/12))),IF(LOOKUP(F183,X$1:X$35,X$1:X$35) = F183,ROUND(LOOKUP(LOOKUP(F183,X$1:X$35,A:A),'Annual Calculation'!A$2:A$107,Table1[Saving]),0),IF( LOOKUP(F183,W$1:W$35,W$1:W$35) =
 F183,ROUND(G182*(1+IF($Q$18&lt;6,$R$14,IF($Q$18&lt;11,$R$15,$R$16)))^(1/12),0),G182*(1+IF($Q$18&lt;6,$R$14,IF($Q$18&lt;11,$R$15,$R$16)))^(1/12))))</f>
        <v>0</v>
      </c>
    </row>
    <row r="184" spans="1:7">
      <c r="A184" s="348">
        <f t="shared" si="6"/>
        <v>183</v>
      </c>
      <c r="B184" s="360">
        <f>DATE('Profit Calculation'!J$6,A$2,A$2+A184-1)</f>
        <v>42187</v>
      </c>
      <c r="D184" s="362">
        <f t="shared" si="5"/>
        <v>92794660.097564355</v>
      </c>
      <c r="F184" s="363">
        <f>DATE('Profit Calculation'!J$6,'Profit Calculation'!R$6+A184-1,'Profit Calculation'!Z$6)</f>
        <v>47635</v>
      </c>
      <c r="G184" s="364">
        <f ca="1">IF(Q$27=2,IF(LOOKUP(F184,X$1:X$35,X$1:X$35) = F184,ROUND(LOOKUP(LOOKUP(F184,X$1:X$35,A:A),Single!A$2:A$107,Table13[Saving]),0),IF( LOOKUP(F184,W$1:W$35,W$1:W$35) =
 F184,ROUND(G183*(1+IF($Q$18&lt;6,$R$14,IF($Q$18&lt;11,$R$15,$R$16)))^(1/12),0),G183*(1+IF($Q$18&lt;6,$R$14,IF($Q$18&lt;11,$R$15,$R$16)))^(1/12))),IF(LOOKUP(F184,X$1:X$35,X$1:X$35) = F184,ROUND(LOOKUP(LOOKUP(F184,X$1:X$35,A:A),'Annual Calculation'!A$2:A$107,Table1[Saving]),0),IF( LOOKUP(F184,W$1:W$35,W$1:W$35) =
 F184,ROUND(G183*(1+IF($Q$18&lt;6,$R$14,IF($Q$18&lt;11,$R$15,$R$16)))^(1/12),0),G183*(1+IF($Q$18&lt;6,$R$14,IF($Q$18&lt;11,$R$15,$R$16)))^(1/12))))</f>
        <v>0</v>
      </c>
    </row>
    <row r="185" spans="1:7">
      <c r="A185" s="348">
        <f t="shared" si="6"/>
        <v>184</v>
      </c>
      <c r="B185" s="360">
        <f>DATE('Profit Calculation'!J$6,A$2,A$2+A185-1)</f>
        <v>42188</v>
      </c>
      <c r="D185" s="362">
        <f t="shared" si="5"/>
        <v>92830198.851705298</v>
      </c>
      <c r="F185" s="363">
        <f>DATE('Profit Calculation'!J$6,'Profit Calculation'!R$6+A185-1,'Profit Calculation'!Z$6)</f>
        <v>47665</v>
      </c>
      <c r="G185" s="364">
        <f ca="1">IF(Q$27=2,IF(LOOKUP(F185,X$1:X$35,X$1:X$35) = F185,ROUND(LOOKUP(LOOKUP(F185,X$1:X$35,A:A),Single!A$2:A$107,Table13[Saving]),0),IF( LOOKUP(F185,W$1:W$35,W$1:W$35) =
 F185,ROUND(G184*(1+IF($Q$18&lt;6,$R$14,IF($Q$18&lt;11,$R$15,$R$16)))^(1/12),0),G184*(1+IF($Q$18&lt;6,$R$14,IF($Q$18&lt;11,$R$15,$R$16)))^(1/12))),IF(LOOKUP(F185,X$1:X$35,X$1:X$35) = F185,ROUND(LOOKUP(LOOKUP(F185,X$1:X$35,A:A),'Annual Calculation'!A$2:A$107,Table1[Saving]),0),IF( LOOKUP(F185,W$1:W$35,W$1:W$35) =
 F185,ROUND(G184*(1+IF($Q$18&lt;6,$R$14,IF($Q$18&lt;11,$R$15,$R$16)))^(1/12),0),G184*(1+IF($Q$18&lt;6,$R$14,IF($Q$18&lt;11,$R$15,$R$16)))^(1/12))))</f>
        <v>0</v>
      </c>
    </row>
    <row r="186" spans="1:7">
      <c r="A186" s="348">
        <f t="shared" si="6"/>
        <v>185</v>
      </c>
      <c r="B186" s="360">
        <f>DATE('Profit Calculation'!J$6,A$2,A$2+A186-1)</f>
        <v>42189</v>
      </c>
      <c r="D186" s="362">
        <f t="shared" si="5"/>
        <v>92865751.21657604</v>
      </c>
      <c r="F186" s="363">
        <f>DATE('Profit Calculation'!J$6,'Profit Calculation'!R$6+A186-1,'Profit Calculation'!Z$6)</f>
        <v>47696</v>
      </c>
      <c r="G186" s="364">
        <f ca="1">IF(Q$27=2,IF(LOOKUP(F186,X$1:X$35,X$1:X$35) = F186,ROUND(LOOKUP(LOOKUP(F186,X$1:X$35,A:A),Single!A$2:A$107,Table13[Saving]),0),IF( LOOKUP(F186,W$1:W$35,W$1:W$35) =
 F186,ROUND(G185*(1+IF($Q$18&lt;6,$R$14,IF($Q$18&lt;11,$R$15,$R$16)))^(1/12),0),G185*(1+IF($Q$18&lt;6,$R$14,IF($Q$18&lt;11,$R$15,$R$16)))^(1/12))),IF(LOOKUP(F186,X$1:X$35,X$1:X$35) = F186,ROUND(LOOKUP(LOOKUP(F186,X$1:X$35,A:A),'Annual Calculation'!A$2:A$107,Table1[Saving]),0),IF( LOOKUP(F186,W$1:W$35,W$1:W$35) =
 F186,ROUND(G185*(1+IF($Q$18&lt;6,$R$14,IF($Q$18&lt;11,$R$15,$R$16)))^(1/12),0),G185*(1+IF($Q$18&lt;6,$R$14,IF($Q$18&lt;11,$R$15,$R$16)))^(1/12))))</f>
        <v>0</v>
      </c>
    </row>
    <row r="187" spans="1:7">
      <c r="A187" s="348">
        <f t="shared" si="6"/>
        <v>186</v>
      </c>
      <c r="B187" s="360">
        <f>DATE('Profit Calculation'!J$6,A$2,A$2+A187-1)</f>
        <v>42190</v>
      </c>
      <c r="D187" s="362">
        <f t="shared" si="5"/>
        <v>92901317.19738926</v>
      </c>
      <c r="F187" s="363">
        <f>DATE('Profit Calculation'!J$6,'Profit Calculation'!R$6+A187-1,'Profit Calculation'!Z$6)</f>
        <v>47727</v>
      </c>
      <c r="G187" s="364">
        <f ca="1">IF(Q$27=2,IF(LOOKUP(F187,X$1:X$35,X$1:X$35) = F187,ROUND(LOOKUP(LOOKUP(F187,X$1:X$35,A:A),Single!A$2:A$107,Table13[Saving]),0),IF( LOOKUP(F187,W$1:W$35,W$1:W$35) =
 F187,ROUND(G186*(1+IF($Q$18&lt;6,$R$14,IF($Q$18&lt;11,$R$15,$R$16)))^(1/12),0),G186*(1+IF($Q$18&lt;6,$R$14,IF($Q$18&lt;11,$R$15,$R$16)))^(1/12))),IF(LOOKUP(F187,X$1:X$35,X$1:X$35) = F187,ROUND(LOOKUP(LOOKUP(F187,X$1:X$35,A:A),'Annual Calculation'!A$2:A$107,Table1[Saving]),0),IF( LOOKUP(F187,W$1:W$35,W$1:W$35) =
 F187,ROUND(G186*(1+IF($Q$18&lt;6,$R$14,IF($Q$18&lt;11,$R$15,$R$16)))^(1/12),0),G186*(1+IF($Q$18&lt;6,$R$14,IF($Q$18&lt;11,$R$15,$R$16)))^(1/12))))</f>
        <v>0</v>
      </c>
    </row>
    <row r="188" spans="1:7">
      <c r="A188" s="348">
        <f t="shared" si="6"/>
        <v>187</v>
      </c>
      <c r="B188" s="360">
        <f>DATE('Profit Calculation'!J$6,A$2,A$2+A188-1)</f>
        <v>42191</v>
      </c>
      <c r="D188" s="362">
        <f t="shared" si="5"/>
        <v>92936896.799359635</v>
      </c>
      <c r="F188" s="363">
        <f>DATE('Profit Calculation'!J$6,'Profit Calculation'!R$6+A188-1,'Profit Calculation'!Z$6)</f>
        <v>47757</v>
      </c>
      <c r="G188" s="364">
        <f ca="1">IF(Q$27=2,IF(LOOKUP(F188,X$1:X$35,X$1:X$35) = F188,ROUND(LOOKUP(LOOKUP(F188,X$1:X$35,A:A),Single!A$2:A$107,Table13[Saving]),0),IF( LOOKUP(F188,W$1:W$35,W$1:W$35) =
 F188,ROUND(G187*(1+IF($Q$18&lt;6,$R$14,IF($Q$18&lt;11,$R$15,$R$16)))^(1/12),0),G187*(1+IF($Q$18&lt;6,$R$14,IF($Q$18&lt;11,$R$15,$R$16)))^(1/12))),IF(LOOKUP(F188,X$1:X$35,X$1:X$35) = F188,ROUND(LOOKUP(LOOKUP(F188,X$1:X$35,A:A),'Annual Calculation'!A$2:A$107,Table1[Saving]),0),IF( LOOKUP(F188,W$1:W$35,W$1:W$35) =
 F188,ROUND(G187*(1+IF($Q$18&lt;6,$R$14,IF($Q$18&lt;11,$R$15,$R$16)))^(1/12),0),G187*(1+IF($Q$18&lt;6,$R$14,IF($Q$18&lt;11,$R$15,$R$16)))^(1/12))))</f>
        <v>0</v>
      </c>
    </row>
    <row r="189" spans="1:7">
      <c r="A189" s="348">
        <f t="shared" si="6"/>
        <v>188</v>
      </c>
      <c r="B189" s="360">
        <f>DATE('Profit Calculation'!J$6,A$2,A$2+A189-1)</f>
        <v>42192</v>
      </c>
      <c r="D189" s="362">
        <f t="shared" si="5"/>
        <v>92972490.027703822</v>
      </c>
      <c r="F189" s="363">
        <f>DATE('Profit Calculation'!J$6,'Profit Calculation'!R$6+A189-1,'Profit Calculation'!Z$6)</f>
        <v>47788</v>
      </c>
      <c r="G189" s="364">
        <f ca="1">IF(Q$27=2,IF(LOOKUP(F189,X$1:X$35,X$1:X$35) = F189,ROUND(LOOKUP(LOOKUP(F189,X$1:X$35,A:A),Single!A$2:A$107,Table13[Saving]),0),IF( LOOKUP(F189,W$1:W$35,W$1:W$35) =
 F189,ROUND(G188*(1+IF($Q$18&lt;6,$R$14,IF($Q$18&lt;11,$R$15,$R$16)))^(1/12),0),G188*(1+IF($Q$18&lt;6,$R$14,IF($Q$18&lt;11,$R$15,$R$16)))^(1/12))),IF(LOOKUP(F189,X$1:X$35,X$1:X$35) = F189,ROUND(LOOKUP(LOOKUP(F189,X$1:X$35,A:A),'Annual Calculation'!A$2:A$107,Table1[Saving]),0),IF( LOOKUP(F189,W$1:W$35,W$1:W$35) =
 F189,ROUND(G188*(1+IF($Q$18&lt;6,$R$14,IF($Q$18&lt;11,$R$15,$R$16)))^(1/12),0),G188*(1+IF($Q$18&lt;6,$R$14,IF($Q$18&lt;11,$R$15,$R$16)))^(1/12))))</f>
        <v>0</v>
      </c>
    </row>
    <row r="190" spans="1:7">
      <c r="A190" s="348">
        <f t="shared" si="6"/>
        <v>189</v>
      </c>
      <c r="B190" s="360">
        <f>DATE('Profit Calculation'!J$6,A$2,A$2+A190-1)</f>
        <v>42193</v>
      </c>
      <c r="D190" s="362">
        <f t="shared" si="5"/>
        <v>93008096.887640491</v>
      </c>
      <c r="F190" s="363">
        <f>DATE('Profit Calculation'!J$6,'Profit Calculation'!R$6+A190-1,'Profit Calculation'!Z$6)</f>
        <v>47818</v>
      </c>
      <c r="G190" s="364">
        <f ca="1">IF(Q$27=2,IF(LOOKUP(F190,X$1:X$35,X$1:X$35) = F190,ROUND(LOOKUP(LOOKUP(F190,X$1:X$35,A:A),Single!A$2:A$107,Table13[Saving]),0),IF( LOOKUP(F190,W$1:W$35,W$1:W$35) =
 F190,ROUND(G189*(1+IF($Q$18&lt;6,$R$14,IF($Q$18&lt;11,$R$15,$R$16)))^(1/12),0),G189*(1+IF($Q$18&lt;6,$R$14,IF($Q$18&lt;11,$R$15,$R$16)))^(1/12))),IF(LOOKUP(F190,X$1:X$35,X$1:X$35) = F190,ROUND(LOOKUP(LOOKUP(F190,X$1:X$35,A:A),'Annual Calculation'!A$2:A$107,Table1[Saving]),0),IF( LOOKUP(F190,W$1:W$35,W$1:W$35) =
 F190,ROUND(G189*(1+IF($Q$18&lt;6,$R$14,IF($Q$18&lt;11,$R$15,$R$16)))^(1/12),0),G189*(1+IF($Q$18&lt;6,$R$14,IF($Q$18&lt;11,$R$15,$R$16)))^(1/12))))</f>
        <v>0</v>
      </c>
    </row>
    <row r="191" spans="1:7">
      <c r="A191" s="348">
        <f t="shared" si="6"/>
        <v>190</v>
      </c>
      <c r="B191" s="360">
        <f>DATE('Profit Calculation'!J$6,A$2,A$2+A191-1)</f>
        <v>42194</v>
      </c>
      <c r="D191" s="362">
        <f t="shared" si="5"/>
        <v>93043717.384390309</v>
      </c>
      <c r="F191" s="363">
        <f>DATE('Profit Calculation'!J$6,'Profit Calculation'!R$6+A191-1,'Profit Calculation'!Z$6)</f>
        <v>47849</v>
      </c>
      <c r="G191" s="364">
        <f ca="1">IF(Q$27=2,IF(LOOKUP(F191,X$1:X$35,X$1:X$35) = F191,ROUND(LOOKUP(LOOKUP(F191,X$1:X$35,A:A),Single!A$2:A$107,Table13[Saving]),0),IF( LOOKUP(F191,W$1:W$35,W$1:W$35) =
 F191,ROUND(G190*(1+IF($Q$18&lt;6,$R$14,IF($Q$18&lt;11,$R$15,$R$16)))^(1/12),0),G190*(1+IF($Q$18&lt;6,$R$14,IF($Q$18&lt;11,$R$15,$R$16)))^(1/12))),IF(LOOKUP(F191,X$1:X$35,X$1:X$35) = F191,ROUND(LOOKUP(LOOKUP(F191,X$1:X$35,A:A),'Annual Calculation'!A$2:A$107,Table1[Saving]),0),IF( LOOKUP(F191,W$1:W$35,W$1:W$35) =
 F191,ROUND(G190*(1+IF($Q$18&lt;6,$R$14,IF($Q$18&lt;11,$R$15,$R$16)))^(1/12),0),G190*(1+IF($Q$18&lt;6,$R$14,IF($Q$18&lt;11,$R$15,$R$16)))^(1/12))))</f>
        <v>0</v>
      </c>
    </row>
    <row r="192" spans="1:7">
      <c r="A192" s="348">
        <f t="shared" si="6"/>
        <v>191</v>
      </c>
      <c r="B192" s="360">
        <f>DATE('Profit Calculation'!J$6,A$2,A$2+A192-1)</f>
        <v>42195</v>
      </c>
      <c r="D192" s="362">
        <f t="shared" si="5"/>
        <v>93079351.52317594</v>
      </c>
      <c r="F192" s="363">
        <f>DATE('Profit Calculation'!J$6,'Profit Calculation'!R$6+A192-1,'Profit Calculation'!Z$6)</f>
        <v>47880</v>
      </c>
      <c r="G192" s="364">
        <f ca="1">IF(Q$27=2,IF(LOOKUP(F192,X$1:X$35,X$1:X$35) = F192,ROUND(LOOKUP(LOOKUP(F192,X$1:X$35,A:A),Single!A$2:A$107,Table13[Saving]),0),IF( LOOKUP(F192,W$1:W$35,W$1:W$35) =
 F192,ROUND(G191*(1+IF($Q$18&lt;6,$R$14,IF($Q$18&lt;11,$R$15,$R$16)))^(1/12),0),G191*(1+IF($Q$18&lt;6,$R$14,IF($Q$18&lt;11,$R$15,$R$16)))^(1/12))),IF(LOOKUP(F192,X$1:X$35,X$1:X$35) = F192,ROUND(LOOKUP(LOOKUP(F192,X$1:X$35,A:A),'Annual Calculation'!A$2:A$107,Table1[Saving]),0),IF( LOOKUP(F192,W$1:W$35,W$1:W$35) =
 F192,ROUND(G191*(1+IF($Q$18&lt;6,$R$14,IF($Q$18&lt;11,$R$15,$R$16)))^(1/12),0),G191*(1+IF($Q$18&lt;6,$R$14,IF($Q$18&lt;11,$R$15,$R$16)))^(1/12))))</f>
        <v>0</v>
      </c>
    </row>
    <row r="193" spans="1:7">
      <c r="A193" s="348">
        <f t="shared" si="6"/>
        <v>192</v>
      </c>
      <c r="B193" s="360">
        <f>DATE('Profit Calculation'!J$6,A$2,A$2+A193-1)</f>
        <v>42196</v>
      </c>
      <c r="D193" s="362">
        <f t="shared" si="5"/>
        <v>93114999.309222057</v>
      </c>
      <c r="F193" s="363">
        <f>DATE('Profit Calculation'!J$6,'Profit Calculation'!R$6+A193-1,'Profit Calculation'!Z$6)</f>
        <v>47908</v>
      </c>
      <c r="G193" s="364">
        <f ca="1">IF(Q$27=2,IF(LOOKUP(F193,X$1:X$35,X$1:X$35) = F193,ROUND(LOOKUP(LOOKUP(F193,X$1:X$35,A:A),Single!A$2:A$107,Table13[Saving]),0),IF( LOOKUP(F193,W$1:W$35,W$1:W$35) =
 F193,ROUND(G192*(1+IF($Q$18&lt;6,$R$14,IF($Q$18&lt;11,$R$15,$R$16)))^(1/12),0),G192*(1+IF($Q$18&lt;6,$R$14,IF($Q$18&lt;11,$R$15,$R$16)))^(1/12))),IF(LOOKUP(F193,X$1:X$35,X$1:X$35) = F193,ROUND(LOOKUP(LOOKUP(F193,X$1:X$35,A:A),'Annual Calculation'!A$2:A$107,Table1[Saving]),0),IF( LOOKUP(F193,W$1:W$35,W$1:W$35) =
 F193,ROUND(G192*(1+IF($Q$18&lt;6,$R$14,IF($Q$18&lt;11,$R$15,$R$16)))^(1/12),0),G192*(1+IF($Q$18&lt;6,$R$14,IF($Q$18&lt;11,$R$15,$R$16)))^(1/12))))</f>
        <v>0</v>
      </c>
    </row>
    <row r="194" spans="1:7">
      <c r="A194" s="348">
        <f t="shared" si="6"/>
        <v>193</v>
      </c>
      <c r="B194" s="360">
        <f>DATE('Profit Calculation'!J$6,A$2,A$2+A194-1)</f>
        <v>42197</v>
      </c>
      <c r="D194" s="362">
        <f t="shared" si="5"/>
        <v>93150660.747755319</v>
      </c>
      <c r="F194" s="357">
        <f>DATE('Profit Calculation'!J$6,'Profit Calculation'!R$6+A194-1,'Profit Calculation'!Z$6)</f>
        <v>47939</v>
      </c>
      <c r="G194" s="358">
        <f ca="1">IF(Q$27=2,IF(LOOKUP(F194,X$1:X$35,X$1:X$35) = F194,ROUND(LOOKUP(LOOKUP(F194,X$1:X$35,A:A),Single!A$2:A$107,Table13[Saving]),0),IF( LOOKUP(F194,W$1:W$35,W$1:W$35) =
 F194,ROUND(G193*(1+IF($Q$18&lt;6,$R$14,IF($Q$18&lt;11,$R$15,$R$16)))^(1/12),0),G193*(1+IF($Q$18&lt;6,$R$14,IF($Q$18&lt;11,$R$15,$R$16)))^(1/12))),IF(LOOKUP(F194,X$1:X$35,X$1:X$35) = F194,ROUND(LOOKUP(LOOKUP(F194,X$1:X$35,A:A),'Annual Calculation'!A$2:A$107,Table1[Saving]),0),IF( LOOKUP(F194,W$1:W$35,W$1:W$35) =
 F194,ROUND(G193*(1+IF($Q$18&lt;6,$R$14,IF($Q$18&lt;11,$R$15,$R$16)))^(1/12),0),G193*(1+IF($Q$18&lt;6,$R$14,IF($Q$18&lt;11,$R$15,$R$16)))^(1/12))))</f>
        <v>0</v>
      </c>
    </row>
    <row r="195" spans="1:7">
      <c r="A195" s="348">
        <f t="shared" si="6"/>
        <v>194</v>
      </c>
      <c r="B195" s="360">
        <f>DATE('Profit Calculation'!J$6,A$2,A$2+A195-1)</f>
        <v>42198</v>
      </c>
      <c r="D195" s="362">
        <f t="shared" si="5"/>
        <v>93186335.844004393</v>
      </c>
      <c r="F195" s="363">
        <f>DATE('Profit Calculation'!J$6,'Profit Calculation'!R$6+A195-1,'Profit Calculation'!Z$6)</f>
        <v>47969</v>
      </c>
      <c r="G195" s="364">
        <f ca="1">IF(Q$27=2,IF(LOOKUP(F195,X$1:X$35,X$1:X$35) = F195,ROUND(LOOKUP(LOOKUP(F195,X$1:X$35,A:A),Single!A$2:A$107,Table13[Saving]),0),IF( LOOKUP(F195,W$1:W$35,W$1:W$35) =
 F195,ROUND(G194*(1+IF($Q$18&lt;6,$R$14,IF($Q$18&lt;11,$R$15,$R$16)))^(1/12),0),G194*(1+IF($Q$18&lt;6,$R$14,IF($Q$18&lt;11,$R$15,$R$16)))^(1/12))),IF(LOOKUP(F195,X$1:X$35,X$1:X$35) = F195,ROUND(LOOKUP(LOOKUP(F195,X$1:X$35,A:A),'Annual Calculation'!A$2:A$107,Table1[Saving]),0),IF( LOOKUP(F195,W$1:W$35,W$1:W$35) =
 F195,ROUND(G194*(1+IF($Q$18&lt;6,$R$14,IF($Q$18&lt;11,$R$15,$R$16)))^(1/12),0),G194*(1+IF($Q$18&lt;6,$R$14,IF($Q$18&lt;11,$R$15,$R$16)))^(1/12))))</f>
        <v>0</v>
      </c>
    </row>
    <row r="196" spans="1:7">
      <c r="A196" s="348">
        <f t="shared" si="6"/>
        <v>195</v>
      </c>
      <c r="B196" s="360">
        <f>DATE('Profit Calculation'!J$6,A$2,A$2+A196-1)</f>
        <v>42199</v>
      </c>
      <c r="D196" s="362">
        <f t="shared" ref="D196:D259" si="7">IF(OR(LOOKUP(B196,W$1:W$35,W$1:W$35) = B196, LOOKUP(B196,X$1:X$35,X$1:X$35) = B196),LOOKUP(B196,F:F,G:G),D195*(1+((IF($Q$18&lt;6,$R$14,IF($Q$18&lt;11,$R$15,$R$16)))))^(1/365))</f>
        <v>93222024.603199944</v>
      </c>
      <c r="F196" s="363">
        <f>DATE('Profit Calculation'!J$6,'Profit Calculation'!R$6+A196-1,'Profit Calculation'!Z$6)</f>
        <v>48000</v>
      </c>
      <c r="G196" s="364">
        <f ca="1">IF(Q$27=2,IF(LOOKUP(F196,X$1:X$35,X$1:X$35) = F196,ROUND(LOOKUP(LOOKUP(F196,X$1:X$35,A:A),Single!A$2:A$107,Table13[Saving]),0),IF( LOOKUP(F196,W$1:W$35,W$1:W$35) =
 F196,ROUND(G195*(1+IF($Q$18&lt;6,$R$14,IF($Q$18&lt;11,$R$15,$R$16)))^(1/12),0),G195*(1+IF($Q$18&lt;6,$R$14,IF($Q$18&lt;11,$R$15,$R$16)))^(1/12))),IF(LOOKUP(F196,X$1:X$35,X$1:X$35) = F196,ROUND(LOOKUP(LOOKUP(F196,X$1:X$35,A:A),'Annual Calculation'!A$2:A$107,Table1[Saving]),0),IF( LOOKUP(F196,W$1:W$35,W$1:W$35) =
 F196,ROUND(G195*(1+IF($Q$18&lt;6,$R$14,IF($Q$18&lt;11,$R$15,$R$16)))^(1/12),0),G195*(1+IF($Q$18&lt;6,$R$14,IF($Q$18&lt;11,$R$15,$R$16)))^(1/12))))</f>
        <v>0</v>
      </c>
    </row>
    <row r="197" spans="1:7">
      <c r="A197" s="348">
        <f t="shared" ref="A197:A260" si="8">A196+1</f>
        <v>196</v>
      </c>
      <c r="B197" s="360">
        <f>DATE('Profit Calculation'!J$6,A$2,A$2+A197-1)</f>
        <v>42200</v>
      </c>
      <c r="D197" s="362">
        <f t="shared" si="7"/>
        <v>93257727.03057465</v>
      </c>
      <c r="F197" s="363">
        <f>DATE('Profit Calculation'!J$6,'Profit Calculation'!R$6+A197-1,'Profit Calculation'!Z$6)</f>
        <v>48030</v>
      </c>
      <c r="G197" s="364">
        <f ca="1">IF(Q$27=2,IF(LOOKUP(F197,X$1:X$35,X$1:X$35) = F197,ROUND(LOOKUP(LOOKUP(F197,X$1:X$35,A:A),Single!A$2:A$107,Table13[Saving]),0),IF( LOOKUP(F197,W$1:W$35,W$1:W$35) =
 F197,ROUND(G196*(1+IF($Q$18&lt;6,$R$14,IF($Q$18&lt;11,$R$15,$R$16)))^(1/12),0),G196*(1+IF($Q$18&lt;6,$R$14,IF($Q$18&lt;11,$R$15,$R$16)))^(1/12))),IF(LOOKUP(F197,X$1:X$35,X$1:X$35) = F197,ROUND(LOOKUP(LOOKUP(F197,X$1:X$35,A:A),'Annual Calculation'!A$2:A$107,Table1[Saving]),0),IF( LOOKUP(F197,W$1:W$35,W$1:W$35) =
 F197,ROUND(G196*(1+IF($Q$18&lt;6,$R$14,IF($Q$18&lt;11,$R$15,$R$16)))^(1/12),0),G196*(1+IF($Q$18&lt;6,$R$14,IF($Q$18&lt;11,$R$15,$R$16)))^(1/12))))</f>
        <v>0</v>
      </c>
    </row>
    <row r="198" spans="1:7">
      <c r="A198" s="348">
        <f t="shared" si="8"/>
        <v>197</v>
      </c>
      <c r="B198" s="360">
        <f>DATE('Profit Calculation'!J$6,A$2,A$2+A198-1)</f>
        <v>42201</v>
      </c>
      <c r="D198" s="362">
        <f t="shared" si="7"/>
        <v>93293443.131363183</v>
      </c>
      <c r="F198" s="363">
        <f>DATE('Profit Calculation'!J$6,'Profit Calculation'!R$6+A198-1,'Profit Calculation'!Z$6)</f>
        <v>48061</v>
      </c>
      <c r="G198" s="364">
        <f ca="1">IF(Q$27=2,IF(LOOKUP(F198,X$1:X$35,X$1:X$35) = F198,ROUND(LOOKUP(LOOKUP(F198,X$1:X$35,A:A),Single!A$2:A$107,Table13[Saving]),0),IF( LOOKUP(F198,W$1:W$35,W$1:W$35) =
 F198,ROUND(G197*(1+IF($Q$18&lt;6,$R$14,IF($Q$18&lt;11,$R$15,$R$16)))^(1/12),0),G197*(1+IF($Q$18&lt;6,$R$14,IF($Q$18&lt;11,$R$15,$R$16)))^(1/12))),IF(LOOKUP(F198,X$1:X$35,X$1:X$35) = F198,ROUND(LOOKUP(LOOKUP(F198,X$1:X$35,A:A),'Annual Calculation'!A$2:A$107,Table1[Saving]),0),IF( LOOKUP(F198,W$1:W$35,W$1:W$35) =
 F198,ROUND(G197*(1+IF($Q$18&lt;6,$R$14,IF($Q$18&lt;11,$R$15,$R$16)))^(1/12),0),G197*(1+IF($Q$18&lt;6,$R$14,IF($Q$18&lt;11,$R$15,$R$16)))^(1/12))))</f>
        <v>0</v>
      </c>
    </row>
    <row r="199" spans="1:7">
      <c r="A199" s="348">
        <f t="shared" si="8"/>
        <v>198</v>
      </c>
      <c r="B199" s="360">
        <f>DATE('Profit Calculation'!J$6,A$2,A$2+A199-1)</f>
        <v>42202</v>
      </c>
      <c r="D199" s="362">
        <f t="shared" si="7"/>
        <v>93329172.91080223</v>
      </c>
      <c r="F199" s="363">
        <f>DATE('Profit Calculation'!J$6,'Profit Calculation'!R$6+A199-1,'Profit Calculation'!Z$6)</f>
        <v>48092</v>
      </c>
      <c r="G199" s="364">
        <f ca="1">IF(Q$27=2,IF(LOOKUP(F199,X$1:X$35,X$1:X$35) = F199,ROUND(LOOKUP(LOOKUP(F199,X$1:X$35,A:A),Single!A$2:A$107,Table13[Saving]),0),IF( LOOKUP(F199,W$1:W$35,W$1:W$35) =
 F199,ROUND(G198*(1+IF($Q$18&lt;6,$R$14,IF($Q$18&lt;11,$R$15,$R$16)))^(1/12),0),G198*(1+IF($Q$18&lt;6,$R$14,IF($Q$18&lt;11,$R$15,$R$16)))^(1/12))),IF(LOOKUP(F199,X$1:X$35,X$1:X$35) = F199,ROUND(LOOKUP(LOOKUP(F199,X$1:X$35,A:A),'Annual Calculation'!A$2:A$107,Table1[Saving]),0),IF( LOOKUP(F199,W$1:W$35,W$1:W$35) =
 F199,ROUND(G198*(1+IF($Q$18&lt;6,$R$14,IF($Q$18&lt;11,$R$15,$R$16)))^(1/12),0),G198*(1+IF($Q$18&lt;6,$R$14,IF($Q$18&lt;11,$R$15,$R$16)))^(1/12))))</f>
        <v>0</v>
      </c>
    </row>
    <row r="200" spans="1:7">
      <c r="A200" s="348">
        <f t="shared" si="8"/>
        <v>199</v>
      </c>
      <c r="B200" s="360">
        <f>DATE('Profit Calculation'!J$6,A$2,A$2+A200-1)</f>
        <v>42203</v>
      </c>
      <c r="D200" s="362">
        <f t="shared" si="7"/>
        <v>93364916.374130473</v>
      </c>
      <c r="F200" s="363">
        <f>DATE('Profit Calculation'!J$6,'Profit Calculation'!R$6+A200-1,'Profit Calculation'!Z$6)</f>
        <v>48122</v>
      </c>
      <c r="G200" s="364">
        <f ca="1">IF(Q$27=2,IF(LOOKUP(F200,X$1:X$35,X$1:X$35) = F200,ROUND(LOOKUP(LOOKUP(F200,X$1:X$35,A:A),Single!A$2:A$107,Table13[Saving]),0),IF( LOOKUP(F200,W$1:W$35,W$1:W$35) =
 F200,ROUND(G199*(1+IF($Q$18&lt;6,$R$14,IF($Q$18&lt;11,$R$15,$R$16)))^(1/12),0),G199*(1+IF($Q$18&lt;6,$R$14,IF($Q$18&lt;11,$R$15,$R$16)))^(1/12))),IF(LOOKUP(F200,X$1:X$35,X$1:X$35) = F200,ROUND(LOOKUP(LOOKUP(F200,X$1:X$35,A:A),'Annual Calculation'!A$2:A$107,Table1[Saving]),0),IF( LOOKUP(F200,W$1:W$35,W$1:W$35) =
 F200,ROUND(G199*(1+IF($Q$18&lt;6,$R$14,IF($Q$18&lt;11,$R$15,$R$16)))^(1/12),0),G199*(1+IF($Q$18&lt;6,$R$14,IF($Q$18&lt;11,$R$15,$R$16)))^(1/12))))</f>
        <v>0</v>
      </c>
    </row>
    <row r="201" spans="1:7">
      <c r="A201" s="348">
        <f t="shared" si="8"/>
        <v>200</v>
      </c>
      <c r="B201" s="360">
        <f>DATE('Profit Calculation'!J$6,A$2,A$2+A201-1)</f>
        <v>42204</v>
      </c>
      <c r="D201" s="362">
        <f t="shared" si="7"/>
        <v>93400673.526588604</v>
      </c>
      <c r="F201" s="363">
        <f>DATE('Profit Calculation'!J$6,'Profit Calculation'!R$6+A201-1,'Profit Calculation'!Z$6)</f>
        <v>48153</v>
      </c>
      <c r="G201" s="364">
        <f ca="1">IF(Q$27=2,IF(LOOKUP(F201,X$1:X$35,X$1:X$35) = F201,ROUND(LOOKUP(LOOKUP(F201,X$1:X$35,A:A),Single!A$2:A$107,Table13[Saving]),0),IF( LOOKUP(F201,W$1:W$35,W$1:W$35) =
 F201,ROUND(G200*(1+IF($Q$18&lt;6,$R$14,IF($Q$18&lt;11,$R$15,$R$16)))^(1/12),0),G200*(1+IF($Q$18&lt;6,$R$14,IF($Q$18&lt;11,$R$15,$R$16)))^(1/12))),IF(LOOKUP(F201,X$1:X$35,X$1:X$35) = F201,ROUND(LOOKUP(LOOKUP(F201,X$1:X$35,A:A),'Annual Calculation'!A$2:A$107,Table1[Saving]),0),IF( LOOKUP(F201,W$1:W$35,W$1:W$35) =
 F201,ROUND(G200*(1+IF($Q$18&lt;6,$R$14,IF($Q$18&lt;11,$R$15,$R$16)))^(1/12),0),G200*(1+IF($Q$18&lt;6,$R$14,IF($Q$18&lt;11,$R$15,$R$16)))^(1/12))))</f>
        <v>0</v>
      </c>
    </row>
    <row r="202" spans="1:7">
      <c r="A202" s="348">
        <f t="shared" si="8"/>
        <v>201</v>
      </c>
      <c r="B202" s="360">
        <f>DATE('Profit Calculation'!J$6,A$2,A$2+A202-1)</f>
        <v>42205</v>
      </c>
      <c r="D202" s="362">
        <f t="shared" si="7"/>
        <v>93436444.37341933</v>
      </c>
      <c r="F202" s="363">
        <f>DATE('Profit Calculation'!J$6,'Profit Calculation'!R$6+A202-1,'Profit Calculation'!Z$6)</f>
        <v>48183</v>
      </c>
      <c r="G202" s="364">
        <f ca="1">IF(Q$27=2,IF(LOOKUP(F202,X$1:X$35,X$1:X$35) = F202,ROUND(LOOKUP(LOOKUP(F202,X$1:X$35,A:A),Single!A$2:A$107,Table13[Saving]),0),IF( LOOKUP(F202,W$1:W$35,W$1:W$35) =
 F202,ROUND(G201*(1+IF($Q$18&lt;6,$R$14,IF($Q$18&lt;11,$R$15,$R$16)))^(1/12),0),G201*(1+IF($Q$18&lt;6,$R$14,IF($Q$18&lt;11,$R$15,$R$16)))^(1/12))),IF(LOOKUP(F202,X$1:X$35,X$1:X$35) = F202,ROUND(LOOKUP(LOOKUP(F202,X$1:X$35,A:A),'Annual Calculation'!A$2:A$107,Table1[Saving]),0),IF( LOOKUP(F202,W$1:W$35,W$1:W$35) =
 F202,ROUND(G201*(1+IF($Q$18&lt;6,$R$14,IF($Q$18&lt;11,$R$15,$R$16)))^(1/12),0),G201*(1+IF($Q$18&lt;6,$R$14,IF($Q$18&lt;11,$R$15,$R$16)))^(1/12))))</f>
        <v>0</v>
      </c>
    </row>
    <row r="203" spans="1:7">
      <c r="A203" s="348">
        <f t="shared" si="8"/>
        <v>202</v>
      </c>
      <c r="B203" s="360">
        <f>DATE('Profit Calculation'!J$6,A$2,A$2+A203-1)</f>
        <v>42206</v>
      </c>
      <c r="D203" s="362">
        <f t="shared" si="7"/>
        <v>93472228.919867352</v>
      </c>
      <c r="F203" s="363">
        <f>DATE('Profit Calculation'!J$6,'Profit Calculation'!R$6+A203-1,'Profit Calculation'!Z$6)</f>
        <v>48214</v>
      </c>
      <c r="G203" s="364">
        <f ca="1">IF(Q$27=2,IF(LOOKUP(F203,X$1:X$35,X$1:X$35) = F203,ROUND(LOOKUP(LOOKUP(F203,X$1:X$35,A:A),Single!A$2:A$107,Table13[Saving]),0),IF( LOOKUP(F203,W$1:W$35,W$1:W$35) =
 F203,ROUND(G202*(1+IF($Q$18&lt;6,$R$14,IF($Q$18&lt;11,$R$15,$R$16)))^(1/12),0),G202*(1+IF($Q$18&lt;6,$R$14,IF($Q$18&lt;11,$R$15,$R$16)))^(1/12))),IF(LOOKUP(F203,X$1:X$35,X$1:X$35) = F203,ROUND(LOOKUP(LOOKUP(F203,X$1:X$35,A:A),'Annual Calculation'!A$2:A$107,Table1[Saving]),0),IF( LOOKUP(F203,W$1:W$35,W$1:W$35) =
 F203,ROUND(G202*(1+IF($Q$18&lt;6,$R$14,IF($Q$18&lt;11,$R$15,$R$16)))^(1/12),0),G202*(1+IF($Q$18&lt;6,$R$14,IF($Q$18&lt;11,$R$15,$R$16)))^(1/12))))</f>
        <v>0</v>
      </c>
    </row>
    <row r="204" spans="1:7">
      <c r="A204" s="348">
        <f t="shared" si="8"/>
        <v>203</v>
      </c>
      <c r="B204" s="360">
        <f>DATE('Profit Calculation'!J$6,A$2,A$2+A204-1)</f>
        <v>42207</v>
      </c>
      <c r="D204" s="362">
        <f t="shared" si="7"/>
        <v>93508027.171179399</v>
      </c>
      <c r="F204" s="363">
        <f>DATE('Profit Calculation'!J$6,'Profit Calculation'!R$6+A204-1,'Profit Calculation'!Z$6)</f>
        <v>48245</v>
      </c>
      <c r="G204" s="364">
        <f ca="1">IF(Q$27=2,IF(LOOKUP(F204,X$1:X$35,X$1:X$35) = F204,ROUND(LOOKUP(LOOKUP(F204,X$1:X$35,A:A),Single!A$2:A$107,Table13[Saving]),0),IF( LOOKUP(F204,W$1:W$35,W$1:W$35) =
 F204,ROUND(G203*(1+IF($Q$18&lt;6,$R$14,IF($Q$18&lt;11,$R$15,$R$16)))^(1/12),0),G203*(1+IF($Q$18&lt;6,$R$14,IF($Q$18&lt;11,$R$15,$R$16)))^(1/12))),IF(LOOKUP(F204,X$1:X$35,X$1:X$35) = F204,ROUND(LOOKUP(LOOKUP(F204,X$1:X$35,A:A),'Annual Calculation'!A$2:A$107,Table1[Saving]),0),IF( LOOKUP(F204,W$1:W$35,W$1:W$35) =
 F204,ROUND(G203*(1+IF($Q$18&lt;6,$R$14,IF($Q$18&lt;11,$R$15,$R$16)))^(1/12),0),G203*(1+IF($Q$18&lt;6,$R$14,IF($Q$18&lt;11,$R$15,$R$16)))^(1/12))))</f>
        <v>0</v>
      </c>
    </row>
    <row r="205" spans="1:7">
      <c r="A205" s="348">
        <f t="shared" si="8"/>
        <v>204</v>
      </c>
      <c r="B205" s="360">
        <f>DATE('Profit Calculation'!J$6,A$2,A$2+A205-1)</f>
        <v>42208</v>
      </c>
      <c r="D205" s="362">
        <f t="shared" si="7"/>
        <v>93543839.132604197</v>
      </c>
      <c r="F205" s="363">
        <f>DATE('Profit Calculation'!J$6,'Profit Calculation'!R$6+A205-1,'Profit Calculation'!Z$6)</f>
        <v>48274</v>
      </c>
      <c r="G205" s="364">
        <f ca="1">IF(Q$27=2,IF(LOOKUP(F205,X$1:X$35,X$1:X$35) = F205,ROUND(LOOKUP(LOOKUP(F205,X$1:X$35,A:A),Single!A$2:A$107,Table13[Saving]),0),IF( LOOKUP(F205,W$1:W$35,W$1:W$35) =
 F205,ROUND(G204*(1+IF($Q$18&lt;6,$R$14,IF($Q$18&lt;11,$R$15,$R$16)))^(1/12),0),G204*(1+IF($Q$18&lt;6,$R$14,IF($Q$18&lt;11,$R$15,$R$16)))^(1/12))),IF(LOOKUP(F205,X$1:X$35,X$1:X$35) = F205,ROUND(LOOKUP(LOOKUP(F205,X$1:X$35,A:A),'Annual Calculation'!A$2:A$107,Table1[Saving]),0),IF( LOOKUP(F205,W$1:W$35,W$1:W$35) =
 F205,ROUND(G204*(1+IF($Q$18&lt;6,$R$14,IF($Q$18&lt;11,$R$15,$R$16)))^(1/12),0),G204*(1+IF($Q$18&lt;6,$R$14,IF($Q$18&lt;11,$R$15,$R$16)))^(1/12))))</f>
        <v>0</v>
      </c>
    </row>
    <row r="206" spans="1:7">
      <c r="A206" s="348">
        <f t="shared" si="8"/>
        <v>205</v>
      </c>
      <c r="B206" s="360">
        <f>DATE('Profit Calculation'!J$6,A$2,A$2+A206-1)</f>
        <v>42209</v>
      </c>
      <c r="D206" s="362">
        <f t="shared" si="7"/>
        <v>93579664.809392467</v>
      </c>
      <c r="F206" s="357">
        <f>DATE('Profit Calculation'!J$6,'Profit Calculation'!R$6+A206-1,'Profit Calculation'!Z$6)</f>
        <v>48305</v>
      </c>
      <c r="G206" s="364">
        <f ca="1">IF(Q$27=2,IF(LOOKUP(F206,X$1:X$35,X$1:X$35) = F206,ROUND(LOOKUP(LOOKUP(F206,X$1:X$35,A:A),Single!A$2:A$107,Table13[Saving]),0),IF( LOOKUP(F206,W$1:W$35,W$1:W$35) =
 F206,ROUND(G205*(1+IF($Q$18&lt;6,$R$14,IF($Q$18&lt;11,$R$15,$R$16)))^(1/12),0),G205*(1+IF($Q$18&lt;6,$R$14,IF($Q$18&lt;11,$R$15,$R$16)))^(1/12))),IF(LOOKUP(F206,X$1:X$35,X$1:X$35) = F206,ROUND(LOOKUP(LOOKUP(F206,X$1:X$35,A:A),'Annual Calculation'!A$2:A$107,Table1[Saving]),0),IF( LOOKUP(F206,W$1:W$35,W$1:W$35) =
 F206,ROUND(G205*(1+IF($Q$18&lt;6,$R$14,IF($Q$18&lt;11,$R$15,$R$16)))^(1/12),0),G205*(1+IF($Q$18&lt;6,$R$14,IF($Q$18&lt;11,$R$15,$R$16)))^(1/12))))</f>
        <v>0</v>
      </c>
    </row>
    <row r="207" spans="1:7">
      <c r="A207" s="348">
        <f t="shared" si="8"/>
        <v>206</v>
      </c>
      <c r="B207" s="360">
        <f>DATE('Profit Calculation'!J$6,A$2,A$2+A207-1)</f>
        <v>42210</v>
      </c>
      <c r="D207" s="362">
        <f t="shared" si="7"/>
        <v>93615504.206796974</v>
      </c>
      <c r="F207" s="363">
        <f>DATE('Profit Calculation'!J$6,'Profit Calculation'!R$6+A207-1,'Profit Calculation'!Z$6)</f>
        <v>48335</v>
      </c>
      <c r="G207" s="364">
        <f ca="1">IF(Q$27=2,IF(LOOKUP(F207,X$1:X$35,X$1:X$35) = F207,ROUND(LOOKUP(LOOKUP(F207,X$1:X$35,A:A),Single!A$2:A$107,Table13[Saving]),0),IF( LOOKUP(F207,W$1:W$35,W$1:W$35) =
 F207,ROUND(G206*(1+IF($Q$18&lt;6,$R$14,IF($Q$18&lt;11,$R$15,$R$16)))^(1/12),0),G206*(1+IF($Q$18&lt;6,$R$14,IF($Q$18&lt;11,$R$15,$R$16)))^(1/12))),IF(LOOKUP(F207,X$1:X$35,X$1:X$35) = F207,ROUND(LOOKUP(LOOKUP(F207,X$1:X$35,A:A),'Annual Calculation'!A$2:A$107,Table1[Saving]),0),IF( LOOKUP(F207,W$1:W$35,W$1:W$35) =
 F207,ROUND(G206*(1+IF($Q$18&lt;6,$R$14,IF($Q$18&lt;11,$R$15,$R$16)))^(1/12),0),G206*(1+IF($Q$18&lt;6,$R$14,IF($Q$18&lt;11,$R$15,$R$16)))^(1/12))))</f>
        <v>0</v>
      </c>
    </row>
    <row r="208" spans="1:7">
      <c r="A208" s="348">
        <f t="shared" si="8"/>
        <v>207</v>
      </c>
      <c r="B208" s="360">
        <f>DATE('Profit Calculation'!J$6,A$2,A$2+A208-1)</f>
        <v>42211</v>
      </c>
      <c r="D208" s="362">
        <f t="shared" si="7"/>
        <v>93651357.330072463</v>
      </c>
      <c r="F208" s="363">
        <f>DATE('Profit Calculation'!J$6,'Profit Calculation'!R$6+A208-1,'Profit Calculation'!Z$6)</f>
        <v>48366</v>
      </c>
      <c r="G208" s="364">
        <f ca="1">IF(Q$27=2,IF(LOOKUP(F208,X$1:X$35,X$1:X$35) = F208,ROUND(LOOKUP(LOOKUP(F208,X$1:X$35,A:A),Single!A$2:A$107,Table13[Saving]),0),IF( LOOKUP(F208,W$1:W$35,W$1:W$35) =
 F208,ROUND(G207*(1+IF($Q$18&lt;6,$R$14,IF($Q$18&lt;11,$R$15,$R$16)))^(1/12),0),G207*(1+IF($Q$18&lt;6,$R$14,IF($Q$18&lt;11,$R$15,$R$16)))^(1/12))),IF(LOOKUP(F208,X$1:X$35,X$1:X$35) = F208,ROUND(LOOKUP(LOOKUP(F208,X$1:X$35,A:A),'Annual Calculation'!A$2:A$107,Table1[Saving]),0),IF( LOOKUP(F208,W$1:W$35,W$1:W$35) =
 F208,ROUND(G207*(1+IF($Q$18&lt;6,$R$14,IF($Q$18&lt;11,$R$15,$R$16)))^(1/12),0),G207*(1+IF($Q$18&lt;6,$R$14,IF($Q$18&lt;11,$R$15,$R$16)))^(1/12))))</f>
        <v>0</v>
      </c>
    </row>
    <row r="209" spans="1:7">
      <c r="A209" s="348">
        <f t="shared" si="8"/>
        <v>208</v>
      </c>
      <c r="B209" s="360">
        <f>DATE('Profit Calculation'!J$6,A$2,A$2+A209-1)</f>
        <v>42212</v>
      </c>
      <c r="D209" s="362">
        <f t="shared" si="7"/>
        <v>93687224.18447572</v>
      </c>
      <c r="F209" s="363">
        <f>DATE('Profit Calculation'!J$6,'Profit Calculation'!R$6+A209-1,'Profit Calculation'!Z$6)</f>
        <v>48396</v>
      </c>
      <c r="G209" s="364">
        <f ca="1">IF(Q$27=2,IF(LOOKUP(F209,X$1:X$35,X$1:X$35) = F209,ROUND(LOOKUP(LOOKUP(F209,X$1:X$35,A:A),Single!A$2:A$107,Table13[Saving]),0),IF( LOOKUP(F209,W$1:W$35,W$1:W$35) =
 F209,ROUND(G208*(1+IF($Q$18&lt;6,$R$14,IF($Q$18&lt;11,$R$15,$R$16)))^(1/12),0),G208*(1+IF($Q$18&lt;6,$R$14,IF($Q$18&lt;11,$R$15,$R$16)))^(1/12))),IF(LOOKUP(F209,X$1:X$35,X$1:X$35) = F209,ROUND(LOOKUP(LOOKUP(F209,X$1:X$35,A:A),'Annual Calculation'!A$2:A$107,Table1[Saving]),0),IF( LOOKUP(F209,W$1:W$35,W$1:W$35) =
 F209,ROUND(G208*(1+IF($Q$18&lt;6,$R$14,IF($Q$18&lt;11,$R$15,$R$16)))^(1/12),0),G208*(1+IF($Q$18&lt;6,$R$14,IF($Q$18&lt;11,$R$15,$R$16)))^(1/12))))</f>
        <v>0</v>
      </c>
    </row>
    <row r="210" spans="1:7">
      <c r="A210" s="348">
        <f t="shared" si="8"/>
        <v>209</v>
      </c>
      <c r="B210" s="360">
        <f>DATE('Profit Calculation'!J$6,A$2,A$2+A210-1)</f>
        <v>42213</v>
      </c>
      <c r="D210" s="362">
        <f t="shared" si="7"/>
        <v>93723104.775265515</v>
      </c>
      <c r="F210" s="363">
        <f>DATE('Profit Calculation'!J$6,'Profit Calculation'!R$6+A210-1,'Profit Calculation'!Z$6)</f>
        <v>48427</v>
      </c>
      <c r="G210" s="364">
        <f ca="1">IF(Q$27=2,IF(LOOKUP(F210,X$1:X$35,X$1:X$35) = F210,ROUND(LOOKUP(LOOKUP(F210,X$1:X$35,A:A),Single!A$2:A$107,Table13[Saving]),0),IF( LOOKUP(F210,W$1:W$35,W$1:W$35) =
 F210,ROUND(G209*(1+IF($Q$18&lt;6,$R$14,IF($Q$18&lt;11,$R$15,$R$16)))^(1/12),0),G209*(1+IF($Q$18&lt;6,$R$14,IF($Q$18&lt;11,$R$15,$R$16)))^(1/12))),IF(LOOKUP(F210,X$1:X$35,X$1:X$35) = F210,ROUND(LOOKUP(LOOKUP(F210,X$1:X$35,A:A),'Annual Calculation'!A$2:A$107,Table1[Saving]),0),IF( LOOKUP(F210,W$1:W$35,W$1:W$35) =
 F210,ROUND(G209*(1+IF($Q$18&lt;6,$R$14,IF($Q$18&lt;11,$R$15,$R$16)))^(1/12),0),G209*(1+IF($Q$18&lt;6,$R$14,IF($Q$18&lt;11,$R$15,$R$16)))^(1/12))))</f>
        <v>0</v>
      </c>
    </row>
    <row r="211" spans="1:7">
      <c r="A211" s="348">
        <f t="shared" si="8"/>
        <v>210</v>
      </c>
      <c r="B211" s="360">
        <f>DATE('Profit Calculation'!J$6,A$2,A$2+A211-1)</f>
        <v>42214</v>
      </c>
      <c r="D211" s="362">
        <f t="shared" si="7"/>
        <v>93758999.107702658</v>
      </c>
      <c r="F211" s="363">
        <f>DATE('Profit Calculation'!J$6,'Profit Calculation'!R$6+A211-1,'Profit Calculation'!Z$6)</f>
        <v>48458</v>
      </c>
      <c r="G211" s="364">
        <f ca="1">IF(Q$27=2,IF(LOOKUP(F211,X$1:X$35,X$1:X$35) = F211,ROUND(LOOKUP(LOOKUP(F211,X$1:X$35,A:A),Single!A$2:A$107,Table13[Saving]),0),IF( LOOKUP(F211,W$1:W$35,W$1:W$35) =
 F211,ROUND(G210*(1+IF($Q$18&lt;6,$R$14,IF($Q$18&lt;11,$R$15,$R$16)))^(1/12),0),G210*(1+IF($Q$18&lt;6,$R$14,IF($Q$18&lt;11,$R$15,$R$16)))^(1/12))),IF(LOOKUP(F211,X$1:X$35,X$1:X$35) = F211,ROUND(LOOKUP(LOOKUP(F211,X$1:X$35,A:A),'Annual Calculation'!A$2:A$107,Table1[Saving]),0),IF( LOOKUP(F211,W$1:W$35,W$1:W$35) =
 F211,ROUND(G210*(1+IF($Q$18&lt;6,$R$14,IF($Q$18&lt;11,$R$15,$R$16)))^(1/12),0),G210*(1+IF($Q$18&lt;6,$R$14,IF($Q$18&lt;11,$R$15,$R$16)))^(1/12))))</f>
        <v>0</v>
      </c>
    </row>
    <row r="212" spans="1:7">
      <c r="A212" s="348">
        <f t="shared" si="8"/>
        <v>211</v>
      </c>
      <c r="B212" s="360">
        <f>DATE('Profit Calculation'!J$6,A$2,A$2+A212-1)</f>
        <v>42215</v>
      </c>
      <c r="D212" s="362">
        <f t="shared" si="7"/>
        <v>93794907.187049955</v>
      </c>
      <c r="F212" s="363">
        <f>DATE('Profit Calculation'!J$6,'Profit Calculation'!R$6+A212-1,'Profit Calculation'!Z$6)</f>
        <v>48488</v>
      </c>
      <c r="G212" s="364">
        <f ca="1">IF(Q$27=2,IF(LOOKUP(F212,X$1:X$35,X$1:X$35) = F212,ROUND(LOOKUP(LOOKUP(F212,X$1:X$35,A:A),Single!A$2:A$107,Table13[Saving]),0),IF( LOOKUP(F212,W$1:W$35,W$1:W$35) =
 F212,ROUND(G211*(1+IF($Q$18&lt;6,$R$14,IF($Q$18&lt;11,$R$15,$R$16)))^(1/12),0),G211*(1+IF($Q$18&lt;6,$R$14,IF($Q$18&lt;11,$R$15,$R$16)))^(1/12))),IF(LOOKUP(F212,X$1:X$35,X$1:X$35) = F212,ROUND(LOOKUP(LOOKUP(F212,X$1:X$35,A:A),'Annual Calculation'!A$2:A$107,Table1[Saving]),0),IF( LOOKUP(F212,W$1:W$35,W$1:W$35) =
 F212,ROUND(G211*(1+IF($Q$18&lt;6,$R$14,IF($Q$18&lt;11,$R$15,$R$16)))^(1/12),0),G211*(1+IF($Q$18&lt;6,$R$14,IF($Q$18&lt;11,$R$15,$R$16)))^(1/12))))</f>
        <v>0</v>
      </c>
    </row>
    <row r="213" spans="1:7">
      <c r="A213" s="348">
        <f t="shared" si="8"/>
        <v>212</v>
      </c>
      <c r="B213" s="360">
        <f>DATE('Profit Calculation'!J$6,A$2,A$2+A213-1)</f>
        <v>42216</v>
      </c>
      <c r="D213" s="362">
        <f t="shared" si="7"/>
        <v>93830829.018572241</v>
      </c>
      <c r="F213" s="363">
        <f>DATE('Profit Calculation'!J$6,'Profit Calculation'!R$6+A213-1,'Profit Calculation'!Z$6)</f>
        <v>48519</v>
      </c>
      <c r="G213" s="364">
        <f ca="1">IF(Q$27=2,IF(LOOKUP(F213,X$1:X$35,X$1:X$35) = F213,ROUND(LOOKUP(LOOKUP(F213,X$1:X$35,A:A),Single!A$2:A$107,Table13[Saving]),0),IF( LOOKUP(F213,W$1:W$35,W$1:W$35) =
 F213,ROUND(G212*(1+IF($Q$18&lt;6,$R$14,IF($Q$18&lt;11,$R$15,$R$16)))^(1/12),0),G212*(1+IF($Q$18&lt;6,$R$14,IF($Q$18&lt;11,$R$15,$R$16)))^(1/12))),IF(LOOKUP(F213,X$1:X$35,X$1:X$35) = F213,ROUND(LOOKUP(LOOKUP(F213,X$1:X$35,A:A),'Annual Calculation'!A$2:A$107,Table1[Saving]),0),IF( LOOKUP(F213,W$1:W$35,W$1:W$35) =
 F213,ROUND(G212*(1+IF($Q$18&lt;6,$R$14,IF($Q$18&lt;11,$R$15,$R$16)))^(1/12),0),G212*(1+IF($Q$18&lt;6,$R$14,IF($Q$18&lt;11,$R$15,$R$16)))^(1/12))))</f>
        <v>0</v>
      </c>
    </row>
    <row r="214" spans="1:7">
      <c r="A214" s="348">
        <f t="shared" si="8"/>
        <v>213</v>
      </c>
      <c r="B214" s="360">
        <f>DATE('Profit Calculation'!J$6,A$2,A$2+A214-1)</f>
        <v>42217</v>
      </c>
      <c r="D214" s="362">
        <f t="shared" si="7"/>
        <v>93866764.607536361</v>
      </c>
      <c r="F214" s="363">
        <f>DATE('Profit Calculation'!J$6,'Profit Calculation'!R$6+A214-1,'Profit Calculation'!Z$6)</f>
        <v>48549</v>
      </c>
      <c r="G214" s="364">
        <f ca="1">IF(Q$27=2,IF(LOOKUP(F214,X$1:X$35,X$1:X$35) = F214,ROUND(LOOKUP(LOOKUP(F214,X$1:X$35,A:A),Single!A$2:A$107,Table13[Saving]),0),IF( LOOKUP(F214,W$1:W$35,W$1:W$35) =
 F214,ROUND(G213*(1+IF($Q$18&lt;6,$R$14,IF($Q$18&lt;11,$R$15,$R$16)))^(1/12),0),G213*(1+IF($Q$18&lt;6,$R$14,IF($Q$18&lt;11,$R$15,$R$16)))^(1/12))),IF(LOOKUP(F214,X$1:X$35,X$1:X$35) = F214,ROUND(LOOKUP(LOOKUP(F214,X$1:X$35,A:A),'Annual Calculation'!A$2:A$107,Table1[Saving]),0),IF( LOOKUP(F214,W$1:W$35,W$1:W$35) =
 F214,ROUND(G213*(1+IF($Q$18&lt;6,$R$14,IF($Q$18&lt;11,$R$15,$R$16)))^(1/12),0),G213*(1+IF($Q$18&lt;6,$R$14,IF($Q$18&lt;11,$R$15,$R$16)))^(1/12))))</f>
        <v>0</v>
      </c>
    </row>
    <row r="215" spans="1:7">
      <c r="A215" s="348">
        <f t="shared" si="8"/>
        <v>214</v>
      </c>
      <c r="B215" s="360">
        <f>DATE('Profit Calculation'!J$6,A$2,A$2+A215-1)</f>
        <v>42218</v>
      </c>
      <c r="D215" s="362">
        <f t="shared" si="7"/>
        <v>93902713.959211171</v>
      </c>
      <c r="F215" s="363">
        <f>DATE('Profit Calculation'!J$6,'Profit Calculation'!R$6+A215-1,'Profit Calculation'!Z$6)</f>
        <v>48580</v>
      </c>
      <c r="G215" s="364">
        <f ca="1">IF(Q$27=2,IF(LOOKUP(F215,X$1:X$35,X$1:X$35) = F215,ROUND(LOOKUP(LOOKUP(F215,X$1:X$35,A:A),Single!A$2:A$107,Table13[Saving]),0),IF( LOOKUP(F215,W$1:W$35,W$1:W$35) =
 F215,ROUND(G214*(1+IF($Q$18&lt;6,$R$14,IF($Q$18&lt;11,$R$15,$R$16)))^(1/12),0),G214*(1+IF($Q$18&lt;6,$R$14,IF($Q$18&lt;11,$R$15,$R$16)))^(1/12))),IF(LOOKUP(F215,X$1:X$35,X$1:X$35) = F215,ROUND(LOOKUP(LOOKUP(F215,X$1:X$35,A:A),'Annual Calculation'!A$2:A$107,Table1[Saving]),0),IF( LOOKUP(F215,W$1:W$35,W$1:W$35) =
 F215,ROUND(G214*(1+IF($Q$18&lt;6,$R$14,IF($Q$18&lt;11,$R$15,$R$16)))^(1/12),0),G214*(1+IF($Q$18&lt;6,$R$14,IF($Q$18&lt;11,$R$15,$R$16)))^(1/12))))</f>
        <v>0</v>
      </c>
    </row>
    <row r="216" spans="1:7">
      <c r="A216" s="348">
        <f t="shared" si="8"/>
        <v>215</v>
      </c>
      <c r="B216" s="360">
        <f>DATE('Profit Calculation'!J$6,A$2,A$2+A216-1)</f>
        <v>42219</v>
      </c>
      <c r="D216" s="362">
        <f t="shared" si="7"/>
        <v>93938677.07886757</v>
      </c>
      <c r="F216" s="363">
        <f>DATE('Profit Calculation'!J$6,'Profit Calculation'!R$6+A216-1,'Profit Calculation'!Z$6)</f>
        <v>48611</v>
      </c>
      <c r="G216" s="364">
        <f ca="1">IF(Q$27=2,IF(LOOKUP(F216,X$1:X$35,X$1:X$35) = F216,ROUND(LOOKUP(LOOKUP(F216,X$1:X$35,A:A),Single!A$2:A$107,Table13[Saving]),0),IF( LOOKUP(F216,W$1:W$35,W$1:W$35) =
 F216,ROUND(G215*(1+IF($Q$18&lt;6,$R$14,IF($Q$18&lt;11,$R$15,$R$16)))^(1/12),0),G215*(1+IF($Q$18&lt;6,$R$14,IF($Q$18&lt;11,$R$15,$R$16)))^(1/12))),IF(LOOKUP(F216,X$1:X$35,X$1:X$35) = F216,ROUND(LOOKUP(LOOKUP(F216,X$1:X$35,A:A),'Annual Calculation'!A$2:A$107,Table1[Saving]),0),IF( LOOKUP(F216,W$1:W$35,W$1:W$35) =
 F216,ROUND(G215*(1+IF($Q$18&lt;6,$R$14,IF($Q$18&lt;11,$R$15,$R$16)))^(1/12),0),G215*(1+IF($Q$18&lt;6,$R$14,IF($Q$18&lt;11,$R$15,$R$16)))^(1/12))))</f>
        <v>0</v>
      </c>
    </row>
    <row r="217" spans="1:7">
      <c r="A217" s="348">
        <f t="shared" si="8"/>
        <v>216</v>
      </c>
      <c r="B217" s="360">
        <f>DATE('Profit Calculation'!J$6,A$2,A$2+A217-1)</f>
        <v>42220</v>
      </c>
      <c r="D217" s="362">
        <f t="shared" si="7"/>
        <v>93974653.971778437</v>
      </c>
      <c r="F217" s="363">
        <f>DATE('Profit Calculation'!J$6,'Profit Calculation'!R$6+A217-1,'Profit Calculation'!Z$6)</f>
        <v>48639</v>
      </c>
      <c r="G217" s="364">
        <f ca="1">IF(Q$27=2,IF(LOOKUP(F217,X$1:X$35,X$1:X$35) = F217,ROUND(LOOKUP(LOOKUP(F217,X$1:X$35,A:A),Single!A$2:A$107,Table13[Saving]),0),IF( LOOKUP(F217,W$1:W$35,W$1:W$35) =
 F217,ROUND(G216*(1+IF($Q$18&lt;6,$R$14,IF($Q$18&lt;11,$R$15,$R$16)))^(1/12),0),G216*(1+IF($Q$18&lt;6,$R$14,IF($Q$18&lt;11,$R$15,$R$16)))^(1/12))),IF(LOOKUP(F217,X$1:X$35,X$1:X$35) = F217,ROUND(LOOKUP(LOOKUP(F217,X$1:X$35,A:A),'Annual Calculation'!A$2:A$107,Table1[Saving]),0),IF( LOOKUP(F217,W$1:W$35,W$1:W$35) =
 F217,ROUND(G216*(1+IF($Q$18&lt;6,$R$14,IF($Q$18&lt;11,$R$15,$R$16)))^(1/12),0),G216*(1+IF($Q$18&lt;6,$R$14,IF($Q$18&lt;11,$R$15,$R$16)))^(1/12))))</f>
        <v>0</v>
      </c>
    </row>
    <row r="218" spans="1:7">
      <c r="A218" s="348">
        <f t="shared" si="8"/>
        <v>217</v>
      </c>
      <c r="B218" s="360">
        <f>DATE('Profit Calculation'!J$6,A$2,A$2+A218-1)</f>
        <v>42221</v>
      </c>
      <c r="D218" s="362">
        <f t="shared" si="7"/>
        <v>94010644.643218711</v>
      </c>
      <c r="F218" s="357">
        <f>DATE('Profit Calculation'!J$6,'Profit Calculation'!R$6+A218-1,'Profit Calculation'!Z$6)</f>
        <v>48670</v>
      </c>
      <c r="G218" s="364">
        <f ca="1">IF(Q$27=2,IF(LOOKUP(F218,X$1:X$35,X$1:X$35) = F218,ROUND(LOOKUP(LOOKUP(F218,X$1:X$35,A:A),Single!A$2:A$107,Table13[Saving]),0),IF( LOOKUP(F218,W$1:W$35,W$1:W$35) =
 F218,ROUND(G217*(1+IF($Q$18&lt;6,$R$14,IF($Q$18&lt;11,$R$15,$R$16)))^(1/12),0),G217*(1+IF($Q$18&lt;6,$R$14,IF($Q$18&lt;11,$R$15,$R$16)))^(1/12))),IF(LOOKUP(F218,X$1:X$35,X$1:X$35) = F218,ROUND(LOOKUP(LOOKUP(F218,X$1:X$35,A:A),'Annual Calculation'!A$2:A$107,Table1[Saving]),0),IF( LOOKUP(F218,W$1:W$35,W$1:W$35) =
 F218,ROUND(G217*(1+IF($Q$18&lt;6,$R$14,IF($Q$18&lt;11,$R$15,$R$16)))^(1/12),0),G217*(1+IF($Q$18&lt;6,$R$14,IF($Q$18&lt;11,$R$15,$R$16)))^(1/12))))</f>
        <v>0</v>
      </c>
    </row>
    <row r="219" spans="1:7">
      <c r="A219" s="348">
        <f t="shared" si="8"/>
        <v>218</v>
      </c>
      <c r="B219" s="360">
        <f>DATE('Profit Calculation'!J$6,A$2,A$2+A219-1)</f>
        <v>42222</v>
      </c>
      <c r="D219" s="362">
        <f t="shared" si="7"/>
        <v>94046649.098465309</v>
      </c>
      <c r="F219" s="363">
        <f>DATE('Profit Calculation'!J$6,'Profit Calculation'!R$6+A219-1,'Profit Calculation'!Z$6)</f>
        <v>48700</v>
      </c>
      <c r="G219" s="364">
        <f ca="1">IF(Q$27=2,IF(LOOKUP(F219,X$1:X$35,X$1:X$35) = F219,ROUND(LOOKUP(LOOKUP(F219,X$1:X$35,A:A),Single!A$2:A$107,Table13[Saving]),0),IF( LOOKUP(F219,W$1:W$35,W$1:W$35) =
 F219,ROUND(G218*(1+IF($Q$18&lt;6,$R$14,IF($Q$18&lt;11,$R$15,$R$16)))^(1/12),0),G218*(1+IF($Q$18&lt;6,$R$14,IF($Q$18&lt;11,$R$15,$R$16)))^(1/12))),IF(LOOKUP(F219,X$1:X$35,X$1:X$35) = F219,ROUND(LOOKUP(LOOKUP(F219,X$1:X$35,A:A),'Annual Calculation'!A$2:A$107,Table1[Saving]),0),IF( LOOKUP(F219,W$1:W$35,W$1:W$35) =
 F219,ROUND(G218*(1+IF($Q$18&lt;6,$R$14,IF($Q$18&lt;11,$R$15,$R$16)))^(1/12),0),G218*(1+IF($Q$18&lt;6,$R$14,IF($Q$18&lt;11,$R$15,$R$16)))^(1/12))))</f>
        <v>0</v>
      </c>
    </row>
    <row r="220" spans="1:7">
      <c r="A220" s="348">
        <f t="shared" si="8"/>
        <v>219</v>
      </c>
      <c r="B220" s="360">
        <f>DATE('Profit Calculation'!J$6,A$2,A$2+A220-1)</f>
        <v>42223</v>
      </c>
      <c r="D220" s="362">
        <f t="shared" si="7"/>
        <v>94082667.342797205</v>
      </c>
      <c r="F220" s="363">
        <f>DATE('Profit Calculation'!J$6,'Profit Calculation'!R$6+A220-1,'Profit Calculation'!Z$6)</f>
        <v>48731</v>
      </c>
      <c r="G220" s="364">
        <f ca="1">IF(Q$27=2,IF(LOOKUP(F220,X$1:X$35,X$1:X$35) = F220,ROUND(LOOKUP(LOOKUP(F220,X$1:X$35,A:A),Single!A$2:A$107,Table13[Saving]),0),IF( LOOKUP(F220,W$1:W$35,W$1:W$35) =
 F220,ROUND(G219*(1+IF($Q$18&lt;6,$R$14,IF($Q$18&lt;11,$R$15,$R$16)))^(1/12),0),G219*(1+IF($Q$18&lt;6,$R$14,IF($Q$18&lt;11,$R$15,$R$16)))^(1/12))),IF(LOOKUP(F220,X$1:X$35,X$1:X$35) = F220,ROUND(LOOKUP(LOOKUP(F220,X$1:X$35,A:A),'Annual Calculation'!A$2:A$107,Table1[Saving]),0),IF( LOOKUP(F220,W$1:W$35,W$1:W$35) =
 F220,ROUND(G219*(1+IF($Q$18&lt;6,$R$14,IF($Q$18&lt;11,$R$15,$R$16)))^(1/12),0),G219*(1+IF($Q$18&lt;6,$R$14,IF($Q$18&lt;11,$R$15,$R$16)))^(1/12))))</f>
        <v>0</v>
      </c>
    </row>
    <row r="221" spans="1:7">
      <c r="A221" s="348">
        <f t="shared" si="8"/>
        <v>220</v>
      </c>
      <c r="B221" s="360">
        <f>DATE('Profit Calculation'!J$6,A$2,A$2+A221-1)</f>
        <v>42224</v>
      </c>
      <c r="D221" s="362">
        <f t="shared" si="7"/>
        <v>94118699.381495371</v>
      </c>
      <c r="F221" s="363">
        <f>DATE('Profit Calculation'!J$6,'Profit Calculation'!R$6+A221-1,'Profit Calculation'!Z$6)</f>
        <v>48761</v>
      </c>
      <c r="G221" s="364">
        <f ca="1">IF(Q$27=2,IF(LOOKUP(F221,X$1:X$35,X$1:X$35) = F221,ROUND(LOOKUP(LOOKUP(F221,X$1:X$35,A:A),Single!A$2:A$107,Table13[Saving]),0),IF( LOOKUP(F221,W$1:W$35,W$1:W$35) =
 F221,ROUND(G220*(1+IF($Q$18&lt;6,$R$14,IF($Q$18&lt;11,$R$15,$R$16)))^(1/12),0),G220*(1+IF($Q$18&lt;6,$R$14,IF($Q$18&lt;11,$R$15,$R$16)))^(1/12))),IF(LOOKUP(F221,X$1:X$35,X$1:X$35) = F221,ROUND(LOOKUP(LOOKUP(F221,X$1:X$35,A:A),'Annual Calculation'!A$2:A$107,Table1[Saving]),0),IF( LOOKUP(F221,W$1:W$35,W$1:W$35) =
 F221,ROUND(G220*(1+IF($Q$18&lt;6,$R$14,IF($Q$18&lt;11,$R$15,$R$16)))^(1/12),0),G220*(1+IF($Q$18&lt;6,$R$14,IF($Q$18&lt;11,$R$15,$R$16)))^(1/12))))</f>
        <v>0</v>
      </c>
    </row>
    <row r="222" spans="1:7">
      <c r="A222" s="348">
        <f t="shared" si="8"/>
        <v>221</v>
      </c>
      <c r="B222" s="360">
        <f>DATE('Profit Calculation'!J$6,A$2,A$2+A222-1)</f>
        <v>42225</v>
      </c>
      <c r="D222" s="362">
        <f t="shared" si="7"/>
        <v>94154745.219842821</v>
      </c>
      <c r="F222" s="363">
        <f>DATE('Profit Calculation'!J$6,'Profit Calculation'!R$6+A222-1,'Profit Calculation'!Z$6)</f>
        <v>48792</v>
      </c>
      <c r="G222" s="364">
        <f ca="1">IF(Q$27=2,IF(LOOKUP(F222,X$1:X$35,X$1:X$35) = F222,ROUND(LOOKUP(LOOKUP(F222,X$1:X$35,A:A),Single!A$2:A$107,Table13[Saving]),0),IF( LOOKUP(F222,W$1:W$35,W$1:W$35) =
 F222,ROUND(G221*(1+IF($Q$18&lt;6,$R$14,IF($Q$18&lt;11,$R$15,$R$16)))^(1/12),0),G221*(1+IF($Q$18&lt;6,$R$14,IF($Q$18&lt;11,$R$15,$R$16)))^(1/12))),IF(LOOKUP(F222,X$1:X$35,X$1:X$35) = F222,ROUND(LOOKUP(LOOKUP(F222,X$1:X$35,A:A),'Annual Calculation'!A$2:A$107,Table1[Saving]),0),IF( LOOKUP(F222,W$1:W$35,W$1:W$35) =
 F222,ROUND(G221*(1+IF($Q$18&lt;6,$R$14,IF($Q$18&lt;11,$R$15,$R$16)))^(1/12),0),G221*(1+IF($Q$18&lt;6,$R$14,IF($Q$18&lt;11,$R$15,$R$16)))^(1/12))))</f>
        <v>0</v>
      </c>
    </row>
    <row r="223" spans="1:7">
      <c r="A223" s="348">
        <f t="shared" si="8"/>
        <v>222</v>
      </c>
      <c r="B223" s="360">
        <f>DATE('Profit Calculation'!J$6,A$2,A$2+A223-1)</f>
        <v>42226</v>
      </c>
      <c r="D223" s="362">
        <f t="shared" si="7"/>
        <v>94190804.863124579</v>
      </c>
      <c r="F223" s="363">
        <f>DATE('Profit Calculation'!J$6,'Profit Calculation'!R$6+A223-1,'Profit Calculation'!Z$6)</f>
        <v>48823</v>
      </c>
      <c r="G223" s="364">
        <f ca="1">IF(Q$27=2,IF(LOOKUP(F223,X$1:X$35,X$1:X$35) = F223,ROUND(LOOKUP(LOOKUP(F223,X$1:X$35,A:A),Single!A$2:A$107,Table13[Saving]),0),IF( LOOKUP(F223,W$1:W$35,W$1:W$35) =
 F223,ROUND(G222*(1+IF($Q$18&lt;6,$R$14,IF($Q$18&lt;11,$R$15,$R$16)))^(1/12),0),G222*(1+IF($Q$18&lt;6,$R$14,IF($Q$18&lt;11,$R$15,$R$16)))^(1/12))),IF(LOOKUP(F223,X$1:X$35,X$1:X$35) = F223,ROUND(LOOKUP(LOOKUP(F223,X$1:X$35,A:A),'Annual Calculation'!A$2:A$107,Table1[Saving]),0),IF( LOOKUP(F223,W$1:W$35,W$1:W$35) =
 F223,ROUND(G222*(1+IF($Q$18&lt;6,$R$14,IF($Q$18&lt;11,$R$15,$R$16)))^(1/12),0),G222*(1+IF($Q$18&lt;6,$R$14,IF($Q$18&lt;11,$R$15,$R$16)))^(1/12))))</f>
        <v>0</v>
      </c>
    </row>
    <row r="224" spans="1:7">
      <c r="A224" s="348">
        <f t="shared" si="8"/>
        <v>223</v>
      </c>
      <c r="B224" s="360">
        <f>DATE('Profit Calculation'!J$6,A$2,A$2+A224-1)</f>
        <v>42227</v>
      </c>
      <c r="D224" s="362">
        <f t="shared" si="7"/>
        <v>94226878.316627696</v>
      </c>
      <c r="F224" s="363">
        <f>DATE('Profit Calculation'!J$6,'Profit Calculation'!R$6+A224-1,'Profit Calculation'!Z$6)</f>
        <v>48853</v>
      </c>
      <c r="G224" s="364">
        <f ca="1">IF(Q$27=2,IF(LOOKUP(F224,X$1:X$35,X$1:X$35) = F224,ROUND(LOOKUP(LOOKUP(F224,X$1:X$35,A:A),Single!A$2:A$107,Table13[Saving]),0),IF( LOOKUP(F224,W$1:W$35,W$1:W$35) =
 F224,ROUND(G223*(1+IF($Q$18&lt;6,$R$14,IF($Q$18&lt;11,$R$15,$R$16)))^(1/12),0),G223*(1+IF($Q$18&lt;6,$R$14,IF($Q$18&lt;11,$R$15,$R$16)))^(1/12))),IF(LOOKUP(F224,X$1:X$35,X$1:X$35) = F224,ROUND(LOOKUP(LOOKUP(F224,X$1:X$35,A:A),'Annual Calculation'!A$2:A$107,Table1[Saving]),0),IF( LOOKUP(F224,W$1:W$35,W$1:W$35) =
 F224,ROUND(G223*(1+IF($Q$18&lt;6,$R$14,IF($Q$18&lt;11,$R$15,$R$16)))^(1/12),0),G223*(1+IF($Q$18&lt;6,$R$14,IF($Q$18&lt;11,$R$15,$R$16)))^(1/12))))</f>
        <v>0</v>
      </c>
    </row>
    <row r="225" spans="1:7">
      <c r="A225" s="348">
        <f t="shared" si="8"/>
        <v>224</v>
      </c>
      <c r="B225" s="360">
        <f>DATE('Profit Calculation'!J$6,A$2,A$2+A225-1)</f>
        <v>42228</v>
      </c>
      <c r="D225" s="362">
        <f t="shared" si="7"/>
        <v>94262965.58564125</v>
      </c>
      <c r="F225" s="363">
        <f>DATE('Profit Calculation'!J$6,'Profit Calculation'!R$6+A225-1,'Profit Calculation'!Z$6)</f>
        <v>48884</v>
      </c>
      <c r="G225" s="364">
        <f ca="1">IF(Q$27=2,IF(LOOKUP(F225,X$1:X$35,X$1:X$35) = F225,ROUND(LOOKUP(LOOKUP(F225,X$1:X$35,A:A),Single!A$2:A$107,Table13[Saving]),0),IF( LOOKUP(F225,W$1:W$35,W$1:W$35) =
 F225,ROUND(G224*(1+IF($Q$18&lt;6,$R$14,IF($Q$18&lt;11,$R$15,$R$16)))^(1/12),0),G224*(1+IF($Q$18&lt;6,$R$14,IF($Q$18&lt;11,$R$15,$R$16)))^(1/12))),IF(LOOKUP(F225,X$1:X$35,X$1:X$35) = F225,ROUND(LOOKUP(LOOKUP(F225,X$1:X$35,A:A),'Annual Calculation'!A$2:A$107,Table1[Saving]),0),IF( LOOKUP(F225,W$1:W$35,W$1:W$35) =
 F225,ROUND(G224*(1+IF($Q$18&lt;6,$R$14,IF($Q$18&lt;11,$R$15,$R$16)))^(1/12),0),G224*(1+IF($Q$18&lt;6,$R$14,IF($Q$18&lt;11,$R$15,$R$16)))^(1/12))))</f>
        <v>0</v>
      </c>
    </row>
    <row r="226" spans="1:7">
      <c r="A226" s="348">
        <f t="shared" si="8"/>
        <v>225</v>
      </c>
      <c r="B226" s="360">
        <f>DATE('Profit Calculation'!J$6,A$2,A$2+A226-1)</f>
        <v>42229</v>
      </c>
      <c r="D226" s="362">
        <f t="shared" si="7"/>
        <v>94299066.675456345</v>
      </c>
      <c r="F226" s="363">
        <f>DATE('Profit Calculation'!J$6,'Profit Calculation'!R$6+A226-1,'Profit Calculation'!Z$6)</f>
        <v>48914</v>
      </c>
      <c r="G226" s="364">
        <f ca="1">IF(Q$27=2,IF(LOOKUP(F226,X$1:X$35,X$1:X$35) = F226,ROUND(LOOKUP(LOOKUP(F226,X$1:X$35,A:A),Single!A$2:A$107,Table13[Saving]),0),IF( LOOKUP(F226,W$1:W$35,W$1:W$35) =
 F226,ROUND(G225*(1+IF($Q$18&lt;6,$R$14,IF($Q$18&lt;11,$R$15,$R$16)))^(1/12),0),G225*(1+IF($Q$18&lt;6,$R$14,IF($Q$18&lt;11,$R$15,$R$16)))^(1/12))),IF(LOOKUP(F226,X$1:X$35,X$1:X$35) = F226,ROUND(LOOKUP(LOOKUP(F226,X$1:X$35,A:A),'Annual Calculation'!A$2:A$107,Table1[Saving]),0),IF( LOOKUP(F226,W$1:W$35,W$1:W$35) =
 F226,ROUND(G225*(1+IF($Q$18&lt;6,$R$14,IF($Q$18&lt;11,$R$15,$R$16)))^(1/12),0),G225*(1+IF($Q$18&lt;6,$R$14,IF($Q$18&lt;11,$R$15,$R$16)))^(1/12))))</f>
        <v>0</v>
      </c>
    </row>
    <row r="227" spans="1:7">
      <c r="A227" s="348">
        <f t="shared" si="8"/>
        <v>226</v>
      </c>
      <c r="B227" s="360">
        <f>DATE('Profit Calculation'!J$6,A$2,A$2+A227-1)</f>
        <v>42230</v>
      </c>
      <c r="D227" s="362">
        <f t="shared" si="7"/>
        <v>94335181.591366112</v>
      </c>
      <c r="F227" s="363">
        <f>DATE('Profit Calculation'!J$6,'Profit Calculation'!R$6+A227-1,'Profit Calculation'!Z$6)</f>
        <v>48945</v>
      </c>
      <c r="G227" s="364">
        <f ca="1">IF(Q$27=2,IF(LOOKUP(F227,X$1:X$35,X$1:X$35) = F227,ROUND(LOOKUP(LOOKUP(F227,X$1:X$35,A:A),Single!A$2:A$107,Table13[Saving]),0),IF( LOOKUP(F227,W$1:W$35,W$1:W$35) =
 F227,ROUND(G226*(1+IF($Q$18&lt;6,$R$14,IF($Q$18&lt;11,$R$15,$R$16)))^(1/12),0),G226*(1+IF($Q$18&lt;6,$R$14,IF($Q$18&lt;11,$R$15,$R$16)))^(1/12))),IF(LOOKUP(F227,X$1:X$35,X$1:X$35) = F227,ROUND(LOOKUP(LOOKUP(F227,X$1:X$35,A:A),'Annual Calculation'!A$2:A$107,Table1[Saving]),0),IF( LOOKUP(F227,W$1:W$35,W$1:W$35) =
 F227,ROUND(G226*(1+IF($Q$18&lt;6,$R$14,IF($Q$18&lt;11,$R$15,$R$16)))^(1/12),0),G226*(1+IF($Q$18&lt;6,$R$14,IF($Q$18&lt;11,$R$15,$R$16)))^(1/12))))</f>
        <v>0</v>
      </c>
    </row>
    <row r="228" spans="1:7">
      <c r="A228" s="348">
        <f t="shared" si="8"/>
        <v>227</v>
      </c>
      <c r="B228" s="360">
        <f>DATE('Profit Calculation'!J$6,A$2,A$2+A228-1)</f>
        <v>42231</v>
      </c>
      <c r="D228" s="362">
        <f t="shared" si="7"/>
        <v>94371310.338665709</v>
      </c>
      <c r="F228" s="363">
        <f>DATE('Profit Calculation'!J$6,'Profit Calculation'!R$6+A228-1,'Profit Calculation'!Z$6)</f>
        <v>48976</v>
      </c>
      <c r="G228" s="364">
        <f ca="1">IF(Q$27=2,IF(LOOKUP(F228,X$1:X$35,X$1:X$35) = F228,ROUND(LOOKUP(LOOKUP(F228,X$1:X$35,A:A),Single!A$2:A$107,Table13[Saving]),0),IF( LOOKUP(F228,W$1:W$35,W$1:W$35) =
 F228,ROUND(G227*(1+IF($Q$18&lt;6,$R$14,IF($Q$18&lt;11,$R$15,$R$16)))^(1/12),0),G227*(1+IF($Q$18&lt;6,$R$14,IF($Q$18&lt;11,$R$15,$R$16)))^(1/12))),IF(LOOKUP(F228,X$1:X$35,X$1:X$35) = F228,ROUND(LOOKUP(LOOKUP(F228,X$1:X$35,A:A),'Annual Calculation'!A$2:A$107,Table1[Saving]),0),IF( LOOKUP(F228,W$1:W$35,W$1:W$35) =
 F228,ROUND(G227*(1+IF($Q$18&lt;6,$R$14,IF($Q$18&lt;11,$R$15,$R$16)))^(1/12),0),G227*(1+IF($Q$18&lt;6,$R$14,IF($Q$18&lt;11,$R$15,$R$16)))^(1/12))))</f>
        <v>0</v>
      </c>
    </row>
    <row r="229" spans="1:7">
      <c r="A229" s="348">
        <f t="shared" si="8"/>
        <v>228</v>
      </c>
      <c r="B229" s="360">
        <f>DATE('Profit Calculation'!J$6,A$2,A$2+A229-1)</f>
        <v>42232</v>
      </c>
      <c r="D229" s="362">
        <f t="shared" si="7"/>
        <v>94407452.922652304</v>
      </c>
      <c r="F229" s="363">
        <f>DATE('Profit Calculation'!J$6,'Profit Calculation'!R$6+A229-1,'Profit Calculation'!Z$6)</f>
        <v>49004</v>
      </c>
      <c r="G229" s="364">
        <f ca="1">IF(Q$27=2,IF(LOOKUP(F229,X$1:X$35,X$1:X$35) = F229,ROUND(LOOKUP(LOOKUP(F229,X$1:X$35,A:A),Single!A$2:A$107,Table13[Saving]),0),IF( LOOKUP(F229,W$1:W$35,W$1:W$35) =
 F229,ROUND(G228*(1+IF($Q$18&lt;6,$R$14,IF($Q$18&lt;11,$R$15,$R$16)))^(1/12),0),G228*(1+IF($Q$18&lt;6,$R$14,IF($Q$18&lt;11,$R$15,$R$16)))^(1/12))),IF(LOOKUP(F229,X$1:X$35,X$1:X$35) = F229,ROUND(LOOKUP(LOOKUP(F229,X$1:X$35,A:A),'Annual Calculation'!A$2:A$107,Table1[Saving]),0),IF( LOOKUP(F229,W$1:W$35,W$1:W$35) =
 F229,ROUND(G228*(1+IF($Q$18&lt;6,$R$14,IF($Q$18&lt;11,$R$15,$R$16)))^(1/12),0),G228*(1+IF($Q$18&lt;6,$R$14,IF($Q$18&lt;11,$R$15,$R$16)))^(1/12))))</f>
        <v>0</v>
      </c>
    </row>
    <row r="230" spans="1:7">
      <c r="A230" s="348">
        <f t="shared" si="8"/>
        <v>229</v>
      </c>
      <c r="B230" s="360">
        <f>DATE('Profit Calculation'!J$6,A$2,A$2+A230-1)</f>
        <v>42233</v>
      </c>
      <c r="D230" s="362">
        <f t="shared" si="7"/>
        <v>94443609.348625124</v>
      </c>
      <c r="F230" s="357">
        <f>DATE('Profit Calculation'!J$6,'Profit Calculation'!R$6+A230-1,'Profit Calculation'!Z$6)</f>
        <v>49035</v>
      </c>
      <c r="G230" s="364">
        <f ca="1">IF(Q$27=2,IF(LOOKUP(F230,X$1:X$35,X$1:X$35) = F230,ROUND(LOOKUP(LOOKUP(F230,X$1:X$35,A:A),Single!A$2:A$107,Table13[Saving]),0),IF( LOOKUP(F230,W$1:W$35,W$1:W$35) =
 F230,ROUND(G229*(1+IF($Q$18&lt;6,$R$14,IF($Q$18&lt;11,$R$15,$R$16)))^(1/12),0),G229*(1+IF($Q$18&lt;6,$R$14,IF($Q$18&lt;11,$R$15,$R$16)))^(1/12))),IF(LOOKUP(F230,X$1:X$35,X$1:X$35) = F230,ROUND(LOOKUP(LOOKUP(F230,X$1:X$35,A:A),'Annual Calculation'!A$2:A$107,Table1[Saving]),0),IF( LOOKUP(F230,W$1:W$35,W$1:W$35) =
 F230,ROUND(G229*(1+IF($Q$18&lt;6,$R$14,IF($Q$18&lt;11,$R$15,$R$16)))^(1/12),0),G229*(1+IF($Q$18&lt;6,$R$14,IF($Q$18&lt;11,$R$15,$R$16)))^(1/12))))</f>
        <v>0</v>
      </c>
    </row>
    <row r="231" spans="1:7">
      <c r="A231" s="348">
        <f t="shared" si="8"/>
        <v>230</v>
      </c>
      <c r="B231" s="360">
        <f>DATE('Profit Calculation'!J$6,A$2,A$2+A231-1)</f>
        <v>42234</v>
      </c>
      <c r="D231" s="362">
        <f t="shared" si="7"/>
        <v>94479779.621885404</v>
      </c>
      <c r="F231" s="363">
        <f>DATE('Profit Calculation'!J$6,'Profit Calculation'!R$6+A231-1,'Profit Calculation'!Z$6)</f>
        <v>49065</v>
      </c>
      <c r="G231" s="364">
        <f ca="1">IF(Q$27=2,IF(LOOKUP(F231,X$1:X$35,X$1:X$35) = F231,ROUND(LOOKUP(LOOKUP(F231,X$1:X$35,A:A),Single!A$2:A$107,Table13[Saving]),0),IF( LOOKUP(F231,W$1:W$35,W$1:W$35) =
 F231,ROUND(G230*(1+IF($Q$18&lt;6,$R$14,IF($Q$18&lt;11,$R$15,$R$16)))^(1/12),0),G230*(1+IF($Q$18&lt;6,$R$14,IF($Q$18&lt;11,$R$15,$R$16)))^(1/12))),IF(LOOKUP(F231,X$1:X$35,X$1:X$35) = F231,ROUND(LOOKUP(LOOKUP(F231,X$1:X$35,A:A),'Annual Calculation'!A$2:A$107,Table1[Saving]),0),IF( LOOKUP(F231,W$1:W$35,W$1:W$35) =
 F231,ROUND(G230*(1+IF($Q$18&lt;6,$R$14,IF($Q$18&lt;11,$R$15,$R$16)))^(1/12),0),G230*(1+IF($Q$18&lt;6,$R$14,IF($Q$18&lt;11,$R$15,$R$16)))^(1/12))))</f>
        <v>0</v>
      </c>
    </row>
    <row r="232" spans="1:7">
      <c r="A232" s="348">
        <f t="shared" si="8"/>
        <v>231</v>
      </c>
      <c r="B232" s="360">
        <f>DATE('Profit Calculation'!J$6,A$2,A$2+A232-1)</f>
        <v>42235</v>
      </c>
      <c r="D232" s="362">
        <f t="shared" si="7"/>
        <v>94515963.747736409</v>
      </c>
      <c r="F232" s="363">
        <f>DATE('Profit Calculation'!J$6,'Profit Calculation'!R$6+A232-1,'Profit Calculation'!Z$6)</f>
        <v>49096</v>
      </c>
      <c r="G232" s="364">
        <f ca="1">IF(Q$27=2,IF(LOOKUP(F232,X$1:X$35,X$1:X$35) = F232,ROUND(LOOKUP(LOOKUP(F232,X$1:X$35,A:A),Single!A$2:A$107,Table13[Saving]),0),IF( LOOKUP(F232,W$1:W$35,W$1:W$35) =
 F232,ROUND(G231*(1+IF($Q$18&lt;6,$R$14,IF($Q$18&lt;11,$R$15,$R$16)))^(1/12),0),G231*(1+IF($Q$18&lt;6,$R$14,IF($Q$18&lt;11,$R$15,$R$16)))^(1/12))),IF(LOOKUP(F232,X$1:X$35,X$1:X$35) = F232,ROUND(LOOKUP(LOOKUP(F232,X$1:X$35,A:A),'Annual Calculation'!A$2:A$107,Table1[Saving]),0),IF( LOOKUP(F232,W$1:W$35,W$1:W$35) =
 F232,ROUND(G231*(1+IF($Q$18&lt;6,$R$14,IF($Q$18&lt;11,$R$15,$R$16)))^(1/12),0),G231*(1+IF($Q$18&lt;6,$R$14,IF($Q$18&lt;11,$R$15,$R$16)))^(1/12))))</f>
        <v>0</v>
      </c>
    </row>
    <row r="233" spans="1:7">
      <c r="A233" s="348">
        <f t="shared" si="8"/>
        <v>232</v>
      </c>
      <c r="B233" s="360">
        <f>DATE('Profit Calculation'!J$6,A$2,A$2+A233-1)</f>
        <v>42236</v>
      </c>
      <c r="D233" s="362">
        <f t="shared" si="7"/>
        <v>94552161.731483459</v>
      </c>
      <c r="F233" s="363">
        <f>DATE('Profit Calculation'!J$6,'Profit Calculation'!R$6+A233-1,'Profit Calculation'!Z$6)</f>
        <v>49126</v>
      </c>
      <c r="G233" s="364">
        <f ca="1">IF(Q$27=2,IF(LOOKUP(F233,X$1:X$35,X$1:X$35) = F233,ROUND(LOOKUP(LOOKUP(F233,X$1:X$35,A:A),Single!A$2:A$107,Table13[Saving]),0),IF( LOOKUP(F233,W$1:W$35,W$1:W$35) =
 F233,ROUND(G232*(1+IF($Q$18&lt;6,$R$14,IF($Q$18&lt;11,$R$15,$R$16)))^(1/12),0),G232*(1+IF($Q$18&lt;6,$R$14,IF($Q$18&lt;11,$R$15,$R$16)))^(1/12))),IF(LOOKUP(F233,X$1:X$35,X$1:X$35) = F233,ROUND(LOOKUP(LOOKUP(F233,X$1:X$35,A:A),'Annual Calculation'!A$2:A$107,Table1[Saving]),0),IF( LOOKUP(F233,W$1:W$35,W$1:W$35) =
 F233,ROUND(G232*(1+IF($Q$18&lt;6,$R$14,IF($Q$18&lt;11,$R$15,$R$16)))^(1/12),0),G232*(1+IF($Q$18&lt;6,$R$14,IF($Q$18&lt;11,$R$15,$R$16)))^(1/12))))</f>
        <v>0</v>
      </c>
    </row>
    <row r="234" spans="1:7">
      <c r="A234" s="348">
        <f t="shared" si="8"/>
        <v>233</v>
      </c>
      <c r="B234" s="360">
        <f>DATE('Profit Calculation'!J$6,A$2,A$2+A234-1)</f>
        <v>42237</v>
      </c>
      <c r="D234" s="362">
        <f t="shared" si="7"/>
        <v>94588373.578433886</v>
      </c>
      <c r="F234" s="363">
        <f>DATE('Profit Calculation'!J$6,'Profit Calculation'!R$6+A234-1,'Profit Calculation'!Z$6)</f>
        <v>49157</v>
      </c>
      <c r="G234" s="364">
        <f ca="1">IF(Q$27=2,IF(LOOKUP(F234,X$1:X$35,X$1:X$35) = F234,ROUND(LOOKUP(LOOKUP(F234,X$1:X$35,A:A),Single!A$2:A$107,Table13[Saving]),0),IF( LOOKUP(F234,W$1:W$35,W$1:W$35) =
 F234,ROUND(G233*(1+IF($Q$18&lt;6,$R$14,IF($Q$18&lt;11,$R$15,$R$16)))^(1/12),0),G233*(1+IF($Q$18&lt;6,$R$14,IF($Q$18&lt;11,$R$15,$R$16)))^(1/12))),IF(LOOKUP(F234,X$1:X$35,X$1:X$35) = F234,ROUND(LOOKUP(LOOKUP(F234,X$1:X$35,A:A),'Annual Calculation'!A$2:A$107,Table1[Saving]),0),IF( LOOKUP(F234,W$1:W$35,W$1:W$35) =
 F234,ROUND(G233*(1+IF($Q$18&lt;6,$R$14,IF($Q$18&lt;11,$R$15,$R$16)))^(1/12),0),G233*(1+IF($Q$18&lt;6,$R$14,IF($Q$18&lt;11,$R$15,$R$16)))^(1/12))))</f>
        <v>0</v>
      </c>
    </row>
    <row r="235" spans="1:7">
      <c r="A235" s="348">
        <f t="shared" si="8"/>
        <v>234</v>
      </c>
      <c r="B235" s="360">
        <f>DATE('Profit Calculation'!J$6,A$2,A$2+A235-1)</f>
        <v>42238</v>
      </c>
      <c r="D235" s="362">
        <f t="shared" si="7"/>
        <v>94624599.293897048</v>
      </c>
      <c r="F235" s="363">
        <f>DATE('Profit Calculation'!J$6,'Profit Calculation'!R$6+A235-1,'Profit Calculation'!Z$6)</f>
        <v>49188</v>
      </c>
      <c r="G235" s="364">
        <f ca="1">IF(Q$27=2,IF(LOOKUP(F235,X$1:X$35,X$1:X$35) = F235,ROUND(LOOKUP(LOOKUP(F235,X$1:X$35,A:A),Single!A$2:A$107,Table13[Saving]),0),IF( LOOKUP(F235,W$1:W$35,W$1:W$35) =
 F235,ROUND(G234*(1+IF($Q$18&lt;6,$R$14,IF($Q$18&lt;11,$R$15,$R$16)))^(1/12),0),G234*(1+IF($Q$18&lt;6,$R$14,IF($Q$18&lt;11,$R$15,$R$16)))^(1/12))),IF(LOOKUP(F235,X$1:X$35,X$1:X$35) = F235,ROUND(LOOKUP(LOOKUP(F235,X$1:X$35,A:A),'Annual Calculation'!A$2:A$107,Table1[Saving]),0),IF( LOOKUP(F235,W$1:W$35,W$1:W$35) =
 F235,ROUND(G234*(1+IF($Q$18&lt;6,$R$14,IF($Q$18&lt;11,$R$15,$R$16)))^(1/12),0),G234*(1+IF($Q$18&lt;6,$R$14,IF($Q$18&lt;11,$R$15,$R$16)))^(1/12))))</f>
        <v>0</v>
      </c>
    </row>
    <row r="236" spans="1:7">
      <c r="A236" s="348">
        <f t="shared" si="8"/>
        <v>235</v>
      </c>
      <c r="B236" s="360">
        <f>DATE('Profit Calculation'!J$6,A$2,A$2+A236-1)</f>
        <v>42239</v>
      </c>
      <c r="D236" s="362">
        <f t="shared" si="7"/>
        <v>94660838.883184344</v>
      </c>
      <c r="F236" s="363">
        <f>DATE('Profit Calculation'!J$6,'Profit Calculation'!R$6+A236-1,'Profit Calculation'!Z$6)</f>
        <v>49218</v>
      </c>
      <c r="G236" s="364">
        <f ca="1">IF(Q$27=2,IF(LOOKUP(F236,X$1:X$35,X$1:X$35) = F236,ROUND(LOOKUP(LOOKUP(F236,X$1:X$35,A:A),Single!A$2:A$107,Table13[Saving]),0),IF( LOOKUP(F236,W$1:W$35,W$1:W$35) =
 F236,ROUND(G235*(1+IF($Q$18&lt;6,$R$14,IF($Q$18&lt;11,$R$15,$R$16)))^(1/12),0),G235*(1+IF($Q$18&lt;6,$R$14,IF($Q$18&lt;11,$R$15,$R$16)))^(1/12))),IF(LOOKUP(F236,X$1:X$35,X$1:X$35) = F236,ROUND(LOOKUP(LOOKUP(F236,X$1:X$35,A:A),'Annual Calculation'!A$2:A$107,Table1[Saving]),0),IF( LOOKUP(F236,W$1:W$35,W$1:W$35) =
 F236,ROUND(G235*(1+IF($Q$18&lt;6,$R$14,IF($Q$18&lt;11,$R$15,$R$16)))^(1/12),0),G235*(1+IF($Q$18&lt;6,$R$14,IF($Q$18&lt;11,$R$15,$R$16)))^(1/12))))</f>
        <v>0</v>
      </c>
    </row>
    <row r="237" spans="1:7">
      <c r="A237" s="348">
        <f t="shared" si="8"/>
        <v>236</v>
      </c>
      <c r="B237" s="360">
        <f>DATE('Profit Calculation'!J$6,A$2,A$2+A237-1)</f>
        <v>42240</v>
      </c>
      <c r="D237" s="362">
        <f t="shared" si="7"/>
        <v>94697092.351609215</v>
      </c>
      <c r="F237" s="363">
        <f>DATE('Profit Calculation'!J$6,'Profit Calculation'!R$6+A237-1,'Profit Calculation'!Z$6)</f>
        <v>49249</v>
      </c>
      <c r="G237" s="364">
        <f ca="1">IF(Q$27=2,IF(LOOKUP(F237,X$1:X$35,X$1:X$35) = F237,ROUND(LOOKUP(LOOKUP(F237,X$1:X$35,A:A),Single!A$2:A$107,Table13[Saving]),0),IF( LOOKUP(F237,W$1:W$35,W$1:W$35) =
 F237,ROUND(G236*(1+IF($Q$18&lt;6,$R$14,IF($Q$18&lt;11,$R$15,$R$16)))^(1/12),0),G236*(1+IF($Q$18&lt;6,$R$14,IF($Q$18&lt;11,$R$15,$R$16)))^(1/12))),IF(LOOKUP(F237,X$1:X$35,X$1:X$35) = F237,ROUND(LOOKUP(LOOKUP(F237,X$1:X$35,A:A),'Annual Calculation'!A$2:A$107,Table1[Saving]),0),IF( LOOKUP(F237,W$1:W$35,W$1:W$35) =
 F237,ROUND(G236*(1+IF($Q$18&lt;6,$R$14,IF($Q$18&lt;11,$R$15,$R$16)))^(1/12),0),G236*(1+IF($Q$18&lt;6,$R$14,IF($Q$18&lt;11,$R$15,$R$16)))^(1/12))))</f>
        <v>0</v>
      </c>
    </row>
    <row r="238" spans="1:7">
      <c r="A238" s="348">
        <f t="shared" si="8"/>
        <v>237</v>
      </c>
      <c r="B238" s="360">
        <f>DATE('Profit Calculation'!J$6,A$2,A$2+A238-1)</f>
        <v>42241</v>
      </c>
      <c r="D238" s="362">
        <f t="shared" si="7"/>
        <v>94733359.704487145</v>
      </c>
      <c r="F238" s="363">
        <f>DATE('Profit Calculation'!J$6,'Profit Calculation'!R$6+A238-1,'Profit Calculation'!Z$6)</f>
        <v>49279</v>
      </c>
      <c r="G238" s="364">
        <f ca="1">IF(Q$27=2,IF(LOOKUP(F238,X$1:X$35,X$1:X$35) = F238,ROUND(LOOKUP(LOOKUP(F238,X$1:X$35,A:A),Single!A$2:A$107,Table13[Saving]),0),IF( LOOKUP(F238,W$1:W$35,W$1:W$35) =
 F238,ROUND(G237*(1+IF($Q$18&lt;6,$R$14,IF($Q$18&lt;11,$R$15,$R$16)))^(1/12),0),G237*(1+IF($Q$18&lt;6,$R$14,IF($Q$18&lt;11,$R$15,$R$16)))^(1/12))),IF(LOOKUP(F238,X$1:X$35,X$1:X$35) = F238,ROUND(LOOKUP(LOOKUP(F238,X$1:X$35,A:A),'Annual Calculation'!A$2:A$107,Table1[Saving]),0),IF( LOOKUP(F238,W$1:W$35,W$1:W$35) =
 F238,ROUND(G237*(1+IF($Q$18&lt;6,$R$14,IF($Q$18&lt;11,$R$15,$R$16)))^(1/12),0),G237*(1+IF($Q$18&lt;6,$R$14,IF($Q$18&lt;11,$R$15,$R$16)))^(1/12))))</f>
        <v>0</v>
      </c>
    </row>
    <row r="239" spans="1:7">
      <c r="A239" s="348">
        <f t="shared" si="8"/>
        <v>238</v>
      </c>
      <c r="B239" s="360">
        <f>DATE('Profit Calculation'!J$6,A$2,A$2+A239-1)</f>
        <v>42242</v>
      </c>
      <c r="D239" s="362">
        <f t="shared" si="7"/>
        <v>94769640.947135627</v>
      </c>
      <c r="F239" s="363">
        <f>DATE('Profit Calculation'!J$6,'Profit Calculation'!R$6+A239-1,'Profit Calculation'!Z$6)</f>
        <v>49310</v>
      </c>
      <c r="G239" s="364">
        <f ca="1">IF(Q$27=2,IF(LOOKUP(F239,X$1:X$35,X$1:X$35) = F239,ROUND(LOOKUP(LOOKUP(F239,X$1:X$35,A:A),Single!A$2:A$107,Table13[Saving]),0),IF( LOOKUP(F239,W$1:W$35,W$1:W$35) =
 F239,ROUND(G238*(1+IF($Q$18&lt;6,$R$14,IF($Q$18&lt;11,$R$15,$R$16)))^(1/12),0),G238*(1+IF($Q$18&lt;6,$R$14,IF($Q$18&lt;11,$R$15,$R$16)))^(1/12))),IF(LOOKUP(F239,X$1:X$35,X$1:X$35) = F239,ROUND(LOOKUP(LOOKUP(F239,X$1:X$35,A:A),'Annual Calculation'!A$2:A$107,Table1[Saving]),0),IF( LOOKUP(F239,W$1:W$35,W$1:W$35) =
 F239,ROUND(G238*(1+IF($Q$18&lt;6,$R$14,IF($Q$18&lt;11,$R$15,$R$16)))^(1/12),0),G238*(1+IF($Q$18&lt;6,$R$14,IF($Q$18&lt;11,$R$15,$R$16)))^(1/12))))</f>
        <v>0</v>
      </c>
    </row>
    <row r="240" spans="1:7">
      <c r="A240" s="348">
        <f t="shared" si="8"/>
        <v>239</v>
      </c>
      <c r="B240" s="360">
        <f>DATE('Profit Calculation'!J$6,A$2,A$2+A240-1)</f>
        <v>42243</v>
      </c>
      <c r="D240" s="362">
        <f t="shared" si="7"/>
        <v>94805936.084874198</v>
      </c>
      <c r="F240" s="363">
        <f>DATE('Profit Calculation'!J$6,'Profit Calculation'!R$6+A240-1,'Profit Calculation'!Z$6)</f>
        <v>49341</v>
      </c>
      <c r="G240" s="364">
        <f ca="1">IF(Q$27=2,IF(LOOKUP(F240,X$1:X$35,X$1:X$35) = F240,ROUND(LOOKUP(LOOKUP(F240,X$1:X$35,A:A),Single!A$2:A$107,Table13[Saving]),0),IF( LOOKUP(F240,W$1:W$35,W$1:W$35) =
 F240,ROUND(G239*(1+IF($Q$18&lt;6,$R$14,IF($Q$18&lt;11,$R$15,$R$16)))^(1/12),0),G239*(1+IF($Q$18&lt;6,$R$14,IF($Q$18&lt;11,$R$15,$R$16)))^(1/12))),IF(LOOKUP(F240,X$1:X$35,X$1:X$35) = F240,ROUND(LOOKUP(LOOKUP(F240,X$1:X$35,A:A),'Annual Calculation'!A$2:A$107,Table1[Saving]),0),IF( LOOKUP(F240,W$1:W$35,W$1:W$35) =
 F240,ROUND(G239*(1+IF($Q$18&lt;6,$R$14,IF($Q$18&lt;11,$R$15,$R$16)))^(1/12),0),G239*(1+IF($Q$18&lt;6,$R$14,IF($Q$18&lt;11,$R$15,$R$16)))^(1/12))))</f>
        <v>0</v>
      </c>
    </row>
    <row r="241" spans="1:7">
      <c r="A241" s="348">
        <f t="shared" si="8"/>
        <v>240</v>
      </c>
      <c r="B241" s="360">
        <f>DATE('Profit Calculation'!J$6,A$2,A$2+A241-1)</f>
        <v>42244</v>
      </c>
      <c r="D241" s="362">
        <f t="shared" si="7"/>
        <v>94842245.123024449</v>
      </c>
      <c r="F241" s="363">
        <f>DATE('Profit Calculation'!J$6,'Profit Calculation'!R$6+A241-1,'Profit Calculation'!Z$6)</f>
        <v>49369</v>
      </c>
      <c r="G241" s="364">
        <f ca="1">IF(Q$27=2,IF(LOOKUP(F241,X$1:X$35,X$1:X$35) = F241,ROUND(LOOKUP(LOOKUP(F241,X$1:X$35,A:A),Single!A$2:A$107,Table13[Saving]),0),IF( LOOKUP(F241,W$1:W$35,W$1:W$35) =
 F241,ROUND(G240*(1+IF($Q$18&lt;6,$R$14,IF($Q$18&lt;11,$R$15,$R$16)))^(1/12),0),G240*(1+IF($Q$18&lt;6,$R$14,IF($Q$18&lt;11,$R$15,$R$16)))^(1/12))),IF(LOOKUP(F241,X$1:X$35,X$1:X$35) = F241,ROUND(LOOKUP(LOOKUP(F241,X$1:X$35,A:A),'Annual Calculation'!A$2:A$107,Table1[Saving]),0),IF( LOOKUP(F241,W$1:W$35,W$1:W$35) =
 F241,ROUND(G240*(1+IF($Q$18&lt;6,$R$14,IF($Q$18&lt;11,$R$15,$R$16)))^(1/12),0),G240*(1+IF($Q$18&lt;6,$R$14,IF($Q$18&lt;11,$R$15,$R$16)))^(1/12))))</f>
        <v>0</v>
      </c>
    </row>
    <row r="242" spans="1:7">
      <c r="A242" s="348">
        <f t="shared" si="8"/>
        <v>241</v>
      </c>
      <c r="B242" s="360">
        <f>DATE('Profit Calculation'!J$6,A$2,A$2+A242-1)</f>
        <v>42245</v>
      </c>
      <c r="D242" s="362">
        <f t="shared" si="7"/>
        <v>94878568.066909984</v>
      </c>
      <c r="F242" s="357">
        <f>DATE('Profit Calculation'!J$6,'Profit Calculation'!R$6+A242-1,'Profit Calculation'!Z$6)</f>
        <v>49400</v>
      </c>
      <c r="G242" s="364">
        <f ca="1">IF(Q$27=2,IF(LOOKUP(F242,X$1:X$35,X$1:X$35) = F242,ROUND(LOOKUP(LOOKUP(F242,X$1:X$35,A:A),Single!A$2:A$107,Table13[Saving]),0),IF( LOOKUP(F242,W$1:W$35,W$1:W$35) =
 F242,ROUND(G241*(1+IF($Q$18&lt;6,$R$14,IF($Q$18&lt;11,$R$15,$R$16)))^(1/12),0),G241*(1+IF($Q$18&lt;6,$R$14,IF($Q$18&lt;11,$R$15,$R$16)))^(1/12))),IF(LOOKUP(F242,X$1:X$35,X$1:X$35) = F242,ROUND(LOOKUP(LOOKUP(F242,X$1:X$35,A:A),'Annual Calculation'!A$2:A$107,Table1[Saving]),0),IF( LOOKUP(F242,W$1:W$35,W$1:W$35) =
 F242,ROUND(G241*(1+IF($Q$18&lt;6,$R$14,IF($Q$18&lt;11,$R$15,$R$16)))^(1/12),0),G241*(1+IF($Q$18&lt;6,$R$14,IF($Q$18&lt;11,$R$15,$R$16)))^(1/12))))</f>
        <v>0</v>
      </c>
    </row>
    <row r="243" spans="1:7">
      <c r="A243" s="348">
        <f t="shared" si="8"/>
        <v>242</v>
      </c>
      <c r="B243" s="360">
        <f>DATE('Profit Calculation'!J$6,A$2,A$2+A243-1)</f>
        <v>42246</v>
      </c>
      <c r="D243" s="362">
        <f t="shared" si="7"/>
        <v>94914904.921856478</v>
      </c>
      <c r="F243" s="363">
        <f>DATE('Profit Calculation'!J$6,'Profit Calculation'!R$6+A243-1,'Profit Calculation'!Z$6)</f>
        <v>49430</v>
      </c>
      <c r="G243" s="364">
        <f ca="1">IF(Q$27=2,IF(LOOKUP(F243,X$1:X$35,X$1:X$35) = F243,ROUND(LOOKUP(LOOKUP(F243,X$1:X$35,A:A),Single!A$2:A$107,Table13[Saving]),0),IF( LOOKUP(F243,W$1:W$35,W$1:W$35) =
 F243,ROUND(G242*(1+IF($Q$18&lt;6,$R$14,IF($Q$18&lt;11,$R$15,$R$16)))^(1/12),0),G242*(1+IF($Q$18&lt;6,$R$14,IF($Q$18&lt;11,$R$15,$R$16)))^(1/12))),IF(LOOKUP(F243,X$1:X$35,X$1:X$35) = F243,ROUND(LOOKUP(LOOKUP(F243,X$1:X$35,A:A),'Annual Calculation'!A$2:A$107,Table1[Saving]),0),IF( LOOKUP(F243,W$1:W$35,W$1:W$35) =
 F243,ROUND(G242*(1+IF($Q$18&lt;6,$R$14,IF($Q$18&lt;11,$R$15,$R$16)))^(1/12),0),G242*(1+IF($Q$18&lt;6,$R$14,IF($Q$18&lt;11,$R$15,$R$16)))^(1/12))))</f>
        <v>0</v>
      </c>
    </row>
    <row r="244" spans="1:7">
      <c r="A244" s="348">
        <f t="shared" si="8"/>
        <v>243</v>
      </c>
      <c r="B244" s="360">
        <f>DATE('Profit Calculation'!J$6,A$2,A$2+A244-1)</f>
        <v>42247</v>
      </c>
      <c r="D244" s="362">
        <f t="shared" si="7"/>
        <v>94951255.693191618</v>
      </c>
      <c r="F244" s="363">
        <f>DATE('Profit Calculation'!J$6,'Profit Calculation'!R$6+A244-1,'Profit Calculation'!Z$6)</f>
        <v>49461</v>
      </c>
      <c r="G244" s="364">
        <f ca="1">IF(Q$27=2,IF(LOOKUP(F244,X$1:X$35,X$1:X$35) = F244,ROUND(LOOKUP(LOOKUP(F244,X$1:X$35,A:A),Single!A$2:A$107,Table13[Saving]),0),IF( LOOKUP(F244,W$1:W$35,W$1:W$35) =
 F244,ROUND(G243*(1+IF($Q$18&lt;6,$R$14,IF($Q$18&lt;11,$R$15,$R$16)))^(1/12),0),G243*(1+IF($Q$18&lt;6,$R$14,IF($Q$18&lt;11,$R$15,$R$16)))^(1/12))),IF(LOOKUP(F244,X$1:X$35,X$1:X$35) = F244,ROUND(LOOKUP(LOOKUP(F244,X$1:X$35,A:A),'Annual Calculation'!A$2:A$107,Table1[Saving]),0),IF( LOOKUP(F244,W$1:W$35,W$1:W$35) =
 F244,ROUND(G243*(1+IF($Q$18&lt;6,$R$14,IF($Q$18&lt;11,$R$15,$R$16)))^(1/12),0),G243*(1+IF($Q$18&lt;6,$R$14,IF($Q$18&lt;11,$R$15,$R$16)))^(1/12))))</f>
        <v>0</v>
      </c>
    </row>
    <row r="245" spans="1:7">
      <c r="A245" s="348">
        <f t="shared" si="8"/>
        <v>244</v>
      </c>
      <c r="B245" s="360">
        <f>DATE('Profit Calculation'!J$6,A$2,A$2+A245-1)</f>
        <v>42248</v>
      </c>
      <c r="D245" s="362">
        <f t="shared" si="7"/>
        <v>94987620.386245131</v>
      </c>
      <c r="F245" s="363">
        <f>DATE('Profit Calculation'!J$6,'Profit Calculation'!R$6+A245-1,'Profit Calculation'!Z$6)</f>
        <v>49491</v>
      </c>
      <c r="G245" s="364">
        <f ca="1">IF(Q$27=2,IF(LOOKUP(F245,X$1:X$35,X$1:X$35) = F245,ROUND(LOOKUP(LOOKUP(F245,X$1:X$35,A:A),Single!A$2:A$107,Table13[Saving]),0),IF( LOOKUP(F245,W$1:W$35,W$1:W$35) =
 F245,ROUND(G244*(1+IF($Q$18&lt;6,$R$14,IF($Q$18&lt;11,$R$15,$R$16)))^(1/12),0),G244*(1+IF($Q$18&lt;6,$R$14,IF($Q$18&lt;11,$R$15,$R$16)))^(1/12))),IF(LOOKUP(F245,X$1:X$35,X$1:X$35) = F245,ROUND(LOOKUP(LOOKUP(F245,X$1:X$35,A:A),'Annual Calculation'!A$2:A$107,Table1[Saving]),0),IF( LOOKUP(F245,W$1:W$35,W$1:W$35) =
 F245,ROUND(G244*(1+IF($Q$18&lt;6,$R$14,IF($Q$18&lt;11,$R$15,$R$16)))^(1/12),0),G244*(1+IF($Q$18&lt;6,$R$14,IF($Q$18&lt;11,$R$15,$R$16)))^(1/12))))</f>
        <v>0</v>
      </c>
    </row>
    <row r="246" spans="1:7">
      <c r="A246" s="348">
        <f t="shared" si="8"/>
        <v>245</v>
      </c>
      <c r="B246" s="360">
        <f>DATE('Profit Calculation'!J$6,A$2,A$2+A246-1)</f>
        <v>42249</v>
      </c>
      <c r="D246" s="362">
        <f t="shared" si="7"/>
        <v>95023999.006348819</v>
      </c>
      <c r="F246" s="363">
        <f>DATE('Profit Calculation'!J$6,'Profit Calculation'!R$6+A246-1,'Profit Calculation'!Z$6)</f>
        <v>49522</v>
      </c>
      <c r="G246" s="364">
        <f ca="1">IF(Q$27=2,IF(LOOKUP(F246,X$1:X$35,X$1:X$35) = F246,ROUND(LOOKUP(LOOKUP(F246,X$1:X$35,A:A),Single!A$2:A$107,Table13[Saving]),0),IF( LOOKUP(F246,W$1:W$35,W$1:W$35) =
 F246,ROUND(G245*(1+IF($Q$18&lt;6,$R$14,IF($Q$18&lt;11,$R$15,$R$16)))^(1/12),0),G245*(1+IF($Q$18&lt;6,$R$14,IF($Q$18&lt;11,$R$15,$R$16)))^(1/12))),IF(LOOKUP(F246,X$1:X$35,X$1:X$35) = F246,ROUND(LOOKUP(LOOKUP(F246,X$1:X$35,A:A),'Annual Calculation'!A$2:A$107,Table1[Saving]),0),IF( LOOKUP(F246,W$1:W$35,W$1:W$35) =
 F246,ROUND(G245*(1+IF($Q$18&lt;6,$R$14,IF($Q$18&lt;11,$R$15,$R$16)))^(1/12),0),G245*(1+IF($Q$18&lt;6,$R$14,IF($Q$18&lt;11,$R$15,$R$16)))^(1/12))))</f>
        <v>0</v>
      </c>
    </row>
    <row r="247" spans="1:7">
      <c r="A247" s="348">
        <f t="shared" si="8"/>
        <v>246</v>
      </c>
      <c r="B247" s="360">
        <f>DATE('Profit Calculation'!J$6,A$2,A$2+A247-1)</f>
        <v>42250</v>
      </c>
      <c r="D247" s="362">
        <f t="shared" si="7"/>
        <v>95060391.558836475</v>
      </c>
      <c r="F247" s="363">
        <f>DATE('Profit Calculation'!J$6,'Profit Calculation'!R$6+A247-1,'Profit Calculation'!Z$6)</f>
        <v>49553</v>
      </c>
      <c r="G247" s="364">
        <f ca="1">IF(Q$27=2,IF(LOOKUP(F247,X$1:X$35,X$1:X$35) = F247,ROUND(LOOKUP(LOOKUP(F247,X$1:X$35,A:A),Single!A$2:A$107,Table13[Saving]),0),IF( LOOKUP(F247,W$1:W$35,W$1:W$35) =
 F247,ROUND(G246*(1+IF($Q$18&lt;6,$R$14,IF($Q$18&lt;11,$R$15,$R$16)))^(1/12),0),G246*(1+IF($Q$18&lt;6,$R$14,IF($Q$18&lt;11,$R$15,$R$16)))^(1/12))),IF(LOOKUP(F247,X$1:X$35,X$1:X$35) = F247,ROUND(LOOKUP(LOOKUP(F247,X$1:X$35,A:A),'Annual Calculation'!A$2:A$107,Table1[Saving]),0),IF( LOOKUP(F247,W$1:W$35,W$1:W$35) =
 F247,ROUND(G246*(1+IF($Q$18&lt;6,$R$14,IF($Q$18&lt;11,$R$15,$R$16)))^(1/12),0),G246*(1+IF($Q$18&lt;6,$R$14,IF($Q$18&lt;11,$R$15,$R$16)))^(1/12))))</f>
        <v>0</v>
      </c>
    </row>
    <row r="248" spans="1:7">
      <c r="A248" s="348">
        <f t="shared" si="8"/>
        <v>247</v>
      </c>
      <c r="B248" s="360">
        <f>DATE('Profit Calculation'!J$6,A$2,A$2+A248-1)</f>
        <v>42251</v>
      </c>
      <c r="D248" s="362">
        <f t="shared" si="7"/>
        <v>95096798.049043983</v>
      </c>
      <c r="F248" s="363">
        <f>DATE('Profit Calculation'!J$6,'Profit Calculation'!R$6+A248-1,'Profit Calculation'!Z$6)</f>
        <v>49583</v>
      </c>
      <c r="G248" s="364">
        <f ca="1">IF(Q$27=2,IF(LOOKUP(F248,X$1:X$35,X$1:X$35) = F248,ROUND(LOOKUP(LOOKUP(F248,X$1:X$35,A:A),Single!A$2:A$107,Table13[Saving]),0),IF( LOOKUP(F248,W$1:W$35,W$1:W$35) =
 F248,ROUND(G247*(1+IF($Q$18&lt;6,$R$14,IF($Q$18&lt;11,$R$15,$R$16)))^(1/12),0),G247*(1+IF($Q$18&lt;6,$R$14,IF($Q$18&lt;11,$R$15,$R$16)))^(1/12))),IF(LOOKUP(F248,X$1:X$35,X$1:X$35) = F248,ROUND(LOOKUP(LOOKUP(F248,X$1:X$35,A:A),'Annual Calculation'!A$2:A$107,Table1[Saving]),0),IF( LOOKUP(F248,W$1:W$35,W$1:W$35) =
 F248,ROUND(G247*(1+IF($Q$18&lt;6,$R$14,IF($Q$18&lt;11,$R$15,$R$16)))^(1/12),0),G247*(1+IF($Q$18&lt;6,$R$14,IF($Q$18&lt;11,$R$15,$R$16)))^(1/12))))</f>
        <v>0</v>
      </c>
    </row>
    <row r="249" spans="1:7">
      <c r="A249" s="348">
        <f t="shared" si="8"/>
        <v>248</v>
      </c>
      <c r="B249" s="360">
        <f>DATE('Profit Calculation'!J$6,A$2,A$2+A249-1)</f>
        <v>42252</v>
      </c>
      <c r="D249" s="362">
        <f t="shared" si="7"/>
        <v>95133218.482309237</v>
      </c>
      <c r="F249" s="363">
        <f>DATE('Profit Calculation'!J$6,'Profit Calculation'!R$6+A249-1,'Profit Calculation'!Z$6)</f>
        <v>49614</v>
      </c>
      <c r="G249" s="364">
        <f ca="1">IF(Q$27=2,IF(LOOKUP(F249,X$1:X$35,X$1:X$35) = F249,ROUND(LOOKUP(LOOKUP(F249,X$1:X$35,A:A),Single!A$2:A$107,Table13[Saving]),0),IF( LOOKUP(F249,W$1:W$35,W$1:W$35) =
 F249,ROUND(G248*(1+IF($Q$18&lt;6,$R$14,IF($Q$18&lt;11,$R$15,$R$16)))^(1/12),0),G248*(1+IF($Q$18&lt;6,$R$14,IF($Q$18&lt;11,$R$15,$R$16)))^(1/12))),IF(LOOKUP(F249,X$1:X$35,X$1:X$35) = F249,ROUND(LOOKUP(LOOKUP(F249,X$1:X$35,A:A),'Annual Calculation'!A$2:A$107,Table1[Saving]),0),IF( LOOKUP(F249,W$1:W$35,W$1:W$35) =
 F249,ROUND(G248*(1+IF($Q$18&lt;6,$R$14,IF($Q$18&lt;11,$R$15,$R$16)))^(1/12),0),G248*(1+IF($Q$18&lt;6,$R$14,IF($Q$18&lt;11,$R$15,$R$16)))^(1/12))))</f>
        <v>0</v>
      </c>
    </row>
    <row r="250" spans="1:7">
      <c r="A250" s="348">
        <f t="shared" si="8"/>
        <v>249</v>
      </c>
      <c r="B250" s="360">
        <f>DATE('Profit Calculation'!J$6,A$2,A$2+A250-1)</f>
        <v>42253</v>
      </c>
      <c r="D250" s="362">
        <f t="shared" si="7"/>
        <v>95169652.863972187</v>
      </c>
      <c r="F250" s="363">
        <f>DATE('Profit Calculation'!J$6,'Profit Calculation'!R$6+A250-1,'Profit Calculation'!Z$6)</f>
        <v>49644</v>
      </c>
      <c r="G250" s="364">
        <f ca="1">IF(Q$27=2,IF(LOOKUP(F250,X$1:X$35,X$1:X$35) = F250,ROUND(LOOKUP(LOOKUP(F250,X$1:X$35,A:A),Single!A$2:A$107,Table13[Saving]),0),IF( LOOKUP(F250,W$1:W$35,W$1:W$35) =
 F250,ROUND(G249*(1+IF($Q$18&lt;6,$R$14,IF($Q$18&lt;11,$R$15,$R$16)))^(1/12),0),G249*(1+IF($Q$18&lt;6,$R$14,IF($Q$18&lt;11,$R$15,$R$16)))^(1/12))),IF(LOOKUP(F250,X$1:X$35,X$1:X$35) = F250,ROUND(LOOKUP(LOOKUP(F250,X$1:X$35,A:A),'Annual Calculation'!A$2:A$107,Table1[Saving]),0),IF( LOOKUP(F250,W$1:W$35,W$1:W$35) =
 F250,ROUND(G249*(1+IF($Q$18&lt;6,$R$14,IF($Q$18&lt;11,$R$15,$R$16)))^(1/12),0),G249*(1+IF($Q$18&lt;6,$R$14,IF($Q$18&lt;11,$R$15,$R$16)))^(1/12))))</f>
        <v>0</v>
      </c>
    </row>
    <row r="251" spans="1:7">
      <c r="A251" s="348">
        <f t="shared" si="8"/>
        <v>250</v>
      </c>
      <c r="B251" s="360">
        <f>DATE('Profit Calculation'!J$6,A$2,A$2+A251-1)</f>
        <v>42254</v>
      </c>
      <c r="D251" s="362">
        <f t="shared" si="7"/>
        <v>95206101.19937484</v>
      </c>
      <c r="F251" s="363">
        <f>DATE('Profit Calculation'!J$6,'Profit Calculation'!R$6+A251-1,'Profit Calculation'!Z$6)</f>
        <v>49675</v>
      </c>
      <c r="G251" s="364">
        <f ca="1">IF(Q$27=2,IF(LOOKUP(F251,X$1:X$35,X$1:X$35) = F251,ROUND(LOOKUP(LOOKUP(F251,X$1:X$35,A:A),Single!A$2:A$107,Table13[Saving]),0),IF( LOOKUP(F251,W$1:W$35,W$1:W$35) =
 F251,ROUND(G250*(1+IF($Q$18&lt;6,$R$14,IF($Q$18&lt;11,$R$15,$R$16)))^(1/12),0),G250*(1+IF($Q$18&lt;6,$R$14,IF($Q$18&lt;11,$R$15,$R$16)))^(1/12))),IF(LOOKUP(F251,X$1:X$35,X$1:X$35) = F251,ROUND(LOOKUP(LOOKUP(F251,X$1:X$35,A:A),'Annual Calculation'!A$2:A$107,Table1[Saving]),0),IF( LOOKUP(F251,W$1:W$35,W$1:W$35) =
 F251,ROUND(G250*(1+IF($Q$18&lt;6,$R$14,IF($Q$18&lt;11,$R$15,$R$16)))^(1/12),0),G250*(1+IF($Q$18&lt;6,$R$14,IF($Q$18&lt;11,$R$15,$R$16)))^(1/12))))</f>
        <v>0</v>
      </c>
    </row>
    <row r="252" spans="1:7">
      <c r="A252" s="348">
        <f t="shared" si="8"/>
        <v>251</v>
      </c>
      <c r="B252" s="360">
        <f>DATE('Profit Calculation'!J$6,A$2,A$2+A252-1)</f>
        <v>42255</v>
      </c>
      <c r="D252" s="362">
        <f t="shared" si="7"/>
        <v>95242563.493861228</v>
      </c>
      <c r="F252" s="363">
        <f>DATE('Profit Calculation'!J$6,'Profit Calculation'!R$6+A252-1,'Profit Calculation'!Z$6)</f>
        <v>49706</v>
      </c>
      <c r="G252" s="364">
        <f ca="1">IF(Q$27=2,IF(LOOKUP(F252,X$1:X$35,X$1:X$35) = F252,ROUND(LOOKUP(LOOKUP(F252,X$1:X$35,A:A),Single!A$2:A$107,Table13[Saving]),0),IF( LOOKUP(F252,W$1:W$35,W$1:W$35) =
 F252,ROUND(G251*(1+IF($Q$18&lt;6,$R$14,IF($Q$18&lt;11,$R$15,$R$16)))^(1/12),0),G251*(1+IF($Q$18&lt;6,$R$14,IF($Q$18&lt;11,$R$15,$R$16)))^(1/12))),IF(LOOKUP(F252,X$1:X$35,X$1:X$35) = F252,ROUND(LOOKUP(LOOKUP(F252,X$1:X$35,A:A),'Annual Calculation'!A$2:A$107,Table1[Saving]),0),IF( LOOKUP(F252,W$1:W$35,W$1:W$35) =
 F252,ROUND(G251*(1+IF($Q$18&lt;6,$R$14,IF($Q$18&lt;11,$R$15,$R$16)))^(1/12),0),G251*(1+IF($Q$18&lt;6,$R$14,IF($Q$18&lt;11,$R$15,$R$16)))^(1/12))))</f>
        <v>0</v>
      </c>
    </row>
    <row r="253" spans="1:7">
      <c r="A253" s="348">
        <f t="shared" si="8"/>
        <v>252</v>
      </c>
      <c r="B253" s="360">
        <f>DATE('Profit Calculation'!J$6,A$2,A$2+A253-1)</f>
        <v>42256</v>
      </c>
      <c r="D253" s="362">
        <f t="shared" si="7"/>
        <v>95279039.752777442</v>
      </c>
      <c r="F253" s="363">
        <f>DATE('Profit Calculation'!J$6,'Profit Calculation'!R$6+A253-1,'Profit Calculation'!Z$6)</f>
        <v>49735</v>
      </c>
      <c r="G253" s="364">
        <f ca="1">IF(Q$27=2,IF(LOOKUP(F253,X$1:X$35,X$1:X$35) = F253,ROUND(LOOKUP(LOOKUP(F253,X$1:X$35,A:A),Single!A$2:A$107,Table13[Saving]),0),IF( LOOKUP(F253,W$1:W$35,W$1:W$35) =
 F253,ROUND(G252*(1+IF($Q$18&lt;6,$R$14,IF($Q$18&lt;11,$R$15,$R$16)))^(1/12),0),G252*(1+IF($Q$18&lt;6,$R$14,IF($Q$18&lt;11,$R$15,$R$16)))^(1/12))),IF(LOOKUP(F253,X$1:X$35,X$1:X$35) = F253,ROUND(LOOKUP(LOOKUP(F253,X$1:X$35,A:A),'Annual Calculation'!A$2:A$107,Table1[Saving]),0),IF( LOOKUP(F253,W$1:W$35,W$1:W$35) =
 F253,ROUND(G252*(1+IF($Q$18&lt;6,$R$14,IF($Q$18&lt;11,$R$15,$R$16)))^(1/12),0),G252*(1+IF($Q$18&lt;6,$R$14,IF($Q$18&lt;11,$R$15,$R$16)))^(1/12))))</f>
        <v>0</v>
      </c>
    </row>
    <row r="254" spans="1:7">
      <c r="A254" s="348">
        <f t="shared" si="8"/>
        <v>253</v>
      </c>
      <c r="B254" s="360">
        <f>DATE('Profit Calculation'!J$6,A$2,A$2+A254-1)</f>
        <v>42257</v>
      </c>
      <c r="D254" s="362">
        <f t="shared" si="7"/>
        <v>95315529.981471613</v>
      </c>
      <c r="F254" s="357">
        <f>DATE('Profit Calculation'!J$6,'Profit Calculation'!R$6+A254-1,'Profit Calculation'!Z$6)</f>
        <v>49766</v>
      </c>
      <c r="G254" s="364">
        <f ca="1">IF(Q$27=2,IF(LOOKUP(F254,X$1:X$35,X$1:X$35) = F254,ROUND(LOOKUP(LOOKUP(F254,X$1:X$35,A:A),Single!A$2:A$107,Table13[Saving]),0),IF( LOOKUP(F254,W$1:W$35,W$1:W$35) =
 F254,ROUND(G253*(1+IF($Q$18&lt;6,$R$14,IF($Q$18&lt;11,$R$15,$R$16)))^(1/12),0),G253*(1+IF($Q$18&lt;6,$R$14,IF($Q$18&lt;11,$R$15,$R$16)))^(1/12))),IF(LOOKUP(F254,X$1:X$35,X$1:X$35) = F254,ROUND(LOOKUP(LOOKUP(F254,X$1:X$35,A:A),'Annual Calculation'!A$2:A$107,Table1[Saving]),0),IF( LOOKUP(F254,W$1:W$35,W$1:W$35) =
 F254,ROUND(G253*(1+IF($Q$18&lt;6,$R$14,IF($Q$18&lt;11,$R$15,$R$16)))^(1/12),0),G253*(1+IF($Q$18&lt;6,$R$14,IF($Q$18&lt;11,$R$15,$R$16)))^(1/12))))</f>
        <v>0</v>
      </c>
    </row>
    <row r="255" spans="1:7">
      <c r="A255" s="348">
        <f t="shared" si="8"/>
        <v>254</v>
      </c>
      <c r="B255" s="360">
        <f>DATE('Profit Calculation'!J$6,A$2,A$2+A255-1)</f>
        <v>42258</v>
      </c>
      <c r="D255" s="362">
        <f t="shared" si="7"/>
        <v>95352034.185293943</v>
      </c>
      <c r="F255" s="363">
        <f>DATE('Profit Calculation'!J$6,'Profit Calculation'!R$6+A255-1,'Profit Calculation'!Z$6)</f>
        <v>49796</v>
      </c>
      <c r="G255" s="364">
        <f ca="1">IF(Q$27=2,IF(LOOKUP(F255,X$1:X$35,X$1:X$35) = F255,ROUND(LOOKUP(LOOKUP(F255,X$1:X$35,A:A),Single!A$2:A$107,Table13[Saving]),0),IF( LOOKUP(F255,W$1:W$35,W$1:W$35) =
 F255,ROUND(G254*(1+IF($Q$18&lt;6,$R$14,IF($Q$18&lt;11,$R$15,$R$16)))^(1/12),0),G254*(1+IF($Q$18&lt;6,$R$14,IF($Q$18&lt;11,$R$15,$R$16)))^(1/12))),IF(LOOKUP(F255,X$1:X$35,X$1:X$35) = F255,ROUND(LOOKUP(LOOKUP(F255,X$1:X$35,A:A),'Annual Calculation'!A$2:A$107,Table1[Saving]),0),IF( LOOKUP(F255,W$1:W$35,W$1:W$35) =
 F255,ROUND(G254*(1+IF($Q$18&lt;6,$R$14,IF($Q$18&lt;11,$R$15,$R$16)))^(1/12),0),G254*(1+IF($Q$18&lt;6,$R$14,IF($Q$18&lt;11,$R$15,$R$16)))^(1/12))))</f>
        <v>0</v>
      </c>
    </row>
    <row r="256" spans="1:7">
      <c r="A256" s="348">
        <f t="shared" si="8"/>
        <v>255</v>
      </c>
      <c r="B256" s="360">
        <f>DATE('Profit Calculation'!J$6,A$2,A$2+A256-1)</f>
        <v>42259</v>
      </c>
      <c r="D256" s="362">
        <f t="shared" si="7"/>
        <v>95388552.369596645</v>
      </c>
      <c r="F256" s="363">
        <f>DATE('Profit Calculation'!J$6,'Profit Calculation'!R$6+A256-1,'Profit Calculation'!Z$6)</f>
        <v>49827</v>
      </c>
      <c r="G256" s="364">
        <f ca="1">IF(Q$27=2,IF(LOOKUP(F256,X$1:X$35,X$1:X$35) = F256,ROUND(LOOKUP(LOOKUP(F256,X$1:X$35,A:A),Single!A$2:A$107,Table13[Saving]),0),IF( LOOKUP(F256,W$1:W$35,W$1:W$35) =
 F256,ROUND(G255*(1+IF($Q$18&lt;6,$R$14,IF($Q$18&lt;11,$R$15,$R$16)))^(1/12),0),G255*(1+IF($Q$18&lt;6,$R$14,IF($Q$18&lt;11,$R$15,$R$16)))^(1/12))),IF(LOOKUP(F256,X$1:X$35,X$1:X$35) = F256,ROUND(LOOKUP(LOOKUP(F256,X$1:X$35,A:A),'Annual Calculation'!A$2:A$107,Table1[Saving]),0),IF( LOOKUP(F256,W$1:W$35,W$1:W$35) =
 F256,ROUND(G255*(1+IF($Q$18&lt;6,$R$14,IF($Q$18&lt;11,$R$15,$R$16)))^(1/12),0),G255*(1+IF($Q$18&lt;6,$R$14,IF($Q$18&lt;11,$R$15,$R$16)))^(1/12))))</f>
        <v>0</v>
      </c>
    </row>
    <row r="257" spans="1:7">
      <c r="A257" s="348">
        <f t="shared" si="8"/>
        <v>256</v>
      </c>
      <c r="B257" s="360">
        <f>DATE('Profit Calculation'!J$6,A$2,A$2+A257-1)</f>
        <v>42260</v>
      </c>
      <c r="D257" s="362">
        <f t="shared" si="7"/>
        <v>95425084.539734006</v>
      </c>
      <c r="F257" s="363">
        <f>DATE('Profit Calculation'!J$6,'Profit Calculation'!R$6+A257-1,'Profit Calculation'!Z$6)</f>
        <v>49857</v>
      </c>
      <c r="G257" s="364">
        <f ca="1">IF(Q$27=2,IF(LOOKUP(F257,X$1:X$35,X$1:X$35) = F257,ROUND(LOOKUP(LOOKUP(F257,X$1:X$35,A:A),Single!A$2:A$107,Table13[Saving]),0),IF( LOOKUP(F257,W$1:W$35,W$1:W$35) =
 F257,ROUND(G256*(1+IF($Q$18&lt;6,$R$14,IF($Q$18&lt;11,$R$15,$R$16)))^(1/12),0),G256*(1+IF($Q$18&lt;6,$R$14,IF($Q$18&lt;11,$R$15,$R$16)))^(1/12))),IF(LOOKUP(F257,X$1:X$35,X$1:X$35) = F257,ROUND(LOOKUP(LOOKUP(F257,X$1:X$35,A:A),'Annual Calculation'!A$2:A$107,Table1[Saving]),0),IF( LOOKUP(F257,W$1:W$35,W$1:W$35) =
 F257,ROUND(G256*(1+IF($Q$18&lt;6,$R$14,IF($Q$18&lt;11,$R$15,$R$16)))^(1/12),0),G256*(1+IF($Q$18&lt;6,$R$14,IF($Q$18&lt;11,$R$15,$R$16)))^(1/12))))</f>
        <v>0</v>
      </c>
    </row>
    <row r="258" spans="1:7">
      <c r="A258" s="348">
        <f t="shared" si="8"/>
        <v>257</v>
      </c>
      <c r="B258" s="360">
        <f>DATE('Profit Calculation'!J$6,A$2,A$2+A258-1)</f>
        <v>42261</v>
      </c>
      <c r="D258" s="362">
        <f t="shared" si="7"/>
        <v>95461630.701062366</v>
      </c>
      <c r="F258" s="363">
        <f>DATE('Profit Calculation'!J$6,'Profit Calculation'!R$6+A258-1,'Profit Calculation'!Z$6)</f>
        <v>49888</v>
      </c>
      <c r="G258" s="364">
        <f ca="1">IF(Q$27=2,IF(LOOKUP(F258,X$1:X$35,X$1:X$35) = F258,ROUND(LOOKUP(LOOKUP(F258,X$1:X$35,A:A),Single!A$2:A$107,Table13[Saving]),0),IF( LOOKUP(F258,W$1:W$35,W$1:W$35) =
 F258,ROUND(G257*(1+IF($Q$18&lt;6,$R$14,IF($Q$18&lt;11,$R$15,$R$16)))^(1/12),0),G257*(1+IF($Q$18&lt;6,$R$14,IF($Q$18&lt;11,$R$15,$R$16)))^(1/12))),IF(LOOKUP(F258,X$1:X$35,X$1:X$35) = F258,ROUND(LOOKUP(LOOKUP(F258,X$1:X$35,A:A),'Annual Calculation'!A$2:A$107,Table1[Saving]),0),IF( LOOKUP(F258,W$1:W$35,W$1:W$35) =
 F258,ROUND(G257*(1+IF($Q$18&lt;6,$R$14,IF($Q$18&lt;11,$R$15,$R$16)))^(1/12),0),G257*(1+IF($Q$18&lt;6,$R$14,IF($Q$18&lt;11,$R$15,$R$16)))^(1/12))))</f>
        <v>0</v>
      </c>
    </row>
    <row r="259" spans="1:7">
      <c r="A259" s="348">
        <f t="shared" si="8"/>
        <v>258</v>
      </c>
      <c r="B259" s="360">
        <f>DATE('Profit Calculation'!J$6,A$2,A$2+A259-1)</f>
        <v>42262</v>
      </c>
      <c r="D259" s="362">
        <f t="shared" si="7"/>
        <v>95498190.85894011</v>
      </c>
      <c r="F259" s="363">
        <f>DATE('Profit Calculation'!J$6,'Profit Calculation'!R$6+A259-1,'Profit Calculation'!Z$6)</f>
        <v>49919</v>
      </c>
      <c r="G259" s="364">
        <f ca="1">IF(Q$27=2,IF(LOOKUP(F259,X$1:X$35,X$1:X$35) = F259,ROUND(LOOKUP(LOOKUP(F259,X$1:X$35,A:A),Single!A$2:A$107,Table13[Saving]),0),IF( LOOKUP(F259,W$1:W$35,W$1:W$35) =
 F259,ROUND(G258*(1+IF($Q$18&lt;6,$R$14,IF($Q$18&lt;11,$R$15,$R$16)))^(1/12),0),G258*(1+IF($Q$18&lt;6,$R$14,IF($Q$18&lt;11,$R$15,$R$16)))^(1/12))),IF(LOOKUP(F259,X$1:X$35,X$1:X$35) = F259,ROUND(LOOKUP(LOOKUP(F259,X$1:X$35,A:A),'Annual Calculation'!A$2:A$107,Table1[Saving]),0),IF( LOOKUP(F259,W$1:W$35,W$1:W$35) =
 F259,ROUND(G258*(1+IF($Q$18&lt;6,$R$14,IF($Q$18&lt;11,$R$15,$R$16)))^(1/12),0),G258*(1+IF($Q$18&lt;6,$R$14,IF($Q$18&lt;11,$R$15,$R$16)))^(1/12))))</f>
        <v>0</v>
      </c>
    </row>
    <row r="260" spans="1:7">
      <c r="A260" s="348">
        <f t="shared" si="8"/>
        <v>259</v>
      </c>
      <c r="B260" s="360">
        <f>DATE('Profit Calculation'!J$6,A$2,A$2+A260-1)</f>
        <v>42263</v>
      </c>
      <c r="D260" s="362">
        <f t="shared" ref="D260:D323" si="9">IF(OR(LOOKUP(B260,W$1:W$35,W$1:W$35) = B260, LOOKUP(B260,X$1:X$35,X$1:X$35) = B260),LOOKUP(B260,F:F,G:G),D259*(1+((IF($Q$18&lt;6,$R$14,IF($Q$18&lt;11,$R$15,$R$16)))))^(1/365))</f>
        <v>95534765.01872766</v>
      </c>
      <c r="F260" s="363">
        <f>DATE('Profit Calculation'!J$6,'Profit Calculation'!R$6+A260-1,'Profit Calculation'!Z$6)</f>
        <v>49949</v>
      </c>
      <c r="G260" s="364">
        <f ca="1">IF(Q$27=2,IF(LOOKUP(F260,X$1:X$35,X$1:X$35) = F260,ROUND(LOOKUP(LOOKUP(F260,X$1:X$35,A:A),Single!A$2:A$107,Table13[Saving]),0),IF( LOOKUP(F260,W$1:W$35,W$1:W$35) =
 F260,ROUND(G259*(1+IF($Q$18&lt;6,$R$14,IF($Q$18&lt;11,$R$15,$R$16)))^(1/12),0),G259*(1+IF($Q$18&lt;6,$R$14,IF($Q$18&lt;11,$R$15,$R$16)))^(1/12))),IF(LOOKUP(F260,X$1:X$35,X$1:X$35) = F260,ROUND(LOOKUP(LOOKUP(F260,X$1:X$35,A:A),'Annual Calculation'!A$2:A$107,Table1[Saving]),0),IF( LOOKUP(F260,W$1:W$35,W$1:W$35) =
 F260,ROUND(G259*(1+IF($Q$18&lt;6,$R$14,IF($Q$18&lt;11,$R$15,$R$16)))^(1/12),0),G259*(1+IF($Q$18&lt;6,$R$14,IF($Q$18&lt;11,$R$15,$R$16)))^(1/12))))</f>
        <v>0</v>
      </c>
    </row>
    <row r="261" spans="1:7">
      <c r="A261" s="348">
        <f t="shared" ref="A261:A324" si="10">A260+1</f>
        <v>260</v>
      </c>
      <c r="B261" s="360">
        <f>DATE('Profit Calculation'!J$6,A$2,A$2+A261-1)</f>
        <v>42264</v>
      </c>
      <c r="D261" s="362">
        <f t="shared" si="9"/>
        <v>95571353.185787529</v>
      </c>
      <c r="F261" s="363">
        <f>DATE('Profit Calculation'!J$6,'Profit Calculation'!R$6+A261-1,'Profit Calculation'!Z$6)</f>
        <v>49980</v>
      </c>
      <c r="G261" s="364">
        <f ca="1">IF(Q$27=2,IF(LOOKUP(F261,X$1:X$35,X$1:X$35) = F261,ROUND(LOOKUP(LOOKUP(F261,X$1:X$35,A:A),Single!A$2:A$107,Table13[Saving]),0),IF( LOOKUP(F261,W$1:W$35,W$1:W$35) =
 F261,ROUND(G260*(1+IF($Q$18&lt;6,$R$14,IF($Q$18&lt;11,$R$15,$R$16)))^(1/12),0),G260*(1+IF($Q$18&lt;6,$R$14,IF($Q$18&lt;11,$R$15,$R$16)))^(1/12))),IF(LOOKUP(F261,X$1:X$35,X$1:X$35) = F261,ROUND(LOOKUP(LOOKUP(F261,X$1:X$35,A:A),'Annual Calculation'!A$2:A$107,Table1[Saving]),0),IF( LOOKUP(F261,W$1:W$35,W$1:W$35) =
 F261,ROUND(G260*(1+IF($Q$18&lt;6,$R$14,IF($Q$18&lt;11,$R$15,$R$16)))^(1/12),0),G260*(1+IF($Q$18&lt;6,$R$14,IF($Q$18&lt;11,$R$15,$R$16)))^(1/12))))</f>
        <v>0</v>
      </c>
    </row>
    <row r="262" spans="1:7">
      <c r="A262" s="348">
        <f t="shared" si="10"/>
        <v>261</v>
      </c>
      <c r="B262" s="360">
        <f>DATE('Profit Calculation'!J$6,A$2,A$2+A262-1)</f>
        <v>42265</v>
      </c>
      <c r="D262" s="362">
        <f t="shared" si="9"/>
        <v>95607955.365484238</v>
      </c>
      <c r="F262" s="363">
        <f>DATE('Profit Calculation'!J$6,'Profit Calculation'!R$6+A262-1,'Profit Calculation'!Z$6)</f>
        <v>50010</v>
      </c>
      <c r="G262" s="364">
        <f ca="1">IF(Q$27=2,IF(LOOKUP(F262,X$1:X$35,X$1:X$35) = F262,ROUND(LOOKUP(LOOKUP(F262,X$1:X$35,A:A),Single!A$2:A$107,Table13[Saving]),0),IF( LOOKUP(F262,W$1:W$35,W$1:W$35) =
 F262,ROUND(G261*(1+IF($Q$18&lt;6,$R$14,IF($Q$18&lt;11,$R$15,$R$16)))^(1/12),0),G261*(1+IF($Q$18&lt;6,$R$14,IF($Q$18&lt;11,$R$15,$R$16)))^(1/12))),IF(LOOKUP(F262,X$1:X$35,X$1:X$35) = F262,ROUND(LOOKUP(LOOKUP(F262,X$1:X$35,A:A),'Annual Calculation'!A$2:A$107,Table1[Saving]),0),IF( LOOKUP(F262,W$1:W$35,W$1:W$35) =
 F262,ROUND(G261*(1+IF($Q$18&lt;6,$R$14,IF($Q$18&lt;11,$R$15,$R$16)))^(1/12),0),G261*(1+IF($Q$18&lt;6,$R$14,IF($Q$18&lt;11,$R$15,$R$16)))^(1/12))))</f>
        <v>0</v>
      </c>
    </row>
    <row r="263" spans="1:7">
      <c r="A263" s="348">
        <f t="shared" si="10"/>
        <v>262</v>
      </c>
      <c r="B263" s="360">
        <f>DATE('Profit Calculation'!J$6,A$2,A$2+A263-1)</f>
        <v>42266</v>
      </c>
      <c r="D263" s="362">
        <f t="shared" si="9"/>
        <v>95644571.563184395</v>
      </c>
      <c r="F263" s="363">
        <f>DATE('Profit Calculation'!J$6,'Profit Calculation'!R$6+A263-1,'Profit Calculation'!Z$6)</f>
        <v>50041</v>
      </c>
      <c r="G263" s="364">
        <f ca="1">IF(Q$27=2,IF(LOOKUP(F263,X$1:X$35,X$1:X$35) = F263,ROUND(LOOKUP(LOOKUP(F263,X$1:X$35,A:A),Single!A$2:A$107,Table13[Saving]),0),IF( LOOKUP(F263,W$1:W$35,W$1:W$35) =
 F263,ROUND(G262*(1+IF($Q$18&lt;6,$R$14,IF($Q$18&lt;11,$R$15,$R$16)))^(1/12),0),G262*(1+IF($Q$18&lt;6,$R$14,IF($Q$18&lt;11,$R$15,$R$16)))^(1/12))),IF(LOOKUP(F263,X$1:X$35,X$1:X$35) = F263,ROUND(LOOKUP(LOOKUP(F263,X$1:X$35,A:A),'Annual Calculation'!A$2:A$107,Table1[Saving]),0),IF( LOOKUP(F263,W$1:W$35,W$1:W$35) =
 F263,ROUND(G262*(1+IF($Q$18&lt;6,$R$14,IF($Q$18&lt;11,$R$15,$R$16)))^(1/12),0),G262*(1+IF($Q$18&lt;6,$R$14,IF($Q$18&lt;11,$R$15,$R$16)))^(1/12))))</f>
        <v>0</v>
      </c>
    </row>
    <row r="264" spans="1:7">
      <c r="A264" s="348">
        <f t="shared" si="10"/>
        <v>263</v>
      </c>
      <c r="B264" s="360">
        <f>DATE('Profit Calculation'!J$6,A$2,A$2+A264-1)</f>
        <v>42267</v>
      </c>
      <c r="D264" s="362">
        <f t="shared" si="9"/>
        <v>95681201.784256652</v>
      </c>
      <c r="F264" s="363">
        <f>DATE('Profit Calculation'!J$6,'Profit Calculation'!R$6+A264-1,'Profit Calculation'!Z$6)</f>
        <v>50072</v>
      </c>
      <c r="G264" s="364">
        <f ca="1">IF(Q$27=2,IF(LOOKUP(F264,X$1:X$35,X$1:X$35) = F264,ROUND(LOOKUP(LOOKUP(F264,X$1:X$35,A:A),Single!A$2:A$107,Table13[Saving]),0),IF( LOOKUP(F264,W$1:W$35,W$1:W$35) =
 F264,ROUND(G263*(1+IF($Q$18&lt;6,$R$14,IF($Q$18&lt;11,$R$15,$R$16)))^(1/12),0),G263*(1+IF($Q$18&lt;6,$R$14,IF($Q$18&lt;11,$R$15,$R$16)))^(1/12))),IF(LOOKUP(F264,X$1:X$35,X$1:X$35) = F264,ROUND(LOOKUP(LOOKUP(F264,X$1:X$35,A:A),'Annual Calculation'!A$2:A$107,Table1[Saving]),0),IF( LOOKUP(F264,W$1:W$35,W$1:W$35) =
 F264,ROUND(G263*(1+IF($Q$18&lt;6,$R$14,IF($Q$18&lt;11,$R$15,$R$16)))^(1/12),0),G263*(1+IF($Q$18&lt;6,$R$14,IF($Q$18&lt;11,$R$15,$R$16)))^(1/12))))</f>
        <v>0</v>
      </c>
    </row>
    <row r="265" spans="1:7">
      <c r="A265" s="348">
        <f t="shared" si="10"/>
        <v>264</v>
      </c>
      <c r="B265" s="360">
        <f>DATE('Profit Calculation'!J$6,A$2,A$2+A265-1)</f>
        <v>42268</v>
      </c>
      <c r="D265" s="362">
        <f t="shared" si="9"/>
        <v>95717846.034071729</v>
      </c>
      <c r="F265" s="363">
        <f>DATE('Profit Calculation'!J$6,'Profit Calculation'!R$6+A265-1,'Profit Calculation'!Z$6)</f>
        <v>50100</v>
      </c>
      <c r="G265" s="364">
        <f ca="1">IF(Q$27=2,IF(LOOKUP(F265,X$1:X$35,X$1:X$35) = F265,ROUND(LOOKUP(LOOKUP(F265,X$1:X$35,A:A),Single!A$2:A$107,Table13[Saving]),0),IF( LOOKUP(F265,W$1:W$35,W$1:W$35) =
 F265,ROUND(G264*(1+IF($Q$18&lt;6,$R$14,IF($Q$18&lt;11,$R$15,$R$16)))^(1/12),0),G264*(1+IF($Q$18&lt;6,$R$14,IF($Q$18&lt;11,$R$15,$R$16)))^(1/12))),IF(LOOKUP(F265,X$1:X$35,X$1:X$35) = F265,ROUND(LOOKUP(LOOKUP(F265,X$1:X$35,A:A),'Annual Calculation'!A$2:A$107,Table1[Saving]),0),IF( LOOKUP(F265,W$1:W$35,W$1:W$35) =
 F265,ROUND(G264*(1+IF($Q$18&lt;6,$R$14,IF($Q$18&lt;11,$R$15,$R$16)))^(1/12),0),G264*(1+IF($Q$18&lt;6,$R$14,IF($Q$18&lt;11,$R$15,$R$16)))^(1/12))))</f>
        <v>0</v>
      </c>
    </row>
    <row r="266" spans="1:7">
      <c r="A266" s="348">
        <f t="shared" si="10"/>
        <v>265</v>
      </c>
      <c r="B266" s="360">
        <f>DATE('Profit Calculation'!J$6,A$2,A$2+A266-1)</f>
        <v>42269</v>
      </c>
      <c r="D266" s="362">
        <f t="shared" si="9"/>
        <v>95754504.318002388</v>
      </c>
      <c r="F266" s="357">
        <f>DATE('Profit Calculation'!J$6,'Profit Calculation'!R$6+A266-1,'Profit Calculation'!Z$6)</f>
        <v>50131</v>
      </c>
      <c r="G266" s="364">
        <f ca="1">IF(Q$27=2,IF(LOOKUP(F266,X$1:X$35,X$1:X$35) = F266,ROUND(LOOKUP(LOOKUP(F266,X$1:X$35,A:A),Single!A$2:A$107,Table13[Saving]),0),IF( LOOKUP(F266,W$1:W$35,W$1:W$35) =
 F266,ROUND(G265*(1+IF($Q$18&lt;6,$R$14,IF($Q$18&lt;11,$R$15,$R$16)))^(1/12),0),G265*(1+IF($Q$18&lt;6,$R$14,IF($Q$18&lt;11,$R$15,$R$16)))^(1/12))),IF(LOOKUP(F266,X$1:X$35,X$1:X$35) = F266,ROUND(LOOKUP(LOOKUP(F266,X$1:X$35,A:A),'Annual Calculation'!A$2:A$107,Table1[Saving]),0),IF( LOOKUP(F266,W$1:W$35,W$1:W$35) =
 F266,ROUND(G265*(1+IF($Q$18&lt;6,$R$14,IF($Q$18&lt;11,$R$15,$R$16)))^(1/12),0),G265*(1+IF($Q$18&lt;6,$R$14,IF($Q$18&lt;11,$R$15,$R$16)))^(1/12))))</f>
        <v>0</v>
      </c>
    </row>
    <row r="267" spans="1:7">
      <c r="A267" s="348">
        <f t="shared" si="10"/>
        <v>266</v>
      </c>
      <c r="B267" s="360">
        <f>DATE('Profit Calculation'!J$6,A$2,A$2+A267-1)</f>
        <v>42270</v>
      </c>
      <c r="D267" s="362">
        <f t="shared" si="9"/>
        <v>95791176.641423449</v>
      </c>
      <c r="F267" s="363">
        <f>DATE('Profit Calculation'!J$6,'Profit Calculation'!R$6+A267-1,'Profit Calculation'!Z$6)</f>
        <v>50161</v>
      </c>
      <c r="G267" s="364">
        <f ca="1">IF(Q$27=2,IF(LOOKUP(F267,X$1:X$35,X$1:X$35) = F267,ROUND(LOOKUP(LOOKUP(F267,X$1:X$35,A:A),Single!A$2:A$107,Table13[Saving]),0),IF( LOOKUP(F267,W$1:W$35,W$1:W$35) =
 F267,ROUND(G266*(1+IF($Q$18&lt;6,$R$14,IF($Q$18&lt;11,$R$15,$R$16)))^(1/12),0),G266*(1+IF($Q$18&lt;6,$R$14,IF($Q$18&lt;11,$R$15,$R$16)))^(1/12))),IF(LOOKUP(F267,X$1:X$35,X$1:X$35) = F267,ROUND(LOOKUP(LOOKUP(F267,X$1:X$35,A:A),'Annual Calculation'!A$2:A$107,Table1[Saving]),0),IF( LOOKUP(F267,W$1:W$35,W$1:W$35) =
 F267,ROUND(G266*(1+IF($Q$18&lt;6,$R$14,IF($Q$18&lt;11,$R$15,$R$16)))^(1/12),0),G266*(1+IF($Q$18&lt;6,$R$14,IF($Q$18&lt;11,$R$15,$R$16)))^(1/12))))</f>
        <v>0</v>
      </c>
    </row>
    <row r="268" spans="1:7">
      <c r="A268" s="348">
        <f t="shared" si="10"/>
        <v>267</v>
      </c>
      <c r="B268" s="360">
        <f>DATE('Profit Calculation'!J$6,A$2,A$2+A268-1)</f>
        <v>42271</v>
      </c>
      <c r="D268" s="362">
        <f t="shared" si="9"/>
        <v>95827863.009711787</v>
      </c>
      <c r="F268" s="363">
        <f>DATE('Profit Calculation'!J$6,'Profit Calculation'!R$6+A268-1,'Profit Calculation'!Z$6)</f>
        <v>50192</v>
      </c>
      <c r="G268" s="364">
        <f ca="1">IF(Q$27=2,IF(LOOKUP(F268,X$1:X$35,X$1:X$35) = F268,ROUND(LOOKUP(LOOKUP(F268,X$1:X$35,A:A),Single!A$2:A$107,Table13[Saving]),0),IF( LOOKUP(F268,W$1:W$35,W$1:W$35) =
 F268,ROUND(G267*(1+IF($Q$18&lt;6,$R$14,IF($Q$18&lt;11,$R$15,$R$16)))^(1/12),0),G267*(1+IF($Q$18&lt;6,$R$14,IF($Q$18&lt;11,$R$15,$R$16)))^(1/12))),IF(LOOKUP(F268,X$1:X$35,X$1:X$35) = F268,ROUND(LOOKUP(LOOKUP(F268,X$1:X$35,A:A),'Annual Calculation'!A$2:A$107,Table1[Saving]),0),IF( LOOKUP(F268,W$1:W$35,W$1:W$35) =
 F268,ROUND(G267*(1+IF($Q$18&lt;6,$R$14,IF($Q$18&lt;11,$R$15,$R$16)))^(1/12),0),G267*(1+IF($Q$18&lt;6,$R$14,IF($Q$18&lt;11,$R$15,$R$16)))^(1/12))))</f>
        <v>0</v>
      </c>
    </row>
    <row r="269" spans="1:7">
      <c r="A269" s="348">
        <f t="shared" si="10"/>
        <v>268</v>
      </c>
      <c r="B269" s="360">
        <f>DATE('Profit Calculation'!J$6,A$2,A$2+A269-1)</f>
        <v>42272</v>
      </c>
      <c r="D269" s="362">
        <f t="shared" si="9"/>
        <v>95864563.428246349</v>
      </c>
      <c r="F269" s="363">
        <f>DATE('Profit Calculation'!J$6,'Profit Calculation'!R$6+A269-1,'Profit Calculation'!Z$6)</f>
        <v>50222</v>
      </c>
      <c r="G269" s="364">
        <f ca="1">IF(Q$27=2,IF(LOOKUP(F269,X$1:X$35,X$1:X$35) = F269,ROUND(LOOKUP(LOOKUP(F269,X$1:X$35,A:A),Single!A$2:A$107,Table13[Saving]),0),IF( LOOKUP(F269,W$1:W$35,W$1:W$35) =
 F269,ROUND(G268*(1+IF($Q$18&lt;6,$R$14,IF($Q$18&lt;11,$R$15,$R$16)))^(1/12),0),G268*(1+IF($Q$18&lt;6,$R$14,IF($Q$18&lt;11,$R$15,$R$16)))^(1/12))),IF(LOOKUP(F269,X$1:X$35,X$1:X$35) = F269,ROUND(LOOKUP(LOOKUP(F269,X$1:X$35,A:A),'Annual Calculation'!A$2:A$107,Table1[Saving]),0),IF( LOOKUP(F269,W$1:W$35,W$1:W$35) =
 F269,ROUND(G268*(1+IF($Q$18&lt;6,$R$14,IF($Q$18&lt;11,$R$15,$R$16)))^(1/12),0),G268*(1+IF($Q$18&lt;6,$R$14,IF($Q$18&lt;11,$R$15,$R$16)))^(1/12))))</f>
        <v>0</v>
      </c>
    </row>
    <row r="270" spans="1:7">
      <c r="A270" s="348">
        <f t="shared" si="10"/>
        <v>269</v>
      </c>
      <c r="B270" s="360">
        <f>DATE('Profit Calculation'!J$6,A$2,A$2+A270-1)</f>
        <v>42273</v>
      </c>
      <c r="D270" s="362">
        <f t="shared" si="9"/>
        <v>95901277.902408153</v>
      </c>
      <c r="F270" s="363">
        <f>DATE('Profit Calculation'!J$6,'Profit Calculation'!R$6+A270-1,'Profit Calculation'!Z$6)</f>
        <v>50253</v>
      </c>
      <c r="G270" s="364">
        <f ca="1">IF(Q$27=2,IF(LOOKUP(F270,X$1:X$35,X$1:X$35) = F270,ROUND(LOOKUP(LOOKUP(F270,X$1:X$35,A:A),Single!A$2:A$107,Table13[Saving]),0),IF( LOOKUP(F270,W$1:W$35,W$1:W$35) =
 F270,ROUND(G269*(1+IF($Q$18&lt;6,$R$14,IF($Q$18&lt;11,$R$15,$R$16)))^(1/12),0),G269*(1+IF($Q$18&lt;6,$R$14,IF($Q$18&lt;11,$R$15,$R$16)))^(1/12))),IF(LOOKUP(F270,X$1:X$35,X$1:X$35) = F270,ROUND(LOOKUP(LOOKUP(F270,X$1:X$35,A:A),'Annual Calculation'!A$2:A$107,Table1[Saving]),0),IF( LOOKUP(F270,W$1:W$35,W$1:W$35) =
 F270,ROUND(G269*(1+IF($Q$18&lt;6,$R$14,IF($Q$18&lt;11,$R$15,$R$16)))^(1/12),0),G269*(1+IF($Q$18&lt;6,$R$14,IF($Q$18&lt;11,$R$15,$R$16)))^(1/12))))</f>
        <v>0</v>
      </c>
    </row>
    <row r="271" spans="1:7">
      <c r="A271" s="348">
        <f t="shared" si="10"/>
        <v>270</v>
      </c>
      <c r="B271" s="360">
        <f>DATE('Profit Calculation'!J$6,A$2,A$2+A271-1)</f>
        <v>42274</v>
      </c>
      <c r="D271" s="362">
        <f t="shared" si="9"/>
        <v>95938006.437580243</v>
      </c>
      <c r="F271" s="363">
        <f>DATE('Profit Calculation'!J$6,'Profit Calculation'!R$6+A271-1,'Profit Calculation'!Z$6)</f>
        <v>50284</v>
      </c>
      <c r="G271" s="364">
        <f ca="1">IF(Q$27=2,IF(LOOKUP(F271,X$1:X$35,X$1:X$35) = F271,ROUND(LOOKUP(LOOKUP(F271,X$1:X$35,A:A),Single!A$2:A$107,Table13[Saving]),0),IF( LOOKUP(F271,W$1:W$35,W$1:W$35) =
 F271,ROUND(G270*(1+IF($Q$18&lt;6,$R$14,IF($Q$18&lt;11,$R$15,$R$16)))^(1/12),0),G270*(1+IF($Q$18&lt;6,$R$14,IF($Q$18&lt;11,$R$15,$R$16)))^(1/12))),IF(LOOKUP(F271,X$1:X$35,X$1:X$35) = F271,ROUND(LOOKUP(LOOKUP(F271,X$1:X$35,A:A),'Annual Calculation'!A$2:A$107,Table1[Saving]),0),IF( LOOKUP(F271,W$1:W$35,W$1:W$35) =
 F271,ROUND(G270*(1+IF($Q$18&lt;6,$R$14,IF($Q$18&lt;11,$R$15,$R$16)))^(1/12),0),G270*(1+IF($Q$18&lt;6,$R$14,IF($Q$18&lt;11,$R$15,$R$16)))^(1/12))))</f>
        <v>0</v>
      </c>
    </row>
    <row r="272" spans="1:7">
      <c r="A272" s="348">
        <f t="shared" si="10"/>
        <v>271</v>
      </c>
      <c r="B272" s="360">
        <f>DATE('Profit Calculation'!J$6,A$2,A$2+A272-1)</f>
        <v>42275</v>
      </c>
      <c r="D272" s="362">
        <f t="shared" si="9"/>
        <v>95974749.03914775</v>
      </c>
      <c r="F272" s="363">
        <f>DATE('Profit Calculation'!J$6,'Profit Calculation'!R$6+A272-1,'Profit Calculation'!Z$6)</f>
        <v>50314</v>
      </c>
      <c r="G272" s="364">
        <f ca="1">IF(Q$27=2,IF(LOOKUP(F272,X$1:X$35,X$1:X$35) = F272,ROUND(LOOKUP(LOOKUP(F272,X$1:X$35,A:A),Single!A$2:A$107,Table13[Saving]),0),IF( LOOKUP(F272,W$1:W$35,W$1:W$35) =
 F272,ROUND(G271*(1+IF($Q$18&lt;6,$R$14,IF($Q$18&lt;11,$R$15,$R$16)))^(1/12),0),G271*(1+IF($Q$18&lt;6,$R$14,IF($Q$18&lt;11,$R$15,$R$16)))^(1/12))),IF(LOOKUP(F272,X$1:X$35,X$1:X$35) = F272,ROUND(LOOKUP(LOOKUP(F272,X$1:X$35,A:A),'Annual Calculation'!A$2:A$107,Table1[Saving]),0),IF( LOOKUP(F272,W$1:W$35,W$1:W$35) =
 F272,ROUND(G271*(1+IF($Q$18&lt;6,$R$14,IF($Q$18&lt;11,$R$15,$R$16)))^(1/12),0),G271*(1+IF($Q$18&lt;6,$R$14,IF($Q$18&lt;11,$R$15,$R$16)))^(1/12))))</f>
        <v>0</v>
      </c>
    </row>
    <row r="273" spans="1:7">
      <c r="A273" s="348">
        <f t="shared" si="10"/>
        <v>272</v>
      </c>
      <c r="B273" s="360">
        <f>DATE('Profit Calculation'!J$6,A$2,A$2+A273-1)</f>
        <v>42276</v>
      </c>
      <c r="D273" s="362">
        <f t="shared" si="9"/>
        <v>96011505.71249786</v>
      </c>
      <c r="F273" s="363">
        <f>DATE('Profit Calculation'!J$6,'Profit Calculation'!R$6+A273-1,'Profit Calculation'!Z$6)</f>
        <v>50345</v>
      </c>
      <c r="G273" s="364">
        <f ca="1">IF(Q$27=2,IF(LOOKUP(F273,X$1:X$35,X$1:X$35) = F273,ROUND(LOOKUP(LOOKUP(F273,X$1:X$35,A:A),Single!A$2:A$107,Table13[Saving]),0),IF( LOOKUP(F273,W$1:W$35,W$1:W$35) =
 F273,ROUND(G272*(1+IF($Q$18&lt;6,$R$14,IF($Q$18&lt;11,$R$15,$R$16)))^(1/12),0),G272*(1+IF($Q$18&lt;6,$R$14,IF($Q$18&lt;11,$R$15,$R$16)))^(1/12))),IF(LOOKUP(F273,X$1:X$35,X$1:X$35) = F273,ROUND(LOOKUP(LOOKUP(F273,X$1:X$35,A:A),'Annual Calculation'!A$2:A$107,Table1[Saving]),0),IF( LOOKUP(F273,W$1:W$35,W$1:W$35) =
 F273,ROUND(G272*(1+IF($Q$18&lt;6,$R$14,IF($Q$18&lt;11,$R$15,$R$16)))^(1/12),0),G272*(1+IF($Q$18&lt;6,$R$14,IF($Q$18&lt;11,$R$15,$R$16)))^(1/12))))</f>
        <v>0</v>
      </c>
    </row>
    <row r="274" spans="1:7">
      <c r="A274" s="348">
        <f t="shared" si="10"/>
        <v>273</v>
      </c>
      <c r="B274" s="360">
        <f>DATE('Profit Calculation'!J$6,A$2,A$2+A274-1)</f>
        <v>42277</v>
      </c>
      <c r="D274" s="362">
        <f t="shared" si="9"/>
        <v>96048276.463019818</v>
      </c>
      <c r="F274" s="363">
        <f>DATE('Profit Calculation'!J$6,'Profit Calculation'!R$6+A274-1,'Profit Calculation'!Z$6)</f>
        <v>50375</v>
      </c>
      <c r="G274" s="364">
        <f ca="1">IF(Q$27=2,IF(LOOKUP(F274,X$1:X$35,X$1:X$35) = F274,ROUND(LOOKUP(LOOKUP(F274,X$1:X$35,A:A),Single!A$2:A$107,Table13[Saving]),0),IF( LOOKUP(F274,W$1:W$35,W$1:W$35) =
 F274,ROUND(G273*(1+IF($Q$18&lt;6,$R$14,IF($Q$18&lt;11,$R$15,$R$16)))^(1/12),0),G273*(1+IF($Q$18&lt;6,$R$14,IF($Q$18&lt;11,$R$15,$R$16)))^(1/12))),IF(LOOKUP(F274,X$1:X$35,X$1:X$35) = F274,ROUND(LOOKUP(LOOKUP(F274,X$1:X$35,A:A),'Annual Calculation'!A$2:A$107,Table1[Saving]),0),IF( LOOKUP(F274,W$1:W$35,W$1:W$35) =
 F274,ROUND(G273*(1+IF($Q$18&lt;6,$R$14,IF($Q$18&lt;11,$R$15,$R$16)))^(1/12),0),G273*(1+IF($Q$18&lt;6,$R$14,IF($Q$18&lt;11,$R$15,$R$16)))^(1/12))))</f>
        <v>0</v>
      </c>
    </row>
    <row r="275" spans="1:7">
      <c r="A275" s="348">
        <f t="shared" si="10"/>
        <v>274</v>
      </c>
      <c r="B275" s="360">
        <f>DATE('Profit Calculation'!J$6,A$2,A$2+A275-1)</f>
        <v>42278</v>
      </c>
      <c r="D275" s="362">
        <f t="shared" si="9"/>
        <v>96085061.296104938</v>
      </c>
      <c r="F275" s="363">
        <f>DATE('Profit Calculation'!J$6,'Profit Calculation'!R$6+A275-1,'Profit Calculation'!Z$6)</f>
        <v>50406</v>
      </c>
      <c r="G275" s="364">
        <f ca="1">IF(Q$27=2,IF(LOOKUP(F275,X$1:X$35,X$1:X$35) = F275,ROUND(LOOKUP(LOOKUP(F275,X$1:X$35,A:A),Single!A$2:A$107,Table13[Saving]),0),IF( LOOKUP(F275,W$1:W$35,W$1:W$35) =
 F275,ROUND(G274*(1+IF($Q$18&lt;6,$R$14,IF($Q$18&lt;11,$R$15,$R$16)))^(1/12),0),G274*(1+IF($Q$18&lt;6,$R$14,IF($Q$18&lt;11,$R$15,$R$16)))^(1/12))),IF(LOOKUP(F275,X$1:X$35,X$1:X$35) = F275,ROUND(LOOKUP(LOOKUP(F275,X$1:X$35,A:A),'Annual Calculation'!A$2:A$107,Table1[Saving]),0),IF( LOOKUP(F275,W$1:W$35,W$1:W$35) =
 F275,ROUND(G274*(1+IF($Q$18&lt;6,$R$14,IF($Q$18&lt;11,$R$15,$R$16)))^(1/12),0),G274*(1+IF($Q$18&lt;6,$R$14,IF($Q$18&lt;11,$R$15,$R$16)))^(1/12))))</f>
        <v>0</v>
      </c>
    </row>
    <row r="276" spans="1:7">
      <c r="A276" s="348">
        <f t="shared" si="10"/>
        <v>275</v>
      </c>
      <c r="B276" s="360">
        <f>DATE('Profit Calculation'!J$6,A$2,A$2+A276-1)</f>
        <v>42279</v>
      </c>
      <c r="D276" s="362">
        <f t="shared" si="9"/>
        <v>96121860.217146605</v>
      </c>
      <c r="F276" s="363">
        <f>DATE('Profit Calculation'!J$6,'Profit Calculation'!R$6+A276-1,'Profit Calculation'!Z$6)</f>
        <v>50437</v>
      </c>
      <c r="G276" s="364">
        <f ca="1">IF(Q$27=2,IF(LOOKUP(F276,X$1:X$35,X$1:X$35) = F276,ROUND(LOOKUP(LOOKUP(F276,X$1:X$35,A:A),Single!A$2:A$107,Table13[Saving]),0),IF( LOOKUP(F276,W$1:W$35,W$1:W$35) =
 F276,ROUND(G275*(1+IF($Q$18&lt;6,$R$14,IF($Q$18&lt;11,$R$15,$R$16)))^(1/12),0),G275*(1+IF($Q$18&lt;6,$R$14,IF($Q$18&lt;11,$R$15,$R$16)))^(1/12))),IF(LOOKUP(F276,X$1:X$35,X$1:X$35) = F276,ROUND(LOOKUP(LOOKUP(F276,X$1:X$35,A:A),'Annual Calculation'!A$2:A$107,Table1[Saving]),0),IF( LOOKUP(F276,W$1:W$35,W$1:W$35) =
 F276,ROUND(G275*(1+IF($Q$18&lt;6,$R$14,IF($Q$18&lt;11,$R$15,$R$16)))^(1/12),0),G275*(1+IF($Q$18&lt;6,$R$14,IF($Q$18&lt;11,$R$15,$R$16)))^(1/12))))</f>
        <v>0</v>
      </c>
    </row>
    <row r="277" spans="1:7">
      <c r="A277" s="348">
        <f t="shared" si="10"/>
        <v>276</v>
      </c>
      <c r="B277" s="360">
        <f>DATE('Profit Calculation'!J$6,A$2,A$2+A277-1)</f>
        <v>42280</v>
      </c>
      <c r="D277" s="362">
        <f t="shared" si="9"/>
        <v>96158673.231540263</v>
      </c>
      <c r="F277" s="363">
        <f>DATE('Profit Calculation'!J$6,'Profit Calculation'!R$6+A277-1,'Profit Calculation'!Z$6)</f>
        <v>50465</v>
      </c>
      <c r="G277" s="364">
        <f ca="1">IF(Q$27=2,IF(LOOKUP(F277,X$1:X$35,X$1:X$35) = F277,ROUND(LOOKUP(LOOKUP(F277,X$1:X$35,A:A),Single!A$2:A$107,Table13[Saving]),0),IF( LOOKUP(F277,W$1:W$35,W$1:W$35) =
 F277,ROUND(G276*(1+IF($Q$18&lt;6,$R$14,IF($Q$18&lt;11,$R$15,$R$16)))^(1/12),0),G276*(1+IF($Q$18&lt;6,$R$14,IF($Q$18&lt;11,$R$15,$R$16)))^(1/12))),IF(LOOKUP(F277,X$1:X$35,X$1:X$35) = F277,ROUND(LOOKUP(LOOKUP(F277,X$1:X$35,A:A),'Annual Calculation'!A$2:A$107,Table1[Saving]),0),IF( LOOKUP(F277,W$1:W$35,W$1:W$35) =
 F277,ROUND(G276*(1+IF($Q$18&lt;6,$R$14,IF($Q$18&lt;11,$R$15,$R$16)))^(1/12),0),G276*(1+IF($Q$18&lt;6,$R$14,IF($Q$18&lt;11,$R$15,$R$16)))^(1/12))))</f>
        <v>0</v>
      </c>
    </row>
    <row r="278" spans="1:7">
      <c r="A278" s="348">
        <f t="shared" si="10"/>
        <v>277</v>
      </c>
      <c r="B278" s="360">
        <f>DATE('Profit Calculation'!J$6,A$2,A$2+A278-1)</f>
        <v>42281</v>
      </c>
      <c r="D278" s="362">
        <f t="shared" si="9"/>
        <v>96195500.344683424</v>
      </c>
      <c r="F278" s="363">
        <f>DATE('Profit Calculation'!J$6,'Profit Calculation'!R$6+A278-1,'Profit Calculation'!Z$6)</f>
        <v>50496</v>
      </c>
      <c r="G278" s="364">
        <f ca="1">IF(Q$27=2,IF(LOOKUP(F278,X$1:X$35,X$1:X$35) = F278,ROUND(LOOKUP(LOOKUP(F278,X$1:X$35,A:A),Single!A$2:A$107,Table13[Saving]),0),IF( LOOKUP(F278,W$1:W$35,W$1:W$35) =
 F278,ROUND(G277*(1+IF($Q$18&lt;6,$R$14,IF($Q$18&lt;11,$R$15,$R$16)))^(1/12),0),G277*(1+IF($Q$18&lt;6,$R$14,IF($Q$18&lt;11,$R$15,$R$16)))^(1/12))),IF(LOOKUP(F278,X$1:X$35,X$1:X$35) = F278,ROUND(LOOKUP(LOOKUP(F278,X$1:X$35,A:A),'Annual Calculation'!A$2:A$107,Table1[Saving]),0),IF( LOOKUP(F278,W$1:W$35,W$1:W$35) =
 F278,ROUND(G277*(1+IF($Q$18&lt;6,$R$14,IF($Q$18&lt;11,$R$15,$R$16)))^(1/12),0),G277*(1+IF($Q$18&lt;6,$R$14,IF($Q$18&lt;11,$R$15,$R$16)))^(1/12))))</f>
        <v>0</v>
      </c>
    </row>
    <row r="279" spans="1:7">
      <c r="A279" s="348">
        <f t="shared" si="10"/>
        <v>278</v>
      </c>
      <c r="B279" s="360">
        <f>DATE('Profit Calculation'!J$6,A$2,A$2+A279-1)</f>
        <v>42282</v>
      </c>
      <c r="D279" s="362">
        <f t="shared" si="9"/>
        <v>96232341.561975673</v>
      </c>
      <c r="F279" s="363">
        <f>DATE('Profit Calculation'!J$6,'Profit Calculation'!R$6+A279-1,'Profit Calculation'!Z$6)</f>
        <v>50526</v>
      </c>
      <c r="G279" s="364">
        <f ca="1">IF(Q$27=2,IF(LOOKUP(F279,X$1:X$35,X$1:X$35) = F279,ROUND(LOOKUP(LOOKUP(F279,X$1:X$35,A:A),Single!A$2:A$107,Table13[Saving]),0),IF( LOOKUP(F279,W$1:W$35,W$1:W$35) =
 F279,ROUND(G278*(1+IF($Q$18&lt;6,$R$14,IF($Q$18&lt;11,$R$15,$R$16)))^(1/12),0),G278*(1+IF($Q$18&lt;6,$R$14,IF($Q$18&lt;11,$R$15,$R$16)))^(1/12))),IF(LOOKUP(F279,X$1:X$35,X$1:X$35) = F279,ROUND(LOOKUP(LOOKUP(F279,X$1:X$35,A:A),'Annual Calculation'!A$2:A$107,Table1[Saving]),0),IF( LOOKUP(F279,W$1:W$35,W$1:W$35) =
 F279,ROUND(G278*(1+IF($Q$18&lt;6,$R$14,IF($Q$18&lt;11,$R$15,$R$16)))^(1/12),0),G278*(1+IF($Q$18&lt;6,$R$14,IF($Q$18&lt;11,$R$15,$R$16)))^(1/12))))</f>
        <v>0</v>
      </c>
    </row>
    <row r="280" spans="1:7">
      <c r="A280" s="348">
        <f t="shared" si="10"/>
        <v>279</v>
      </c>
      <c r="B280" s="360">
        <f>DATE('Profit Calculation'!J$6,A$2,A$2+A280-1)</f>
        <v>42283</v>
      </c>
      <c r="D280" s="362">
        <f t="shared" si="9"/>
        <v>96269196.888818637</v>
      </c>
      <c r="F280" s="363">
        <f>DATE('Profit Calculation'!J$6,'Profit Calculation'!R$6+A280-1,'Profit Calculation'!Z$6)</f>
        <v>50557</v>
      </c>
      <c r="G280" s="364">
        <f ca="1">IF(Q$27=2,IF(LOOKUP(F280,X$1:X$35,X$1:X$35) = F280,ROUND(LOOKUP(LOOKUP(F280,X$1:X$35,A:A),Single!A$2:A$107,Table13[Saving]),0),IF( LOOKUP(F280,W$1:W$35,W$1:W$35) =
 F280,ROUND(G279*(1+IF($Q$18&lt;6,$R$14,IF($Q$18&lt;11,$R$15,$R$16)))^(1/12),0),G279*(1+IF($Q$18&lt;6,$R$14,IF($Q$18&lt;11,$R$15,$R$16)))^(1/12))),IF(LOOKUP(F280,X$1:X$35,X$1:X$35) = F280,ROUND(LOOKUP(LOOKUP(F280,X$1:X$35,A:A),'Annual Calculation'!A$2:A$107,Table1[Saving]),0),IF( LOOKUP(F280,W$1:W$35,W$1:W$35) =
 F280,ROUND(G279*(1+IF($Q$18&lt;6,$R$14,IF($Q$18&lt;11,$R$15,$R$16)))^(1/12),0),G279*(1+IF($Q$18&lt;6,$R$14,IF($Q$18&lt;11,$R$15,$R$16)))^(1/12))))</f>
        <v>0</v>
      </c>
    </row>
    <row r="281" spans="1:7">
      <c r="A281" s="348">
        <f t="shared" si="10"/>
        <v>280</v>
      </c>
      <c r="B281" s="360">
        <f>DATE('Profit Calculation'!J$6,A$2,A$2+A281-1)</f>
        <v>42284</v>
      </c>
      <c r="D281" s="362">
        <f t="shared" si="9"/>
        <v>96306066.330616042</v>
      </c>
      <c r="F281" s="363">
        <f>DATE('Profit Calculation'!J$6,'Profit Calculation'!R$6+A281-1,'Profit Calculation'!Z$6)</f>
        <v>50587</v>
      </c>
      <c r="G281" s="364">
        <f ca="1">IF(Q$27=2,IF(LOOKUP(F281,X$1:X$35,X$1:X$35) = F281,ROUND(LOOKUP(LOOKUP(F281,X$1:X$35,A:A),Single!A$2:A$107,Table13[Saving]),0),IF( LOOKUP(F281,W$1:W$35,W$1:W$35) =
 F281,ROUND(G280*(1+IF($Q$18&lt;6,$R$14,IF($Q$18&lt;11,$R$15,$R$16)))^(1/12),0),G280*(1+IF($Q$18&lt;6,$R$14,IF($Q$18&lt;11,$R$15,$R$16)))^(1/12))),IF(LOOKUP(F281,X$1:X$35,X$1:X$35) = F281,ROUND(LOOKUP(LOOKUP(F281,X$1:X$35,A:A),'Annual Calculation'!A$2:A$107,Table1[Saving]),0),IF( LOOKUP(F281,W$1:W$35,W$1:W$35) =
 F281,ROUND(G280*(1+IF($Q$18&lt;6,$R$14,IF($Q$18&lt;11,$R$15,$R$16)))^(1/12),0),G280*(1+IF($Q$18&lt;6,$R$14,IF($Q$18&lt;11,$R$15,$R$16)))^(1/12))))</f>
        <v>0</v>
      </c>
    </row>
    <row r="282" spans="1:7">
      <c r="A282" s="348">
        <f t="shared" si="10"/>
        <v>281</v>
      </c>
      <c r="B282" s="360">
        <f>DATE('Profit Calculation'!J$6,A$2,A$2+A282-1)</f>
        <v>42285</v>
      </c>
      <c r="D282" s="362">
        <f t="shared" si="9"/>
        <v>96342949.892773673</v>
      </c>
      <c r="F282" s="363">
        <f>DATE('Profit Calculation'!J$6,'Profit Calculation'!R$6+A282-1,'Profit Calculation'!Z$6)</f>
        <v>50618</v>
      </c>
      <c r="G282" s="364">
        <f ca="1">IF(Q$27=2,IF(LOOKUP(F282,X$1:X$35,X$1:X$35) = F282,ROUND(LOOKUP(LOOKUP(F282,X$1:X$35,A:A),Single!A$2:A$107,Table13[Saving]),0),IF( LOOKUP(F282,W$1:W$35,W$1:W$35) =
 F282,ROUND(G281*(1+IF($Q$18&lt;6,$R$14,IF($Q$18&lt;11,$R$15,$R$16)))^(1/12),0),G281*(1+IF($Q$18&lt;6,$R$14,IF($Q$18&lt;11,$R$15,$R$16)))^(1/12))),IF(LOOKUP(F282,X$1:X$35,X$1:X$35) = F282,ROUND(LOOKUP(LOOKUP(F282,X$1:X$35,A:A),'Annual Calculation'!A$2:A$107,Table1[Saving]),0),IF( LOOKUP(F282,W$1:W$35,W$1:W$35) =
 F282,ROUND(G281*(1+IF($Q$18&lt;6,$R$14,IF($Q$18&lt;11,$R$15,$R$16)))^(1/12),0),G281*(1+IF($Q$18&lt;6,$R$14,IF($Q$18&lt;11,$R$15,$R$16)))^(1/12))))</f>
        <v>0</v>
      </c>
    </row>
    <row r="283" spans="1:7">
      <c r="A283" s="348">
        <f t="shared" si="10"/>
        <v>282</v>
      </c>
      <c r="B283" s="360">
        <f>DATE('Profit Calculation'!J$6,A$2,A$2+A283-1)</f>
        <v>42286</v>
      </c>
      <c r="D283" s="362">
        <f t="shared" si="9"/>
        <v>96379847.580699384</v>
      </c>
      <c r="F283" s="363">
        <f>DATE('Profit Calculation'!J$6,'Profit Calculation'!R$6+A283-1,'Profit Calculation'!Z$6)</f>
        <v>50649</v>
      </c>
      <c r="G283" s="364">
        <f ca="1">IF(Q$27=2,IF(LOOKUP(F283,X$1:X$35,X$1:X$35) = F283,ROUND(LOOKUP(LOOKUP(F283,X$1:X$35,A:A),Single!A$2:A$107,Table13[Saving]),0),IF( LOOKUP(F283,W$1:W$35,W$1:W$35) =
 F283,ROUND(G282*(1+IF($Q$18&lt;6,$R$14,IF($Q$18&lt;11,$R$15,$R$16)))^(1/12),0),G282*(1+IF($Q$18&lt;6,$R$14,IF($Q$18&lt;11,$R$15,$R$16)))^(1/12))),IF(LOOKUP(F283,X$1:X$35,X$1:X$35) = F283,ROUND(LOOKUP(LOOKUP(F283,X$1:X$35,A:A),'Annual Calculation'!A$2:A$107,Table1[Saving]),0),IF( LOOKUP(F283,W$1:W$35,W$1:W$35) =
 F283,ROUND(G282*(1+IF($Q$18&lt;6,$R$14,IF($Q$18&lt;11,$R$15,$R$16)))^(1/12),0),G282*(1+IF($Q$18&lt;6,$R$14,IF($Q$18&lt;11,$R$15,$R$16)))^(1/12))))</f>
        <v>0</v>
      </c>
    </row>
    <row r="284" spans="1:7">
      <c r="A284" s="348">
        <f t="shared" si="10"/>
        <v>283</v>
      </c>
      <c r="B284" s="360">
        <f>DATE('Profit Calculation'!J$6,A$2,A$2+A284-1)</f>
        <v>42287</v>
      </c>
      <c r="D284" s="362">
        <f t="shared" si="9"/>
        <v>96416759.399803087</v>
      </c>
      <c r="F284" s="363">
        <f>DATE('Profit Calculation'!J$6,'Profit Calculation'!R$6+A284-1,'Profit Calculation'!Z$6)</f>
        <v>50679</v>
      </c>
      <c r="G284" s="364">
        <f ca="1">IF(Q$27=2,IF(LOOKUP(F284,X$1:X$35,X$1:X$35) = F284,ROUND(LOOKUP(LOOKUP(F284,X$1:X$35,A:A),Single!A$2:A$107,Table13[Saving]),0),IF( LOOKUP(F284,W$1:W$35,W$1:W$35) =
 F284,ROUND(G283*(1+IF($Q$18&lt;6,$R$14,IF($Q$18&lt;11,$R$15,$R$16)))^(1/12),0),G283*(1+IF($Q$18&lt;6,$R$14,IF($Q$18&lt;11,$R$15,$R$16)))^(1/12))),IF(LOOKUP(F284,X$1:X$35,X$1:X$35) = F284,ROUND(LOOKUP(LOOKUP(F284,X$1:X$35,A:A),'Annual Calculation'!A$2:A$107,Table1[Saving]),0),IF( LOOKUP(F284,W$1:W$35,W$1:W$35) =
 F284,ROUND(G283*(1+IF($Q$18&lt;6,$R$14,IF($Q$18&lt;11,$R$15,$R$16)))^(1/12),0),G283*(1+IF($Q$18&lt;6,$R$14,IF($Q$18&lt;11,$R$15,$R$16)))^(1/12))))</f>
        <v>0</v>
      </c>
    </row>
    <row r="285" spans="1:7">
      <c r="A285" s="348">
        <f t="shared" si="10"/>
        <v>284</v>
      </c>
      <c r="B285" s="360">
        <f>DATE('Profit Calculation'!J$6,A$2,A$2+A285-1)</f>
        <v>42288</v>
      </c>
      <c r="D285" s="362">
        <f t="shared" si="9"/>
        <v>96453685.355496794</v>
      </c>
      <c r="F285" s="363">
        <f>DATE('Profit Calculation'!J$6,'Profit Calculation'!R$6+A285-1,'Profit Calculation'!Z$6)</f>
        <v>50710</v>
      </c>
      <c r="G285" s="364">
        <f ca="1">IF(Q$27=2,IF(LOOKUP(F285,X$1:X$35,X$1:X$35) = F285,ROUND(LOOKUP(LOOKUP(F285,X$1:X$35,A:A),Single!A$2:A$107,Table13[Saving]),0),IF( LOOKUP(F285,W$1:W$35,W$1:W$35) =
 F285,ROUND(G284*(1+IF($Q$18&lt;6,$R$14,IF($Q$18&lt;11,$R$15,$R$16)))^(1/12),0),G284*(1+IF($Q$18&lt;6,$R$14,IF($Q$18&lt;11,$R$15,$R$16)))^(1/12))),IF(LOOKUP(F285,X$1:X$35,X$1:X$35) = F285,ROUND(LOOKUP(LOOKUP(F285,X$1:X$35,A:A),'Annual Calculation'!A$2:A$107,Table1[Saving]),0),IF( LOOKUP(F285,W$1:W$35,W$1:W$35) =
 F285,ROUND(G284*(1+IF($Q$18&lt;6,$R$14,IF($Q$18&lt;11,$R$15,$R$16)))^(1/12),0),G284*(1+IF($Q$18&lt;6,$R$14,IF($Q$18&lt;11,$R$15,$R$16)))^(1/12))))</f>
        <v>0</v>
      </c>
    </row>
    <row r="286" spans="1:7">
      <c r="A286" s="348">
        <f t="shared" si="10"/>
        <v>285</v>
      </c>
      <c r="B286" s="360">
        <f>DATE('Profit Calculation'!J$6,A$2,A$2+A286-1)</f>
        <v>42289</v>
      </c>
      <c r="D286" s="362">
        <f t="shared" si="9"/>
        <v>96490625.453194574</v>
      </c>
      <c r="F286" s="363">
        <f>DATE('Profit Calculation'!J$6,'Profit Calculation'!R$6+A286-1,'Profit Calculation'!Z$6)</f>
        <v>50740</v>
      </c>
      <c r="G286" s="364">
        <f ca="1">IF(Q$27=2,IF(LOOKUP(F286,X$1:X$35,X$1:X$35) = F286,ROUND(LOOKUP(LOOKUP(F286,X$1:X$35,A:A),Single!A$2:A$107,Table13[Saving]),0),IF( LOOKUP(F286,W$1:W$35,W$1:W$35) =
 F286,ROUND(G285*(1+IF($Q$18&lt;6,$R$14,IF($Q$18&lt;11,$R$15,$R$16)))^(1/12),0),G285*(1+IF($Q$18&lt;6,$R$14,IF($Q$18&lt;11,$R$15,$R$16)))^(1/12))),IF(LOOKUP(F286,X$1:X$35,X$1:X$35) = F286,ROUND(LOOKUP(LOOKUP(F286,X$1:X$35,A:A),'Annual Calculation'!A$2:A$107,Table1[Saving]),0),IF( LOOKUP(F286,W$1:W$35,W$1:W$35) =
 F286,ROUND(G285*(1+IF($Q$18&lt;6,$R$14,IF($Q$18&lt;11,$R$15,$R$16)))^(1/12),0),G285*(1+IF($Q$18&lt;6,$R$14,IF($Q$18&lt;11,$R$15,$R$16)))^(1/12))))</f>
        <v>0</v>
      </c>
    </row>
    <row r="287" spans="1:7">
      <c r="A287" s="348">
        <f t="shared" si="10"/>
        <v>286</v>
      </c>
      <c r="B287" s="360">
        <f>DATE('Profit Calculation'!J$6,A$2,A$2+A287-1)</f>
        <v>42290</v>
      </c>
      <c r="D287" s="362">
        <f t="shared" si="9"/>
        <v>96527579.698312566</v>
      </c>
      <c r="F287" s="363">
        <f>DATE('Profit Calculation'!J$6,'Profit Calculation'!R$6+A287-1,'Profit Calculation'!Z$6)</f>
        <v>50771</v>
      </c>
      <c r="G287" s="364">
        <f ca="1">IF(Q$27=2,IF(LOOKUP(F287,X$1:X$35,X$1:X$35) = F287,ROUND(LOOKUP(LOOKUP(F287,X$1:X$35,A:A),Single!A$2:A$107,Table13[Saving]),0),IF( LOOKUP(F287,W$1:W$35,W$1:W$35) =
 F287,ROUND(G286*(1+IF($Q$18&lt;6,$R$14,IF($Q$18&lt;11,$R$15,$R$16)))^(1/12),0),G286*(1+IF($Q$18&lt;6,$R$14,IF($Q$18&lt;11,$R$15,$R$16)))^(1/12))),IF(LOOKUP(F287,X$1:X$35,X$1:X$35) = F287,ROUND(LOOKUP(LOOKUP(F287,X$1:X$35,A:A),'Annual Calculation'!A$2:A$107,Table1[Saving]),0),IF( LOOKUP(F287,W$1:W$35,W$1:W$35) =
 F287,ROUND(G286*(1+IF($Q$18&lt;6,$R$14,IF($Q$18&lt;11,$R$15,$R$16)))^(1/12),0),G286*(1+IF($Q$18&lt;6,$R$14,IF($Q$18&lt;11,$R$15,$R$16)))^(1/12))))</f>
        <v>0</v>
      </c>
    </row>
    <row r="288" spans="1:7">
      <c r="A288" s="348">
        <f t="shared" si="10"/>
        <v>287</v>
      </c>
      <c r="B288" s="360">
        <f>DATE('Profit Calculation'!J$6,A$2,A$2+A288-1)</f>
        <v>42291</v>
      </c>
      <c r="D288" s="362">
        <f t="shared" si="9"/>
        <v>96564548.096268997</v>
      </c>
      <c r="F288" s="363">
        <f>DATE('Profit Calculation'!J$6,'Profit Calculation'!R$6+A288-1,'Profit Calculation'!Z$6)</f>
        <v>50802</v>
      </c>
      <c r="G288" s="364">
        <f ca="1">IF(Q$27=2,IF(LOOKUP(F288,X$1:X$35,X$1:X$35) = F288,ROUND(LOOKUP(LOOKUP(F288,X$1:X$35,A:A),Single!A$2:A$107,Table13[Saving]),0),IF( LOOKUP(F288,W$1:W$35,W$1:W$35) =
 F288,ROUND(G287*(1+IF($Q$18&lt;6,$R$14,IF($Q$18&lt;11,$R$15,$R$16)))^(1/12),0),G287*(1+IF($Q$18&lt;6,$R$14,IF($Q$18&lt;11,$R$15,$R$16)))^(1/12))),IF(LOOKUP(F288,X$1:X$35,X$1:X$35) = F288,ROUND(LOOKUP(LOOKUP(F288,X$1:X$35,A:A),'Annual Calculation'!A$2:A$107,Table1[Saving]),0),IF( LOOKUP(F288,W$1:W$35,W$1:W$35) =
 F288,ROUND(G287*(1+IF($Q$18&lt;6,$R$14,IF($Q$18&lt;11,$R$15,$R$16)))^(1/12),0),G287*(1+IF($Q$18&lt;6,$R$14,IF($Q$18&lt;11,$R$15,$R$16)))^(1/12))))</f>
        <v>0</v>
      </c>
    </row>
    <row r="289" spans="1:7">
      <c r="A289" s="348">
        <f t="shared" si="10"/>
        <v>288</v>
      </c>
      <c r="B289" s="360">
        <f>DATE('Profit Calculation'!J$6,A$2,A$2+A289-1)</f>
        <v>42292</v>
      </c>
      <c r="D289" s="362">
        <f t="shared" si="9"/>
        <v>96601530.652484149</v>
      </c>
      <c r="F289" s="363">
        <f>DATE('Profit Calculation'!J$6,'Profit Calculation'!R$6+A289-1,'Profit Calculation'!Z$6)</f>
        <v>50830</v>
      </c>
      <c r="G289" s="364">
        <f ca="1">IF(Q$27=2,IF(LOOKUP(F289,X$1:X$35,X$1:X$35) = F289,ROUND(LOOKUP(LOOKUP(F289,X$1:X$35,A:A),Single!A$2:A$107,Table13[Saving]),0),IF( LOOKUP(F289,W$1:W$35,W$1:W$35) =
 F289,ROUND(G288*(1+IF($Q$18&lt;6,$R$14,IF($Q$18&lt;11,$R$15,$R$16)))^(1/12),0),G288*(1+IF($Q$18&lt;6,$R$14,IF($Q$18&lt;11,$R$15,$R$16)))^(1/12))),IF(LOOKUP(F289,X$1:X$35,X$1:X$35) = F289,ROUND(LOOKUP(LOOKUP(F289,X$1:X$35,A:A),'Annual Calculation'!A$2:A$107,Table1[Saving]),0),IF( LOOKUP(F289,W$1:W$35,W$1:W$35) =
 F289,ROUND(G288*(1+IF($Q$18&lt;6,$R$14,IF($Q$18&lt;11,$R$15,$R$16)))^(1/12),0),G288*(1+IF($Q$18&lt;6,$R$14,IF($Q$18&lt;11,$R$15,$R$16)))^(1/12))))</f>
        <v>0</v>
      </c>
    </row>
    <row r="290" spans="1:7">
      <c r="A290" s="348">
        <f t="shared" si="10"/>
        <v>289</v>
      </c>
      <c r="B290" s="360">
        <f>DATE('Profit Calculation'!J$6,A$2,A$2+A290-1)</f>
        <v>42293</v>
      </c>
      <c r="D290" s="362">
        <f t="shared" si="9"/>
        <v>96638527.372380391</v>
      </c>
      <c r="F290" s="363">
        <f>DATE('Profit Calculation'!J$6,'Profit Calculation'!R$6+A290-1,'Profit Calculation'!Z$6)</f>
        <v>50861</v>
      </c>
      <c r="G290" s="364">
        <f ca="1">IF(Q$27=2,IF(LOOKUP(F290,X$1:X$35,X$1:X$35) = F290,ROUND(LOOKUP(LOOKUP(F290,X$1:X$35,A:A),Single!A$2:A$107,Table13[Saving]),0),IF( LOOKUP(F290,W$1:W$35,W$1:W$35) =
 F290,ROUND(G289*(1+IF($Q$18&lt;6,$R$14,IF($Q$18&lt;11,$R$15,$R$16)))^(1/12),0),G289*(1+IF($Q$18&lt;6,$R$14,IF($Q$18&lt;11,$R$15,$R$16)))^(1/12))),IF(LOOKUP(F290,X$1:X$35,X$1:X$35) = F290,ROUND(LOOKUP(LOOKUP(F290,X$1:X$35,A:A),'Annual Calculation'!A$2:A$107,Table1[Saving]),0),IF( LOOKUP(F290,W$1:W$35,W$1:W$35) =
 F290,ROUND(G289*(1+IF($Q$18&lt;6,$R$14,IF($Q$18&lt;11,$R$15,$R$16)))^(1/12),0),G289*(1+IF($Q$18&lt;6,$R$14,IF($Q$18&lt;11,$R$15,$R$16)))^(1/12))))</f>
        <v>0</v>
      </c>
    </row>
    <row r="291" spans="1:7">
      <c r="A291" s="348">
        <f t="shared" si="10"/>
        <v>290</v>
      </c>
      <c r="B291" s="360">
        <f>DATE('Profit Calculation'!J$6,A$2,A$2+A291-1)</f>
        <v>42294</v>
      </c>
      <c r="D291" s="362">
        <f t="shared" si="9"/>
        <v>96675538.261382177</v>
      </c>
      <c r="F291" s="363">
        <f>DATE('Profit Calculation'!J$6,'Profit Calculation'!R$6+A291-1,'Profit Calculation'!Z$6)</f>
        <v>50891</v>
      </c>
      <c r="G291" s="364">
        <f ca="1">IF(Q$27=2,IF(LOOKUP(F291,X$1:X$35,X$1:X$35) = F291,ROUND(LOOKUP(LOOKUP(F291,X$1:X$35,A:A),Single!A$2:A$107,Table13[Saving]),0),IF( LOOKUP(F291,W$1:W$35,W$1:W$35) =
 F291,ROUND(G290*(1+IF($Q$18&lt;6,$R$14,IF($Q$18&lt;11,$R$15,$R$16)))^(1/12),0),G290*(1+IF($Q$18&lt;6,$R$14,IF($Q$18&lt;11,$R$15,$R$16)))^(1/12))),IF(LOOKUP(F291,X$1:X$35,X$1:X$35) = F291,ROUND(LOOKUP(LOOKUP(F291,X$1:X$35,A:A),'Annual Calculation'!A$2:A$107,Table1[Saving]),0),IF( LOOKUP(F291,W$1:W$35,W$1:W$35) =
 F291,ROUND(G290*(1+IF($Q$18&lt;6,$R$14,IF($Q$18&lt;11,$R$15,$R$16)))^(1/12),0),G290*(1+IF($Q$18&lt;6,$R$14,IF($Q$18&lt;11,$R$15,$R$16)))^(1/12))))</f>
        <v>0</v>
      </c>
    </row>
    <row r="292" spans="1:7">
      <c r="A292" s="348">
        <f t="shared" si="10"/>
        <v>291</v>
      </c>
      <c r="B292" s="360">
        <f>DATE('Profit Calculation'!J$6,A$2,A$2+A292-1)</f>
        <v>42295</v>
      </c>
      <c r="D292" s="362">
        <f t="shared" si="9"/>
        <v>96712563.32491602</v>
      </c>
      <c r="F292" s="363">
        <f>DATE('Profit Calculation'!J$6,'Profit Calculation'!R$6+A292-1,'Profit Calculation'!Z$6)</f>
        <v>50922</v>
      </c>
      <c r="G292" s="364">
        <f ca="1">IF(Q$27=2,IF(LOOKUP(F292,X$1:X$35,X$1:X$35) = F292,ROUND(LOOKUP(LOOKUP(F292,X$1:X$35,A:A),Single!A$2:A$107,Table13[Saving]),0),IF( LOOKUP(F292,W$1:W$35,W$1:W$35) =
 F292,ROUND(G291*(1+IF($Q$18&lt;6,$R$14,IF($Q$18&lt;11,$R$15,$R$16)))^(1/12),0),G291*(1+IF($Q$18&lt;6,$R$14,IF($Q$18&lt;11,$R$15,$R$16)))^(1/12))),IF(LOOKUP(F292,X$1:X$35,X$1:X$35) = F292,ROUND(LOOKUP(LOOKUP(F292,X$1:X$35,A:A),'Annual Calculation'!A$2:A$107,Table1[Saving]),0),IF( LOOKUP(F292,W$1:W$35,W$1:W$35) =
 F292,ROUND(G291*(1+IF($Q$18&lt;6,$R$14,IF($Q$18&lt;11,$R$15,$R$16)))^(1/12),0),G291*(1+IF($Q$18&lt;6,$R$14,IF($Q$18&lt;11,$R$15,$R$16)))^(1/12))))</f>
        <v>0</v>
      </c>
    </row>
    <row r="293" spans="1:7">
      <c r="A293" s="348">
        <f t="shared" si="10"/>
        <v>292</v>
      </c>
      <c r="B293" s="360">
        <f>DATE('Profit Calculation'!J$6,A$2,A$2+A293-1)</f>
        <v>42296</v>
      </c>
      <c r="D293" s="362">
        <f t="shared" si="9"/>
        <v>96749602.568410531</v>
      </c>
      <c r="F293" s="363">
        <f>DATE('Profit Calculation'!J$6,'Profit Calculation'!R$6+A293-1,'Profit Calculation'!Z$6)</f>
        <v>50952</v>
      </c>
      <c r="G293" s="364">
        <f ca="1">IF(Q$27=2,IF(LOOKUP(F293,X$1:X$35,X$1:X$35) = F293,ROUND(LOOKUP(LOOKUP(F293,X$1:X$35,A:A),Single!A$2:A$107,Table13[Saving]),0),IF( LOOKUP(F293,W$1:W$35,W$1:W$35) =
 F293,ROUND(G292*(1+IF($Q$18&lt;6,$R$14,IF($Q$18&lt;11,$R$15,$R$16)))^(1/12),0),G292*(1+IF($Q$18&lt;6,$R$14,IF($Q$18&lt;11,$R$15,$R$16)))^(1/12))),IF(LOOKUP(F293,X$1:X$35,X$1:X$35) = F293,ROUND(LOOKUP(LOOKUP(F293,X$1:X$35,A:A),'Annual Calculation'!A$2:A$107,Table1[Saving]),0),IF( LOOKUP(F293,W$1:W$35,W$1:W$35) =
 F293,ROUND(G292*(1+IF($Q$18&lt;6,$R$14,IF($Q$18&lt;11,$R$15,$R$16)))^(1/12),0),G292*(1+IF($Q$18&lt;6,$R$14,IF($Q$18&lt;11,$R$15,$R$16)))^(1/12))))</f>
        <v>0</v>
      </c>
    </row>
    <row r="294" spans="1:7">
      <c r="A294" s="348">
        <f t="shared" si="10"/>
        <v>293</v>
      </c>
      <c r="B294" s="360">
        <f>DATE('Profit Calculation'!J$6,A$2,A$2+A294-1)</f>
        <v>42297</v>
      </c>
      <c r="D294" s="362">
        <f t="shared" si="9"/>
        <v>96786655.997296378</v>
      </c>
      <c r="F294" s="363">
        <f>DATE('Profit Calculation'!J$6,'Profit Calculation'!R$6+A294-1,'Profit Calculation'!Z$6)</f>
        <v>50983</v>
      </c>
      <c r="G294" s="364">
        <f ca="1">IF(Q$27=2,IF(LOOKUP(F294,X$1:X$35,X$1:X$35) = F294,ROUND(LOOKUP(LOOKUP(F294,X$1:X$35,A:A),Single!A$2:A$107,Table13[Saving]),0),IF( LOOKUP(F294,W$1:W$35,W$1:W$35) =
 F294,ROUND(G293*(1+IF($Q$18&lt;6,$R$14,IF($Q$18&lt;11,$R$15,$R$16)))^(1/12),0),G293*(1+IF($Q$18&lt;6,$R$14,IF($Q$18&lt;11,$R$15,$R$16)))^(1/12))),IF(LOOKUP(F294,X$1:X$35,X$1:X$35) = F294,ROUND(LOOKUP(LOOKUP(F294,X$1:X$35,A:A),'Annual Calculation'!A$2:A$107,Table1[Saving]),0),IF( LOOKUP(F294,W$1:W$35,W$1:W$35) =
 F294,ROUND(G293*(1+IF($Q$18&lt;6,$R$14,IF($Q$18&lt;11,$R$15,$R$16)))^(1/12),0),G293*(1+IF($Q$18&lt;6,$R$14,IF($Q$18&lt;11,$R$15,$R$16)))^(1/12))))</f>
        <v>0</v>
      </c>
    </row>
    <row r="295" spans="1:7">
      <c r="A295" s="348">
        <f t="shared" si="10"/>
        <v>294</v>
      </c>
      <c r="B295" s="360">
        <f>DATE('Profit Calculation'!J$6,A$2,A$2+A295-1)</f>
        <v>42298</v>
      </c>
      <c r="D295" s="362">
        <f t="shared" si="9"/>
        <v>96823723.617006332</v>
      </c>
      <c r="F295" s="363">
        <f>DATE('Profit Calculation'!J$6,'Profit Calculation'!R$6+A295-1,'Profit Calculation'!Z$6)</f>
        <v>51014</v>
      </c>
      <c r="G295" s="364">
        <f ca="1">IF(Q$27=2,IF(LOOKUP(F295,X$1:X$35,X$1:X$35) = F295,ROUND(LOOKUP(LOOKUP(F295,X$1:X$35,A:A),Single!A$2:A$107,Table13[Saving]),0),IF( LOOKUP(F295,W$1:W$35,W$1:W$35) =
 F295,ROUND(G294*(1+IF($Q$18&lt;6,$R$14,IF($Q$18&lt;11,$R$15,$R$16)))^(1/12),0),G294*(1+IF($Q$18&lt;6,$R$14,IF($Q$18&lt;11,$R$15,$R$16)))^(1/12))),IF(LOOKUP(F295,X$1:X$35,X$1:X$35) = F295,ROUND(LOOKUP(LOOKUP(F295,X$1:X$35,A:A),'Annual Calculation'!A$2:A$107,Table1[Saving]),0),IF( LOOKUP(F295,W$1:W$35,W$1:W$35) =
 F295,ROUND(G294*(1+IF($Q$18&lt;6,$R$14,IF($Q$18&lt;11,$R$15,$R$16)))^(1/12),0),G294*(1+IF($Q$18&lt;6,$R$14,IF($Q$18&lt;11,$R$15,$R$16)))^(1/12))))</f>
        <v>0</v>
      </c>
    </row>
    <row r="296" spans="1:7">
      <c r="A296" s="348">
        <f t="shared" si="10"/>
        <v>295</v>
      </c>
      <c r="B296" s="360">
        <f>DATE('Profit Calculation'!J$6,A$2,A$2+A296-1)</f>
        <v>42299</v>
      </c>
      <c r="D296" s="362">
        <f t="shared" si="9"/>
        <v>96860805.432975233</v>
      </c>
      <c r="F296" s="363">
        <f>DATE('Profit Calculation'!J$6,'Profit Calculation'!R$6+A296-1,'Profit Calculation'!Z$6)</f>
        <v>51044</v>
      </c>
      <c r="G296" s="364">
        <f ca="1">IF(Q$27=2,IF(LOOKUP(F296,X$1:X$35,X$1:X$35) = F296,ROUND(LOOKUP(LOOKUP(F296,X$1:X$35,A:A),Single!A$2:A$107,Table13[Saving]),0),IF( LOOKUP(F296,W$1:W$35,W$1:W$35) =
 F296,ROUND(G295*(1+IF($Q$18&lt;6,$R$14,IF($Q$18&lt;11,$R$15,$R$16)))^(1/12),0),G295*(1+IF($Q$18&lt;6,$R$14,IF($Q$18&lt;11,$R$15,$R$16)))^(1/12))),IF(LOOKUP(F296,X$1:X$35,X$1:X$35) = F296,ROUND(LOOKUP(LOOKUP(F296,X$1:X$35,A:A),'Annual Calculation'!A$2:A$107,Table1[Saving]),0),IF( LOOKUP(F296,W$1:W$35,W$1:W$35) =
 F296,ROUND(G295*(1+IF($Q$18&lt;6,$R$14,IF($Q$18&lt;11,$R$15,$R$16)))^(1/12),0),G295*(1+IF($Q$18&lt;6,$R$14,IF($Q$18&lt;11,$R$15,$R$16)))^(1/12))))</f>
        <v>0</v>
      </c>
    </row>
    <row r="297" spans="1:7">
      <c r="A297" s="348">
        <f t="shared" si="10"/>
        <v>296</v>
      </c>
      <c r="B297" s="360">
        <f>DATE('Profit Calculation'!J$6,A$2,A$2+A297-1)</f>
        <v>42300</v>
      </c>
      <c r="D297" s="362">
        <f t="shared" si="9"/>
        <v>96897901.450640008</v>
      </c>
      <c r="F297" s="363">
        <f>DATE('Profit Calculation'!J$6,'Profit Calculation'!R$6+A297-1,'Profit Calculation'!Z$6)</f>
        <v>51075</v>
      </c>
      <c r="G297" s="364">
        <f ca="1">IF(Q$27=2,IF(LOOKUP(F297,X$1:X$35,X$1:X$35) = F297,ROUND(LOOKUP(LOOKUP(F297,X$1:X$35,A:A),Single!A$2:A$107,Table13[Saving]),0),IF( LOOKUP(F297,W$1:W$35,W$1:W$35) =
 F297,ROUND(G296*(1+IF($Q$18&lt;6,$R$14,IF($Q$18&lt;11,$R$15,$R$16)))^(1/12),0),G296*(1+IF($Q$18&lt;6,$R$14,IF($Q$18&lt;11,$R$15,$R$16)))^(1/12))),IF(LOOKUP(F297,X$1:X$35,X$1:X$35) = F297,ROUND(LOOKUP(LOOKUP(F297,X$1:X$35,A:A),'Annual Calculation'!A$2:A$107,Table1[Saving]),0),IF( LOOKUP(F297,W$1:W$35,W$1:W$35) =
 F297,ROUND(G296*(1+IF($Q$18&lt;6,$R$14,IF($Q$18&lt;11,$R$15,$R$16)))^(1/12),0),G296*(1+IF($Q$18&lt;6,$R$14,IF($Q$18&lt;11,$R$15,$R$16)))^(1/12))))</f>
        <v>0</v>
      </c>
    </row>
    <row r="298" spans="1:7">
      <c r="A298" s="348">
        <f t="shared" si="10"/>
        <v>297</v>
      </c>
      <c r="B298" s="360">
        <f>DATE('Profit Calculation'!J$6,A$2,A$2+A298-1)</f>
        <v>42301</v>
      </c>
      <c r="D298" s="362">
        <f t="shared" si="9"/>
        <v>96935011.675439656</v>
      </c>
      <c r="F298" s="363">
        <f>DATE('Profit Calculation'!J$6,'Profit Calculation'!R$6+A298-1,'Profit Calculation'!Z$6)</f>
        <v>51105</v>
      </c>
      <c r="G298" s="364">
        <f ca="1">IF(Q$27=2,IF(LOOKUP(F298,X$1:X$35,X$1:X$35) = F298,ROUND(LOOKUP(LOOKUP(F298,X$1:X$35,A:A),Single!A$2:A$107,Table13[Saving]),0),IF( LOOKUP(F298,W$1:W$35,W$1:W$35) =
 F298,ROUND(G297*(1+IF($Q$18&lt;6,$R$14,IF($Q$18&lt;11,$R$15,$R$16)))^(1/12),0),G297*(1+IF($Q$18&lt;6,$R$14,IF($Q$18&lt;11,$R$15,$R$16)))^(1/12))),IF(LOOKUP(F298,X$1:X$35,X$1:X$35) = F298,ROUND(LOOKUP(LOOKUP(F298,X$1:X$35,A:A),'Annual Calculation'!A$2:A$107,Table1[Saving]),0),IF( LOOKUP(F298,W$1:W$35,W$1:W$35) =
 F298,ROUND(G297*(1+IF($Q$18&lt;6,$R$14,IF($Q$18&lt;11,$R$15,$R$16)))^(1/12),0),G297*(1+IF($Q$18&lt;6,$R$14,IF($Q$18&lt;11,$R$15,$R$16)))^(1/12))))</f>
        <v>0</v>
      </c>
    </row>
    <row r="299" spans="1:7">
      <c r="A299" s="348">
        <f t="shared" si="10"/>
        <v>298</v>
      </c>
      <c r="B299" s="360">
        <f>DATE('Profit Calculation'!J$6,A$2,A$2+A299-1)</f>
        <v>42302</v>
      </c>
      <c r="D299" s="362">
        <f t="shared" si="9"/>
        <v>96972136.112815261</v>
      </c>
      <c r="F299" s="363">
        <f>DATE('Profit Calculation'!J$6,'Profit Calculation'!R$6+A299-1,'Profit Calculation'!Z$6)</f>
        <v>51136</v>
      </c>
      <c r="G299" s="364">
        <f ca="1">IF(Q$27=2,IF(LOOKUP(F299,X$1:X$35,X$1:X$35) = F299,ROUND(LOOKUP(LOOKUP(F299,X$1:X$35,A:A),Single!A$2:A$107,Table13[Saving]),0),IF( LOOKUP(F299,W$1:W$35,W$1:W$35) =
 F299,ROUND(G298*(1+IF($Q$18&lt;6,$R$14,IF($Q$18&lt;11,$R$15,$R$16)))^(1/12),0),G298*(1+IF($Q$18&lt;6,$R$14,IF($Q$18&lt;11,$R$15,$R$16)))^(1/12))),IF(LOOKUP(F299,X$1:X$35,X$1:X$35) = F299,ROUND(LOOKUP(LOOKUP(F299,X$1:X$35,A:A),'Annual Calculation'!A$2:A$107,Table1[Saving]),0),IF( LOOKUP(F299,W$1:W$35,W$1:W$35) =
 F299,ROUND(G298*(1+IF($Q$18&lt;6,$R$14,IF($Q$18&lt;11,$R$15,$R$16)))^(1/12),0),G298*(1+IF($Q$18&lt;6,$R$14,IF($Q$18&lt;11,$R$15,$R$16)))^(1/12))))</f>
        <v>0</v>
      </c>
    </row>
    <row r="300" spans="1:7">
      <c r="A300" s="348">
        <f t="shared" si="10"/>
        <v>299</v>
      </c>
      <c r="B300" s="360">
        <f>DATE('Profit Calculation'!J$6,A$2,A$2+A300-1)</f>
        <v>42303</v>
      </c>
      <c r="D300" s="362">
        <f t="shared" si="9"/>
        <v>97009274.768209994</v>
      </c>
      <c r="F300" s="363">
        <f>DATE('Profit Calculation'!J$6,'Profit Calculation'!R$6+A300-1,'Profit Calculation'!Z$6)</f>
        <v>51167</v>
      </c>
      <c r="G300" s="364">
        <f ca="1">IF(Q$27=2,IF(LOOKUP(F300,X$1:X$35,X$1:X$35) = F300,ROUND(LOOKUP(LOOKUP(F300,X$1:X$35,A:A),Single!A$2:A$107,Table13[Saving]),0),IF( LOOKUP(F300,W$1:W$35,W$1:W$35) =
 F300,ROUND(G299*(1+IF($Q$18&lt;6,$R$14,IF($Q$18&lt;11,$R$15,$R$16)))^(1/12),0),G299*(1+IF($Q$18&lt;6,$R$14,IF($Q$18&lt;11,$R$15,$R$16)))^(1/12))),IF(LOOKUP(F300,X$1:X$35,X$1:X$35) = F300,ROUND(LOOKUP(LOOKUP(F300,X$1:X$35,A:A),'Annual Calculation'!A$2:A$107,Table1[Saving]),0),IF( LOOKUP(F300,W$1:W$35,W$1:W$35) =
 F300,ROUND(G299*(1+IF($Q$18&lt;6,$R$14,IF($Q$18&lt;11,$R$15,$R$16)))^(1/12),0),G299*(1+IF($Q$18&lt;6,$R$14,IF($Q$18&lt;11,$R$15,$R$16)))^(1/12))))</f>
        <v>0</v>
      </c>
    </row>
    <row r="301" spans="1:7">
      <c r="A301" s="348">
        <f t="shared" si="10"/>
        <v>300</v>
      </c>
      <c r="B301" s="360">
        <f>DATE('Profit Calculation'!J$6,A$2,A$2+A301-1)</f>
        <v>42304</v>
      </c>
      <c r="D301" s="362">
        <f t="shared" si="9"/>
        <v>97046427.647069111</v>
      </c>
      <c r="F301" s="363">
        <f>DATE('Profit Calculation'!J$6,'Profit Calculation'!R$6+A301-1,'Profit Calculation'!Z$6)</f>
        <v>51196</v>
      </c>
      <c r="G301" s="364">
        <f ca="1">IF(Q$27=2,IF(LOOKUP(F301,X$1:X$35,X$1:X$35) = F301,ROUND(LOOKUP(LOOKUP(F301,X$1:X$35,A:A),Single!A$2:A$107,Table13[Saving]),0),IF( LOOKUP(F301,W$1:W$35,W$1:W$35) =
 F301,ROUND(G300*(1+IF($Q$18&lt;6,$R$14,IF($Q$18&lt;11,$R$15,$R$16)))^(1/12),0),G300*(1+IF($Q$18&lt;6,$R$14,IF($Q$18&lt;11,$R$15,$R$16)))^(1/12))),IF(LOOKUP(F301,X$1:X$35,X$1:X$35) = F301,ROUND(LOOKUP(LOOKUP(F301,X$1:X$35,A:A),'Annual Calculation'!A$2:A$107,Table1[Saving]),0),IF( LOOKUP(F301,W$1:W$35,W$1:W$35) =
 F301,ROUND(G300*(1+IF($Q$18&lt;6,$R$14,IF($Q$18&lt;11,$R$15,$R$16)))^(1/12),0),G300*(1+IF($Q$18&lt;6,$R$14,IF($Q$18&lt;11,$R$15,$R$16)))^(1/12))))</f>
        <v>0</v>
      </c>
    </row>
    <row r="302" spans="1:7">
      <c r="A302" s="348">
        <f t="shared" si="10"/>
        <v>301</v>
      </c>
      <c r="B302" s="360">
        <f>DATE('Profit Calculation'!J$6,A$2,A$2+A302-1)</f>
        <v>42305</v>
      </c>
      <c r="D302" s="362">
        <f t="shared" si="9"/>
        <v>97083594.754839957</v>
      </c>
      <c r="F302" s="363">
        <f>DATE('Profit Calculation'!J$6,'Profit Calculation'!R$6+A302-1,'Profit Calculation'!Z$6)</f>
        <v>51227</v>
      </c>
      <c r="G302" s="364">
        <f ca="1">IF(Q$27=2,IF(LOOKUP(F302,X$1:X$35,X$1:X$35) = F302,ROUND(LOOKUP(LOOKUP(F302,X$1:X$35,A:A),Single!A$2:A$107,Table13[Saving]),0),IF( LOOKUP(F302,W$1:W$35,W$1:W$35) =
 F302,ROUND(G301*(1+IF($Q$18&lt;6,$R$14,IF($Q$18&lt;11,$R$15,$R$16)))^(1/12),0),G301*(1+IF($Q$18&lt;6,$R$14,IF($Q$18&lt;11,$R$15,$R$16)))^(1/12))),IF(LOOKUP(F302,X$1:X$35,X$1:X$35) = F302,ROUND(LOOKUP(LOOKUP(F302,X$1:X$35,A:A),'Annual Calculation'!A$2:A$107,Table1[Saving]),0),IF( LOOKUP(F302,W$1:W$35,W$1:W$35) =
 F302,ROUND(G301*(1+IF($Q$18&lt;6,$R$14,IF($Q$18&lt;11,$R$15,$R$16)))^(1/12),0),G301*(1+IF($Q$18&lt;6,$R$14,IF($Q$18&lt;11,$R$15,$R$16)))^(1/12))))</f>
        <v>0</v>
      </c>
    </row>
    <row r="303" spans="1:7">
      <c r="A303" s="348">
        <f t="shared" si="10"/>
        <v>302</v>
      </c>
      <c r="B303" s="360">
        <f>DATE('Profit Calculation'!J$6,A$2,A$2+A303-1)</f>
        <v>42306</v>
      </c>
      <c r="D303" s="362">
        <f t="shared" si="9"/>
        <v>97120776.096971959</v>
      </c>
      <c r="F303" s="363">
        <f>DATE('Profit Calculation'!J$6,'Profit Calculation'!R$6+A303-1,'Profit Calculation'!Z$6)</f>
        <v>51257</v>
      </c>
      <c r="G303" s="364">
        <f ca="1">IF(Q$27=2,IF(LOOKUP(F303,X$1:X$35,X$1:X$35) = F303,ROUND(LOOKUP(LOOKUP(F303,X$1:X$35,A:A),Single!A$2:A$107,Table13[Saving]),0),IF( LOOKUP(F303,W$1:W$35,W$1:W$35) =
 F303,ROUND(G302*(1+IF($Q$18&lt;6,$R$14,IF($Q$18&lt;11,$R$15,$R$16)))^(1/12),0),G302*(1+IF($Q$18&lt;6,$R$14,IF($Q$18&lt;11,$R$15,$R$16)))^(1/12))),IF(LOOKUP(F303,X$1:X$35,X$1:X$35) = F303,ROUND(LOOKUP(LOOKUP(F303,X$1:X$35,A:A),'Annual Calculation'!A$2:A$107,Table1[Saving]),0),IF( LOOKUP(F303,W$1:W$35,W$1:W$35) =
 F303,ROUND(G302*(1+IF($Q$18&lt;6,$R$14,IF($Q$18&lt;11,$R$15,$R$16)))^(1/12),0),G302*(1+IF($Q$18&lt;6,$R$14,IF($Q$18&lt;11,$R$15,$R$16)))^(1/12))))</f>
        <v>0</v>
      </c>
    </row>
    <row r="304" spans="1:7">
      <c r="A304" s="348">
        <f t="shared" si="10"/>
        <v>303</v>
      </c>
      <c r="B304" s="360">
        <f>DATE('Profit Calculation'!J$6,A$2,A$2+A304-1)</f>
        <v>42307</v>
      </c>
      <c r="D304" s="362">
        <f t="shared" si="9"/>
        <v>97157971.678916633</v>
      </c>
      <c r="F304" s="363">
        <f>DATE('Profit Calculation'!J$6,'Profit Calculation'!R$6+A304-1,'Profit Calculation'!Z$6)</f>
        <v>51288</v>
      </c>
      <c r="G304" s="364">
        <f ca="1">IF(Q$27=2,IF(LOOKUP(F304,X$1:X$35,X$1:X$35) = F304,ROUND(LOOKUP(LOOKUP(F304,X$1:X$35,A:A),Single!A$2:A$107,Table13[Saving]),0),IF( LOOKUP(F304,W$1:W$35,W$1:W$35) =
 F304,ROUND(G303*(1+IF($Q$18&lt;6,$R$14,IF($Q$18&lt;11,$R$15,$R$16)))^(1/12),0),G303*(1+IF($Q$18&lt;6,$R$14,IF($Q$18&lt;11,$R$15,$R$16)))^(1/12))),IF(LOOKUP(F304,X$1:X$35,X$1:X$35) = F304,ROUND(LOOKUP(LOOKUP(F304,X$1:X$35,A:A),'Annual Calculation'!A$2:A$107,Table1[Saving]),0),IF( LOOKUP(F304,W$1:W$35,W$1:W$35) =
 F304,ROUND(G303*(1+IF($Q$18&lt;6,$R$14,IF($Q$18&lt;11,$R$15,$R$16)))^(1/12),0),G303*(1+IF($Q$18&lt;6,$R$14,IF($Q$18&lt;11,$R$15,$R$16)))^(1/12))))</f>
        <v>0</v>
      </c>
    </row>
    <row r="305" spans="1:7">
      <c r="A305" s="348">
        <f t="shared" si="10"/>
        <v>304</v>
      </c>
      <c r="B305" s="360">
        <f>DATE('Profit Calculation'!J$6,A$2,A$2+A305-1)</f>
        <v>42308</v>
      </c>
      <c r="D305" s="362">
        <f t="shared" si="9"/>
        <v>97195181.506127581</v>
      </c>
      <c r="F305" s="363">
        <f>DATE('Profit Calculation'!J$6,'Profit Calculation'!R$6+A305-1,'Profit Calculation'!Z$6)</f>
        <v>51318</v>
      </c>
      <c r="G305" s="364">
        <f ca="1">IF(Q$27=2,IF(LOOKUP(F305,X$1:X$35,X$1:X$35) = F305,ROUND(LOOKUP(LOOKUP(F305,X$1:X$35,A:A),Single!A$2:A$107,Table13[Saving]),0),IF( LOOKUP(F305,W$1:W$35,W$1:W$35) =
 F305,ROUND(G304*(1+IF($Q$18&lt;6,$R$14,IF($Q$18&lt;11,$R$15,$R$16)))^(1/12),0),G304*(1+IF($Q$18&lt;6,$R$14,IF($Q$18&lt;11,$R$15,$R$16)))^(1/12))),IF(LOOKUP(F305,X$1:X$35,X$1:X$35) = F305,ROUND(LOOKUP(LOOKUP(F305,X$1:X$35,A:A),'Annual Calculation'!A$2:A$107,Table1[Saving]),0),IF( LOOKUP(F305,W$1:W$35,W$1:W$35) =
 F305,ROUND(G304*(1+IF($Q$18&lt;6,$R$14,IF($Q$18&lt;11,$R$15,$R$16)))^(1/12),0),G304*(1+IF($Q$18&lt;6,$R$14,IF($Q$18&lt;11,$R$15,$R$16)))^(1/12))))</f>
        <v>0</v>
      </c>
    </row>
    <row r="306" spans="1:7">
      <c r="A306" s="348">
        <f t="shared" si="10"/>
        <v>305</v>
      </c>
      <c r="B306" s="360">
        <f>DATE('Profit Calculation'!J$6,A$2,A$2+A306-1)</f>
        <v>42309</v>
      </c>
      <c r="D306" s="362">
        <f t="shared" si="9"/>
        <v>97232405.58406049</v>
      </c>
      <c r="F306" s="363">
        <f>DATE('Profit Calculation'!J$6,'Profit Calculation'!R$6+A306-1,'Profit Calculation'!Z$6)</f>
        <v>51349</v>
      </c>
      <c r="G306" s="364">
        <f ca="1">IF(Q$27=2,IF(LOOKUP(F306,X$1:X$35,X$1:X$35) = F306,ROUND(LOOKUP(LOOKUP(F306,X$1:X$35,A:A),Single!A$2:A$107,Table13[Saving]),0),IF( LOOKUP(F306,W$1:W$35,W$1:W$35) =
 F306,ROUND(G305*(1+IF($Q$18&lt;6,$R$14,IF($Q$18&lt;11,$R$15,$R$16)))^(1/12),0),G305*(1+IF($Q$18&lt;6,$R$14,IF($Q$18&lt;11,$R$15,$R$16)))^(1/12))),IF(LOOKUP(F306,X$1:X$35,X$1:X$35) = F306,ROUND(LOOKUP(LOOKUP(F306,X$1:X$35,A:A),'Annual Calculation'!A$2:A$107,Table1[Saving]),0),IF( LOOKUP(F306,W$1:W$35,W$1:W$35) =
 F306,ROUND(G305*(1+IF($Q$18&lt;6,$R$14,IF($Q$18&lt;11,$R$15,$R$16)))^(1/12),0),G305*(1+IF($Q$18&lt;6,$R$14,IF($Q$18&lt;11,$R$15,$R$16)))^(1/12))))</f>
        <v>0</v>
      </c>
    </row>
    <row r="307" spans="1:7">
      <c r="A307" s="348">
        <f t="shared" si="10"/>
        <v>306</v>
      </c>
      <c r="B307" s="360">
        <f>DATE('Profit Calculation'!J$6,A$2,A$2+A307-1)</f>
        <v>42310</v>
      </c>
      <c r="D307" s="362">
        <f t="shared" si="9"/>
        <v>97269643.918173149</v>
      </c>
      <c r="F307" s="363">
        <f>DATE('Profit Calculation'!J$6,'Profit Calculation'!R$6+A307-1,'Profit Calculation'!Z$6)</f>
        <v>51380</v>
      </c>
      <c r="G307" s="364">
        <f ca="1">IF(Q$27=2,IF(LOOKUP(F307,X$1:X$35,X$1:X$35) = F307,ROUND(LOOKUP(LOOKUP(F307,X$1:X$35,A:A),Single!A$2:A$107,Table13[Saving]),0),IF( LOOKUP(F307,W$1:W$35,W$1:W$35) =
 F307,ROUND(G306*(1+IF($Q$18&lt;6,$R$14,IF($Q$18&lt;11,$R$15,$R$16)))^(1/12),0),G306*(1+IF($Q$18&lt;6,$R$14,IF($Q$18&lt;11,$R$15,$R$16)))^(1/12))),IF(LOOKUP(F307,X$1:X$35,X$1:X$35) = F307,ROUND(LOOKUP(LOOKUP(F307,X$1:X$35,A:A),'Annual Calculation'!A$2:A$107,Table1[Saving]),0),IF( LOOKUP(F307,W$1:W$35,W$1:W$35) =
 F307,ROUND(G306*(1+IF($Q$18&lt;6,$R$14,IF($Q$18&lt;11,$R$15,$R$16)))^(1/12),0),G306*(1+IF($Q$18&lt;6,$R$14,IF($Q$18&lt;11,$R$15,$R$16)))^(1/12))))</f>
        <v>0</v>
      </c>
    </row>
    <row r="308" spans="1:7">
      <c r="A308" s="348">
        <f t="shared" si="10"/>
        <v>307</v>
      </c>
      <c r="B308" s="360">
        <f>DATE('Profit Calculation'!J$6,A$2,A$2+A308-1)</f>
        <v>42311</v>
      </c>
      <c r="D308" s="362">
        <f t="shared" si="9"/>
        <v>97306896.513925418</v>
      </c>
      <c r="F308" s="363">
        <f>DATE('Profit Calculation'!J$6,'Profit Calculation'!R$6+A308-1,'Profit Calculation'!Z$6)</f>
        <v>51410</v>
      </c>
      <c r="G308" s="364">
        <f ca="1">IF(Q$27=2,IF(LOOKUP(F308,X$1:X$35,X$1:X$35) = F308,ROUND(LOOKUP(LOOKUP(F308,X$1:X$35,A:A),Single!A$2:A$107,Table13[Saving]),0),IF( LOOKUP(F308,W$1:W$35,W$1:W$35) =
 F308,ROUND(G307*(1+IF($Q$18&lt;6,$R$14,IF($Q$18&lt;11,$R$15,$R$16)))^(1/12),0),G307*(1+IF($Q$18&lt;6,$R$14,IF($Q$18&lt;11,$R$15,$R$16)))^(1/12))),IF(LOOKUP(F308,X$1:X$35,X$1:X$35) = F308,ROUND(LOOKUP(LOOKUP(F308,X$1:X$35,A:A),'Annual Calculation'!A$2:A$107,Table1[Saving]),0),IF( LOOKUP(F308,W$1:W$35,W$1:W$35) =
 F308,ROUND(G307*(1+IF($Q$18&lt;6,$R$14,IF($Q$18&lt;11,$R$15,$R$16)))^(1/12),0),G307*(1+IF($Q$18&lt;6,$R$14,IF($Q$18&lt;11,$R$15,$R$16)))^(1/12))))</f>
        <v>0</v>
      </c>
    </row>
    <row r="309" spans="1:7">
      <c r="A309" s="348">
        <f t="shared" si="10"/>
        <v>308</v>
      </c>
      <c r="B309" s="360">
        <f>DATE('Profit Calculation'!J$6,A$2,A$2+A309-1)</f>
        <v>42312</v>
      </c>
      <c r="D309" s="362">
        <f t="shared" si="9"/>
        <v>97344163.376779273</v>
      </c>
      <c r="F309" s="363">
        <f>DATE('Profit Calculation'!J$6,'Profit Calculation'!R$6+A309-1,'Profit Calculation'!Z$6)</f>
        <v>51441</v>
      </c>
      <c r="G309" s="364">
        <f ca="1">IF(Q$27=2,IF(LOOKUP(F309,X$1:X$35,X$1:X$35) = F309,ROUND(LOOKUP(LOOKUP(F309,X$1:X$35,A:A),Single!A$2:A$107,Table13[Saving]),0),IF( LOOKUP(F309,W$1:W$35,W$1:W$35) =
 F309,ROUND(G308*(1+IF($Q$18&lt;6,$R$14,IF($Q$18&lt;11,$R$15,$R$16)))^(1/12),0),G308*(1+IF($Q$18&lt;6,$R$14,IF($Q$18&lt;11,$R$15,$R$16)))^(1/12))),IF(LOOKUP(F309,X$1:X$35,X$1:X$35) = F309,ROUND(LOOKUP(LOOKUP(F309,X$1:X$35,A:A),'Annual Calculation'!A$2:A$107,Table1[Saving]),0),IF( LOOKUP(F309,W$1:W$35,W$1:W$35) =
 F309,ROUND(G308*(1+IF($Q$18&lt;6,$R$14,IF($Q$18&lt;11,$R$15,$R$16)))^(1/12),0),G308*(1+IF($Q$18&lt;6,$R$14,IF($Q$18&lt;11,$R$15,$R$16)))^(1/12))))</f>
        <v>0</v>
      </c>
    </row>
    <row r="310" spans="1:7">
      <c r="A310" s="348">
        <f t="shared" si="10"/>
        <v>309</v>
      </c>
      <c r="B310" s="360">
        <f>DATE('Profit Calculation'!J$6,A$2,A$2+A310-1)</f>
        <v>42313</v>
      </c>
      <c r="D310" s="362">
        <f t="shared" si="9"/>
        <v>97381444.512198761</v>
      </c>
      <c r="F310" s="363">
        <f>DATE('Profit Calculation'!J$6,'Profit Calculation'!R$6+A310-1,'Profit Calculation'!Z$6)</f>
        <v>51471</v>
      </c>
      <c r="G310" s="364">
        <f ca="1">IF(Q$27=2,IF(LOOKUP(F310,X$1:X$35,X$1:X$35) = F310,ROUND(LOOKUP(LOOKUP(F310,X$1:X$35,A:A),Single!A$2:A$107,Table13[Saving]),0),IF( LOOKUP(F310,W$1:W$35,W$1:W$35) =
 F310,ROUND(G309*(1+IF($Q$18&lt;6,$R$14,IF($Q$18&lt;11,$R$15,$R$16)))^(1/12),0),G309*(1+IF($Q$18&lt;6,$R$14,IF($Q$18&lt;11,$R$15,$R$16)))^(1/12))),IF(LOOKUP(F310,X$1:X$35,X$1:X$35) = F310,ROUND(LOOKUP(LOOKUP(F310,X$1:X$35,A:A),'Annual Calculation'!A$2:A$107,Table1[Saving]),0),IF( LOOKUP(F310,W$1:W$35,W$1:W$35) =
 F310,ROUND(G309*(1+IF($Q$18&lt;6,$R$14,IF($Q$18&lt;11,$R$15,$R$16)))^(1/12),0),G309*(1+IF($Q$18&lt;6,$R$14,IF($Q$18&lt;11,$R$15,$R$16)))^(1/12))))</f>
        <v>0</v>
      </c>
    </row>
    <row r="311" spans="1:7">
      <c r="A311" s="348">
        <f t="shared" si="10"/>
        <v>310</v>
      </c>
      <c r="B311" s="360">
        <f>DATE('Profit Calculation'!J$6,A$2,A$2+A311-1)</f>
        <v>42314</v>
      </c>
      <c r="D311" s="362">
        <f t="shared" si="9"/>
        <v>97418739.92565003</v>
      </c>
      <c r="F311" s="363">
        <f>DATE('Profit Calculation'!J$6,'Profit Calculation'!R$6+A311-1,'Profit Calculation'!Z$6)</f>
        <v>51502</v>
      </c>
      <c r="G311" s="364">
        <f ca="1">IF(Q$27=2,IF(LOOKUP(F311,X$1:X$35,X$1:X$35) = F311,ROUND(LOOKUP(LOOKUP(F311,X$1:X$35,A:A),Single!A$2:A$107,Table13[Saving]),0),IF( LOOKUP(F311,W$1:W$35,W$1:W$35) =
 F311,ROUND(G310*(1+IF($Q$18&lt;6,$R$14,IF($Q$18&lt;11,$R$15,$R$16)))^(1/12),0),G310*(1+IF($Q$18&lt;6,$R$14,IF($Q$18&lt;11,$R$15,$R$16)))^(1/12))),IF(LOOKUP(F311,X$1:X$35,X$1:X$35) = F311,ROUND(LOOKUP(LOOKUP(F311,X$1:X$35,A:A),'Annual Calculation'!A$2:A$107,Table1[Saving]),0),IF( LOOKUP(F311,W$1:W$35,W$1:W$35) =
 F311,ROUND(G310*(1+IF($Q$18&lt;6,$R$14,IF($Q$18&lt;11,$R$15,$R$16)))^(1/12),0),G310*(1+IF($Q$18&lt;6,$R$14,IF($Q$18&lt;11,$R$15,$R$16)))^(1/12))))</f>
        <v>0</v>
      </c>
    </row>
    <row r="312" spans="1:7">
      <c r="A312" s="348">
        <f t="shared" si="10"/>
        <v>311</v>
      </c>
      <c r="B312" s="360">
        <f>DATE('Profit Calculation'!J$6,A$2,A$2+A312-1)</f>
        <v>42315</v>
      </c>
      <c r="D312" s="362">
        <f t="shared" si="9"/>
        <v>97456049.622601315</v>
      </c>
      <c r="F312" s="363">
        <f>DATE('Profit Calculation'!J$6,'Profit Calculation'!R$6+A312-1,'Profit Calculation'!Z$6)</f>
        <v>51533</v>
      </c>
      <c r="G312" s="364">
        <f ca="1">IF(Q$27=2,IF(LOOKUP(F312,X$1:X$35,X$1:X$35) = F312,ROUND(LOOKUP(LOOKUP(F312,X$1:X$35,A:A),Single!A$2:A$107,Table13[Saving]),0),IF( LOOKUP(F312,W$1:W$35,W$1:W$35) =
 F312,ROUND(G311*(1+IF($Q$18&lt;6,$R$14,IF($Q$18&lt;11,$R$15,$R$16)))^(1/12),0),G311*(1+IF($Q$18&lt;6,$R$14,IF($Q$18&lt;11,$R$15,$R$16)))^(1/12))),IF(LOOKUP(F312,X$1:X$35,X$1:X$35) = F312,ROUND(LOOKUP(LOOKUP(F312,X$1:X$35,A:A),'Annual Calculation'!A$2:A$107,Table1[Saving]),0),IF( LOOKUP(F312,W$1:W$35,W$1:W$35) =
 F312,ROUND(G311*(1+IF($Q$18&lt;6,$R$14,IF($Q$18&lt;11,$R$15,$R$16)))^(1/12),0),G311*(1+IF($Q$18&lt;6,$R$14,IF($Q$18&lt;11,$R$15,$R$16)))^(1/12))))</f>
        <v>0</v>
      </c>
    </row>
    <row r="313" spans="1:7">
      <c r="A313" s="348">
        <f t="shared" si="10"/>
        <v>312</v>
      </c>
      <c r="B313" s="360">
        <f>DATE('Profit Calculation'!J$6,A$2,A$2+A313-1)</f>
        <v>42316</v>
      </c>
      <c r="D313" s="362">
        <f t="shared" si="9"/>
        <v>97493373.608522952</v>
      </c>
      <c r="F313" s="363">
        <f>DATE('Profit Calculation'!J$6,'Profit Calculation'!R$6+A313-1,'Profit Calculation'!Z$6)</f>
        <v>51561</v>
      </c>
      <c r="G313" s="364">
        <f ca="1">IF(Q$27=2,IF(LOOKUP(F313,X$1:X$35,X$1:X$35) = F313,ROUND(LOOKUP(LOOKUP(F313,X$1:X$35,A:A),Single!A$2:A$107,Table13[Saving]),0),IF( LOOKUP(F313,W$1:W$35,W$1:W$35) =
 F313,ROUND(G312*(1+IF($Q$18&lt;6,$R$14,IF($Q$18&lt;11,$R$15,$R$16)))^(1/12),0),G312*(1+IF($Q$18&lt;6,$R$14,IF($Q$18&lt;11,$R$15,$R$16)))^(1/12))),IF(LOOKUP(F313,X$1:X$35,X$1:X$35) = F313,ROUND(LOOKUP(LOOKUP(F313,X$1:X$35,A:A),'Annual Calculation'!A$2:A$107,Table1[Saving]),0),IF( LOOKUP(F313,W$1:W$35,W$1:W$35) =
 F313,ROUND(G312*(1+IF($Q$18&lt;6,$R$14,IF($Q$18&lt;11,$R$15,$R$16)))^(1/12),0),G312*(1+IF($Q$18&lt;6,$R$14,IF($Q$18&lt;11,$R$15,$R$16)))^(1/12))))</f>
        <v>0</v>
      </c>
    </row>
    <row r="314" spans="1:7">
      <c r="A314" s="348">
        <f t="shared" si="10"/>
        <v>313</v>
      </c>
      <c r="B314" s="360">
        <f>DATE('Profit Calculation'!J$6,A$2,A$2+A314-1)</f>
        <v>42317</v>
      </c>
      <c r="D314" s="362">
        <f t="shared" si="9"/>
        <v>97530711.888887376</v>
      </c>
      <c r="F314" s="363">
        <f>DATE('Profit Calculation'!J$6,'Profit Calculation'!R$6+A314-1,'Profit Calculation'!Z$6)</f>
        <v>51592</v>
      </c>
      <c r="G314" s="364">
        <f ca="1">IF(Q$27=2,IF(LOOKUP(F314,X$1:X$35,X$1:X$35) = F314,ROUND(LOOKUP(LOOKUP(F314,X$1:X$35,A:A),Single!A$2:A$107,Table13[Saving]),0),IF( LOOKUP(F314,W$1:W$35,W$1:W$35) =
 F314,ROUND(G313*(1+IF($Q$18&lt;6,$R$14,IF($Q$18&lt;11,$R$15,$R$16)))^(1/12),0),G313*(1+IF($Q$18&lt;6,$R$14,IF($Q$18&lt;11,$R$15,$R$16)))^(1/12))),IF(LOOKUP(F314,X$1:X$35,X$1:X$35) = F314,ROUND(LOOKUP(LOOKUP(F314,X$1:X$35,A:A),'Annual Calculation'!A$2:A$107,Table1[Saving]),0),IF( LOOKUP(F314,W$1:W$35,W$1:W$35) =
 F314,ROUND(G313*(1+IF($Q$18&lt;6,$R$14,IF($Q$18&lt;11,$R$15,$R$16)))^(1/12),0),G313*(1+IF($Q$18&lt;6,$R$14,IF($Q$18&lt;11,$R$15,$R$16)))^(1/12))))</f>
        <v>0</v>
      </c>
    </row>
    <row r="315" spans="1:7">
      <c r="A315" s="348">
        <f t="shared" si="10"/>
        <v>314</v>
      </c>
      <c r="B315" s="360">
        <f>DATE('Profit Calculation'!J$6,A$2,A$2+A315-1)</f>
        <v>42318</v>
      </c>
      <c r="D315" s="362">
        <f t="shared" si="9"/>
        <v>97568064.469169095</v>
      </c>
      <c r="F315" s="363">
        <f>DATE('Profit Calculation'!J$6,'Profit Calculation'!R$6+A315-1,'Profit Calculation'!Z$6)</f>
        <v>51622</v>
      </c>
      <c r="G315" s="364">
        <f ca="1">IF(Q$27=2,IF(LOOKUP(F315,X$1:X$35,X$1:X$35) = F315,ROUND(LOOKUP(LOOKUP(F315,X$1:X$35,A:A),Single!A$2:A$107,Table13[Saving]),0),IF( LOOKUP(F315,W$1:W$35,W$1:W$35) =
 F315,ROUND(G314*(1+IF($Q$18&lt;6,$R$14,IF($Q$18&lt;11,$R$15,$R$16)))^(1/12),0),G314*(1+IF($Q$18&lt;6,$R$14,IF($Q$18&lt;11,$R$15,$R$16)))^(1/12))),IF(LOOKUP(F315,X$1:X$35,X$1:X$35) = F315,ROUND(LOOKUP(LOOKUP(F315,X$1:X$35,A:A),'Annual Calculation'!A$2:A$107,Table1[Saving]),0),IF( LOOKUP(F315,W$1:W$35,W$1:W$35) =
 F315,ROUND(G314*(1+IF($Q$18&lt;6,$R$14,IF($Q$18&lt;11,$R$15,$R$16)))^(1/12),0),G314*(1+IF($Q$18&lt;6,$R$14,IF($Q$18&lt;11,$R$15,$R$16)))^(1/12))))</f>
        <v>0</v>
      </c>
    </row>
    <row r="316" spans="1:7">
      <c r="A316" s="348">
        <f t="shared" si="10"/>
        <v>315</v>
      </c>
      <c r="B316" s="360">
        <f>DATE('Profit Calculation'!J$6,A$2,A$2+A316-1)</f>
        <v>42319</v>
      </c>
      <c r="D316" s="362">
        <f t="shared" si="9"/>
        <v>97605431.354844749</v>
      </c>
      <c r="F316" s="363">
        <f>DATE('Profit Calculation'!J$6,'Profit Calculation'!R$6+A316-1,'Profit Calculation'!Z$6)</f>
        <v>51653</v>
      </c>
      <c r="G316" s="364">
        <f ca="1">IF(Q$27=2,IF(LOOKUP(F316,X$1:X$35,X$1:X$35) = F316,ROUND(LOOKUP(LOOKUP(F316,X$1:X$35,A:A),Single!A$2:A$107,Table13[Saving]),0),IF( LOOKUP(F316,W$1:W$35,W$1:W$35) =
 F316,ROUND(G315*(1+IF($Q$18&lt;6,$R$14,IF($Q$18&lt;11,$R$15,$R$16)))^(1/12),0),G315*(1+IF($Q$18&lt;6,$R$14,IF($Q$18&lt;11,$R$15,$R$16)))^(1/12))),IF(LOOKUP(F316,X$1:X$35,X$1:X$35) = F316,ROUND(LOOKUP(LOOKUP(F316,X$1:X$35,A:A),'Annual Calculation'!A$2:A$107,Table1[Saving]),0),IF( LOOKUP(F316,W$1:W$35,W$1:W$35) =
 F316,ROUND(G315*(1+IF($Q$18&lt;6,$R$14,IF($Q$18&lt;11,$R$15,$R$16)))^(1/12),0),G315*(1+IF($Q$18&lt;6,$R$14,IF($Q$18&lt;11,$R$15,$R$16)))^(1/12))))</f>
        <v>0</v>
      </c>
    </row>
    <row r="317" spans="1:7">
      <c r="A317" s="348">
        <f t="shared" si="10"/>
        <v>316</v>
      </c>
      <c r="B317" s="360">
        <f>DATE('Profit Calculation'!J$6,A$2,A$2+A317-1)</f>
        <v>42320</v>
      </c>
      <c r="D317" s="362">
        <f t="shared" si="9"/>
        <v>97642812.551393047</v>
      </c>
      <c r="F317" s="363">
        <f>DATE('Profit Calculation'!J$6,'Profit Calculation'!R$6+A317-1,'Profit Calculation'!Z$6)</f>
        <v>51683</v>
      </c>
      <c r="G317" s="364">
        <f ca="1">IF(Q$27=2,IF(LOOKUP(F317,X$1:X$35,X$1:X$35) = F317,ROUND(LOOKUP(LOOKUP(F317,X$1:X$35,A:A),Single!A$2:A$107,Table13[Saving]),0),IF( LOOKUP(F317,W$1:W$35,W$1:W$35) =
 F317,ROUND(G316*(1+IF($Q$18&lt;6,$R$14,IF($Q$18&lt;11,$R$15,$R$16)))^(1/12),0),G316*(1+IF($Q$18&lt;6,$R$14,IF($Q$18&lt;11,$R$15,$R$16)))^(1/12))),IF(LOOKUP(F317,X$1:X$35,X$1:X$35) = F317,ROUND(LOOKUP(LOOKUP(F317,X$1:X$35,A:A),'Annual Calculation'!A$2:A$107,Table1[Saving]),0),IF( LOOKUP(F317,W$1:W$35,W$1:W$35) =
 F317,ROUND(G316*(1+IF($Q$18&lt;6,$R$14,IF($Q$18&lt;11,$R$15,$R$16)))^(1/12),0),G316*(1+IF($Q$18&lt;6,$R$14,IF($Q$18&lt;11,$R$15,$R$16)))^(1/12))))</f>
        <v>0</v>
      </c>
    </row>
    <row r="318" spans="1:7">
      <c r="A318" s="348">
        <f t="shared" si="10"/>
        <v>317</v>
      </c>
      <c r="B318" s="360">
        <f>DATE('Profit Calculation'!J$6,A$2,A$2+A318-1)</f>
        <v>42321</v>
      </c>
      <c r="D318" s="362">
        <f t="shared" si="9"/>
        <v>97680208.064294815</v>
      </c>
      <c r="F318" s="363">
        <f>DATE('Profit Calculation'!J$6,'Profit Calculation'!R$6+A318-1,'Profit Calculation'!Z$6)</f>
        <v>51714</v>
      </c>
      <c r="G318" s="364">
        <f ca="1">IF(Q$27=2,IF(LOOKUP(F318,X$1:X$35,X$1:X$35) = F318,ROUND(LOOKUP(LOOKUP(F318,X$1:X$35,A:A),Single!A$2:A$107,Table13[Saving]),0),IF( LOOKUP(F318,W$1:W$35,W$1:W$35) =
 F318,ROUND(G317*(1+IF($Q$18&lt;6,$R$14,IF($Q$18&lt;11,$R$15,$R$16)))^(1/12),0),G317*(1+IF($Q$18&lt;6,$R$14,IF($Q$18&lt;11,$R$15,$R$16)))^(1/12))),IF(LOOKUP(F318,X$1:X$35,X$1:X$35) = F318,ROUND(LOOKUP(LOOKUP(F318,X$1:X$35,A:A),'Annual Calculation'!A$2:A$107,Table1[Saving]),0),IF( LOOKUP(F318,W$1:W$35,W$1:W$35) =
 F318,ROUND(G317*(1+IF($Q$18&lt;6,$R$14,IF($Q$18&lt;11,$R$15,$R$16)))^(1/12),0),G317*(1+IF($Q$18&lt;6,$R$14,IF($Q$18&lt;11,$R$15,$R$16)))^(1/12))))</f>
        <v>0</v>
      </c>
    </row>
    <row r="319" spans="1:7">
      <c r="A319" s="348">
        <f t="shared" si="10"/>
        <v>318</v>
      </c>
      <c r="B319" s="360">
        <f>DATE('Profit Calculation'!J$6,A$2,A$2+A319-1)</f>
        <v>42322</v>
      </c>
      <c r="D319" s="362">
        <f t="shared" si="9"/>
        <v>97717617.899032965</v>
      </c>
      <c r="F319" s="363">
        <f>DATE('Profit Calculation'!J$6,'Profit Calculation'!R$6+A319-1,'Profit Calculation'!Z$6)</f>
        <v>51745</v>
      </c>
      <c r="G319" s="364">
        <f ca="1">IF(Q$27=2,IF(LOOKUP(F319,X$1:X$35,X$1:X$35) = F319,ROUND(LOOKUP(LOOKUP(F319,X$1:X$35,A:A),Single!A$2:A$107,Table13[Saving]),0),IF( LOOKUP(F319,W$1:W$35,W$1:W$35) =
 F319,ROUND(G318*(1+IF($Q$18&lt;6,$R$14,IF($Q$18&lt;11,$R$15,$R$16)))^(1/12),0),G318*(1+IF($Q$18&lt;6,$R$14,IF($Q$18&lt;11,$R$15,$R$16)))^(1/12))),IF(LOOKUP(F319,X$1:X$35,X$1:X$35) = F319,ROUND(LOOKUP(LOOKUP(F319,X$1:X$35,A:A),'Annual Calculation'!A$2:A$107,Table1[Saving]),0),IF( LOOKUP(F319,W$1:W$35,W$1:W$35) =
 F319,ROUND(G318*(1+IF($Q$18&lt;6,$R$14,IF($Q$18&lt;11,$R$15,$R$16)))^(1/12),0),G318*(1+IF($Q$18&lt;6,$R$14,IF($Q$18&lt;11,$R$15,$R$16)))^(1/12))))</f>
        <v>0</v>
      </c>
    </row>
    <row r="320" spans="1:7">
      <c r="A320" s="348">
        <f t="shared" si="10"/>
        <v>319</v>
      </c>
      <c r="B320" s="360">
        <f>DATE('Profit Calculation'!J$6,A$2,A$2+A320-1)</f>
        <v>42323</v>
      </c>
      <c r="D320" s="362">
        <f t="shared" si="9"/>
        <v>97755042.061092511</v>
      </c>
      <c r="F320" s="363">
        <f>DATE('Profit Calculation'!J$6,'Profit Calculation'!R$6+A320-1,'Profit Calculation'!Z$6)</f>
        <v>51775</v>
      </c>
      <c r="G320" s="364">
        <f ca="1">IF(Q$27=2,IF(LOOKUP(F320,X$1:X$35,X$1:X$35) = F320,ROUND(LOOKUP(LOOKUP(F320,X$1:X$35,A:A),Single!A$2:A$107,Table13[Saving]),0),IF( LOOKUP(F320,W$1:W$35,W$1:W$35) =
 F320,ROUND(G319*(1+IF($Q$18&lt;6,$R$14,IF($Q$18&lt;11,$R$15,$R$16)))^(1/12),0),G319*(1+IF($Q$18&lt;6,$R$14,IF($Q$18&lt;11,$R$15,$R$16)))^(1/12))),IF(LOOKUP(F320,X$1:X$35,X$1:X$35) = F320,ROUND(LOOKUP(LOOKUP(F320,X$1:X$35,A:A),'Annual Calculation'!A$2:A$107,Table1[Saving]),0),IF( LOOKUP(F320,W$1:W$35,W$1:W$35) =
 F320,ROUND(G319*(1+IF($Q$18&lt;6,$R$14,IF($Q$18&lt;11,$R$15,$R$16)))^(1/12),0),G319*(1+IF($Q$18&lt;6,$R$14,IF($Q$18&lt;11,$R$15,$R$16)))^(1/12))))</f>
        <v>0</v>
      </c>
    </row>
    <row r="321" spans="1:7">
      <c r="A321" s="348">
        <f t="shared" si="10"/>
        <v>320</v>
      </c>
      <c r="B321" s="360">
        <f>DATE('Profit Calculation'!J$6,A$2,A$2+A321-1)</f>
        <v>42324</v>
      </c>
      <c r="D321" s="362">
        <f t="shared" si="9"/>
        <v>97792480.555960566</v>
      </c>
      <c r="F321" s="363">
        <f>DATE('Profit Calculation'!J$6,'Profit Calculation'!R$6+A321-1,'Profit Calculation'!Z$6)</f>
        <v>51806</v>
      </c>
      <c r="G321" s="364">
        <f ca="1">IF(Q$27=2,IF(LOOKUP(F321,X$1:X$35,X$1:X$35) = F321,ROUND(LOOKUP(LOOKUP(F321,X$1:X$35,A:A),Single!A$2:A$107,Table13[Saving]),0),IF( LOOKUP(F321,W$1:W$35,W$1:W$35) =
 F321,ROUND(G320*(1+IF($Q$18&lt;6,$R$14,IF($Q$18&lt;11,$R$15,$R$16)))^(1/12),0),G320*(1+IF($Q$18&lt;6,$R$14,IF($Q$18&lt;11,$R$15,$R$16)))^(1/12))),IF(LOOKUP(F321,X$1:X$35,X$1:X$35) = F321,ROUND(LOOKUP(LOOKUP(F321,X$1:X$35,A:A),'Annual Calculation'!A$2:A$107,Table1[Saving]),0),IF( LOOKUP(F321,W$1:W$35,W$1:W$35) =
 F321,ROUND(G320*(1+IF($Q$18&lt;6,$R$14,IF($Q$18&lt;11,$R$15,$R$16)))^(1/12),0),G320*(1+IF($Q$18&lt;6,$R$14,IF($Q$18&lt;11,$R$15,$R$16)))^(1/12))))</f>
        <v>0</v>
      </c>
    </row>
    <row r="322" spans="1:7">
      <c r="A322" s="348">
        <f t="shared" si="10"/>
        <v>321</v>
      </c>
      <c r="B322" s="360">
        <f>DATE('Profit Calculation'!J$6,A$2,A$2+A322-1)</f>
        <v>42325</v>
      </c>
      <c r="D322" s="362">
        <f t="shared" si="9"/>
        <v>97829933.38912636</v>
      </c>
      <c r="F322" s="363">
        <f>DATE('Profit Calculation'!J$6,'Profit Calculation'!R$6+A322-1,'Profit Calculation'!Z$6)</f>
        <v>51836</v>
      </c>
      <c r="G322" s="364">
        <f ca="1">IF(Q$27=2,IF(LOOKUP(F322,X$1:X$35,X$1:X$35) = F322,ROUND(LOOKUP(LOOKUP(F322,X$1:X$35,A:A),Single!A$2:A$107,Table13[Saving]),0),IF( LOOKUP(F322,W$1:W$35,W$1:W$35) =
 F322,ROUND(G321*(1+IF($Q$18&lt;6,$R$14,IF($Q$18&lt;11,$R$15,$R$16)))^(1/12),0),G321*(1+IF($Q$18&lt;6,$R$14,IF($Q$18&lt;11,$R$15,$R$16)))^(1/12))),IF(LOOKUP(F322,X$1:X$35,X$1:X$35) = F322,ROUND(LOOKUP(LOOKUP(F322,X$1:X$35,A:A),'Annual Calculation'!A$2:A$107,Table1[Saving]),0),IF( LOOKUP(F322,W$1:W$35,W$1:W$35) =
 F322,ROUND(G321*(1+IF($Q$18&lt;6,$R$14,IF($Q$18&lt;11,$R$15,$R$16)))^(1/12),0),G321*(1+IF($Q$18&lt;6,$R$14,IF($Q$18&lt;11,$R$15,$R$16)))^(1/12))))</f>
        <v>0</v>
      </c>
    </row>
    <row r="323" spans="1:7">
      <c r="A323" s="348">
        <f t="shared" si="10"/>
        <v>322</v>
      </c>
      <c r="B323" s="360">
        <f>DATE('Profit Calculation'!J$6,A$2,A$2+A323-1)</f>
        <v>42326</v>
      </c>
      <c r="D323" s="362">
        <f t="shared" si="9"/>
        <v>97867400.566081211</v>
      </c>
      <c r="F323" s="363">
        <f>DATE('Profit Calculation'!J$6,'Profit Calculation'!R$6+A323-1,'Profit Calculation'!Z$6)</f>
        <v>51867</v>
      </c>
      <c r="G323" s="364">
        <f ca="1">IF(Q$27=2,IF(LOOKUP(F323,X$1:X$35,X$1:X$35) = F323,ROUND(LOOKUP(LOOKUP(F323,X$1:X$35,A:A),Single!A$2:A$107,Table13[Saving]),0),IF( LOOKUP(F323,W$1:W$35,W$1:W$35) =
 F323,ROUND(G322*(1+IF($Q$18&lt;6,$R$14,IF($Q$18&lt;11,$R$15,$R$16)))^(1/12),0),G322*(1+IF($Q$18&lt;6,$R$14,IF($Q$18&lt;11,$R$15,$R$16)))^(1/12))),IF(LOOKUP(F323,X$1:X$35,X$1:X$35) = F323,ROUND(LOOKUP(LOOKUP(F323,X$1:X$35,A:A),'Annual Calculation'!A$2:A$107,Table1[Saving]),0),IF( LOOKUP(F323,W$1:W$35,W$1:W$35) =
 F323,ROUND(G322*(1+IF($Q$18&lt;6,$R$14,IF($Q$18&lt;11,$R$15,$R$16)))^(1/12),0),G322*(1+IF($Q$18&lt;6,$R$14,IF($Q$18&lt;11,$R$15,$R$16)))^(1/12))))</f>
        <v>0</v>
      </c>
    </row>
    <row r="324" spans="1:7">
      <c r="A324" s="348">
        <f t="shared" si="10"/>
        <v>323</v>
      </c>
      <c r="B324" s="360">
        <f>DATE('Profit Calculation'!J$6,A$2,A$2+A324-1)</f>
        <v>42327</v>
      </c>
      <c r="D324" s="362">
        <f t="shared" ref="D324:D387" si="11">IF(OR(LOOKUP(B324,W$1:W$35,W$1:W$35) = B324, LOOKUP(B324,X$1:X$35,X$1:X$35) = B324),LOOKUP(B324,F:F,G:G),D323*(1+((IF($Q$18&lt;6,$R$14,IF($Q$18&lt;11,$R$15,$R$16)))))^(1/365))</f>
        <v>97904882.092318535</v>
      </c>
      <c r="F324" s="363">
        <f>DATE('Profit Calculation'!J$6,'Profit Calculation'!R$6+A324-1,'Profit Calculation'!Z$6)</f>
        <v>51898</v>
      </c>
      <c r="G324" s="364">
        <f ca="1">IF(Q$27=2,IF(LOOKUP(F324,X$1:X$35,X$1:X$35) = F324,ROUND(LOOKUP(LOOKUP(F324,X$1:X$35,A:A),Single!A$2:A$107,Table13[Saving]),0),IF( LOOKUP(F324,W$1:W$35,W$1:W$35) =
 F324,ROUND(G323*(1+IF($Q$18&lt;6,$R$14,IF($Q$18&lt;11,$R$15,$R$16)))^(1/12),0),G323*(1+IF($Q$18&lt;6,$R$14,IF($Q$18&lt;11,$R$15,$R$16)))^(1/12))),IF(LOOKUP(F324,X$1:X$35,X$1:X$35) = F324,ROUND(LOOKUP(LOOKUP(F324,X$1:X$35,A:A),'Annual Calculation'!A$2:A$107,Table1[Saving]),0),IF( LOOKUP(F324,W$1:W$35,W$1:W$35) =
 F324,ROUND(G323*(1+IF($Q$18&lt;6,$R$14,IF($Q$18&lt;11,$R$15,$R$16)))^(1/12),0),G323*(1+IF($Q$18&lt;6,$R$14,IF($Q$18&lt;11,$R$15,$R$16)))^(1/12))))</f>
        <v>0</v>
      </c>
    </row>
    <row r="325" spans="1:7">
      <c r="A325" s="348">
        <f t="shared" ref="A325:A388" si="12">A324+1</f>
        <v>324</v>
      </c>
      <c r="B325" s="360">
        <f>DATE('Profit Calculation'!J$6,A$2,A$2+A325-1)</f>
        <v>42328</v>
      </c>
      <c r="D325" s="362">
        <f t="shared" si="11"/>
        <v>97942377.973333865</v>
      </c>
      <c r="F325" s="363">
        <f>DATE('Profit Calculation'!J$6,'Profit Calculation'!R$6+A325-1,'Profit Calculation'!Z$6)</f>
        <v>51926</v>
      </c>
      <c r="G325" s="364">
        <f ca="1">IF(Q$27=2,IF(LOOKUP(F325,X$1:X$35,X$1:X$35) = F325,ROUND(LOOKUP(LOOKUP(F325,X$1:X$35,A:A),Single!A$2:A$107,Table13[Saving]),0),IF( LOOKUP(F325,W$1:W$35,W$1:W$35) =
 F325,ROUND(G324*(1+IF($Q$18&lt;6,$R$14,IF($Q$18&lt;11,$R$15,$R$16)))^(1/12),0),G324*(1+IF($Q$18&lt;6,$R$14,IF($Q$18&lt;11,$R$15,$R$16)))^(1/12))),IF(LOOKUP(F325,X$1:X$35,X$1:X$35) = F325,ROUND(LOOKUP(LOOKUP(F325,X$1:X$35,A:A),'Annual Calculation'!A$2:A$107,Table1[Saving]),0),IF( LOOKUP(F325,W$1:W$35,W$1:W$35) =
 F325,ROUND(G324*(1+IF($Q$18&lt;6,$R$14,IF($Q$18&lt;11,$R$15,$R$16)))^(1/12),0),G324*(1+IF($Q$18&lt;6,$R$14,IF($Q$18&lt;11,$R$15,$R$16)))^(1/12))))</f>
        <v>0</v>
      </c>
    </row>
    <row r="326" spans="1:7">
      <c r="A326" s="348">
        <f t="shared" si="12"/>
        <v>325</v>
      </c>
      <c r="B326" s="360">
        <f>DATE('Profit Calculation'!J$6,A$2,A$2+A326-1)</f>
        <v>42329</v>
      </c>
      <c r="D326" s="362">
        <f t="shared" si="11"/>
        <v>97979888.214624837</v>
      </c>
      <c r="F326" s="363">
        <f>DATE('Profit Calculation'!J$6,'Profit Calculation'!R$6+A326-1,'Profit Calculation'!Z$6)</f>
        <v>51957</v>
      </c>
      <c r="G326" s="364">
        <f ca="1">IF(Q$27=2,IF(LOOKUP(F326,X$1:X$35,X$1:X$35) = F326,ROUND(LOOKUP(LOOKUP(F326,X$1:X$35,A:A),Single!A$2:A$107,Table13[Saving]),0),IF( LOOKUP(F326,W$1:W$35,W$1:W$35) =
 F326,ROUND(G325*(1+IF($Q$18&lt;6,$R$14,IF($Q$18&lt;11,$R$15,$R$16)))^(1/12),0),G325*(1+IF($Q$18&lt;6,$R$14,IF($Q$18&lt;11,$R$15,$R$16)))^(1/12))),IF(LOOKUP(F326,X$1:X$35,X$1:X$35) = F326,ROUND(LOOKUP(LOOKUP(F326,X$1:X$35,A:A),'Annual Calculation'!A$2:A$107,Table1[Saving]),0),IF( LOOKUP(F326,W$1:W$35,W$1:W$35) =
 F326,ROUND(G325*(1+IF($Q$18&lt;6,$R$14,IF($Q$18&lt;11,$R$15,$R$16)))^(1/12),0),G325*(1+IF($Q$18&lt;6,$R$14,IF($Q$18&lt;11,$R$15,$R$16)))^(1/12))))</f>
        <v>0</v>
      </c>
    </row>
    <row r="327" spans="1:7">
      <c r="A327" s="348">
        <f t="shared" si="12"/>
        <v>326</v>
      </c>
      <c r="B327" s="360">
        <f>DATE('Profit Calculation'!J$6,A$2,A$2+A327-1)</f>
        <v>42330</v>
      </c>
      <c r="D327" s="362">
        <f t="shared" si="11"/>
        <v>98017412.821691185</v>
      </c>
      <c r="F327" s="363">
        <f>DATE('Profit Calculation'!J$6,'Profit Calculation'!R$6+A327-1,'Profit Calculation'!Z$6)</f>
        <v>51987</v>
      </c>
      <c r="G327" s="364">
        <f ca="1">IF(Q$27=2,IF(LOOKUP(F327,X$1:X$35,X$1:X$35) = F327,ROUND(LOOKUP(LOOKUP(F327,X$1:X$35,A:A),Single!A$2:A$107,Table13[Saving]),0),IF( LOOKUP(F327,W$1:W$35,W$1:W$35) =
 F327,ROUND(G326*(1+IF($Q$18&lt;6,$R$14,IF($Q$18&lt;11,$R$15,$R$16)))^(1/12),0),G326*(1+IF($Q$18&lt;6,$R$14,IF($Q$18&lt;11,$R$15,$R$16)))^(1/12))),IF(LOOKUP(F327,X$1:X$35,X$1:X$35) = F327,ROUND(LOOKUP(LOOKUP(F327,X$1:X$35,A:A),'Annual Calculation'!A$2:A$107,Table1[Saving]),0),IF( LOOKUP(F327,W$1:W$35,W$1:W$35) =
 F327,ROUND(G326*(1+IF($Q$18&lt;6,$R$14,IF($Q$18&lt;11,$R$15,$R$16)))^(1/12),0),G326*(1+IF($Q$18&lt;6,$R$14,IF($Q$18&lt;11,$R$15,$R$16)))^(1/12))))</f>
        <v>0</v>
      </c>
    </row>
    <row r="328" spans="1:7">
      <c r="A328" s="348">
        <f t="shared" si="12"/>
        <v>327</v>
      </c>
      <c r="B328" s="360">
        <f>DATE('Profit Calculation'!J$6,A$2,A$2+A328-1)</f>
        <v>42331</v>
      </c>
      <c r="D328" s="362">
        <f t="shared" si="11"/>
        <v>98054951.800034747</v>
      </c>
      <c r="F328" s="363">
        <f>DATE('Profit Calculation'!J$6,'Profit Calculation'!R$6+A328-1,'Profit Calculation'!Z$6)</f>
        <v>52018</v>
      </c>
      <c r="G328" s="364">
        <f ca="1">IF(Q$27=2,IF(LOOKUP(F328,X$1:X$35,X$1:X$35) = F328,ROUND(LOOKUP(LOOKUP(F328,X$1:X$35,A:A),Single!A$2:A$107,Table13[Saving]),0),IF( LOOKUP(F328,W$1:W$35,W$1:W$35) =
 F328,ROUND(G327*(1+IF($Q$18&lt;6,$R$14,IF($Q$18&lt;11,$R$15,$R$16)))^(1/12),0),G327*(1+IF($Q$18&lt;6,$R$14,IF($Q$18&lt;11,$R$15,$R$16)))^(1/12))),IF(LOOKUP(F328,X$1:X$35,X$1:X$35) = F328,ROUND(LOOKUP(LOOKUP(F328,X$1:X$35,A:A),'Annual Calculation'!A$2:A$107,Table1[Saving]),0),IF( LOOKUP(F328,W$1:W$35,W$1:W$35) =
 F328,ROUND(G327*(1+IF($Q$18&lt;6,$R$14,IF($Q$18&lt;11,$R$15,$R$16)))^(1/12),0),G327*(1+IF($Q$18&lt;6,$R$14,IF($Q$18&lt;11,$R$15,$R$16)))^(1/12))))</f>
        <v>0</v>
      </c>
    </row>
    <row r="329" spans="1:7">
      <c r="A329" s="348">
        <f t="shared" si="12"/>
        <v>328</v>
      </c>
      <c r="B329" s="360">
        <f>DATE('Profit Calculation'!J$6,A$2,A$2+A329-1)</f>
        <v>42332</v>
      </c>
      <c r="D329" s="362">
        <f t="shared" si="11"/>
        <v>98092505.155159473</v>
      </c>
      <c r="F329" s="363">
        <f>DATE('Profit Calculation'!J$6,'Profit Calculation'!R$6+A329-1,'Profit Calculation'!Z$6)</f>
        <v>52048</v>
      </c>
      <c r="G329" s="364">
        <f ca="1">IF(Q$27=2,IF(LOOKUP(F329,X$1:X$35,X$1:X$35) = F329,ROUND(LOOKUP(LOOKUP(F329,X$1:X$35,A:A),Single!A$2:A$107,Table13[Saving]),0),IF( LOOKUP(F329,W$1:W$35,W$1:W$35) =
 F329,ROUND(G328*(1+IF($Q$18&lt;6,$R$14,IF($Q$18&lt;11,$R$15,$R$16)))^(1/12),0),G328*(1+IF($Q$18&lt;6,$R$14,IF($Q$18&lt;11,$R$15,$R$16)))^(1/12))),IF(LOOKUP(F329,X$1:X$35,X$1:X$35) = F329,ROUND(LOOKUP(LOOKUP(F329,X$1:X$35,A:A),'Annual Calculation'!A$2:A$107,Table1[Saving]),0),IF( LOOKUP(F329,W$1:W$35,W$1:W$35) =
 F329,ROUND(G328*(1+IF($Q$18&lt;6,$R$14,IF($Q$18&lt;11,$R$15,$R$16)))^(1/12),0),G328*(1+IF($Q$18&lt;6,$R$14,IF($Q$18&lt;11,$R$15,$R$16)))^(1/12))))</f>
        <v>0</v>
      </c>
    </row>
    <row r="330" spans="1:7">
      <c r="A330" s="348">
        <f t="shared" si="12"/>
        <v>329</v>
      </c>
      <c r="B330" s="360">
        <f>DATE('Profit Calculation'!J$6,A$2,A$2+A330-1)</f>
        <v>42333</v>
      </c>
      <c r="D330" s="362">
        <f t="shared" si="11"/>
        <v>98130072.892571434</v>
      </c>
      <c r="F330" s="363">
        <f>DATE('Profit Calculation'!J$6,'Profit Calculation'!R$6+A330-1,'Profit Calculation'!Z$6)</f>
        <v>52079</v>
      </c>
      <c r="G330" s="364">
        <f ca="1">IF(Q$27=2,IF(LOOKUP(F330,X$1:X$35,X$1:X$35) = F330,ROUND(LOOKUP(LOOKUP(F330,X$1:X$35,A:A),Single!A$2:A$107,Table13[Saving]),0),IF( LOOKUP(F330,W$1:W$35,W$1:W$35) =
 F330,ROUND(G329*(1+IF($Q$18&lt;6,$R$14,IF($Q$18&lt;11,$R$15,$R$16)))^(1/12),0),G329*(1+IF($Q$18&lt;6,$R$14,IF($Q$18&lt;11,$R$15,$R$16)))^(1/12))),IF(LOOKUP(F330,X$1:X$35,X$1:X$35) = F330,ROUND(LOOKUP(LOOKUP(F330,X$1:X$35,A:A),'Annual Calculation'!A$2:A$107,Table1[Saving]),0),IF( LOOKUP(F330,W$1:W$35,W$1:W$35) =
 F330,ROUND(G329*(1+IF($Q$18&lt;6,$R$14,IF($Q$18&lt;11,$R$15,$R$16)))^(1/12),0),G329*(1+IF($Q$18&lt;6,$R$14,IF($Q$18&lt;11,$R$15,$R$16)))^(1/12))))</f>
        <v>0</v>
      </c>
    </row>
    <row r="331" spans="1:7">
      <c r="A331" s="348">
        <f t="shared" si="12"/>
        <v>330</v>
      </c>
      <c r="B331" s="360">
        <f>DATE('Profit Calculation'!J$6,A$2,A$2+A331-1)</f>
        <v>42334</v>
      </c>
      <c r="D331" s="362">
        <f t="shared" si="11"/>
        <v>98167655.017778799</v>
      </c>
      <c r="F331" s="363">
        <f>DATE('Profit Calculation'!J$6,'Profit Calculation'!R$6+A331-1,'Profit Calculation'!Z$6)</f>
        <v>52110</v>
      </c>
      <c r="G331" s="364">
        <f ca="1">IF(Q$27=2,IF(LOOKUP(F331,X$1:X$35,X$1:X$35) = F331,ROUND(LOOKUP(LOOKUP(F331,X$1:X$35,A:A),Single!A$2:A$107,Table13[Saving]),0),IF( LOOKUP(F331,W$1:W$35,W$1:W$35) =
 F331,ROUND(G330*(1+IF($Q$18&lt;6,$R$14,IF($Q$18&lt;11,$R$15,$R$16)))^(1/12),0),G330*(1+IF($Q$18&lt;6,$R$14,IF($Q$18&lt;11,$R$15,$R$16)))^(1/12))),IF(LOOKUP(F331,X$1:X$35,X$1:X$35) = F331,ROUND(LOOKUP(LOOKUP(F331,X$1:X$35,A:A),'Annual Calculation'!A$2:A$107,Table1[Saving]),0),IF( LOOKUP(F331,W$1:W$35,W$1:W$35) =
 F331,ROUND(G330*(1+IF($Q$18&lt;6,$R$14,IF($Q$18&lt;11,$R$15,$R$16)))^(1/12),0),G330*(1+IF($Q$18&lt;6,$R$14,IF($Q$18&lt;11,$R$15,$R$16)))^(1/12))))</f>
        <v>0</v>
      </c>
    </row>
    <row r="332" spans="1:7">
      <c r="A332" s="348">
        <f t="shared" si="12"/>
        <v>331</v>
      </c>
      <c r="B332" s="360">
        <f>DATE('Profit Calculation'!J$6,A$2,A$2+A332-1)</f>
        <v>42335</v>
      </c>
      <c r="D332" s="362">
        <f t="shared" si="11"/>
        <v>98205251.536291838</v>
      </c>
      <c r="F332" s="363">
        <f>DATE('Profit Calculation'!J$6,'Profit Calculation'!R$6+A332-1,'Profit Calculation'!Z$6)</f>
        <v>52140</v>
      </c>
      <c r="G332" s="364">
        <f ca="1">IF(Q$27=2,IF(LOOKUP(F332,X$1:X$35,X$1:X$35) = F332,ROUND(LOOKUP(LOOKUP(F332,X$1:X$35,A:A),Single!A$2:A$107,Table13[Saving]),0),IF( LOOKUP(F332,W$1:W$35,W$1:W$35) =
 F332,ROUND(G331*(1+IF($Q$18&lt;6,$R$14,IF($Q$18&lt;11,$R$15,$R$16)))^(1/12),0),G331*(1+IF($Q$18&lt;6,$R$14,IF($Q$18&lt;11,$R$15,$R$16)))^(1/12))),IF(LOOKUP(F332,X$1:X$35,X$1:X$35) = F332,ROUND(LOOKUP(LOOKUP(F332,X$1:X$35,A:A),'Annual Calculation'!A$2:A$107,Table1[Saving]),0),IF( LOOKUP(F332,W$1:W$35,W$1:W$35) =
 F332,ROUND(G331*(1+IF($Q$18&lt;6,$R$14,IF($Q$18&lt;11,$R$15,$R$16)))^(1/12),0),G331*(1+IF($Q$18&lt;6,$R$14,IF($Q$18&lt;11,$R$15,$R$16)))^(1/12))))</f>
        <v>0</v>
      </c>
    </row>
    <row r="333" spans="1:7">
      <c r="A333" s="348">
        <f t="shared" si="12"/>
        <v>332</v>
      </c>
      <c r="B333" s="360">
        <f>DATE('Profit Calculation'!J$6,A$2,A$2+A333-1)</f>
        <v>42336</v>
      </c>
      <c r="D333" s="362">
        <f t="shared" si="11"/>
        <v>98242862.453622937</v>
      </c>
      <c r="F333" s="363">
        <f>DATE('Profit Calculation'!J$6,'Profit Calculation'!R$6+A333-1,'Profit Calculation'!Z$6)</f>
        <v>52171</v>
      </c>
      <c r="G333" s="364">
        <f ca="1">IF(Q$27=2,IF(LOOKUP(F333,X$1:X$35,X$1:X$35) = F333,ROUND(LOOKUP(LOOKUP(F333,X$1:X$35,A:A),Single!A$2:A$107,Table13[Saving]),0),IF( LOOKUP(F333,W$1:W$35,W$1:W$35) =
 F333,ROUND(G332*(1+IF($Q$18&lt;6,$R$14,IF($Q$18&lt;11,$R$15,$R$16)))^(1/12),0),G332*(1+IF($Q$18&lt;6,$R$14,IF($Q$18&lt;11,$R$15,$R$16)))^(1/12))),IF(LOOKUP(F333,X$1:X$35,X$1:X$35) = F333,ROUND(LOOKUP(LOOKUP(F333,X$1:X$35,A:A),'Annual Calculation'!A$2:A$107,Table1[Saving]),0),IF( LOOKUP(F333,W$1:W$35,W$1:W$35) =
 F333,ROUND(G332*(1+IF($Q$18&lt;6,$R$14,IF($Q$18&lt;11,$R$15,$R$16)))^(1/12),0),G332*(1+IF($Q$18&lt;6,$R$14,IF($Q$18&lt;11,$R$15,$R$16)))^(1/12))))</f>
        <v>0</v>
      </c>
    </row>
    <row r="334" spans="1:7">
      <c r="A334" s="348">
        <f t="shared" si="12"/>
        <v>333</v>
      </c>
      <c r="B334" s="360">
        <f>DATE('Profit Calculation'!J$6,A$2,A$2+A334-1)</f>
        <v>42337</v>
      </c>
      <c r="D334" s="362">
        <f t="shared" si="11"/>
        <v>98280487.7752866</v>
      </c>
      <c r="F334" s="363">
        <f>DATE('Profit Calculation'!J$6,'Profit Calculation'!R$6+A334-1,'Profit Calculation'!Z$6)</f>
        <v>52201</v>
      </c>
      <c r="G334" s="364">
        <f ca="1">IF(Q$27=2,IF(LOOKUP(F334,X$1:X$35,X$1:X$35) = F334,ROUND(LOOKUP(LOOKUP(F334,X$1:X$35,A:A),Single!A$2:A$107,Table13[Saving]),0),IF( LOOKUP(F334,W$1:W$35,W$1:W$35) =
 F334,ROUND(G333*(1+IF($Q$18&lt;6,$R$14,IF($Q$18&lt;11,$R$15,$R$16)))^(1/12),0),G333*(1+IF($Q$18&lt;6,$R$14,IF($Q$18&lt;11,$R$15,$R$16)))^(1/12))),IF(LOOKUP(F334,X$1:X$35,X$1:X$35) = F334,ROUND(LOOKUP(LOOKUP(F334,X$1:X$35,A:A),'Annual Calculation'!A$2:A$107,Table1[Saving]),0),IF( LOOKUP(F334,W$1:W$35,W$1:W$35) =
 F334,ROUND(G333*(1+IF($Q$18&lt;6,$R$14,IF($Q$18&lt;11,$R$15,$R$16)))^(1/12),0),G333*(1+IF($Q$18&lt;6,$R$14,IF($Q$18&lt;11,$R$15,$R$16)))^(1/12))))</f>
        <v>0</v>
      </c>
    </row>
    <row r="335" spans="1:7">
      <c r="A335" s="348">
        <f t="shared" si="12"/>
        <v>334</v>
      </c>
      <c r="B335" s="360">
        <f>DATE('Profit Calculation'!J$6,A$2,A$2+A335-1)</f>
        <v>42338</v>
      </c>
      <c r="D335" s="362">
        <f t="shared" si="11"/>
        <v>98318127.50679943</v>
      </c>
      <c r="F335" s="363">
        <f>DATE('Profit Calculation'!J$6,'Profit Calculation'!R$6+A335-1,'Profit Calculation'!Z$6)</f>
        <v>52232</v>
      </c>
      <c r="G335" s="364">
        <f ca="1">IF(Q$27=2,IF(LOOKUP(F335,X$1:X$35,X$1:X$35) = F335,ROUND(LOOKUP(LOOKUP(F335,X$1:X$35,A:A),Single!A$2:A$107,Table13[Saving]),0),IF( LOOKUP(F335,W$1:W$35,W$1:W$35) =
 F335,ROUND(G334*(1+IF($Q$18&lt;6,$R$14,IF($Q$18&lt;11,$R$15,$R$16)))^(1/12),0),G334*(1+IF($Q$18&lt;6,$R$14,IF($Q$18&lt;11,$R$15,$R$16)))^(1/12))),IF(LOOKUP(F335,X$1:X$35,X$1:X$35) = F335,ROUND(LOOKUP(LOOKUP(F335,X$1:X$35,A:A),'Annual Calculation'!A$2:A$107,Table1[Saving]),0),IF( LOOKUP(F335,W$1:W$35,W$1:W$35) =
 F335,ROUND(G334*(1+IF($Q$18&lt;6,$R$14,IF($Q$18&lt;11,$R$15,$R$16)))^(1/12),0),G334*(1+IF($Q$18&lt;6,$R$14,IF($Q$18&lt;11,$R$15,$R$16)))^(1/12))))</f>
        <v>0</v>
      </c>
    </row>
    <row r="336" spans="1:7">
      <c r="A336" s="348">
        <f t="shared" si="12"/>
        <v>335</v>
      </c>
      <c r="B336" s="360">
        <f>DATE('Profit Calculation'!J$6,A$2,A$2+A336-1)</f>
        <v>42339</v>
      </c>
      <c r="D336" s="362">
        <f t="shared" si="11"/>
        <v>98355781.653680161</v>
      </c>
      <c r="F336" s="363">
        <f>DATE('Profit Calculation'!J$6,'Profit Calculation'!R$6+A336-1,'Profit Calculation'!Z$6)</f>
        <v>52263</v>
      </c>
      <c r="G336" s="364">
        <f ca="1">IF(Q$27=2,IF(LOOKUP(F336,X$1:X$35,X$1:X$35) = F336,ROUND(LOOKUP(LOOKUP(F336,X$1:X$35,A:A),Single!A$2:A$107,Table13[Saving]),0),IF( LOOKUP(F336,W$1:W$35,W$1:W$35) =
 F336,ROUND(G335*(1+IF($Q$18&lt;6,$R$14,IF($Q$18&lt;11,$R$15,$R$16)))^(1/12),0),G335*(1+IF($Q$18&lt;6,$R$14,IF($Q$18&lt;11,$R$15,$R$16)))^(1/12))),IF(LOOKUP(F336,X$1:X$35,X$1:X$35) = F336,ROUND(LOOKUP(LOOKUP(F336,X$1:X$35,A:A),'Annual Calculation'!A$2:A$107,Table1[Saving]),0),IF( LOOKUP(F336,W$1:W$35,W$1:W$35) =
 F336,ROUND(G335*(1+IF($Q$18&lt;6,$R$14,IF($Q$18&lt;11,$R$15,$R$16)))^(1/12),0),G335*(1+IF($Q$18&lt;6,$R$14,IF($Q$18&lt;11,$R$15,$R$16)))^(1/12))))</f>
        <v>0</v>
      </c>
    </row>
    <row r="337" spans="1:7">
      <c r="A337" s="348">
        <f t="shared" si="12"/>
        <v>336</v>
      </c>
      <c r="B337" s="360">
        <f>DATE('Profit Calculation'!J$6,A$2,A$2+A337-1)</f>
        <v>42340</v>
      </c>
      <c r="D337" s="362">
        <f t="shared" si="11"/>
        <v>98393450.221449628</v>
      </c>
      <c r="F337" s="363">
        <f>DATE('Profit Calculation'!J$6,'Profit Calculation'!R$6+A337-1,'Profit Calculation'!Z$6)</f>
        <v>52291</v>
      </c>
      <c r="G337" s="364">
        <f ca="1">IF(Q$27=2,IF(LOOKUP(F337,X$1:X$35,X$1:X$35) = F337,ROUND(LOOKUP(LOOKUP(F337,X$1:X$35,A:A),Single!A$2:A$107,Table13[Saving]),0),IF( LOOKUP(F337,W$1:W$35,W$1:W$35) =
 F337,ROUND(G336*(1+IF($Q$18&lt;6,$R$14,IF($Q$18&lt;11,$R$15,$R$16)))^(1/12),0),G336*(1+IF($Q$18&lt;6,$R$14,IF($Q$18&lt;11,$R$15,$R$16)))^(1/12))),IF(LOOKUP(F337,X$1:X$35,X$1:X$35) = F337,ROUND(LOOKUP(LOOKUP(F337,X$1:X$35,A:A),'Annual Calculation'!A$2:A$107,Table1[Saving]),0),IF( LOOKUP(F337,W$1:W$35,W$1:W$35) =
 F337,ROUND(G336*(1+IF($Q$18&lt;6,$R$14,IF($Q$18&lt;11,$R$15,$R$16)))^(1/12),0),G336*(1+IF($Q$18&lt;6,$R$14,IF($Q$18&lt;11,$R$15,$R$16)))^(1/12))))</f>
        <v>0</v>
      </c>
    </row>
    <row r="338" spans="1:7">
      <c r="A338" s="348">
        <f t="shared" si="12"/>
        <v>337</v>
      </c>
      <c r="B338" s="360">
        <f>DATE('Profit Calculation'!J$6,A$2,A$2+A338-1)</f>
        <v>42341</v>
      </c>
      <c r="D338" s="362">
        <f t="shared" si="11"/>
        <v>98431133.215630785</v>
      </c>
      <c r="F338" s="363">
        <f>DATE('Profit Calculation'!J$6,'Profit Calculation'!R$6+A338-1,'Profit Calculation'!Z$6)</f>
        <v>52322</v>
      </c>
      <c r="G338" s="364">
        <f ca="1">IF(Q$27=2,IF(LOOKUP(F338,X$1:X$35,X$1:X$35) = F338,ROUND(LOOKUP(LOOKUP(F338,X$1:X$35,A:A),Single!A$2:A$107,Table13[Saving]),0),IF( LOOKUP(F338,W$1:W$35,W$1:W$35) =
 F338,ROUND(G337*(1+IF($Q$18&lt;6,$R$14,IF($Q$18&lt;11,$R$15,$R$16)))^(1/12),0),G337*(1+IF($Q$18&lt;6,$R$14,IF($Q$18&lt;11,$R$15,$R$16)))^(1/12))),IF(LOOKUP(F338,X$1:X$35,X$1:X$35) = F338,ROUND(LOOKUP(LOOKUP(F338,X$1:X$35,A:A),'Annual Calculation'!A$2:A$107,Table1[Saving]),0),IF( LOOKUP(F338,W$1:W$35,W$1:W$35) =
 F338,ROUND(G337*(1+IF($Q$18&lt;6,$R$14,IF($Q$18&lt;11,$R$15,$R$16)))^(1/12),0),G337*(1+IF($Q$18&lt;6,$R$14,IF($Q$18&lt;11,$R$15,$R$16)))^(1/12))))</f>
        <v>0</v>
      </c>
    </row>
    <row r="339" spans="1:7">
      <c r="A339" s="348">
        <f t="shared" si="12"/>
        <v>338</v>
      </c>
      <c r="B339" s="360">
        <f>DATE('Profit Calculation'!J$6,A$2,A$2+A339-1)</f>
        <v>42342</v>
      </c>
      <c r="D339" s="362">
        <f t="shared" si="11"/>
        <v>98468830.641748697</v>
      </c>
      <c r="F339" s="363">
        <f>DATE('Profit Calculation'!J$6,'Profit Calculation'!R$6+A339-1,'Profit Calculation'!Z$6)</f>
        <v>52352</v>
      </c>
      <c r="G339" s="364">
        <f ca="1">IF(Q$27=2,IF(LOOKUP(F339,X$1:X$35,X$1:X$35) = F339,ROUND(LOOKUP(LOOKUP(F339,X$1:X$35,A:A),Single!A$2:A$107,Table13[Saving]),0),IF( LOOKUP(F339,W$1:W$35,W$1:W$35) =
 F339,ROUND(G338*(1+IF($Q$18&lt;6,$R$14,IF($Q$18&lt;11,$R$15,$R$16)))^(1/12),0),G338*(1+IF($Q$18&lt;6,$R$14,IF($Q$18&lt;11,$R$15,$R$16)))^(1/12))),IF(LOOKUP(F339,X$1:X$35,X$1:X$35) = F339,ROUND(LOOKUP(LOOKUP(F339,X$1:X$35,A:A),'Annual Calculation'!A$2:A$107,Table1[Saving]),0),IF( LOOKUP(F339,W$1:W$35,W$1:W$35) =
 F339,ROUND(G338*(1+IF($Q$18&lt;6,$R$14,IF($Q$18&lt;11,$R$15,$R$16)))^(1/12),0),G338*(1+IF($Q$18&lt;6,$R$14,IF($Q$18&lt;11,$R$15,$R$16)))^(1/12))))</f>
        <v>0</v>
      </c>
    </row>
    <row r="340" spans="1:7">
      <c r="A340" s="348">
        <f t="shared" si="12"/>
        <v>339</v>
      </c>
      <c r="B340" s="360">
        <f>DATE('Profit Calculation'!J$6,A$2,A$2+A340-1)</f>
        <v>42343</v>
      </c>
      <c r="D340" s="362">
        <f t="shared" si="11"/>
        <v>98506542.505330533</v>
      </c>
      <c r="F340" s="363">
        <f>DATE('Profit Calculation'!J$6,'Profit Calculation'!R$6+A340-1,'Profit Calculation'!Z$6)</f>
        <v>52383</v>
      </c>
      <c r="G340" s="364">
        <f ca="1">IF(Q$27=2,IF(LOOKUP(F340,X$1:X$35,X$1:X$35) = F340,ROUND(LOOKUP(LOOKUP(F340,X$1:X$35,A:A),Single!A$2:A$107,Table13[Saving]),0),IF( LOOKUP(F340,W$1:W$35,W$1:W$35) =
 F340,ROUND(G339*(1+IF($Q$18&lt;6,$R$14,IF($Q$18&lt;11,$R$15,$R$16)))^(1/12),0),G339*(1+IF($Q$18&lt;6,$R$14,IF($Q$18&lt;11,$R$15,$R$16)))^(1/12))),IF(LOOKUP(F340,X$1:X$35,X$1:X$35) = F340,ROUND(LOOKUP(LOOKUP(F340,X$1:X$35,A:A),'Annual Calculation'!A$2:A$107,Table1[Saving]),0),IF( LOOKUP(F340,W$1:W$35,W$1:W$35) =
 F340,ROUND(G339*(1+IF($Q$18&lt;6,$R$14,IF($Q$18&lt;11,$R$15,$R$16)))^(1/12),0),G339*(1+IF($Q$18&lt;6,$R$14,IF($Q$18&lt;11,$R$15,$R$16)))^(1/12))))</f>
        <v>0</v>
      </c>
    </row>
    <row r="341" spans="1:7">
      <c r="A341" s="348">
        <f t="shared" si="12"/>
        <v>340</v>
      </c>
      <c r="B341" s="360">
        <f>DATE('Profit Calculation'!J$6,A$2,A$2+A341-1)</f>
        <v>42344</v>
      </c>
      <c r="D341" s="362">
        <f t="shared" si="11"/>
        <v>98544268.811905608</v>
      </c>
      <c r="F341" s="363">
        <f>DATE('Profit Calculation'!J$6,'Profit Calculation'!R$6+A341-1,'Profit Calculation'!Z$6)</f>
        <v>52413</v>
      </c>
      <c r="G341" s="364">
        <f ca="1">IF(Q$27=2,IF(LOOKUP(F341,X$1:X$35,X$1:X$35) = F341,ROUND(LOOKUP(LOOKUP(F341,X$1:X$35,A:A),Single!A$2:A$107,Table13[Saving]),0),IF( LOOKUP(F341,W$1:W$35,W$1:W$35) =
 F341,ROUND(G340*(1+IF($Q$18&lt;6,$R$14,IF($Q$18&lt;11,$R$15,$R$16)))^(1/12),0),G340*(1+IF($Q$18&lt;6,$R$14,IF($Q$18&lt;11,$R$15,$R$16)))^(1/12))),IF(LOOKUP(F341,X$1:X$35,X$1:X$35) = F341,ROUND(LOOKUP(LOOKUP(F341,X$1:X$35,A:A),'Annual Calculation'!A$2:A$107,Table1[Saving]),0),IF( LOOKUP(F341,W$1:W$35,W$1:W$35) =
 F341,ROUND(G340*(1+IF($Q$18&lt;6,$R$14,IF($Q$18&lt;11,$R$15,$R$16)))^(1/12),0),G340*(1+IF($Q$18&lt;6,$R$14,IF($Q$18&lt;11,$R$15,$R$16)))^(1/12))))</f>
        <v>0</v>
      </c>
    </row>
    <row r="342" spans="1:7">
      <c r="A342" s="348">
        <f t="shared" si="12"/>
        <v>341</v>
      </c>
      <c r="B342" s="360">
        <f>DATE('Profit Calculation'!J$6,A$2,A$2+A342-1)</f>
        <v>42345</v>
      </c>
      <c r="D342" s="362">
        <f t="shared" si="11"/>
        <v>98582009.567005336</v>
      </c>
      <c r="F342" s="363">
        <f>DATE('Profit Calculation'!J$6,'Profit Calculation'!R$6+A342-1,'Profit Calculation'!Z$6)</f>
        <v>52444</v>
      </c>
      <c r="G342" s="364">
        <f ca="1">IF(Q$27=2,IF(LOOKUP(F342,X$1:X$35,X$1:X$35) = F342,ROUND(LOOKUP(LOOKUP(F342,X$1:X$35,A:A),Single!A$2:A$107,Table13[Saving]),0),IF( LOOKUP(F342,W$1:W$35,W$1:W$35) =
 F342,ROUND(G341*(1+IF($Q$18&lt;6,$R$14,IF($Q$18&lt;11,$R$15,$R$16)))^(1/12),0),G341*(1+IF($Q$18&lt;6,$R$14,IF($Q$18&lt;11,$R$15,$R$16)))^(1/12))),IF(LOOKUP(F342,X$1:X$35,X$1:X$35) = F342,ROUND(LOOKUP(LOOKUP(F342,X$1:X$35,A:A),'Annual Calculation'!A$2:A$107,Table1[Saving]),0),IF( LOOKUP(F342,W$1:W$35,W$1:W$35) =
 F342,ROUND(G341*(1+IF($Q$18&lt;6,$R$14,IF($Q$18&lt;11,$R$15,$R$16)))^(1/12),0),G341*(1+IF($Q$18&lt;6,$R$14,IF($Q$18&lt;11,$R$15,$R$16)))^(1/12))))</f>
        <v>0</v>
      </c>
    </row>
    <row r="343" spans="1:7">
      <c r="A343" s="348">
        <f t="shared" si="12"/>
        <v>342</v>
      </c>
      <c r="B343" s="360">
        <f>DATE('Profit Calculation'!J$6,A$2,A$2+A343-1)</f>
        <v>42346</v>
      </c>
      <c r="D343" s="362">
        <f t="shared" si="11"/>
        <v>98619764.77616325</v>
      </c>
      <c r="F343" s="363">
        <f>DATE('Profit Calculation'!J$6,'Profit Calculation'!R$6+A343-1,'Profit Calculation'!Z$6)</f>
        <v>52475</v>
      </c>
      <c r="G343" s="364">
        <f ca="1">IF(Q$27=2,IF(LOOKUP(F343,X$1:X$35,X$1:X$35) = F343,ROUND(LOOKUP(LOOKUP(F343,X$1:X$35,A:A),Single!A$2:A$107,Table13[Saving]),0),IF( LOOKUP(F343,W$1:W$35,W$1:W$35) =
 F343,ROUND(G342*(1+IF($Q$18&lt;6,$R$14,IF($Q$18&lt;11,$R$15,$R$16)))^(1/12),0),G342*(1+IF($Q$18&lt;6,$R$14,IF($Q$18&lt;11,$R$15,$R$16)))^(1/12))),IF(LOOKUP(F343,X$1:X$35,X$1:X$35) = F343,ROUND(LOOKUP(LOOKUP(F343,X$1:X$35,A:A),'Annual Calculation'!A$2:A$107,Table1[Saving]),0),IF( LOOKUP(F343,W$1:W$35,W$1:W$35) =
 F343,ROUND(G342*(1+IF($Q$18&lt;6,$R$14,IF($Q$18&lt;11,$R$15,$R$16)))^(1/12),0),G342*(1+IF($Q$18&lt;6,$R$14,IF($Q$18&lt;11,$R$15,$R$16)))^(1/12))))</f>
        <v>0</v>
      </c>
    </row>
    <row r="344" spans="1:7">
      <c r="A344" s="348">
        <f t="shared" si="12"/>
        <v>343</v>
      </c>
      <c r="B344" s="360">
        <f>DATE('Profit Calculation'!J$6,A$2,A$2+A344-1)</f>
        <v>42347</v>
      </c>
      <c r="D344" s="362">
        <f t="shared" si="11"/>
        <v>98657534.444915012</v>
      </c>
      <c r="F344" s="363">
        <f>DATE('Profit Calculation'!J$6,'Profit Calculation'!R$6+A344-1,'Profit Calculation'!Z$6)</f>
        <v>52505</v>
      </c>
      <c r="G344" s="364">
        <f ca="1">IF(Q$27=2,IF(LOOKUP(F344,X$1:X$35,X$1:X$35) = F344,ROUND(LOOKUP(LOOKUP(F344,X$1:X$35,A:A),Single!A$2:A$107,Table13[Saving]),0),IF( LOOKUP(F344,W$1:W$35,W$1:W$35) =
 F344,ROUND(G343*(1+IF($Q$18&lt;6,$R$14,IF($Q$18&lt;11,$R$15,$R$16)))^(1/12),0),G343*(1+IF($Q$18&lt;6,$R$14,IF($Q$18&lt;11,$R$15,$R$16)))^(1/12))),IF(LOOKUP(F344,X$1:X$35,X$1:X$35) = F344,ROUND(LOOKUP(LOOKUP(F344,X$1:X$35,A:A),'Annual Calculation'!A$2:A$107,Table1[Saving]),0),IF( LOOKUP(F344,W$1:W$35,W$1:W$35) =
 F344,ROUND(G343*(1+IF($Q$18&lt;6,$R$14,IF($Q$18&lt;11,$R$15,$R$16)))^(1/12),0),G343*(1+IF($Q$18&lt;6,$R$14,IF($Q$18&lt;11,$R$15,$R$16)))^(1/12))))</f>
        <v>0</v>
      </c>
    </row>
    <row r="345" spans="1:7">
      <c r="A345" s="348">
        <f t="shared" si="12"/>
        <v>344</v>
      </c>
      <c r="B345" s="360">
        <f>DATE('Profit Calculation'!J$6,A$2,A$2+A345-1)</f>
        <v>42348</v>
      </c>
      <c r="D345" s="362">
        <f t="shared" si="11"/>
        <v>98695318.578798383</v>
      </c>
      <c r="F345" s="363">
        <f>DATE('Profit Calculation'!J$6,'Profit Calculation'!R$6+A345-1,'Profit Calculation'!Z$6)</f>
        <v>52536</v>
      </c>
      <c r="G345" s="364">
        <f ca="1">IF(Q$27=2,IF(LOOKUP(F345,X$1:X$35,X$1:X$35) = F345,ROUND(LOOKUP(LOOKUP(F345,X$1:X$35,A:A),Single!A$2:A$107,Table13[Saving]),0),IF( LOOKUP(F345,W$1:W$35,W$1:W$35) =
 F345,ROUND(G344*(1+IF($Q$18&lt;6,$R$14,IF($Q$18&lt;11,$R$15,$R$16)))^(1/12),0),G344*(1+IF($Q$18&lt;6,$R$14,IF($Q$18&lt;11,$R$15,$R$16)))^(1/12))),IF(LOOKUP(F345,X$1:X$35,X$1:X$35) = F345,ROUND(LOOKUP(LOOKUP(F345,X$1:X$35,A:A),'Annual Calculation'!A$2:A$107,Table1[Saving]),0),IF( LOOKUP(F345,W$1:W$35,W$1:W$35) =
 F345,ROUND(G344*(1+IF($Q$18&lt;6,$R$14,IF($Q$18&lt;11,$R$15,$R$16)))^(1/12),0),G344*(1+IF($Q$18&lt;6,$R$14,IF($Q$18&lt;11,$R$15,$R$16)))^(1/12))))</f>
        <v>0</v>
      </c>
    </row>
    <row r="346" spans="1:7">
      <c r="A346" s="348">
        <f t="shared" si="12"/>
        <v>345</v>
      </c>
      <c r="B346" s="360">
        <f>DATE('Profit Calculation'!J$6,A$2,A$2+A346-1)</f>
        <v>42349</v>
      </c>
      <c r="D346" s="362">
        <f t="shared" si="11"/>
        <v>98733117.183353275</v>
      </c>
      <c r="F346" s="363">
        <f>DATE('Profit Calculation'!J$6,'Profit Calculation'!R$6+A346-1,'Profit Calculation'!Z$6)</f>
        <v>52566</v>
      </c>
      <c r="G346" s="364">
        <f ca="1">IF(Q$27=2,IF(LOOKUP(F346,X$1:X$35,X$1:X$35) = F346,ROUND(LOOKUP(LOOKUP(F346,X$1:X$35,A:A),Single!A$2:A$107,Table13[Saving]),0),IF( LOOKUP(F346,W$1:W$35,W$1:W$35) =
 F346,ROUND(G345*(1+IF($Q$18&lt;6,$R$14,IF($Q$18&lt;11,$R$15,$R$16)))^(1/12),0),G345*(1+IF($Q$18&lt;6,$R$14,IF($Q$18&lt;11,$R$15,$R$16)))^(1/12))),IF(LOOKUP(F346,X$1:X$35,X$1:X$35) = F346,ROUND(LOOKUP(LOOKUP(F346,X$1:X$35,A:A),'Annual Calculation'!A$2:A$107,Table1[Saving]),0),IF( LOOKUP(F346,W$1:W$35,W$1:W$35) =
 F346,ROUND(G345*(1+IF($Q$18&lt;6,$R$14,IF($Q$18&lt;11,$R$15,$R$16)))^(1/12),0),G345*(1+IF($Q$18&lt;6,$R$14,IF($Q$18&lt;11,$R$15,$R$16)))^(1/12))))</f>
        <v>0</v>
      </c>
    </row>
    <row r="347" spans="1:7">
      <c r="A347" s="348">
        <f t="shared" si="12"/>
        <v>346</v>
      </c>
      <c r="B347" s="360">
        <f>DATE('Profit Calculation'!J$6,A$2,A$2+A347-1)</f>
        <v>42350</v>
      </c>
      <c r="D347" s="362">
        <f t="shared" si="11"/>
        <v>98770930.264121696</v>
      </c>
      <c r="F347" s="363">
        <f>DATE('Profit Calculation'!J$6,'Profit Calculation'!R$6+A347-1,'Profit Calculation'!Z$6)</f>
        <v>52597</v>
      </c>
      <c r="G347" s="364">
        <f ca="1">IF(Q$27=2,IF(LOOKUP(F347,X$1:X$35,X$1:X$35) = F347,ROUND(LOOKUP(LOOKUP(F347,X$1:X$35,A:A),Single!A$2:A$107,Table13[Saving]),0),IF( LOOKUP(F347,W$1:W$35,W$1:W$35) =
 F347,ROUND(G346*(1+IF($Q$18&lt;6,$R$14,IF($Q$18&lt;11,$R$15,$R$16)))^(1/12),0),G346*(1+IF($Q$18&lt;6,$R$14,IF($Q$18&lt;11,$R$15,$R$16)))^(1/12))),IF(LOOKUP(F347,X$1:X$35,X$1:X$35) = F347,ROUND(LOOKUP(LOOKUP(F347,X$1:X$35,A:A),'Annual Calculation'!A$2:A$107,Table1[Saving]),0),IF( LOOKUP(F347,W$1:W$35,W$1:W$35) =
 F347,ROUND(G346*(1+IF($Q$18&lt;6,$R$14,IF($Q$18&lt;11,$R$15,$R$16)))^(1/12),0),G346*(1+IF($Q$18&lt;6,$R$14,IF($Q$18&lt;11,$R$15,$R$16)))^(1/12))))</f>
        <v>0</v>
      </c>
    </row>
    <row r="348" spans="1:7">
      <c r="A348" s="348">
        <f t="shared" si="12"/>
        <v>347</v>
      </c>
      <c r="B348" s="360">
        <f>DATE('Profit Calculation'!J$6,A$2,A$2+A348-1)</f>
        <v>42351</v>
      </c>
      <c r="D348" s="362">
        <f t="shared" si="11"/>
        <v>98808757.826647788</v>
      </c>
      <c r="F348" s="363">
        <f>DATE('Profit Calculation'!J$6,'Profit Calculation'!R$6+A348-1,'Profit Calculation'!Z$6)</f>
        <v>52628</v>
      </c>
      <c r="G348" s="364">
        <f ca="1">IF(Q$27=2,IF(LOOKUP(F348,X$1:X$35,X$1:X$35) = F348,ROUND(LOOKUP(LOOKUP(F348,X$1:X$35,A:A),Single!A$2:A$107,Table13[Saving]),0),IF( LOOKUP(F348,W$1:W$35,W$1:W$35) =
 F348,ROUND(G347*(1+IF($Q$18&lt;6,$R$14,IF($Q$18&lt;11,$R$15,$R$16)))^(1/12),0),G347*(1+IF($Q$18&lt;6,$R$14,IF($Q$18&lt;11,$R$15,$R$16)))^(1/12))),IF(LOOKUP(F348,X$1:X$35,X$1:X$35) = F348,ROUND(LOOKUP(LOOKUP(F348,X$1:X$35,A:A),'Annual Calculation'!A$2:A$107,Table1[Saving]),0),IF( LOOKUP(F348,W$1:W$35,W$1:W$35) =
 F348,ROUND(G347*(1+IF($Q$18&lt;6,$R$14,IF($Q$18&lt;11,$R$15,$R$16)))^(1/12),0),G347*(1+IF($Q$18&lt;6,$R$14,IF($Q$18&lt;11,$R$15,$R$16)))^(1/12))))</f>
        <v>0</v>
      </c>
    </row>
    <row r="349" spans="1:7">
      <c r="A349" s="348">
        <f t="shared" si="12"/>
        <v>348</v>
      </c>
      <c r="B349" s="360">
        <f>DATE('Profit Calculation'!J$6,A$2,A$2+A349-1)</f>
        <v>42352</v>
      </c>
      <c r="D349" s="362">
        <f t="shared" si="11"/>
        <v>98846599.876477823</v>
      </c>
      <c r="F349" s="363">
        <f>DATE('Profit Calculation'!J$6,'Profit Calculation'!R$6+A349-1,'Profit Calculation'!Z$6)</f>
        <v>52657</v>
      </c>
      <c r="G349" s="364">
        <f ca="1">IF(Q$27=2,IF(LOOKUP(F349,X$1:X$35,X$1:X$35) = F349,ROUND(LOOKUP(LOOKUP(F349,X$1:X$35,A:A),Single!A$2:A$107,Table13[Saving]),0),IF( LOOKUP(F349,W$1:W$35,W$1:W$35) =
 F349,ROUND(G348*(1+IF($Q$18&lt;6,$R$14,IF($Q$18&lt;11,$R$15,$R$16)))^(1/12),0),G348*(1+IF($Q$18&lt;6,$R$14,IF($Q$18&lt;11,$R$15,$R$16)))^(1/12))),IF(LOOKUP(F349,X$1:X$35,X$1:X$35) = F349,ROUND(LOOKUP(LOOKUP(F349,X$1:X$35,A:A),'Annual Calculation'!A$2:A$107,Table1[Saving]),0),IF( LOOKUP(F349,W$1:W$35,W$1:W$35) =
 F349,ROUND(G348*(1+IF($Q$18&lt;6,$R$14,IF($Q$18&lt;11,$R$15,$R$16)))^(1/12),0),G348*(1+IF($Q$18&lt;6,$R$14,IF($Q$18&lt;11,$R$15,$R$16)))^(1/12))))</f>
        <v>0</v>
      </c>
    </row>
    <row r="350" spans="1:7">
      <c r="A350" s="348">
        <f t="shared" si="12"/>
        <v>349</v>
      </c>
      <c r="B350" s="360">
        <f>DATE('Profit Calculation'!J$6,A$2,A$2+A350-1)</f>
        <v>42353</v>
      </c>
      <c r="D350" s="362">
        <f t="shared" si="11"/>
        <v>98884456.419160172</v>
      </c>
      <c r="F350" s="363">
        <f>DATE('Profit Calculation'!J$6,'Profit Calculation'!R$6+A350-1,'Profit Calculation'!Z$6)</f>
        <v>52688</v>
      </c>
      <c r="G350" s="364">
        <f ca="1">IF(Q$27=2,IF(LOOKUP(F350,X$1:X$35,X$1:X$35) = F350,ROUND(LOOKUP(LOOKUP(F350,X$1:X$35,A:A),Single!A$2:A$107,Table13[Saving]),0),IF( LOOKUP(F350,W$1:W$35,W$1:W$35) =
 F350,ROUND(G349*(1+IF($Q$18&lt;6,$R$14,IF($Q$18&lt;11,$R$15,$R$16)))^(1/12),0),G349*(1+IF($Q$18&lt;6,$R$14,IF($Q$18&lt;11,$R$15,$R$16)))^(1/12))),IF(LOOKUP(F350,X$1:X$35,X$1:X$35) = F350,ROUND(LOOKUP(LOOKUP(F350,X$1:X$35,A:A),'Annual Calculation'!A$2:A$107,Table1[Saving]),0),IF( LOOKUP(F350,W$1:W$35,W$1:W$35) =
 F350,ROUND(G349*(1+IF($Q$18&lt;6,$R$14,IF($Q$18&lt;11,$R$15,$R$16)))^(1/12),0),G349*(1+IF($Q$18&lt;6,$R$14,IF($Q$18&lt;11,$R$15,$R$16)))^(1/12))))</f>
        <v>0</v>
      </c>
    </row>
    <row r="351" spans="1:7">
      <c r="A351" s="348">
        <f t="shared" si="12"/>
        <v>350</v>
      </c>
      <c r="B351" s="360">
        <f>DATE('Profit Calculation'!J$6,A$2,A$2+A351-1)</f>
        <v>42354</v>
      </c>
      <c r="D351" s="362">
        <f t="shared" si="11"/>
        <v>98922327.460245356</v>
      </c>
      <c r="F351" s="363">
        <f>DATE('Profit Calculation'!J$6,'Profit Calculation'!R$6+A351-1,'Profit Calculation'!Z$6)</f>
        <v>52718</v>
      </c>
      <c r="G351" s="364">
        <f ca="1">IF(Q$27=2,IF(LOOKUP(F351,X$1:X$35,X$1:X$35) = F351,ROUND(LOOKUP(LOOKUP(F351,X$1:X$35,A:A),Single!A$2:A$107,Table13[Saving]),0),IF( LOOKUP(F351,W$1:W$35,W$1:W$35) =
 F351,ROUND(G350*(1+IF($Q$18&lt;6,$R$14,IF($Q$18&lt;11,$R$15,$R$16)))^(1/12),0),G350*(1+IF($Q$18&lt;6,$R$14,IF($Q$18&lt;11,$R$15,$R$16)))^(1/12))),IF(LOOKUP(F351,X$1:X$35,X$1:X$35) = F351,ROUND(LOOKUP(LOOKUP(F351,X$1:X$35,A:A),'Annual Calculation'!A$2:A$107,Table1[Saving]),0),IF( LOOKUP(F351,W$1:W$35,W$1:W$35) =
 F351,ROUND(G350*(1+IF($Q$18&lt;6,$R$14,IF($Q$18&lt;11,$R$15,$R$16)))^(1/12),0),G350*(1+IF($Q$18&lt;6,$R$14,IF($Q$18&lt;11,$R$15,$R$16)))^(1/12))))</f>
        <v>0</v>
      </c>
    </row>
    <row r="352" spans="1:7">
      <c r="A352" s="348">
        <f t="shared" si="12"/>
        <v>351</v>
      </c>
      <c r="B352" s="360">
        <f>DATE('Profit Calculation'!J$6,A$2,A$2+A352-1)</f>
        <v>42355</v>
      </c>
      <c r="D352" s="362">
        <f t="shared" si="11"/>
        <v>98960213.005286008</v>
      </c>
      <c r="F352" s="363">
        <f>DATE('Profit Calculation'!J$6,'Profit Calculation'!R$6+A352-1,'Profit Calculation'!Z$6)</f>
        <v>52749</v>
      </c>
      <c r="G352" s="364">
        <f ca="1">IF(Q$27=2,IF(LOOKUP(F352,X$1:X$35,X$1:X$35) = F352,ROUND(LOOKUP(LOOKUP(F352,X$1:X$35,A:A),Single!A$2:A$107,Table13[Saving]),0),IF( LOOKUP(F352,W$1:W$35,W$1:W$35) =
 F352,ROUND(G351*(1+IF($Q$18&lt;6,$R$14,IF($Q$18&lt;11,$R$15,$R$16)))^(1/12),0),G351*(1+IF($Q$18&lt;6,$R$14,IF($Q$18&lt;11,$R$15,$R$16)))^(1/12))),IF(LOOKUP(F352,X$1:X$35,X$1:X$35) = F352,ROUND(LOOKUP(LOOKUP(F352,X$1:X$35,A:A),'Annual Calculation'!A$2:A$107,Table1[Saving]),0),IF( LOOKUP(F352,W$1:W$35,W$1:W$35) =
 F352,ROUND(G351*(1+IF($Q$18&lt;6,$R$14,IF($Q$18&lt;11,$R$15,$R$16)))^(1/12),0),G351*(1+IF($Q$18&lt;6,$R$14,IF($Q$18&lt;11,$R$15,$R$16)))^(1/12))))</f>
        <v>0</v>
      </c>
    </row>
    <row r="353" spans="1:7">
      <c r="A353" s="348">
        <f t="shared" si="12"/>
        <v>352</v>
      </c>
      <c r="B353" s="360">
        <f>DATE('Profit Calculation'!J$6,A$2,A$2+A353-1)</f>
        <v>42356</v>
      </c>
      <c r="D353" s="362">
        <f t="shared" si="11"/>
        <v>98998113.059836909</v>
      </c>
      <c r="F353" s="363">
        <f>DATE('Profit Calculation'!J$6,'Profit Calculation'!R$6+A353-1,'Profit Calculation'!Z$6)</f>
        <v>52779</v>
      </c>
      <c r="G353" s="364">
        <f ca="1">IF(Q$27=2,IF(LOOKUP(F353,X$1:X$35,X$1:X$35) = F353,ROUND(LOOKUP(LOOKUP(F353,X$1:X$35,A:A),Single!A$2:A$107,Table13[Saving]),0),IF( LOOKUP(F353,W$1:W$35,W$1:W$35) =
 F353,ROUND(G352*(1+IF($Q$18&lt;6,$R$14,IF($Q$18&lt;11,$R$15,$R$16)))^(1/12),0),G352*(1+IF($Q$18&lt;6,$R$14,IF($Q$18&lt;11,$R$15,$R$16)))^(1/12))),IF(LOOKUP(F353,X$1:X$35,X$1:X$35) = F353,ROUND(LOOKUP(LOOKUP(F353,X$1:X$35,A:A),'Annual Calculation'!A$2:A$107,Table1[Saving]),0),IF( LOOKUP(F353,W$1:W$35,W$1:W$35) =
 F353,ROUND(G352*(1+IF($Q$18&lt;6,$R$14,IF($Q$18&lt;11,$R$15,$R$16)))^(1/12),0),G352*(1+IF($Q$18&lt;6,$R$14,IF($Q$18&lt;11,$R$15,$R$16)))^(1/12))))</f>
        <v>0</v>
      </c>
    </row>
    <row r="354" spans="1:7">
      <c r="A354" s="348">
        <f t="shared" si="12"/>
        <v>353</v>
      </c>
      <c r="B354" s="360">
        <f>DATE('Profit Calculation'!J$6,A$2,A$2+A354-1)</f>
        <v>42357</v>
      </c>
      <c r="D354" s="362">
        <f t="shared" si="11"/>
        <v>99036027.629454941</v>
      </c>
      <c r="F354" s="363">
        <f>DATE('Profit Calculation'!J$6,'Profit Calculation'!R$6+A354-1,'Profit Calculation'!Z$6)</f>
        <v>52810</v>
      </c>
      <c r="G354" s="364">
        <f ca="1">IF(Q$27=2,IF(LOOKUP(F354,X$1:X$35,X$1:X$35) = F354,ROUND(LOOKUP(LOOKUP(F354,X$1:X$35,A:A),Single!A$2:A$107,Table13[Saving]),0),IF( LOOKUP(F354,W$1:W$35,W$1:W$35) =
 F354,ROUND(G353*(1+IF($Q$18&lt;6,$R$14,IF($Q$18&lt;11,$R$15,$R$16)))^(1/12),0),G353*(1+IF($Q$18&lt;6,$R$14,IF($Q$18&lt;11,$R$15,$R$16)))^(1/12))),IF(LOOKUP(F354,X$1:X$35,X$1:X$35) = F354,ROUND(LOOKUP(LOOKUP(F354,X$1:X$35,A:A),'Annual Calculation'!A$2:A$107,Table1[Saving]),0),IF( LOOKUP(F354,W$1:W$35,W$1:W$35) =
 F354,ROUND(G353*(1+IF($Q$18&lt;6,$R$14,IF($Q$18&lt;11,$R$15,$R$16)))^(1/12),0),G353*(1+IF($Q$18&lt;6,$R$14,IF($Q$18&lt;11,$R$15,$R$16)))^(1/12))))</f>
        <v>0</v>
      </c>
    </row>
    <row r="355" spans="1:7">
      <c r="A355" s="348">
        <f t="shared" si="12"/>
        <v>354</v>
      </c>
      <c r="B355" s="360">
        <f>DATE('Profit Calculation'!J$6,A$2,A$2+A355-1)</f>
        <v>42358</v>
      </c>
      <c r="D355" s="362">
        <f t="shared" si="11"/>
        <v>99073956.719699115</v>
      </c>
      <c r="F355" s="363">
        <f>DATE('Profit Calculation'!J$6,'Profit Calculation'!R$6+A355-1,'Profit Calculation'!Z$6)</f>
        <v>52841</v>
      </c>
      <c r="G355" s="364">
        <f ca="1">IF(Q$27=2,IF(LOOKUP(F355,X$1:X$35,X$1:X$35) = F355,ROUND(LOOKUP(LOOKUP(F355,X$1:X$35,A:A),Single!A$2:A$107,Table13[Saving]),0),IF( LOOKUP(F355,W$1:W$35,W$1:W$35) =
 F355,ROUND(G354*(1+IF($Q$18&lt;6,$R$14,IF($Q$18&lt;11,$R$15,$R$16)))^(1/12),0),G354*(1+IF($Q$18&lt;6,$R$14,IF($Q$18&lt;11,$R$15,$R$16)))^(1/12))),IF(LOOKUP(F355,X$1:X$35,X$1:X$35) = F355,ROUND(LOOKUP(LOOKUP(F355,X$1:X$35,A:A),'Annual Calculation'!A$2:A$107,Table1[Saving]),0),IF( LOOKUP(F355,W$1:W$35,W$1:W$35) =
 F355,ROUND(G354*(1+IF($Q$18&lt;6,$R$14,IF($Q$18&lt;11,$R$15,$R$16)))^(1/12),0),G354*(1+IF($Q$18&lt;6,$R$14,IF($Q$18&lt;11,$R$15,$R$16)))^(1/12))))</f>
        <v>0</v>
      </c>
    </row>
    <row r="356" spans="1:7">
      <c r="A356" s="348">
        <f t="shared" si="12"/>
        <v>355</v>
      </c>
      <c r="B356" s="360">
        <f>DATE('Profit Calculation'!J$6,A$2,A$2+A356-1)</f>
        <v>42359</v>
      </c>
      <c r="D356" s="362">
        <f t="shared" si="11"/>
        <v>99111900.336130589</v>
      </c>
      <c r="F356" s="363">
        <f>DATE('Profit Calculation'!J$6,'Profit Calculation'!R$6+A356-1,'Profit Calculation'!Z$6)</f>
        <v>52871</v>
      </c>
      <c r="G356" s="364">
        <f ca="1">IF(Q$27=2,IF(LOOKUP(F356,X$1:X$35,X$1:X$35) = F356,ROUND(LOOKUP(LOOKUP(F356,X$1:X$35,A:A),Single!A$2:A$107,Table13[Saving]),0),IF( LOOKUP(F356,W$1:W$35,W$1:W$35) =
 F356,ROUND(G355*(1+IF($Q$18&lt;6,$R$14,IF($Q$18&lt;11,$R$15,$R$16)))^(1/12),0),G355*(1+IF($Q$18&lt;6,$R$14,IF($Q$18&lt;11,$R$15,$R$16)))^(1/12))),IF(LOOKUP(F356,X$1:X$35,X$1:X$35) = F356,ROUND(LOOKUP(LOOKUP(F356,X$1:X$35,A:A),'Annual Calculation'!A$2:A$107,Table1[Saving]),0),IF( LOOKUP(F356,W$1:W$35,W$1:W$35) =
 F356,ROUND(G355*(1+IF($Q$18&lt;6,$R$14,IF($Q$18&lt;11,$R$15,$R$16)))^(1/12),0),G355*(1+IF($Q$18&lt;6,$R$14,IF($Q$18&lt;11,$R$15,$R$16)))^(1/12))))</f>
        <v>0</v>
      </c>
    </row>
    <row r="357" spans="1:7">
      <c r="A357" s="348">
        <f t="shared" si="12"/>
        <v>356</v>
      </c>
      <c r="B357" s="360">
        <f>DATE('Profit Calculation'!J$6,A$2,A$2+A357-1)</f>
        <v>42360</v>
      </c>
      <c r="D357" s="362">
        <f t="shared" si="11"/>
        <v>99149858.484312639</v>
      </c>
      <c r="F357" s="363">
        <f>DATE('Profit Calculation'!J$6,'Profit Calculation'!R$6+A357-1,'Profit Calculation'!Z$6)</f>
        <v>52902</v>
      </c>
      <c r="G357" s="364">
        <f ca="1">IF(Q$27=2,IF(LOOKUP(F357,X$1:X$35,X$1:X$35) = F357,ROUND(LOOKUP(LOOKUP(F357,X$1:X$35,A:A),Single!A$2:A$107,Table13[Saving]),0),IF( LOOKUP(F357,W$1:W$35,W$1:W$35) =
 F357,ROUND(G356*(1+IF($Q$18&lt;6,$R$14,IF($Q$18&lt;11,$R$15,$R$16)))^(1/12),0),G356*(1+IF($Q$18&lt;6,$R$14,IF($Q$18&lt;11,$R$15,$R$16)))^(1/12))),IF(LOOKUP(F357,X$1:X$35,X$1:X$35) = F357,ROUND(LOOKUP(LOOKUP(F357,X$1:X$35,A:A),'Annual Calculation'!A$2:A$107,Table1[Saving]),0),IF( LOOKUP(F357,W$1:W$35,W$1:W$35) =
 F357,ROUND(G356*(1+IF($Q$18&lt;6,$R$14,IF($Q$18&lt;11,$R$15,$R$16)))^(1/12),0),G356*(1+IF($Q$18&lt;6,$R$14,IF($Q$18&lt;11,$R$15,$R$16)))^(1/12))))</f>
        <v>0</v>
      </c>
    </row>
    <row r="358" spans="1:7">
      <c r="A358" s="348">
        <f t="shared" si="12"/>
        <v>357</v>
      </c>
      <c r="B358" s="360">
        <f>DATE('Profit Calculation'!J$6,A$2,A$2+A358-1)</f>
        <v>42361</v>
      </c>
      <c r="D358" s="362">
        <f t="shared" si="11"/>
        <v>99187831.169810683</v>
      </c>
      <c r="F358" s="363">
        <f>DATE('Profit Calculation'!J$6,'Profit Calculation'!R$6+A358-1,'Profit Calculation'!Z$6)</f>
        <v>52932</v>
      </c>
      <c r="G358" s="364">
        <f ca="1">IF(Q$27=2,IF(LOOKUP(F358,X$1:X$35,X$1:X$35) = F358,ROUND(LOOKUP(LOOKUP(F358,X$1:X$35,A:A),Single!A$2:A$107,Table13[Saving]),0),IF( LOOKUP(F358,W$1:W$35,W$1:W$35) =
 F358,ROUND(G357*(1+IF($Q$18&lt;6,$R$14,IF($Q$18&lt;11,$R$15,$R$16)))^(1/12),0),G357*(1+IF($Q$18&lt;6,$R$14,IF($Q$18&lt;11,$R$15,$R$16)))^(1/12))),IF(LOOKUP(F358,X$1:X$35,X$1:X$35) = F358,ROUND(LOOKUP(LOOKUP(F358,X$1:X$35,A:A),'Annual Calculation'!A$2:A$107,Table1[Saving]),0),IF( LOOKUP(F358,W$1:W$35,W$1:W$35) =
 F358,ROUND(G357*(1+IF($Q$18&lt;6,$R$14,IF($Q$18&lt;11,$R$15,$R$16)))^(1/12),0),G357*(1+IF($Q$18&lt;6,$R$14,IF($Q$18&lt;11,$R$15,$R$16)))^(1/12))))</f>
        <v>0</v>
      </c>
    </row>
    <row r="359" spans="1:7">
      <c r="A359" s="348">
        <f t="shared" si="12"/>
        <v>358</v>
      </c>
      <c r="B359" s="360">
        <f>DATE('Profit Calculation'!J$6,A$2,A$2+A359-1)</f>
        <v>42362</v>
      </c>
      <c r="D359" s="362">
        <f t="shared" si="11"/>
        <v>99225818.398192257</v>
      </c>
      <c r="F359" s="363">
        <f>DATE('Profit Calculation'!J$6,'Profit Calculation'!R$6+A359-1,'Profit Calculation'!Z$6)</f>
        <v>52963</v>
      </c>
      <c r="G359" s="364">
        <f ca="1">IF(Q$27=2,IF(LOOKUP(F359,X$1:X$35,X$1:X$35) = F359,ROUND(LOOKUP(LOOKUP(F359,X$1:X$35,A:A),Single!A$2:A$107,Table13[Saving]),0),IF( LOOKUP(F359,W$1:W$35,W$1:W$35) =
 F359,ROUND(G358*(1+IF($Q$18&lt;6,$R$14,IF($Q$18&lt;11,$R$15,$R$16)))^(1/12),0),G358*(1+IF($Q$18&lt;6,$R$14,IF($Q$18&lt;11,$R$15,$R$16)))^(1/12))),IF(LOOKUP(F359,X$1:X$35,X$1:X$35) = F359,ROUND(LOOKUP(LOOKUP(F359,X$1:X$35,A:A),'Annual Calculation'!A$2:A$107,Table1[Saving]),0),IF( LOOKUP(F359,W$1:W$35,W$1:W$35) =
 F359,ROUND(G358*(1+IF($Q$18&lt;6,$R$14,IF($Q$18&lt;11,$R$15,$R$16)))^(1/12),0),G358*(1+IF($Q$18&lt;6,$R$14,IF($Q$18&lt;11,$R$15,$R$16)))^(1/12))))</f>
        <v>0</v>
      </c>
    </row>
    <row r="360" spans="1:7">
      <c r="A360" s="348">
        <f t="shared" si="12"/>
        <v>359</v>
      </c>
      <c r="B360" s="360">
        <f>DATE('Profit Calculation'!J$6,A$2,A$2+A360-1)</f>
        <v>42363</v>
      </c>
      <c r="D360" s="362">
        <f t="shared" si="11"/>
        <v>99263820.175027028</v>
      </c>
      <c r="F360" s="363">
        <f>DATE('Profit Calculation'!J$6,'Profit Calculation'!R$6+A360-1,'Profit Calculation'!Z$6)</f>
        <v>52994</v>
      </c>
      <c r="G360" s="364">
        <f ca="1">IF(Q$27=2,IF(LOOKUP(F360,X$1:X$35,X$1:X$35) = F360,ROUND(LOOKUP(LOOKUP(F360,X$1:X$35,A:A),Single!A$2:A$107,Table13[Saving]),0),IF( LOOKUP(F360,W$1:W$35,W$1:W$35) =
 F360,ROUND(G359*(1+IF($Q$18&lt;6,$R$14,IF($Q$18&lt;11,$R$15,$R$16)))^(1/12),0),G359*(1+IF($Q$18&lt;6,$R$14,IF($Q$18&lt;11,$R$15,$R$16)))^(1/12))),IF(LOOKUP(F360,X$1:X$35,X$1:X$35) = F360,ROUND(LOOKUP(LOOKUP(F360,X$1:X$35,A:A),'Annual Calculation'!A$2:A$107,Table1[Saving]),0),IF( LOOKUP(F360,W$1:W$35,W$1:W$35) =
 F360,ROUND(G359*(1+IF($Q$18&lt;6,$R$14,IF($Q$18&lt;11,$R$15,$R$16)))^(1/12),0),G359*(1+IF($Q$18&lt;6,$R$14,IF($Q$18&lt;11,$R$15,$R$16)))^(1/12))))</f>
        <v>0</v>
      </c>
    </row>
    <row r="361" spans="1:7">
      <c r="A361" s="348">
        <f t="shared" si="12"/>
        <v>360</v>
      </c>
      <c r="B361" s="360">
        <f>DATE('Profit Calculation'!J$6,A$2,A$2+A361-1)</f>
        <v>42364</v>
      </c>
      <c r="D361" s="362">
        <f t="shared" si="11"/>
        <v>99301836.505886808</v>
      </c>
      <c r="F361" s="363">
        <f>DATE('Profit Calculation'!J$6,'Profit Calculation'!R$6+A361-1,'Profit Calculation'!Z$6)</f>
        <v>53022</v>
      </c>
      <c r="G361" s="364">
        <f ca="1">IF(Q$27=2,IF(LOOKUP(F361,X$1:X$35,X$1:X$35) = F361,ROUND(LOOKUP(LOOKUP(F361,X$1:X$35,A:A),Single!A$2:A$107,Table13[Saving]),0),IF( LOOKUP(F361,W$1:W$35,W$1:W$35) =
 F361,ROUND(G360*(1+IF($Q$18&lt;6,$R$14,IF($Q$18&lt;11,$R$15,$R$16)))^(1/12),0),G360*(1+IF($Q$18&lt;6,$R$14,IF($Q$18&lt;11,$R$15,$R$16)))^(1/12))),IF(LOOKUP(F361,X$1:X$35,X$1:X$35) = F361,ROUND(LOOKUP(LOOKUP(F361,X$1:X$35,A:A),'Annual Calculation'!A$2:A$107,Table1[Saving]),0),IF( LOOKUP(F361,W$1:W$35,W$1:W$35) =
 F361,ROUND(G360*(1+IF($Q$18&lt;6,$R$14,IF($Q$18&lt;11,$R$15,$R$16)))^(1/12),0),G360*(1+IF($Q$18&lt;6,$R$14,IF($Q$18&lt;11,$R$15,$R$16)))^(1/12))))</f>
        <v>0</v>
      </c>
    </row>
    <row r="362" spans="1:7">
      <c r="A362" s="348">
        <f t="shared" si="12"/>
        <v>361</v>
      </c>
      <c r="B362" s="360">
        <f>DATE('Profit Calculation'!J$6,A$2,A$2+A362-1)</f>
        <v>42365</v>
      </c>
      <c r="D362" s="362">
        <f t="shared" si="11"/>
        <v>99339867.396345541</v>
      </c>
      <c r="F362" s="363">
        <f>DATE('Profit Calculation'!J$6,'Profit Calculation'!R$6+A362-1,'Profit Calculation'!Z$6)</f>
        <v>53053</v>
      </c>
      <c r="G362" s="364">
        <f ca="1">IF(Q$27=2,IF(LOOKUP(F362,X$1:X$35,X$1:X$35) = F362,ROUND(LOOKUP(LOOKUP(F362,X$1:X$35,A:A),Single!A$2:A$107,Table13[Saving]),0),IF( LOOKUP(F362,W$1:W$35,W$1:W$35) =
 F362,ROUND(G361*(1+IF($Q$18&lt;6,$R$14,IF($Q$18&lt;11,$R$15,$R$16)))^(1/12),0),G361*(1+IF($Q$18&lt;6,$R$14,IF($Q$18&lt;11,$R$15,$R$16)))^(1/12))),IF(LOOKUP(F362,X$1:X$35,X$1:X$35) = F362,ROUND(LOOKUP(LOOKUP(F362,X$1:X$35,A:A),'Annual Calculation'!A$2:A$107,Table1[Saving]),0),IF( LOOKUP(F362,W$1:W$35,W$1:W$35) =
 F362,ROUND(G361*(1+IF($Q$18&lt;6,$R$14,IF($Q$18&lt;11,$R$15,$R$16)))^(1/12),0),G361*(1+IF($Q$18&lt;6,$R$14,IF($Q$18&lt;11,$R$15,$R$16)))^(1/12))))</f>
        <v>0</v>
      </c>
    </row>
    <row r="363" spans="1:7">
      <c r="A363" s="348">
        <f t="shared" si="12"/>
        <v>362</v>
      </c>
      <c r="B363" s="360">
        <f>DATE('Profit Calculation'!J$6,A$2,A$2+A363-1)</f>
        <v>42366</v>
      </c>
      <c r="D363" s="362">
        <f t="shared" si="11"/>
        <v>99377912.8519793</v>
      </c>
      <c r="F363" s="363">
        <f>DATE('Profit Calculation'!J$6,'Profit Calculation'!R$6+A363-1,'Profit Calculation'!Z$6)</f>
        <v>53083</v>
      </c>
      <c r="G363" s="364">
        <f ca="1">IF(Q$27=2,IF(LOOKUP(F363,X$1:X$35,X$1:X$35) = F363,ROUND(LOOKUP(LOOKUP(F363,X$1:X$35,A:A),Single!A$2:A$107,Table13[Saving]),0),IF( LOOKUP(F363,W$1:W$35,W$1:W$35) =
 F363,ROUND(G362*(1+IF($Q$18&lt;6,$R$14,IF($Q$18&lt;11,$R$15,$R$16)))^(1/12),0),G362*(1+IF($Q$18&lt;6,$R$14,IF($Q$18&lt;11,$R$15,$R$16)))^(1/12))),IF(LOOKUP(F363,X$1:X$35,X$1:X$35) = F363,ROUND(LOOKUP(LOOKUP(F363,X$1:X$35,A:A),'Annual Calculation'!A$2:A$107,Table1[Saving]),0),IF( LOOKUP(F363,W$1:W$35,W$1:W$35) =
 F363,ROUND(G362*(1+IF($Q$18&lt;6,$R$14,IF($Q$18&lt;11,$R$15,$R$16)))^(1/12),0),G362*(1+IF($Q$18&lt;6,$R$14,IF($Q$18&lt;11,$R$15,$R$16)))^(1/12))))</f>
        <v>0</v>
      </c>
    </row>
    <row r="364" spans="1:7">
      <c r="A364" s="348">
        <f t="shared" si="12"/>
        <v>363</v>
      </c>
      <c r="B364" s="360">
        <f>DATE('Profit Calculation'!J$6,A$2,A$2+A364-1)</f>
        <v>42367</v>
      </c>
      <c r="D364" s="362">
        <f t="shared" si="11"/>
        <v>99415972.878366306</v>
      </c>
      <c r="F364" s="363">
        <f>DATE('Profit Calculation'!J$6,'Profit Calculation'!R$6+A364-1,'Profit Calculation'!Z$6)</f>
        <v>53114</v>
      </c>
      <c r="G364" s="364">
        <f ca="1">IF(Q$27=2,IF(LOOKUP(F364,X$1:X$35,X$1:X$35) = F364,ROUND(LOOKUP(LOOKUP(F364,X$1:X$35,A:A),Single!A$2:A$107,Table13[Saving]),0),IF( LOOKUP(F364,W$1:W$35,W$1:W$35) =
 F364,ROUND(G363*(1+IF($Q$18&lt;6,$R$14,IF($Q$18&lt;11,$R$15,$R$16)))^(1/12),0),G363*(1+IF($Q$18&lt;6,$R$14,IF($Q$18&lt;11,$R$15,$R$16)))^(1/12))),IF(LOOKUP(F364,X$1:X$35,X$1:X$35) = F364,ROUND(LOOKUP(LOOKUP(F364,X$1:X$35,A:A),'Annual Calculation'!A$2:A$107,Table1[Saving]),0),IF( LOOKUP(F364,W$1:W$35,W$1:W$35) =
 F364,ROUND(G363*(1+IF($Q$18&lt;6,$R$14,IF($Q$18&lt;11,$R$15,$R$16)))^(1/12),0),G363*(1+IF($Q$18&lt;6,$R$14,IF($Q$18&lt;11,$R$15,$R$16)))^(1/12))))</f>
        <v>0</v>
      </c>
    </row>
    <row r="365" spans="1:7">
      <c r="A365" s="348">
        <f t="shared" si="12"/>
        <v>364</v>
      </c>
      <c r="B365" s="360">
        <f>DATE('Profit Calculation'!J$6,A$2,A$2+A365-1)</f>
        <v>42368</v>
      </c>
      <c r="D365" s="362">
        <f t="shared" si="11"/>
        <v>99454047.481086895</v>
      </c>
      <c r="F365" s="363">
        <f>DATE('Profit Calculation'!J$6,'Profit Calculation'!R$6+A365-1,'Profit Calculation'!Z$6)</f>
        <v>53144</v>
      </c>
      <c r="G365" s="364">
        <f ca="1">IF(Q$27=2,IF(LOOKUP(F365,X$1:X$35,X$1:X$35) = F365,ROUND(LOOKUP(LOOKUP(F365,X$1:X$35,A:A),Single!A$2:A$107,Table13[Saving]),0),IF( LOOKUP(F365,W$1:W$35,W$1:W$35) =
 F365,ROUND(G364*(1+IF($Q$18&lt;6,$R$14,IF($Q$18&lt;11,$R$15,$R$16)))^(1/12),0),G364*(1+IF($Q$18&lt;6,$R$14,IF($Q$18&lt;11,$R$15,$R$16)))^(1/12))),IF(LOOKUP(F365,X$1:X$35,X$1:X$35) = F365,ROUND(LOOKUP(LOOKUP(F365,X$1:X$35,A:A),'Annual Calculation'!A$2:A$107,Table1[Saving]),0),IF( LOOKUP(F365,W$1:W$35,W$1:W$35) =
 F365,ROUND(G364*(1+IF($Q$18&lt;6,$R$14,IF($Q$18&lt;11,$R$15,$R$16)))^(1/12),0),G364*(1+IF($Q$18&lt;6,$R$14,IF($Q$18&lt;11,$R$15,$R$16)))^(1/12))))</f>
        <v>0</v>
      </c>
    </row>
    <row r="366" spans="1:7">
      <c r="A366" s="348">
        <f t="shared" si="12"/>
        <v>365</v>
      </c>
      <c r="B366" s="360">
        <f>DATE('Profit Calculation'!J$6,A$2,A$2+A366-1)</f>
        <v>42369</v>
      </c>
      <c r="D366" s="362">
        <f t="shared" si="11"/>
        <v>99492136.665723547</v>
      </c>
      <c r="F366" s="363">
        <f>DATE('Profit Calculation'!J$6,'Profit Calculation'!R$6+A366-1,'Profit Calculation'!Z$6)</f>
        <v>53175</v>
      </c>
      <c r="G366" s="364">
        <f ca="1">IF(Q$27=2,IF(LOOKUP(F366,X$1:X$35,X$1:X$35) = F366,ROUND(LOOKUP(LOOKUP(F366,X$1:X$35,A:A),Single!A$2:A$107,Table13[Saving]),0),IF( LOOKUP(F366,W$1:W$35,W$1:W$35) =
 F366,ROUND(G365*(1+IF($Q$18&lt;6,$R$14,IF($Q$18&lt;11,$R$15,$R$16)))^(1/12),0),G365*(1+IF($Q$18&lt;6,$R$14,IF($Q$18&lt;11,$R$15,$R$16)))^(1/12))),IF(LOOKUP(F366,X$1:X$35,X$1:X$35) = F366,ROUND(LOOKUP(LOOKUP(F366,X$1:X$35,A:A),'Annual Calculation'!A$2:A$107,Table1[Saving]),0),IF( LOOKUP(F366,W$1:W$35,W$1:W$35) =
 F366,ROUND(G365*(1+IF($Q$18&lt;6,$R$14,IF($Q$18&lt;11,$R$15,$R$16)))^(1/12),0),G365*(1+IF($Q$18&lt;6,$R$14,IF($Q$18&lt;11,$R$15,$R$16)))^(1/12))))</f>
        <v>0</v>
      </c>
    </row>
    <row r="367" spans="1:7">
      <c r="A367" s="348">
        <f t="shared" si="12"/>
        <v>366</v>
      </c>
      <c r="B367" s="360">
        <f>DATE('Profit Calculation'!J$6,A$2,A$2+A367-1)</f>
        <v>42370</v>
      </c>
      <c r="C367" s="354"/>
      <c r="D367" s="355">
        <f t="shared" si="11"/>
        <v>99482613</v>
      </c>
      <c r="F367" s="363">
        <f>DATE('Profit Calculation'!J$6,'Profit Calculation'!R$6+A367-1,'Profit Calculation'!Z$6)</f>
        <v>53206</v>
      </c>
      <c r="G367" s="364">
        <f ca="1">IF(Q$27=2,IF(LOOKUP(F367,X$1:X$35,X$1:X$35) = F367,ROUND(LOOKUP(LOOKUP(F367,X$1:X$35,A:A),Single!A$2:A$107,Table13[Saving]),0),IF( LOOKUP(F367,W$1:W$35,W$1:W$35) =
 F367,ROUND(G366*(1+IF($Q$18&lt;6,$R$14,IF($Q$18&lt;11,$R$15,$R$16)))^(1/12),0),G366*(1+IF($Q$18&lt;6,$R$14,IF($Q$18&lt;11,$R$15,$R$16)))^(1/12))),IF(LOOKUP(F367,X$1:X$35,X$1:X$35) = F367,ROUND(LOOKUP(LOOKUP(F367,X$1:X$35,A:A),'Annual Calculation'!A$2:A$107,Table1[Saving]),0),IF( LOOKUP(F367,W$1:W$35,W$1:W$35) =
 F367,ROUND(G366*(1+IF($Q$18&lt;6,$R$14,IF($Q$18&lt;11,$R$15,$R$16)))^(1/12),0),G366*(1+IF($Q$18&lt;6,$R$14,IF($Q$18&lt;11,$R$15,$R$16)))^(1/12))))</f>
        <v>0</v>
      </c>
    </row>
    <row r="368" spans="1:7">
      <c r="A368" s="348">
        <f t="shared" si="12"/>
        <v>367</v>
      </c>
      <c r="B368" s="360">
        <f>DATE('Profit Calculation'!J$6,A$2,A$2+A368-1)</f>
        <v>42371</v>
      </c>
      <c r="D368" s="362">
        <f t="shared" si="11"/>
        <v>99520713.12473765</v>
      </c>
      <c r="F368" s="363">
        <f>DATE('Profit Calculation'!J$6,'Profit Calculation'!R$6+A368-1,'Profit Calculation'!Z$6)</f>
        <v>53236</v>
      </c>
      <c r="G368" s="364">
        <f ca="1">IF(Q$27=2,IF(LOOKUP(F368,X$1:X$35,X$1:X$35) = F368,ROUND(LOOKUP(LOOKUP(F368,X$1:X$35,A:A),Single!A$2:A$107,Table13[Saving]),0),IF( LOOKUP(F368,W$1:W$35,W$1:W$35) =
 F368,ROUND(G367*(1+IF($Q$18&lt;6,$R$14,IF($Q$18&lt;11,$R$15,$R$16)))^(1/12),0),G367*(1+IF($Q$18&lt;6,$R$14,IF($Q$18&lt;11,$R$15,$R$16)))^(1/12))),IF(LOOKUP(F368,X$1:X$35,X$1:X$35) = F368,ROUND(LOOKUP(LOOKUP(F368,X$1:X$35,A:A),'Annual Calculation'!A$2:A$107,Table1[Saving]),0),IF( LOOKUP(F368,W$1:W$35,W$1:W$35) =
 F368,ROUND(G367*(1+IF($Q$18&lt;6,$R$14,IF($Q$18&lt;11,$R$15,$R$16)))^(1/12),0),G367*(1+IF($Q$18&lt;6,$R$14,IF($Q$18&lt;11,$R$15,$R$16)))^(1/12))))</f>
        <v>0</v>
      </c>
    </row>
    <row r="369" spans="1:7">
      <c r="A369" s="348">
        <f t="shared" si="12"/>
        <v>368</v>
      </c>
      <c r="B369" s="360">
        <f>DATE('Profit Calculation'!J$6,A$2,A$2+A369-1)</f>
        <v>42372</v>
      </c>
      <c r="D369" s="362">
        <f t="shared" si="11"/>
        <v>99558827.841165856</v>
      </c>
      <c r="F369" s="363">
        <f>DATE('Profit Calculation'!J$6,'Profit Calculation'!R$6+A369-1,'Profit Calculation'!Z$6)</f>
        <v>53267</v>
      </c>
      <c r="G369" s="364">
        <f ca="1">IF(Q$27=2,IF(LOOKUP(F369,X$1:X$35,X$1:X$35) = F369,ROUND(LOOKUP(LOOKUP(F369,X$1:X$35,A:A),Single!A$2:A$107,Table13[Saving]),0),IF( LOOKUP(F369,W$1:W$35,W$1:W$35) =
 F369,ROUND(G368*(1+IF($Q$18&lt;6,$R$14,IF($Q$18&lt;11,$R$15,$R$16)))^(1/12),0),G368*(1+IF($Q$18&lt;6,$R$14,IF($Q$18&lt;11,$R$15,$R$16)))^(1/12))),IF(LOOKUP(F369,X$1:X$35,X$1:X$35) = F369,ROUND(LOOKUP(LOOKUP(F369,X$1:X$35,A:A),'Annual Calculation'!A$2:A$107,Table1[Saving]),0),IF( LOOKUP(F369,W$1:W$35,W$1:W$35) =
 F369,ROUND(G368*(1+IF($Q$18&lt;6,$R$14,IF($Q$18&lt;11,$R$15,$R$16)))^(1/12),0),G368*(1+IF($Q$18&lt;6,$R$14,IF($Q$18&lt;11,$R$15,$R$16)))^(1/12))))</f>
        <v>0</v>
      </c>
    </row>
    <row r="370" spans="1:7">
      <c r="A370" s="348">
        <f t="shared" si="12"/>
        <v>369</v>
      </c>
      <c r="B370" s="360">
        <f>DATE('Profit Calculation'!J$6,A$2,A$2+A370-1)</f>
        <v>42373</v>
      </c>
      <c r="D370" s="362">
        <f t="shared" si="11"/>
        <v>99596957.154872999</v>
      </c>
      <c r="F370" s="363">
        <f>DATE('Profit Calculation'!J$6,'Profit Calculation'!R$6+A370-1,'Profit Calculation'!Z$6)</f>
        <v>53297</v>
      </c>
      <c r="G370" s="364">
        <f ca="1">IF(Q$27=2,IF(LOOKUP(F370,X$1:X$35,X$1:X$35) = F370,ROUND(LOOKUP(LOOKUP(F370,X$1:X$35,A:A),Single!A$2:A$107,Table13[Saving]),0),IF( LOOKUP(F370,W$1:W$35,W$1:W$35) =
 F370,ROUND(G369*(1+IF($Q$18&lt;6,$R$14,IF($Q$18&lt;11,$R$15,$R$16)))^(1/12),0),G369*(1+IF($Q$18&lt;6,$R$14,IF($Q$18&lt;11,$R$15,$R$16)))^(1/12))),IF(LOOKUP(F370,X$1:X$35,X$1:X$35) = F370,ROUND(LOOKUP(LOOKUP(F370,X$1:X$35,A:A),'Annual Calculation'!A$2:A$107,Table1[Saving]),0),IF( LOOKUP(F370,W$1:W$35,W$1:W$35) =
 F370,ROUND(G369*(1+IF($Q$18&lt;6,$R$14,IF($Q$18&lt;11,$R$15,$R$16)))^(1/12),0),G369*(1+IF($Q$18&lt;6,$R$14,IF($Q$18&lt;11,$R$15,$R$16)))^(1/12))))</f>
        <v>0</v>
      </c>
    </row>
    <row r="371" spans="1:7">
      <c r="A371" s="348">
        <f t="shared" si="12"/>
        <v>370</v>
      </c>
      <c r="B371" s="360">
        <f>DATE('Profit Calculation'!J$6,A$2,A$2+A371-1)</f>
        <v>42374</v>
      </c>
      <c r="D371" s="362">
        <f t="shared" si="11"/>
        <v>99635101.071449563</v>
      </c>
      <c r="F371" s="363">
        <f>DATE('Profit Calculation'!J$6,'Profit Calculation'!R$6+A371-1,'Profit Calculation'!Z$6)</f>
        <v>53328</v>
      </c>
      <c r="G371" s="364">
        <f ca="1">IF(Q$27=2,IF(LOOKUP(F371,X$1:X$35,X$1:X$35) = F371,ROUND(LOOKUP(LOOKUP(F371,X$1:X$35,A:A),Single!A$2:A$107,Table13[Saving]),0),IF( LOOKUP(F371,W$1:W$35,W$1:W$35) =
 F371,ROUND(G370*(1+IF($Q$18&lt;6,$R$14,IF($Q$18&lt;11,$R$15,$R$16)))^(1/12),0),G370*(1+IF($Q$18&lt;6,$R$14,IF($Q$18&lt;11,$R$15,$R$16)))^(1/12))),IF(LOOKUP(F371,X$1:X$35,X$1:X$35) = F371,ROUND(LOOKUP(LOOKUP(F371,X$1:X$35,A:A),'Annual Calculation'!A$2:A$107,Table1[Saving]),0),IF( LOOKUP(F371,W$1:W$35,W$1:W$35) =
 F371,ROUND(G370*(1+IF($Q$18&lt;6,$R$14,IF($Q$18&lt;11,$R$15,$R$16)))^(1/12),0),G370*(1+IF($Q$18&lt;6,$R$14,IF($Q$18&lt;11,$R$15,$R$16)))^(1/12))))</f>
        <v>0</v>
      </c>
    </row>
    <row r="372" spans="1:7">
      <c r="A372" s="348">
        <f t="shared" si="12"/>
        <v>371</v>
      </c>
      <c r="B372" s="360">
        <f>DATE('Profit Calculation'!J$6,A$2,A$2+A372-1)</f>
        <v>42375</v>
      </c>
      <c r="D372" s="362">
        <f t="shared" si="11"/>
        <v>99673259.596488208</v>
      </c>
      <c r="F372" s="363">
        <f>DATE('Profit Calculation'!J$6,'Profit Calculation'!R$6+A372-1,'Profit Calculation'!Z$6)</f>
        <v>53359</v>
      </c>
      <c r="G372" s="364">
        <f ca="1">IF(Q$27=2,IF(LOOKUP(F372,X$1:X$35,X$1:X$35) = F372,ROUND(LOOKUP(LOOKUP(F372,X$1:X$35,A:A),Single!A$2:A$107,Table13[Saving]),0),IF( LOOKUP(F372,W$1:W$35,W$1:W$35) =
 F372,ROUND(G371*(1+IF($Q$18&lt;6,$R$14,IF($Q$18&lt;11,$R$15,$R$16)))^(1/12),0),G371*(1+IF($Q$18&lt;6,$R$14,IF($Q$18&lt;11,$R$15,$R$16)))^(1/12))),IF(LOOKUP(F372,X$1:X$35,X$1:X$35) = F372,ROUND(LOOKUP(LOOKUP(F372,X$1:X$35,A:A),'Annual Calculation'!A$2:A$107,Table1[Saving]),0),IF( LOOKUP(F372,W$1:W$35,W$1:W$35) =
 F372,ROUND(G371*(1+IF($Q$18&lt;6,$R$14,IF($Q$18&lt;11,$R$15,$R$16)))^(1/12),0),G371*(1+IF($Q$18&lt;6,$R$14,IF($Q$18&lt;11,$R$15,$R$16)))^(1/12))))</f>
        <v>0</v>
      </c>
    </row>
    <row r="373" spans="1:7">
      <c r="A373" s="348">
        <f t="shared" si="12"/>
        <v>372</v>
      </c>
      <c r="B373" s="360">
        <f>DATE('Profit Calculation'!J$6,A$2,A$2+A373-1)</f>
        <v>42376</v>
      </c>
      <c r="D373" s="362">
        <f t="shared" si="11"/>
        <v>99711432.735583723</v>
      </c>
      <c r="F373" s="363">
        <f>DATE('Profit Calculation'!J$6,'Profit Calculation'!R$6+A373-1,'Profit Calculation'!Z$6)</f>
        <v>53387</v>
      </c>
      <c r="G373" s="364">
        <f ca="1">IF(Q$27=2,IF(LOOKUP(F373,X$1:X$35,X$1:X$35) = F373,ROUND(LOOKUP(LOOKUP(F373,X$1:X$35,A:A),Single!A$2:A$107,Table13[Saving]),0),IF( LOOKUP(F373,W$1:W$35,W$1:W$35) =
 F373,ROUND(G372*(1+IF($Q$18&lt;6,$R$14,IF($Q$18&lt;11,$R$15,$R$16)))^(1/12),0),G372*(1+IF($Q$18&lt;6,$R$14,IF($Q$18&lt;11,$R$15,$R$16)))^(1/12))),IF(LOOKUP(F373,X$1:X$35,X$1:X$35) = F373,ROUND(LOOKUP(LOOKUP(F373,X$1:X$35,A:A),'Annual Calculation'!A$2:A$107,Table1[Saving]),0),IF( LOOKUP(F373,W$1:W$35,W$1:W$35) =
 F373,ROUND(G372*(1+IF($Q$18&lt;6,$R$14,IF($Q$18&lt;11,$R$15,$R$16)))^(1/12),0),G372*(1+IF($Q$18&lt;6,$R$14,IF($Q$18&lt;11,$R$15,$R$16)))^(1/12))))</f>
        <v>0</v>
      </c>
    </row>
    <row r="374" spans="1:7">
      <c r="A374" s="348">
        <f t="shared" si="12"/>
        <v>373</v>
      </c>
      <c r="B374" s="360">
        <f>DATE('Profit Calculation'!J$6,A$2,A$2+A374-1)</f>
        <v>42377</v>
      </c>
      <c r="D374" s="362">
        <f t="shared" si="11"/>
        <v>99749620.494333044</v>
      </c>
      <c r="F374" s="363">
        <f>DATE('Profit Calculation'!J$6,'Profit Calculation'!R$6+A374-1,'Profit Calculation'!Z$6)</f>
        <v>53418</v>
      </c>
      <c r="G374" s="364">
        <f ca="1">IF(Q$27=2,IF(LOOKUP(F374,X$1:X$35,X$1:X$35) = F374,ROUND(LOOKUP(LOOKUP(F374,X$1:X$35,A:A),Single!A$2:A$107,Table13[Saving]),0),IF( LOOKUP(F374,W$1:W$35,W$1:W$35) =
 F374,ROUND(G373*(1+IF($Q$18&lt;6,$R$14,IF($Q$18&lt;11,$R$15,$R$16)))^(1/12),0),G373*(1+IF($Q$18&lt;6,$R$14,IF($Q$18&lt;11,$R$15,$R$16)))^(1/12))),IF(LOOKUP(F374,X$1:X$35,X$1:X$35) = F374,ROUND(LOOKUP(LOOKUP(F374,X$1:X$35,A:A),'Annual Calculation'!A$2:A$107,Table1[Saving]),0),IF( LOOKUP(F374,W$1:W$35,W$1:W$35) =
 F374,ROUND(G373*(1+IF($Q$18&lt;6,$R$14,IF($Q$18&lt;11,$R$15,$R$16)))^(1/12),0),G373*(1+IF($Q$18&lt;6,$R$14,IF($Q$18&lt;11,$R$15,$R$16)))^(1/12))))</f>
        <v>0</v>
      </c>
    </row>
    <row r="375" spans="1:7">
      <c r="A375" s="348">
        <f t="shared" si="12"/>
        <v>374</v>
      </c>
      <c r="B375" s="360">
        <f>DATE('Profit Calculation'!J$6,A$2,A$2+A375-1)</f>
        <v>42378</v>
      </c>
      <c r="D375" s="362">
        <f t="shared" si="11"/>
        <v>99787822.878335238</v>
      </c>
      <c r="F375" s="363">
        <f>DATE('Profit Calculation'!J$6,'Profit Calculation'!R$6+A375-1,'Profit Calculation'!Z$6)</f>
        <v>53448</v>
      </c>
      <c r="G375" s="364">
        <f ca="1">IF(Q$27=2,IF(LOOKUP(F375,X$1:X$35,X$1:X$35) = F375,ROUND(LOOKUP(LOOKUP(F375,X$1:X$35,A:A),Single!A$2:A$107,Table13[Saving]),0),IF( LOOKUP(F375,W$1:W$35,W$1:W$35) =
 F375,ROUND(G374*(1+IF($Q$18&lt;6,$R$14,IF($Q$18&lt;11,$R$15,$R$16)))^(1/12),0),G374*(1+IF($Q$18&lt;6,$R$14,IF($Q$18&lt;11,$R$15,$R$16)))^(1/12))),IF(LOOKUP(F375,X$1:X$35,X$1:X$35) = F375,ROUND(LOOKUP(LOOKUP(F375,X$1:X$35,A:A),'Annual Calculation'!A$2:A$107,Table1[Saving]),0),IF( LOOKUP(F375,W$1:W$35,W$1:W$35) =
 F375,ROUND(G374*(1+IF($Q$18&lt;6,$R$14,IF($Q$18&lt;11,$R$15,$R$16)))^(1/12),0),G374*(1+IF($Q$18&lt;6,$R$14,IF($Q$18&lt;11,$R$15,$R$16)))^(1/12))))</f>
        <v>0</v>
      </c>
    </row>
    <row r="376" spans="1:7">
      <c r="A376" s="348">
        <f t="shared" si="12"/>
        <v>375</v>
      </c>
      <c r="B376" s="360">
        <f>DATE('Profit Calculation'!J$6,A$2,A$2+A376-1)</f>
        <v>42379</v>
      </c>
      <c r="D376" s="362">
        <f t="shared" si="11"/>
        <v>99826039.893191516</v>
      </c>
      <c r="F376" s="363">
        <f>DATE('Profit Calculation'!J$6,'Profit Calculation'!R$6+A376-1,'Profit Calculation'!Z$6)</f>
        <v>53479</v>
      </c>
      <c r="G376" s="364">
        <f ca="1">IF(Q$27=2,IF(LOOKUP(F376,X$1:X$35,X$1:X$35) = F376,ROUND(LOOKUP(LOOKUP(F376,X$1:X$35,A:A),Single!A$2:A$107,Table13[Saving]),0),IF( LOOKUP(F376,W$1:W$35,W$1:W$35) =
 F376,ROUND(G375*(1+IF($Q$18&lt;6,$R$14,IF($Q$18&lt;11,$R$15,$R$16)))^(1/12),0),G375*(1+IF($Q$18&lt;6,$R$14,IF($Q$18&lt;11,$R$15,$R$16)))^(1/12))),IF(LOOKUP(F376,X$1:X$35,X$1:X$35) = F376,ROUND(LOOKUP(LOOKUP(F376,X$1:X$35,A:A),'Annual Calculation'!A$2:A$107,Table1[Saving]),0),IF( LOOKUP(F376,W$1:W$35,W$1:W$35) =
 F376,ROUND(G375*(1+IF($Q$18&lt;6,$R$14,IF($Q$18&lt;11,$R$15,$R$16)))^(1/12),0),G375*(1+IF($Q$18&lt;6,$R$14,IF($Q$18&lt;11,$R$15,$R$16)))^(1/12))))</f>
        <v>0</v>
      </c>
    </row>
    <row r="377" spans="1:7">
      <c r="A377" s="348">
        <f t="shared" si="12"/>
        <v>376</v>
      </c>
      <c r="B377" s="360">
        <f>DATE('Profit Calculation'!J$6,A$2,A$2+A377-1)</f>
        <v>42380</v>
      </c>
      <c r="D377" s="362">
        <f t="shared" si="11"/>
        <v>99864271.544505253</v>
      </c>
      <c r="F377" s="363">
        <f>DATE('Profit Calculation'!J$6,'Profit Calculation'!R$6+A377-1,'Profit Calculation'!Z$6)</f>
        <v>53509</v>
      </c>
      <c r="G377" s="364">
        <f ca="1">IF(Q$27=2,IF(LOOKUP(F377,X$1:X$35,X$1:X$35) = F377,ROUND(LOOKUP(LOOKUP(F377,X$1:X$35,A:A),Single!A$2:A$107,Table13[Saving]),0),IF( LOOKUP(F377,W$1:W$35,W$1:W$35) =
 F377,ROUND(G376*(1+IF($Q$18&lt;6,$R$14,IF($Q$18&lt;11,$R$15,$R$16)))^(1/12),0),G376*(1+IF($Q$18&lt;6,$R$14,IF($Q$18&lt;11,$R$15,$R$16)))^(1/12))),IF(LOOKUP(F377,X$1:X$35,X$1:X$35) = F377,ROUND(LOOKUP(LOOKUP(F377,X$1:X$35,A:A),'Annual Calculation'!A$2:A$107,Table1[Saving]),0),IF( LOOKUP(F377,W$1:W$35,W$1:W$35) =
 F377,ROUND(G376*(1+IF($Q$18&lt;6,$R$14,IF($Q$18&lt;11,$R$15,$R$16)))^(1/12),0),G376*(1+IF($Q$18&lt;6,$R$14,IF($Q$18&lt;11,$R$15,$R$16)))^(1/12))))</f>
        <v>0</v>
      </c>
    </row>
    <row r="378" spans="1:7">
      <c r="A378" s="348">
        <f t="shared" si="12"/>
        <v>377</v>
      </c>
      <c r="B378" s="360">
        <f>DATE('Profit Calculation'!J$6,A$2,A$2+A378-1)</f>
        <v>42381</v>
      </c>
      <c r="D378" s="362">
        <f t="shared" si="11"/>
        <v>99902517.837881967</v>
      </c>
      <c r="F378" s="363">
        <f>DATE('Profit Calculation'!J$6,'Profit Calculation'!R$6+A378-1,'Profit Calculation'!Z$6)</f>
        <v>53540</v>
      </c>
      <c r="G378" s="364">
        <f ca="1">IF(Q$27=2,IF(LOOKUP(F378,X$1:X$35,X$1:X$35) = F378,ROUND(LOOKUP(LOOKUP(F378,X$1:X$35,A:A),Single!A$2:A$107,Table13[Saving]),0),IF( LOOKUP(F378,W$1:W$35,W$1:W$35) =
 F378,ROUND(G377*(1+IF($Q$18&lt;6,$R$14,IF($Q$18&lt;11,$R$15,$R$16)))^(1/12),0),G377*(1+IF($Q$18&lt;6,$R$14,IF($Q$18&lt;11,$R$15,$R$16)))^(1/12))),IF(LOOKUP(F378,X$1:X$35,X$1:X$35) = F378,ROUND(LOOKUP(LOOKUP(F378,X$1:X$35,A:A),'Annual Calculation'!A$2:A$107,Table1[Saving]),0),IF( LOOKUP(F378,W$1:W$35,W$1:W$35) =
 F378,ROUND(G377*(1+IF($Q$18&lt;6,$R$14,IF($Q$18&lt;11,$R$15,$R$16)))^(1/12),0),G377*(1+IF($Q$18&lt;6,$R$14,IF($Q$18&lt;11,$R$15,$R$16)))^(1/12))))</f>
        <v>0</v>
      </c>
    </row>
    <row r="379" spans="1:7">
      <c r="A379" s="348">
        <f t="shared" si="12"/>
        <v>378</v>
      </c>
      <c r="B379" s="360">
        <f>DATE('Profit Calculation'!J$6,A$2,A$2+A379-1)</f>
        <v>42382</v>
      </c>
      <c r="D379" s="362">
        <f t="shared" si="11"/>
        <v>99940778.778929308</v>
      </c>
      <c r="F379" s="363">
        <f>DATE('Profit Calculation'!J$6,'Profit Calculation'!R$6+A379-1,'Profit Calculation'!Z$6)</f>
        <v>53571</v>
      </c>
      <c r="G379" s="364">
        <f ca="1">IF(Q$27=2,IF(LOOKUP(F379,X$1:X$35,X$1:X$35) = F379,ROUND(LOOKUP(LOOKUP(F379,X$1:X$35,A:A),Single!A$2:A$107,Table13[Saving]),0),IF( LOOKUP(F379,W$1:W$35,W$1:W$35) =
 F379,ROUND(G378*(1+IF($Q$18&lt;6,$R$14,IF($Q$18&lt;11,$R$15,$R$16)))^(1/12),0),G378*(1+IF($Q$18&lt;6,$R$14,IF($Q$18&lt;11,$R$15,$R$16)))^(1/12))),IF(LOOKUP(F379,X$1:X$35,X$1:X$35) = F379,ROUND(LOOKUP(LOOKUP(F379,X$1:X$35,A:A),'Annual Calculation'!A$2:A$107,Table1[Saving]),0),IF( LOOKUP(F379,W$1:W$35,W$1:W$35) =
 F379,ROUND(G378*(1+IF($Q$18&lt;6,$R$14,IF($Q$18&lt;11,$R$15,$R$16)))^(1/12),0),G378*(1+IF($Q$18&lt;6,$R$14,IF($Q$18&lt;11,$R$15,$R$16)))^(1/12))))</f>
        <v>0</v>
      </c>
    </row>
    <row r="380" spans="1:7">
      <c r="A380" s="348">
        <f t="shared" si="12"/>
        <v>379</v>
      </c>
      <c r="B380" s="360">
        <f>DATE('Profit Calculation'!J$6,A$2,A$2+A380-1)</f>
        <v>42383</v>
      </c>
      <c r="D380" s="362">
        <f t="shared" si="11"/>
        <v>99979054.373257086</v>
      </c>
      <c r="F380" s="363">
        <f>DATE('Profit Calculation'!J$6,'Profit Calculation'!R$6+A380-1,'Profit Calculation'!Z$6)</f>
        <v>53601</v>
      </c>
      <c r="G380" s="364">
        <f ca="1">IF(Q$27=2,IF(LOOKUP(F380,X$1:X$35,X$1:X$35) = F380,ROUND(LOOKUP(LOOKUP(F380,X$1:X$35,A:A),Single!A$2:A$107,Table13[Saving]),0),IF( LOOKUP(F380,W$1:W$35,W$1:W$35) =
 F380,ROUND(G379*(1+IF($Q$18&lt;6,$R$14,IF($Q$18&lt;11,$R$15,$R$16)))^(1/12),0),G379*(1+IF($Q$18&lt;6,$R$14,IF($Q$18&lt;11,$R$15,$R$16)))^(1/12))),IF(LOOKUP(F380,X$1:X$35,X$1:X$35) = F380,ROUND(LOOKUP(LOOKUP(F380,X$1:X$35,A:A),'Annual Calculation'!A$2:A$107,Table1[Saving]),0),IF( LOOKUP(F380,W$1:W$35,W$1:W$35) =
 F380,ROUND(G379*(1+IF($Q$18&lt;6,$R$14,IF($Q$18&lt;11,$R$15,$R$16)))^(1/12),0),G379*(1+IF($Q$18&lt;6,$R$14,IF($Q$18&lt;11,$R$15,$R$16)))^(1/12))))</f>
        <v>0</v>
      </c>
    </row>
    <row r="381" spans="1:7">
      <c r="A381" s="348">
        <f t="shared" si="12"/>
        <v>380</v>
      </c>
      <c r="B381" s="360">
        <f>DATE('Profit Calculation'!J$6,A$2,A$2+A381-1)</f>
        <v>42384</v>
      </c>
      <c r="D381" s="362">
        <f t="shared" si="11"/>
        <v>100017344.62647724</v>
      </c>
      <c r="F381" s="363">
        <f>DATE('Profit Calculation'!J$6,'Profit Calculation'!R$6+A381-1,'Profit Calculation'!Z$6)</f>
        <v>53632</v>
      </c>
      <c r="G381" s="364">
        <f ca="1">IF(Q$27=2,IF(LOOKUP(F381,X$1:X$35,X$1:X$35) = F381,ROUND(LOOKUP(LOOKUP(F381,X$1:X$35,A:A),Single!A$2:A$107,Table13[Saving]),0),IF( LOOKUP(F381,W$1:W$35,W$1:W$35) =
 F381,ROUND(G380*(1+IF($Q$18&lt;6,$R$14,IF($Q$18&lt;11,$R$15,$R$16)))^(1/12),0),G380*(1+IF($Q$18&lt;6,$R$14,IF($Q$18&lt;11,$R$15,$R$16)))^(1/12))),IF(LOOKUP(F381,X$1:X$35,X$1:X$35) = F381,ROUND(LOOKUP(LOOKUP(F381,X$1:X$35,A:A),'Annual Calculation'!A$2:A$107,Table1[Saving]),0),IF( LOOKUP(F381,W$1:W$35,W$1:W$35) =
 F381,ROUND(G380*(1+IF($Q$18&lt;6,$R$14,IF($Q$18&lt;11,$R$15,$R$16)))^(1/12),0),G380*(1+IF($Q$18&lt;6,$R$14,IF($Q$18&lt;11,$R$15,$R$16)))^(1/12))))</f>
        <v>0</v>
      </c>
    </row>
    <row r="382" spans="1:7">
      <c r="A382" s="348">
        <f t="shared" si="12"/>
        <v>381</v>
      </c>
      <c r="B382" s="360">
        <f>DATE('Profit Calculation'!J$6,A$2,A$2+A382-1)</f>
        <v>42385</v>
      </c>
      <c r="D382" s="362">
        <f t="shared" si="11"/>
        <v>100055649.54420389</v>
      </c>
      <c r="F382" s="363">
        <f>DATE('Profit Calculation'!J$6,'Profit Calculation'!R$6+A382-1,'Profit Calculation'!Z$6)</f>
        <v>53662</v>
      </c>
      <c r="G382" s="364">
        <f ca="1">IF(Q$27=2,IF(LOOKUP(F382,X$1:X$35,X$1:X$35) = F382,ROUND(LOOKUP(LOOKUP(F382,X$1:X$35,A:A),Single!A$2:A$107,Table13[Saving]),0),IF( LOOKUP(F382,W$1:W$35,W$1:W$35) =
 F382,ROUND(G381*(1+IF($Q$18&lt;6,$R$14,IF($Q$18&lt;11,$R$15,$R$16)))^(1/12),0),G381*(1+IF($Q$18&lt;6,$R$14,IF($Q$18&lt;11,$R$15,$R$16)))^(1/12))),IF(LOOKUP(F382,X$1:X$35,X$1:X$35) = F382,ROUND(LOOKUP(LOOKUP(F382,X$1:X$35,A:A),'Annual Calculation'!A$2:A$107,Table1[Saving]),0),IF( LOOKUP(F382,W$1:W$35,W$1:W$35) =
 F382,ROUND(G381*(1+IF($Q$18&lt;6,$R$14,IF($Q$18&lt;11,$R$15,$R$16)))^(1/12),0),G381*(1+IF($Q$18&lt;6,$R$14,IF($Q$18&lt;11,$R$15,$R$16)))^(1/12))))</f>
        <v>0</v>
      </c>
    </row>
    <row r="383" spans="1:7">
      <c r="A383" s="348">
        <f t="shared" si="12"/>
        <v>382</v>
      </c>
      <c r="B383" s="360">
        <f>DATE('Profit Calculation'!J$6,A$2,A$2+A383-1)</f>
        <v>42386</v>
      </c>
      <c r="D383" s="362">
        <f t="shared" si="11"/>
        <v>100093969.13205329</v>
      </c>
      <c r="F383" s="363">
        <f>DATE('Profit Calculation'!J$6,'Profit Calculation'!R$6+A383-1,'Profit Calculation'!Z$6)</f>
        <v>53693</v>
      </c>
      <c r="G383" s="364">
        <f ca="1">IF(Q$27=2,IF(LOOKUP(F383,X$1:X$35,X$1:X$35) = F383,ROUND(LOOKUP(LOOKUP(F383,X$1:X$35,A:A),Single!A$2:A$107,Table13[Saving]),0),IF( LOOKUP(F383,W$1:W$35,W$1:W$35) =
 F383,ROUND(G382*(1+IF($Q$18&lt;6,$R$14,IF($Q$18&lt;11,$R$15,$R$16)))^(1/12),0),G382*(1+IF($Q$18&lt;6,$R$14,IF($Q$18&lt;11,$R$15,$R$16)))^(1/12))),IF(LOOKUP(F383,X$1:X$35,X$1:X$35) = F383,ROUND(LOOKUP(LOOKUP(F383,X$1:X$35,A:A),'Annual Calculation'!A$2:A$107,Table1[Saving]),0),IF( LOOKUP(F383,W$1:W$35,W$1:W$35) =
 F383,ROUND(G382*(1+IF($Q$18&lt;6,$R$14,IF($Q$18&lt;11,$R$15,$R$16)))^(1/12),0),G382*(1+IF($Q$18&lt;6,$R$14,IF($Q$18&lt;11,$R$15,$R$16)))^(1/12))))</f>
        <v>0</v>
      </c>
    </row>
    <row r="384" spans="1:7">
      <c r="A384" s="348">
        <f t="shared" si="12"/>
        <v>383</v>
      </c>
      <c r="B384" s="360">
        <f>DATE('Profit Calculation'!J$6,A$2,A$2+A384-1)</f>
        <v>42387</v>
      </c>
      <c r="D384" s="362">
        <f t="shared" si="11"/>
        <v>100132303.39564383</v>
      </c>
      <c r="F384" s="363">
        <f>DATE('Profit Calculation'!J$6,'Profit Calculation'!R$6+A384-1,'Profit Calculation'!Z$6)</f>
        <v>53724</v>
      </c>
      <c r="G384" s="364">
        <f ca="1">IF(Q$27=2,IF(LOOKUP(F384,X$1:X$35,X$1:X$35) = F384,ROUND(LOOKUP(LOOKUP(F384,X$1:X$35,A:A),Single!A$2:A$107,Table13[Saving]),0),IF( LOOKUP(F384,W$1:W$35,W$1:W$35) =
 F384,ROUND(G383*(1+IF($Q$18&lt;6,$R$14,IF($Q$18&lt;11,$R$15,$R$16)))^(1/12),0),G383*(1+IF($Q$18&lt;6,$R$14,IF($Q$18&lt;11,$R$15,$R$16)))^(1/12))),IF(LOOKUP(F384,X$1:X$35,X$1:X$35) = F384,ROUND(LOOKUP(LOOKUP(F384,X$1:X$35,A:A),'Annual Calculation'!A$2:A$107,Table1[Saving]),0),IF( LOOKUP(F384,W$1:W$35,W$1:W$35) =
 F384,ROUND(G383*(1+IF($Q$18&lt;6,$R$14,IF($Q$18&lt;11,$R$15,$R$16)))^(1/12),0),G383*(1+IF($Q$18&lt;6,$R$14,IF($Q$18&lt;11,$R$15,$R$16)))^(1/12))))</f>
        <v>0</v>
      </c>
    </row>
    <row r="385" spans="1:7">
      <c r="A385" s="348">
        <f t="shared" si="12"/>
        <v>384</v>
      </c>
      <c r="B385" s="360">
        <f>DATE('Profit Calculation'!J$6,A$2,A$2+A385-1)</f>
        <v>42388</v>
      </c>
      <c r="D385" s="362">
        <f t="shared" si="11"/>
        <v>100170652.34059606</v>
      </c>
      <c r="F385" s="363">
        <f>DATE('Profit Calculation'!J$6,'Profit Calculation'!R$6+A385-1,'Profit Calculation'!Z$6)</f>
        <v>53752</v>
      </c>
      <c r="G385" s="364">
        <f ca="1">IF(Q$27=2,IF(LOOKUP(F385,X$1:X$35,X$1:X$35) = F385,ROUND(LOOKUP(LOOKUP(F385,X$1:X$35,A:A),Single!A$2:A$107,Table13[Saving]),0),IF( LOOKUP(F385,W$1:W$35,W$1:W$35) =
 F385,ROUND(G384*(1+IF($Q$18&lt;6,$R$14,IF($Q$18&lt;11,$R$15,$R$16)))^(1/12),0),G384*(1+IF($Q$18&lt;6,$R$14,IF($Q$18&lt;11,$R$15,$R$16)))^(1/12))),IF(LOOKUP(F385,X$1:X$35,X$1:X$35) = F385,ROUND(LOOKUP(LOOKUP(F385,X$1:X$35,A:A),'Annual Calculation'!A$2:A$107,Table1[Saving]),0),IF( LOOKUP(F385,W$1:W$35,W$1:W$35) =
 F385,ROUND(G384*(1+IF($Q$18&lt;6,$R$14,IF($Q$18&lt;11,$R$15,$R$16)))^(1/12),0),G384*(1+IF($Q$18&lt;6,$R$14,IF($Q$18&lt;11,$R$15,$R$16)))^(1/12))))</f>
        <v>0</v>
      </c>
    </row>
    <row r="386" spans="1:7">
      <c r="A386" s="348">
        <f t="shared" si="12"/>
        <v>385</v>
      </c>
      <c r="B386" s="360">
        <f>DATE('Profit Calculation'!J$6,A$2,A$2+A386-1)</f>
        <v>42389</v>
      </c>
      <c r="D386" s="362">
        <f t="shared" si="11"/>
        <v>100209015.97253272</v>
      </c>
      <c r="F386" s="363">
        <f>DATE('Profit Calculation'!J$6,'Profit Calculation'!R$6+A386-1,'Profit Calculation'!Z$6)</f>
        <v>53783</v>
      </c>
      <c r="G386" s="364">
        <f ca="1">IF(Q$27=2,IF(LOOKUP(F386,X$1:X$35,X$1:X$35) = F386,ROUND(LOOKUP(LOOKUP(F386,X$1:X$35,A:A),Single!A$2:A$107,Table13[Saving]),0),IF( LOOKUP(F386,W$1:W$35,W$1:W$35) =
 F386,ROUND(G385*(1+IF($Q$18&lt;6,$R$14,IF($Q$18&lt;11,$R$15,$R$16)))^(1/12),0),G385*(1+IF($Q$18&lt;6,$R$14,IF($Q$18&lt;11,$R$15,$R$16)))^(1/12))),IF(LOOKUP(F386,X$1:X$35,X$1:X$35) = F386,ROUND(LOOKUP(LOOKUP(F386,X$1:X$35,A:A),'Annual Calculation'!A$2:A$107,Table1[Saving]),0),IF( LOOKUP(F386,W$1:W$35,W$1:W$35) =
 F386,ROUND(G385*(1+IF($Q$18&lt;6,$R$14,IF($Q$18&lt;11,$R$15,$R$16)))^(1/12),0),G385*(1+IF($Q$18&lt;6,$R$14,IF($Q$18&lt;11,$R$15,$R$16)))^(1/12))))</f>
        <v>0</v>
      </c>
    </row>
    <row r="387" spans="1:7">
      <c r="A387" s="348">
        <f t="shared" si="12"/>
        <v>386</v>
      </c>
      <c r="B387" s="360">
        <f>DATE('Profit Calculation'!J$6,A$2,A$2+A387-1)</f>
        <v>42390</v>
      </c>
      <c r="D387" s="362">
        <f t="shared" si="11"/>
        <v>100247394.29707864</v>
      </c>
      <c r="F387" s="363">
        <f>DATE('Profit Calculation'!J$6,'Profit Calculation'!R$6+A387-1,'Profit Calculation'!Z$6)</f>
        <v>53813</v>
      </c>
      <c r="G387" s="364">
        <f ca="1">IF(Q$27=2,IF(LOOKUP(F387,X$1:X$35,X$1:X$35) = F387,ROUND(LOOKUP(LOOKUP(F387,X$1:X$35,A:A),Single!A$2:A$107,Table13[Saving]),0),IF( LOOKUP(F387,W$1:W$35,W$1:W$35) =
 F387,ROUND(G386*(1+IF($Q$18&lt;6,$R$14,IF($Q$18&lt;11,$R$15,$R$16)))^(1/12),0),G386*(1+IF($Q$18&lt;6,$R$14,IF($Q$18&lt;11,$R$15,$R$16)))^(1/12))),IF(LOOKUP(F387,X$1:X$35,X$1:X$35) = F387,ROUND(LOOKUP(LOOKUP(F387,X$1:X$35,A:A),'Annual Calculation'!A$2:A$107,Table1[Saving]),0),IF( LOOKUP(F387,W$1:W$35,W$1:W$35) =
 F387,ROUND(G386*(1+IF($Q$18&lt;6,$R$14,IF($Q$18&lt;11,$R$15,$R$16)))^(1/12),0),G386*(1+IF($Q$18&lt;6,$R$14,IF($Q$18&lt;11,$R$15,$R$16)))^(1/12))))</f>
        <v>0</v>
      </c>
    </row>
    <row r="388" spans="1:7">
      <c r="A388" s="348">
        <f t="shared" si="12"/>
        <v>387</v>
      </c>
      <c r="B388" s="360">
        <f>DATE('Profit Calculation'!J$6,A$2,A$2+A388-1)</f>
        <v>42391</v>
      </c>
      <c r="D388" s="362">
        <f t="shared" ref="D388:D451" si="13">IF(OR(LOOKUP(B388,W$1:W$35,W$1:W$35) = B388, LOOKUP(B388,X$1:X$35,X$1:X$35) = B388),LOOKUP(B388,F:F,G:G),D387*(1+((IF($Q$18&lt;6,$R$14,IF($Q$18&lt;11,$R$15,$R$16)))))^(1/365))</f>
        <v>100285787.31986085</v>
      </c>
      <c r="F388" s="363">
        <f>DATE('Profit Calculation'!J$6,'Profit Calculation'!R$6+A388-1,'Profit Calculation'!Z$6)</f>
        <v>53844</v>
      </c>
      <c r="G388" s="364">
        <f ca="1">IF(Q$27=2,IF(LOOKUP(F388,X$1:X$35,X$1:X$35) = F388,ROUND(LOOKUP(LOOKUP(F388,X$1:X$35,A:A),Single!A$2:A$107,Table13[Saving]),0),IF( LOOKUP(F388,W$1:W$35,W$1:W$35) =
 F388,ROUND(G387*(1+IF($Q$18&lt;6,$R$14,IF($Q$18&lt;11,$R$15,$R$16)))^(1/12),0),G387*(1+IF($Q$18&lt;6,$R$14,IF($Q$18&lt;11,$R$15,$R$16)))^(1/12))),IF(LOOKUP(F388,X$1:X$35,X$1:X$35) = F388,ROUND(LOOKUP(LOOKUP(F388,X$1:X$35,A:A),'Annual Calculation'!A$2:A$107,Table1[Saving]),0),IF( LOOKUP(F388,W$1:W$35,W$1:W$35) =
 F388,ROUND(G387*(1+IF($Q$18&lt;6,$R$14,IF($Q$18&lt;11,$R$15,$R$16)))^(1/12),0),G387*(1+IF($Q$18&lt;6,$R$14,IF($Q$18&lt;11,$R$15,$R$16)))^(1/12))))</f>
        <v>0</v>
      </c>
    </row>
    <row r="389" spans="1:7">
      <c r="A389" s="348">
        <f t="shared" ref="A389:A452" si="14">A388+1</f>
        <v>388</v>
      </c>
      <c r="B389" s="360">
        <f>DATE('Profit Calculation'!J$6,A$2,A$2+A389-1)</f>
        <v>42392</v>
      </c>
      <c r="D389" s="362">
        <f t="shared" si="13"/>
        <v>100324195.04650852</v>
      </c>
      <c r="F389" s="363">
        <f>DATE('Profit Calculation'!J$6,'Profit Calculation'!R$6+A389-1,'Profit Calculation'!Z$6)</f>
        <v>53874</v>
      </c>
      <c r="G389" s="364">
        <f ca="1">IF(Q$27=2,IF(LOOKUP(F389,X$1:X$35,X$1:X$35) = F389,ROUND(LOOKUP(LOOKUP(F389,X$1:X$35,A:A),Single!A$2:A$107,Table13[Saving]),0),IF( LOOKUP(F389,W$1:W$35,W$1:W$35) =
 F389,ROUND(G388*(1+IF($Q$18&lt;6,$R$14,IF($Q$18&lt;11,$R$15,$R$16)))^(1/12),0),G388*(1+IF($Q$18&lt;6,$R$14,IF($Q$18&lt;11,$R$15,$R$16)))^(1/12))),IF(LOOKUP(F389,X$1:X$35,X$1:X$35) = F389,ROUND(LOOKUP(LOOKUP(F389,X$1:X$35,A:A),'Annual Calculation'!A$2:A$107,Table1[Saving]),0),IF( LOOKUP(F389,W$1:W$35,W$1:W$35) =
 F389,ROUND(G388*(1+IF($Q$18&lt;6,$R$14,IF($Q$18&lt;11,$R$15,$R$16)))^(1/12),0),G388*(1+IF($Q$18&lt;6,$R$14,IF($Q$18&lt;11,$R$15,$R$16)))^(1/12))))</f>
        <v>0</v>
      </c>
    </row>
    <row r="390" spans="1:7">
      <c r="A390" s="348">
        <f t="shared" si="14"/>
        <v>389</v>
      </c>
      <c r="B390" s="360">
        <f>DATE('Profit Calculation'!J$6,A$2,A$2+A390-1)</f>
        <v>42393</v>
      </c>
      <c r="D390" s="362">
        <f t="shared" si="13"/>
        <v>100362617.48265298</v>
      </c>
      <c r="F390" s="363">
        <f>DATE('Profit Calculation'!J$6,'Profit Calculation'!R$6+A390-1,'Profit Calculation'!Z$6)</f>
        <v>53905</v>
      </c>
      <c r="G390" s="364">
        <f ca="1">IF(Q$27=2,IF(LOOKUP(F390,X$1:X$35,X$1:X$35) = F390,ROUND(LOOKUP(LOOKUP(F390,X$1:X$35,A:A),Single!A$2:A$107,Table13[Saving]),0),IF( LOOKUP(F390,W$1:W$35,W$1:W$35) =
 F390,ROUND(G389*(1+IF($Q$18&lt;6,$R$14,IF($Q$18&lt;11,$R$15,$R$16)))^(1/12),0),G389*(1+IF($Q$18&lt;6,$R$14,IF($Q$18&lt;11,$R$15,$R$16)))^(1/12))),IF(LOOKUP(F390,X$1:X$35,X$1:X$35) = F390,ROUND(LOOKUP(LOOKUP(F390,X$1:X$35,A:A),'Annual Calculation'!A$2:A$107,Table1[Saving]),0),IF( LOOKUP(F390,W$1:W$35,W$1:W$35) =
 F390,ROUND(G389*(1+IF($Q$18&lt;6,$R$14,IF($Q$18&lt;11,$R$15,$R$16)))^(1/12),0),G389*(1+IF($Q$18&lt;6,$R$14,IF($Q$18&lt;11,$R$15,$R$16)))^(1/12))))</f>
        <v>0</v>
      </c>
    </row>
    <row r="391" spans="1:7">
      <c r="A391" s="348">
        <f t="shared" si="14"/>
        <v>390</v>
      </c>
      <c r="B391" s="360">
        <f>DATE('Profit Calculation'!J$6,A$2,A$2+A391-1)</f>
        <v>42394</v>
      </c>
      <c r="D391" s="362">
        <f t="shared" si="13"/>
        <v>100401054.6339277</v>
      </c>
      <c r="F391" s="363">
        <f>DATE('Profit Calculation'!J$6,'Profit Calculation'!R$6+A391-1,'Profit Calculation'!Z$6)</f>
        <v>53936</v>
      </c>
      <c r="G391" s="364">
        <f ca="1">IF(Q$27=2,IF(LOOKUP(F391,X$1:X$35,X$1:X$35) = F391,ROUND(LOOKUP(LOOKUP(F391,X$1:X$35,A:A),Single!A$2:A$107,Table13[Saving]),0),IF( LOOKUP(F391,W$1:W$35,W$1:W$35) =
 F391,ROUND(G390*(1+IF($Q$18&lt;6,$R$14,IF($Q$18&lt;11,$R$15,$R$16)))^(1/12),0),G390*(1+IF($Q$18&lt;6,$R$14,IF($Q$18&lt;11,$R$15,$R$16)))^(1/12))),IF(LOOKUP(F391,X$1:X$35,X$1:X$35) = F391,ROUND(LOOKUP(LOOKUP(F391,X$1:X$35,A:A),'Annual Calculation'!A$2:A$107,Table1[Saving]),0),IF( LOOKUP(F391,W$1:W$35,W$1:W$35) =
 F391,ROUND(G390*(1+IF($Q$18&lt;6,$R$14,IF($Q$18&lt;11,$R$15,$R$16)))^(1/12),0),G390*(1+IF($Q$18&lt;6,$R$14,IF($Q$18&lt;11,$R$15,$R$16)))^(1/12))))</f>
        <v>0</v>
      </c>
    </row>
    <row r="392" spans="1:7">
      <c r="A392" s="348">
        <f t="shared" si="14"/>
        <v>391</v>
      </c>
      <c r="B392" s="360">
        <f>DATE('Profit Calculation'!J$6,A$2,A$2+A392-1)</f>
        <v>42395</v>
      </c>
      <c r="D392" s="362">
        <f t="shared" si="13"/>
        <v>100439506.50596833</v>
      </c>
      <c r="F392" s="363">
        <f>DATE('Profit Calculation'!J$6,'Profit Calculation'!R$6+A392-1,'Profit Calculation'!Z$6)</f>
        <v>53966</v>
      </c>
      <c r="G392" s="364">
        <f ca="1">IF(Q$27=2,IF(LOOKUP(F392,X$1:X$35,X$1:X$35) = F392,ROUND(LOOKUP(LOOKUP(F392,X$1:X$35,A:A),Single!A$2:A$107,Table13[Saving]),0),IF( LOOKUP(F392,W$1:W$35,W$1:W$35) =
 F392,ROUND(G391*(1+IF($Q$18&lt;6,$R$14,IF($Q$18&lt;11,$R$15,$R$16)))^(1/12),0),G391*(1+IF($Q$18&lt;6,$R$14,IF($Q$18&lt;11,$R$15,$R$16)))^(1/12))),IF(LOOKUP(F392,X$1:X$35,X$1:X$35) = F392,ROUND(LOOKUP(LOOKUP(F392,X$1:X$35,A:A),'Annual Calculation'!A$2:A$107,Table1[Saving]),0),IF( LOOKUP(F392,W$1:W$35,W$1:W$35) =
 F392,ROUND(G391*(1+IF($Q$18&lt;6,$R$14,IF($Q$18&lt;11,$R$15,$R$16)))^(1/12),0),G391*(1+IF($Q$18&lt;6,$R$14,IF($Q$18&lt;11,$R$15,$R$16)))^(1/12))))</f>
        <v>0</v>
      </c>
    </row>
    <row r="393" spans="1:7">
      <c r="A393" s="348">
        <f t="shared" si="14"/>
        <v>392</v>
      </c>
      <c r="B393" s="360">
        <f>DATE('Profit Calculation'!J$6,A$2,A$2+A393-1)</f>
        <v>42396</v>
      </c>
      <c r="D393" s="362">
        <f t="shared" si="13"/>
        <v>100477973.10441267</v>
      </c>
      <c r="F393" s="363">
        <f>DATE('Profit Calculation'!J$6,'Profit Calculation'!R$6+A393-1,'Profit Calculation'!Z$6)</f>
        <v>53997</v>
      </c>
      <c r="G393" s="364">
        <f ca="1">IF(Q$27=2,IF(LOOKUP(F393,X$1:X$35,X$1:X$35) = F393,ROUND(LOOKUP(LOOKUP(F393,X$1:X$35,A:A),Single!A$2:A$107,Table13[Saving]),0),IF( LOOKUP(F393,W$1:W$35,W$1:W$35) =
 F393,ROUND(G392*(1+IF($Q$18&lt;6,$R$14,IF($Q$18&lt;11,$R$15,$R$16)))^(1/12),0),G392*(1+IF($Q$18&lt;6,$R$14,IF($Q$18&lt;11,$R$15,$R$16)))^(1/12))),IF(LOOKUP(F393,X$1:X$35,X$1:X$35) = F393,ROUND(LOOKUP(LOOKUP(F393,X$1:X$35,A:A),'Annual Calculation'!A$2:A$107,Table1[Saving]),0),IF( LOOKUP(F393,W$1:W$35,W$1:W$35) =
 F393,ROUND(G392*(1+IF($Q$18&lt;6,$R$14,IF($Q$18&lt;11,$R$15,$R$16)))^(1/12),0),G392*(1+IF($Q$18&lt;6,$R$14,IF($Q$18&lt;11,$R$15,$R$16)))^(1/12))))</f>
        <v>0</v>
      </c>
    </row>
    <row r="394" spans="1:7">
      <c r="A394" s="348">
        <f t="shared" si="14"/>
        <v>393</v>
      </c>
      <c r="B394" s="360">
        <f>DATE('Profit Calculation'!J$6,A$2,A$2+A394-1)</f>
        <v>42397</v>
      </c>
      <c r="D394" s="362">
        <f t="shared" si="13"/>
        <v>100516454.43490069</v>
      </c>
      <c r="F394" s="363">
        <f>DATE('Profit Calculation'!J$6,'Profit Calculation'!R$6+A394-1,'Profit Calculation'!Z$6)</f>
        <v>54027</v>
      </c>
      <c r="G394" s="364">
        <f ca="1">IF(Q$27=2,IF(LOOKUP(F394,X$1:X$35,X$1:X$35) = F394,ROUND(LOOKUP(LOOKUP(F394,X$1:X$35,A:A),Single!A$2:A$107,Table13[Saving]),0),IF( LOOKUP(F394,W$1:W$35,W$1:W$35) =
 F394,ROUND(G393*(1+IF($Q$18&lt;6,$R$14,IF($Q$18&lt;11,$R$15,$R$16)))^(1/12),0),G393*(1+IF($Q$18&lt;6,$R$14,IF($Q$18&lt;11,$R$15,$R$16)))^(1/12))),IF(LOOKUP(F394,X$1:X$35,X$1:X$35) = F394,ROUND(LOOKUP(LOOKUP(F394,X$1:X$35,A:A),'Annual Calculation'!A$2:A$107,Table1[Saving]),0),IF( LOOKUP(F394,W$1:W$35,W$1:W$35) =
 F394,ROUND(G393*(1+IF($Q$18&lt;6,$R$14,IF($Q$18&lt;11,$R$15,$R$16)))^(1/12),0),G393*(1+IF($Q$18&lt;6,$R$14,IF($Q$18&lt;11,$R$15,$R$16)))^(1/12))))</f>
        <v>0</v>
      </c>
    </row>
    <row r="395" spans="1:7">
      <c r="A395" s="348">
        <f t="shared" si="14"/>
        <v>394</v>
      </c>
      <c r="B395" s="360">
        <f>DATE('Profit Calculation'!J$6,A$2,A$2+A395-1)</f>
        <v>42398</v>
      </c>
      <c r="D395" s="362">
        <f t="shared" si="13"/>
        <v>100554950.50307448</v>
      </c>
      <c r="F395" s="363">
        <f>DATE('Profit Calculation'!J$6,'Profit Calculation'!R$6+A395-1,'Profit Calculation'!Z$6)</f>
        <v>54058</v>
      </c>
      <c r="G395" s="364">
        <f ca="1">IF(Q$27=2,IF(LOOKUP(F395,X$1:X$35,X$1:X$35) = F395,ROUND(LOOKUP(LOOKUP(F395,X$1:X$35,A:A),Single!A$2:A$107,Table13[Saving]),0),IF( LOOKUP(F395,W$1:W$35,W$1:W$35) =
 F395,ROUND(G394*(1+IF($Q$18&lt;6,$R$14,IF($Q$18&lt;11,$R$15,$R$16)))^(1/12),0),G394*(1+IF($Q$18&lt;6,$R$14,IF($Q$18&lt;11,$R$15,$R$16)))^(1/12))),IF(LOOKUP(F395,X$1:X$35,X$1:X$35) = F395,ROUND(LOOKUP(LOOKUP(F395,X$1:X$35,A:A),'Annual Calculation'!A$2:A$107,Table1[Saving]),0),IF( LOOKUP(F395,W$1:W$35,W$1:W$35) =
 F395,ROUND(G394*(1+IF($Q$18&lt;6,$R$14,IF($Q$18&lt;11,$R$15,$R$16)))^(1/12),0),G394*(1+IF($Q$18&lt;6,$R$14,IF($Q$18&lt;11,$R$15,$R$16)))^(1/12))))</f>
        <v>0</v>
      </c>
    </row>
    <row r="396" spans="1:7">
      <c r="A396" s="348">
        <f t="shared" si="14"/>
        <v>395</v>
      </c>
      <c r="B396" s="360">
        <f>DATE('Profit Calculation'!J$6,A$2,A$2+A396-1)</f>
        <v>42399</v>
      </c>
      <c r="D396" s="362">
        <f t="shared" si="13"/>
        <v>100593461.31457835</v>
      </c>
      <c r="F396" s="363">
        <f>DATE('Profit Calculation'!J$6,'Profit Calculation'!R$6+A396-1,'Profit Calculation'!Z$6)</f>
        <v>54089</v>
      </c>
      <c r="G396" s="364">
        <f ca="1">IF(Q$27=2,IF(LOOKUP(F396,X$1:X$35,X$1:X$35) = F396,ROUND(LOOKUP(LOOKUP(F396,X$1:X$35,A:A),Single!A$2:A$107,Table13[Saving]),0),IF( LOOKUP(F396,W$1:W$35,W$1:W$35) =
 F396,ROUND(G395*(1+IF($Q$18&lt;6,$R$14,IF($Q$18&lt;11,$R$15,$R$16)))^(1/12),0),G395*(1+IF($Q$18&lt;6,$R$14,IF($Q$18&lt;11,$R$15,$R$16)))^(1/12))),IF(LOOKUP(F396,X$1:X$35,X$1:X$35) = F396,ROUND(LOOKUP(LOOKUP(F396,X$1:X$35,A:A),'Annual Calculation'!A$2:A$107,Table1[Saving]),0),IF( LOOKUP(F396,W$1:W$35,W$1:W$35) =
 F396,ROUND(G395*(1+IF($Q$18&lt;6,$R$14,IF($Q$18&lt;11,$R$15,$R$16)))^(1/12),0),G395*(1+IF($Q$18&lt;6,$R$14,IF($Q$18&lt;11,$R$15,$R$16)))^(1/12))))</f>
        <v>0</v>
      </c>
    </row>
    <row r="397" spans="1:7">
      <c r="A397" s="348">
        <f t="shared" si="14"/>
        <v>396</v>
      </c>
      <c r="B397" s="360">
        <f>DATE('Profit Calculation'!J$6,A$2,A$2+A397-1)</f>
        <v>42400</v>
      </c>
      <c r="D397" s="362">
        <f t="shared" si="13"/>
        <v>100631986.87505873</v>
      </c>
      <c r="F397" s="363">
        <f>DATE('Profit Calculation'!J$6,'Profit Calculation'!R$6+A397-1,'Profit Calculation'!Z$6)</f>
        <v>54118</v>
      </c>
      <c r="G397" s="364">
        <f ca="1">IF(Q$27=2,IF(LOOKUP(F397,X$1:X$35,X$1:X$35) = F397,ROUND(LOOKUP(LOOKUP(F397,X$1:X$35,A:A),Single!A$2:A$107,Table13[Saving]),0),IF( LOOKUP(F397,W$1:W$35,W$1:W$35) =
 F397,ROUND(G396*(1+IF($Q$18&lt;6,$R$14,IF($Q$18&lt;11,$R$15,$R$16)))^(1/12),0),G396*(1+IF($Q$18&lt;6,$R$14,IF($Q$18&lt;11,$R$15,$R$16)))^(1/12))),IF(LOOKUP(F397,X$1:X$35,X$1:X$35) = F397,ROUND(LOOKUP(LOOKUP(F397,X$1:X$35,A:A),'Annual Calculation'!A$2:A$107,Table1[Saving]),0),IF( LOOKUP(F397,W$1:W$35,W$1:W$35) =
 F397,ROUND(G396*(1+IF($Q$18&lt;6,$R$14,IF($Q$18&lt;11,$R$15,$R$16)))^(1/12),0),G396*(1+IF($Q$18&lt;6,$R$14,IF($Q$18&lt;11,$R$15,$R$16)))^(1/12))))</f>
        <v>0</v>
      </c>
    </row>
    <row r="398" spans="1:7">
      <c r="A398" s="348">
        <f t="shared" si="14"/>
        <v>397</v>
      </c>
      <c r="B398" s="360">
        <f>DATE('Profit Calculation'!J$6,A$2,A$2+A398-1)</f>
        <v>42401</v>
      </c>
      <c r="D398" s="362">
        <f t="shared" si="13"/>
        <v>100670527.19016421</v>
      </c>
      <c r="F398" s="363">
        <f>DATE('Profit Calculation'!J$6,'Profit Calculation'!R$6+A398-1,'Profit Calculation'!Z$6)</f>
        <v>54149</v>
      </c>
      <c r="G398" s="364">
        <f ca="1">IF(Q$27=2,IF(LOOKUP(F398,X$1:X$35,X$1:X$35) = F398,ROUND(LOOKUP(LOOKUP(F398,X$1:X$35,A:A),Single!A$2:A$107,Table13[Saving]),0),IF( LOOKUP(F398,W$1:W$35,W$1:W$35) =
 F398,ROUND(G397*(1+IF($Q$18&lt;6,$R$14,IF($Q$18&lt;11,$R$15,$R$16)))^(1/12),0),G397*(1+IF($Q$18&lt;6,$R$14,IF($Q$18&lt;11,$R$15,$R$16)))^(1/12))),IF(LOOKUP(F398,X$1:X$35,X$1:X$35) = F398,ROUND(LOOKUP(LOOKUP(F398,X$1:X$35,A:A),'Annual Calculation'!A$2:A$107,Table1[Saving]),0),IF( LOOKUP(F398,W$1:W$35,W$1:W$35) =
 F398,ROUND(G397*(1+IF($Q$18&lt;6,$R$14,IF($Q$18&lt;11,$R$15,$R$16)))^(1/12),0),G397*(1+IF($Q$18&lt;6,$R$14,IF($Q$18&lt;11,$R$15,$R$16)))^(1/12))))</f>
        <v>0</v>
      </c>
    </row>
    <row r="399" spans="1:7">
      <c r="A399" s="348">
        <f t="shared" si="14"/>
        <v>398</v>
      </c>
      <c r="B399" s="360">
        <f>DATE('Profit Calculation'!J$6,A$2,A$2+A399-1)</f>
        <v>42402</v>
      </c>
      <c r="D399" s="362">
        <f t="shared" si="13"/>
        <v>100709082.26554558</v>
      </c>
      <c r="F399" s="363">
        <f>DATE('Profit Calculation'!J$6,'Profit Calculation'!R$6+A399-1,'Profit Calculation'!Z$6)</f>
        <v>54179</v>
      </c>
      <c r="G399" s="364">
        <f ca="1">IF(Q$27=2,IF(LOOKUP(F399,X$1:X$35,X$1:X$35) = F399,ROUND(LOOKUP(LOOKUP(F399,X$1:X$35,A:A),Single!A$2:A$107,Table13[Saving]),0),IF( LOOKUP(F399,W$1:W$35,W$1:W$35) =
 F399,ROUND(G398*(1+IF($Q$18&lt;6,$R$14,IF($Q$18&lt;11,$R$15,$R$16)))^(1/12),0),G398*(1+IF($Q$18&lt;6,$R$14,IF($Q$18&lt;11,$R$15,$R$16)))^(1/12))),IF(LOOKUP(F399,X$1:X$35,X$1:X$35) = F399,ROUND(LOOKUP(LOOKUP(F399,X$1:X$35,A:A),'Annual Calculation'!A$2:A$107,Table1[Saving]),0),IF( LOOKUP(F399,W$1:W$35,W$1:W$35) =
 F399,ROUND(G398*(1+IF($Q$18&lt;6,$R$14,IF($Q$18&lt;11,$R$15,$R$16)))^(1/12),0),G398*(1+IF($Q$18&lt;6,$R$14,IF($Q$18&lt;11,$R$15,$R$16)))^(1/12))))</f>
        <v>0</v>
      </c>
    </row>
    <row r="400" spans="1:7">
      <c r="A400" s="348">
        <f t="shared" si="14"/>
        <v>399</v>
      </c>
      <c r="B400" s="360">
        <f>DATE('Profit Calculation'!J$6,A$2,A$2+A400-1)</f>
        <v>42403</v>
      </c>
      <c r="D400" s="362">
        <f t="shared" si="13"/>
        <v>100747652.10685575</v>
      </c>
      <c r="F400" s="363">
        <f>DATE('Profit Calculation'!J$6,'Profit Calculation'!R$6+A400-1,'Profit Calculation'!Z$6)</f>
        <v>54210</v>
      </c>
      <c r="G400" s="364">
        <f ca="1">IF(Q$27=2,IF(LOOKUP(F400,X$1:X$35,X$1:X$35) = F400,ROUND(LOOKUP(LOOKUP(F400,X$1:X$35,A:A),Single!A$2:A$107,Table13[Saving]),0),IF( LOOKUP(F400,W$1:W$35,W$1:W$35) =
 F400,ROUND(G399*(1+IF($Q$18&lt;6,$R$14,IF($Q$18&lt;11,$R$15,$R$16)))^(1/12),0),G399*(1+IF($Q$18&lt;6,$R$14,IF($Q$18&lt;11,$R$15,$R$16)))^(1/12))),IF(LOOKUP(F400,X$1:X$35,X$1:X$35) = F400,ROUND(LOOKUP(LOOKUP(F400,X$1:X$35,A:A),'Annual Calculation'!A$2:A$107,Table1[Saving]),0),IF( LOOKUP(F400,W$1:W$35,W$1:W$35) =
 F400,ROUND(G399*(1+IF($Q$18&lt;6,$R$14,IF($Q$18&lt;11,$R$15,$R$16)))^(1/12),0),G399*(1+IF($Q$18&lt;6,$R$14,IF($Q$18&lt;11,$R$15,$R$16)))^(1/12))))</f>
        <v>0</v>
      </c>
    </row>
    <row r="401" spans="1:7">
      <c r="A401" s="348">
        <f t="shared" si="14"/>
        <v>400</v>
      </c>
      <c r="B401" s="360">
        <f>DATE('Profit Calculation'!J$6,A$2,A$2+A401-1)</f>
        <v>42404</v>
      </c>
      <c r="D401" s="362">
        <f t="shared" si="13"/>
        <v>100786236.71974982</v>
      </c>
      <c r="F401" s="363">
        <f>DATE('Profit Calculation'!J$6,'Profit Calculation'!R$6+A401-1,'Profit Calculation'!Z$6)</f>
        <v>54240</v>
      </c>
      <c r="G401" s="364">
        <f ca="1">IF(Q$27=2,IF(LOOKUP(F401,X$1:X$35,X$1:X$35) = F401,ROUND(LOOKUP(LOOKUP(F401,X$1:X$35,A:A),Single!A$2:A$107,Table13[Saving]),0),IF( LOOKUP(F401,W$1:W$35,W$1:W$35) =
 F401,ROUND(G400*(1+IF($Q$18&lt;6,$R$14,IF($Q$18&lt;11,$R$15,$R$16)))^(1/12),0),G400*(1+IF($Q$18&lt;6,$R$14,IF($Q$18&lt;11,$R$15,$R$16)))^(1/12))),IF(LOOKUP(F401,X$1:X$35,X$1:X$35) = F401,ROUND(LOOKUP(LOOKUP(F401,X$1:X$35,A:A),'Annual Calculation'!A$2:A$107,Table1[Saving]),0),IF( LOOKUP(F401,W$1:W$35,W$1:W$35) =
 F401,ROUND(G400*(1+IF($Q$18&lt;6,$R$14,IF($Q$18&lt;11,$R$15,$R$16)))^(1/12),0),G400*(1+IF($Q$18&lt;6,$R$14,IF($Q$18&lt;11,$R$15,$R$16)))^(1/12))))</f>
        <v>0</v>
      </c>
    </row>
    <row r="402" spans="1:7">
      <c r="A402" s="348">
        <f t="shared" si="14"/>
        <v>401</v>
      </c>
      <c r="B402" s="360">
        <f>DATE('Profit Calculation'!J$6,A$2,A$2+A402-1)</f>
        <v>42405</v>
      </c>
      <c r="D402" s="362">
        <f t="shared" si="13"/>
        <v>100824836.10988507</v>
      </c>
      <c r="F402" s="363">
        <f>DATE('Profit Calculation'!J$6,'Profit Calculation'!R$6+A402-1,'Profit Calculation'!Z$6)</f>
        <v>54271</v>
      </c>
      <c r="G402" s="364">
        <f ca="1">IF(Q$27=2,IF(LOOKUP(F402,X$1:X$35,X$1:X$35) = F402,ROUND(LOOKUP(LOOKUP(F402,X$1:X$35,A:A),Single!A$2:A$107,Table13[Saving]),0),IF( LOOKUP(F402,W$1:W$35,W$1:W$35) =
 F402,ROUND(G401*(1+IF($Q$18&lt;6,$R$14,IF($Q$18&lt;11,$R$15,$R$16)))^(1/12),0),G401*(1+IF($Q$18&lt;6,$R$14,IF($Q$18&lt;11,$R$15,$R$16)))^(1/12))),IF(LOOKUP(F402,X$1:X$35,X$1:X$35) = F402,ROUND(LOOKUP(LOOKUP(F402,X$1:X$35,A:A),'Annual Calculation'!A$2:A$107,Table1[Saving]),0),IF( LOOKUP(F402,W$1:W$35,W$1:W$35) =
 F402,ROUND(G401*(1+IF($Q$18&lt;6,$R$14,IF($Q$18&lt;11,$R$15,$R$16)))^(1/12),0),G401*(1+IF($Q$18&lt;6,$R$14,IF($Q$18&lt;11,$R$15,$R$16)))^(1/12))))</f>
        <v>0</v>
      </c>
    </row>
    <row r="403" spans="1:7">
      <c r="A403" s="348">
        <f t="shared" si="14"/>
        <v>402</v>
      </c>
      <c r="B403" s="360">
        <f>DATE('Profit Calculation'!J$6,A$2,A$2+A403-1)</f>
        <v>42406</v>
      </c>
      <c r="D403" s="362">
        <f t="shared" si="13"/>
        <v>100863450.28292091</v>
      </c>
      <c r="F403" s="363">
        <f>DATE('Profit Calculation'!J$6,'Profit Calculation'!R$6+A403-1,'Profit Calculation'!Z$6)</f>
        <v>54302</v>
      </c>
      <c r="G403" s="364">
        <f ca="1">IF(Q$27=2,IF(LOOKUP(F403,X$1:X$35,X$1:X$35) = F403,ROUND(LOOKUP(LOOKUP(F403,X$1:X$35,A:A),Single!A$2:A$107,Table13[Saving]),0),IF( LOOKUP(F403,W$1:W$35,W$1:W$35) =
 F403,ROUND(G402*(1+IF($Q$18&lt;6,$R$14,IF($Q$18&lt;11,$R$15,$R$16)))^(1/12),0),G402*(1+IF($Q$18&lt;6,$R$14,IF($Q$18&lt;11,$R$15,$R$16)))^(1/12))),IF(LOOKUP(F403,X$1:X$35,X$1:X$35) = F403,ROUND(LOOKUP(LOOKUP(F403,X$1:X$35,A:A),'Annual Calculation'!A$2:A$107,Table1[Saving]),0),IF( LOOKUP(F403,W$1:W$35,W$1:W$35) =
 F403,ROUND(G402*(1+IF($Q$18&lt;6,$R$14,IF($Q$18&lt;11,$R$15,$R$16)))^(1/12),0),G402*(1+IF($Q$18&lt;6,$R$14,IF($Q$18&lt;11,$R$15,$R$16)))^(1/12))))</f>
        <v>0</v>
      </c>
    </row>
    <row r="404" spans="1:7">
      <c r="A404" s="348">
        <f t="shared" si="14"/>
        <v>403</v>
      </c>
      <c r="B404" s="360">
        <f>DATE('Profit Calculation'!J$6,A$2,A$2+A404-1)</f>
        <v>42407</v>
      </c>
      <c r="D404" s="362">
        <f t="shared" si="13"/>
        <v>100902079.24451895</v>
      </c>
      <c r="F404" s="363">
        <f>DATE('Profit Calculation'!J$6,'Profit Calculation'!R$6+A404-1,'Profit Calculation'!Z$6)</f>
        <v>54332</v>
      </c>
      <c r="G404" s="364">
        <f ca="1">IF(Q$27=2,IF(LOOKUP(F404,X$1:X$35,X$1:X$35) = F404,ROUND(LOOKUP(LOOKUP(F404,X$1:X$35,A:A),Single!A$2:A$107,Table13[Saving]),0),IF( LOOKUP(F404,W$1:W$35,W$1:W$35) =
 F404,ROUND(G403*(1+IF($Q$18&lt;6,$R$14,IF($Q$18&lt;11,$R$15,$R$16)))^(1/12),0),G403*(1+IF($Q$18&lt;6,$R$14,IF($Q$18&lt;11,$R$15,$R$16)))^(1/12))),IF(LOOKUP(F404,X$1:X$35,X$1:X$35) = F404,ROUND(LOOKUP(LOOKUP(F404,X$1:X$35,A:A),'Annual Calculation'!A$2:A$107,Table1[Saving]),0),IF( LOOKUP(F404,W$1:W$35,W$1:W$35) =
 F404,ROUND(G403*(1+IF($Q$18&lt;6,$R$14,IF($Q$18&lt;11,$R$15,$R$16)))^(1/12),0),G403*(1+IF($Q$18&lt;6,$R$14,IF($Q$18&lt;11,$R$15,$R$16)))^(1/12))))</f>
        <v>0</v>
      </c>
    </row>
    <row r="405" spans="1:7">
      <c r="A405" s="348">
        <f t="shared" si="14"/>
        <v>404</v>
      </c>
      <c r="B405" s="360">
        <f>DATE('Profit Calculation'!J$6,A$2,A$2+A405-1)</f>
        <v>42408</v>
      </c>
      <c r="D405" s="362">
        <f t="shared" si="13"/>
        <v>100940723.00034294</v>
      </c>
      <c r="F405" s="363">
        <f>DATE('Profit Calculation'!J$6,'Profit Calculation'!R$6+A405-1,'Profit Calculation'!Z$6)</f>
        <v>54363</v>
      </c>
      <c r="G405" s="364">
        <f ca="1">IF(Q$27=2,IF(LOOKUP(F405,X$1:X$35,X$1:X$35) = F405,ROUND(LOOKUP(LOOKUP(F405,X$1:X$35,A:A),Single!A$2:A$107,Table13[Saving]),0),IF( LOOKUP(F405,W$1:W$35,W$1:W$35) =
 F405,ROUND(G404*(1+IF($Q$18&lt;6,$R$14,IF($Q$18&lt;11,$R$15,$R$16)))^(1/12),0),G404*(1+IF($Q$18&lt;6,$R$14,IF($Q$18&lt;11,$R$15,$R$16)))^(1/12))),IF(LOOKUP(F405,X$1:X$35,X$1:X$35) = F405,ROUND(LOOKUP(LOOKUP(F405,X$1:X$35,A:A),'Annual Calculation'!A$2:A$107,Table1[Saving]),0),IF( LOOKUP(F405,W$1:W$35,W$1:W$35) =
 F405,ROUND(G404*(1+IF($Q$18&lt;6,$R$14,IF($Q$18&lt;11,$R$15,$R$16)))^(1/12),0),G404*(1+IF($Q$18&lt;6,$R$14,IF($Q$18&lt;11,$R$15,$R$16)))^(1/12))))</f>
        <v>0</v>
      </c>
    </row>
    <row r="406" spans="1:7">
      <c r="A406" s="348">
        <f t="shared" si="14"/>
        <v>405</v>
      </c>
      <c r="B406" s="360">
        <f>DATE('Profit Calculation'!J$6,A$2,A$2+A406-1)</f>
        <v>42409</v>
      </c>
      <c r="D406" s="362">
        <f t="shared" si="13"/>
        <v>100979381.55605881</v>
      </c>
      <c r="F406" s="363">
        <f>DATE('Profit Calculation'!J$6,'Profit Calculation'!R$6+A406-1,'Profit Calculation'!Z$6)</f>
        <v>54393</v>
      </c>
      <c r="G406" s="364">
        <f ca="1">IF(Q$27=2,IF(LOOKUP(F406,X$1:X$35,X$1:X$35) = F406,ROUND(LOOKUP(LOOKUP(F406,X$1:X$35,A:A),Single!A$2:A$107,Table13[Saving]),0),IF( LOOKUP(F406,W$1:W$35,W$1:W$35) =
 F406,ROUND(G405*(1+IF($Q$18&lt;6,$R$14,IF($Q$18&lt;11,$R$15,$R$16)))^(1/12),0),G405*(1+IF($Q$18&lt;6,$R$14,IF($Q$18&lt;11,$R$15,$R$16)))^(1/12))),IF(LOOKUP(F406,X$1:X$35,X$1:X$35) = F406,ROUND(LOOKUP(LOOKUP(F406,X$1:X$35,A:A),'Annual Calculation'!A$2:A$107,Table1[Saving]),0),IF( LOOKUP(F406,W$1:W$35,W$1:W$35) =
 F406,ROUND(G405*(1+IF($Q$18&lt;6,$R$14,IF($Q$18&lt;11,$R$15,$R$16)))^(1/12),0),G405*(1+IF($Q$18&lt;6,$R$14,IF($Q$18&lt;11,$R$15,$R$16)))^(1/12))))</f>
        <v>0</v>
      </c>
    </row>
    <row r="407" spans="1:7">
      <c r="A407" s="348">
        <f t="shared" si="14"/>
        <v>406</v>
      </c>
      <c r="B407" s="360">
        <f>DATE('Profit Calculation'!J$6,A$2,A$2+A407-1)</f>
        <v>42410</v>
      </c>
      <c r="D407" s="362">
        <f t="shared" si="13"/>
        <v>101018054.91733468</v>
      </c>
      <c r="F407" s="363">
        <f>DATE('Profit Calculation'!J$6,'Profit Calculation'!R$6+A407-1,'Profit Calculation'!Z$6)</f>
        <v>54424</v>
      </c>
      <c r="G407" s="364">
        <f ca="1">IF(Q$27=2,IF(LOOKUP(F407,X$1:X$35,X$1:X$35) = F407,ROUND(LOOKUP(LOOKUP(F407,X$1:X$35,A:A),Single!A$2:A$107,Table13[Saving]),0),IF( LOOKUP(F407,W$1:W$35,W$1:W$35) =
 F407,ROUND(G406*(1+IF($Q$18&lt;6,$R$14,IF($Q$18&lt;11,$R$15,$R$16)))^(1/12),0),G406*(1+IF($Q$18&lt;6,$R$14,IF($Q$18&lt;11,$R$15,$R$16)))^(1/12))),IF(LOOKUP(F407,X$1:X$35,X$1:X$35) = F407,ROUND(LOOKUP(LOOKUP(F407,X$1:X$35,A:A),'Annual Calculation'!A$2:A$107,Table1[Saving]),0),IF( LOOKUP(F407,W$1:W$35,W$1:W$35) =
 F407,ROUND(G406*(1+IF($Q$18&lt;6,$R$14,IF($Q$18&lt;11,$R$15,$R$16)))^(1/12),0),G406*(1+IF($Q$18&lt;6,$R$14,IF($Q$18&lt;11,$R$15,$R$16)))^(1/12))))</f>
        <v>0</v>
      </c>
    </row>
    <row r="408" spans="1:7">
      <c r="A408" s="348">
        <f t="shared" si="14"/>
        <v>407</v>
      </c>
      <c r="B408" s="360">
        <f>DATE('Profit Calculation'!J$6,A$2,A$2+A408-1)</f>
        <v>42411</v>
      </c>
      <c r="D408" s="362">
        <f t="shared" si="13"/>
        <v>101056743.08984081</v>
      </c>
      <c r="F408" s="363">
        <f>DATE('Profit Calculation'!J$6,'Profit Calculation'!R$6+A408-1,'Profit Calculation'!Z$6)</f>
        <v>54455</v>
      </c>
      <c r="G408" s="364">
        <f ca="1">IF(Q$27=2,IF(LOOKUP(F408,X$1:X$35,X$1:X$35) = F408,ROUND(LOOKUP(LOOKUP(F408,X$1:X$35,A:A),Single!A$2:A$107,Table13[Saving]),0),IF( LOOKUP(F408,W$1:W$35,W$1:W$35) =
 F408,ROUND(G407*(1+IF($Q$18&lt;6,$R$14,IF($Q$18&lt;11,$R$15,$R$16)))^(1/12),0),G407*(1+IF($Q$18&lt;6,$R$14,IF($Q$18&lt;11,$R$15,$R$16)))^(1/12))),IF(LOOKUP(F408,X$1:X$35,X$1:X$35) = F408,ROUND(LOOKUP(LOOKUP(F408,X$1:X$35,A:A),'Annual Calculation'!A$2:A$107,Table1[Saving]),0),IF( LOOKUP(F408,W$1:W$35,W$1:W$35) =
 F408,ROUND(G407*(1+IF($Q$18&lt;6,$R$14,IF($Q$18&lt;11,$R$15,$R$16)))^(1/12),0),G407*(1+IF($Q$18&lt;6,$R$14,IF($Q$18&lt;11,$R$15,$R$16)))^(1/12))))</f>
        <v>0</v>
      </c>
    </row>
    <row r="409" spans="1:7">
      <c r="A409" s="348">
        <f t="shared" si="14"/>
        <v>408</v>
      </c>
      <c r="B409" s="360">
        <f>DATE('Profit Calculation'!J$6,A$2,A$2+A409-1)</f>
        <v>42412</v>
      </c>
      <c r="D409" s="362">
        <f t="shared" si="13"/>
        <v>101095446.07924967</v>
      </c>
      <c r="F409" s="363">
        <f>DATE('Profit Calculation'!J$6,'Profit Calculation'!R$6+A409-1,'Profit Calculation'!Z$6)</f>
        <v>54483</v>
      </c>
      <c r="G409" s="364">
        <f ca="1">IF(Q$27=2,IF(LOOKUP(F409,X$1:X$35,X$1:X$35) = F409,ROUND(LOOKUP(LOOKUP(F409,X$1:X$35,A:A),Single!A$2:A$107,Table13[Saving]),0),IF( LOOKUP(F409,W$1:W$35,W$1:W$35) =
 F409,ROUND(G408*(1+IF($Q$18&lt;6,$R$14,IF($Q$18&lt;11,$R$15,$R$16)))^(1/12),0),G408*(1+IF($Q$18&lt;6,$R$14,IF($Q$18&lt;11,$R$15,$R$16)))^(1/12))),IF(LOOKUP(F409,X$1:X$35,X$1:X$35) = F409,ROUND(LOOKUP(LOOKUP(F409,X$1:X$35,A:A),'Annual Calculation'!A$2:A$107,Table1[Saving]),0),IF( LOOKUP(F409,W$1:W$35,W$1:W$35) =
 F409,ROUND(G408*(1+IF($Q$18&lt;6,$R$14,IF($Q$18&lt;11,$R$15,$R$16)))^(1/12),0),G408*(1+IF($Q$18&lt;6,$R$14,IF($Q$18&lt;11,$R$15,$R$16)))^(1/12))))</f>
        <v>0</v>
      </c>
    </row>
    <row r="410" spans="1:7">
      <c r="A410" s="348">
        <f t="shared" si="14"/>
        <v>409</v>
      </c>
      <c r="B410" s="360">
        <f>DATE('Profit Calculation'!J$6,A$2,A$2+A410-1)</f>
        <v>42413</v>
      </c>
      <c r="D410" s="362">
        <f t="shared" si="13"/>
        <v>101134163.89123584</v>
      </c>
      <c r="F410" s="363">
        <f>DATE('Profit Calculation'!J$6,'Profit Calculation'!R$6+A410-1,'Profit Calculation'!Z$6)</f>
        <v>54514</v>
      </c>
      <c r="G410" s="364">
        <f ca="1">IF(Q$27=2,IF(LOOKUP(F410,X$1:X$35,X$1:X$35) = F410,ROUND(LOOKUP(LOOKUP(F410,X$1:X$35,A:A),Single!A$2:A$107,Table13[Saving]),0),IF( LOOKUP(F410,W$1:W$35,W$1:W$35) =
 F410,ROUND(G409*(1+IF($Q$18&lt;6,$R$14,IF($Q$18&lt;11,$R$15,$R$16)))^(1/12),0),G409*(1+IF($Q$18&lt;6,$R$14,IF($Q$18&lt;11,$R$15,$R$16)))^(1/12))),IF(LOOKUP(F410,X$1:X$35,X$1:X$35) = F410,ROUND(LOOKUP(LOOKUP(F410,X$1:X$35,A:A),'Annual Calculation'!A$2:A$107,Table1[Saving]),0),IF( LOOKUP(F410,W$1:W$35,W$1:W$35) =
 F410,ROUND(G409*(1+IF($Q$18&lt;6,$R$14,IF($Q$18&lt;11,$R$15,$R$16)))^(1/12),0),G409*(1+IF($Q$18&lt;6,$R$14,IF($Q$18&lt;11,$R$15,$R$16)))^(1/12))))</f>
        <v>0</v>
      </c>
    </row>
    <row r="411" spans="1:7">
      <c r="A411" s="348">
        <f t="shared" si="14"/>
        <v>410</v>
      </c>
      <c r="B411" s="360">
        <f>DATE('Profit Calculation'!J$6,A$2,A$2+A411-1)</f>
        <v>42414</v>
      </c>
      <c r="D411" s="362">
        <f t="shared" si="13"/>
        <v>101172896.53147614</v>
      </c>
      <c r="F411" s="363">
        <f>DATE('Profit Calculation'!J$6,'Profit Calculation'!R$6+A411-1,'Profit Calculation'!Z$6)</f>
        <v>54544</v>
      </c>
      <c r="G411" s="364">
        <f ca="1">IF(Q$27=2,IF(LOOKUP(F411,X$1:X$35,X$1:X$35) = F411,ROUND(LOOKUP(LOOKUP(F411,X$1:X$35,A:A),Single!A$2:A$107,Table13[Saving]),0),IF( LOOKUP(F411,W$1:W$35,W$1:W$35) =
 F411,ROUND(G410*(1+IF($Q$18&lt;6,$R$14,IF($Q$18&lt;11,$R$15,$R$16)))^(1/12),0),G410*(1+IF($Q$18&lt;6,$R$14,IF($Q$18&lt;11,$R$15,$R$16)))^(1/12))),IF(LOOKUP(F411,X$1:X$35,X$1:X$35) = F411,ROUND(LOOKUP(LOOKUP(F411,X$1:X$35,A:A),'Annual Calculation'!A$2:A$107,Table1[Saving]),0),IF( LOOKUP(F411,W$1:W$35,W$1:W$35) =
 F411,ROUND(G410*(1+IF($Q$18&lt;6,$R$14,IF($Q$18&lt;11,$R$15,$R$16)))^(1/12),0),G410*(1+IF($Q$18&lt;6,$R$14,IF($Q$18&lt;11,$R$15,$R$16)))^(1/12))))</f>
        <v>0</v>
      </c>
    </row>
    <row r="412" spans="1:7">
      <c r="A412" s="348">
        <f t="shared" si="14"/>
        <v>411</v>
      </c>
      <c r="B412" s="360">
        <f>DATE('Profit Calculation'!J$6,A$2,A$2+A412-1)</f>
        <v>42415</v>
      </c>
      <c r="D412" s="362">
        <f t="shared" si="13"/>
        <v>101211644.00564952</v>
      </c>
      <c r="F412" s="363">
        <f>DATE('Profit Calculation'!J$6,'Profit Calculation'!R$6+A412-1,'Profit Calculation'!Z$6)</f>
        <v>54575</v>
      </c>
      <c r="G412" s="364">
        <f ca="1">IF(Q$27=2,IF(LOOKUP(F412,X$1:X$35,X$1:X$35) = F412,ROUND(LOOKUP(LOOKUP(F412,X$1:X$35,A:A),Single!A$2:A$107,Table13[Saving]),0),IF( LOOKUP(F412,W$1:W$35,W$1:W$35) =
 F412,ROUND(G411*(1+IF($Q$18&lt;6,$R$14,IF($Q$18&lt;11,$R$15,$R$16)))^(1/12),0),G411*(1+IF($Q$18&lt;6,$R$14,IF($Q$18&lt;11,$R$15,$R$16)))^(1/12))),IF(LOOKUP(F412,X$1:X$35,X$1:X$35) = F412,ROUND(LOOKUP(LOOKUP(F412,X$1:X$35,A:A),'Annual Calculation'!A$2:A$107,Table1[Saving]),0),IF( LOOKUP(F412,W$1:W$35,W$1:W$35) =
 F412,ROUND(G411*(1+IF($Q$18&lt;6,$R$14,IF($Q$18&lt;11,$R$15,$R$16)))^(1/12),0),G411*(1+IF($Q$18&lt;6,$R$14,IF($Q$18&lt;11,$R$15,$R$16)))^(1/12))))</f>
        <v>0</v>
      </c>
    </row>
    <row r="413" spans="1:7">
      <c r="A413" s="348">
        <f t="shared" si="14"/>
        <v>412</v>
      </c>
      <c r="B413" s="360">
        <f>DATE('Profit Calculation'!J$6,A$2,A$2+A413-1)</f>
        <v>42416</v>
      </c>
      <c r="D413" s="362">
        <f t="shared" si="13"/>
        <v>101250406.31943713</v>
      </c>
      <c r="F413" s="363">
        <f>DATE('Profit Calculation'!J$6,'Profit Calculation'!R$6+A413-1,'Profit Calculation'!Z$6)</f>
        <v>54605</v>
      </c>
      <c r="G413" s="364">
        <f ca="1">IF(Q$27=2,IF(LOOKUP(F413,X$1:X$35,X$1:X$35) = F413,ROUND(LOOKUP(LOOKUP(F413,X$1:X$35,A:A),Single!A$2:A$107,Table13[Saving]),0),IF( LOOKUP(F413,W$1:W$35,W$1:W$35) =
 F413,ROUND(G412*(1+IF($Q$18&lt;6,$R$14,IF($Q$18&lt;11,$R$15,$R$16)))^(1/12),0),G412*(1+IF($Q$18&lt;6,$R$14,IF($Q$18&lt;11,$R$15,$R$16)))^(1/12))),IF(LOOKUP(F413,X$1:X$35,X$1:X$35) = F413,ROUND(LOOKUP(LOOKUP(F413,X$1:X$35,A:A),'Annual Calculation'!A$2:A$107,Table1[Saving]),0),IF( LOOKUP(F413,W$1:W$35,W$1:W$35) =
 F413,ROUND(G412*(1+IF($Q$18&lt;6,$R$14,IF($Q$18&lt;11,$R$15,$R$16)))^(1/12),0),G412*(1+IF($Q$18&lt;6,$R$14,IF($Q$18&lt;11,$R$15,$R$16)))^(1/12))))</f>
        <v>0</v>
      </c>
    </row>
    <row r="414" spans="1:7">
      <c r="A414" s="348">
        <f t="shared" si="14"/>
        <v>413</v>
      </c>
      <c r="B414" s="360">
        <f>DATE('Profit Calculation'!J$6,A$2,A$2+A414-1)</f>
        <v>42417</v>
      </c>
      <c r="D414" s="362">
        <f t="shared" si="13"/>
        <v>101289183.47852229</v>
      </c>
      <c r="F414" s="363">
        <f>DATE('Profit Calculation'!J$6,'Profit Calculation'!R$6+A414-1,'Profit Calculation'!Z$6)</f>
        <v>54636</v>
      </c>
      <c r="G414" s="364">
        <f ca="1">IF(Q$27=2,IF(LOOKUP(F414,X$1:X$35,X$1:X$35) = F414,ROUND(LOOKUP(LOOKUP(F414,X$1:X$35,A:A),Single!A$2:A$107,Table13[Saving]),0),IF( LOOKUP(F414,W$1:W$35,W$1:W$35) =
 F414,ROUND(G413*(1+IF($Q$18&lt;6,$R$14,IF($Q$18&lt;11,$R$15,$R$16)))^(1/12),0),G413*(1+IF($Q$18&lt;6,$R$14,IF($Q$18&lt;11,$R$15,$R$16)))^(1/12))),IF(LOOKUP(F414,X$1:X$35,X$1:X$35) = F414,ROUND(LOOKUP(LOOKUP(F414,X$1:X$35,A:A),'Annual Calculation'!A$2:A$107,Table1[Saving]),0),IF( LOOKUP(F414,W$1:W$35,W$1:W$35) =
 F414,ROUND(G413*(1+IF($Q$18&lt;6,$R$14,IF($Q$18&lt;11,$R$15,$R$16)))^(1/12),0),G413*(1+IF($Q$18&lt;6,$R$14,IF($Q$18&lt;11,$R$15,$R$16)))^(1/12))))</f>
        <v>0</v>
      </c>
    </row>
    <row r="415" spans="1:7">
      <c r="A415" s="348">
        <f t="shared" si="14"/>
        <v>414</v>
      </c>
      <c r="B415" s="360">
        <f>DATE('Profit Calculation'!J$6,A$2,A$2+A415-1)</f>
        <v>42418</v>
      </c>
      <c r="D415" s="362">
        <f t="shared" si="13"/>
        <v>101327975.48859048</v>
      </c>
      <c r="F415" s="363">
        <f>DATE('Profit Calculation'!J$6,'Profit Calculation'!R$6+A415-1,'Profit Calculation'!Z$6)</f>
        <v>54667</v>
      </c>
      <c r="G415" s="364">
        <f ca="1">IF(Q$27=2,IF(LOOKUP(F415,X$1:X$35,X$1:X$35) = F415,ROUND(LOOKUP(LOOKUP(F415,X$1:X$35,A:A),Single!A$2:A$107,Table13[Saving]),0),IF( LOOKUP(F415,W$1:W$35,W$1:W$35) =
 F415,ROUND(G414*(1+IF($Q$18&lt;6,$R$14,IF($Q$18&lt;11,$R$15,$R$16)))^(1/12),0),G414*(1+IF($Q$18&lt;6,$R$14,IF($Q$18&lt;11,$R$15,$R$16)))^(1/12))),IF(LOOKUP(F415,X$1:X$35,X$1:X$35) = F415,ROUND(LOOKUP(LOOKUP(F415,X$1:X$35,A:A),'Annual Calculation'!A$2:A$107,Table1[Saving]),0),IF( LOOKUP(F415,W$1:W$35,W$1:W$35) =
 F415,ROUND(G414*(1+IF($Q$18&lt;6,$R$14,IF($Q$18&lt;11,$R$15,$R$16)))^(1/12),0),G414*(1+IF($Q$18&lt;6,$R$14,IF($Q$18&lt;11,$R$15,$R$16)))^(1/12))))</f>
        <v>0</v>
      </c>
    </row>
    <row r="416" spans="1:7">
      <c r="A416" s="348">
        <f t="shared" si="14"/>
        <v>415</v>
      </c>
      <c r="B416" s="360">
        <f>DATE('Profit Calculation'!J$6,A$2,A$2+A416-1)</f>
        <v>42419</v>
      </c>
      <c r="D416" s="362">
        <f t="shared" si="13"/>
        <v>101366782.35532938</v>
      </c>
      <c r="F416" s="363">
        <f>DATE('Profit Calculation'!J$6,'Profit Calculation'!R$6+A416-1,'Profit Calculation'!Z$6)</f>
        <v>54697</v>
      </c>
      <c r="G416" s="364">
        <f ca="1">IF(Q$27=2,IF(LOOKUP(F416,X$1:X$35,X$1:X$35) = F416,ROUND(LOOKUP(LOOKUP(F416,X$1:X$35,A:A),Single!A$2:A$107,Table13[Saving]),0),IF( LOOKUP(F416,W$1:W$35,W$1:W$35) =
 F416,ROUND(G415*(1+IF($Q$18&lt;6,$R$14,IF($Q$18&lt;11,$R$15,$R$16)))^(1/12),0),G415*(1+IF($Q$18&lt;6,$R$14,IF($Q$18&lt;11,$R$15,$R$16)))^(1/12))),IF(LOOKUP(F416,X$1:X$35,X$1:X$35) = F416,ROUND(LOOKUP(LOOKUP(F416,X$1:X$35,A:A),'Annual Calculation'!A$2:A$107,Table1[Saving]),0),IF( LOOKUP(F416,W$1:W$35,W$1:W$35) =
 F416,ROUND(G415*(1+IF($Q$18&lt;6,$R$14,IF($Q$18&lt;11,$R$15,$R$16)))^(1/12),0),G415*(1+IF($Q$18&lt;6,$R$14,IF($Q$18&lt;11,$R$15,$R$16)))^(1/12))))</f>
        <v>0</v>
      </c>
    </row>
    <row r="417" spans="1:7">
      <c r="A417" s="348">
        <f t="shared" si="14"/>
        <v>416</v>
      </c>
      <c r="B417" s="360">
        <f>DATE('Profit Calculation'!J$6,A$2,A$2+A417-1)</f>
        <v>42420</v>
      </c>
      <c r="D417" s="362">
        <f t="shared" si="13"/>
        <v>101405604.08442883</v>
      </c>
      <c r="F417" s="363">
        <f>DATE('Profit Calculation'!J$6,'Profit Calculation'!R$6+A417-1,'Profit Calculation'!Z$6)</f>
        <v>54728</v>
      </c>
      <c r="G417" s="364">
        <f ca="1">IF(Q$27=2,IF(LOOKUP(F417,X$1:X$35,X$1:X$35) = F417,ROUND(LOOKUP(LOOKUP(F417,X$1:X$35,A:A),Single!A$2:A$107,Table13[Saving]),0),IF( LOOKUP(F417,W$1:W$35,W$1:W$35) =
 F417,ROUND(G416*(1+IF($Q$18&lt;6,$R$14,IF($Q$18&lt;11,$R$15,$R$16)))^(1/12),0),G416*(1+IF($Q$18&lt;6,$R$14,IF($Q$18&lt;11,$R$15,$R$16)))^(1/12))),IF(LOOKUP(F417,X$1:X$35,X$1:X$35) = F417,ROUND(LOOKUP(LOOKUP(F417,X$1:X$35,A:A),'Annual Calculation'!A$2:A$107,Table1[Saving]),0),IF( LOOKUP(F417,W$1:W$35,W$1:W$35) =
 F417,ROUND(G416*(1+IF($Q$18&lt;6,$R$14,IF($Q$18&lt;11,$R$15,$R$16)))^(1/12),0),G416*(1+IF($Q$18&lt;6,$R$14,IF($Q$18&lt;11,$R$15,$R$16)))^(1/12))))</f>
        <v>0</v>
      </c>
    </row>
    <row r="418" spans="1:7">
      <c r="A418" s="348">
        <f t="shared" si="14"/>
        <v>417</v>
      </c>
      <c r="B418" s="360">
        <f>DATE('Profit Calculation'!J$6,A$2,A$2+A418-1)</f>
        <v>42421</v>
      </c>
      <c r="D418" s="362">
        <f t="shared" si="13"/>
        <v>101444440.68158087</v>
      </c>
      <c r="F418" s="363">
        <f>DATE('Profit Calculation'!J$6,'Profit Calculation'!R$6+A418-1,'Profit Calculation'!Z$6)</f>
        <v>54758</v>
      </c>
      <c r="G418" s="364">
        <f ca="1">IF(Q$27=2,IF(LOOKUP(F418,X$1:X$35,X$1:X$35) = F418,ROUND(LOOKUP(LOOKUP(F418,X$1:X$35,A:A),Single!A$2:A$107,Table13[Saving]),0),IF( LOOKUP(F418,W$1:W$35,W$1:W$35) =
 F418,ROUND(G417*(1+IF($Q$18&lt;6,$R$14,IF($Q$18&lt;11,$R$15,$R$16)))^(1/12),0),G417*(1+IF($Q$18&lt;6,$R$14,IF($Q$18&lt;11,$R$15,$R$16)))^(1/12))),IF(LOOKUP(F418,X$1:X$35,X$1:X$35) = F418,ROUND(LOOKUP(LOOKUP(F418,X$1:X$35,A:A),'Annual Calculation'!A$2:A$107,Table1[Saving]),0),IF( LOOKUP(F418,W$1:W$35,W$1:W$35) =
 F418,ROUND(G417*(1+IF($Q$18&lt;6,$R$14,IF($Q$18&lt;11,$R$15,$R$16)))^(1/12),0),G417*(1+IF($Q$18&lt;6,$R$14,IF($Q$18&lt;11,$R$15,$R$16)))^(1/12))))</f>
        <v>0</v>
      </c>
    </row>
    <row r="419" spans="1:7">
      <c r="A419" s="348">
        <f t="shared" si="14"/>
        <v>418</v>
      </c>
      <c r="B419" s="360">
        <f>DATE('Profit Calculation'!J$6,A$2,A$2+A419-1)</f>
        <v>42422</v>
      </c>
      <c r="D419" s="362">
        <f t="shared" si="13"/>
        <v>101483292.15247971</v>
      </c>
      <c r="F419" s="363">
        <f>DATE('Profit Calculation'!J$6,'Profit Calculation'!R$6+A419-1,'Profit Calculation'!Z$6)</f>
        <v>54789</v>
      </c>
      <c r="G419" s="364">
        <f ca="1">IF(Q$27=2,IF(LOOKUP(F419,X$1:X$35,X$1:X$35) = F419,ROUND(LOOKUP(LOOKUP(F419,X$1:X$35,A:A),Single!A$2:A$107,Table13[Saving]),0),IF( LOOKUP(F419,W$1:W$35,W$1:W$35) =
 F419,ROUND(G418*(1+IF($Q$18&lt;6,$R$14,IF($Q$18&lt;11,$R$15,$R$16)))^(1/12),0),G418*(1+IF($Q$18&lt;6,$R$14,IF($Q$18&lt;11,$R$15,$R$16)))^(1/12))),IF(LOOKUP(F419,X$1:X$35,X$1:X$35) = F419,ROUND(LOOKUP(LOOKUP(F419,X$1:X$35,A:A),'Annual Calculation'!A$2:A$107,Table1[Saving]),0),IF( LOOKUP(F419,W$1:W$35,W$1:W$35) =
 F419,ROUND(G418*(1+IF($Q$18&lt;6,$R$14,IF($Q$18&lt;11,$R$15,$R$16)))^(1/12),0),G418*(1+IF($Q$18&lt;6,$R$14,IF($Q$18&lt;11,$R$15,$R$16)))^(1/12))))</f>
        <v>0</v>
      </c>
    </row>
    <row r="420" spans="1:7">
      <c r="A420" s="348">
        <f t="shared" si="14"/>
        <v>419</v>
      </c>
      <c r="B420" s="360">
        <f>DATE('Profit Calculation'!J$6,A$2,A$2+A420-1)</f>
        <v>42423</v>
      </c>
      <c r="D420" s="362">
        <f t="shared" si="13"/>
        <v>101522158.50282171</v>
      </c>
      <c r="F420" s="363">
        <f>DATE('Profit Calculation'!J$6,'Profit Calculation'!R$6+A420-1,'Profit Calculation'!Z$6)</f>
        <v>54820</v>
      </c>
      <c r="G420" s="364">
        <f ca="1">IF(Q$27=2,IF(LOOKUP(F420,X$1:X$35,X$1:X$35) = F420,ROUND(LOOKUP(LOOKUP(F420,X$1:X$35,A:A),Single!A$2:A$107,Table13[Saving]),0),IF( LOOKUP(F420,W$1:W$35,W$1:W$35) =
 F420,ROUND(G419*(1+IF($Q$18&lt;6,$R$14,IF($Q$18&lt;11,$R$15,$R$16)))^(1/12),0),G419*(1+IF($Q$18&lt;6,$R$14,IF($Q$18&lt;11,$R$15,$R$16)))^(1/12))),IF(LOOKUP(F420,X$1:X$35,X$1:X$35) = F420,ROUND(LOOKUP(LOOKUP(F420,X$1:X$35,A:A),'Annual Calculation'!A$2:A$107,Table1[Saving]),0),IF( LOOKUP(F420,W$1:W$35,W$1:W$35) =
 F420,ROUND(G419*(1+IF($Q$18&lt;6,$R$14,IF($Q$18&lt;11,$R$15,$R$16)))^(1/12),0),G419*(1+IF($Q$18&lt;6,$R$14,IF($Q$18&lt;11,$R$15,$R$16)))^(1/12))))</f>
        <v>0</v>
      </c>
    </row>
    <row r="421" spans="1:7">
      <c r="A421" s="348">
        <f t="shared" si="14"/>
        <v>420</v>
      </c>
      <c r="B421" s="360">
        <f>DATE('Profit Calculation'!J$6,A$2,A$2+A421-1)</f>
        <v>42424</v>
      </c>
      <c r="D421" s="362">
        <f t="shared" si="13"/>
        <v>101561039.73830548</v>
      </c>
      <c r="F421" s="363">
        <f>DATE('Profit Calculation'!J$6,'Profit Calculation'!R$6+A421-1,'Profit Calculation'!Z$6)</f>
        <v>54848</v>
      </c>
      <c r="G421" s="364">
        <f ca="1">IF(Q$27=2,IF(LOOKUP(F421,X$1:X$35,X$1:X$35) = F421,ROUND(LOOKUP(LOOKUP(F421,X$1:X$35,A:A),Single!A$2:A$107,Table13[Saving]),0),IF( LOOKUP(F421,W$1:W$35,W$1:W$35) =
 F421,ROUND(G420*(1+IF($Q$18&lt;6,$R$14,IF($Q$18&lt;11,$R$15,$R$16)))^(1/12),0),G420*(1+IF($Q$18&lt;6,$R$14,IF($Q$18&lt;11,$R$15,$R$16)))^(1/12))),IF(LOOKUP(F421,X$1:X$35,X$1:X$35) = F421,ROUND(LOOKUP(LOOKUP(F421,X$1:X$35,A:A),'Annual Calculation'!A$2:A$107,Table1[Saving]),0),IF( LOOKUP(F421,W$1:W$35,W$1:W$35) =
 F421,ROUND(G420*(1+IF($Q$18&lt;6,$R$14,IF($Q$18&lt;11,$R$15,$R$16)))^(1/12),0),G420*(1+IF($Q$18&lt;6,$R$14,IF($Q$18&lt;11,$R$15,$R$16)))^(1/12))))</f>
        <v>0</v>
      </c>
    </row>
    <row r="422" spans="1:7">
      <c r="A422" s="348">
        <f t="shared" si="14"/>
        <v>421</v>
      </c>
      <c r="B422" s="360">
        <f>DATE('Profit Calculation'!J$6,A$2,A$2+A422-1)</f>
        <v>42425</v>
      </c>
      <c r="D422" s="362">
        <f t="shared" si="13"/>
        <v>101599935.86463174</v>
      </c>
      <c r="F422" s="363">
        <f>DATE('Profit Calculation'!J$6,'Profit Calculation'!R$6+A422-1,'Profit Calculation'!Z$6)</f>
        <v>54879</v>
      </c>
      <c r="G422" s="364">
        <f ca="1">IF(Q$27=2,IF(LOOKUP(F422,X$1:X$35,X$1:X$35) = F422,ROUND(LOOKUP(LOOKUP(F422,X$1:X$35,A:A),Single!A$2:A$107,Table13[Saving]),0),IF( LOOKUP(F422,W$1:W$35,W$1:W$35) =
 F422,ROUND(G421*(1+IF($Q$18&lt;6,$R$14,IF($Q$18&lt;11,$R$15,$R$16)))^(1/12),0),G421*(1+IF($Q$18&lt;6,$R$14,IF($Q$18&lt;11,$R$15,$R$16)))^(1/12))),IF(LOOKUP(F422,X$1:X$35,X$1:X$35) = F422,ROUND(LOOKUP(LOOKUP(F422,X$1:X$35,A:A),'Annual Calculation'!A$2:A$107,Table1[Saving]),0),IF( LOOKUP(F422,W$1:W$35,W$1:W$35) =
 F422,ROUND(G421*(1+IF($Q$18&lt;6,$R$14,IF($Q$18&lt;11,$R$15,$R$16)))^(1/12),0),G421*(1+IF($Q$18&lt;6,$R$14,IF($Q$18&lt;11,$R$15,$R$16)))^(1/12))))</f>
        <v>0</v>
      </c>
    </row>
    <row r="423" spans="1:7">
      <c r="A423" s="348">
        <f t="shared" si="14"/>
        <v>422</v>
      </c>
      <c r="B423" s="360">
        <f>DATE('Profit Calculation'!J$6,A$2,A$2+A423-1)</f>
        <v>42426</v>
      </c>
      <c r="D423" s="362">
        <f t="shared" si="13"/>
        <v>101638846.88750345</v>
      </c>
      <c r="F423" s="363">
        <f>DATE('Profit Calculation'!J$6,'Profit Calculation'!R$6+A423-1,'Profit Calculation'!Z$6)</f>
        <v>54909</v>
      </c>
      <c r="G423" s="364">
        <f ca="1">IF(Q$27=2,IF(LOOKUP(F423,X$1:X$35,X$1:X$35) = F423,ROUND(LOOKUP(LOOKUP(F423,X$1:X$35,A:A),Single!A$2:A$107,Table13[Saving]),0),IF( LOOKUP(F423,W$1:W$35,W$1:W$35) =
 F423,ROUND(G422*(1+IF($Q$18&lt;6,$R$14,IF($Q$18&lt;11,$R$15,$R$16)))^(1/12),0),G422*(1+IF($Q$18&lt;6,$R$14,IF($Q$18&lt;11,$R$15,$R$16)))^(1/12))),IF(LOOKUP(F423,X$1:X$35,X$1:X$35) = F423,ROUND(LOOKUP(LOOKUP(F423,X$1:X$35,A:A),'Annual Calculation'!A$2:A$107,Table1[Saving]),0),IF( LOOKUP(F423,W$1:W$35,W$1:W$35) =
 F423,ROUND(G422*(1+IF($Q$18&lt;6,$R$14,IF($Q$18&lt;11,$R$15,$R$16)))^(1/12),0),G422*(1+IF($Q$18&lt;6,$R$14,IF($Q$18&lt;11,$R$15,$R$16)))^(1/12))))</f>
        <v>0</v>
      </c>
    </row>
    <row r="424" spans="1:7">
      <c r="A424" s="348">
        <f t="shared" si="14"/>
        <v>423</v>
      </c>
      <c r="B424" s="360">
        <f>DATE('Profit Calculation'!J$6,A$2,A$2+A424-1)</f>
        <v>42427</v>
      </c>
      <c r="D424" s="362">
        <f t="shared" si="13"/>
        <v>101677772.81262571</v>
      </c>
      <c r="F424" s="363">
        <f>DATE('Profit Calculation'!J$6,'Profit Calculation'!R$6+A424-1,'Profit Calculation'!Z$6)</f>
        <v>54940</v>
      </c>
      <c r="G424" s="364">
        <f ca="1">IF(Q$27=2,IF(LOOKUP(F424,X$1:X$35,X$1:X$35) = F424,ROUND(LOOKUP(LOOKUP(F424,X$1:X$35,A:A),Single!A$2:A$107,Table13[Saving]),0),IF( LOOKUP(F424,W$1:W$35,W$1:W$35) =
 F424,ROUND(G423*(1+IF($Q$18&lt;6,$R$14,IF($Q$18&lt;11,$R$15,$R$16)))^(1/12),0),G423*(1+IF($Q$18&lt;6,$R$14,IF($Q$18&lt;11,$R$15,$R$16)))^(1/12))),IF(LOOKUP(F424,X$1:X$35,X$1:X$35) = F424,ROUND(LOOKUP(LOOKUP(F424,X$1:X$35,A:A),'Annual Calculation'!A$2:A$107,Table1[Saving]),0),IF( LOOKUP(F424,W$1:W$35,W$1:W$35) =
 F424,ROUND(G423*(1+IF($Q$18&lt;6,$R$14,IF($Q$18&lt;11,$R$15,$R$16)))^(1/12),0),G423*(1+IF($Q$18&lt;6,$R$14,IF($Q$18&lt;11,$R$15,$R$16)))^(1/12))))</f>
        <v>0</v>
      </c>
    </row>
    <row r="425" spans="1:7">
      <c r="A425" s="348">
        <f t="shared" si="14"/>
        <v>424</v>
      </c>
      <c r="B425" s="360">
        <f>DATE('Profit Calculation'!J$6,A$2,A$2+A425-1)</f>
        <v>42428</v>
      </c>
      <c r="D425" s="362">
        <f t="shared" si="13"/>
        <v>101716713.64570583</v>
      </c>
      <c r="F425" s="363">
        <f>DATE('Profit Calculation'!J$6,'Profit Calculation'!R$6+A425-1,'Profit Calculation'!Z$6)</f>
        <v>54970</v>
      </c>
      <c r="G425" s="364">
        <f ca="1">IF(Q$27=2,IF(LOOKUP(F425,X$1:X$35,X$1:X$35) = F425,ROUND(LOOKUP(LOOKUP(F425,X$1:X$35,A:A),Single!A$2:A$107,Table13[Saving]),0),IF( LOOKUP(F425,W$1:W$35,W$1:W$35) =
 F425,ROUND(G424*(1+IF($Q$18&lt;6,$R$14,IF($Q$18&lt;11,$R$15,$R$16)))^(1/12),0),G424*(1+IF($Q$18&lt;6,$R$14,IF($Q$18&lt;11,$R$15,$R$16)))^(1/12))),IF(LOOKUP(F425,X$1:X$35,X$1:X$35) = F425,ROUND(LOOKUP(LOOKUP(F425,X$1:X$35,A:A),'Annual Calculation'!A$2:A$107,Table1[Saving]),0),IF( LOOKUP(F425,W$1:W$35,W$1:W$35) =
 F425,ROUND(G424*(1+IF($Q$18&lt;6,$R$14,IF($Q$18&lt;11,$R$15,$R$16)))^(1/12),0),G424*(1+IF($Q$18&lt;6,$R$14,IF($Q$18&lt;11,$R$15,$R$16)))^(1/12))))</f>
        <v>0</v>
      </c>
    </row>
    <row r="426" spans="1:7">
      <c r="A426" s="348">
        <f t="shared" si="14"/>
        <v>425</v>
      </c>
      <c r="B426" s="360">
        <f>DATE('Profit Calculation'!J$6,A$2,A$2+A426-1)</f>
        <v>42429</v>
      </c>
      <c r="D426" s="362">
        <f t="shared" si="13"/>
        <v>101755669.39245331</v>
      </c>
      <c r="F426" s="363">
        <f>DATE('Profit Calculation'!J$6,'Profit Calculation'!R$6+A426-1,'Profit Calculation'!Z$6)</f>
        <v>55001</v>
      </c>
      <c r="G426" s="364">
        <f ca="1">IF(Q$27=2,IF(LOOKUP(F426,X$1:X$35,X$1:X$35) = F426,ROUND(LOOKUP(LOOKUP(F426,X$1:X$35,A:A),Single!A$2:A$107,Table13[Saving]),0),IF( LOOKUP(F426,W$1:W$35,W$1:W$35) =
 F426,ROUND(G425*(1+IF($Q$18&lt;6,$R$14,IF($Q$18&lt;11,$R$15,$R$16)))^(1/12),0),G425*(1+IF($Q$18&lt;6,$R$14,IF($Q$18&lt;11,$R$15,$R$16)))^(1/12))),IF(LOOKUP(F426,X$1:X$35,X$1:X$35) = F426,ROUND(LOOKUP(LOOKUP(F426,X$1:X$35,A:A),'Annual Calculation'!A$2:A$107,Table1[Saving]),0),IF( LOOKUP(F426,W$1:W$35,W$1:W$35) =
 F426,ROUND(G425*(1+IF($Q$18&lt;6,$R$14,IF($Q$18&lt;11,$R$15,$R$16)))^(1/12),0),G425*(1+IF($Q$18&lt;6,$R$14,IF($Q$18&lt;11,$R$15,$R$16)))^(1/12))))</f>
        <v>0</v>
      </c>
    </row>
    <row r="427" spans="1:7">
      <c r="A427" s="348">
        <f t="shared" si="14"/>
        <v>426</v>
      </c>
      <c r="B427" s="360">
        <f>DATE('Profit Calculation'!J$6,A$2,A$2+A427-1)</f>
        <v>42430</v>
      </c>
      <c r="D427" s="362">
        <f t="shared" si="13"/>
        <v>101794640.05857982</v>
      </c>
      <c r="F427" s="363">
        <f>DATE('Profit Calculation'!J$6,'Profit Calculation'!R$6+A427-1,'Profit Calculation'!Z$6)</f>
        <v>55032</v>
      </c>
      <c r="G427" s="364">
        <f ca="1">IF(Q$27=2,IF(LOOKUP(F427,X$1:X$35,X$1:X$35) = F427,ROUND(LOOKUP(LOOKUP(F427,X$1:X$35,A:A),Single!A$2:A$107,Table13[Saving]),0),IF( LOOKUP(F427,W$1:W$35,W$1:W$35) =
 F427,ROUND(G426*(1+IF($Q$18&lt;6,$R$14,IF($Q$18&lt;11,$R$15,$R$16)))^(1/12),0),G426*(1+IF($Q$18&lt;6,$R$14,IF($Q$18&lt;11,$R$15,$R$16)))^(1/12))),IF(LOOKUP(F427,X$1:X$35,X$1:X$35) = F427,ROUND(LOOKUP(LOOKUP(F427,X$1:X$35,A:A),'Annual Calculation'!A$2:A$107,Table1[Saving]),0),IF( LOOKUP(F427,W$1:W$35,W$1:W$35) =
 F427,ROUND(G426*(1+IF($Q$18&lt;6,$R$14,IF($Q$18&lt;11,$R$15,$R$16)))^(1/12),0),G426*(1+IF($Q$18&lt;6,$R$14,IF($Q$18&lt;11,$R$15,$R$16)))^(1/12))))</f>
        <v>0</v>
      </c>
    </row>
    <row r="428" spans="1:7">
      <c r="A428" s="348">
        <f t="shared" si="14"/>
        <v>427</v>
      </c>
      <c r="B428" s="360">
        <f>DATE('Profit Calculation'!J$6,A$2,A$2+A428-1)</f>
        <v>42431</v>
      </c>
      <c r="D428" s="362">
        <f t="shared" si="13"/>
        <v>101833625.64979921</v>
      </c>
      <c r="F428" s="363">
        <f>DATE('Profit Calculation'!J$6,'Profit Calculation'!R$6+A428-1,'Profit Calculation'!Z$6)</f>
        <v>55062</v>
      </c>
      <c r="G428" s="364">
        <f ca="1">IF(Q$27=2,IF(LOOKUP(F428,X$1:X$35,X$1:X$35) = F428,ROUND(LOOKUP(LOOKUP(F428,X$1:X$35,A:A),Single!A$2:A$107,Table13[Saving]),0),IF( LOOKUP(F428,W$1:W$35,W$1:W$35) =
 F428,ROUND(G427*(1+IF($Q$18&lt;6,$R$14,IF($Q$18&lt;11,$R$15,$R$16)))^(1/12),0),G427*(1+IF($Q$18&lt;6,$R$14,IF($Q$18&lt;11,$R$15,$R$16)))^(1/12))),IF(LOOKUP(F428,X$1:X$35,X$1:X$35) = F428,ROUND(LOOKUP(LOOKUP(F428,X$1:X$35,A:A),'Annual Calculation'!A$2:A$107,Table1[Saving]),0),IF( LOOKUP(F428,W$1:W$35,W$1:W$35) =
 F428,ROUND(G427*(1+IF($Q$18&lt;6,$R$14,IF($Q$18&lt;11,$R$15,$R$16)))^(1/12),0),G427*(1+IF($Q$18&lt;6,$R$14,IF($Q$18&lt;11,$R$15,$R$16)))^(1/12))))</f>
        <v>0</v>
      </c>
    </row>
    <row r="429" spans="1:7">
      <c r="A429" s="348">
        <f t="shared" si="14"/>
        <v>428</v>
      </c>
      <c r="B429" s="360">
        <f>DATE('Profit Calculation'!J$6,A$2,A$2+A429-1)</f>
        <v>42432</v>
      </c>
      <c r="D429" s="362">
        <f t="shared" si="13"/>
        <v>101872626.17182757</v>
      </c>
      <c r="F429" s="363">
        <f>DATE('Profit Calculation'!J$6,'Profit Calculation'!R$6+A429-1,'Profit Calculation'!Z$6)</f>
        <v>55093</v>
      </c>
      <c r="G429" s="364">
        <f ca="1">IF(Q$27=2,IF(LOOKUP(F429,X$1:X$35,X$1:X$35) = F429,ROUND(LOOKUP(LOOKUP(F429,X$1:X$35,A:A),Single!A$2:A$107,Table13[Saving]),0),IF( LOOKUP(F429,W$1:W$35,W$1:W$35) =
 F429,ROUND(G428*(1+IF($Q$18&lt;6,$R$14,IF($Q$18&lt;11,$R$15,$R$16)))^(1/12),0),G428*(1+IF($Q$18&lt;6,$R$14,IF($Q$18&lt;11,$R$15,$R$16)))^(1/12))),IF(LOOKUP(F429,X$1:X$35,X$1:X$35) = F429,ROUND(LOOKUP(LOOKUP(F429,X$1:X$35,A:A),'Annual Calculation'!A$2:A$107,Table1[Saving]),0),IF( LOOKUP(F429,W$1:W$35,W$1:W$35) =
 F429,ROUND(G428*(1+IF($Q$18&lt;6,$R$14,IF($Q$18&lt;11,$R$15,$R$16)))^(1/12),0),G428*(1+IF($Q$18&lt;6,$R$14,IF($Q$18&lt;11,$R$15,$R$16)))^(1/12))))</f>
        <v>0</v>
      </c>
    </row>
    <row r="430" spans="1:7">
      <c r="A430" s="348">
        <f t="shared" si="14"/>
        <v>429</v>
      </c>
      <c r="B430" s="360">
        <f>DATE('Profit Calculation'!J$6,A$2,A$2+A430-1)</f>
        <v>42433</v>
      </c>
      <c r="D430" s="362">
        <f t="shared" si="13"/>
        <v>101911641.63038312</v>
      </c>
      <c r="F430" s="363">
        <f>DATE('Profit Calculation'!J$6,'Profit Calculation'!R$6+A430-1,'Profit Calculation'!Z$6)</f>
        <v>55123</v>
      </c>
      <c r="G430" s="364">
        <f ca="1">IF(Q$27=2,IF(LOOKUP(F430,X$1:X$35,X$1:X$35) = F430,ROUND(LOOKUP(LOOKUP(F430,X$1:X$35,A:A),Single!A$2:A$107,Table13[Saving]),0),IF( LOOKUP(F430,W$1:W$35,W$1:W$35) =
 F430,ROUND(G429*(1+IF($Q$18&lt;6,$R$14,IF($Q$18&lt;11,$R$15,$R$16)))^(1/12),0),G429*(1+IF($Q$18&lt;6,$R$14,IF($Q$18&lt;11,$R$15,$R$16)))^(1/12))),IF(LOOKUP(F430,X$1:X$35,X$1:X$35) = F430,ROUND(LOOKUP(LOOKUP(F430,X$1:X$35,A:A),'Annual Calculation'!A$2:A$107,Table1[Saving]),0),IF( LOOKUP(F430,W$1:W$35,W$1:W$35) =
 F430,ROUND(G429*(1+IF($Q$18&lt;6,$R$14,IF($Q$18&lt;11,$R$15,$R$16)))^(1/12),0),G429*(1+IF($Q$18&lt;6,$R$14,IF($Q$18&lt;11,$R$15,$R$16)))^(1/12))))</f>
        <v>0</v>
      </c>
    </row>
    <row r="431" spans="1:7">
      <c r="A431" s="348">
        <f t="shared" si="14"/>
        <v>430</v>
      </c>
      <c r="B431" s="360">
        <f>DATE('Profit Calculation'!J$6,A$2,A$2+A431-1)</f>
        <v>42434</v>
      </c>
      <c r="D431" s="362">
        <f t="shared" si="13"/>
        <v>101950672.03118628</v>
      </c>
      <c r="F431" s="363">
        <f>DATE('Profit Calculation'!J$6,'Profit Calculation'!R$6+A431-1,'Profit Calculation'!Z$6)</f>
        <v>55154</v>
      </c>
      <c r="G431" s="364">
        <f ca="1">IF(Q$27=2,IF(LOOKUP(F431,X$1:X$35,X$1:X$35) = F431,ROUND(LOOKUP(LOOKUP(F431,X$1:X$35,A:A),Single!A$2:A$107,Table13[Saving]),0),IF( LOOKUP(F431,W$1:W$35,W$1:W$35) =
 F431,ROUND(G430*(1+IF($Q$18&lt;6,$R$14,IF($Q$18&lt;11,$R$15,$R$16)))^(1/12),0),G430*(1+IF($Q$18&lt;6,$R$14,IF($Q$18&lt;11,$R$15,$R$16)))^(1/12))),IF(LOOKUP(F431,X$1:X$35,X$1:X$35) = F431,ROUND(LOOKUP(LOOKUP(F431,X$1:X$35,A:A),'Annual Calculation'!A$2:A$107,Table1[Saving]),0),IF( LOOKUP(F431,W$1:W$35,W$1:W$35) =
 F431,ROUND(G430*(1+IF($Q$18&lt;6,$R$14,IF($Q$18&lt;11,$R$15,$R$16)))^(1/12),0),G430*(1+IF($Q$18&lt;6,$R$14,IF($Q$18&lt;11,$R$15,$R$16)))^(1/12))))</f>
        <v>0</v>
      </c>
    </row>
    <row r="432" spans="1:7">
      <c r="A432" s="348">
        <f t="shared" si="14"/>
        <v>431</v>
      </c>
      <c r="B432" s="360">
        <f>DATE('Profit Calculation'!J$6,A$2,A$2+A432-1)</f>
        <v>42435</v>
      </c>
      <c r="D432" s="362">
        <f t="shared" si="13"/>
        <v>101989717.37995969</v>
      </c>
      <c r="F432" s="363">
        <f>DATE('Profit Calculation'!J$6,'Profit Calculation'!R$6+A432-1,'Profit Calculation'!Z$6)</f>
        <v>55185</v>
      </c>
      <c r="G432" s="364">
        <f ca="1">IF(Q$27=2,IF(LOOKUP(F432,X$1:X$35,X$1:X$35) = F432,ROUND(LOOKUP(LOOKUP(F432,X$1:X$35,A:A),Single!A$2:A$107,Table13[Saving]),0),IF( LOOKUP(F432,W$1:W$35,W$1:W$35) =
 F432,ROUND(G431*(1+IF($Q$18&lt;6,$R$14,IF($Q$18&lt;11,$R$15,$R$16)))^(1/12),0),G431*(1+IF($Q$18&lt;6,$R$14,IF($Q$18&lt;11,$R$15,$R$16)))^(1/12))),IF(LOOKUP(F432,X$1:X$35,X$1:X$35) = F432,ROUND(LOOKUP(LOOKUP(F432,X$1:X$35,A:A),'Annual Calculation'!A$2:A$107,Table1[Saving]),0),IF( LOOKUP(F432,W$1:W$35,W$1:W$35) =
 F432,ROUND(G431*(1+IF($Q$18&lt;6,$R$14,IF($Q$18&lt;11,$R$15,$R$16)))^(1/12),0),G431*(1+IF($Q$18&lt;6,$R$14,IF($Q$18&lt;11,$R$15,$R$16)))^(1/12))))</f>
        <v>0</v>
      </c>
    </row>
    <row r="433" spans="1:7">
      <c r="A433" s="348">
        <f t="shared" si="14"/>
        <v>432</v>
      </c>
      <c r="B433" s="360">
        <f>DATE('Profit Calculation'!J$6,A$2,A$2+A433-1)</f>
        <v>42436</v>
      </c>
      <c r="D433" s="362">
        <f t="shared" si="13"/>
        <v>102028777.68242817</v>
      </c>
      <c r="F433" s="363">
        <f>DATE('Profit Calculation'!J$6,'Profit Calculation'!R$6+A433-1,'Profit Calculation'!Z$6)</f>
        <v>55213</v>
      </c>
      <c r="G433" s="364">
        <f ca="1">IF(Q$27=2,IF(LOOKUP(F433,X$1:X$35,X$1:X$35) = F433,ROUND(LOOKUP(LOOKUP(F433,X$1:X$35,A:A),Single!A$2:A$107,Table13[Saving]),0),IF( LOOKUP(F433,W$1:W$35,W$1:W$35) =
 F433,ROUND(G432*(1+IF($Q$18&lt;6,$R$14,IF($Q$18&lt;11,$R$15,$R$16)))^(1/12),0),G432*(1+IF($Q$18&lt;6,$R$14,IF($Q$18&lt;11,$R$15,$R$16)))^(1/12))),IF(LOOKUP(F433,X$1:X$35,X$1:X$35) = F433,ROUND(LOOKUP(LOOKUP(F433,X$1:X$35,A:A),'Annual Calculation'!A$2:A$107,Table1[Saving]),0),IF( LOOKUP(F433,W$1:W$35,W$1:W$35) =
 F433,ROUND(G432*(1+IF($Q$18&lt;6,$R$14,IF($Q$18&lt;11,$R$15,$R$16)))^(1/12),0),G432*(1+IF($Q$18&lt;6,$R$14,IF($Q$18&lt;11,$R$15,$R$16)))^(1/12))))</f>
        <v>0</v>
      </c>
    </row>
    <row r="434" spans="1:7">
      <c r="A434" s="348">
        <f t="shared" si="14"/>
        <v>433</v>
      </c>
      <c r="B434" s="360">
        <f>DATE('Profit Calculation'!J$6,A$2,A$2+A434-1)</f>
        <v>42437</v>
      </c>
      <c r="D434" s="362">
        <f t="shared" si="13"/>
        <v>102067852.94431871</v>
      </c>
      <c r="F434" s="363">
        <f>DATE('Profit Calculation'!J$6,'Profit Calculation'!R$6+A434-1,'Profit Calculation'!Z$6)</f>
        <v>55244</v>
      </c>
      <c r="G434" s="364">
        <f ca="1">IF(Q$27=2,IF(LOOKUP(F434,X$1:X$35,X$1:X$35) = F434,ROUND(LOOKUP(LOOKUP(F434,X$1:X$35,A:A),Single!A$2:A$107,Table13[Saving]),0),IF( LOOKUP(F434,W$1:W$35,W$1:W$35) =
 F434,ROUND(G433*(1+IF($Q$18&lt;6,$R$14,IF($Q$18&lt;11,$R$15,$R$16)))^(1/12),0),G433*(1+IF($Q$18&lt;6,$R$14,IF($Q$18&lt;11,$R$15,$R$16)))^(1/12))),IF(LOOKUP(F434,X$1:X$35,X$1:X$35) = F434,ROUND(LOOKUP(LOOKUP(F434,X$1:X$35,A:A),'Annual Calculation'!A$2:A$107,Table1[Saving]),0),IF( LOOKUP(F434,W$1:W$35,W$1:W$35) =
 F434,ROUND(G433*(1+IF($Q$18&lt;6,$R$14,IF($Q$18&lt;11,$R$15,$R$16)))^(1/12),0),G433*(1+IF($Q$18&lt;6,$R$14,IF($Q$18&lt;11,$R$15,$R$16)))^(1/12))))</f>
        <v>0</v>
      </c>
    </row>
    <row r="435" spans="1:7">
      <c r="A435" s="348">
        <f t="shared" si="14"/>
        <v>434</v>
      </c>
      <c r="B435" s="360">
        <f>DATE('Profit Calculation'!J$6,A$2,A$2+A435-1)</f>
        <v>42438</v>
      </c>
      <c r="D435" s="362">
        <f t="shared" si="13"/>
        <v>102106943.17136052</v>
      </c>
      <c r="F435" s="363">
        <f>DATE('Profit Calculation'!J$6,'Profit Calculation'!R$6+A435-1,'Profit Calculation'!Z$6)</f>
        <v>55274</v>
      </c>
      <c r="G435" s="364">
        <f ca="1">IF(Q$27=2,IF(LOOKUP(F435,X$1:X$35,X$1:X$35) = F435,ROUND(LOOKUP(LOOKUP(F435,X$1:X$35,A:A),Single!A$2:A$107,Table13[Saving]),0),IF( LOOKUP(F435,W$1:W$35,W$1:W$35) =
 F435,ROUND(G434*(1+IF($Q$18&lt;6,$R$14,IF($Q$18&lt;11,$R$15,$R$16)))^(1/12),0),G434*(1+IF($Q$18&lt;6,$R$14,IF($Q$18&lt;11,$R$15,$R$16)))^(1/12))),IF(LOOKUP(F435,X$1:X$35,X$1:X$35) = F435,ROUND(LOOKUP(LOOKUP(F435,X$1:X$35,A:A),'Annual Calculation'!A$2:A$107,Table1[Saving]),0),IF( LOOKUP(F435,W$1:W$35,W$1:W$35) =
 F435,ROUND(G434*(1+IF($Q$18&lt;6,$R$14,IF($Q$18&lt;11,$R$15,$R$16)))^(1/12),0),G434*(1+IF($Q$18&lt;6,$R$14,IF($Q$18&lt;11,$R$15,$R$16)))^(1/12))))</f>
        <v>0</v>
      </c>
    </row>
    <row r="436" spans="1:7">
      <c r="A436" s="348">
        <f t="shared" si="14"/>
        <v>435</v>
      </c>
      <c r="B436" s="360">
        <f>DATE('Profit Calculation'!J$6,A$2,A$2+A436-1)</f>
        <v>42439</v>
      </c>
      <c r="D436" s="362">
        <f t="shared" si="13"/>
        <v>102146048.369285</v>
      </c>
      <c r="F436" s="363">
        <f>DATE('Profit Calculation'!J$6,'Profit Calculation'!R$6+A436-1,'Profit Calculation'!Z$6)</f>
        <v>55305</v>
      </c>
      <c r="G436" s="364">
        <f ca="1">IF(Q$27=2,IF(LOOKUP(F436,X$1:X$35,X$1:X$35) = F436,ROUND(LOOKUP(LOOKUP(F436,X$1:X$35,A:A),Single!A$2:A$107,Table13[Saving]),0),IF( LOOKUP(F436,W$1:W$35,W$1:W$35) =
 F436,ROUND(G435*(1+IF($Q$18&lt;6,$R$14,IF($Q$18&lt;11,$R$15,$R$16)))^(1/12),0),G435*(1+IF($Q$18&lt;6,$R$14,IF($Q$18&lt;11,$R$15,$R$16)))^(1/12))),IF(LOOKUP(F436,X$1:X$35,X$1:X$35) = F436,ROUND(LOOKUP(LOOKUP(F436,X$1:X$35,A:A),'Annual Calculation'!A$2:A$107,Table1[Saving]),0),IF( LOOKUP(F436,W$1:W$35,W$1:W$35) =
 F436,ROUND(G435*(1+IF($Q$18&lt;6,$R$14,IF($Q$18&lt;11,$R$15,$R$16)))^(1/12),0),G435*(1+IF($Q$18&lt;6,$R$14,IF($Q$18&lt;11,$R$15,$R$16)))^(1/12))))</f>
        <v>0</v>
      </c>
    </row>
    <row r="437" spans="1:7">
      <c r="A437" s="348">
        <f t="shared" si="14"/>
        <v>436</v>
      </c>
      <c r="B437" s="360">
        <f>DATE('Profit Calculation'!J$6,A$2,A$2+A437-1)</f>
        <v>42440</v>
      </c>
      <c r="D437" s="362">
        <f t="shared" si="13"/>
        <v>102185168.54382573</v>
      </c>
      <c r="F437" s="363">
        <f>DATE('Profit Calculation'!J$6,'Profit Calculation'!R$6+A437-1,'Profit Calculation'!Z$6)</f>
        <v>55335</v>
      </c>
      <c r="G437" s="364">
        <f ca="1">IF(Q$27=2,IF(LOOKUP(F437,X$1:X$35,X$1:X$35) = F437,ROUND(LOOKUP(LOOKUP(F437,X$1:X$35,A:A),Single!A$2:A$107,Table13[Saving]),0),IF( LOOKUP(F437,W$1:W$35,W$1:W$35) =
 F437,ROUND(G436*(1+IF($Q$18&lt;6,$R$14,IF($Q$18&lt;11,$R$15,$R$16)))^(1/12),0),G436*(1+IF($Q$18&lt;6,$R$14,IF($Q$18&lt;11,$R$15,$R$16)))^(1/12))),IF(LOOKUP(F437,X$1:X$35,X$1:X$35) = F437,ROUND(LOOKUP(LOOKUP(F437,X$1:X$35,A:A),'Annual Calculation'!A$2:A$107,Table1[Saving]),0),IF( LOOKUP(F437,W$1:W$35,W$1:W$35) =
 F437,ROUND(G436*(1+IF($Q$18&lt;6,$R$14,IF($Q$18&lt;11,$R$15,$R$16)))^(1/12),0),G436*(1+IF($Q$18&lt;6,$R$14,IF($Q$18&lt;11,$R$15,$R$16)))^(1/12))))</f>
        <v>0</v>
      </c>
    </row>
    <row r="438" spans="1:7">
      <c r="A438" s="348">
        <f t="shared" si="14"/>
        <v>437</v>
      </c>
      <c r="B438" s="360">
        <f>DATE('Profit Calculation'!J$6,A$2,A$2+A438-1)</f>
        <v>42441</v>
      </c>
      <c r="D438" s="362">
        <f t="shared" si="13"/>
        <v>102224303.70071849</v>
      </c>
      <c r="F438" s="363">
        <f>DATE('Profit Calculation'!J$6,'Profit Calculation'!R$6+A438-1,'Profit Calculation'!Z$6)</f>
        <v>55366</v>
      </c>
      <c r="G438" s="364">
        <f ca="1">IF(Q$27=2,IF(LOOKUP(F438,X$1:X$35,X$1:X$35) = F438,ROUND(LOOKUP(LOOKUP(F438,X$1:X$35,A:A),Single!A$2:A$107,Table13[Saving]),0),IF( LOOKUP(F438,W$1:W$35,W$1:W$35) =
 F438,ROUND(G437*(1+IF($Q$18&lt;6,$R$14,IF($Q$18&lt;11,$R$15,$R$16)))^(1/12),0),G437*(1+IF($Q$18&lt;6,$R$14,IF($Q$18&lt;11,$R$15,$R$16)))^(1/12))),IF(LOOKUP(F438,X$1:X$35,X$1:X$35) = F438,ROUND(LOOKUP(LOOKUP(F438,X$1:X$35,A:A),'Annual Calculation'!A$2:A$107,Table1[Saving]),0),IF( LOOKUP(F438,W$1:W$35,W$1:W$35) =
 F438,ROUND(G437*(1+IF($Q$18&lt;6,$R$14,IF($Q$18&lt;11,$R$15,$R$16)))^(1/12),0),G437*(1+IF($Q$18&lt;6,$R$14,IF($Q$18&lt;11,$R$15,$R$16)))^(1/12))))</f>
        <v>0</v>
      </c>
    </row>
    <row r="439" spans="1:7">
      <c r="A439" s="348">
        <f t="shared" si="14"/>
        <v>438</v>
      </c>
      <c r="B439" s="360">
        <f>DATE('Profit Calculation'!J$6,A$2,A$2+A439-1)</f>
        <v>42442</v>
      </c>
      <c r="D439" s="362">
        <f t="shared" si="13"/>
        <v>102263453.84570128</v>
      </c>
      <c r="F439" s="363">
        <f>DATE('Profit Calculation'!J$6,'Profit Calculation'!R$6+A439-1,'Profit Calculation'!Z$6)</f>
        <v>55397</v>
      </c>
      <c r="G439" s="364">
        <f ca="1">IF(Q$27=2,IF(LOOKUP(F439,X$1:X$35,X$1:X$35) = F439,ROUND(LOOKUP(LOOKUP(F439,X$1:X$35,A:A),Single!A$2:A$107,Table13[Saving]),0),IF( LOOKUP(F439,W$1:W$35,W$1:W$35) =
 F439,ROUND(G438*(1+IF($Q$18&lt;6,$R$14,IF($Q$18&lt;11,$R$15,$R$16)))^(1/12),0),G438*(1+IF($Q$18&lt;6,$R$14,IF($Q$18&lt;11,$R$15,$R$16)))^(1/12))),IF(LOOKUP(F439,X$1:X$35,X$1:X$35) = F439,ROUND(LOOKUP(LOOKUP(F439,X$1:X$35,A:A),'Annual Calculation'!A$2:A$107,Table1[Saving]),0),IF( LOOKUP(F439,W$1:W$35,W$1:W$35) =
 F439,ROUND(G438*(1+IF($Q$18&lt;6,$R$14,IF($Q$18&lt;11,$R$15,$R$16)))^(1/12),0),G438*(1+IF($Q$18&lt;6,$R$14,IF($Q$18&lt;11,$R$15,$R$16)))^(1/12))))</f>
        <v>0</v>
      </c>
    </row>
    <row r="440" spans="1:7">
      <c r="A440" s="348">
        <f t="shared" si="14"/>
        <v>439</v>
      </c>
      <c r="B440" s="360">
        <f>DATE('Profit Calculation'!J$6,A$2,A$2+A440-1)</f>
        <v>42443</v>
      </c>
      <c r="D440" s="362">
        <f t="shared" si="13"/>
        <v>102302618.98451427</v>
      </c>
      <c r="F440" s="363">
        <f>DATE('Profit Calculation'!J$6,'Profit Calculation'!R$6+A440-1,'Profit Calculation'!Z$6)</f>
        <v>55427</v>
      </c>
      <c r="G440" s="364">
        <f ca="1">IF(Q$27=2,IF(LOOKUP(F440,X$1:X$35,X$1:X$35) = F440,ROUND(LOOKUP(LOOKUP(F440,X$1:X$35,A:A),Single!A$2:A$107,Table13[Saving]),0),IF( LOOKUP(F440,W$1:W$35,W$1:W$35) =
 F440,ROUND(G439*(1+IF($Q$18&lt;6,$R$14,IF($Q$18&lt;11,$R$15,$R$16)))^(1/12),0),G439*(1+IF($Q$18&lt;6,$R$14,IF($Q$18&lt;11,$R$15,$R$16)))^(1/12))),IF(LOOKUP(F440,X$1:X$35,X$1:X$35) = F440,ROUND(LOOKUP(LOOKUP(F440,X$1:X$35,A:A),'Annual Calculation'!A$2:A$107,Table1[Saving]),0),IF( LOOKUP(F440,W$1:W$35,W$1:W$35) =
 F440,ROUND(G439*(1+IF($Q$18&lt;6,$R$14,IF($Q$18&lt;11,$R$15,$R$16)))^(1/12),0),G439*(1+IF($Q$18&lt;6,$R$14,IF($Q$18&lt;11,$R$15,$R$16)))^(1/12))))</f>
        <v>0</v>
      </c>
    </row>
    <row r="441" spans="1:7">
      <c r="A441" s="348">
        <f t="shared" si="14"/>
        <v>440</v>
      </c>
      <c r="B441" s="360">
        <f>DATE('Profit Calculation'!J$6,A$2,A$2+A441-1)</f>
        <v>42444</v>
      </c>
      <c r="D441" s="362">
        <f t="shared" si="13"/>
        <v>102341799.12289983</v>
      </c>
      <c r="F441" s="363">
        <f>DATE('Profit Calculation'!J$6,'Profit Calculation'!R$6+A441-1,'Profit Calculation'!Z$6)</f>
        <v>55458</v>
      </c>
      <c r="G441" s="364">
        <f ca="1">IF(Q$27=2,IF(LOOKUP(F441,X$1:X$35,X$1:X$35) = F441,ROUND(LOOKUP(LOOKUP(F441,X$1:X$35,A:A),Single!A$2:A$107,Table13[Saving]),0),IF( LOOKUP(F441,W$1:W$35,W$1:W$35) =
 F441,ROUND(G440*(1+IF($Q$18&lt;6,$R$14,IF($Q$18&lt;11,$R$15,$R$16)))^(1/12),0),G440*(1+IF($Q$18&lt;6,$R$14,IF($Q$18&lt;11,$R$15,$R$16)))^(1/12))),IF(LOOKUP(F441,X$1:X$35,X$1:X$35) = F441,ROUND(LOOKUP(LOOKUP(F441,X$1:X$35,A:A),'Annual Calculation'!A$2:A$107,Table1[Saving]),0),IF( LOOKUP(F441,W$1:W$35,W$1:W$35) =
 F441,ROUND(G440*(1+IF($Q$18&lt;6,$R$14,IF($Q$18&lt;11,$R$15,$R$16)))^(1/12),0),G440*(1+IF($Q$18&lt;6,$R$14,IF($Q$18&lt;11,$R$15,$R$16)))^(1/12))))</f>
        <v>0</v>
      </c>
    </row>
    <row r="442" spans="1:7">
      <c r="A442" s="348">
        <f t="shared" si="14"/>
        <v>441</v>
      </c>
      <c r="B442" s="360">
        <f>DATE('Profit Calculation'!J$6,A$2,A$2+A442-1)</f>
        <v>42445</v>
      </c>
      <c r="D442" s="362">
        <f t="shared" si="13"/>
        <v>102380994.26660256</v>
      </c>
      <c r="F442" s="363">
        <f>DATE('Profit Calculation'!J$6,'Profit Calculation'!R$6+A442-1,'Profit Calculation'!Z$6)</f>
        <v>55488</v>
      </c>
      <c r="G442" s="364">
        <f ca="1">IF(Q$27=2,IF(LOOKUP(F442,X$1:X$35,X$1:X$35) = F442,ROUND(LOOKUP(LOOKUP(F442,X$1:X$35,A:A),Single!A$2:A$107,Table13[Saving]),0),IF( LOOKUP(F442,W$1:W$35,W$1:W$35) =
 F442,ROUND(G441*(1+IF($Q$18&lt;6,$R$14,IF($Q$18&lt;11,$R$15,$R$16)))^(1/12),0),G441*(1+IF($Q$18&lt;6,$R$14,IF($Q$18&lt;11,$R$15,$R$16)))^(1/12))),IF(LOOKUP(F442,X$1:X$35,X$1:X$35) = F442,ROUND(LOOKUP(LOOKUP(F442,X$1:X$35,A:A),'Annual Calculation'!A$2:A$107,Table1[Saving]),0),IF( LOOKUP(F442,W$1:W$35,W$1:W$35) =
 F442,ROUND(G441*(1+IF($Q$18&lt;6,$R$14,IF($Q$18&lt;11,$R$15,$R$16)))^(1/12),0),G441*(1+IF($Q$18&lt;6,$R$14,IF($Q$18&lt;11,$R$15,$R$16)))^(1/12))))</f>
        <v>0</v>
      </c>
    </row>
    <row r="443" spans="1:7">
      <c r="A443" s="348">
        <f t="shared" si="14"/>
        <v>442</v>
      </c>
      <c r="B443" s="360">
        <f>DATE('Profit Calculation'!J$6,A$2,A$2+A443-1)</f>
        <v>42446</v>
      </c>
      <c r="D443" s="362">
        <f t="shared" si="13"/>
        <v>102420204.42136922</v>
      </c>
      <c r="F443" s="363">
        <f>DATE('Profit Calculation'!J$6,'Profit Calculation'!R$6+A443-1,'Profit Calculation'!Z$6)</f>
        <v>55519</v>
      </c>
      <c r="G443" s="364">
        <f ca="1">IF(Q$27=2,IF(LOOKUP(F443,X$1:X$35,X$1:X$35) = F443,ROUND(LOOKUP(LOOKUP(F443,X$1:X$35,A:A),Single!A$2:A$107,Table13[Saving]),0),IF( LOOKUP(F443,W$1:W$35,W$1:W$35) =
 F443,ROUND(G442*(1+IF($Q$18&lt;6,$R$14,IF($Q$18&lt;11,$R$15,$R$16)))^(1/12),0),G442*(1+IF($Q$18&lt;6,$R$14,IF($Q$18&lt;11,$R$15,$R$16)))^(1/12))),IF(LOOKUP(F443,X$1:X$35,X$1:X$35) = F443,ROUND(LOOKUP(LOOKUP(F443,X$1:X$35,A:A),'Annual Calculation'!A$2:A$107,Table1[Saving]),0),IF( LOOKUP(F443,W$1:W$35,W$1:W$35) =
 F443,ROUND(G442*(1+IF($Q$18&lt;6,$R$14,IF($Q$18&lt;11,$R$15,$R$16)))^(1/12),0),G442*(1+IF($Q$18&lt;6,$R$14,IF($Q$18&lt;11,$R$15,$R$16)))^(1/12))))</f>
        <v>0</v>
      </c>
    </row>
    <row r="444" spans="1:7">
      <c r="A444" s="348">
        <f t="shared" si="14"/>
        <v>443</v>
      </c>
      <c r="B444" s="360">
        <f>DATE('Profit Calculation'!J$6,A$2,A$2+A444-1)</f>
        <v>42447</v>
      </c>
      <c r="D444" s="362">
        <f t="shared" si="13"/>
        <v>102459429.59294881</v>
      </c>
      <c r="F444" s="363">
        <f>DATE('Profit Calculation'!J$6,'Profit Calculation'!R$6+A444-1,'Profit Calculation'!Z$6)</f>
        <v>55550</v>
      </c>
      <c r="G444" s="364">
        <f ca="1">IF(Q$27=2,IF(LOOKUP(F444,X$1:X$35,X$1:X$35) = F444,ROUND(LOOKUP(LOOKUP(F444,X$1:X$35,A:A),Single!A$2:A$107,Table13[Saving]),0),IF( LOOKUP(F444,W$1:W$35,W$1:W$35) =
 F444,ROUND(G443*(1+IF($Q$18&lt;6,$R$14,IF($Q$18&lt;11,$R$15,$R$16)))^(1/12),0),G443*(1+IF($Q$18&lt;6,$R$14,IF($Q$18&lt;11,$R$15,$R$16)))^(1/12))),IF(LOOKUP(F444,X$1:X$35,X$1:X$35) = F444,ROUND(LOOKUP(LOOKUP(F444,X$1:X$35,A:A),'Annual Calculation'!A$2:A$107,Table1[Saving]),0),IF( LOOKUP(F444,W$1:W$35,W$1:W$35) =
 F444,ROUND(G443*(1+IF($Q$18&lt;6,$R$14,IF($Q$18&lt;11,$R$15,$R$16)))^(1/12),0),G443*(1+IF($Q$18&lt;6,$R$14,IF($Q$18&lt;11,$R$15,$R$16)))^(1/12))))</f>
        <v>0</v>
      </c>
    </row>
    <row r="445" spans="1:7">
      <c r="A445" s="348">
        <f t="shared" si="14"/>
        <v>444</v>
      </c>
      <c r="B445" s="360">
        <f>DATE('Profit Calculation'!J$6,A$2,A$2+A445-1)</f>
        <v>42448</v>
      </c>
      <c r="D445" s="362">
        <f t="shared" si="13"/>
        <v>102498669.78709248</v>
      </c>
      <c r="F445" s="363">
        <f>DATE('Profit Calculation'!J$6,'Profit Calculation'!R$6+A445-1,'Profit Calculation'!Z$6)</f>
        <v>55579</v>
      </c>
      <c r="G445" s="364">
        <f ca="1">IF(Q$27=2,IF(LOOKUP(F445,X$1:X$35,X$1:X$35) = F445,ROUND(LOOKUP(LOOKUP(F445,X$1:X$35,A:A),Single!A$2:A$107,Table13[Saving]),0),IF( LOOKUP(F445,W$1:W$35,W$1:W$35) =
 F445,ROUND(G444*(1+IF($Q$18&lt;6,$R$14,IF($Q$18&lt;11,$R$15,$R$16)))^(1/12),0),G444*(1+IF($Q$18&lt;6,$R$14,IF($Q$18&lt;11,$R$15,$R$16)))^(1/12))),IF(LOOKUP(F445,X$1:X$35,X$1:X$35) = F445,ROUND(LOOKUP(LOOKUP(F445,X$1:X$35,A:A),'Annual Calculation'!A$2:A$107,Table1[Saving]),0),IF( LOOKUP(F445,W$1:W$35,W$1:W$35) =
 F445,ROUND(G444*(1+IF($Q$18&lt;6,$R$14,IF($Q$18&lt;11,$R$15,$R$16)))^(1/12),0),G444*(1+IF($Q$18&lt;6,$R$14,IF($Q$18&lt;11,$R$15,$R$16)))^(1/12))))</f>
        <v>0</v>
      </c>
    </row>
    <row r="446" spans="1:7">
      <c r="A446" s="348">
        <f t="shared" si="14"/>
        <v>445</v>
      </c>
      <c r="B446" s="360">
        <f>DATE('Profit Calculation'!J$6,A$2,A$2+A446-1)</f>
        <v>42449</v>
      </c>
      <c r="D446" s="362">
        <f t="shared" si="13"/>
        <v>102537925.00955363</v>
      </c>
      <c r="F446" s="363">
        <f>DATE('Profit Calculation'!J$6,'Profit Calculation'!R$6+A446-1,'Profit Calculation'!Z$6)</f>
        <v>55610</v>
      </c>
      <c r="G446" s="364">
        <f ca="1">IF(Q$27=2,IF(LOOKUP(F446,X$1:X$35,X$1:X$35) = F446,ROUND(LOOKUP(LOOKUP(F446,X$1:X$35,A:A),Single!A$2:A$107,Table13[Saving]),0),IF( LOOKUP(F446,W$1:W$35,W$1:W$35) =
 F446,ROUND(G445*(1+IF($Q$18&lt;6,$R$14,IF($Q$18&lt;11,$R$15,$R$16)))^(1/12),0),G445*(1+IF($Q$18&lt;6,$R$14,IF($Q$18&lt;11,$R$15,$R$16)))^(1/12))),IF(LOOKUP(F446,X$1:X$35,X$1:X$35) = F446,ROUND(LOOKUP(LOOKUP(F446,X$1:X$35,A:A),'Annual Calculation'!A$2:A$107,Table1[Saving]),0),IF( LOOKUP(F446,W$1:W$35,W$1:W$35) =
 F446,ROUND(G445*(1+IF($Q$18&lt;6,$R$14,IF($Q$18&lt;11,$R$15,$R$16)))^(1/12),0),G445*(1+IF($Q$18&lt;6,$R$14,IF($Q$18&lt;11,$R$15,$R$16)))^(1/12))))</f>
        <v>0</v>
      </c>
    </row>
    <row r="447" spans="1:7">
      <c r="A447" s="348">
        <f t="shared" si="14"/>
        <v>446</v>
      </c>
      <c r="B447" s="360">
        <f>DATE('Profit Calculation'!J$6,A$2,A$2+A447-1)</f>
        <v>42450</v>
      </c>
      <c r="D447" s="362">
        <f t="shared" si="13"/>
        <v>102577195.26608784</v>
      </c>
      <c r="F447" s="363">
        <f>DATE('Profit Calculation'!J$6,'Profit Calculation'!R$6+A447-1,'Profit Calculation'!Z$6)</f>
        <v>55640</v>
      </c>
      <c r="G447" s="364">
        <f ca="1">IF(Q$27=2,IF(LOOKUP(F447,X$1:X$35,X$1:X$35) = F447,ROUND(LOOKUP(LOOKUP(F447,X$1:X$35,A:A),Single!A$2:A$107,Table13[Saving]),0),IF( LOOKUP(F447,W$1:W$35,W$1:W$35) =
 F447,ROUND(G446*(1+IF($Q$18&lt;6,$R$14,IF($Q$18&lt;11,$R$15,$R$16)))^(1/12),0),G446*(1+IF($Q$18&lt;6,$R$14,IF($Q$18&lt;11,$R$15,$R$16)))^(1/12))),IF(LOOKUP(F447,X$1:X$35,X$1:X$35) = F447,ROUND(LOOKUP(LOOKUP(F447,X$1:X$35,A:A),'Annual Calculation'!A$2:A$107,Table1[Saving]),0),IF( LOOKUP(F447,W$1:W$35,W$1:W$35) =
 F447,ROUND(G446*(1+IF($Q$18&lt;6,$R$14,IF($Q$18&lt;11,$R$15,$R$16)))^(1/12),0),G446*(1+IF($Q$18&lt;6,$R$14,IF($Q$18&lt;11,$R$15,$R$16)))^(1/12))))</f>
        <v>0</v>
      </c>
    </row>
    <row r="448" spans="1:7">
      <c r="A448" s="348">
        <f t="shared" si="14"/>
        <v>447</v>
      </c>
      <c r="B448" s="360">
        <f>DATE('Profit Calculation'!J$6,A$2,A$2+A448-1)</f>
        <v>42451</v>
      </c>
      <c r="D448" s="362">
        <f t="shared" si="13"/>
        <v>102616480.56245291</v>
      </c>
      <c r="F448" s="363">
        <f>DATE('Profit Calculation'!J$6,'Profit Calculation'!R$6+A448-1,'Profit Calculation'!Z$6)</f>
        <v>55671</v>
      </c>
      <c r="G448" s="364">
        <f ca="1">IF(Q$27=2,IF(LOOKUP(F448,X$1:X$35,X$1:X$35) = F448,ROUND(LOOKUP(LOOKUP(F448,X$1:X$35,A:A),Single!A$2:A$107,Table13[Saving]),0),IF( LOOKUP(F448,W$1:W$35,W$1:W$35) =
 F448,ROUND(G447*(1+IF($Q$18&lt;6,$R$14,IF($Q$18&lt;11,$R$15,$R$16)))^(1/12),0),G447*(1+IF($Q$18&lt;6,$R$14,IF($Q$18&lt;11,$R$15,$R$16)))^(1/12))),IF(LOOKUP(F448,X$1:X$35,X$1:X$35) = F448,ROUND(LOOKUP(LOOKUP(F448,X$1:X$35,A:A),'Annual Calculation'!A$2:A$107,Table1[Saving]),0),IF( LOOKUP(F448,W$1:W$35,W$1:W$35) =
 F448,ROUND(G447*(1+IF($Q$18&lt;6,$R$14,IF($Q$18&lt;11,$R$15,$R$16)))^(1/12),0),G447*(1+IF($Q$18&lt;6,$R$14,IF($Q$18&lt;11,$R$15,$R$16)))^(1/12))))</f>
        <v>0</v>
      </c>
    </row>
    <row r="449" spans="1:7">
      <c r="A449" s="348">
        <f t="shared" si="14"/>
        <v>448</v>
      </c>
      <c r="B449" s="360">
        <f>DATE('Profit Calculation'!J$6,A$2,A$2+A449-1)</f>
        <v>42452</v>
      </c>
      <c r="D449" s="362">
        <f t="shared" si="13"/>
        <v>102655780.90440883</v>
      </c>
      <c r="F449" s="363">
        <f>DATE('Profit Calculation'!J$6,'Profit Calculation'!R$6+A449-1,'Profit Calculation'!Z$6)</f>
        <v>55701</v>
      </c>
      <c r="G449" s="364">
        <f ca="1">IF(Q$27=2,IF(LOOKUP(F449,X$1:X$35,X$1:X$35) = F449,ROUND(LOOKUP(LOOKUP(F449,X$1:X$35,A:A),Single!A$2:A$107,Table13[Saving]),0),IF( LOOKUP(F449,W$1:W$35,W$1:W$35) =
 F449,ROUND(G448*(1+IF($Q$18&lt;6,$R$14,IF($Q$18&lt;11,$R$15,$R$16)))^(1/12),0),G448*(1+IF($Q$18&lt;6,$R$14,IF($Q$18&lt;11,$R$15,$R$16)))^(1/12))),IF(LOOKUP(F449,X$1:X$35,X$1:X$35) = F449,ROUND(LOOKUP(LOOKUP(F449,X$1:X$35,A:A),'Annual Calculation'!A$2:A$107,Table1[Saving]),0),IF( LOOKUP(F449,W$1:W$35,W$1:W$35) =
 F449,ROUND(G448*(1+IF($Q$18&lt;6,$R$14,IF($Q$18&lt;11,$R$15,$R$16)))^(1/12),0),G448*(1+IF($Q$18&lt;6,$R$14,IF($Q$18&lt;11,$R$15,$R$16)))^(1/12))))</f>
        <v>0</v>
      </c>
    </row>
    <row r="450" spans="1:7">
      <c r="A450" s="348">
        <f t="shared" si="14"/>
        <v>449</v>
      </c>
      <c r="B450" s="360">
        <f>DATE('Profit Calculation'!J$6,A$2,A$2+A450-1)</f>
        <v>42453</v>
      </c>
      <c r="D450" s="362">
        <f t="shared" si="13"/>
        <v>102695096.29771779</v>
      </c>
      <c r="F450" s="363">
        <f>DATE('Profit Calculation'!J$6,'Profit Calculation'!R$6+A450-1,'Profit Calculation'!Z$6)</f>
        <v>55732</v>
      </c>
      <c r="G450" s="364">
        <f ca="1">IF(Q$27=2,IF(LOOKUP(F450,X$1:X$35,X$1:X$35) = F450,ROUND(LOOKUP(LOOKUP(F450,X$1:X$35,A:A),Single!A$2:A$107,Table13[Saving]),0),IF( LOOKUP(F450,W$1:W$35,W$1:W$35) =
 F450,ROUND(G449*(1+IF($Q$18&lt;6,$R$14,IF($Q$18&lt;11,$R$15,$R$16)))^(1/12),0),G449*(1+IF($Q$18&lt;6,$R$14,IF($Q$18&lt;11,$R$15,$R$16)))^(1/12))),IF(LOOKUP(F450,X$1:X$35,X$1:X$35) = F450,ROUND(LOOKUP(LOOKUP(F450,X$1:X$35,A:A),'Annual Calculation'!A$2:A$107,Table1[Saving]),0),IF( LOOKUP(F450,W$1:W$35,W$1:W$35) =
 F450,ROUND(G449*(1+IF($Q$18&lt;6,$R$14,IF($Q$18&lt;11,$R$15,$R$16)))^(1/12),0),G449*(1+IF($Q$18&lt;6,$R$14,IF($Q$18&lt;11,$R$15,$R$16)))^(1/12))))</f>
        <v>0</v>
      </c>
    </row>
    <row r="451" spans="1:7">
      <c r="A451" s="348">
        <f t="shared" si="14"/>
        <v>450</v>
      </c>
      <c r="B451" s="360">
        <f>DATE('Profit Calculation'!J$6,A$2,A$2+A451-1)</f>
        <v>42454</v>
      </c>
      <c r="D451" s="362">
        <f t="shared" si="13"/>
        <v>102734426.74814422</v>
      </c>
      <c r="F451" s="363">
        <f>DATE('Profit Calculation'!J$6,'Profit Calculation'!R$6+A451-1,'Profit Calculation'!Z$6)</f>
        <v>55763</v>
      </c>
      <c r="G451" s="364">
        <f ca="1">IF(Q$27=2,IF(LOOKUP(F451,X$1:X$35,X$1:X$35) = F451,ROUND(LOOKUP(LOOKUP(F451,X$1:X$35,A:A),Single!A$2:A$107,Table13[Saving]),0),IF( LOOKUP(F451,W$1:W$35,W$1:W$35) =
 F451,ROUND(G450*(1+IF($Q$18&lt;6,$R$14,IF($Q$18&lt;11,$R$15,$R$16)))^(1/12),0),G450*(1+IF($Q$18&lt;6,$R$14,IF($Q$18&lt;11,$R$15,$R$16)))^(1/12))),IF(LOOKUP(F451,X$1:X$35,X$1:X$35) = F451,ROUND(LOOKUP(LOOKUP(F451,X$1:X$35,A:A),'Annual Calculation'!A$2:A$107,Table1[Saving]),0),IF( LOOKUP(F451,W$1:W$35,W$1:W$35) =
 F451,ROUND(G450*(1+IF($Q$18&lt;6,$R$14,IF($Q$18&lt;11,$R$15,$R$16)))^(1/12),0),G450*(1+IF($Q$18&lt;6,$R$14,IF($Q$18&lt;11,$R$15,$R$16)))^(1/12))))</f>
        <v>0</v>
      </c>
    </row>
    <row r="452" spans="1:7">
      <c r="A452" s="348">
        <f t="shared" si="14"/>
        <v>451</v>
      </c>
      <c r="B452" s="360">
        <f>DATE('Profit Calculation'!J$6,A$2,A$2+A452-1)</f>
        <v>42455</v>
      </c>
      <c r="D452" s="362">
        <f t="shared" ref="D452:D515" si="15">IF(OR(LOOKUP(B452,W$1:W$35,W$1:W$35) = B452, LOOKUP(B452,X$1:X$35,X$1:X$35) = B452),LOOKUP(B452,F:F,G:G),D451*(1+((IF($Q$18&lt;6,$R$14,IF($Q$18&lt;11,$R$15,$R$16)))))^(1/365))</f>
        <v>102773772.26145473</v>
      </c>
      <c r="F452" s="363">
        <f>DATE('Profit Calculation'!J$6,'Profit Calculation'!R$6+A452-1,'Profit Calculation'!Z$6)</f>
        <v>55793</v>
      </c>
      <c r="G452" s="364">
        <f ca="1">IF(Q$27=2,IF(LOOKUP(F452,X$1:X$35,X$1:X$35) = F452,ROUND(LOOKUP(LOOKUP(F452,X$1:X$35,A:A),Single!A$2:A$107,Table13[Saving]),0),IF( LOOKUP(F452,W$1:W$35,W$1:W$35) =
 F452,ROUND(G451*(1+IF($Q$18&lt;6,$R$14,IF($Q$18&lt;11,$R$15,$R$16)))^(1/12),0),G451*(1+IF($Q$18&lt;6,$R$14,IF($Q$18&lt;11,$R$15,$R$16)))^(1/12))),IF(LOOKUP(F452,X$1:X$35,X$1:X$35) = F452,ROUND(LOOKUP(LOOKUP(F452,X$1:X$35,A:A),'Annual Calculation'!A$2:A$107,Table1[Saving]),0),IF( LOOKUP(F452,W$1:W$35,W$1:W$35) =
 F452,ROUND(G451*(1+IF($Q$18&lt;6,$R$14,IF($Q$18&lt;11,$R$15,$R$16)))^(1/12),0),G451*(1+IF($Q$18&lt;6,$R$14,IF($Q$18&lt;11,$R$15,$R$16)))^(1/12))))</f>
        <v>0</v>
      </c>
    </row>
    <row r="453" spans="1:7">
      <c r="A453" s="348">
        <f t="shared" ref="A453:A516" si="16">A452+1</f>
        <v>452</v>
      </c>
      <c r="B453" s="360">
        <f>DATE('Profit Calculation'!J$6,A$2,A$2+A453-1)</f>
        <v>42456</v>
      </c>
      <c r="D453" s="362">
        <f t="shared" si="15"/>
        <v>102813132.84341814</v>
      </c>
      <c r="F453" s="363">
        <f>DATE('Profit Calculation'!J$6,'Profit Calculation'!R$6+A453-1,'Profit Calculation'!Z$6)</f>
        <v>55824</v>
      </c>
      <c r="G453" s="364">
        <f ca="1">IF(Q$27=2,IF(LOOKUP(F453,X$1:X$35,X$1:X$35) = F453,ROUND(LOOKUP(LOOKUP(F453,X$1:X$35,A:A),Single!A$2:A$107,Table13[Saving]),0),IF( LOOKUP(F453,W$1:W$35,W$1:W$35) =
 F453,ROUND(G452*(1+IF($Q$18&lt;6,$R$14,IF($Q$18&lt;11,$R$15,$R$16)))^(1/12),0),G452*(1+IF($Q$18&lt;6,$R$14,IF($Q$18&lt;11,$R$15,$R$16)))^(1/12))),IF(LOOKUP(F453,X$1:X$35,X$1:X$35) = F453,ROUND(LOOKUP(LOOKUP(F453,X$1:X$35,A:A),'Annual Calculation'!A$2:A$107,Table1[Saving]),0),IF( LOOKUP(F453,W$1:W$35,W$1:W$35) =
 F453,ROUND(G452*(1+IF($Q$18&lt;6,$R$14,IF($Q$18&lt;11,$R$15,$R$16)))^(1/12),0),G452*(1+IF($Q$18&lt;6,$R$14,IF($Q$18&lt;11,$R$15,$R$16)))^(1/12))))</f>
        <v>0</v>
      </c>
    </row>
    <row r="454" spans="1:7">
      <c r="A454" s="348">
        <f t="shared" si="16"/>
        <v>453</v>
      </c>
      <c r="B454" s="360">
        <f>DATE('Profit Calculation'!J$6,A$2,A$2+A454-1)</f>
        <v>42457</v>
      </c>
      <c r="D454" s="362">
        <f t="shared" si="15"/>
        <v>102852508.49980548</v>
      </c>
      <c r="F454" s="363">
        <f>DATE('Profit Calculation'!J$6,'Profit Calculation'!R$6+A454-1,'Profit Calculation'!Z$6)</f>
        <v>55854</v>
      </c>
      <c r="G454" s="364">
        <f ca="1">IF(Q$27=2,IF(LOOKUP(F454,X$1:X$35,X$1:X$35) = F454,ROUND(LOOKUP(LOOKUP(F454,X$1:X$35,A:A),Single!A$2:A$107,Table13[Saving]),0),IF( LOOKUP(F454,W$1:W$35,W$1:W$35) =
 F454,ROUND(G453*(1+IF($Q$18&lt;6,$R$14,IF($Q$18&lt;11,$R$15,$R$16)))^(1/12),0),G453*(1+IF($Q$18&lt;6,$R$14,IF($Q$18&lt;11,$R$15,$R$16)))^(1/12))),IF(LOOKUP(F454,X$1:X$35,X$1:X$35) = F454,ROUND(LOOKUP(LOOKUP(F454,X$1:X$35,A:A),'Annual Calculation'!A$2:A$107,Table1[Saving]),0),IF( LOOKUP(F454,W$1:W$35,W$1:W$35) =
 F454,ROUND(G453*(1+IF($Q$18&lt;6,$R$14,IF($Q$18&lt;11,$R$15,$R$16)))^(1/12),0),G453*(1+IF($Q$18&lt;6,$R$14,IF($Q$18&lt;11,$R$15,$R$16)))^(1/12))))</f>
        <v>0</v>
      </c>
    </row>
    <row r="455" spans="1:7">
      <c r="A455" s="348">
        <f t="shared" si="16"/>
        <v>454</v>
      </c>
      <c r="B455" s="360">
        <f>DATE('Profit Calculation'!J$6,A$2,A$2+A455-1)</f>
        <v>42458</v>
      </c>
      <c r="D455" s="362">
        <f t="shared" si="15"/>
        <v>102891899.23638999</v>
      </c>
      <c r="F455" s="363">
        <f>DATE('Profit Calculation'!J$6,'Profit Calculation'!R$6+A455-1,'Profit Calculation'!Z$6)</f>
        <v>55885</v>
      </c>
      <c r="G455" s="364">
        <f ca="1">IF(Q$27=2,IF(LOOKUP(F455,X$1:X$35,X$1:X$35) = F455,ROUND(LOOKUP(LOOKUP(F455,X$1:X$35,A:A),Single!A$2:A$107,Table13[Saving]),0),IF( LOOKUP(F455,W$1:W$35,W$1:W$35) =
 F455,ROUND(G454*(1+IF($Q$18&lt;6,$R$14,IF($Q$18&lt;11,$R$15,$R$16)))^(1/12),0),G454*(1+IF($Q$18&lt;6,$R$14,IF($Q$18&lt;11,$R$15,$R$16)))^(1/12))),IF(LOOKUP(F455,X$1:X$35,X$1:X$35) = F455,ROUND(LOOKUP(LOOKUP(F455,X$1:X$35,A:A),'Annual Calculation'!A$2:A$107,Table1[Saving]),0),IF( LOOKUP(F455,W$1:W$35,W$1:W$35) =
 F455,ROUND(G454*(1+IF($Q$18&lt;6,$R$14,IF($Q$18&lt;11,$R$15,$R$16)))^(1/12),0),G454*(1+IF($Q$18&lt;6,$R$14,IF($Q$18&lt;11,$R$15,$R$16)))^(1/12))))</f>
        <v>0</v>
      </c>
    </row>
    <row r="456" spans="1:7">
      <c r="A456" s="348">
        <f t="shared" si="16"/>
        <v>455</v>
      </c>
      <c r="B456" s="360">
        <f>DATE('Profit Calculation'!J$6,A$2,A$2+A456-1)</f>
        <v>42459</v>
      </c>
      <c r="D456" s="362">
        <f t="shared" si="15"/>
        <v>102931305.05894715</v>
      </c>
      <c r="F456" s="363">
        <f>DATE('Profit Calculation'!J$6,'Profit Calculation'!R$6+A456-1,'Profit Calculation'!Z$6)</f>
        <v>55916</v>
      </c>
      <c r="G456" s="364">
        <f ca="1">IF(Q$27=2,IF(LOOKUP(F456,X$1:X$35,X$1:X$35) = F456,ROUND(LOOKUP(LOOKUP(F456,X$1:X$35,A:A),Single!A$2:A$107,Table13[Saving]),0),IF( LOOKUP(F456,W$1:W$35,W$1:W$35) =
 F456,ROUND(G455*(1+IF($Q$18&lt;6,$R$14,IF($Q$18&lt;11,$R$15,$R$16)))^(1/12),0),G455*(1+IF($Q$18&lt;6,$R$14,IF($Q$18&lt;11,$R$15,$R$16)))^(1/12))),IF(LOOKUP(F456,X$1:X$35,X$1:X$35) = F456,ROUND(LOOKUP(LOOKUP(F456,X$1:X$35,A:A),'Annual Calculation'!A$2:A$107,Table1[Saving]),0),IF( LOOKUP(F456,W$1:W$35,W$1:W$35) =
 F456,ROUND(G455*(1+IF($Q$18&lt;6,$R$14,IF($Q$18&lt;11,$R$15,$R$16)))^(1/12),0),G455*(1+IF($Q$18&lt;6,$R$14,IF($Q$18&lt;11,$R$15,$R$16)))^(1/12))))</f>
        <v>0</v>
      </c>
    </row>
    <row r="457" spans="1:7">
      <c r="A457" s="348">
        <f t="shared" si="16"/>
        <v>456</v>
      </c>
      <c r="B457" s="360">
        <f>DATE('Profit Calculation'!J$6,A$2,A$2+A457-1)</f>
        <v>42460</v>
      </c>
      <c r="D457" s="362">
        <f t="shared" si="15"/>
        <v>102970725.97325461</v>
      </c>
      <c r="F457" s="363">
        <f>DATE('Profit Calculation'!J$6,'Profit Calculation'!R$6+A457-1,'Profit Calculation'!Z$6)</f>
        <v>55944</v>
      </c>
      <c r="G457" s="364">
        <f ca="1">IF(Q$27=2,IF(LOOKUP(F457,X$1:X$35,X$1:X$35) = F457,ROUND(LOOKUP(LOOKUP(F457,X$1:X$35,A:A),Single!A$2:A$107,Table13[Saving]),0),IF( LOOKUP(F457,W$1:W$35,W$1:W$35) =
 F457,ROUND(G456*(1+IF($Q$18&lt;6,$R$14,IF($Q$18&lt;11,$R$15,$R$16)))^(1/12),0),G456*(1+IF($Q$18&lt;6,$R$14,IF($Q$18&lt;11,$R$15,$R$16)))^(1/12))),IF(LOOKUP(F457,X$1:X$35,X$1:X$35) = F457,ROUND(LOOKUP(LOOKUP(F457,X$1:X$35,A:A),'Annual Calculation'!A$2:A$107,Table1[Saving]),0),IF( LOOKUP(F457,W$1:W$35,W$1:W$35) =
 F457,ROUND(G456*(1+IF($Q$18&lt;6,$R$14,IF($Q$18&lt;11,$R$15,$R$16)))^(1/12),0),G456*(1+IF($Q$18&lt;6,$R$14,IF($Q$18&lt;11,$R$15,$R$16)))^(1/12))))</f>
        <v>0</v>
      </c>
    </row>
    <row r="458" spans="1:7">
      <c r="A458" s="348">
        <f t="shared" si="16"/>
        <v>457</v>
      </c>
      <c r="B458" s="360">
        <f>DATE('Profit Calculation'!J$6,A$2,A$2+A458-1)</f>
        <v>42461</v>
      </c>
      <c r="D458" s="362">
        <f t="shared" ca="1" si="15"/>
        <v>101800725</v>
      </c>
      <c r="F458" s="363">
        <f>DATE('Profit Calculation'!J$6,'Profit Calculation'!R$6+A458-1,'Profit Calculation'!Z$6)</f>
        <v>55975</v>
      </c>
      <c r="G458" s="364">
        <f ca="1">IF(Q$27=2,IF(LOOKUP(F458,X$1:X$35,X$1:X$35) = F458,ROUND(LOOKUP(LOOKUP(F458,X$1:X$35,A:A),Single!A$2:A$107,Table13[Saving]),0),IF( LOOKUP(F458,W$1:W$35,W$1:W$35) =
 F458,ROUND(G457*(1+IF($Q$18&lt;6,$R$14,IF($Q$18&lt;11,$R$15,$R$16)))^(1/12),0),G457*(1+IF($Q$18&lt;6,$R$14,IF($Q$18&lt;11,$R$15,$R$16)))^(1/12))),IF(LOOKUP(F458,X$1:X$35,X$1:X$35) = F458,ROUND(LOOKUP(LOOKUP(F458,X$1:X$35,A:A),'Annual Calculation'!A$2:A$107,Table1[Saving]),0),IF( LOOKUP(F458,W$1:W$35,W$1:W$35) =
 F458,ROUND(G457*(1+IF($Q$18&lt;6,$R$14,IF($Q$18&lt;11,$R$15,$R$16)))^(1/12),0),G457*(1+IF($Q$18&lt;6,$R$14,IF($Q$18&lt;11,$R$15,$R$16)))^(1/12))))</f>
        <v>0</v>
      </c>
    </row>
    <row r="459" spans="1:7">
      <c r="A459" s="348">
        <f t="shared" si="16"/>
        <v>458</v>
      </c>
      <c r="B459" s="360">
        <f>DATE('Profit Calculation'!J$6,A$2,A$2+A459-1)</f>
        <v>42462</v>
      </c>
      <c r="D459" s="362">
        <f t="shared" ca="1" si="15"/>
        <v>101839712.921647</v>
      </c>
      <c r="F459" s="363">
        <f>DATE('Profit Calculation'!J$6,'Profit Calculation'!R$6+A459-1,'Profit Calculation'!Z$6)</f>
        <v>56005</v>
      </c>
      <c r="G459" s="364">
        <f ca="1">IF(Q$27=2,IF(LOOKUP(F459,X$1:X$35,X$1:X$35) = F459,ROUND(LOOKUP(LOOKUP(F459,X$1:X$35,A:A),Single!A$2:A$107,Table13[Saving]),0),IF( LOOKUP(F459,W$1:W$35,W$1:W$35) =
 F459,ROUND(G458*(1+IF($Q$18&lt;6,$R$14,IF($Q$18&lt;11,$R$15,$R$16)))^(1/12),0),G458*(1+IF($Q$18&lt;6,$R$14,IF($Q$18&lt;11,$R$15,$R$16)))^(1/12))),IF(LOOKUP(F459,X$1:X$35,X$1:X$35) = F459,ROUND(LOOKUP(LOOKUP(F459,X$1:X$35,A:A),'Annual Calculation'!A$2:A$107,Table1[Saving]),0),IF( LOOKUP(F459,W$1:W$35,W$1:W$35) =
 F459,ROUND(G458*(1+IF($Q$18&lt;6,$R$14,IF($Q$18&lt;11,$R$15,$R$16)))^(1/12),0),G458*(1+IF($Q$18&lt;6,$R$14,IF($Q$18&lt;11,$R$15,$R$16)))^(1/12))))</f>
        <v>0</v>
      </c>
    </row>
    <row r="460" spans="1:7">
      <c r="A460" s="348">
        <f t="shared" si="16"/>
        <v>459</v>
      </c>
      <c r="B460" s="360">
        <f>DATE('Profit Calculation'!J$6,A$2,A$2+A460-1)</f>
        <v>42463</v>
      </c>
      <c r="D460" s="362">
        <f t="shared" ca="1" si="15"/>
        <v>101878715.77499546</v>
      </c>
      <c r="F460" s="363">
        <f>DATE('Profit Calculation'!J$6,'Profit Calculation'!R$6+A460-1,'Profit Calculation'!Z$6)</f>
        <v>56036</v>
      </c>
      <c r="G460" s="364">
        <f ca="1">IF(Q$27=2,IF(LOOKUP(F460,X$1:X$35,X$1:X$35) = F460,ROUND(LOOKUP(LOOKUP(F460,X$1:X$35,A:A),Single!A$2:A$107,Table13[Saving]),0),IF( LOOKUP(F460,W$1:W$35,W$1:W$35) =
 F460,ROUND(G459*(1+IF($Q$18&lt;6,$R$14,IF($Q$18&lt;11,$R$15,$R$16)))^(1/12),0),G459*(1+IF($Q$18&lt;6,$R$14,IF($Q$18&lt;11,$R$15,$R$16)))^(1/12))),IF(LOOKUP(F460,X$1:X$35,X$1:X$35) = F460,ROUND(LOOKUP(LOOKUP(F460,X$1:X$35,A:A),'Annual Calculation'!A$2:A$107,Table1[Saving]),0),IF( LOOKUP(F460,W$1:W$35,W$1:W$35) =
 F460,ROUND(G459*(1+IF($Q$18&lt;6,$R$14,IF($Q$18&lt;11,$R$15,$R$16)))^(1/12),0),G459*(1+IF($Q$18&lt;6,$R$14,IF($Q$18&lt;11,$R$15,$R$16)))^(1/12))))</f>
        <v>0</v>
      </c>
    </row>
    <row r="461" spans="1:7">
      <c r="A461" s="348">
        <f t="shared" si="16"/>
        <v>460</v>
      </c>
      <c r="B461" s="360">
        <f>DATE('Profit Calculation'!J$6,A$2,A$2+A461-1)</f>
        <v>42464</v>
      </c>
      <c r="D461" s="362">
        <f t="shared" ca="1" si="15"/>
        <v>101917733.56576398</v>
      </c>
      <c r="F461" s="363">
        <f>DATE('Profit Calculation'!J$6,'Profit Calculation'!R$6+A461-1,'Profit Calculation'!Z$6)</f>
        <v>56066</v>
      </c>
      <c r="G461" s="364">
        <f ca="1">IF(Q$27=2,IF(LOOKUP(F461,X$1:X$35,X$1:X$35) = F461,ROUND(LOOKUP(LOOKUP(F461,X$1:X$35,A:A),Single!A$2:A$107,Table13[Saving]),0),IF( LOOKUP(F461,W$1:W$35,W$1:W$35) =
 F461,ROUND(G460*(1+IF($Q$18&lt;6,$R$14,IF($Q$18&lt;11,$R$15,$R$16)))^(1/12),0),G460*(1+IF($Q$18&lt;6,$R$14,IF($Q$18&lt;11,$R$15,$R$16)))^(1/12))),IF(LOOKUP(F461,X$1:X$35,X$1:X$35) = F461,ROUND(LOOKUP(LOOKUP(F461,X$1:X$35,A:A),'Annual Calculation'!A$2:A$107,Table1[Saving]),0),IF( LOOKUP(F461,W$1:W$35,W$1:W$35) =
 F461,ROUND(G460*(1+IF($Q$18&lt;6,$R$14,IF($Q$18&lt;11,$R$15,$R$16)))^(1/12),0),G460*(1+IF($Q$18&lt;6,$R$14,IF($Q$18&lt;11,$R$15,$R$16)))^(1/12))))</f>
        <v>0</v>
      </c>
    </row>
    <row r="462" spans="1:7">
      <c r="A462" s="348">
        <f t="shared" si="16"/>
        <v>461</v>
      </c>
      <c r="B462" s="360">
        <f>DATE('Profit Calculation'!J$6,A$2,A$2+A462-1)</f>
        <v>42465</v>
      </c>
      <c r="D462" s="362">
        <f t="shared" ca="1" si="15"/>
        <v>101956766.29967332</v>
      </c>
      <c r="F462" s="363">
        <f>DATE('Profit Calculation'!J$6,'Profit Calculation'!R$6+A462-1,'Profit Calculation'!Z$6)</f>
        <v>56097</v>
      </c>
      <c r="G462" s="364">
        <f ca="1">IF(Q$27=2,IF(LOOKUP(F462,X$1:X$35,X$1:X$35) = F462,ROUND(LOOKUP(LOOKUP(F462,X$1:X$35,A:A),Single!A$2:A$107,Table13[Saving]),0),IF( LOOKUP(F462,W$1:W$35,W$1:W$35) =
 F462,ROUND(G461*(1+IF($Q$18&lt;6,$R$14,IF($Q$18&lt;11,$R$15,$R$16)))^(1/12),0),G461*(1+IF($Q$18&lt;6,$R$14,IF($Q$18&lt;11,$R$15,$R$16)))^(1/12))),IF(LOOKUP(F462,X$1:X$35,X$1:X$35) = F462,ROUND(LOOKUP(LOOKUP(F462,X$1:X$35,A:A),'Annual Calculation'!A$2:A$107,Table1[Saving]),0),IF( LOOKUP(F462,W$1:W$35,W$1:W$35) =
 F462,ROUND(G461*(1+IF($Q$18&lt;6,$R$14,IF($Q$18&lt;11,$R$15,$R$16)))^(1/12),0),G461*(1+IF($Q$18&lt;6,$R$14,IF($Q$18&lt;11,$R$15,$R$16)))^(1/12))))</f>
        <v>0</v>
      </c>
    </row>
    <row r="463" spans="1:7">
      <c r="A463" s="348">
        <f t="shared" si="16"/>
        <v>462</v>
      </c>
      <c r="B463" s="360">
        <f>DATE('Profit Calculation'!J$6,A$2,A$2+A463-1)</f>
        <v>42466</v>
      </c>
      <c r="D463" s="362">
        <f t="shared" ca="1" si="15"/>
        <v>101995813.98244643</v>
      </c>
      <c r="F463" s="363">
        <f>DATE('Profit Calculation'!J$6,'Profit Calculation'!R$6+A463-1,'Profit Calculation'!Z$6)</f>
        <v>56128</v>
      </c>
      <c r="G463" s="364">
        <f ca="1">IF(Q$27=2,IF(LOOKUP(F463,X$1:X$35,X$1:X$35) = F463,ROUND(LOOKUP(LOOKUP(F463,X$1:X$35,A:A),Single!A$2:A$107,Table13[Saving]),0),IF( LOOKUP(F463,W$1:W$35,W$1:W$35) =
 F463,ROUND(G462*(1+IF($Q$18&lt;6,$R$14,IF($Q$18&lt;11,$R$15,$R$16)))^(1/12),0),G462*(1+IF($Q$18&lt;6,$R$14,IF($Q$18&lt;11,$R$15,$R$16)))^(1/12))),IF(LOOKUP(F463,X$1:X$35,X$1:X$35) = F463,ROUND(LOOKUP(LOOKUP(F463,X$1:X$35,A:A),'Annual Calculation'!A$2:A$107,Table1[Saving]),0),IF( LOOKUP(F463,W$1:W$35,W$1:W$35) =
 F463,ROUND(G462*(1+IF($Q$18&lt;6,$R$14,IF($Q$18&lt;11,$R$15,$R$16)))^(1/12),0),G462*(1+IF($Q$18&lt;6,$R$14,IF($Q$18&lt;11,$R$15,$R$16)))^(1/12))))</f>
        <v>0</v>
      </c>
    </row>
    <row r="464" spans="1:7">
      <c r="A464" s="348">
        <f t="shared" si="16"/>
        <v>463</v>
      </c>
      <c r="B464" s="360">
        <f>DATE('Profit Calculation'!J$6,A$2,A$2+A464-1)</f>
        <v>42467</v>
      </c>
      <c r="D464" s="362">
        <f t="shared" ca="1" si="15"/>
        <v>102034876.6198085</v>
      </c>
      <c r="F464" s="363">
        <f>DATE('Profit Calculation'!J$6,'Profit Calculation'!R$6+A464-1,'Profit Calculation'!Z$6)</f>
        <v>56158</v>
      </c>
      <c r="G464" s="364">
        <f ca="1">IF(Q$27=2,IF(LOOKUP(F464,X$1:X$35,X$1:X$35) = F464,ROUND(LOOKUP(LOOKUP(F464,X$1:X$35,A:A),Single!A$2:A$107,Table13[Saving]),0),IF( LOOKUP(F464,W$1:W$35,W$1:W$35) =
 F464,ROUND(G463*(1+IF($Q$18&lt;6,$R$14,IF($Q$18&lt;11,$R$15,$R$16)))^(1/12),0),G463*(1+IF($Q$18&lt;6,$R$14,IF($Q$18&lt;11,$R$15,$R$16)))^(1/12))),IF(LOOKUP(F464,X$1:X$35,X$1:X$35) = F464,ROUND(LOOKUP(LOOKUP(F464,X$1:X$35,A:A),'Annual Calculation'!A$2:A$107,Table1[Saving]),0),IF( LOOKUP(F464,W$1:W$35,W$1:W$35) =
 F464,ROUND(G463*(1+IF($Q$18&lt;6,$R$14,IF($Q$18&lt;11,$R$15,$R$16)))^(1/12),0),G463*(1+IF($Q$18&lt;6,$R$14,IF($Q$18&lt;11,$R$15,$R$16)))^(1/12))))</f>
        <v>0</v>
      </c>
    </row>
    <row r="465" spans="1:7">
      <c r="A465" s="348">
        <f t="shared" si="16"/>
        <v>464</v>
      </c>
      <c r="B465" s="360">
        <f>DATE('Profit Calculation'!J$6,A$2,A$2+A465-1)</f>
        <v>42468</v>
      </c>
      <c r="D465" s="362">
        <f t="shared" ca="1" si="15"/>
        <v>102073954.21748684</v>
      </c>
      <c r="F465" s="363">
        <f>DATE('Profit Calculation'!J$6,'Profit Calculation'!R$6+A465-1,'Profit Calculation'!Z$6)</f>
        <v>56189</v>
      </c>
      <c r="G465" s="364">
        <f ca="1">IF(Q$27=2,IF(LOOKUP(F465,X$1:X$35,X$1:X$35) = F465,ROUND(LOOKUP(LOOKUP(F465,X$1:X$35,A:A),Single!A$2:A$107,Table13[Saving]),0),IF( LOOKUP(F465,W$1:W$35,W$1:W$35) =
 F465,ROUND(G464*(1+IF($Q$18&lt;6,$R$14,IF($Q$18&lt;11,$R$15,$R$16)))^(1/12),0),G464*(1+IF($Q$18&lt;6,$R$14,IF($Q$18&lt;11,$R$15,$R$16)))^(1/12))),IF(LOOKUP(F465,X$1:X$35,X$1:X$35) = F465,ROUND(LOOKUP(LOOKUP(F465,X$1:X$35,A:A),'Annual Calculation'!A$2:A$107,Table1[Saving]),0),IF( LOOKUP(F465,W$1:W$35,W$1:W$35) =
 F465,ROUND(G464*(1+IF($Q$18&lt;6,$R$14,IF($Q$18&lt;11,$R$15,$R$16)))^(1/12),0),G464*(1+IF($Q$18&lt;6,$R$14,IF($Q$18&lt;11,$R$15,$R$16)))^(1/12))))</f>
        <v>0</v>
      </c>
    </row>
    <row r="466" spans="1:7">
      <c r="A466" s="348">
        <f t="shared" si="16"/>
        <v>465</v>
      </c>
      <c r="B466" s="360">
        <f>DATE('Profit Calculation'!J$6,A$2,A$2+A466-1)</f>
        <v>42469</v>
      </c>
      <c r="D466" s="362">
        <f t="shared" ca="1" si="15"/>
        <v>102113046.78121103</v>
      </c>
      <c r="F466" s="363">
        <f>DATE('Profit Calculation'!J$6,'Profit Calculation'!R$6+A466-1,'Profit Calculation'!Z$6)</f>
        <v>56219</v>
      </c>
      <c r="G466" s="364">
        <f ca="1">IF(Q$27=2,IF(LOOKUP(F466,X$1:X$35,X$1:X$35) = F466,ROUND(LOOKUP(LOOKUP(F466,X$1:X$35,A:A),Single!A$2:A$107,Table13[Saving]),0),IF( LOOKUP(F466,W$1:W$35,W$1:W$35) =
 F466,ROUND(G465*(1+IF($Q$18&lt;6,$R$14,IF($Q$18&lt;11,$R$15,$R$16)))^(1/12),0),G465*(1+IF($Q$18&lt;6,$R$14,IF($Q$18&lt;11,$R$15,$R$16)))^(1/12))),IF(LOOKUP(F466,X$1:X$35,X$1:X$35) = F466,ROUND(LOOKUP(LOOKUP(F466,X$1:X$35,A:A),'Annual Calculation'!A$2:A$107,Table1[Saving]),0),IF( LOOKUP(F466,W$1:W$35,W$1:W$35) =
 F466,ROUND(G465*(1+IF($Q$18&lt;6,$R$14,IF($Q$18&lt;11,$R$15,$R$16)))^(1/12),0),G465*(1+IF($Q$18&lt;6,$R$14,IF($Q$18&lt;11,$R$15,$R$16)))^(1/12))))</f>
        <v>0</v>
      </c>
    </row>
    <row r="467" spans="1:7">
      <c r="A467" s="348">
        <f t="shared" si="16"/>
        <v>466</v>
      </c>
      <c r="B467" s="360">
        <f>DATE('Profit Calculation'!J$6,A$2,A$2+A467-1)</f>
        <v>42470</v>
      </c>
      <c r="D467" s="362">
        <f t="shared" ca="1" si="15"/>
        <v>102152154.3167128</v>
      </c>
      <c r="F467" s="363">
        <f>DATE('Profit Calculation'!J$6,'Profit Calculation'!R$6+A467-1,'Profit Calculation'!Z$6)</f>
        <v>56250</v>
      </c>
      <c r="G467" s="364">
        <f ca="1">IF(Q$27=2,IF(LOOKUP(F467,X$1:X$35,X$1:X$35) = F467,ROUND(LOOKUP(LOOKUP(F467,X$1:X$35,A:A),Single!A$2:A$107,Table13[Saving]),0),IF( LOOKUP(F467,W$1:W$35,W$1:W$35) =
 F467,ROUND(G466*(1+IF($Q$18&lt;6,$R$14,IF($Q$18&lt;11,$R$15,$R$16)))^(1/12),0),G466*(1+IF($Q$18&lt;6,$R$14,IF($Q$18&lt;11,$R$15,$R$16)))^(1/12))),IF(LOOKUP(F467,X$1:X$35,X$1:X$35) = F467,ROUND(LOOKUP(LOOKUP(F467,X$1:X$35,A:A),'Annual Calculation'!A$2:A$107,Table1[Saving]),0),IF( LOOKUP(F467,W$1:W$35,W$1:W$35) =
 F467,ROUND(G466*(1+IF($Q$18&lt;6,$R$14,IF($Q$18&lt;11,$R$15,$R$16)))^(1/12),0),G466*(1+IF($Q$18&lt;6,$R$14,IF($Q$18&lt;11,$R$15,$R$16)))^(1/12))))</f>
        <v>0</v>
      </c>
    </row>
    <row r="468" spans="1:7">
      <c r="A468" s="348">
        <f t="shared" si="16"/>
        <v>467</v>
      </c>
      <c r="B468" s="360">
        <f>DATE('Profit Calculation'!J$6,A$2,A$2+A468-1)</f>
        <v>42471</v>
      </c>
      <c r="D468" s="362">
        <f t="shared" ca="1" si="15"/>
        <v>102191276.82972607</v>
      </c>
      <c r="F468" s="363">
        <f>DATE('Profit Calculation'!J$6,'Profit Calculation'!R$6+A468-1,'Profit Calculation'!Z$6)</f>
        <v>56281</v>
      </c>
      <c r="G468" s="364">
        <f ca="1">IF(Q$27=2,IF(LOOKUP(F468,X$1:X$35,X$1:X$35) = F468,ROUND(LOOKUP(LOOKUP(F468,X$1:X$35,A:A),Single!A$2:A$107,Table13[Saving]),0),IF( LOOKUP(F468,W$1:W$35,W$1:W$35) =
 F468,ROUND(G467*(1+IF($Q$18&lt;6,$R$14,IF($Q$18&lt;11,$R$15,$R$16)))^(1/12),0),G467*(1+IF($Q$18&lt;6,$R$14,IF($Q$18&lt;11,$R$15,$R$16)))^(1/12))),IF(LOOKUP(F468,X$1:X$35,X$1:X$35) = F468,ROUND(LOOKUP(LOOKUP(F468,X$1:X$35,A:A),'Annual Calculation'!A$2:A$107,Table1[Saving]),0),IF( LOOKUP(F468,W$1:W$35,W$1:W$35) =
 F468,ROUND(G467*(1+IF($Q$18&lt;6,$R$14,IF($Q$18&lt;11,$R$15,$R$16)))^(1/12),0),G467*(1+IF($Q$18&lt;6,$R$14,IF($Q$18&lt;11,$R$15,$R$16)))^(1/12))))</f>
        <v>0</v>
      </c>
    </row>
    <row r="469" spans="1:7">
      <c r="A469" s="348">
        <f t="shared" si="16"/>
        <v>468</v>
      </c>
      <c r="B469" s="360">
        <f>DATE('Profit Calculation'!J$6,A$2,A$2+A469-1)</f>
        <v>42472</v>
      </c>
      <c r="D469" s="362">
        <f t="shared" ca="1" si="15"/>
        <v>102230414.32598697</v>
      </c>
      <c r="F469" s="363">
        <f>DATE('Profit Calculation'!J$6,'Profit Calculation'!R$6+A469-1,'Profit Calculation'!Z$6)</f>
        <v>56309</v>
      </c>
      <c r="G469" s="364">
        <f ca="1">IF(Q$27=2,IF(LOOKUP(F469,X$1:X$35,X$1:X$35) = F469,ROUND(LOOKUP(LOOKUP(F469,X$1:X$35,A:A),Single!A$2:A$107,Table13[Saving]),0),IF( LOOKUP(F469,W$1:W$35,W$1:W$35) =
 F469,ROUND(G468*(1+IF($Q$18&lt;6,$R$14,IF($Q$18&lt;11,$R$15,$R$16)))^(1/12),0),G468*(1+IF($Q$18&lt;6,$R$14,IF($Q$18&lt;11,$R$15,$R$16)))^(1/12))),IF(LOOKUP(F469,X$1:X$35,X$1:X$35) = F469,ROUND(LOOKUP(LOOKUP(F469,X$1:X$35,A:A),'Annual Calculation'!A$2:A$107,Table1[Saving]),0),IF( LOOKUP(F469,W$1:W$35,W$1:W$35) =
 F469,ROUND(G468*(1+IF($Q$18&lt;6,$R$14,IF($Q$18&lt;11,$R$15,$R$16)))^(1/12),0),G468*(1+IF($Q$18&lt;6,$R$14,IF($Q$18&lt;11,$R$15,$R$16)))^(1/12))))</f>
        <v>0</v>
      </c>
    </row>
    <row r="470" spans="1:7">
      <c r="A470" s="348">
        <f t="shared" si="16"/>
        <v>469</v>
      </c>
      <c r="B470" s="360">
        <f>DATE('Profit Calculation'!J$6,A$2,A$2+A470-1)</f>
        <v>42473</v>
      </c>
      <c r="D470" s="362">
        <f t="shared" ca="1" si="15"/>
        <v>102269566.81123383</v>
      </c>
      <c r="F470" s="363">
        <f>DATE('Profit Calculation'!J$6,'Profit Calculation'!R$6+A470-1,'Profit Calculation'!Z$6)</f>
        <v>56340</v>
      </c>
      <c r="G470" s="364">
        <f ca="1">IF(Q$27=2,IF(LOOKUP(F470,X$1:X$35,X$1:X$35) = F470,ROUND(LOOKUP(LOOKUP(F470,X$1:X$35,A:A),Single!A$2:A$107,Table13[Saving]),0),IF( LOOKUP(F470,W$1:W$35,W$1:W$35) =
 F470,ROUND(G469*(1+IF($Q$18&lt;6,$R$14,IF($Q$18&lt;11,$R$15,$R$16)))^(1/12),0),G469*(1+IF($Q$18&lt;6,$R$14,IF($Q$18&lt;11,$R$15,$R$16)))^(1/12))),IF(LOOKUP(F470,X$1:X$35,X$1:X$35) = F470,ROUND(LOOKUP(LOOKUP(F470,X$1:X$35,A:A),'Annual Calculation'!A$2:A$107,Table1[Saving]),0),IF( LOOKUP(F470,W$1:W$35,W$1:W$35) =
 F470,ROUND(G469*(1+IF($Q$18&lt;6,$R$14,IF($Q$18&lt;11,$R$15,$R$16)))^(1/12),0),G469*(1+IF($Q$18&lt;6,$R$14,IF($Q$18&lt;11,$R$15,$R$16)))^(1/12))))</f>
        <v>0</v>
      </c>
    </row>
    <row r="471" spans="1:7">
      <c r="A471" s="348">
        <f t="shared" si="16"/>
        <v>470</v>
      </c>
      <c r="B471" s="360">
        <f>DATE('Profit Calculation'!J$6,A$2,A$2+A471-1)</f>
        <v>42474</v>
      </c>
      <c r="D471" s="362">
        <f t="shared" ca="1" si="15"/>
        <v>102308734.29120718</v>
      </c>
      <c r="F471" s="363">
        <f>DATE('Profit Calculation'!J$6,'Profit Calculation'!R$6+A471-1,'Profit Calculation'!Z$6)</f>
        <v>56370</v>
      </c>
      <c r="G471" s="364">
        <f ca="1">IF(Q$27=2,IF(LOOKUP(F471,X$1:X$35,X$1:X$35) = F471,ROUND(LOOKUP(LOOKUP(F471,X$1:X$35,A:A),Single!A$2:A$107,Table13[Saving]),0),IF( LOOKUP(F471,W$1:W$35,W$1:W$35) =
 F471,ROUND(G470*(1+IF($Q$18&lt;6,$R$14,IF($Q$18&lt;11,$R$15,$R$16)))^(1/12),0),G470*(1+IF($Q$18&lt;6,$R$14,IF($Q$18&lt;11,$R$15,$R$16)))^(1/12))),IF(LOOKUP(F471,X$1:X$35,X$1:X$35) = F471,ROUND(LOOKUP(LOOKUP(F471,X$1:X$35,A:A),'Annual Calculation'!A$2:A$107,Table1[Saving]),0),IF( LOOKUP(F471,W$1:W$35,W$1:W$35) =
 F471,ROUND(G470*(1+IF($Q$18&lt;6,$R$14,IF($Q$18&lt;11,$R$15,$R$16)))^(1/12),0),G470*(1+IF($Q$18&lt;6,$R$14,IF($Q$18&lt;11,$R$15,$R$16)))^(1/12))))</f>
        <v>0</v>
      </c>
    </row>
    <row r="472" spans="1:7">
      <c r="A472" s="348">
        <f t="shared" si="16"/>
        <v>471</v>
      </c>
      <c r="B472" s="360">
        <f>DATE('Profit Calculation'!J$6,A$2,A$2+A472-1)</f>
        <v>42475</v>
      </c>
      <c r="D472" s="362">
        <f t="shared" ca="1" si="15"/>
        <v>102347916.77164973</v>
      </c>
      <c r="F472" s="363">
        <f>DATE('Profit Calculation'!J$6,'Profit Calculation'!R$6+A472-1,'Profit Calculation'!Z$6)</f>
        <v>56401</v>
      </c>
      <c r="G472" s="364">
        <f ca="1">IF(Q$27=2,IF(LOOKUP(F472,X$1:X$35,X$1:X$35) = F472,ROUND(LOOKUP(LOOKUP(F472,X$1:X$35,A:A),Single!A$2:A$107,Table13[Saving]),0),IF( LOOKUP(F472,W$1:W$35,W$1:W$35) =
 F472,ROUND(G471*(1+IF($Q$18&lt;6,$R$14,IF($Q$18&lt;11,$R$15,$R$16)))^(1/12),0),G471*(1+IF($Q$18&lt;6,$R$14,IF($Q$18&lt;11,$R$15,$R$16)))^(1/12))),IF(LOOKUP(F472,X$1:X$35,X$1:X$35) = F472,ROUND(LOOKUP(LOOKUP(F472,X$1:X$35,A:A),'Annual Calculation'!A$2:A$107,Table1[Saving]),0),IF( LOOKUP(F472,W$1:W$35,W$1:W$35) =
 F472,ROUND(G471*(1+IF($Q$18&lt;6,$R$14,IF($Q$18&lt;11,$R$15,$R$16)))^(1/12),0),G471*(1+IF($Q$18&lt;6,$R$14,IF($Q$18&lt;11,$R$15,$R$16)))^(1/12))))</f>
        <v>0</v>
      </c>
    </row>
    <row r="473" spans="1:7">
      <c r="A473" s="348">
        <f t="shared" si="16"/>
        <v>472</v>
      </c>
      <c r="B473" s="360">
        <f>DATE('Profit Calculation'!J$6,A$2,A$2+A473-1)</f>
        <v>42476</v>
      </c>
      <c r="D473" s="362">
        <f t="shared" ca="1" si="15"/>
        <v>102387114.2583064</v>
      </c>
      <c r="F473" s="363">
        <f>DATE('Profit Calculation'!J$6,'Profit Calculation'!R$6+A473-1,'Profit Calculation'!Z$6)</f>
        <v>56431</v>
      </c>
      <c r="G473" s="364">
        <f ca="1">IF(Q$27=2,IF(LOOKUP(F473,X$1:X$35,X$1:X$35) = F473,ROUND(LOOKUP(LOOKUP(F473,X$1:X$35,A:A),Single!A$2:A$107,Table13[Saving]),0),IF( LOOKUP(F473,W$1:W$35,W$1:W$35) =
 F473,ROUND(G472*(1+IF($Q$18&lt;6,$R$14,IF($Q$18&lt;11,$R$15,$R$16)))^(1/12),0),G472*(1+IF($Q$18&lt;6,$R$14,IF($Q$18&lt;11,$R$15,$R$16)))^(1/12))),IF(LOOKUP(F473,X$1:X$35,X$1:X$35) = F473,ROUND(LOOKUP(LOOKUP(F473,X$1:X$35,A:A),'Annual Calculation'!A$2:A$107,Table1[Saving]),0),IF( LOOKUP(F473,W$1:W$35,W$1:W$35) =
 F473,ROUND(G472*(1+IF($Q$18&lt;6,$R$14,IF($Q$18&lt;11,$R$15,$R$16)))^(1/12),0),G472*(1+IF($Q$18&lt;6,$R$14,IF($Q$18&lt;11,$R$15,$R$16)))^(1/12))))</f>
        <v>0</v>
      </c>
    </row>
    <row r="474" spans="1:7">
      <c r="A474" s="348">
        <f t="shared" si="16"/>
        <v>473</v>
      </c>
      <c r="B474" s="360">
        <f>DATE('Profit Calculation'!J$6,A$2,A$2+A474-1)</f>
        <v>42477</v>
      </c>
      <c r="D474" s="362">
        <f t="shared" ca="1" si="15"/>
        <v>102426326.75692432</v>
      </c>
      <c r="F474" s="363">
        <f>DATE('Profit Calculation'!J$6,'Profit Calculation'!R$6+A474-1,'Profit Calculation'!Z$6)</f>
        <v>56462</v>
      </c>
      <c r="G474" s="364">
        <f ca="1">IF(Q$27=2,IF(LOOKUP(F474,X$1:X$35,X$1:X$35) = F474,ROUND(LOOKUP(LOOKUP(F474,X$1:X$35,A:A),Single!A$2:A$107,Table13[Saving]),0),IF( LOOKUP(F474,W$1:W$35,W$1:W$35) =
 F474,ROUND(G473*(1+IF($Q$18&lt;6,$R$14,IF($Q$18&lt;11,$R$15,$R$16)))^(1/12),0),G473*(1+IF($Q$18&lt;6,$R$14,IF($Q$18&lt;11,$R$15,$R$16)))^(1/12))),IF(LOOKUP(F474,X$1:X$35,X$1:X$35) = F474,ROUND(LOOKUP(LOOKUP(F474,X$1:X$35,A:A),'Annual Calculation'!A$2:A$107,Table1[Saving]),0),IF( LOOKUP(F474,W$1:W$35,W$1:W$35) =
 F474,ROUND(G473*(1+IF($Q$18&lt;6,$R$14,IF($Q$18&lt;11,$R$15,$R$16)))^(1/12),0),G473*(1+IF($Q$18&lt;6,$R$14,IF($Q$18&lt;11,$R$15,$R$16)))^(1/12))))</f>
        <v>0</v>
      </c>
    </row>
    <row r="475" spans="1:7">
      <c r="A475" s="348">
        <f t="shared" si="16"/>
        <v>474</v>
      </c>
      <c r="B475" s="360">
        <f>DATE('Profit Calculation'!J$6,A$2,A$2+A475-1)</f>
        <v>42478</v>
      </c>
      <c r="D475" s="362">
        <f t="shared" ca="1" si="15"/>
        <v>102465554.2732528</v>
      </c>
      <c r="F475" s="363">
        <f>DATE('Profit Calculation'!J$6,'Profit Calculation'!R$6+A475-1,'Profit Calculation'!Z$6)</f>
        <v>56493</v>
      </c>
      <c r="G475" s="364">
        <f ca="1">IF(Q$27=2,IF(LOOKUP(F475,X$1:X$35,X$1:X$35) = F475,ROUND(LOOKUP(LOOKUP(F475,X$1:X$35,A:A),Single!A$2:A$107,Table13[Saving]),0),IF( LOOKUP(F475,W$1:W$35,W$1:W$35) =
 F475,ROUND(G474*(1+IF($Q$18&lt;6,$R$14,IF($Q$18&lt;11,$R$15,$R$16)))^(1/12),0),G474*(1+IF($Q$18&lt;6,$R$14,IF($Q$18&lt;11,$R$15,$R$16)))^(1/12))),IF(LOOKUP(F475,X$1:X$35,X$1:X$35) = F475,ROUND(LOOKUP(LOOKUP(F475,X$1:X$35,A:A),'Annual Calculation'!A$2:A$107,Table1[Saving]),0),IF( LOOKUP(F475,W$1:W$35,W$1:W$35) =
 F475,ROUND(G474*(1+IF($Q$18&lt;6,$R$14,IF($Q$18&lt;11,$R$15,$R$16)))^(1/12),0),G474*(1+IF($Q$18&lt;6,$R$14,IF($Q$18&lt;11,$R$15,$R$16)))^(1/12))))</f>
        <v>0</v>
      </c>
    </row>
    <row r="476" spans="1:7">
      <c r="A476" s="348">
        <f t="shared" si="16"/>
        <v>475</v>
      </c>
      <c r="B476" s="360">
        <f>DATE('Profit Calculation'!J$6,A$2,A$2+A476-1)</f>
        <v>42479</v>
      </c>
      <c r="D476" s="362">
        <f t="shared" ca="1" si="15"/>
        <v>102504796.81304339</v>
      </c>
      <c r="F476" s="363">
        <f>DATE('Profit Calculation'!J$6,'Profit Calculation'!R$6+A476-1,'Profit Calculation'!Z$6)</f>
        <v>56523</v>
      </c>
      <c r="G476" s="364">
        <f ca="1">IF(Q$27=2,IF(LOOKUP(F476,X$1:X$35,X$1:X$35) = F476,ROUND(LOOKUP(LOOKUP(F476,X$1:X$35,A:A),Single!A$2:A$107,Table13[Saving]),0),IF( LOOKUP(F476,W$1:W$35,W$1:W$35) =
 F476,ROUND(G475*(1+IF($Q$18&lt;6,$R$14,IF($Q$18&lt;11,$R$15,$R$16)))^(1/12),0),G475*(1+IF($Q$18&lt;6,$R$14,IF($Q$18&lt;11,$R$15,$R$16)))^(1/12))),IF(LOOKUP(F476,X$1:X$35,X$1:X$35) = F476,ROUND(LOOKUP(LOOKUP(F476,X$1:X$35,A:A),'Annual Calculation'!A$2:A$107,Table1[Saving]),0),IF( LOOKUP(F476,W$1:W$35,W$1:W$35) =
 F476,ROUND(G475*(1+IF($Q$18&lt;6,$R$14,IF($Q$18&lt;11,$R$15,$R$16)))^(1/12),0),G475*(1+IF($Q$18&lt;6,$R$14,IF($Q$18&lt;11,$R$15,$R$16)))^(1/12))))</f>
        <v>0</v>
      </c>
    </row>
    <row r="477" spans="1:7">
      <c r="A477" s="348">
        <f t="shared" si="16"/>
        <v>476</v>
      </c>
      <c r="B477" s="360">
        <f>DATE('Profit Calculation'!J$6,A$2,A$2+A477-1)</f>
        <v>42480</v>
      </c>
      <c r="D477" s="362">
        <f t="shared" ca="1" si="15"/>
        <v>102544054.38204978</v>
      </c>
      <c r="F477" s="363">
        <f>DATE('Profit Calculation'!J$6,'Profit Calculation'!R$6+A477-1,'Profit Calculation'!Z$6)</f>
        <v>56554</v>
      </c>
      <c r="G477" s="364">
        <f ca="1">IF(Q$27=2,IF(LOOKUP(F477,X$1:X$35,X$1:X$35) = F477,ROUND(LOOKUP(LOOKUP(F477,X$1:X$35,A:A),Single!A$2:A$107,Table13[Saving]),0),IF( LOOKUP(F477,W$1:W$35,W$1:W$35) =
 F477,ROUND(G476*(1+IF($Q$18&lt;6,$R$14,IF($Q$18&lt;11,$R$15,$R$16)))^(1/12),0),G476*(1+IF($Q$18&lt;6,$R$14,IF($Q$18&lt;11,$R$15,$R$16)))^(1/12))),IF(LOOKUP(F477,X$1:X$35,X$1:X$35) = F477,ROUND(LOOKUP(LOOKUP(F477,X$1:X$35,A:A),'Annual Calculation'!A$2:A$107,Table1[Saving]),0),IF( LOOKUP(F477,W$1:W$35,W$1:W$35) =
 F477,ROUND(G476*(1+IF($Q$18&lt;6,$R$14,IF($Q$18&lt;11,$R$15,$R$16)))^(1/12),0),G476*(1+IF($Q$18&lt;6,$R$14,IF($Q$18&lt;11,$R$15,$R$16)))^(1/12))))</f>
        <v>0</v>
      </c>
    </row>
    <row r="478" spans="1:7">
      <c r="A478" s="348">
        <f t="shared" si="16"/>
        <v>477</v>
      </c>
      <c r="B478" s="360">
        <f>DATE('Profit Calculation'!J$6,A$2,A$2+A478-1)</f>
        <v>42481</v>
      </c>
      <c r="D478" s="362">
        <f t="shared" ca="1" si="15"/>
        <v>102583326.98602793</v>
      </c>
      <c r="F478" s="363">
        <f>DATE('Profit Calculation'!J$6,'Profit Calculation'!R$6+A478-1,'Profit Calculation'!Z$6)</f>
        <v>56584</v>
      </c>
      <c r="G478" s="364">
        <f ca="1">IF(Q$27=2,IF(LOOKUP(F478,X$1:X$35,X$1:X$35) = F478,ROUND(LOOKUP(LOOKUP(F478,X$1:X$35,A:A),Single!A$2:A$107,Table13[Saving]),0),IF( LOOKUP(F478,W$1:W$35,W$1:W$35) =
 F478,ROUND(G477*(1+IF($Q$18&lt;6,$R$14,IF($Q$18&lt;11,$R$15,$R$16)))^(1/12),0),G477*(1+IF($Q$18&lt;6,$R$14,IF($Q$18&lt;11,$R$15,$R$16)))^(1/12))),IF(LOOKUP(F478,X$1:X$35,X$1:X$35) = F478,ROUND(LOOKUP(LOOKUP(F478,X$1:X$35,A:A),'Annual Calculation'!A$2:A$107,Table1[Saving]),0),IF( LOOKUP(F478,W$1:W$35,W$1:W$35) =
 F478,ROUND(G477*(1+IF($Q$18&lt;6,$R$14,IF($Q$18&lt;11,$R$15,$R$16)))^(1/12),0),G477*(1+IF($Q$18&lt;6,$R$14,IF($Q$18&lt;11,$R$15,$R$16)))^(1/12))))</f>
        <v>0</v>
      </c>
    </row>
    <row r="479" spans="1:7">
      <c r="A479" s="348">
        <f t="shared" si="16"/>
        <v>478</v>
      </c>
      <c r="B479" s="360">
        <f>DATE('Profit Calculation'!J$6,A$2,A$2+A479-1)</f>
        <v>42482</v>
      </c>
      <c r="D479" s="362">
        <f t="shared" ca="1" si="15"/>
        <v>102622614.63073596</v>
      </c>
      <c r="F479" s="363">
        <f>DATE('Profit Calculation'!J$6,'Profit Calculation'!R$6+A479-1,'Profit Calculation'!Z$6)</f>
        <v>56615</v>
      </c>
      <c r="G479" s="364">
        <f ca="1">IF(Q$27=2,IF(LOOKUP(F479,X$1:X$35,X$1:X$35) = F479,ROUND(LOOKUP(LOOKUP(F479,X$1:X$35,A:A),Single!A$2:A$107,Table13[Saving]),0),IF( LOOKUP(F479,W$1:W$35,W$1:W$35) =
 F479,ROUND(G478*(1+IF($Q$18&lt;6,$R$14,IF($Q$18&lt;11,$R$15,$R$16)))^(1/12),0),G478*(1+IF($Q$18&lt;6,$R$14,IF($Q$18&lt;11,$R$15,$R$16)))^(1/12))),IF(LOOKUP(F479,X$1:X$35,X$1:X$35) = F479,ROUND(LOOKUP(LOOKUP(F479,X$1:X$35,A:A),'Annual Calculation'!A$2:A$107,Table1[Saving]),0),IF( LOOKUP(F479,W$1:W$35,W$1:W$35) =
 F479,ROUND(G478*(1+IF($Q$18&lt;6,$R$14,IF($Q$18&lt;11,$R$15,$R$16)))^(1/12),0),G478*(1+IF($Q$18&lt;6,$R$14,IF($Q$18&lt;11,$R$15,$R$16)))^(1/12))))</f>
        <v>0</v>
      </c>
    </row>
    <row r="480" spans="1:7">
      <c r="A480" s="348">
        <f t="shared" si="16"/>
        <v>479</v>
      </c>
      <c r="B480" s="360">
        <f>DATE('Profit Calculation'!J$6,A$2,A$2+A480-1)</f>
        <v>42483</v>
      </c>
      <c r="D480" s="362">
        <f t="shared" ca="1" si="15"/>
        <v>102661917.32193422</v>
      </c>
      <c r="F480" s="363">
        <f>DATE('Profit Calculation'!J$6,'Profit Calculation'!R$6+A480-1,'Profit Calculation'!Z$6)</f>
        <v>56646</v>
      </c>
      <c r="G480" s="364">
        <f ca="1">IF(Q$27=2,IF(LOOKUP(F480,X$1:X$35,X$1:X$35) = F480,ROUND(LOOKUP(LOOKUP(F480,X$1:X$35,A:A),Single!A$2:A$107,Table13[Saving]),0),IF( LOOKUP(F480,W$1:W$35,W$1:W$35) =
 F480,ROUND(G479*(1+IF($Q$18&lt;6,$R$14,IF($Q$18&lt;11,$R$15,$R$16)))^(1/12),0),G479*(1+IF($Q$18&lt;6,$R$14,IF($Q$18&lt;11,$R$15,$R$16)))^(1/12))),IF(LOOKUP(F480,X$1:X$35,X$1:X$35) = F480,ROUND(LOOKUP(LOOKUP(F480,X$1:X$35,A:A),'Annual Calculation'!A$2:A$107,Table1[Saving]),0),IF( LOOKUP(F480,W$1:W$35,W$1:W$35) =
 F480,ROUND(G479*(1+IF($Q$18&lt;6,$R$14,IF($Q$18&lt;11,$R$15,$R$16)))^(1/12),0),G479*(1+IF($Q$18&lt;6,$R$14,IF($Q$18&lt;11,$R$15,$R$16)))^(1/12))))</f>
        <v>0</v>
      </c>
    </row>
    <row r="481" spans="1:7">
      <c r="A481" s="348">
        <f t="shared" si="16"/>
        <v>480</v>
      </c>
      <c r="B481" s="360">
        <f>DATE('Profit Calculation'!J$6,A$2,A$2+A481-1)</f>
        <v>42484</v>
      </c>
      <c r="D481" s="362">
        <f t="shared" ca="1" si="15"/>
        <v>102701235.06538525</v>
      </c>
      <c r="F481" s="363">
        <f>DATE('Profit Calculation'!J$6,'Profit Calculation'!R$6+A481-1,'Profit Calculation'!Z$6)</f>
        <v>56674</v>
      </c>
      <c r="G481" s="364">
        <f ca="1">IF(Q$27=2,IF(LOOKUP(F481,X$1:X$35,X$1:X$35) = F481,ROUND(LOOKUP(LOOKUP(F481,X$1:X$35,A:A),Single!A$2:A$107,Table13[Saving]),0),IF( LOOKUP(F481,W$1:W$35,W$1:W$35) =
 F481,ROUND(G480*(1+IF($Q$18&lt;6,$R$14,IF($Q$18&lt;11,$R$15,$R$16)))^(1/12),0),G480*(1+IF($Q$18&lt;6,$R$14,IF($Q$18&lt;11,$R$15,$R$16)))^(1/12))),IF(LOOKUP(F481,X$1:X$35,X$1:X$35) = F481,ROUND(LOOKUP(LOOKUP(F481,X$1:X$35,A:A),'Annual Calculation'!A$2:A$107,Table1[Saving]),0),IF( LOOKUP(F481,W$1:W$35,W$1:W$35) =
 F481,ROUND(G480*(1+IF($Q$18&lt;6,$R$14,IF($Q$18&lt;11,$R$15,$R$16)))^(1/12),0),G480*(1+IF($Q$18&lt;6,$R$14,IF($Q$18&lt;11,$R$15,$R$16)))^(1/12))))</f>
        <v>0</v>
      </c>
    </row>
    <row r="482" spans="1:7">
      <c r="A482" s="348">
        <f t="shared" si="16"/>
        <v>481</v>
      </c>
      <c r="B482" s="360">
        <f>DATE('Profit Calculation'!J$6,A$2,A$2+A482-1)</f>
        <v>42485</v>
      </c>
      <c r="D482" s="362">
        <f t="shared" ca="1" si="15"/>
        <v>102740567.8668538</v>
      </c>
      <c r="F482" s="363">
        <f>DATE('Profit Calculation'!J$6,'Profit Calculation'!R$6+A482-1,'Profit Calculation'!Z$6)</f>
        <v>56705</v>
      </c>
      <c r="G482" s="364">
        <f ca="1">IF(Q$27=2,IF(LOOKUP(F482,X$1:X$35,X$1:X$35) = F482,ROUND(LOOKUP(LOOKUP(F482,X$1:X$35,A:A),Single!A$2:A$107,Table13[Saving]),0),IF( LOOKUP(F482,W$1:W$35,W$1:W$35) =
 F482,ROUND(G481*(1+IF($Q$18&lt;6,$R$14,IF($Q$18&lt;11,$R$15,$R$16)))^(1/12),0),G481*(1+IF($Q$18&lt;6,$R$14,IF($Q$18&lt;11,$R$15,$R$16)))^(1/12))),IF(LOOKUP(F482,X$1:X$35,X$1:X$35) = F482,ROUND(LOOKUP(LOOKUP(F482,X$1:X$35,A:A),'Annual Calculation'!A$2:A$107,Table1[Saving]),0),IF( LOOKUP(F482,W$1:W$35,W$1:W$35) =
 F482,ROUND(G481*(1+IF($Q$18&lt;6,$R$14,IF($Q$18&lt;11,$R$15,$R$16)))^(1/12),0),G481*(1+IF($Q$18&lt;6,$R$14,IF($Q$18&lt;11,$R$15,$R$16)))^(1/12))))</f>
        <v>0</v>
      </c>
    </row>
    <row r="483" spans="1:7">
      <c r="A483" s="348">
        <f t="shared" si="16"/>
        <v>482</v>
      </c>
      <c r="B483" s="360">
        <f>DATE('Profit Calculation'!J$6,A$2,A$2+A483-1)</f>
        <v>42486</v>
      </c>
      <c r="D483" s="362">
        <f t="shared" ca="1" si="15"/>
        <v>102779915.73210683</v>
      </c>
      <c r="F483" s="363">
        <f>DATE('Profit Calculation'!J$6,'Profit Calculation'!R$6+A483-1,'Profit Calculation'!Z$6)</f>
        <v>56735</v>
      </c>
      <c r="G483" s="364">
        <f ca="1">IF(Q$27=2,IF(LOOKUP(F483,X$1:X$35,X$1:X$35) = F483,ROUND(LOOKUP(LOOKUP(F483,X$1:X$35,A:A),Single!A$2:A$107,Table13[Saving]),0),IF( LOOKUP(F483,W$1:W$35,W$1:W$35) =
 F483,ROUND(G482*(1+IF($Q$18&lt;6,$R$14,IF($Q$18&lt;11,$R$15,$R$16)))^(1/12),0),G482*(1+IF($Q$18&lt;6,$R$14,IF($Q$18&lt;11,$R$15,$R$16)))^(1/12))),IF(LOOKUP(F483,X$1:X$35,X$1:X$35) = F483,ROUND(LOOKUP(LOOKUP(F483,X$1:X$35,A:A),'Annual Calculation'!A$2:A$107,Table1[Saving]),0),IF( LOOKUP(F483,W$1:W$35,W$1:W$35) =
 F483,ROUND(G482*(1+IF($Q$18&lt;6,$R$14,IF($Q$18&lt;11,$R$15,$R$16)))^(1/12),0),G482*(1+IF($Q$18&lt;6,$R$14,IF($Q$18&lt;11,$R$15,$R$16)))^(1/12))))</f>
        <v>0</v>
      </c>
    </row>
    <row r="484" spans="1:7">
      <c r="A484" s="348">
        <f t="shared" si="16"/>
        <v>483</v>
      </c>
      <c r="B484" s="360">
        <f>DATE('Profit Calculation'!J$6,A$2,A$2+A484-1)</f>
        <v>42487</v>
      </c>
      <c r="D484" s="362">
        <f t="shared" ca="1" si="15"/>
        <v>102819278.66691352</v>
      </c>
      <c r="F484" s="363">
        <f>DATE('Profit Calculation'!J$6,'Profit Calculation'!R$6+A484-1,'Profit Calculation'!Z$6)</f>
        <v>56766</v>
      </c>
      <c r="G484" s="364">
        <f ca="1">IF(Q$27=2,IF(LOOKUP(F484,X$1:X$35,X$1:X$35) = F484,ROUND(LOOKUP(LOOKUP(F484,X$1:X$35,A:A),Single!A$2:A$107,Table13[Saving]),0),IF( LOOKUP(F484,W$1:W$35,W$1:W$35) =
 F484,ROUND(G483*(1+IF($Q$18&lt;6,$R$14,IF($Q$18&lt;11,$R$15,$R$16)))^(1/12),0),G483*(1+IF($Q$18&lt;6,$R$14,IF($Q$18&lt;11,$R$15,$R$16)))^(1/12))),IF(LOOKUP(F484,X$1:X$35,X$1:X$35) = F484,ROUND(LOOKUP(LOOKUP(F484,X$1:X$35,A:A),'Annual Calculation'!A$2:A$107,Table1[Saving]),0),IF( LOOKUP(F484,W$1:W$35,W$1:W$35) =
 F484,ROUND(G483*(1+IF($Q$18&lt;6,$R$14,IF($Q$18&lt;11,$R$15,$R$16)))^(1/12),0),G483*(1+IF($Q$18&lt;6,$R$14,IF($Q$18&lt;11,$R$15,$R$16)))^(1/12))))</f>
        <v>0</v>
      </c>
    </row>
    <row r="485" spans="1:7">
      <c r="A485" s="348">
        <f t="shared" si="16"/>
        <v>484</v>
      </c>
      <c r="B485" s="360">
        <f>DATE('Profit Calculation'!J$6,A$2,A$2+A485-1)</f>
        <v>42488</v>
      </c>
      <c r="D485" s="362">
        <f t="shared" ca="1" si="15"/>
        <v>102858656.67704526</v>
      </c>
      <c r="F485" s="363">
        <f>DATE('Profit Calculation'!J$6,'Profit Calculation'!R$6+A485-1,'Profit Calculation'!Z$6)</f>
        <v>56796</v>
      </c>
      <c r="G485" s="364">
        <f ca="1">IF(Q$27=2,IF(LOOKUP(F485,X$1:X$35,X$1:X$35) = F485,ROUND(LOOKUP(LOOKUP(F485,X$1:X$35,A:A),Single!A$2:A$107,Table13[Saving]),0),IF( LOOKUP(F485,W$1:W$35,W$1:W$35) =
 F485,ROUND(G484*(1+IF($Q$18&lt;6,$R$14,IF($Q$18&lt;11,$R$15,$R$16)))^(1/12),0),G484*(1+IF($Q$18&lt;6,$R$14,IF($Q$18&lt;11,$R$15,$R$16)))^(1/12))),IF(LOOKUP(F485,X$1:X$35,X$1:X$35) = F485,ROUND(LOOKUP(LOOKUP(F485,X$1:X$35,A:A),'Annual Calculation'!A$2:A$107,Table1[Saving]),0),IF( LOOKUP(F485,W$1:W$35,W$1:W$35) =
 F485,ROUND(G484*(1+IF($Q$18&lt;6,$R$14,IF($Q$18&lt;11,$R$15,$R$16)))^(1/12),0),G484*(1+IF($Q$18&lt;6,$R$14,IF($Q$18&lt;11,$R$15,$R$16)))^(1/12))))</f>
        <v>0</v>
      </c>
    </row>
    <row r="486" spans="1:7">
      <c r="A486" s="348">
        <f t="shared" si="16"/>
        <v>485</v>
      </c>
      <c r="B486" s="360">
        <f>DATE('Profit Calculation'!J$6,A$2,A$2+A486-1)</f>
        <v>42489</v>
      </c>
      <c r="D486" s="362">
        <f t="shared" ca="1" si="15"/>
        <v>102898049.7682756</v>
      </c>
      <c r="F486" s="363">
        <f>DATE('Profit Calculation'!J$6,'Profit Calculation'!R$6+A486-1,'Profit Calculation'!Z$6)</f>
        <v>56827</v>
      </c>
      <c r="G486" s="364">
        <f ca="1">IF(Q$27=2,IF(LOOKUP(F486,X$1:X$35,X$1:X$35) = F486,ROUND(LOOKUP(LOOKUP(F486,X$1:X$35,A:A),Single!A$2:A$107,Table13[Saving]),0),IF( LOOKUP(F486,W$1:W$35,W$1:W$35) =
 F486,ROUND(G485*(1+IF($Q$18&lt;6,$R$14,IF($Q$18&lt;11,$R$15,$R$16)))^(1/12),0),G485*(1+IF($Q$18&lt;6,$R$14,IF($Q$18&lt;11,$R$15,$R$16)))^(1/12))),IF(LOOKUP(F486,X$1:X$35,X$1:X$35) = F486,ROUND(LOOKUP(LOOKUP(F486,X$1:X$35,A:A),'Annual Calculation'!A$2:A$107,Table1[Saving]),0),IF( LOOKUP(F486,W$1:W$35,W$1:W$35) =
 F486,ROUND(G485*(1+IF($Q$18&lt;6,$R$14,IF($Q$18&lt;11,$R$15,$R$16)))^(1/12),0),G485*(1+IF($Q$18&lt;6,$R$14,IF($Q$18&lt;11,$R$15,$R$16)))^(1/12))))</f>
        <v>0</v>
      </c>
    </row>
    <row r="487" spans="1:7">
      <c r="A487" s="348">
        <f t="shared" si="16"/>
        <v>486</v>
      </c>
      <c r="B487" s="360">
        <f>DATE('Profit Calculation'!J$6,A$2,A$2+A487-1)</f>
        <v>42490</v>
      </c>
      <c r="D487" s="362">
        <f t="shared" ca="1" si="15"/>
        <v>102937457.94638038</v>
      </c>
      <c r="F487" s="363">
        <f>DATE('Profit Calculation'!J$6,'Profit Calculation'!R$6+A487-1,'Profit Calculation'!Z$6)</f>
        <v>56858</v>
      </c>
      <c r="G487" s="364">
        <f ca="1">IF(Q$27=2,IF(LOOKUP(F487,X$1:X$35,X$1:X$35) = F487,ROUND(LOOKUP(LOOKUP(F487,X$1:X$35,A:A),Single!A$2:A$107,Table13[Saving]),0),IF( LOOKUP(F487,W$1:W$35,W$1:W$35) =
 F487,ROUND(G486*(1+IF($Q$18&lt;6,$R$14,IF($Q$18&lt;11,$R$15,$R$16)))^(1/12),0),G486*(1+IF($Q$18&lt;6,$R$14,IF($Q$18&lt;11,$R$15,$R$16)))^(1/12))),IF(LOOKUP(F487,X$1:X$35,X$1:X$35) = F487,ROUND(LOOKUP(LOOKUP(F487,X$1:X$35,A:A),'Annual Calculation'!A$2:A$107,Table1[Saving]),0),IF( LOOKUP(F487,W$1:W$35,W$1:W$35) =
 F487,ROUND(G486*(1+IF($Q$18&lt;6,$R$14,IF($Q$18&lt;11,$R$15,$R$16)))^(1/12),0),G486*(1+IF($Q$18&lt;6,$R$14,IF($Q$18&lt;11,$R$15,$R$16)))^(1/12))))</f>
        <v>0</v>
      </c>
    </row>
    <row r="488" spans="1:7">
      <c r="A488" s="348">
        <f t="shared" si="16"/>
        <v>487</v>
      </c>
      <c r="B488" s="360">
        <f>DATE('Profit Calculation'!J$6,A$2,A$2+A488-1)</f>
        <v>42491</v>
      </c>
      <c r="D488" s="362">
        <f t="shared" ca="1" si="15"/>
        <v>102976881.21713759</v>
      </c>
      <c r="F488" s="363">
        <f>DATE('Profit Calculation'!J$6,'Profit Calculation'!R$6+A488-1,'Profit Calculation'!Z$6)</f>
        <v>56888</v>
      </c>
      <c r="G488" s="364">
        <f ca="1">IF(Q$27=2,IF(LOOKUP(F488,X$1:X$35,X$1:X$35) = F488,ROUND(LOOKUP(LOOKUP(F488,X$1:X$35,A:A),Single!A$2:A$107,Table13[Saving]),0),IF( LOOKUP(F488,W$1:W$35,W$1:W$35) =
 F488,ROUND(G487*(1+IF($Q$18&lt;6,$R$14,IF($Q$18&lt;11,$R$15,$R$16)))^(1/12),0),G487*(1+IF($Q$18&lt;6,$R$14,IF($Q$18&lt;11,$R$15,$R$16)))^(1/12))),IF(LOOKUP(F488,X$1:X$35,X$1:X$35) = F488,ROUND(LOOKUP(LOOKUP(F488,X$1:X$35,A:A),'Annual Calculation'!A$2:A$107,Table1[Saving]),0),IF( LOOKUP(F488,W$1:W$35,W$1:W$35) =
 F488,ROUND(G487*(1+IF($Q$18&lt;6,$R$14,IF($Q$18&lt;11,$R$15,$R$16)))^(1/12),0),G487*(1+IF($Q$18&lt;6,$R$14,IF($Q$18&lt;11,$R$15,$R$16)))^(1/12))))</f>
        <v>0</v>
      </c>
    </row>
    <row r="489" spans="1:7">
      <c r="A489" s="348">
        <f t="shared" si="16"/>
        <v>488</v>
      </c>
      <c r="B489" s="360">
        <f>DATE('Profit Calculation'!J$6,A$2,A$2+A489-1)</f>
        <v>42492</v>
      </c>
      <c r="D489" s="362">
        <f t="shared" ca="1" si="15"/>
        <v>103016319.58632746</v>
      </c>
      <c r="F489" s="363">
        <f>DATE('Profit Calculation'!J$6,'Profit Calculation'!R$6+A489-1,'Profit Calculation'!Z$6)</f>
        <v>56919</v>
      </c>
      <c r="G489" s="364">
        <f ca="1">IF(Q$27=2,IF(LOOKUP(F489,X$1:X$35,X$1:X$35) = F489,ROUND(LOOKUP(LOOKUP(F489,X$1:X$35,A:A),Single!A$2:A$107,Table13[Saving]),0),IF( LOOKUP(F489,W$1:W$35,W$1:W$35) =
 F489,ROUND(G488*(1+IF($Q$18&lt;6,$R$14,IF($Q$18&lt;11,$R$15,$R$16)))^(1/12),0),G488*(1+IF($Q$18&lt;6,$R$14,IF($Q$18&lt;11,$R$15,$R$16)))^(1/12))),IF(LOOKUP(F489,X$1:X$35,X$1:X$35) = F489,ROUND(LOOKUP(LOOKUP(F489,X$1:X$35,A:A),'Annual Calculation'!A$2:A$107,Table1[Saving]),0),IF( LOOKUP(F489,W$1:W$35,W$1:W$35) =
 F489,ROUND(G488*(1+IF($Q$18&lt;6,$R$14,IF($Q$18&lt;11,$R$15,$R$16)))^(1/12),0),G488*(1+IF($Q$18&lt;6,$R$14,IF($Q$18&lt;11,$R$15,$R$16)))^(1/12))))</f>
        <v>0</v>
      </c>
    </row>
    <row r="490" spans="1:7">
      <c r="A490" s="348">
        <f t="shared" si="16"/>
        <v>489</v>
      </c>
      <c r="B490" s="360">
        <f>DATE('Profit Calculation'!J$6,A$2,A$2+A490-1)</f>
        <v>42493</v>
      </c>
      <c r="D490" s="362">
        <f t="shared" ca="1" si="15"/>
        <v>103055773.05973244</v>
      </c>
      <c r="F490" s="363">
        <f>DATE('Profit Calculation'!J$6,'Profit Calculation'!R$6+A490-1,'Profit Calculation'!Z$6)</f>
        <v>56949</v>
      </c>
      <c r="G490" s="364">
        <f ca="1">IF(Q$27=2,IF(LOOKUP(F490,X$1:X$35,X$1:X$35) = F490,ROUND(LOOKUP(LOOKUP(F490,X$1:X$35,A:A),Single!A$2:A$107,Table13[Saving]),0),IF( LOOKUP(F490,W$1:W$35,W$1:W$35) =
 F490,ROUND(G489*(1+IF($Q$18&lt;6,$R$14,IF($Q$18&lt;11,$R$15,$R$16)))^(1/12),0),G489*(1+IF($Q$18&lt;6,$R$14,IF($Q$18&lt;11,$R$15,$R$16)))^(1/12))),IF(LOOKUP(F490,X$1:X$35,X$1:X$35) = F490,ROUND(LOOKUP(LOOKUP(F490,X$1:X$35,A:A),'Annual Calculation'!A$2:A$107,Table1[Saving]),0),IF( LOOKUP(F490,W$1:W$35,W$1:W$35) =
 F490,ROUND(G489*(1+IF($Q$18&lt;6,$R$14,IF($Q$18&lt;11,$R$15,$R$16)))^(1/12),0),G489*(1+IF($Q$18&lt;6,$R$14,IF($Q$18&lt;11,$R$15,$R$16)))^(1/12))))</f>
        <v>0</v>
      </c>
    </row>
    <row r="491" spans="1:7">
      <c r="A491" s="348">
        <f t="shared" si="16"/>
        <v>490</v>
      </c>
      <c r="B491" s="360">
        <f>DATE('Profit Calculation'!J$6,A$2,A$2+A491-1)</f>
        <v>42494</v>
      </c>
      <c r="D491" s="362">
        <f t="shared" ca="1" si="15"/>
        <v>103095241.64313716</v>
      </c>
      <c r="F491" s="363">
        <f>DATE('Profit Calculation'!J$6,'Profit Calculation'!R$6+A491-1,'Profit Calculation'!Z$6)</f>
        <v>56980</v>
      </c>
      <c r="G491" s="364">
        <f ca="1">IF(Q$27=2,IF(LOOKUP(F491,X$1:X$35,X$1:X$35) = F491,ROUND(LOOKUP(LOOKUP(F491,X$1:X$35,A:A),Single!A$2:A$107,Table13[Saving]),0),IF( LOOKUP(F491,W$1:W$35,W$1:W$35) =
 F491,ROUND(G490*(1+IF($Q$18&lt;6,$R$14,IF($Q$18&lt;11,$R$15,$R$16)))^(1/12),0),G490*(1+IF($Q$18&lt;6,$R$14,IF($Q$18&lt;11,$R$15,$R$16)))^(1/12))),IF(LOOKUP(F491,X$1:X$35,X$1:X$35) = F491,ROUND(LOOKUP(LOOKUP(F491,X$1:X$35,A:A),'Annual Calculation'!A$2:A$107,Table1[Saving]),0),IF( LOOKUP(F491,W$1:W$35,W$1:W$35) =
 F491,ROUND(G490*(1+IF($Q$18&lt;6,$R$14,IF($Q$18&lt;11,$R$15,$R$16)))^(1/12),0),G490*(1+IF($Q$18&lt;6,$R$14,IF($Q$18&lt;11,$R$15,$R$16)))^(1/12))))</f>
        <v>0</v>
      </c>
    </row>
    <row r="492" spans="1:7">
      <c r="A492" s="348">
        <f t="shared" si="16"/>
        <v>491</v>
      </c>
      <c r="B492" s="360">
        <f>DATE('Profit Calculation'!J$6,A$2,A$2+A492-1)</f>
        <v>42495</v>
      </c>
      <c r="D492" s="362">
        <f t="shared" ca="1" si="15"/>
        <v>103134725.3423285</v>
      </c>
      <c r="F492" s="363">
        <f>DATE('Profit Calculation'!J$6,'Profit Calculation'!R$6+A492-1,'Profit Calculation'!Z$6)</f>
        <v>57011</v>
      </c>
      <c r="G492" s="364">
        <f ca="1">IF(Q$27=2,IF(LOOKUP(F492,X$1:X$35,X$1:X$35) = F492,ROUND(LOOKUP(LOOKUP(F492,X$1:X$35,A:A),Single!A$2:A$107,Table13[Saving]),0),IF( LOOKUP(F492,W$1:W$35,W$1:W$35) =
 F492,ROUND(G491*(1+IF($Q$18&lt;6,$R$14,IF($Q$18&lt;11,$R$15,$R$16)))^(1/12),0),G491*(1+IF($Q$18&lt;6,$R$14,IF($Q$18&lt;11,$R$15,$R$16)))^(1/12))),IF(LOOKUP(F492,X$1:X$35,X$1:X$35) = F492,ROUND(LOOKUP(LOOKUP(F492,X$1:X$35,A:A),'Annual Calculation'!A$2:A$107,Table1[Saving]),0),IF( LOOKUP(F492,W$1:W$35,W$1:W$35) =
 F492,ROUND(G491*(1+IF($Q$18&lt;6,$R$14,IF($Q$18&lt;11,$R$15,$R$16)))^(1/12),0),G491*(1+IF($Q$18&lt;6,$R$14,IF($Q$18&lt;11,$R$15,$R$16)))^(1/12))))</f>
        <v>0</v>
      </c>
    </row>
    <row r="493" spans="1:7">
      <c r="A493" s="348">
        <f t="shared" si="16"/>
        <v>492</v>
      </c>
      <c r="B493" s="360">
        <f>DATE('Profit Calculation'!J$6,A$2,A$2+A493-1)</f>
        <v>42496</v>
      </c>
      <c r="D493" s="362">
        <f t="shared" ca="1" si="15"/>
        <v>103174224.16309556</v>
      </c>
      <c r="F493" s="363">
        <f>DATE('Profit Calculation'!J$6,'Profit Calculation'!R$6+A493-1,'Profit Calculation'!Z$6)</f>
        <v>57040</v>
      </c>
      <c r="G493" s="364">
        <f ca="1">IF(Q$27=2,IF(LOOKUP(F493,X$1:X$35,X$1:X$35) = F493,ROUND(LOOKUP(LOOKUP(F493,X$1:X$35,A:A),Single!A$2:A$107,Table13[Saving]),0),IF( LOOKUP(F493,W$1:W$35,W$1:W$35) =
 F493,ROUND(G492*(1+IF($Q$18&lt;6,$R$14,IF($Q$18&lt;11,$R$15,$R$16)))^(1/12),0),G492*(1+IF($Q$18&lt;6,$R$14,IF($Q$18&lt;11,$R$15,$R$16)))^(1/12))),IF(LOOKUP(F493,X$1:X$35,X$1:X$35) = F493,ROUND(LOOKUP(LOOKUP(F493,X$1:X$35,A:A),'Annual Calculation'!A$2:A$107,Table1[Saving]),0),IF( LOOKUP(F493,W$1:W$35,W$1:W$35) =
 F493,ROUND(G492*(1+IF($Q$18&lt;6,$R$14,IF($Q$18&lt;11,$R$15,$R$16)))^(1/12),0),G492*(1+IF($Q$18&lt;6,$R$14,IF($Q$18&lt;11,$R$15,$R$16)))^(1/12))))</f>
        <v>0</v>
      </c>
    </row>
    <row r="494" spans="1:7">
      <c r="A494" s="348">
        <f t="shared" si="16"/>
        <v>493</v>
      </c>
      <c r="B494" s="360">
        <f>DATE('Profit Calculation'!J$6,A$2,A$2+A494-1)</f>
        <v>42497</v>
      </c>
      <c r="D494" s="362">
        <f t="shared" ca="1" si="15"/>
        <v>103213738.11122964</v>
      </c>
      <c r="F494" s="363">
        <f>DATE('Profit Calculation'!J$6,'Profit Calculation'!R$6+A494-1,'Profit Calculation'!Z$6)</f>
        <v>57071</v>
      </c>
      <c r="G494" s="364">
        <f ca="1">IF(Q$27=2,IF(LOOKUP(F494,X$1:X$35,X$1:X$35) = F494,ROUND(LOOKUP(LOOKUP(F494,X$1:X$35,A:A),Single!A$2:A$107,Table13[Saving]),0),IF( LOOKUP(F494,W$1:W$35,W$1:W$35) =
 F494,ROUND(G493*(1+IF($Q$18&lt;6,$R$14,IF($Q$18&lt;11,$R$15,$R$16)))^(1/12),0),G493*(1+IF($Q$18&lt;6,$R$14,IF($Q$18&lt;11,$R$15,$R$16)))^(1/12))),IF(LOOKUP(F494,X$1:X$35,X$1:X$35) = F494,ROUND(LOOKUP(LOOKUP(F494,X$1:X$35,A:A),'Annual Calculation'!A$2:A$107,Table1[Saving]),0),IF( LOOKUP(F494,W$1:W$35,W$1:W$35) =
 F494,ROUND(G493*(1+IF($Q$18&lt;6,$R$14,IF($Q$18&lt;11,$R$15,$R$16)))^(1/12),0),G493*(1+IF($Q$18&lt;6,$R$14,IF($Q$18&lt;11,$R$15,$R$16)))^(1/12))))</f>
        <v>0</v>
      </c>
    </row>
    <row r="495" spans="1:7">
      <c r="A495" s="348">
        <f t="shared" si="16"/>
        <v>494</v>
      </c>
      <c r="B495" s="360">
        <f>DATE('Profit Calculation'!J$6,A$2,A$2+A495-1)</f>
        <v>42498</v>
      </c>
      <c r="D495" s="362">
        <f t="shared" ca="1" si="15"/>
        <v>103253267.19252425</v>
      </c>
      <c r="F495" s="363">
        <f>DATE('Profit Calculation'!J$6,'Profit Calculation'!R$6+A495-1,'Profit Calculation'!Z$6)</f>
        <v>57101</v>
      </c>
      <c r="G495" s="364">
        <f ca="1">IF(Q$27=2,IF(LOOKUP(F495,X$1:X$35,X$1:X$35) = F495,ROUND(LOOKUP(LOOKUP(F495,X$1:X$35,A:A),Single!A$2:A$107,Table13[Saving]),0),IF( LOOKUP(F495,W$1:W$35,W$1:W$35) =
 F495,ROUND(G494*(1+IF($Q$18&lt;6,$R$14,IF($Q$18&lt;11,$R$15,$R$16)))^(1/12),0),G494*(1+IF($Q$18&lt;6,$R$14,IF($Q$18&lt;11,$R$15,$R$16)))^(1/12))),IF(LOOKUP(F495,X$1:X$35,X$1:X$35) = F495,ROUND(LOOKUP(LOOKUP(F495,X$1:X$35,A:A),'Annual Calculation'!A$2:A$107,Table1[Saving]),0),IF( LOOKUP(F495,W$1:W$35,W$1:W$35) =
 F495,ROUND(G494*(1+IF($Q$18&lt;6,$R$14,IF($Q$18&lt;11,$R$15,$R$16)))^(1/12),0),G494*(1+IF($Q$18&lt;6,$R$14,IF($Q$18&lt;11,$R$15,$R$16)))^(1/12))))</f>
        <v>0</v>
      </c>
    </row>
    <row r="496" spans="1:7">
      <c r="A496" s="348">
        <f t="shared" si="16"/>
        <v>495</v>
      </c>
      <c r="B496" s="360">
        <f>DATE('Profit Calculation'!J$6,A$2,A$2+A496-1)</f>
        <v>42499</v>
      </c>
      <c r="D496" s="362">
        <f t="shared" ca="1" si="15"/>
        <v>103292811.41277513</v>
      </c>
      <c r="F496" s="363">
        <f>DATE('Profit Calculation'!J$6,'Profit Calculation'!R$6+A496-1,'Profit Calculation'!Z$6)</f>
        <v>57132</v>
      </c>
      <c r="G496" s="364">
        <f ca="1">IF(Q$27=2,IF(LOOKUP(F496,X$1:X$35,X$1:X$35) = F496,ROUND(LOOKUP(LOOKUP(F496,X$1:X$35,A:A),Single!A$2:A$107,Table13[Saving]),0),IF( LOOKUP(F496,W$1:W$35,W$1:W$35) =
 F496,ROUND(G495*(1+IF($Q$18&lt;6,$R$14,IF($Q$18&lt;11,$R$15,$R$16)))^(1/12),0),G495*(1+IF($Q$18&lt;6,$R$14,IF($Q$18&lt;11,$R$15,$R$16)))^(1/12))),IF(LOOKUP(F496,X$1:X$35,X$1:X$35) = F496,ROUND(LOOKUP(LOOKUP(F496,X$1:X$35,A:A),'Annual Calculation'!A$2:A$107,Table1[Saving]),0),IF( LOOKUP(F496,W$1:W$35,W$1:W$35) =
 F496,ROUND(G495*(1+IF($Q$18&lt;6,$R$14,IF($Q$18&lt;11,$R$15,$R$16)))^(1/12),0),G495*(1+IF($Q$18&lt;6,$R$14,IF($Q$18&lt;11,$R$15,$R$16)))^(1/12))))</f>
        <v>0</v>
      </c>
    </row>
    <row r="497" spans="1:7">
      <c r="A497" s="348">
        <f t="shared" si="16"/>
        <v>496</v>
      </c>
      <c r="B497" s="360">
        <f>DATE('Profit Calculation'!J$6,A$2,A$2+A497-1)</f>
        <v>42500</v>
      </c>
      <c r="D497" s="362">
        <f t="shared" ca="1" si="15"/>
        <v>103332370.77778023</v>
      </c>
      <c r="F497" s="363">
        <f>DATE('Profit Calculation'!J$6,'Profit Calculation'!R$6+A497-1,'Profit Calculation'!Z$6)</f>
        <v>57162</v>
      </c>
      <c r="G497" s="364">
        <f ca="1">IF(Q$27=2,IF(LOOKUP(F497,X$1:X$35,X$1:X$35) = F497,ROUND(LOOKUP(LOOKUP(F497,X$1:X$35,A:A),Single!A$2:A$107,Table13[Saving]),0),IF( LOOKUP(F497,W$1:W$35,W$1:W$35) =
 F497,ROUND(G496*(1+IF($Q$18&lt;6,$R$14,IF($Q$18&lt;11,$R$15,$R$16)))^(1/12),0),G496*(1+IF($Q$18&lt;6,$R$14,IF($Q$18&lt;11,$R$15,$R$16)))^(1/12))),IF(LOOKUP(F497,X$1:X$35,X$1:X$35) = F497,ROUND(LOOKUP(LOOKUP(F497,X$1:X$35,A:A),'Annual Calculation'!A$2:A$107,Table1[Saving]),0),IF( LOOKUP(F497,W$1:W$35,W$1:W$35) =
 F497,ROUND(G496*(1+IF($Q$18&lt;6,$R$14,IF($Q$18&lt;11,$R$15,$R$16)))^(1/12),0),G496*(1+IF($Q$18&lt;6,$R$14,IF($Q$18&lt;11,$R$15,$R$16)))^(1/12))))</f>
        <v>0</v>
      </c>
    </row>
    <row r="498" spans="1:7">
      <c r="A498" s="348">
        <f t="shared" si="16"/>
        <v>497</v>
      </c>
      <c r="B498" s="360">
        <f>DATE('Profit Calculation'!J$6,A$2,A$2+A498-1)</f>
        <v>42501</v>
      </c>
      <c r="D498" s="362">
        <f t="shared" ca="1" si="15"/>
        <v>103371945.29333976</v>
      </c>
      <c r="F498" s="363">
        <f>DATE('Profit Calculation'!J$6,'Profit Calculation'!R$6+A498-1,'Profit Calculation'!Z$6)</f>
        <v>57193</v>
      </c>
      <c r="G498" s="364">
        <f ca="1">IF(Q$27=2,IF(LOOKUP(F498,X$1:X$35,X$1:X$35) = F498,ROUND(LOOKUP(LOOKUP(F498,X$1:X$35,A:A),Single!A$2:A$107,Table13[Saving]),0),IF( LOOKUP(F498,W$1:W$35,W$1:W$35) =
 F498,ROUND(G497*(1+IF($Q$18&lt;6,$R$14,IF($Q$18&lt;11,$R$15,$R$16)))^(1/12),0),G497*(1+IF($Q$18&lt;6,$R$14,IF($Q$18&lt;11,$R$15,$R$16)))^(1/12))),IF(LOOKUP(F498,X$1:X$35,X$1:X$35) = F498,ROUND(LOOKUP(LOOKUP(F498,X$1:X$35,A:A),'Annual Calculation'!A$2:A$107,Table1[Saving]),0),IF( LOOKUP(F498,W$1:W$35,W$1:W$35) =
 F498,ROUND(G497*(1+IF($Q$18&lt;6,$R$14,IF($Q$18&lt;11,$R$15,$R$16)))^(1/12),0),G497*(1+IF($Q$18&lt;6,$R$14,IF($Q$18&lt;11,$R$15,$R$16)))^(1/12))))</f>
        <v>0</v>
      </c>
    </row>
    <row r="499" spans="1:7">
      <c r="A499" s="348">
        <f t="shared" si="16"/>
        <v>498</v>
      </c>
      <c r="B499" s="360">
        <f>DATE('Profit Calculation'!J$6,A$2,A$2+A499-1)</f>
        <v>42502</v>
      </c>
      <c r="D499" s="362">
        <f t="shared" ca="1" si="15"/>
        <v>103411534.96525609</v>
      </c>
      <c r="F499" s="363">
        <f>DATE('Profit Calculation'!J$6,'Profit Calculation'!R$6+A499-1,'Profit Calculation'!Z$6)</f>
        <v>57224</v>
      </c>
      <c r="G499" s="364">
        <f ca="1">IF(Q$27=2,IF(LOOKUP(F499,X$1:X$35,X$1:X$35) = F499,ROUND(LOOKUP(LOOKUP(F499,X$1:X$35,A:A),Single!A$2:A$107,Table13[Saving]),0),IF( LOOKUP(F499,W$1:W$35,W$1:W$35) =
 F499,ROUND(G498*(1+IF($Q$18&lt;6,$R$14,IF($Q$18&lt;11,$R$15,$R$16)))^(1/12),0),G498*(1+IF($Q$18&lt;6,$R$14,IF($Q$18&lt;11,$R$15,$R$16)))^(1/12))),IF(LOOKUP(F499,X$1:X$35,X$1:X$35) = F499,ROUND(LOOKUP(LOOKUP(F499,X$1:X$35,A:A),'Annual Calculation'!A$2:A$107,Table1[Saving]),0),IF( LOOKUP(F499,W$1:W$35,W$1:W$35) =
 F499,ROUND(G498*(1+IF($Q$18&lt;6,$R$14,IF($Q$18&lt;11,$R$15,$R$16)))^(1/12),0),G498*(1+IF($Q$18&lt;6,$R$14,IF($Q$18&lt;11,$R$15,$R$16)))^(1/12))))</f>
        <v>0</v>
      </c>
    </row>
    <row r="500" spans="1:7">
      <c r="A500" s="348">
        <f t="shared" si="16"/>
        <v>499</v>
      </c>
      <c r="B500" s="360">
        <f>DATE('Profit Calculation'!J$6,A$2,A$2+A500-1)</f>
        <v>42503</v>
      </c>
      <c r="D500" s="362">
        <f t="shared" ca="1" si="15"/>
        <v>103451139.79933387</v>
      </c>
      <c r="F500" s="363">
        <f>DATE('Profit Calculation'!J$6,'Profit Calculation'!R$6+A500-1,'Profit Calculation'!Z$6)</f>
        <v>57254</v>
      </c>
      <c r="G500" s="364">
        <f ca="1">IF(Q$27=2,IF(LOOKUP(F500,X$1:X$35,X$1:X$35) = F500,ROUND(LOOKUP(LOOKUP(F500,X$1:X$35,A:A),Single!A$2:A$107,Table13[Saving]),0),IF( LOOKUP(F500,W$1:W$35,W$1:W$35) =
 F500,ROUND(G499*(1+IF($Q$18&lt;6,$R$14,IF($Q$18&lt;11,$R$15,$R$16)))^(1/12),0),G499*(1+IF($Q$18&lt;6,$R$14,IF($Q$18&lt;11,$R$15,$R$16)))^(1/12))),IF(LOOKUP(F500,X$1:X$35,X$1:X$35) = F500,ROUND(LOOKUP(LOOKUP(F500,X$1:X$35,A:A),'Annual Calculation'!A$2:A$107,Table1[Saving]),0),IF( LOOKUP(F500,W$1:W$35,W$1:W$35) =
 F500,ROUND(G499*(1+IF($Q$18&lt;6,$R$14,IF($Q$18&lt;11,$R$15,$R$16)))^(1/12),0),G499*(1+IF($Q$18&lt;6,$R$14,IF($Q$18&lt;11,$R$15,$R$16)))^(1/12))))</f>
        <v>0</v>
      </c>
    </row>
    <row r="501" spans="1:7">
      <c r="A501" s="348">
        <f t="shared" si="16"/>
        <v>500</v>
      </c>
      <c r="B501" s="360">
        <f>DATE('Profit Calculation'!J$6,A$2,A$2+A501-1)</f>
        <v>42504</v>
      </c>
      <c r="D501" s="362">
        <f t="shared" ca="1" si="15"/>
        <v>103490759.80137992</v>
      </c>
      <c r="F501" s="363">
        <f>DATE('Profit Calculation'!J$6,'Profit Calculation'!R$6+A501-1,'Profit Calculation'!Z$6)</f>
        <v>57285</v>
      </c>
      <c r="G501" s="364">
        <f ca="1">IF(Q$27=2,IF(LOOKUP(F501,X$1:X$35,X$1:X$35) = F501,ROUND(LOOKUP(LOOKUP(F501,X$1:X$35,A:A),Single!A$2:A$107,Table13[Saving]),0),IF( LOOKUP(F501,W$1:W$35,W$1:W$35) =
 F501,ROUND(G500*(1+IF($Q$18&lt;6,$R$14,IF($Q$18&lt;11,$R$15,$R$16)))^(1/12),0),G500*(1+IF($Q$18&lt;6,$R$14,IF($Q$18&lt;11,$R$15,$R$16)))^(1/12))),IF(LOOKUP(F501,X$1:X$35,X$1:X$35) = F501,ROUND(LOOKUP(LOOKUP(F501,X$1:X$35,A:A),'Annual Calculation'!A$2:A$107,Table1[Saving]),0),IF( LOOKUP(F501,W$1:W$35,W$1:W$35) =
 F501,ROUND(G500*(1+IF($Q$18&lt;6,$R$14,IF($Q$18&lt;11,$R$15,$R$16)))^(1/12),0),G500*(1+IF($Q$18&lt;6,$R$14,IF($Q$18&lt;11,$R$15,$R$16)))^(1/12))))</f>
        <v>0</v>
      </c>
    </row>
    <row r="502" spans="1:7">
      <c r="A502" s="348">
        <f t="shared" si="16"/>
        <v>501</v>
      </c>
      <c r="B502" s="360">
        <f>DATE('Profit Calculation'!J$6,A$2,A$2+A502-1)</f>
        <v>42505</v>
      </c>
      <c r="D502" s="362">
        <f t="shared" ca="1" si="15"/>
        <v>103530394.97720332</v>
      </c>
      <c r="F502" s="363">
        <f>DATE('Profit Calculation'!J$6,'Profit Calculation'!R$6+A502-1,'Profit Calculation'!Z$6)</f>
        <v>57315</v>
      </c>
      <c r="G502" s="364">
        <f ca="1">IF(Q$27=2,IF(LOOKUP(F502,X$1:X$35,X$1:X$35) = F502,ROUND(LOOKUP(LOOKUP(F502,X$1:X$35,A:A),Single!A$2:A$107,Table13[Saving]),0),IF( LOOKUP(F502,W$1:W$35,W$1:W$35) =
 F502,ROUND(G501*(1+IF($Q$18&lt;6,$R$14,IF($Q$18&lt;11,$R$15,$R$16)))^(1/12),0),G501*(1+IF($Q$18&lt;6,$R$14,IF($Q$18&lt;11,$R$15,$R$16)))^(1/12))),IF(LOOKUP(F502,X$1:X$35,X$1:X$35) = F502,ROUND(LOOKUP(LOOKUP(F502,X$1:X$35,A:A),'Annual Calculation'!A$2:A$107,Table1[Saving]),0),IF( LOOKUP(F502,W$1:W$35,W$1:W$35) =
 F502,ROUND(G501*(1+IF($Q$18&lt;6,$R$14,IF($Q$18&lt;11,$R$15,$R$16)))^(1/12),0),G501*(1+IF($Q$18&lt;6,$R$14,IF($Q$18&lt;11,$R$15,$R$16)))^(1/12))))</f>
        <v>0</v>
      </c>
    </row>
    <row r="503" spans="1:7">
      <c r="A503" s="348">
        <f t="shared" si="16"/>
        <v>502</v>
      </c>
      <c r="B503" s="360">
        <f>DATE('Profit Calculation'!J$6,A$2,A$2+A503-1)</f>
        <v>42506</v>
      </c>
      <c r="D503" s="362">
        <f t="shared" ca="1" si="15"/>
        <v>103570045.33261538</v>
      </c>
      <c r="F503" s="363">
        <f>DATE('Profit Calculation'!J$6,'Profit Calculation'!R$6+A503-1,'Profit Calculation'!Z$6)</f>
        <v>57346</v>
      </c>
      <c r="G503" s="364">
        <f ca="1">IF(Q$27=2,IF(LOOKUP(F503,X$1:X$35,X$1:X$35) = F503,ROUND(LOOKUP(LOOKUP(F503,X$1:X$35,A:A),Single!A$2:A$107,Table13[Saving]),0),IF( LOOKUP(F503,W$1:W$35,W$1:W$35) =
 F503,ROUND(G502*(1+IF($Q$18&lt;6,$R$14,IF($Q$18&lt;11,$R$15,$R$16)))^(1/12),0),G502*(1+IF($Q$18&lt;6,$R$14,IF($Q$18&lt;11,$R$15,$R$16)))^(1/12))),IF(LOOKUP(F503,X$1:X$35,X$1:X$35) = F503,ROUND(LOOKUP(LOOKUP(F503,X$1:X$35,A:A),'Annual Calculation'!A$2:A$107,Table1[Saving]),0),IF( LOOKUP(F503,W$1:W$35,W$1:W$35) =
 F503,ROUND(G502*(1+IF($Q$18&lt;6,$R$14,IF($Q$18&lt;11,$R$15,$R$16)))^(1/12),0),G502*(1+IF($Q$18&lt;6,$R$14,IF($Q$18&lt;11,$R$15,$R$16)))^(1/12))))</f>
        <v>0</v>
      </c>
    </row>
    <row r="504" spans="1:7">
      <c r="A504" s="348">
        <f t="shared" si="16"/>
        <v>503</v>
      </c>
      <c r="B504" s="360">
        <f>DATE('Profit Calculation'!J$6,A$2,A$2+A504-1)</f>
        <v>42507</v>
      </c>
      <c r="D504" s="362">
        <f t="shared" ca="1" si="15"/>
        <v>103609710.8734296</v>
      </c>
      <c r="F504" s="363">
        <f>DATE('Profit Calculation'!J$6,'Profit Calculation'!R$6+A504-1,'Profit Calculation'!Z$6)</f>
        <v>57377</v>
      </c>
      <c r="G504" s="364">
        <f ca="1">IF(Q$27=2,IF(LOOKUP(F504,X$1:X$35,X$1:X$35) = F504,ROUND(LOOKUP(LOOKUP(F504,X$1:X$35,A:A),Single!A$2:A$107,Table13[Saving]),0),IF( LOOKUP(F504,W$1:W$35,W$1:W$35) =
 F504,ROUND(G503*(1+IF($Q$18&lt;6,$R$14,IF($Q$18&lt;11,$R$15,$R$16)))^(1/12),0),G503*(1+IF($Q$18&lt;6,$R$14,IF($Q$18&lt;11,$R$15,$R$16)))^(1/12))),IF(LOOKUP(F504,X$1:X$35,X$1:X$35) = F504,ROUND(LOOKUP(LOOKUP(F504,X$1:X$35,A:A),'Annual Calculation'!A$2:A$107,Table1[Saving]),0),IF( LOOKUP(F504,W$1:W$35,W$1:W$35) =
 F504,ROUND(G503*(1+IF($Q$18&lt;6,$R$14,IF($Q$18&lt;11,$R$15,$R$16)))^(1/12),0),G503*(1+IF($Q$18&lt;6,$R$14,IF($Q$18&lt;11,$R$15,$R$16)))^(1/12))))</f>
        <v>0</v>
      </c>
    </row>
    <row r="505" spans="1:7">
      <c r="A505" s="348">
        <f t="shared" si="16"/>
        <v>504</v>
      </c>
      <c r="B505" s="360">
        <f>DATE('Profit Calculation'!J$6,A$2,A$2+A505-1)</f>
        <v>42508</v>
      </c>
      <c r="D505" s="362">
        <f t="shared" ca="1" si="15"/>
        <v>103649391.60546173</v>
      </c>
      <c r="F505" s="363">
        <f>DATE('Profit Calculation'!J$6,'Profit Calculation'!R$6+A505-1,'Profit Calculation'!Z$6)</f>
        <v>57405</v>
      </c>
      <c r="G505" s="364">
        <f ca="1">IF(Q$27=2,IF(LOOKUP(F505,X$1:X$35,X$1:X$35) = F505,ROUND(LOOKUP(LOOKUP(F505,X$1:X$35,A:A),Single!A$2:A$107,Table13[Saving]),0),IF( LOOKUP(F505,W$1:W$35,W$1:W$35) =
 F505,ROUND(G504*(1+IF($Q$18&lt;6,$R$14,IF($Q$18&lt;11,$R$15,$R$16)))^(1/12),0),G504*(1+IF($Q$18&lt;6,$R$14,IF($Q$18&lt;11,$R$15,$R$16)))^(1/12))),IF(LOOKUP(F505,X$1:X$35,X$1:X$35) = F505,ROUND(LOOKUP(LOOKUP(F505,X$1:X$35,A:A),'Annual Calculation'!A$2:A$107,Table1[Saving]),0),IF( LOOKUP(F505,W$1:W$35,W$1:W$35) =
 F505,ROUND(G504*(1+IF($Q$18&lt;6,$R$14,IF($Q$18&lt;11,$R$15,$R$16)))^(1/12),0),G504*(1+IF($Q$18&lt;6,$R$14,IF($Q$18&lt;11,$R$15,$R$16)))^(1/12))))</f>
        <v>0</v>
      </c>
    </row>
    <row r="506" spans="1:7">
      <c r="A506" s="348">
        <f t="shared" si="16"/>
        <v>505</v>
      </c>
      <c r="B506" s="360">
        <f>DATE('Profit Calculation'!J$6,A$2,A$2+A506-1)</f>
        <v>42509</v>
      </c>
      <c r="D506" s="362">
        <f t="shared" ca="1" si="15"/>
        <v>103689087.53452976</v>
      </c>
      <c r="F506" s="363">
        <f>DATE('Profit Calculation'!J$6,'Profit Calculation'!R$6+A506-1,'Profit Calculation'!Z$6)</f>
        <v>57436</v>
      </c>
      <c r="G506" s="364">
        <f ca="1">IF(Q$27=2,IF(LOOKUP(F506,X$1:X$35,X$1:X$35) = F506,ROUND(LOOKUP(LOOKUP(F506,X$1:X$35,A:A),Single!A$2:A$107,Table13[Saving]),0),IF( LOOKUP(F506,W$1:W$35,W$1:W$35) =
 F506,ROUND(G505*(1+IF($Q$18&lt;6,$R$14,IF($Q$18&lt;11,$R$15,$R$16)))^(1/12),0),G505*(1+IF($Q$18&lt;6,$R$14,IF($Q$18&lt;11,$R$15,$R$16)))^(1/12))),IF(LOOKUP(F506,X$1:X$35,X$1:X$35) = F506,ROUND(LOOKUP(LOOKUP(F506,X$1:X$35,A:A),'Annual Calculation'!A$2:A$107,Table1[Saving]),0),IF( LOOKUP(F506,W$1:W$35,W$1:W$35) =
 F506,ROUND(G505*(1+IF($Q$18&lt;6,$R$14,IF($Q$18&lt;11,$R$15,$R$16)))^(1/12),0),G505*(1+IF($Q$18&lt;6,$R$14,IF($Q$18&lt;11,$R$15,$R$16)))^(1/12))))</f>
        <v>0</v>
      </c>
    </row>
    <row r="507" spans="1:7">
      <c r="A507" s="348">
        <f t="shared" si="16"/>
        <v>506</v>
      </c>
      <c r="B507" s="360">
        <f>DATE('Profit Calculation'!J$6,A$2,A$2+A507-1)</f>
        <v>42510</v>
      </c>
      <c r="D507" s="362">
        <f t="shared" ca="1" si="15"/>
        <v>103728798.66645387</v>
      </c>
      <c r="F507" s="363">
        <f>DATE('Profit Calculation'!J$6,'Profit Calculation'!R$6+A507-1,'Profit Calculation'!Z$6)</f>
        <v>57466</v>
      </c>
      <c r="G507" s="364">
        <f ca="1">IF(Q$27=2,IF(LOOKUP(F507,X$1:X$35,X$1:X$35) = F507,ROUND(LOOKUP(LOOKUP(F507,X$1:X$35,A:A),Single!A$2:A$107,Table13[Saving]),0),IF( LOOKUP(F507,W$1:W$35,W$1:W$35) =
 F507,ROUND(G506*(1+IF($Q$18&lt;6,$R$14,IF($Q$18&lt;11,$R$15,$R$16)))^(1/12),0),G506*(1+IF($Q$18&lt;6,$R$14,IF($Q$18&lt;11,$R$15,$R$16)))^(1/12))),IF(LOOKUP(F507,X$1:X$35,X$1:X$35) = F507,ROUND(LOOKUP(LOOKUP(F507,X$1:X$35,A:A),'Annual Calculation'!A$2:A$107,Table1[Saving]),0),IF( LOOKUP(F507,W$1:W$35,W$1:W$35) =
 F507,ROUND(G506*(1+IF($Q$18&lt;6,$R$14,IF($Q$18&lt;11,$R$15,$R$16)))^(1/12),0),G506*(1+IF($Q$18&lt;6,$R$14,IF($Q$18&lt;11,$R$15,$R$16)))^(1/12))))</f>
        <v>0</v>
      </c>
    </row>
    <row r="508" spans="1:7">
      <c r="A508" s="348">
        <f t="shared" si="16"/>
        <v>507</v>
      </c>
      <c r="B508" s="360">
        <f>DATE('Profit Calculation'!J$6,A$2,A$2+A508-1)</f>
        <v>42511</v>
      </c>
      <c r="D508" s="362">
        <f t="shared" ca="1" si="15"/>
        <v>103768525.0070565</v>
      </c>
      <c r="F508" s="363">
        <f>DATE('Profit Calculation'!J$6,'Profit Calculation'!R$6+A508-1,'Profit Calculation'!Z$6)</f>
        <v>57497</v>
      </c>
      <c r="G508" s="364">
        <f ca="1">IF(Q$27=2,IF(LOOKUP(F508,X$1:X$35,X$1:X$35) = F508,ROUND(LOOKUP(LOOKUP(F508,X$1:X$35,A:A),Single!A$2:A$107,Table13[Saving]),0),IF( LOOKUP(F508,W$1:W$35,W$1:W$35) =
 F508,ROUND(G507*(1+IF($Q$18&lt;6,$R$14,IF($Q$18&lt;11,$R$15,$R$16)))^(1/12),0),G507*(1+IF($Q$18&lt;6,$R$14,IF($Q$18&lt;11,$R$15,$R$16)))^(1/12))),IF(LOOKUP(F508,X$1:X$35,X$1:X$35) = F508,ROUND(LOOKUP(LOOKUP(F508,X$1:X$35,A:A),'Annual Calculation'!A$2:A$107,Table1[Saving]),0),IF( LOOKUP(F508,W$1:W$35,W$1:W$35) =
 F508,ROUND(G507*(1+IF($Q$18&lt;6,$R$14,IF($Q$18&lt;11,$R$15,$R$16)))^(1/12),0),G507*(1+IF($Q$18&lt;6,$R$14,IF($Q$18&lt;11,$R$15,$R$16)))^(1/12))))</f>
        <v>0</v>
      </c>
    </row>
    <row r="509" spans="1:7">
      <c r="A509" s="348">
        <f t="shared" si="16"/>
        <v>508</v>
      </c>
      <c r="B509" s="360">
        <f>DATE('Profit Calculation'!J$6,A$2,A$2+A509-1)</f>
        <v>42512</v>
      </c>
      <c r="D509" s="362">
        <f t="shared" ca="1" si="15"/>
        <v>103808266.56216232</v>
      </c>
      <c r="F509" s="363">
        <f>DATE('Profit Calculation'!J$6,'Profit Calculation'!R$6+A509-1,'Profit Calculation'!Z$6)</f>
        <v>57527</v>
      </c>
      <c r="G509" s="364">
        <f ca="1">IF(Q$27=2,IF(LOOKUP(F509,X$1:X$35,X$1:X$35) = F509,ROUND(LOOKUP(LOOKUP(F509,X$1:X$35,A:A),Single!A$2:A$107,Table13[Saving]),0),IF( LOOKUP(F509,W$1:W$35,W$1:W$35) =
 F509,ROUND(G508*(1+IF($Q$18&lt;6,$R$14,IF($Q$18&lt;11,$R$15,$R$16)))^(1/12),0),G508*(1+IF($Q$18&lt;6,$R$14,IF($Q$18&lt;11,$R$15,$R$16)))^(1/12))),IF(LOOKUP(F509,X$1:X$35,X$1:X$35) = F509,ROUND(LOOKUP(LOOKUP(F509,X$1:X$35,A:A),'Annual Calculation'!A$2:A$107,Table1[Saving]),0),IF( LOOKUP(F509,W$1:W$35,W$1:W$35) =
 F509,ROUND(G508*(1+IF($Q$18&lt;6,$R$14,IF($Q$18&lt;11,$R$15,$R$16)))^(1/12),0),G508*(1+IF($Q$18&lt;6,$R$14,IF($Q$18&lt;11,$R$15,$R$16)))^(1/12))))</f>
        <v>0</v>
      </c>
    </row>
    <row r="510" spans="1:7">
      <c r="A510" s="348">
        <f t="shared" si="16"/>
        <v>509</v>
      </c>
      <c r="B510" s="360">
        <f>DATE('Profit Calculation'!J$6,A$2,A$2+A510-1)</f>
        <v>42513</v>
      </c>
      <c r="D510" s="362">
        <f t="shared" ca="1" si="15"/>
        <v>103848023.33759822</v>
      </c>
      <c r="F510" s="363">
        <f>DATE('Profit Calculation'!J$6,'Profit Calculation'!R$6+A510-1,'Profit Calculation'!Z$6)</f>
        <v>57558</v>
      </c>
      <c r="G510" s="364">
        <f ca="1">IF(Q$27=2,IF(LOOKUP(F510,X$1:X$35,X$1:X$35) = F510,ROUND(LOOKUP(LOOKUP(F510,X$1:X$35,A:A),Single!A$2:A$107,Table13[Saving]),0),IF( LOOKUP(F510,W$1:W$35,W$1:W$35) =
 F510,ROUND(G509*(1+IF($Q$18&lt;6,$R$14,IF($Q$18&lt;11,$R$15,$R$16)))^(1/12),0),G509*(1+IF($Q$18&lt;6,$R$14,IF($Q$18&lt;11,$R$15,$R$16)))^(1/12))),IF(LOOKUP(F510,X$1:X$35,X$1:X$35) = F510,ROUND(LOOKUP(LOOKUP(F510,X$1:X$35,A:A),'Annual Calculation'!A$2:A$107,Table1[Saving]),0),IF( LOOKUP(F510,W$1:W$35,W$1:W$35) =
 F510,ROUND(G509*(1+IF($Q$18&lt;6,$R$14,IF($Q$18&lt;11,$R$15,$R$16)))^(1/12),0),G509*(1+IF($Q$18&lt;6,$R$14,IF($Q$18&lt;11,$R$15,$R$16)))^(1/12))))</f>
        <v>0</v>
      </c>
    </row>
    <row r="511" spans="1:7">
      <c r="A511" s="348">
        <f t="shared" si="16"/>
        <v>510</v>
      </c>
      <c r="B511" s="360">
        <f>DATE('Profit Calculation'!J$6,A$2,A$2+A511-1)</f>
        <v>42514</v>
      </c>
      <c r="D511" s="362">
        <f t="shared" ca="1" si="15"/>
        <v>103887795.33919331</v>
      </c>
      <c r="F511" s="363">
        <f>DATE('Profit Calculation'!J$6,'Profit Calculation'!R$6+A511-1,'Profit Calculation'!Z$6)</f>
        <v>57589</v>
      </c>
      <c r="G511" s="364">
        <f ca="1">IF(Q$27=2,IF(LOOKUP(F511,X$1:X$35,X$1:X$35) = F511,ROUND(LOOKUP(LOOKUP(F511,X$1:X$35,A:A),Single!A$2:A$107,Table13[Saving]),0),IF( LOOKUP(F511,W$1:W$35,W$1:W$35) =
 F511,ROUND(G510*(1+IF($Q$18&lt;6,$R$14,IF($Q$18&lt;11,$R$15,$R$16)))^(1/12),0),G510*(1+IF($Q$18&lt;6,$R$14,IF($Q$18&lt;11,$R$15,$R$16)))^(1/12))),IF(LOOKUP(F511,X$1:X$35,X$1:X$35) = F511,ROUND(LOOKUP(LOOKUP(F511,X$1:X$35,A:A),'Annual Calculation'!A$2:A$107,Table1[Saving]),0),IF( LOOKUP(F511,W$1:W$35,W$1:W$35) =
 F511,ROUND(G510*(1+IF($Q$18&lt;6,$R$14,IF($Q$18&lt;11,$R$15,$R$16)))^(1/12),0),G510*(1+IF($Q$18&lt;6,$R$14,IF($Q$18&lt;11,$R$15,$R$16)))^(1/12))))</f>
        <v>0</v>
      </c>
    </row>
    <row r="512" spans="1:7">
      <c r="A512" s="348">
        <f t="shared" si="16"/>
        <v>511</v>
      </c>
      <c r="B512" s="360">
        <f>DATE('Profit Calculation'!J$6,A$2,A$2+A512-1)</f>
        <v>42515</v>
      </c>
      <c r="D512" s="362">
        <f t="shared" ca="1" si="15"/>
        <v>103927582.57277897</v>
      </c>
      <c r="F512" s="363">
        <f>DATE('Profit Calculation'!J$6,'Profit Calculation'!R$6+A512-1,'Profit Calculation'!Z$6)</f>
        <v>57619</v>
      </c>
      <c r="G512" s="364">
        <f ca="1">IF(Q$27=2,IF(LOOKUP(F512,X$1:X$35,X$1:X$35) = F512,ROUND(LOOKUP(LOOKUP(F512,X$1:X$35,A:A),Single!A$2:A$107,Table13[Saving]),0),IF( LOOKUP(F512,W$1:W$35,W$1:W$35) =
 F512,ROUND(G511*(1+IF($Q$18&lt;6,$R$14,IF($Q$18&lt;11,$R$15,$R$16)))^(1/12),0),G511*(1+IF($Q$18&lt;6,$R$14,IF($Q$18&lt;11,$R$15,$R$16)))^(1/12))),IF(LOOKUP(F512,X$1:X$35,X$1:X$35) = F512,ROUND(LOOKUP(LOOKUP(F512,X$1:X$35,A:A),'Annual Calculation'!A$2:A$107,Table1[Saving]),0),IF( LOOKUP(F512,W$1:W$35,W$1:W$35) =
 F512,ROUND(G511*(1+IF($Q$18&lt;6,$R$14,IF($Q$18&lt;11,$R$15,$R$16)))^(1/12),0),G511*(1+IF($Q$18&lt;6,$R$14,IF($Q$18&lt;11,$R$15,$R$16)))^(1/12))))</f>
        <v>0</v>
      </c>
    </row>
    <row r="513" spans="1:7">
      <c r="A513" s="348">
        <f t="shared" si="16"/>
        <v>512</v>
      </c>
      <c r="B513" s="360">
        <f>DATE('Profit Calculation'!J$6,A$2,A$2+A513-1)</f>
        <v>42516</v>
      </c>
      <c r="D513" s="362">
        <f t="shared" ca="1" si="15"/>
        <v>103967385.04418878</v>
      </c>
      <c r="F513" s="363">
        <f>DATE('Profit Calculation'!J$6,'Profit Calculation'!R$6+A513-1,'Profit Calculation'!Z$6)</f>
        <v>57650</v>
      </c>
      <c r="G513" s="364">
        <f ca="1">IF(Q$27=2,IF(LOOKUP(F513,X$1:X$35,X$1:X$35) = F513,ROUND(LOOKUP(LOOKUP(F513,X$1:X$35,A:A),Single!A$2:A$107,Table13[Saving]),0),IF( LOOKUP(F513,W$1:W$35,W$1:W$35) =
 F513,ROUND(G512*(1+IF($Q$18&lt;6,$R$14,IF($Q$18&lt;11,$R$15,$R$16)))^(1/12),0),G512*(1+IF($Q$18&lt;6,$R$14,IF($Q$18&lt;11,$R$15,$R$16)))^(1/12))),IF(LOOKUP(F513,X$1:X$35,X$1:X$35) = F513,ROUND(LOOKUP(LOOKUP(F513,X$1:X$35,A:A),'Annual Calculation'!A$2:A$107,Table1[Saving]),0),IF( LOOKUP(F513,W$1:W$35,W$1:W$35) =
 F513,ROUND(G512*(1+IF($Q$18&lt;6,$R$14,IF($Q$18&lt;11,$R$15,$R$16)))^(1/12),0),G512*(1+IF($Q$18&lt;6,$R$14,IF($Q$18&lt;11,$R$15,$R$16)))^(1/12))))</f>
        <v>0</v>
      </c>
    </row>
    <row r="514" spans="1:7">
      <c r="A514" s="348">
        <f t="shared" si="16"/>
        <v>513</v>
      </c>
      <c r="B514" s="360">
        <f>DATE('Profit Calculation'!J$6,A$2,A$2+A514-1)</f>
        <v>42517</v>
      </c>
      <c r="D514" s="362">
        <f t="shared" ca="1" si="15"/>
        <v>104007202.75925855</v>
      </c>
      <c r="F514" s="363">
        <f>DATE('Profit Calculation'!J$6,'Profit Calculation'!R$6+A514-1,'Profit Calculation'!Z$6)</f>
        <v>57680</v>
      </c>
      <c r="G514" s="364">
        <f ca="1">IF(Q$27=2,IF(LOOKUP(F514,X$1:X$35,X$1:X$35) = F514,ROUND(LOOKUP(LOOKUP(F514,X$1:X$35,A:A),Single!A$2:A$107,Table13[Saving]),0),IF( LOOKUP(F514,W$1:W$35,W$1:W$35) =
 F514,ROUND(G513*(1+IF($Q$18&lt;6,$R$14,IF($Q$18&lt;11,$R$15,$R$16)))^(1/12),0),G513*(1+IF($Q$18&lt;6,$R$14,IF($Q$18&lt;11,$R$15,$R$16)))^(1/12))),IF(LOOKUP(F514,X$1:X$35,X$1:X$35) = F514,ROUND(LOOKUP(LOOKUP(F514,X$1:X$35,A:A),'Annual Calculation'!A$2:A$107,Table1[Saving]),0),IF( LOOKUP(F514,W$1:W$35,W$1:W$35) =
 F514,ROUND(G513*(1+IF($Q$18&lt;6,$R$14,IF($Q$18&lt;11,$R$15,$R$16)))^(1/12),0),G513*(1+IF($Q$18&lt;6,$R$14,IF($Q$18&lt;11,$R$15,$R$16)))^(1/12))))</f>
        <v>0</v>
      </c>
    </row>
    <row r="515" spans="1:7">
      <c r="A515" s="348">
        <f t="shared" si="16"/>
        <v>514</v>
      </c>
      <c r="B515" s="360">
        <f>DATE('Profit Calculation'!J$6,A$2,A$2+A515-1)</f>
        <v>42518</v>
      </c>
      <c r="D515" s="362">
        <f t="shared" ca="1" si="15"/>
        <v>104047035.72382636</v>
      </c>
      <c r="F515" s="363">
        <f>DATE('Profit Calculation'!J$6,'Profit Calculation'!R$6+A515-1,'Profit Calculation'!Z$6)</f>
        <v>57711</v>
      </c>
      <c r="G515" s="364">
        <f ca="1">IF(Q$27=2,IF(LOOKUP(F515,X$1:X$35,X$1:X$35) = F515,ROUND(LOOKUP(LOOKUP(F515,X$1:X$35,A:A),Single!A$2:A$107,Table13[Saving]),0),IF( LOOKUP(F515,W$1:W$35,W$1:W$35) =
 F515,ROUND(G514*(1+IF($Q$18&lt;6,$R$14,IF($Q$18&lt;11,$R$15,$R$16)))^(1/12),0),G514*(1+IF($Q$18&lt;6,$R$14,IF($Q$18&lt;11,$R$15,$R$16)))^(1/12))),IF(LOOKUP(F515,X$1:X$35,X$1:X$35) = F515,ROUND(LOOKUP(LOOKUP(F515,X$1:X$35,A:A),'Annual Calculation'!A$2:A$107,Table1[Saving]),0),IF( LOOKUP(F515,W$1:W$35,W$1:W$35) =
 F515,ROUND(G514*(1+IF($Q$18&lt;6,$R$14,IF($Q$18&lt;11,$R$15,$R$16)))^(1/12),0),G514*(1+IF($Q$18&lt;6,$R$14,IF($Q$18&lt;11,$R$15,$R$16)))^(1/12))))</f>
        <v>0</v>
      </c>
    </row>
    <row r="516" spans="1:7">
      <c r="A516" s="348">
        <f t="shared" si="16"/>
        <v>515</v>
      </c>
      <c r="B516" s="360">
        <f>DATE('Profit Calculation'!J$6,A$2,A$2+A516-1)</f>
        <v>42519</v>
      </c>
      <c r="D516" s="362">
        <f t="shared" ref="D516:D579" ca="1" si="17">IF(OR(LOOKUP(B516,W$1:W$35,W$1:W$35) = B516, LOOKUP(B516,X$1:X$35,X$1:X$35) = B516),LOOKUP(B516,F:F,G:G),D515*(1+((IF($Q$18&lt;6,$R$14,IF($Q$18&lt;11,$R$15,$R$16)))))^(1/365))</f>
        <v>104086883.9437325</v>
      </c>
      <c r="F516" s="363">
        <f>DATE('Profit Calculation'!J$6,'Profit Calculation'!R$6+A516-1,'Profit Calculation'!Z$6)</f>
        <v>57742</v>
      </c>
      <c r="G516" s="364">
        <f ca="1">IF(Q$27=2,IF(LOOKUP(F516,X$1:X$35,X$1:X$35) = F516,ROUND(LOOKUP(LOOKUP(F516,X$1:X$35,A:A),Single!A$2:A$107,Table13[Saving]),0),IF( LOOKUP(F516,W$1:W$35,W$1:W$35) =
 F516,ROUND(G515*(1+IF($Q$18&lt;6,$R$14,IF($Q$18&lt;11,$R$15,$R$16)))^(1/12),0),G515*(1+IF($Q$18&lt;6,$R$14,IF($Q$18&lt;11,$R$15,$R$16)))^(1/12))),IF(LOOKUP(F516,X$1:X$35,X$1:X$35) = F516,ROUND(LOOKUP(LOOKUP(F516,X$1:X$35,A:A),'Annual Calculation'!A$2:A$107,Table1[Saving]),0),IF( LOOKUP(F516,W$1:W$35,W$1:W$35) =
 F516,ROUND(G515*(1+IF($Q$18&lt;6,$R$14,IF($Q$18&lt;11,$R$15,$R$16)))^(1/12),0),G515*(1+IF($Q$18&lt;6,$R$14,IF($Q$18&lt;11,$R$15,$R$16)))^(1/12))))</f>
        <v>0</v>
      </c>
    </row>
    <row r="517" spans="1:7">
      <c r="A517" s="348">
        <f t="shared" ref="A517:A580" si="18">A516+1</f>
        <v>516</v>
      </c>
      <c r="B517" s="360">
        <f>DATE('Profit Calculation'!J$6,A$2,A$2+A517-1)</f>
        <v>42520</v>
      </c>
      <c r="D517" s="362">
        <f t="shared" ca="1" si="17"/>
        <v>104126747.42481948</v>
      </c>
      <c r="F517" s="363">
        <f>DATE('Profit Calculation'!J$6,'Profit Calculation'!R$6+A517-1,'Profit Calculation'!Z$6)</f>
        <v>57770</v>
      </c>
      <c r="G517" s="364">
        <f ca="1">IF(Q$27=2,IF(LOOKUP(F517,X$1:X$35,X$1:X$35) = F517,ROUND(LOOKUP(LOOKUP(F517,X$1:X$35,A:A),Single!A$2:A$107,Table13[Saving]),0),IF( LOOKUP(F517,W$1:W$35,W$1:W$35) =
 F517,ROUND(G516*(1+IF($Q$18&lt;6,$R$14,IF($Q$18&lt;11,$R$15,$R$16)))^(1/12),0),G516*(1+IF($Q$18&lt;6,$R$14,IF($Q$18&lt;11,$R$15,$R$16)))^(1/12))),IF(LOOKUP(F517,X$1:X$35,X$1:X$35) = F517,ROUND(LOOKUP(LOOKUP(F517,X$1:X$35,A:A),'Annual Calculation'!A$2:A$107,Table1[Saving]),0),IF( LOOKUP(F517,W$1:W$35,W$1:W$35) =
 F517,ROUND(G516*(1+IF($Q$18&lt;6,$R$14,IF($Q$18&lt;11,$R$15,$R$16)))^(1/12),0),G516*(1+IF($Q$18&lt;6,$R$14,IF($Q$18&lt;11,$R$15,$R$16)))^(1/12))))</f>
        <v>0</v>
      </c>
    </row>
    <row r="518" spans="1:7">
      <c r="A518" s="348">
        <f t="shared" si="18"/>
        <v>517</v>
      </c>
      <c r="B518" s="360">
        <f>DATE('Profit Calculation'!J$6,A$2,A$2+A518-1)</f>
        <v>42521</v>
      </c>
      <c r="D518" s="362">
        <f t="shared" ca="1" si="17"/>
        <v>104166626.17293209</v>
      </c>
      <c r="F518" s="363">
        <f>DATE('Profit Calculation'!J$6,'Profit Calculation'!R$6+A518-1,'Profit Calculation'!Z$6)</f>
        <v>57801</v>
      </c>
      <c r="G518" s="364">
        <f ca="1">IF(Q$27=2,IF(LOOKUP(F518,X$1:X$35,X$1:X$35) = F518,ROUND(LOOKUP(LOOKUP(F518,X$1:X$35,A:A),Single!A$2:A$107,Table13[Saving]),0),IF( LOOKUP(F518,W$1:W$35,W$1:W$35) =
 F518,ROUND(G517*(1+IF($Q$18&lt;6,$R$14,IF($Q$18&lt;11,$R$15,$R$16)))^(1/12),0),G517*(1+IF($Q$18&lt;6,$R$14,IF($Q$18&lt;11,$R$15,$R$16)))^(1/12))),IF(LOOKUP(F518,X$1:X$35,X$1:X$35) = F518,ROUND(LOOKUP(LOOKUP(F518,X$1:X$35,A:A),'Annual Calculation'!A$2:A$107,Table1[Saving]),0),IF( LOOKUP(F518,W$1:W$35,W$1:W$35) =
 F518,ROUND(G517*(1+IF($Q$18&lt;6,$R$14,IF($Q$18&lt;11,$R$15,$R$16)))^(1/12),0),G517*(1+IF($Q$18&lt;6,$R$14,IF($Q$18&lt;11,$R$15,$R$16)))^(1/12))))</f>
        <v>0</v>
      </c>
    </row>
    <row r="519" spans="1:7">
      <c r="A519" s="348">
        <f t="shared" si="18"/>
        <v>518</v>
      </c>
      <c r="B519" s="360">
        <f>DATE('Profit Calculation'!J$6,A$2,A$2+A519-1)</f>
        <v>42522</v>
      </c>
      <c r="D519" s="362">
        <f t="shared" ca="1" si="17"/>
        <v>104206520.19391733</v>
      </c>
      <c r="F519" s="363">
        <f>DATE('Profit Calculation'!J$6,'Profit Calculation'!R$6+A519-1,'Profit Calculation'!Z$6)</f>
        <v>57831</v>
      </c>
      <c r="G519" s="364">
        <f ca="1">IF(Q$27=2,IF(LOOKUP(F519,X$1:X$35,X$1:X$35) = F519,ROUND(LOOKUP(LOOKUP(F519,X$1:X$35,A:A),Single!A$2:A$107,Table13[Saving]),0),IF( LOOKUP(F519,W$1:W$35,W$1:W$35) =
 F519,ROUND(G518*(1+IF($Q$18&lt;6,$R$14,IF($Q$18&lt;11,$R$15,$R$16)))^(1/12),0),G518*(1+IF($Q$18&lt;6,$R$14,IF($Q$18&lt;11,$R$15,$R$16)))^(1/12))),IF(LOOKUP(F519,X$1:X$35,X$1:X$35) = F519,ROUND(LOOKUP(LOOKUP(F519,X$1:X$35,A:A),'Annual Calculation'!A$2:A$107,Table1[Saving]),0),IF( LOOKUP(F519,W$1:W$35,W$1:W$35) =
 F519,ROUND(G518*(1+IF($Q$18&lt;6,$R$14,IF($Q$18&lt;11,$R$15,$R$16)))^(1/12),0),G518*(1+IF($Q$18&lt;6,$R$14,IF($Q$18&lt;11,$R$15,$R$16)))^(1/12))))</f>
        <v>0</v>
      </c>
    </row>
    <row r="520" spans="1:7">
      <c r="A520" s="348">
        <f t="shared" si="18"/>
        <v>519</v>
      </c>
      <c r="B520" s="360">
        <f>DATE('Profit Calculation'!J$6,A$2,A$2+A520-1)</f>
        <v>42523</v>
      </c>
      <c r="D520" s="362">
        <f t="shared" ca="1" si="17"/>
        <v>104246429.49362445</v>
      </c>
      <c r="F520" s="363">
        <f>DATE('Profit Calculation'!J$6,'Profit Calculation'!R$6+A520-1,'Profit Calculation'!Z$6)</f>
        <v>57862</v>
      </c>
      <c r="G520" s="364">
        <f ca="1">IF(Q$27=2,IF(LOOKUP(F520,X$1:X$35,X$1:X$35) = F520,ROUND(LOOKUP(LOOKUP(F520,X$1:X$35,A:A),Single!A$2:A$107,Table13[Saving]),0),IF( LOOKUP(F520,W$1:W$35,W$1:W$35) =
 F520,ROUND(G519*(1+IF($Q$18&lt;6,$R$14,IF($Q$18&lt;11,$R$15,$R$16)))^(1/12),0),G519*(1+IF($Q$18&lt;6,$R$14,IF($Q$18&lt;11,$R$15,$R$16)))^(1/12))),IF(LOOKUP(F520,X$1:X$35,X$1:X$35) = F520,ROUND(LOOKUP(LOOKUP(F520,X$1:X$35,A:A),'Annual Calculation'!A$2:A$107,Table1[Saving]),0),IF( LOOKUP(F520,W$1:W$35,W$1:W$35) =
 F520,ROUND(G519*(1+IF($Q$18&lt;6,$R$14,IF($Q$18&lt;11,$R$15,$R$16)))^(1/12),0),G519*(1+IF($Q$18&lt;6,$R$14,IF($Q$18&lt;11,$R$15,$R$16)))^(1/12))))</f>
        <v>0</v>
      </c>
    </row>
    <row r="521" spans="1:7">
      <c r="A521" s="348">
        <f t="shared" si="18"/>
        <v>520</v>
      </c>
      <c r="B521" s="360">
        <f>DATE('Profit Calculation'!J$6,A$2,A$2+A521-1)</f>
        <v>42524</v>
      </c>
      <c r="D521" s="362">
        <f t="shared" ca="1" si="17"/>
        <v>104286354.07790494</v>
      </c>
      <c r="F521" s="363">
        <f>DATE('Profit Calculation'!J$6,'Profit Calculation'!R$6+A521-1,'Profit Calculation'!Z$6)</f>
        <v>57892</v>
      </c>
      <c r="G521" s="364">
        <f ca="1">IF(Q$27=2,IF(LOOKUP(F521,X$1:X$35,X$1:X$35) = F521,ROUND(LOOKUP(LOOKUP(F521,X$1:X$35,A:A),Single!A$2:A$107,Table13[Saving]),0),IF( LOOKUP(F521,W$1:W$35,W$1:W$35) =
 F521,ROUND(G520*(1+IF($Q$18&lt;6,$R$14,IF($Q$18&lt;11,$R$15,$R$16)))^(1/12),0),G520*(1+IF($Q$18&lt;6,$R$14,IF($Q$18&lt;11,$R$15,$R$16)))^(1/12))),IF(LOOKUP(F521,X$1:X$35,X$1:X$35) = F521,ROUND(LOOKUP(LOOKUP(F521,X$1:X$35,A:A),'Annual Calculation'!A$2:A$107,Table1[Saving]),0),IF( LOOKUP(F521,W$1:W$35,W$1:W$35) =
 F521,ROUND(G520*(1+IF($Q$18&lt;6,$R$14,IF($Q$18&lt;11,$R$15,$R$16)))^(1/12),0),G520*(1+IF($Q$18&lt;6,$R$14,IF($Q$18&lt;11,$R$15,$R$16)))^(1/12))))</f>
        <v>0</v>
      </c>
    </row>
    <row r="522" spans="1:7">
      <c r="A522" s="348">
        <f t="shared" si="18"/>
        <v>521</v>
      </c>
      <c r="B522" s="360">
        <f>DATE('Profit Calculation'!J$6,A$2,A$2+A522-1)</f>
        <v>42525</v>
      </c>
      <c r="D522" s="362">
        <f t="shared" ca="1" si="17"/>
        <v>104326293.95261252</v>
      </c>
      <c r="F522" s="363">
        <f>DATE('Profit Calculation'!J$6,'Profit Calculation'!R$6+A522-1,'Profit Calculation'!Z$6)</f>
        <v>57923</v>
      </c>
      <c r="G522" s="364">
        <f ca="1">IF(Q$27=2,IF(LOOKUP(F522,X$1:X$35,X$1:X$35) = F522,ROUND(LOOKUP(LOOKUP(F522,X$1:X$35,A:A),Single!A$2:A$107,Table13[Saving]),0),IF( LOOKUP(F522,W$1:W$35,W$1:W$35) =
 F522,ROUND(G521*(1+IF($Q$18&lt;6,$R$14,IF($Q$18&lt;11,$R$15,$R$16)))^(1/12),0),G521*(1+IF($Q$18&lt;6,$R$14,IF($Q$18&lt;11,$R$15,$R$16)))^(1/12))),IF(LOOKUP(F522,X$1:X$35,X$1:X$35) = F522,ROUND(LOOKUP(LOOKUP(F522,X$1:X$35,A:A),'Annual Calculation'!A$2:A$107,Table1[Saving]),0),IF( LOOKUP(F522,W$1:W$35,W$1:W$35) =
 F522,ROUND(G521*(1+IF($Q$18&lt;6,$R$14,IF($Q$18&lt;11,$R$15,$R$16)))^(1/12),0),G521*(1+IF($Q$18&lt;6,$R$14,IF($Q$18&lt;11,$R$15,$R$16)))^(1/12))))</f>
        <v>0</v>
      </c>
    </row>
    <row r="523" spans="1:7">
      <c r="A523" s="348">
        <f t="shared" si="18"/>
        <v>522</v>
      </c>
      <c r="B523" s="360">
        <f>DATE('Profit Calculation'!J$6,A$2,A$2+A523-1)</f>
        <v>42526</v>
      </c>
      <c r="D523" s="362">
        <f t="shared" ca="1" si="17"/>
        <v>104366249.12360317</v>
      </c>
      <c r="F523" s="363">
        <f>DATE('Profit Calculation'!J$6,'Profit Calculation'!R$6+A523-1,'Profit Calculation'!Z$6)</f>
        <v>57954</v>
      </c>
      <c r="G523" s="364">
        <f ca="1">IF(Q$27=2,IF(LOOKUP(F523,X$1:X$35,X$1:X$35) = F523,ROUND(LOOKUP(LOOKUP(F523,X$1:X$35,A:A),Single!A$2:A$107,Table13[Saving]),0),IF( LOOKUP(F523,W$1:W$35,W$1:W$35) =
 F523,ROUND(G522*(1+IF($Q$18&lt;6,$R$14,IF($Q$18&lt;11,$R$15,$R$16)))^(1/12),0),G522*(1+IF($Q$18&lt;6,$R$14,IF($Q$18&lt;11,$R$15,$R$16)))^(1/12))),IF(LOOKUP(F523,X$1:X$35,X$1:X$35) = F523,ROUND(LOOKUP(LOOKUP(F523,X$1:X$35,A:A),'Annual Calculation'!A$2:A$107,Table1[Saving]),0),IF( LOOKUP(F523,W$1:W$35,W$1:W$35) =
 F523,ROUND(G522*(1+IF($Q$18&lt;6,$R$14,IF($Q$18&lt;11,$R$15,$R$16)))^(1/12),0),G522*(1+IF($Q$18&lt;6,$R$14,IF($Q$18&lt;11,$R$15,$R$16)))^(1/12))))</f>
        <v>0</v>
      </c>
    </row>
    <row r="524" spans="1:7">
      <c r="A524" s="348">
        <f t="shared" si="18"/>
        <v>523</v>
      </c>
      <c r="B524" s="360">
        <f>DATE('Profit Calculation'!J$6,A$2,A$2+A524-1)</f>
        <v>42527</v>
      </c>
      <c r="D524" s="362">
        <f t="shared" ca="1" si="17"/>
        <v>104406219.59673509</v>
      </c>
      <c r="F524" s="363">
        <f>DATE('Profit Calculation'!J$6,'Profit Calculation'!R$6+A524-1,'Profit Calculation'!Z$6)</f>
        <v>57984</v>
      </c>
      <c r="G524" s="364">
        <f ca="1">IF(Q$27=2,IF(LOOKUP(F524,X$1:X$35,X$1:X$35) = F524,ROUND(LOOKUP(LOOKUP(F524,X$1:X$35,A:A),Single!A$2:A$107,Table13[Saving]),0),IF( LOOKUP(F524,W$1:W$35,W$1:W$35) =
 F524,ROUND(G523*(1+IF($Q$18&lt;6,$R$14,IF($Q$18&lt;11,$R$15,$R$16)))^(1/12),0),G523*(1+IF($Q$18&lt;6,$R$14,IF($Q$18&lt;11,$R$15,$R$16)))^(1/12))),IF(LOOKUP(F524,X$1:X$35,X$1:X$35) = F524,ROUND(LOOKUP(LOOKUP(F524,X$1:X$35,A:A),'Annual Calculation'!A$2:A$107,Table1[Saving]),0),IF( LOOKUP(F524,W$1:W$35,W$1:W$35) =
 F524,ROUND(G523*(1+IF($Q$18&lt;6,$R$14,IF($Q$18&lt;11,$R$15,$R$16)))^(1/12),0),G523*(1+IF($Q$18&lt;6,$R$14,IF($Q$18&lt;11,$R$15,$R$16)))^(1/12))))</f>
        <v>0</v>
      </c>
    </row>
    <row r="525" spans="1:7">
      <c r="A525" s="348">
        <f t="shared" si="18"/>
        <v>524</v>
      </c>
      <c r="B525" s="360">
        <f>DATE('Profit Calculation'!J$6,A$2,A$2+A525-1)</f>
        <v>42528</v>
      </c>
      <c r="D525" s="362">
        <f t="shared" ca="1" si="17"/>
        <v>104446205.37786874</v>
      </c>
      <c r="F525" s="363">
        <f>DATE('Profit Calculation'!J$6,'Profit Calculation'!R$6+A525-1,'Profit Calculation'!Z$6)</f>
        <v>58015</v>
      </c>
      <c r="G525" s="364">
        <f ca="1">IF(Q$27=2,IF(LOOKUP(F525,X$1:X$35,X$1:X$35) = F525,ROUND(LOOKUP(LOOKUP(F525,X$1:X$35,A:A),Single!A$2:A$107,Table13[Saving]),0),IF( LOOKUP(F525,W$1:W$35,W$1:W$35) =
 F525,ROUND(G524*(1+IF($Q$18&lt;6,$R$14,IF($Q$18&lt;11,$R$15,$R$16)))^(1/12),0),G524*(1+IF($Q$18&lt;6,$R$14,IF($Q$18&lt;11,$R$15,$R$16)))^(1/12))),IF(LOOKUP(F525,X$1:X$35,X$1:X$35) = F525,ROUND(LOOKUP(LOOKUP(F525,X$1:X$35,A:A),'Annual Calculation'!A$2:A$107,Table1[Saving]),0),IF( LOOKUP(F525,W$1:W$35,W$1:W$35) =
 F525,ROUND(G524*(1+IF($Q$18&lt;6,$R$14,IF($Q$18&lt;11,$R$15,$R$16)))^(1/12),0),G524*(1+IF($Q$18&lt;6,$R$14,IF($Q$18&lt;11,$R$15,$R$16)))^(1/12))))</f>
        <v>0</v>
      </c>
    </row>
    <row r="526" spans="1:7">
      <c r="A526" s="348">
        <f t="shared" si="18"/>
        <v>525</v>
      </c>
      <c r="B526" s="360">
        <f>DATE('Profit Calculation'!J$6,A$2,A$2+A526-1)</f>
        <v>42529</v>
      </c>
      <c r="D526" s="362">
        <f t="shared" ca="1" si="17"/>
        <v>104486206.47286683</v>
      </c>
      <c r="F526" s="363">
        <f>DATE('Profit Calculation'!J$6,'Profit Calculation'!R$6+A526-1,'Profit Calculation'!Z$6)</f>
        <v>58045</v>
      </c>
      <c r="G526" s="364">
        <f ca="1">IF(Q$27=2,IF(LOOKUP(F526,X$1:X$35,X$1:X$35) = F526,ROUND(LOOKUP(LOOKUP(F526,X$1:X$35,A:A),Single!A$2:A$107,Table13[Saving]),0),IF( LOOKUP(F526,W$1:W$35,W$1:W$35) =
 F526,ROUND(G525*(1+IF($Q$18&lt;6,$R$14,IF($Q$18&lt;11,$R$15,$R$16)))^(1/12),0),G525*(1+IF($Q$18&lt;6,$R$14,IF($Q$18&lt;11,$R$15,$R$16)))^(1/12))),IF(LOOKUP(F526,X$1:X$35,X$1:X$35) = F526,ROUND(LOOKUP(LOOKUP(F526,X$1:X$35,A:A),'Annual Calculation'!A$2:A$107,Table1[Saving]),0),IF( LOOKUP(F526,W$1:W$35,W$1:W$35) =
 F526,ROUND(G525*(1+IF($Q$18&lt;6,$R$14,IF($Q$18&lt;11,$R$15,$R$16)))^(1/12),0),G525*(1+IF($Q$18&lt;6,$R$14,IF($Q$18&lt;11,$R$15,$R$16)))^(1/12))))</f>
        <v>0</v>
      </c>
    </row>
    <row r="527" spans="1:7">
      <c r="A527" s="348">
        <f t="shared" si="18"/>
        <v>526</v>
      </c>
      <c r="B527" s="360">
        <f>DATE('Profit Calculation'!J$6,A$2,A$2+A527-1)</f>
        <v>42530</v>
      </c>
      <c r="D527" s="362">
        <f t="shared" ca="1" si="17"/>
        <v>104526222.8875943</v>
      </c>
      <c r="F527" s="363">
        <f>DATE('Profit Calculation'!J$6,'Profit Calculation'!R$6+A527-1,'Profit Calculation'!Z$6)</f>
        <v>58076</v>
      </c>
      <c r="G527" s="364">
        <f ca="1">IF(Q$27=2,IF(LOOKUP(F527,X$1:X$35,X$1:X$35) = F527,ROUND(LOOKUP(LOOKUP(F527,X$1:X$35,A:A),Single!A$2:A$107,Table13[Saving]),0),IF( LOOKUP(F527,W$1:W$35,W$1:W$35) =
 F527,ROUND(G526*(1+IF($Q$18&lt;6,$R$14,IF($Q$18&lt;11,$R$15,$R$16)))^(1/12),0),G526*(1+IF($Q$18&lt;6,$R$14,IF($Q$18&lt;11,$R$15,$R$16)))^(1/12))),IF(LOOKUP(F527,X$1:X$35,X$1:X$35) = F527,ROUND(LOOKUP(LOOKUP(F527,X$1:X$35,A:A),'Annual Calculation'!A$2:A$107,Table1[Saving]),0),IF( LOOKUP(F527,W$1:W$35,W$1:W$35) =
 F527,ROUND(G526*(1+IF($Q$18&lt;6,$R$14,IF($Q$18&lt;11,$R$15,$R$16)))^(1/12),0),G526*(1+IF($Q$18&lt;6,$R$14,IF($Q$18&lt;11,$R$15,$R$16)))^(1/12))))</f>
        <v>0</v>
      </c>
    </row>
    <row r="528" spans="1:7">
      <c r="A528" s="348">
        <f t="shared" si="18"/>
        <v>527</v>
      </c>
      <c r="B528" s="360">
        <f>DATE('Profit Calculation'!J$6,A$2,A$2+A528-1)</f>
        <v>42531</v>
      </c>
      <c r="D528" s="362">
        <f t="shared" ca="1" si="17"/>
        <v>104566254.62791833</v>
      </c>
      <c r="F528" s="363">
        <f>DATE('Profit Calculation'!J$6,'Profit Calculation'!R$6+A528-1,'Profit Calculation'!Z$6)</f>
        <v>58107</v>
      </c>
      <c r="G528" s="364">
        <f ca="1">IF(Q$27=2,IF(LOOKUP(F528,X$1:X$35,X$1:X$35) = F528,ROUND(LOOKUP(LOOKUP(F528,X$1:X$35,A:A),Single!A$2:A$107,Table13[Saving]),0),IF( LOOKUP(F528,W$1:W$35,W$1:W$35) =
 F528,ROUND(G527*(1+IF($Q$18&lt;6,$R$14,IF($Q$18&lt;11,$R$15,$R$16)))^(1/12),0),G527*(1+IF($Q$18&lt;6,$R$14,IF($Q$18&lt;11,$R$15,$R$16)))^(1/12))),IF(LOOKUP(F528,X$1:X$35,X$1:X$35) = F528,ROUND(LOOKUP(LOOKUP(F528,X$1:X$35,A:A),'Annual Calculation'!A$2:A$107,Table1[Saving]),0),IF( LOOKUP(F528,W$1:W$35,W$1:W$35) =
 F528,ROUND(G527*(1+IF($Q$18&lt;6,$R$14,IF($Q$18&lt;11,$R$15,$R$16)))^(1/12),0),G527*(1+IF($Q$18&lt;6,$R$14,IF($Q$18&lt;11,$R$15,$R$16)))^(1/12))))</f>
        <v>0</v>
      </c>
    </row>
    <row r="529" spans="1:7">
      <c r="A529" s="348">
        <f t="shared" si="18"/>
        <v>528</v>
      </c>
      <c r="B529" s="360">
        <f>DATE('Profit Calculation'!J$6,A$2,A$2+A529-1)</f>
        <v>42532</v>
      </c>
      <c r="D529" s="362">
        <f t="shared" ca="1" si="17"/>
        <v>104606301.69970839</v>
      </c>
      <c r="F529" s="363">
        <f>DATE('Profit Calculation'!J$6,'Profit Calculation'!R$6+A529-1,'Profit Calculation'!Z$6)</f>
        <v>58135</v>
      </c>
      <c r="G529" s="364">
        <f ca="1">IF(Q$27=2,IF(LOOKUP(F529,X$1:X$35,X$1:X$35) = F529,ROUND(LOOKUP(LOOKUP(F529,X$1:X$35,A:A),Single!A$2:A$107,Table13[Saving]),0),IF( LOOKUP(F529,W$1:W$35,W$1:W$35) =
 F529,ROUND(G528*(1+IF($Q$18&lt;6,$R$14,IF($Q$18&lt;11,$R$15,$R$16)))^(1/12),0),G528*(1+IF($Q$18&lt;6,$R$14,IF($Q$18&lt;11,$R$15,$R$16)))^(1/12))),IF(LOOKUP(F529,X$1:X$35,X$1:X$35) = F529,ROUND(LOOKUP(LOOKUP(F529,X$1:X$35,A:A),'Annual Calculation'!A$2:A$107,Table1[Saving]),0),IF( LOOKUP(F529,W$1:W$35,W$1:W$35) =
 F529,ROUND(G528*(1+IF($Q$18&lt;6,$R$14,IF($Q$18&lt;11,$R$15,$R$16)))^(1/12),0),G528*(1+IF($Q$18&lt;6,$R$14,IF($Q$18&lt;11,$R$15,$R$16)))^(1/12))))</f>
        <v>0</v>
      </c>
    </row>
    <row r="530" spans="1:7">
      <c r="A530" s="348">
        <f t="shared" si="18"/>
        <v>529</v>
      </c>
      <c r="B530" s="360">
        <f>DATE('Profit Calculation'!J$6,A$2,A$2+A530-1)</f>
        <v>42533</v>
      </c>
      <c r="D530" s="362">
        <f t="shared" ca="1" si="17"/>
        <v>104646364.10883613</v>
      </c>
      <c r="F530" s="363">
        <f>DATE('Profit Calculation'!J$6,'Profit Calculation'!R$6+A530-1,'Profit Calculation'!Z$6)</f>
        <v>58166</v>
      </c>
      <c r="G530" s="364">
        <f ca="1">IF(Q$27=2,IF(LOOKUP(F530,X$1:X$35,X$1:X$35) = F530,ROUND(LOOKUP(LOOKUP(F530,X$1:X$35,A:A),Single!A$2:A$107,Table13[Saving]),0),IF( LOOKUP(F530,W$1:W$35,W$1:W$35) =
 F530,ROUND(G529*(1+IF($Q$18&lt;6,$R$14,IF($Q$18&lt;11,$R$15,$R$16)))^(1/12),0),G529*(1+IF($Q$18&lt;6,$R$14,IF($Q$18&lt;11,$R$15,$R$16)))^(1/12))),IF(LOOKUP(F530,X$1:X$35,X$1:X$35) = F530,ROUND(LOOKUP(LOOKUP(F530,X$1:X$35,A:A),'Annual Calculation'!A$2:A$107,Table1[Saving]),0),IF( LOOKUP(F530,W$1:W$35,W$1:W$35) =
 F530,ROUND(G529*(1+IF($Q$18&lt;6,$R$14,IF($Q$18&lt;11,$R$15,$R$16)))^(1/12),0),G529*(1+IF($Q$18&lt;6,$R$14,IF($Q$18&lt;11,$R$15,$R$16)))^(1/12))))</f>
        <v>0</v>
      </c>
    </row>
    <row r="531" spans="1:7">
      <c r="A531" s="348">
        <f t="shared" si="18"/>
        <v>530</v>
      </c>
      <c r="B531" s="360">
        <f>DATE('Profit Calculation'!J$6,A$2,A$2+A531-1)</f>
        <v>42534</v>
      </c>
      <c r="D531" s="362">
        <f t="shared" ca="1" si="17"/>
        <v>104686441.86117551</v>
      </c>
      <c r="F531" s="363">
        <f>DATE('Profit Calculation'!J$6,'Profit Calculation'!R$6+A531-1,'Profit Calculation'!Z$6)</f>
        <v>58196</v>
      </c>
      <c r="G531" s="364">
        <f ca="1">IF(Q$27=2,IF(LOOKUP(F531,X$1:X$35,X$1:X$35) = F531,ROUND(LOOKUP(LOOKUP(F531,X$1:X$35,A:A),Single!A$2:A$107,Table13[Saving]),0),IF( LOOKUP(F531,W$1:W$35,W$1:W$35) =
 F531,ROUND(G530*(1+IF($Q$18&lt;6,$R$14,IF($Q$18&lt;11,$R$15,$R$16)))^(1/12),0),G530*(1+IF($Q$18&lt;6,$R$14,IF($Q$18&lt;11,$R$15,$R$16)))^(1/12))),IF(LOOKUP(F531,X$1:X$35,X$1:X$35) = F531,ROUND(LOOKUP(LOOKUP(F531,X$1:X$35,A:A),'Annual Calculation'!A$2:A$107,Table1[Saving]),0),IF( LOOKUP(F531,W$1:W$35,W$1:W$35) =
 F531,ROUND(G530*(1+IF($Q$18&lt;6,$R$14,IF($Q$18&lt;11,$R$15,$R$16)))^(1/12),0),G530*(1+IF($Q$18&lt;6,$R$14,IF($Q$18&lt;11,$R$15,$R$16)))^(1/12))))</f>
        <v>0</v>
      </c>
    </row>
    <row r="532" spans="1:7">
      <c r="A532" s="348">
        <f t="shared" si="18"/>
        <v>531</v>
      </c>
      <c r="B532" s="360">
        <f>DATE('Profit Calculation'!J$6,A$2,A$2+A532-1)</f>
        <v>42535</v>
      </c>
      <c r="D532" s="362">
        <f t="shared" ca="1" si="17"/>
        <v>104726534.9626027</v>
      </c>
      <c r="F532" s="363">
        <f>DATE('Profit Calculation'!J$6,'Profit Calculation'!R$6+A532-1,'Profit Calculation'!Z$6)</f>
        <v>58227</v>
      </c>
      <c r="G532" s="364">
        <f ca="1">IF(Q$27=2,IF(LOOKUP(F532,X$1:X$35,X$1:X$35) = F532,ROUND(LOOKUP(LOOKUP(F532,X$1:X$35,A:A),Single!A$2:A$107,Table13[Saving]),0),IF( LOOKUP(F532,W$1:W$35,W$1:W$35) =
 F532,ROUND(G531*(1+IF($Q$18&lt;6,$R$14,IF($Q$18&lt;11,$R$15,$R$16)))^(1/12),0),G531*(1+IF($Q$18&lt;6,$R$14,IF($Q$18&lt;11,$R$15,$R$16)))^(1/12))),IF(LOOKUP(F532,X$1:X$35,X$1:X$35) = F532,ROUND(LOOKUP(LOOKUP(F532,X$1:X$35,A:A),'Annual Calculation'!A$2:A$107,Table1[Saving]),0),IF( LOOKUP(F532,W$1:W$35,W$1:W$35) =
 F532,ROUND(G531*(1+IF($Q$18&lt;6,$R$14,IF($Q$18&lt;11,$R$15,$R$16)))^(1/12),0),G531*(1+IF($Q$18&lt;6,$R$14,IF($Q$18&lt;11,$R$15,$R$16)))^(1/12))))</f>
        <v>0</v>
      </c>
    </row>
    <row r="533" spans="1:7">
      <c r="A533" s="348">
        <f t="shared" si="18"/>
        <v>532</v>
      </c>
      <c r="B533" s="360">
        <f>DATE('Profit Calculation'!J$6,A$2,A$2+A533-1)</f>
        <v>42536</v>
      </c>
      <c r="D533" s="362">
        <f t="shared" ca="1" si="17"/>
        <v>104766643.41899616</v>
      </c>
      <c r="F533" s="363">
        <f>DATE('Profit Calculation'!J$6,'Profit Calculation'!R$6+A533-1,'Profit Calculation'!Z$6)</f>
        <v>58257</v>
      </c>
      <c r="G533" s="364">
        <f ca="1">IF(Q$27=2,IF(LOOKUP(F533,X$1:X$35,X$1:X$35) = F533,ROUND(LOOKUP(LOOKUP(F533,X$1:X$35,A:A),Single!A$2:A$107,Table13[Saving]),0),IF( LOOKUP(F533,W$1:W$35,W$1:W$35) =
 F533,ROUND(G532*(1+IF($Q$18&lt;6,$R$14,IF($Q$18&lt;11,$R$15,$R$16)))^(1/12),0),G532*(1+IF($Q$18&lt;6,$R$14,IF($Q$18&lt;11,$R$15,$R$16)))^(1/12))),IF(LOOKUP(F533,X$1:X$35,X$1:X$35) = F533,ROUND(LOOKUP(LOOKUP(F533,X$1:X$35,A:A),'Annual Calculation'!A$2:A$107,Table1[Saving]),0),IF( LOOKUP(F533,W$1:W$35,W$1:W$35) =
 F533,ROUND(G532*(1+IF($Q$18&lt;6,$R$14,IF($Q$18&lt;11,$R$15,$R$16)))^(1/12),0),G532*(1+IF($Q$18&lt;6,$R$14,IF($Q$18&lt;11,$R$15,$R$16)))^(1/12))))</f>
        <v>0</v>
      </c>
    </row>
    <row r="534" spans="1:7">
      <c r="A534" s="348">
        <f t="shared" si="18"/>
        <v>533</v>
      </c>
      <c r="B534" s="360">
        <f>DATE('Profit Calculation'!J$6,A$2,A$2+A534-1)</f>
        <v>42537</v>
      </c>
      <c r="D534" s="362">
        <f t="shared" ca="1" si="17"/>
        <v>104806767.23623654</v>
      </c>
      <c r="F534" s="363">
        <f>DATE('Profit Calculation'!J$6,'Profit Calculation'!R$6+A534-1,'Profit Calculation'!Z$6)</f>
        <v>58288</v>
      </c>
      <c r="G534" s="364">
        <f ca="1">IF(Q$27=2,IF(LOOKUP(F534,X$1:X$35,X$1:X$35) = F534,ROUND(LOOKUP(LOOKUP(F534,X$1:X$35,A:A),Single!A$2:A$107,Table13[Saving]),0),IF( LOOKUP(F534,W$1:W$35,W$1:W$35) =
 F534,ROUND(G533*(1+IF($Q$18&lt;6,$R$14,IF($Q$18&lt;11,$R$15,$R$16)))^(1/12),0),G533*(1+IF($Q$18&lt;6,$R$14,IF($Q$18&lt;11,$R$15,$R$16)))^(1/12))),IF(LOOKUP(F534,X$1:X$35,X$1:X$35) = F534,ROUND(LOOKUP(LOOKUP(F534,X$1:X$35,A:A),'Annual Calculation'!A$2:A$107,Table1[Saving]),0),IF( LOOKUP(F534,W$1:W$35,W$1:W$35) =
 F534,ROUND(G533*(1+IF($Q$18&lt;6,$R$14,IF($Q$18&lt;11,$R$15,$R$16)))^(1/12),0),G533*(1+IF($Q$18&lt;6,$R$14,IF($Q$18&lt;11,$R$15,$R$16)))^(1/12))))</f>
        <v>0</v>
      </c>
    </row>
    <row r="535" spans="1:7">
      <c r="A535" s="348">
        <f t="shared" si="18"/>
        <v>534</v>
      </c>
      <c r="B535" s="360">
        <f>DATE('Profit Calculation'!J$6,A$2,A$2+A535-1)</f>
        <v>42538</v>
      </c>
      <c r="D535" s="362">
        <f t="shared" ca="1" si="17"/>
        <v>104846906.42020682</v>
      </c>
      <c r="F535" s="363">
        <f>DATE('Profit Calculation'!J$6,'Profit Calculation'!R$6+A535-1,'Profit Calculation'!Z$6)</f>
        <v>58319</v>
      </c>
      <c r="G535" s="364">
        <f ca="1">IF(Q$27=2,IF(LOOKUP(F535,X$1:X$35,X$1:X$35) = F535,ROUND(LOOKUP(LOOKUP(F535,X$1:X$35,A:A),Single!A$2:A$107,Table13[Saving]),0),IF( LOOKUP(F535,W$1:W$35,W$1:W$35) =
 F535,ROUND(G534*(1+IF($Q$18&lt;6,$R$14,IF($Q$18&lt;11,$R$15,$R$16)))^(1/12),0),G534*(1+IF($Q$18&lt;6,$R$14,IF($Q$18&lt;11,$R$15,$R$16)))^(1/12))),IF(LOOKUP(F535,X$1:X$35,X$1:X$35) = F535,ROUND(LOOKUP(LOOKUP(F535,X$1:X$35,A:A),'Annual Calculation'!A$2:A$107,Table1[Saving]),0),IF( LOOKUP(F535,W$1:W$35,W$1:W$35) =
 F535,ROUND(G534*(1+IF($Q$18&lt;6,$R$14,IF($Q$18&lt;11,$R$15,$R$16)))^(1/12),0),G534*(1+IF($Q$18&lt;6,$R$14,IF($Q$18&lt;11,$R$15,$R$16)))^(1/12))))</f>
        <v>0</v>
      </c>
    </row>
    <row r="536" spans="1:7">
      <c r="A536" s="348">
        <f t="shared" si="18"/>
        <v>535</v>
      </c>
      <c r="B536" s="360">
        <f>DATE('Profit Calculation'!J$6,A$2,A$2+A536-1)</f>
        <v>42539</v>
      </c>
      <c r="D536" s="362">
        <f t="shared" ca="1" si="17"/>
        <v>104887060.97679216</v>
      </c>
      <c r="F536" s="363">
        <f>DATE('Profit Calculation'!J$6,'Profit Calculation'!R$6+A536-1,'Profit Calculation'!Z$6)</f>
        <v>58349</v>
      </c>
      <c r="G536" s="364">
        <f ca="1">IF(Q$27=2,IF(LOOKUP(F536,X$1:X$35,X$1:X$35) = F536,ROUND(LOOKUP(LOOKUP(F536,X$1:X$35,A:A),Single!A$2:A$107,Table13[Saving]),0),IF( LOOKUP(F536,W$1:W$35,W$1:W$35) =
 F536,ROUND(G535*(1+IF($Q$18&lt;6,$R$14,IF($Q$18&lt;11,$R$15,$R$16)))^(1/12),0),G535*(1+IF($Q$18&lt;6,$R$14,IF($Q$18&lt;11,$R$15,$R$16)))^(1/12))),IF(LOOKUP(F536,X$1:X$35,X$1:X$35) = F536,ROUND(LOOKUP(LOOKUP(F536,X$1:X$35,A:A),'Annual Calculation'!A$2:A$107,Table1[Saving]),0),IF( LOOKUP(F536,W$1:W$35,W$1:W$35) =
 F536,ROUND(G535*(1+IF($Q$18&lt;6,$R$14,IF($Q$18&lt;11,$R$15,$R$16)))^(1/12),0),G535*(1+IF($Q$18&lt;6,$R$14,IF($Q$18&lt;11,$R$15,$R$16)))^(1/12))))</f>
        <v>0</v>
      </c>
    </row>
    <row r="537" spans="1:7">
      <c r="A537" s="348">
        <f t="shared" si="18"/>
        <v>536</v>
      </c>
      <c r="B537" s="360">
        <f>DATE('Profit Calculation'!J$6,A$2,A$2+A537-1)</f>
        <v>42540</v>
      </c>
      <c r="D537" s="362">
        <f t="shared" ca="1" si="17"/>
        <v>104927230.91188002</v>
      </c>
      <c r="F537" s="363">
        <f>DATE('Profit Calculation'!J$6,'Profit Calculation'!R$6+A537-1,'Profit Calculation'!Z$6)</f>
        <v>58380</v>
      </c>
      <c r="G537" s="364">
        <f ca="1">IF(Q$27=2,IF(LOOKUP(F537,X$1:X$35,X$1:X$35) = F537,ROUND(LOOKUP(LOOKUP(F537,X$1:X$35,A:A),Single!A$2:A$107,Table13[Saving]),0),IF( LOOKUP(F537,W$1:W$35,W$1:W$35) =
 F537,ROUND(G536*(1+IF($Q$18&lt;6,$R$14,IF($Q$18&lt;11,$R$15,$R$16)))^(1/12),0),G536*(1+IF($Q$18&lt;6,$R$14,IF($Q$18&lt;11,$R$15,$R$16)))^(1/12))),IF(LOOKUP(F537,X$1:X$35,X$1:X$35) = F537,ROUND(LOOKUP(LOOKUP(F537,X$1:X$35,A:A),'Annual Calculation'!A$2:A$107,Table1[Saving]),0),IF( LOOKUP(F537,W$1:W$35,W$1:W$35) =
 F537,ROUND(G536*(1+IF($Q$18&lt;6,$R$14,IF($Q$18&lt;11,$R$15,$R$16)))^(1/12),0),G536*(1+IF($Q$18&lt;6,$R$14,IF($Q$18&lt;11,$R$15,$R$16)))^(1/12))))</f>
        <v>0</v>
      </c>
    </row>
    <row r="538" spans="1:7">
      <c r="A538" s="348">
        <f t="shared" si="18"/>
        <v>537</v>
      </c>
      <c r="B538" s="360">
        <f>DATE('Profit Calculation'!J$6,A$2,A$2+A538-1)</f>
        <v>42541</v>
      </c>
      <c r="D538" s="362">
        <f t="shared" ca="1" si="17"/>
        <v>104967416.23136011</v>
      </c>
      <c r="F538" s="363">
        <f>DATE('Profit Calculation'!J$6,'Profit Calculation'!R$6+A538-1,'Profit Calculation'!Z$6)</f>
        <v>58410</v>
      </c>
      <c r="G538" s="364">
        <f ca="1">IF(Q$27=2,IF(LOOKUP(F538,X$1:X$35,X$1:X$35) = F538,ROUND(LOOKUP(LOOKUP(F538,X$1:X$35,A:A),Single!A$2:A$107,Table13[Saving]),0),IF( LOOKUP(F538,W$1:W$35,W$1:W$35) =
 F538,ROUND(G537*(1+IF($Q$18&lt;6,$R$14,IF($Q$18&lt;11,$R$15,$R$16)))^(1/12),0),G537*(1+IF($Q$18&lt;6,$R$14,IF($Q$18&lt;11,$R$15,$R$16)))^(1/12))),IF(LOOKUP(F538,X$1:X$35,X$1:X$35) = F538,ROUND(LOOKUP(LOOKUP(F538,X$1:X$35,A:A),'Annual Calculation'!A$2:A$107,Table1[Saving]),0),IF( LOOKUP(F538,W$1:W$35,W$1:W$35) =
 F538,ROUND(G537*(1+IF($Q$18&lt;6,$R$14,IF($Q$18&lt;11,$R$15,$R$16)))^(1/12),0),G537*(1+IF($Q$18&lt;6,$R$14,IF($Q$18&lt;11,$R$15,$R$16)))^(1/12))))</f>
        <v>0</v>
      </c>
    </row>
    <row r="539" spans="1:7">
      <c r="A539" s="348">
        <f t="shared" si="18"/>
        <v>538</v>
      </c>
      <c r="B539" s="360">
        <f>DATE('Profit Calculation'!J$6,A$2,A$2+A539-1)</f>
        <v>42542</v>
      </c>
      <c r="D539" s="362">
        <f t="shared" ca="1" si="17"/>
        <v>105007616.94112436</v>
      </c>
      <c r="F539" s="363">
        <f>DATE('Profit Calculation'!J$6,'Profit Calculation'!R$6+A539-1,'Profit Calculation'!Z$6)</f>
        <v>58441</v>
      </c>
      <c r="G539" s="364">
        <f ca="1">IF(Q$27=2,IF(LOOKUP(F539,X$1:X$35,X$1:X$35) = F539,ROUND(LOOKUP(LOOKUP(F539,X$1:X$35,A:A),Single!A$2:A$107,Table13[Saving]),0),IF( LOOKUP(F539,W$1:W$35,W$1:W$35) =
 F539,ROUND(G538*(1+IF($Q$18&lt;6,$R$14,IF($Q$18&lt;11,$R$15,$R$16)))^(1/12),0),G538*(1+IF($Q$18&lt;6,$R$14,IF($Q$18&lt;11,$R$15,$R$16)))^(1/12))),IF(LOOKUP(F539,X$1:X$35,X$1:X$35) = F539,ROUND(LOOKUP(LOOKUP(F539,X$1:X$35,A:A),'Annual Calculation'!A$2:A$107,Table1[Saving]),0),IF( LOOKUP(F539,W$1:W$35,W$1:W$35) =
 F539,ROUND(G538*(1+IF($Q$18&lt;6,$R$14,IF($Q$18&lt;11,$R$15,$R$16)))^(1/12),0),G538*(1+IF($Q$18&lt;6,$R$14,IF($Q$18&lt;11,$R$15,$R$16)))^(1/12))))</f>
        <v>0</v>
      </c>
    </row>
    <row r="540" spans="1:7">
      <c r="A540" s="348">
        <f t="shared" si="18"/>
        <v>539</v>
      </c>
      <c r="B540" s="360">
        <f>DATE('Profit Calculation'!J$6,A$2,A$2+A540-1)</f>
        <v>42543</v>
      </c>
      <c r="D540" s="362">
        <f t="shared" ca="1" si="17"/>
        <v>105047833.04706702</v>
      </c>
      <c r="F540" s="363">
        <f>DATE('Profit Calculation'!J$6,'Profit Calculation'!R$6+A540-1,'Profit Calculation'!Z$6)</f>
        <v>58472</v>
      </c>
      <c r="G540" s="364">
        <f ca="1">IF(Q$27=2,IF(LOOKUP(F540,X$1:X$35,X$1:X$35) = F540,ROUND(LOOKUP(LOOKUP(F540,X$1:X$35,A:A),Single!A$2:A$107,Table13[Saving]),0),IF( LOOKUP(F540,W$1:W$35,W$1:W$35) =
 F540,ROUND(G539*(1+IF($Q$18&lt;6,$R$14,IF($Q$18&lt;11,$R$15,$R$16)))^(1/12),0),G539*(1+IF($Q$18&lt;6,$R$14,IF($Q$18&lt;11,$R$15,$R$16)))^(1/12))),IF(LOOKUP(F540,X$1:X$35,X$1:X$35) = F540,ROUND(LOOKUP(LOOKUP(F540,X$1:X$35,A:A),'Annual Calculation'!A$2:A$107,Table1[Saving]),0),IF( LOOKUP(F540,W$1:W$35,W$1:W$35) =
 F540,ROUND(G539*(1+IF($Q$18&lt;6,$R$14,IF($Q$18&lt;11,$R$15,$R$16)))^(1/12),0),G539*(1+IF($Q$18&lt;6,$R$14,IF($Q$18&lt;11,$R$15,$R$16)))^(1/12))))</f>
        <v>0</v>
      </c>
    </row>
    <row r="541" spans="1:7">
      <c r="A541" s="348">
        <f t="shared" si="18"/>
        <v>540</v>
      </c>
      <c r="B541" s="360">
        <f>DATE('Profit Calculation'!J$6,A$2,A$2+A541-1)</f>
        <v>42544</v>
      </c>
      <c r="D541" s="362">
        <f t="shared" ca="1" si="17"/>
        <v>105088064.55508453</v>
      </c>
      <c r="F541" s="363">
        <f>DATE('Profit Calculation'!J$6,'Profit Calculation'!R$6+A541-1,'Profit Calculation'!Z$6)</f>
        <v>58501</v>
      </c>
      <c r="G541" s="364">
        <f ca="1">IF(Q$27=2,IF(LOOKUP(F541,X$1:X$35,X$1:X$35) = F541,ROUND(LOOKUP(LOOKUP(F541,X$1:X$35,A:A),Single!A$2:A$107,Table13[Saving]),0),IF( LOOKUP(F541,W$1:W$35,W$1:W$35) =
 F541,ROUND(G540*(1+IF($Q$18&lt;6,$R$14,IF($Q$18&lt;11,$R$15,$R$16)))^(1/12),0),G540*(1+IF($Q$18&lt;6,$R$14,IF($Q$18&lt;11,$R$15,$R$16)))^(1/12))),IF(LOOKUP(F541,X$1:X$35,X$1:X$35) = F541,ROUND(LOOKUP(LOOKUP(F541,X$1:X$35,A:A),'Annual Calculation'!A$2:A$107,Table1[Saving]),0),IF( LOOKUP(F541,W$1:W$35,W$1:W$35) =
 F541,ROUND(G540*(1+IF($Q$18&lt;6,$R$14,IF($Q$18&lt;11,$R$15,$R$16)))^(1/12),0),G540*(1+IF($Q$18&lt;6,$R$14,IF($Q$18&lt;11,$R$15,$R$16)))^(1/12))))</f>
        <v>0</v>
      </c>
    </row>
    <row r="542" spans="1:7">
      <c r="A542" s="348">
        <f t="shared" si="18"/>
        <v>541</v>
      </c>
      <c r="B542" s="360">
        <f>DATE('Profit Calculation'!J$6,A$2,A$2+A542-1)</f>
        <v>42545</v>
      </c>
      <c r="D542" s="362">
        <f t="shared" ca="1" si="17"/>
        <v>105128311.47107564</v>
      </c>
      <c r="F542" s="363">
        <f>DATE('Profit Calculation'!J$6,'Profit Calculation'!R$6+A542-1,'Profit Calculation'!Z$6)</f>
        <v>58532</v>
      </c>
      <c r="G542" s="364">
        <f ca="1">IF(Q$27=2,IF(LOOKUP(F542,X$1:X$35,X$1:X$35) = F542,ROUND(LOOKUP(LOOKUP(F542,X$1:X$35,A:A),Single!A$2:A$107,Table13[Saving]),0),IF( LOOKUP(F542,W$1:W$35,W$1:W$35) =
 F542,ROUND(G541*(1+IF($Q$18&lt;6,$R$14,IF($Q$18&lt;11,$R$15,$R$16)))^(1/12),0),G541*(1+IF($Q$18&lt;6,$R$14,IF($Q$18&lt;11,$R$15,$R$16)))^(1/12))),IF(LOOKUP(F542,X$1:X$35,X$1:X$35) = F542,ROUND(LOOKUP(LOOKUP(F542,X$1:X$35,A:A),'Annual Calculation'!A$2:A$107,Table1[Saving]),0),IF( LOOKUP(F542,W$1:W$35,W$1:W$35) =
 F542,ROUND(G541*(1+IF($Q$18&lt;6,$R$14,IF($Q$18&lt;11,$R$15,$R$16)))^(1/12),0),G541*(1+IF($Q$18&lt;6,$R$14,IF($Q$18&lt;11,$R$15,$R$16)))^(1/12))))</f>
        <v>0</v>
      </c>
    </row>
    <row r="543" spans="1:7">
      <c r="A543" s="348">
        <f t="shared" si="18"/>
        <v>542</v>
      </c>
      <c r="B543" s="360">
        <f>DATE('Profit Calculation'!J$6,A$2,A$2+A543-1)</f>
        <v>42546</v>
      </c>
      <c r="D543" s="362">
        <f t="shared" ca="1" si="17"/>
        <v>105168573.80094132</v>
      </c>
      <c r="F543" s="363">
        <f>DATE('Profit Calculation'!J$6,'Profit Calculation'!R$6+A543-1,'Profit Calculation'!Z$6)</f>
        <v>58562</v>
      </c>
      <c r="G543" s="364">
        <f ca="1">IF(Q$27=2,IF(LOOKUP(F543,X$1:X$35,X$1:X$35) = F543,ROUND(LOOKUP(LOOKUP(F543,X$1:X$35,A:A),Single!A$2:A$107,Table13[Saving]),0),IF( LOOKUP(F543,W$1:W$35,W$1:W$35) =
 F543,ROUND(G542*(1+IF($Q$18&lt;6,$R$14,IF($Q$18&lt;11,$R$15,$R$16)))^(1/12),0),G542*(1+IF($Q$18&lt;6,$R$14,IF($Q$18&lt;11,$R$15,$R$16)))^(1/12))),IF(LOOKUP(F543,X$1:X$35,X$1:X$35) = F543,ROUND(LOOKUP(LOOKUP(F543,X$1:X$35,A:A),'Annual Calculation'!A$2:A$107,Table1[Saving]),0),IF( LOOKUP(F543,W$1:W$35,W$1:W$35) =
 F543,ROUND(G542*(1+IF($Q$18&lt;6,$R$14,IF($Q$18&lt;11,$R$15,$R$16)))^(1/12),0),G542*(1+IF($Q$18&lt;6,$R$14,IF($Q$18&lt;11,$R$15,$R$16)))^(1/12))))</f>
        <v>0</v>
      </c>
    </row>
    <row r="544" spans="1:7">
      <c r="A544" s="348">
        <f t="shared" si="18"/>
        <v>543</v>
      </c>
      <c r="B544" s="360">
        <f>DATE('Profit Calculation'!J$6,A$2,A$2+A544-1)</f>
        <v>42547</v>
      </c>
      <c r="D544" s="362">
        <f t="shared" ca="1" si="17"/>
        <v>105208851.55058484</v>
      </c>
      <c r="F544" s="363">
        <f>DATE('Profit Calculation'!J$6,'Profit Calculation'!R$6+A544-1,'Profit Calculation'!Z$6)</f>
        <v>58593</v>
      </c>
      <c r="G544" s="364">
        <f ca="1">IF(Q$27=2,IF(LOOKUP(F544,X$1:X$35,X$1:X$35) = F544,ROUND(LOOKUP(LOOKUP(F544,X$1:X$35,A:A),Single!A$2:A$107,Table13[Saving]),0),IF( LOOKUP(F544,W$1:W$35,W$1:W$35) =
 F544,ROUND(G543*(1+IF($Q$18&lt;6,$R$14,IF($Q$18&lt;11,$R$15,$R$16)))^(1/12),0),G543*(1+IF($Q$18&lt;6,$R$14,IF($Q$18&lt;11,$R$15,$R$16)))^(1/12))),IF(LOOKUP(F544,X$1:X$35,X$1:X$35) = F544,ROUND(LOOKUP(LOOKUP(F544,X$1:X$35,A:A),'Annual Calculation'!A$2:A$107,Table1[Saving]),0),IF( LOOKUP(F544,W$1:W$35,W$1:W$35) =
 F544,ROUND(G543*(1+IF($Q$18&lt;6,$R$14,IF($Q$18&lt;11,$R$15,$R$16)))^(1/12),0),G543*(1+IF($Q$18&lt;6,$R$14,IF($Q$18&lt;11,$R$15,$R$16)))^(1/12))))</f>
        <v>0</v>
      </c>
    </row>
    <row r="545" spans="1:7">
      <c r="A545" s="348">
        <f t="shared" si="18"/>
        <v>544</v>
      </c>
      <c r="B545" s="360">
        <f>DATE('Profit Calculation'!J$6,A$2,A$2+A545-1)</f>
        <v>42548</v>
      </c>
      <c r="D545" s="362">
        <f t="shared" ca="1" si="17"/>
        <v>105249144.72591169</v>
      </c>
      <c r="F545" s="363">
        <f>DATE('Profit Calculation'!J$6,'Profit Calculation'!R$6+A545-1,'Profit Calculation'!Z$6)</f>
        <v>58623</v>
      </c>
      <c r="G545" s="364">
        <f ca="1">IF(Q$27=2,IF(LOOKUP(F545,X$1:X$35,X$1:X$35) = F545,ROUND(LOOKUP(LOOKUP(F545,X$1:X$35,A:A),Single!A$2:A$107,Table13[Saving]),0),IF( LOOKUP(F545,W$1:W$35,W$1:W$35) =
 F545,ROUND(G544*(1+IF($Q$18&lt;6,$R$14,IF($Q$18&lt;11,$R$15,$R$16)))^(1/12),0),G544*(1+IF($Q$18&lt;6,$R$14,IF($Q$18&lt;11,$R$15,$R$16)))^(1/12))),IF(LOOKUP(F545,X$1:X$35,X$1:X$35) = F545,ROUND(LOOKUP(LOOKUP(F545,X$1:X$35,A:A),'Annual Calculation'!A$2:A$107,Table1[Saving]),0),IF( LOOKUP(F545,W$1:W$35,W$1:W$35) =
 F545,ROUND(G544*(1+IF($Q$18&lt;6,$R$14,IF($Q$18&lt;11,$R$15,$R$16)))^(1/12),0),G544*(1+IF($Q$18&lt;6,$R$14,IF($Q$18&lt;11,$R$15,$R$16)))^(1/12))))</f>
        <v>0</v>
      </c>
    </row>
    <row r="546" spans="1:7">
      <c r="A546" s="348">
        <f t="shared" si="18"/>
        <v>545</v>
      </c>
      <c r="B546" s="360">
        <f>DATE('Profit Calculation'!J$6,A$2,A$2+A546-1)</f>
        <v>42549</v>
      </c>
      <c r="D546" s="362">
        <f t="shared" ca="1" si="17"/>
        <v>105289453.33282965</v>
      </c>
      <c r="F546" s="363">
        <f>DATE('Profit Calculation'!J$6,'Profit Calculation'!R$6+A546-1,'Profit Calculation'!Z$6)</f>
        <v>58654</v>
      </c>
      <c r="G546" s="364">
        <f ca="1">IF(Q$27=2,IF(LOOKUP(F546,X$1:X$35,X$1:X$35) = F546,ROUND(LOOKUP(LOOKUP(F546,X$1:X$35,A:A),Single!A$2:A$107,Table13[Saving]),0),IF( LOOKUP(F546,W$1:W$35,W$1:W$35) =
 F546,ROUND(G545*(1+IF($Q$18&lt;6,$R$14,IF($Q$18&lt;11,$R$15,$R$16)))^(1/12),0),G545*(1+IF($Q$18&lt;6,$R$14,IF($Q$18&lt;11,$R$15,$R$16)))^(1/12))),IF(LOOKUP(F546,X$1:X$35,X$1:X$35) = F546,ROUND(LOOKUP(LOOKUP(F546,X$1:X$35,A:A),'Annual Calculation'!A$2:A$107,Table1[Saving]),0),IF( LOOKUP(F546,W$1:W$35,W$1:W$35) =
 F546,ROUND(G545*(1+IF($Q$18&lt;6,$R$14,IF($Q$18&lt;11,$R$15,$R$16)))^(1/12),0),G545*(1+IF($Q$18&lt;6,$R$14,IF($Q$18&lt;11,$R$15,$R$16)))^(1/12))))</f>
        <v>0</v>
      </c>
    </row>
    <row r="547" spans="1:7">
      <c r="A547" s="348">
        <f t="shared" si="18"/>
        <v>546</v>
      </c>
      <c r="B547" s="360">
        <f>DATE('Profit Calculation'!J$6,A$2,A$2+A547-1)</f>
        <v>42550</v>
      </c>
      <c r="D547" s="362">
        <f t="shared" ca="1" si="17"/>
        <v>105329777.37724875</v>
      </c>
      <c r="F547" s="363">
        <f>DATE('Profit Calculation'!J$6,'Profit Calculation'!R$6+A547-1,'Profit Calculation'!Z$6)</f>
        <v>58685</v>
      </c>
      <c r="G547" s="364">
        <f ca="1">IF(Q$27=2,IF(LOOKUP(F547,X$1:X$35,X$1:X$35) = F547,ROUND(LOOKUP(LOOKUP(F547,X$1:X$35,A:A),Single!A$2:A$107,Table13[Saving]),0),IF( LOOKUP(F547,W$1:W$35,W$1:W$35) =
 F547,ROUND(G546*(1+IF($Q$18&lt;6,$R$14,IF($Q$18&lt;11,$R$15,$R$16)))^(1/12),0),G546*(1+IF($Q$18&lt;6,$R$14,IF($Q$18&lt;11,$R$15,$R$16)))^(1/12))),IF(LOOKUP(F547,X$1:X$35,X$1:X$35) = F547,ROUND(LOOKUP(LOOKUP(F547,X$1:X$35,A:A),'Annual Calculation'!A$2:A$107,Table1[Saving]),0),IF( LOOKUP(F547,W$1:W$35,W$1:W$35) =
 F547,ROUND(G546*(1+IF($Q$18&lt;6,$R$14,IF($Q$18&lt;11,$R$15,$R$16)))^(1/12),0),G546*(1+IF($Q$18&lt;6,$R$14,IF($Q$18&lt;11,$R$15,$R$16)))^(1/12))))</f>
        <v>0</v>
      </c>
    </row>
    <row r="548" spans="1:7">
      <c r="A548" s="348">
        <f t="shared" si="18"/>
        <v>547</v>
      </c>
      <c r="B548" s="360">
        <f>DATE('Profit Calculation'!J$6,A$2,A$2+A548-1)</f>
        <v>42551</v>
      </c>
      <c r="D548" s="362">
        <f t="shared" ca="1" si="17"/>
        <v>105370116.86508128</v>
      </c>
      <c r="F548" s="363">
        <f>DATE('Profit Calculation'!J$6,'Profit Calculation'!R$6+A548-1,'Profit Calculation'!Z$6)</f>
        <v>58715</v>
      </c>
      <c r="G548" s="364">
        <f ca="1">IF(Q$27=2,IF(LOOKUP(F548,X$1:X$35,X$1:X$35) = F548,ROUND(LOOKUP(LOOKUP(F548,X$1:X$35,A:A),Single!A$2:A$107,Table13[Saving]),0),IF( LOOKUP(F548,W$1:W$35,W$1:W$35) =
 F548,ROUND(G547*(1+IF($Q$18&lt;6,$R$14,IF($Q$18&lt;11,$R$15,$R$16)))^(1/12),0),G547*(1+IF($Q$18&lt;6,$R$14,IF($Q$18&lt;11,$R$15,$R$16)))^(1/12))),IF(LOOKUP(F548,X$1:X$35,X$1:X$35) = F548,ROUND(LOOKUP(LOOKUP(F548,X$1:X$35,A:A),'Annual Calculation'!A$2:A$107,Table1[Saving]),0),IF( LOOKUP(F548,W$1:W$35,W$1:W$35) =
 F548,ROUND(G547*(1+IF($Q$18&lt;6,$R$14,IF($Q$18&lt;11,$R$15,$R$16)))^(1/12),0),G547*(1+IF($Q$18&lt;6,$R$14,IF($Q$18&lt;11,$R$15,$R$16)))^(1/12))))</f>
        <v>0</v>
      </c>
    </row>
    <row r="549" spans="1:7">
      <c r="A549" s="348">
        <f t="shared" si="18"/>
        <v>548</v>
      </c>
      <c r="B549" s="360">
        <f>DATE('Profit Calculation'!J$6,A$2,A$2+A549-1)</f>
        <v>42552</v>
      </c>
      <c r="D549" s="362">
        <f t="shared" ca="1" si="17"/>
        <v>105410471.80224182</v>
      </c>
      <c r="F549" s="363">
        <f>DATE('Profit Calculation'!J$6,'Profit Calculation'!R$6+A549-1,'Profit Calculation'!Z$6)</f>
        <v>58746</v>
      </c>
      <c r="G549" s="364">
        <f ca="1">IF(Q$27=2,IF(LOOKUP(F549,X$1:X$35,X$1:X$35) = F549,ROUND(LOOKUP(LOOKUP(F549,X$1:X$35,A:A),Single!A$2:A$107,Table13[Saving]),0),IF( LOOKUP(F549,W$1:W$35,W$1:W$35) =
 F549,ROUND(G548*(1+IF($Q$18&lt;6,$R$14,IF($Q$18&lt;11,$R$15,$R$16)))^(1/12),0),G548*(1+IF($Q$18&lt;6,$R$14,IF($Q$18&lt;11,$R$15,$R$16)))^(1/12))),IF(LOOKUP(F549,X$1:X$35,X$1:X$35) = F549,ROUND(LOOKUP(LOOKUP(F549,X$1:X$35,A:A),'Annual Calculation'!A$2:A$107,Table1[Saving]),0),IF( LOOKUP(F549,W$1:W$35,W$1:W$35) =
 F549,ROUND(G548*(1+IF($Q$18&lt;6,$R$14,IF($Q$18&lt;11,$R$15,$R$16)))^(1/12),0),G548*(1+IF($Q$18&lt;6,$R$14,IF($Q$18&lt;11,$R$15,$R$16)))^(1/12))))</f>
        <v>0</v>
      </c>
    </row>
    <row r="550" spans="1:7">
      <c r="A550" s="348">
        <f t="shared" si="18"/>
        <v>549</v>
      </c>
      <c r="B550" s="360">
        <f>DATE('Profit Calculation'!J$6,A$2,A$2+A550-1)</f>
        <v>42553</v>
      </c>
      <c r="D550" s="362">
        <f t="shared" ca="1" si="17"/>
        <v>105450842.19464716</v>
      </c>
      <c r="F550" s="363">
        <f>DATE('Profit Calculation'!J$6,'Profit Calculation'!R$6+A550-1,'Profit Calculation'!Z$6)</f>
        <v>58776</v>
      </c>
      <c r="G550" s="364">
        <f ca="1">IF(Q$27=2,IF(LOOKUP(F550,X$1:X$35,X$1:X$35) = F550,ROUND(LOOKUP(LOOKUP(F550,X$1:X$35,A:A),Single!A$2:A$107,Table13[Saving]),0),IF( LOOKUP(F550,W$1:W$35,W$1:W$35) =
 F550,ROUND(G549*(1+IF($Q$18&lt;6,$R$14,IF($Q$18&lt;11,$R$15,$R$16)))^(1/12),0),G549*(1+IF($Q$18&lt;6,$R$14,IF($Q$18&lt;11,$R$15,$R$16)))^(1/12))),IF(LOOKUP(F550,X$1:X$35,X$1:X$35) = F550,ROUND(LOOKUP(LOOKUP(F550,X$1:X$35,A:A),'Annual Calculation'!A$2:A$107,Table1[Saving]),0),IF( LOOKUP(F550,W$1:W$35,W$1:W$35) =
 F550,ROUND(G549*(1+IF($Q$18&lt;6,$R$14,IF($Q$18&lt;11,$R$15,$R$16)))^(1/12),0),G549*(1+IF($Q$18&lt;6,$R$14,IF($Q$18&lt;11,$R$15,$R$16)))^(1/12))))</f>
        <v>0</v>
      </c>
    </row>
    <row r="551" spans="1:7">
      <c r="A551" s="348">
        <f t="shared" si="18"/>
        <v>550</v>
      </c>
      <c r="B551" s="360">
        <f>DATE('Profit Calculation'!J$6,A$2,A$2+A551-1)</f>
        <v>42554</v>
      </c>
      <c r="D551" s="362">
        <f t="shared" ca="1" si="17"/>
        <v>105491228.04821643</v>
      </c>
      <c r="F551" s="363">
        <f>DATE('Profit Calculation'!J$6,'Profit Calculation'!R$6+A551-1,'Profit Calculation'!Z$6)</f>
        <v>58807</v>
      </c>
      <c r="G551" s="364">
        <f ca="1">IF(Q$27=2,IF(LOOKUP(F551,X$1:X$35,X$1:X$35) = F551,ROUND(LOOKUP(LOOKUP(F551,X$1:X$35,A:A),Single!A$2:A$107,Table13[Saving]),0),IF( LOOKUP(F551,W$1:W$35,W$1:W$35) =
 F551,ROUND(G550*(1+IF($Q$18&lt;6,$R$14,IF($Q$18&lt;11,$R$15,$R$16)))^(1/12),0),G550*(1+IF($Q$18&lt;6,$R$14,IF($Q$18&lt;11,$R$15,$R$16)))^(1/12))),IF(LOOKUP(F551,X$1:X$35,X$1:X$35) = F551,ROUND(LOOKUP(LOOKUP(F551,X$1:X$35,A:A),'Annual Calculation'!A$2:A$107,Table1[Saving]),0),IF( LOOKUP(F551,W$1:W$35,W$1:W$35) =
 F551,ROUND(G550*(1+IF($Q$18&lt;6,$R$14,IF($Q$18&lt;11,$R$15,$R$16)))^(1/12),0),G550*(1+IF($Q$18&lt;6,$R$14,IF($Q$18&lt;11,$R$15,$R$16)))^(1/12))))</f>
        <v>0</v>
      </c>
    </row>
    <row r="552" spans="1:7">
      <c r="A552" s="348">
        <f t="shared" si="18"/>
        <v>551</v>
      </c>
      <c r="B552" s="360">
        <f>DATE('Profit Calculation'!J$6,A$2,A$2+A552-1)</f>
        <v>42555</v>
      </c>
      <c r="D552" s="362">
        <f t="shared" ca="1" si="17"/>
        <v>105531629.36887097</v>
      </c>
      <c r="F552" s="363">
        <f>DATE('Profit Calculation'!J$6,'Profit Calculation'!R$6+A552-1,'Profit Calculation'!Z$6)</f>
        <v>58838</v>
      </c>
      <c r="G552" s="364">
        <f ca="1">IF(Q$27=2,IF(LOOKUP(F552,X$1:X$35,X$1:X$35) = F552,ROUND(LOOKUP(LOOKUP(F552,X$1:X$35,A:A),Single!A$2:A$107,Table13[Saving]),0),IF( LOOKUP(F552,W$1:W$35,W$1:W$35) =
 F552,ROUND(G551*(1+IF($Q$18&lt;6,$R$14,IF($Q$18&lt;11,$R$15,$R$16)))^(1/12),0),G551*(1+IF($Q$18&lt;6,$R$14,IF($Q$18&lt;11,$R$15,$R$16)))^(1/12))),IF(LOOKUP(F552,X$1:X$35,X$1:X$35) = F552,ROUND(LOOKUP(LOOKUP(F552,X$1:X$35,A:A),'Annual Calculation'!A$2:A$107,Table1[Saving]),0),IF( LOOKUP(F552,W$1:W$35,W$1:W$35) =
 F552,ROUND(G551*(1+IF($Q$18&lt;6,$R$14,IF($Q$18&lt;11,$R$15,$R$16)))^(1/12),0),G551*(1+IF($Q$18&lt;6,$R$14,IF($Q$18&lt;11,$R$15,$R$16)))^(1/12))))</f>
        <v>0</v>
      </c>
    </row>
    <row r="553" spans="1:7">
      <c r="A553" s="348">
        <f t="shared" si="18"/>
        <v>552</v>
      </c>
      <c r="B553" s="360">
        <f>DATE('Profit Calculation'!J$6,A$2,A$2+A553-1)</f>
        <v>42556</v>
      </c>
      <c r="D553" s="362">
        <f t="shared" ca="1" si="17"/>
        <v>105572046.16253442</v>
      </c>
      <c r="F553" s="363">
        <f>DATE('Profit Calculation'!J$6,'Profit Calculation'!R$6+A553-1,'Profit Calculation'!Z$6)</f>
        <v>58866</v>
      </c>
      <c r="G553" s="364">
        <f ca="1">IF(Q$27=2,IF(LOOKUP(F553,X$1:X$35,X$1:X$35) = F553,ROUND(LOOKUP(LOOKUP(F553,X$1:X$35,A:A),Single!A$2:A$107,Table13[Saving]),0),IF( LOOKUP(F553,W$1:W$35,W$1:W$35) =
 F553,ROUND(G552*(1+IF($Q$18&lt;6,$R$14,IF($Q$18&lt;11,$R$15,$R$16)))^(1/12),0),G552*(1+IF($Q$18&lt;6,$R$14,IF($Q$18&lt;11,$R$15,$R$16)))^(1/12))),IF(LOOKUP(F553,X$1:X$35,X$1:X$35) = F553,ROUND(LOOKUP(LOOKUP(F553,X$1:X$35,A:A),'Annual Calculation'!A$2:A$107,Table1[Saving]),0),IF( LOOKUP(F553,W$1:W$35,W$1:W$35) =
 F553,ROUND(G552*(1+IF($Q$18&lt;6,$R$14,IF($Q$18&lt;11,$R$15,$R$16)))^(1/12),0),G552*(1+IF($Q$18&lt;6,$R$14,IF($Q$18&lt;11,$R$15,$R$16)))^(1/12))))</f>
        <v>0</v>
      </c>
    </row>
    <row r="554" spans="1:7">
      <c r="A554" s="348">
        <f t="shared" si="18"/>
        <v>553</v>
      </c>
      <c r="B554" s="360">
        <f>DATE('Profit Calculation'!J$6,A$2,A$2+A554-1)</f>
        <v>42557</v>
      </c>
      <c r="D554" s="362">
        <f t="shared" ca="1" si="17"/>
        <v>105612478.43513265</v>
      </c>
      <c r="F554" s="363">
        <f>DATE('Profit Calculation'!J$6,'Profit Calculation'!R$6+A554-1,'Profit Calculation'!Z$6)</f>
        <v>58897</v>
      </c>
      <c r="G554" s="364">
        <f ca="1">IF(Q$27=2,IF(LOOKUP(F554,X$1:X$35,X$1:X$35) = F554,ROUND(LOOKUP(LOOKUP(F554,X$1:X$35,A:A),Single!A$2:A$107,Table13[Saving]),0),IF( LOOKUP(F554,W$1:W$35,W$1:W$35) =
 F554,ROUND(G553*(1+IF($Q$18&lt;6,$R$14,IF($Q$18&lt;11,$R$15,$R$16)))^(1/12),0),G553*(1+IF($Q$18&lt;6,$R$14,IF($Q$18&lt;11,$R$15,$R$16)))^(1/12))),IF(LOOKUP(F554,X$1:X$35,X$1:X$35) = F554,ROUND(LOOKUP(LOOKUP(F554,X$1:X$35,A:A),'Annual Calculation'!A$2:A$107,Table1[Saving]),0),IF( LOOKUP(F554,W$1:W$35,W$1:W$35) =
 F554,ROUND(G553*(1+IF($Q$18&lt;6,$R$14,IF($Q$18&lt;11,$R$15,$R$16)))^(1/12),0),G553*(1+IF($Q$18&lt;6,$R$14,IF($Q$18&lt;11,$R$15,$R$16)))^(1/12))))</f>
        <v>0</v>
      </c>
    </row>
    <row r="555" spans="1:7">
      <c r="A555" s="348">
        <f t="shared" si="18"/>
        <v>554</v>
      </c>
      <c r="B555" s="360">
        <f>DATE('Profit Calculation'!J$6,A$2,A$2+A555-1)</f>
        <v>42558</v>
      </c>
      <c r="D555" s="362">
        <f t="shared" ca="1" si="17"/>
        <v>105652926.19259386</v>
      </c>
      <c r="F555" s="363">
        <f>DATE('Profit Calculation'!J$6,'Profit Calculation'!R$6+A555-1,'Profit Calculation'!Z$6)</f>
        <v>58927</v>
      </c>
      <c r="G555" s="364">
        <f ca="1">IF(Q$27=2,IF(LOOKUP(F555,X$1:X$35,X$1:X$35) = F555,ROUND(LOOKUP(LOOKUP(F555,X$1:X$35,A:A),Single!A$2:A$107,Table13[Saving]),0),IF( LOOKUP(F555,W$1:W$35,W$1:W$35) =
 F555,ROUND(G554*(1+IF($Q$18&lt;6,$R$14,IF($Q$18&lt;11,$R$15,$R$16)))^(1/12),0),G554*(1+IF($Q$18&lt;6,$R$14,IF($Q$18&lt;11,$R$15,$R$16)))^(1/12))),IF(LOOKUP(F555,X$1:X$35,X$1:X$35) = F555,ROUND(LOOKUP(LOOKUP(F555,X$1:X$35,A:A),'Annual Calculation'!A$2:A$107,Table1[Saving]),0),IF( LOOKUP(F555,W$1:W$35,W$1:W$35) =
 F555,ROUND(G554*(1+IF($Q$18&lt;6,$R$14,IF($Q$18&lt;11,$R$15,$R$16)))^(1/12),0),G554*(1+IF($Q$18&lt;6,$R$14,IF($Q$18&lt;11,$R$15,$R$16)))^(1/12))))</f>
        <v>0</v>
      </c>
    </row>
    <row r="556" spans="1:7">
      <c r="A556" s="348">
        <f t="shared" si="18"/>
        <v>555</v>
      </c>
      <c r="B556" s="360">
        <f>DATE('Profit Calculation'!J$6,A$2,A$2+A556-1)</f>
        <v>42559</v>
      </c>
      <c r="D556" s="362">
        <f t="shared" ca="1" si="17"/>
        <v>105693389.44084845</v>
      </c>
      <c r="F556" s="363">
        <f>DATE('Profit Calculation'!J$6,'Profit Calculation'!R$6+A556-1,'Profit Calculation'!Z$6)</f>
        <v>58958</v>
      </c>
      <c r="G556" s="364">
        <f ca="1">IF(Q$27=2,IF(LOOKUP(F556,X$1:X$35,X$1:X$35) = F556,ROUND(LOOKUP(LOOKUP(F556,X$1:X$35,A:A),Single!A$2:A$107,Table13[Saving]),0),IF( LOOKUP(F556,W$1:W$35,W$1:W$35) =
 F556,ROUND(G555*(1+IF($Q$18&lt;6,$R$14,IF($Q$18&lt;11,$R$15,$R$16)))^(1/12),0),G555*(1+IF($Q$18&lt;6,$R$14,IF($Q$18&lt;11,$R$15,$R$16)))^(1/12))),IF(LOOKUP(F556,X$1:X$35,X$1:X$35) = F556,ROUND(LOOKUP(LOOKUP(F556,X$1:X$35,A:A),'Annual Calculation'!A$2:A$107,Table1[Saving]),0),IF( LOOKUP(F556,W$1:W$35,W$1:W$35) =
 F556,ROUND(G555*(1+IF($Q$18&lt;6,$R$14,IF($Q$18&lt;11,$R$15,$R$16)))^(1/12),0),G555*(1+IF($Q$18&lt;6,$R$14,IF($Q$18&lt;11,$R$15,$R$16)))^(1/12))))</f>
        <v>0</v>
      </c>
    </row>
    <row r="557" spans="1:7">
      <c r="A557" s="348">
        <f t="shared" si="18"/>
        <v>556</v>
      </c>
      <c r="B557" s="360">
        <f>DATE('Profit Calculation'!J$6,A$2,A$2+A557-1)</f>
        <v>42560</v>
      </c>
      <c r="D557" s="362">
        <f t="shared" ca="1" si="17"/>
        <v>105733868.18582916</v>
      </c>
      <c r="F557" s="363">
        <f>DATE('Profit Calculation'!J$6,'Profit Calculation'!R$6+A557-1,'Profit Calculation'!Z$6)</f>
        <v>58988</v>
      </c>
      <c r="G557" s="364">
        <f ca="1">IF(Q$27=2,IF(LOOKUP(F557,X$1:X$35,X$1:X$35) = F557,ROUND(LOOKUP(LOOKUP(F557,X$1:X$35,A:A),Single!A$2:A$107,Table13[Saving]),0),IF( LOOKUP(F557,W$1:W$35,W$1:W$35) =
 F557,ROUND(G556*(1+IF($Q$18&lt;6,$R$14,IF($Q$18&lt;11,$R$15,$R$16)))^(1/12),0),G556*(1+IF($Q$18&lt;6,$R$14,IF($Q$18&lt;11,$R$15,$R$16)))^(1/12))),IF(LOOKUP(F557,X$1:X$35,X$1:X$35) = F557,ROUND(LOOKUP(LOOKUP(F557,X$1:X$35,A:A),'Annual Calculation'!A$2:A$107,Table1[Saving]),0),IF( LOOKUP(F557,W$1:W$35,W$1:W$35) =
 F557,ROUND(G556*(1+IF($Q$18&lt;6,$R$14,IF($Q$18&lt;11,$R$15,$R$16)))^(1/12),0),G556*(1+IF($Q$18&lt;6,$R$14,IF($Q$18&lt;11,$R$15,$R$16)))^(1/12))))</f>
        <v>0</v>
      </c>
    </row>
    <row r="558" spans="1:7">
      <c r="A558" s="348">
        <f t="shared" si="18"/>
        <v>557</v>
      </c>
      <c r="B558" s="360">
        <f>DATE('Profit Calculation'!J$6,A$2,A$2+A558-1)</f>
        <v>42561</v>
      </c>
      <c r="D558" s="362">
        <f t="shared" ca="1" si="17"/>
        <v>105774362.43347095</v>
      </c>
      <c r="F558" s="363">
        <f>DATE('Profit Calculation'!J$6,'Profit Calculation'!R$6+A558-1,'Profit Calculation'!Z$6)</f>
        <v>59019</v>
      </c>
      <c r="G558" s="364">
        <f ca="1">IF(Q$27=2,IF(LOOKUP(F558,X$1:X$35,X$1:X$35) = F558,ROUND(LOOKUP(LOOKUP(F558,X$1:X$35,A:A),Single!A$2:A$107,Table13[Saving]),0),IF( LOOKUP(F558,W$1:W$35,W$1:W$35) =
 F558,ROUND(G557*(1+IF($Q$18&lt;6,$R$14,IF($Q$18&lt;11,$R$15,$R$16)))^(1/12),0),G557*(1+IF($Q$18&lt;6,$R$14,IF($Q$18&lt;11,$R$15,$R$16)))^(1/12))),IF(LOOKUP(F558,X$1:X$35,X$1:X$35) = F558,ROUND(LOOKUP(LOOKUP(F558,X$1:X$35,A:A),'Annual Calculation'!A$2:A$107,Table1[Saving]),0),IF( LOOKUP(F558,W$1:W$35,W$1:W$35) =
 F558,ROUND(G557*(1+IF($Q$18&lt;6,$R$14,IF($Q$18&lt;11,$R$15,$R$16)))^(1/12),0),G557*(1+IF($Q$18&lt;6,$R$14,IF($Q$18&lt;11,$R$15,$R$16)))^(1/12))))</f>
        <v>0</v>
      </c>
    </row>
    <row r="559" spans="1:7">
      <c r="A559" s="348">
        <f t="shared" si="18"/>
        <v>558</v>
      </c>
      <c r="B559" s="360">
        <f>DATE('Profit Calculation'!J$6,A$2,A$2+A559-1)</f>
        <v>42562</v>
      </c>
      <c r="D559" s="362">
        <f t="shared" ca="1" si="17"/>
        <v>105814872.18971108</v>
      </c>
      <c r="F559" s="363">
        <f>DATE('Profit Calculation'!J$6,'Profit Calculation'!R$6+A559-1,'Profit Calculation'!Z$6)</f>
        <v>59050</v>
      </c>
      <c r="G559" s="364">
        <f ca="1">IF(Q$27=2,IF(LOOKUP(F559,X$1:X$35,X$1:X$35) = F559,ROUND(LOOKUP(LOOKUP(F559,X$1:X$35,A:A),Single!A$2:A$107,Table13[Saving]),0),IF( LOOKUP(F559,W$1:W$35,W$1:W$35) =
 F559,ROUND(G558*(1+IF($Q$18&lt;6,$R$14,IF($Q$18&lt;11,$R$15,$R$16)))^(1/12),0),G558*(1+IF($Q$18&lt;6,$R$14,IF($Q$18&lt;11,$R$15,$R$16)))^(1/12))),IF(LOOKUP(F559,X$1:X$35,X$1:X$35) = F559,ROUND(LOOKUP(LOOKUP(F559,X$1:X$35,A:A),'Annual Calculation'!A$2:A$107,Table1[Saving]),0),IF( LOOKUP(F559,W$1:W$35,W$1:W$35) =
 F559,ROUND(G558*(1+IF($Q$18&lt;6,$R$14,IF($Q$18&lt;11,$R$15,$R$16)))^(1/12),0),G558*(1+IF($Q$18&lt;6,$R$14,IF($Q$18&lt;11,$R$15,$R$16)))^(1/12))))</f>
        <v>0</v>
      </c>
    </row>
    <row r="560" spans="1:7">
      <c r="A560" s="348">
        <f t="shared" si="18"/>
        <v>559</v>
      </c>
      <c r="B560" s="360">
        <f>DATE('Profit Calculation'!J$6,A$2,A$2+A560-1)</f>
        <v>42563</v>
      </c>
      <c r="D560" s="362">
        <f t="shared" ca="1" si="17"/>
        <v>105855397.46048906</v>
      </c>
      <c r="F560" s="363">
        <f>DATE('Profit Calculation'!J$6,'Profit Calculation'!R$6+A560-1,'Profit Calculation'!Z$6)</f>
        <v>59080</v>
      </c>
      <c r="G560" s="364">
        <f ca="1">IF(Q$27=2,IF(LOOKUP(F560,X$1:X$35,X$1:X$35) = F560,ROUND(LOOKUP(LOOKUP(F560,X$1:X$35,A:A),Single!A$2:A$107,Table13[Saving]),0),IF( LOOKUP(F560,W$1:W$35,W$1:W$35) =
 F560,ROUND(G559*(1+IF($Q$18&lt;6,$R$14,IF($Q$18&lt;11,$R$15,$R$16)))^(1/12),0),G559*(1+IF($Q$18&lt;6,$R$14,IF($Q$18&lt;11,$R$15,$R$16)))^(1/12))),IF(LOOKUP(F560,X$1:X$35,X$1:X$35) = F560,ROUND(LOOKUP(LOOKUP(F560,X$1:X$35,A:A),'Annual Calculation'!A$2:A$107,Table1[Saving]),0),IF( LOOKUP(F560,W$1:W$35,W$1:W$35) =
 F560,ROUND(G559*(1+IF($Q$18&lt;6,$R$14,IF($Q$18&lt;11,$R$15,$R$16)))^(1/12),0),G559*(1+IF($Q$18&lt;6,$R$14,IF($Q$18&lt;11,$R$15,$R$16)))^(1/12))))</f>
        <v>0</v>
      </c>
    </row>
    <row r="561" spans="1:7">
      <c r="A561" s="348">
        <f t="shared" si="18"/>
        <v>560</v>
      </c>
      <c r="B561" s="360">
        <f>DATE('Profit Calculation'!J$6,A$2,A$2+A561-1)</f>
        <v>42564</v>
      </c>
      <c r="D561" s="362">
        <f t="shared" ca="1" si="17"/>
        <v>105895938.25174671</v>
      </c>
      <c r="F561" s="363">
        <f>DATE('Profit Calculation'!J$6,'Profit Calculation'!R$6+A561-1,'Profit Calculation'!Z$6)</f>
        <v>59111</v>
      </c>
      <c r="G561" s="364">
        <f ca="1">IF(Q$27=2,IF(LOOKUP(F561,X$1:X$35,X$1:X$35) = F561,ROUND(LOOKUP(LOOKUP(F561,X$1:X$35,A:A),Single!A$2:A$107,Table13[Saving]),0),IF( LOOKUP(F561,W$1:W$35,W$1:W$35) =
 F561,ROUND(G560*(1+IF($Q$18&lt;6,$R$14,IF($Q$18&lt;11,$R$15,$R$16)))^(1/12),0),G560*(1+IF($Q$18&lt;6,$R$14,IF($Q$18&lt;11,$R$15,$R$16)))^(1/12))),IF(LOOKUP(F561,X$1:X$35,X$1:X$35) = F561,ROUND(LOOKUP(LOOKUP(F561,X$1:X$35,A:A),'Annual Calculation'!A$2:A$107,Table1[Saving]),0),IF( LOOKUP(F561,W$1:W$35,W$1:W$35) =
 F561,ROUND(G560*(1+IF($Q$18&lt;6,$R$14,IF($Q$18&lt;11,$R$15,$R$16)))^(1/12),0),G560*(1+IF($Q$18&lt;6,$R$14,IF($Q$18&lt;11,$R$15,$R$16)))^(1/12))))</f>
        <v>0</v>
      </c>
    </row>
    <row r="562" spans="1:7">
      <c r="A562" s="348">
        <f t="shared" si="18"/>
        <v>561</v>
      </c>
      <c r="B562" s="360">
        <f>DATE('Profit Calculation'!J$6,A$2,A$2+A562-1)</f>
        <v>42565</v>
      </c>
      <c r="D562" s="362">
        <f t="shared" ca="1" si="17"/>
        <v>105936494.5694281</v>
      </c>
      <c r="F562" s="363">
        <f>DATE('Profit Calculation'!J$6,'Profit Calculation'!R$6+A562-1,'Profit Calculation'!Z$6)</f>
        <v>59141</v>
      </c>
      <c r="G562" s="364">
        <f ca="1">IF(Q$27=2,IF(LOOKUP(F562,X$1:X$35,X$1:X$35) = F562,ROUND(LOOKUP(LOOKUP(F562,X$1:X$35,A:A),Single!A$2:A$107,Table13[Saving]),0),IF( LOOKUP(F562,W$1:W$35,W$1:W$35) =
 F562,ROUND(G561*(1+IF($Q$18&lt;6,$R$14,IF($Q$18&lt;11,$R$15,$R$16)))^(1/12),0),G561*(1+IF($Q$18&lt;6,$R$14,IF($Q$18&lt;11,$R$15,$R$16)))^(1/12))),IF(LOOKUP(F562,X$1:X$35,X$1:X$35) = F562,ROUND(LOOKUP(LOOKUP(F562,X$1:X$35,A:A),'Annual Calculation'!A$2:A$107,Table1[Saving]),0),IF( LOOKUP(F562,W$1:W$35,W$1:W$35) =
 F562,ROUND(G561*(1+IF($Q$18&lt;6,$R$14,IF($Q$18&lt;11,$R$15,$R$16)))^(1/12),0),G561*(1+IF($Q$18&lt;6,$R$14,IF($Q$18&lt;11,$R$15,$R$16)))^(1/12))))</f>
        <v>0</v>
      </c>
    </row>
    <row r="563" spans="1:7">
      <c r="A563" s="348">
        <f t="shared" si="18"/>
        <v>562</v>
      </c>
      <c r="B563" s="360">
        <f>DATE('Profit Calculation'!J$6,A$2,A$2+A563-1)</f>
        <v>42566</v>
      </c>
      <c r="D563" s="362">
        <f t="shared" ca="1" si="17"/>
        <v>105977066.41947958</v>
      </c>
      <c r="F563" s="363">
        <f>DATE('Profit Calculation'!J$6,'Profit Calculation'!R$6+A563-1,'Profit Calculation'!Z$6)</f>
        <v>59172</v>
      </c>
      <c r="G563" s="364">
        <f ca="1">IF(Q$27=2,IF(LOOKUP(F563,X$1:X$35,X$1:X$35) = F563,ROUND(LOOKUP(LOOKUP(F563,X$1:X$35,A:A),Single!A$2:A$107,Table13[Saving]),0),IF( LOOKUP(F563,W$1:W$35,W$1:W$35) =
 F563,ROUND(G562*(1+IF($Q$18&lt;6,$R$14,IF($Q$18&lt;11,$R$15,$R$16)))^(1/12),0),G562*(1+IF($Q$18&lt;6,$R$14,IF($Q$18&lt;11,$R$15,$R$16)))^(1/12))),IF(LOOKUP(F563,X$1:X$35,X$1:X$35) = F563,ROUND(LOOKUP(LOOKUP(F563,X$1:X$35,A:A),'Annual Calculation'!A$2:A$107,Table1[Saving]),0),IF( LOOKUP(F563,W$1:W$35,W$1:W$35) =
 F563,ROUND(G562*(1+IF($Q$18&lt;6,$R$14,IF($Q$18&lt;11,$R$15,$R$16)))^(1/12),0),G562*(1+IF($Q$18&lt;6,$R$14,IF($Q$18&lt;11,$R$15,$R$16)))^(1/12))))</f>
        <v>0</v>
      </c>
    </row>
    <row r="564" spans="1:7">
      <c r="A564" s="348">
        <f t="shared" si="18"/>
        <v>563</v>
      </c>
      <c r="B564" s="360">
        <f>DATE('Profit Calculation'!J$6,A$2,A$2+A564-1)</f>
        <v>42567</v>
      </c>
      <c r="D564" s="362">
        <f t="shared" ca="1" si="17"/>
        <v>106017653.80784976</v>
      </c>
      <c r="F564" s="363">
        <f>DATE('Profit Calculation'!J$6,'Profit Calculation'!R$6+A564-1,'Profit Calculation'!Z$6)</f>
        <v>59203</v>
      </c>
      <c r="G564" s="364">
        <f ca="1">IF(Q$27=2,IF(LOOKUP(F564,X$1:X$35,X$1:X$35) = F564,ROUND(LOOKUP(LOOKUP(F564,X$1:X$35,A:A),Single!A$2:A$107,Table13[Saving]),0),IF( LOOKUP(F564,W$1:W$35,W$1:W$35) =
 F564,ROUND(G563*(1+IF($Q$18&lt;6,$R$14,IF($Q$18&lt;11,$R$15,$R$16)))^(1/12),0),G563*(1+IF($Q$18&lt;6,$R$14,IF($Q$18&lt;11,$R$15,$R$16)))^(1/12))),IF(LOOKUP(F564,X$1:X$35,X$1:X$35) = F564,ROUND(LOOKUP(LOOKUP(F564,X$1:X$35,A:A),'Annual Calculation'!A$2:A$107,Table1[Saving]),0),IF( LOOKUP(F564,W$1:W$35,W$1:W$35) =
 F564,ROUND(G563*(1+IF($Q$18&lt;6,$R$14,IF($Q$18&lt;11,$R$15,$R$16)))^(1/12),0),G563*(1+IF($Q$18&lt;6,$R$14,IF($Q$18&lt;11,$R$15,$R$16)))^(1/12))))</f>
        <v>0</v>
      </c>
    </row>
    <row r="565" spans="1:7">
      <c r="A565" s="348">
        <f t="shared" si="18"/>
        <v>564</v>
      </c>
      <c r="B565" s="360">
        <f>DATE('Profit Calculation'!J$6,A$2,A$2+A565-1)</f>
        <v>42568</v>
      </c>
      <c r="D565" s="362">
        <f t="shared" ca="1" si="17"/>
        <v>106058256.74048959</v>
      </c>
      <c r="F565" s="363">
        <f>DATE('Profit Calculation'!J$6,'Profit Calculation'!R$6+A565-1,'Profit Calculation'!Z$6)</f>
        <v>59231</v>
      </c>
      <c r="G565" s="364">
        <f ca="1">IF(Q$27=2,IF(LOOKUP(F565,X$1:X$35,X$1:X$35) = F565,ROUND(LOOKUP(LOOKUP(F565,X$1:X$35,A:A),Single!A$2:A$107,Table13[Saving]),0),IF( LOOKUP(F565,W$1:W$35,W$1:W$35) =
 F565,ROUND(G564*(1+IF($Q$18&lt;6,$R$14,IF($Q$18&lt;11,$R$15,$R$16)))^(1/12),0),G564*(1+IF($Q$18&lt;6,$R$14,IF($Q$18&lt;11,$R$15,$R$16)))^(1/12))),IF(LOOKUP(F565,X$1:X$35,X$1:X$35) = F565,ROUND(LOOKUP(LOOKUP(F565,X$1:X$35,A:A),'Annual Calculation'!A$2:A$107,Table1[Saving]),0),IF( LOOKUP(F565,W$1:W$35,W$1:W$35) =
 F565,ROUND(G564*(1+IF($Q$18&lt;6,$R$14,IF($Q$18&lt;11,$R$15,$R$16)))^(1/12),0),G564*(1+IF($Q$18&lt;6,$R$14,IF($Q$18&lt;11,$R$15,$R$16)))^(1/12))))</f>
        <v>0</v>
      </c>
    </row>
    <row r="566" spans="1:7">
      <c r="A566" s="348">
        <f t="shared" si="18"/>
        <v>565</v>
      </c>
      <c r="B566" s="360">
        <f>DATE('Profit Calculation'!J$6,A$2,A$2+A566-1)</f>
        <v>42569</v>
      </c>
      <c r="D566" s="362">
        <f t="shared" ca="1" si="17"/>
        <v>106098875.22335222</v>
      </c>
      <c r="F566" s="363">
        <f>DATE('Profit Calculation'!J$6,'Profit Calculation'!R$6+A566-1,'Profit Calculation'!Z$6)</f>
        <v>59262</v>
      </c>
      <c r="G566" s="364">
        <f ca="1">IF(Q$27=2,IF(LOOKUP(F566,X$1:X$35,X$1:X$35) = F566,ROUND(LOOKUP(LOOKUP(F566,X$1:X$35,A:A),Single!A$2:A$107,Table13[Saving]),0),IF( LOOKUP(F566,W$1:W$35,W$1:W$35) =
 F566,ROUND(G565*(1+IF($Q$18&lt;6,$R$14,IF($Q$18&lt;11,$R$15,$R$16)))^(1/12),0),G565*(1+IF($Q$18&lt;6,$R$14,IF($Q$18&lt;11,$R$15,$R$16)))^(1/12))),IF(LOOKUP(F566,X$1:X$35,X$1:X$35) = F566,ROUND(LOOKUP(LOOKUP(F566,X$1:X$35,A:A),'Annual Calculation'!A$2:A$107,Table1[Saving]),0),IF( LOOKUP(F566,W$1:W$35,W$1:W$35) =
 F566,ROUND(G565*(1+IF($Q$18&lt;6,$R$14,IF($Q$18&lt;11,$R$15,$R$16)))^(1/12),0),G565*(1+IF($Q$18&lt;6,$R$14,IF($Q$18&lt;11,$R$15,$R$16)))^(1/12))))</f>
        <v>0</v>
      </c>
    </row>
    <row r="567" spans="1:7">
      <c r="A567" s="348">
        <f t="shared" si="18"/>
        <v>566</v>
      </c>
      <c r="B567" s="360">
        <f>DATE('Profit Calculation'!J$6,A$2,A$2+A567-1)</f>
        <v>42570</v>
      </c>
      <c r="D567" s="362">
        <f t="shared" ca="1" si="17"/>
        <v>106139509.26239313</v>
      </c>
      <c r="F567" s="363">
        <f>DATE('Profit Calculation'!J$6,'Profit Calculation'!R$6+A567-1,'Profit Calculation'!Z$6)</f>
        <v>59292</v>
      </c>
      <c r="G567" s="364">
        <f ca="1">IF(Q$27=2,IF(LOOKUP(F567,X$1:X$35,X$1:X$35) = F567,ROUND(LOOKUP(LOOKUP(F567,X$1:X$35,A:A),Single!A$2:A$107,Table13[Saving]),0),IF( LOOKUP(F567,W$1:W$35,W$1:W$35) =
 F567,ROUND(G566*(1+IF($Q$18&lt;6,$R$14,IF($Q$18&lt;11,$R$15,$R$16)))^(1/12),0),G566*(1+IF($Q$18&lt;6,$R$14,IF($Q$18&lt;11,$R$15,$R$16)))^(1/12))),IF(LOOKUP(F567,X$1:X$35,X$1:X$35) = F567,ROUND(LOOKUP(LOOKUP(F567,X$1:X$35,A:A),'Annual Calculation'!A$2:A$107,Table1[Saving]),0),IF( LOOKUP(F567,W$1:W$35,W$1:W$35) =
 F567,ROUND(G566*(1+IF($Q$18&lt;6,$R$14,IF($Q$18&lt;11,$R$15,$R$16)))^(1/12),0),G566*(1+IF($Q$18&lt;6,$R$14,IF($Q$18&lt;11,$R$15,$R$16)))^(1/12))))</f>
        <v>0</v>
      </c>
    </row>
    <row r="568" spans="1:7">
      <c r="A568" s="348">
        <f t="shared" si="18"/>
        <v>567</v>
      </c>
      <c r="B568" s="360">
        <f>DATE('Profit Calculation'!J$6,A$2,A$2+A568-1)</f>
        <v>42571</v>
      </c>
      <c r="D568" s="362">
        <f t="shared" ca="1" si="17"/>
        <v>106180158.86357008</v>
      </c>
      <c r="F568" s="363">
        <f>DATE('Profit Calculation'!J$6,'Profit Calculation'!R$6+A568-1,'Profit Calculation'!Z$6)</f>
        <v>59323</v>
      </c>
      <c r="G568" s="364">
        <f ca="1">IF(Q$27=2,IF(LOOKUP(F568,X$1:X$35,X$1:X$35) = F568,ROUND(LOOKUP(LOOKUP(F568,X$1:X$35,A:A),Single!A$2:A$107,Table13[Saving]),0),IF( LOOKUP(F568,W$1:W$35,W$1:W$35) =
 F568,ROUND(G567*(1+IF($Q$18&lt;6,$R$14,IF($Q$18&lt;11,$R$15,$R$16)))^(1/12),0),G567*(1+IF($Q$18&lt;6,$R$14,IF($Q$18&lt;11,$R$15,$R$16)))^(1/12))),IF(LOOKUP(F568,X$1:X$35,X$1:X$35) = F568,ROUND(LOOKUP(LOOKUP(F568,X$1:X$35,A:A),'Annual Calculation'!A$2:A$107,Table1[Saving]),0),IF( LOOKUP(F568,W$1:W$35,W$1:W$35) =
 F568,ROUND(G567*(1+IF($Q$18&lt;6,$R$14,IF($Q$18&lt;11,$R$15,$R$16)))^(1/12),0),G567*(1+IF($Q$18&lt;6,$R$14,IF($Q$18&lt;11,$R$15,$R$16)))^(1/12))))</f>
        <v>0</v>
      </c>
    </row>
    <row r="569" spans="1:7">
      <c r="A569" s="348">
        <f t="shared" si="18"/>
        <v>568</v>
      </c>
      <c r="B569" s="360">
        <f>DATE('Profit Calculation'!J$6,A$2,A$2+A569-1)</f>
        <v>42572</v>
      </c>
      <c r="D569" s="362">
        <f t="shared" ca="1" si="17"/>
        <v>106220824.03284308</v>
      </c>
      <c r="F569" s="363">
        <f>DATE('Profit Calculation'!J$6,'Profit Calculation'!R$6+A569-1,'Profit Calculation'!Z$6)</f>
        <v>59353</v>
      </c>
      <c r="G569" s="364">
        <f ca="1">IF(Q$27=2,IF(LOOKUP(F569,X$1:X$35,X$1:X$35) = F569,ROUND(LOOKUP(LOOKUP(F569,X$1:X$35,A:A),Single!A$2:A$107,Table13[Saving]),0),IF( LOOKUP(F569,W$1:W$35,W$1:W$35) =
 F569,ROUND(G568*(1+IF($Q$18&lt;6,$R$14,IF($Q$18&lt;11,$R$15,$R$16)))^(1/12),0),G568*(1+IF($Q$18&lt;6,$R$14,IF($Q$18&lt;11,$R$15,$R$16)))^(1/12))),IF(LOOKUP(F569,X$1:X$35,X$1:X$35) = F569,ROUND(LOOKUP(LOOKUP(F569,X$1:X$35,A:A),'Annual Calculation'!A$2:A$107,Table1[Saving]),0),IF( LOOKUP(F569,W$1:W$35,W$1:W$35) =
 F569,ROUND(G568*(1+IF($Q$18&lt;6,$R$14,IF($Q$18&lt;11,$R$15,$R$16)))^(1/12),0),G568*(1+IF($Q$18&lt;6,$R$14,IF($Q$18&lt;11,$R$15,$R$16)))^(1/12))))</f>
        <v>0</v>
      </c>
    </row>
    <row r="570" spans="1:7">
      <c r="A570" s="348">
        <f t="shared" si="18"/>
        <v>569</v>
      </c>
      <c r="B570" s="360">
        <f>DATE('Profit Calculation'!J$6,A$2,A$2+A570-1)</f>
        <v>42573</v>
      </c>
      <c r="D570" s="362">
        <f t="shared" ca="1" si="17"/>
        <v>106261504.77617446</v>
      </c>
      <c r="F570" s="363">
        <f>DATE('Profit Calculation'!J$6,'Profit Calculation'!R$6+A570-1,'Profit Calculation'!Z$6)</f>
        <v>59384</v>
      </c>
      <c r="G570" s="364">
        <f ca="1">IF(Q$27=2,IF(LOOKUP(F570,X$1:X$35,X$1:X$35) = F570,ROUND(LOOKUP(LOOKUP(F570,X$1:X$35,A:A),Single!A$2:A$107,Table13[Saving]),0),IF( LOOKUP(F570,W$1:W$35,W$1:W$35) =
 F570,ROUND(G569*(1+IF($Q$18&lt;6,$R$14,IF($Q$18&lt;11,$R$15,$R$16)))^(1/12),0),G569*(1+IF($Q$18&lt;6,$R$14,IF($Q$18&lt;11,$R$15,$R$16)))^(1/12))),IF(LOOKUP(F570,X$1:X$35,X$1:X$35) = F570,ROUND(LOOKUP(LOOKUP(F570,X$1:X$35,A:A),'Annual Calculation'!A$2:A$107,Table1[Saving]),0),IF( LOOKUP(F570,W$1:W$35,W$1:W$35) =
 F570,ROUND(G569*(1+IF($Q$18&lt;6,$R$14,IF($Q$18&lt;11,$R$15,$R$16)))^(1/12),0),G569*(1+IF($Q$18&lt;6,$R$14,IF($Q$18&lt;11,$R$15,$R$16)))^(1/12))))</f>
        <v>0</v>
      </c>
    </row>
    <row r="571" spans="1:7">
      <c r="A571" s="348">
        <f t="shared" si="18"/>
        <v>570</v>
      </c>
      <c r="B571" s="360">
        <f>DATE('Profit Calculation'!J$6,A$2,A$2+A571-1)</f>
        <v>42574</v>
      </c>
      <c r="D571" s="362">
        <f t="shared" ca="1" si="17"/>
        <v>106302201.09952879</v>
      </c>
      <c r="F571" s="363">
        <f>DATE('Profit Calculation'!J$6,'Profit Calculation'!R$6+A571-1,'Profit Calculation'!Z$6)</f>
        <v>59415</v>
      </c>
      <c r="G571" s="364">
        <f ca="1">IF(Q$27=2,IF(LOOKUP(F571,X$1:X$35,X$1:X$35) = F571,ROUND(LOOKUP(LOOKUP(F571,X$1:X$35,A:A),Single!A$2:A$107,Table13[Saving]),0),IF( LOOKUP(F571,W$1:W$35,W$1:W$35) =
 F571,ROUND(G570*(1+IF($Q$18&lt;6,$R$14,IF($Q$18&lt;11,$R$15,$R$16)))^(1/12),0),G570*(1+IF($Q$18&lt;6,$R$14,IF($Q$18&lt;11,$R$15,$R$16)))^(1/12))),IF(LOOKUP(F571,X$1:X$35,X$1:X$35) = F571,ROUND(LOOKUP(LOOKUP(F571,X$1:X$35,A:A),'Annual Calculation'!A$2:A$107,Table1[Saving]),0),IF( LOOKUP(F571,W$1:W$35,W$1:W$35) =
 F571,ROUND(G570*(1+IF($Q$18&lt;6,$R$14,IF($Q$18&lt;11,$R$15,$R$16)))^(1/12),0),G570*(1+IF($Q$18&lt;6,$R$14,IF($Q$18&lt;11,$R$15,$R$16)))^(1/12))))</f>
        <v>0</v>
      </c>
    </row>
    <row r="572" spans="1:7">
      <c r="A572" s="348">
        <f t="shared" si="18"/>
        <v>571</v>
      </c>
      <c r="B572" s="360">
        <f>DATE('Profit Calculation'!J$6,A$2,A$2+A572-1)</f>
        <v>42575</v>
      </c>
      <c r="D572" s="362">
        <f t="shared" ca="1" si="17"/>
        <v>106342913.00887297</v>
      </c>
      <c r="F572" s="363">
        <f>DATE('Profit Calculation'!J$6,'Profit Calculation'!R$6+A572-1,'Profit Calculation'!Z$6)</f>
        <v>59445</v>
      </c>
      <c r="G572" s="364">
        <f ca="1">IF(Q$27=2,IF(LOOKUP(F572,X$1:X$35,X$1:X$35) = F572,ROUND(LOOKUP(LOOKUP(F572,X$1:X$35,A:A),Single!A$2:A$107,Table13[Saving]),0),IF( LOOKUP(F572,W$1:W$35,W$1:W$35) =
 F572,ROUND(G571*(1+IF($Q$18&lt;6,$R$14,IF($Q$18&lt;11,$R$15,$R$16)))^(1/12),0),G571*(1+IF($Q$18&lt;6,$R$14,IF($Q$18&lt;11,$R$15,$R$16)))^(1/12))),IF(LOOKUP(F572,X$1:X$35,X$1:X$35) = F572,ROUND(LOOKUP(LOOKUP(F572,X$1:X$35,A:A),'Annual Calculation'!A$2:A$107,Table1[Saving]),0),IF( LOOKUP(F572,W$1:W$35,W$1:W$35) =
 F572,ROUND(G571*(1+IF($Q$18&lt;6,$R$14,IF($Q$18&lt;11,$R$15,$R$16)))^(1/12),0),G571*(1+IF($Q$18&lt;6,$R$14,IF($Q$18&lt;11,$R$15,$R$16)))^(1/12))))</f>
        <v>0</v>
      </c>
    </row>
    <row r="573" spans="1:7">
      <c r="A573" s="348">
        <f t="shared" si="18"/>
        <v>572</v>
      </c>
      <c r="B573" s="360">
        <f>DATE('Profit Calculation'!J$6,A$2,A$2+A573-1)</f>
        <v>42576</v>
      </c>
      <c r="D573" s="362">
        <f t="shared" ca="1" si="17"/>
        <v>106383640.51017617</v>
      </c>
      <c r="F573" s="363">
        <f>DATE('Profit Calculation'!J$6,'Profit Calculation'!R$6+A573-1,'Profit Calculation'!Z$6)</f>
        <v>59476</v>
      </c>
      <c r="G573" s="364">
        <f ca="1">IF(Q$27=2,IF(LOOKUP(F573,X$1:X$35,X$1:X$35) = F573,ROUND(LOOKUP(LOOKUP(F573,X$1:X$35,A:A),Single!A$2:A$107,Table13[Saving]),0),IF( LOOKUP(F573,W$1:W$35,W$1:W$35) =
 F573,ROUND(G572*(1+IF($Q$18&lt;6,$R$14,IF($Q$18&lt;11,$R$15,$R$16)))^(1/12),0),G572*(1+IF($Q$18&lt;6,$R$14,IF($Q$18&lt;11,$R$15,$R$16)))^(1/12))),IF(LOOKUP(F573,X$1:X$35,X$1:X$35) = F573,ROUND(LOOKUP(LOOKUP(F573,X$1:X$35,A:A),'Annual Calculation'!A$2:A$107,Table1[Saving]),0),IF( LOOKUP(F573,W$1:W$35,W$1:W$35) =
 F573,ROUND(G572*(1+IF($Q$18&lt;6,$R$14,IF($Q$18&lt;11,$R$15,$R$16)))^(1/12),0),G572*(1+IF($Q$18&lt;6,$R$14,IF($Q$18&lt;11,$R$15,$R$16)))^(1/12))))</f>
        <v>0</v>
      </c>
    </row>
    <row r="574" spans="1:7">
      <c r="A574" s="348">
        <f t="shared" si="18"/>
        <v>573</v>
      </c>
      <c r="B574" s="360">
        <f>DATE('Profit Calculation'!J$6,A$2,A$2+A574-1)</f>
        <v>42577</v>
      </c>
      <c r="D574" s="362">
        <f t="shared" ca="1" si="17"/>
        <v>106424383.60940982</v>
      </c>
      <c r="F574" s="363">
        <f>DATE('Profit Calculation'!J$6,'Profit Calculation'!R$6+A574-1,'Profit Calculation'!Z$6)</f>
        <v>59506</v>
      </c>
      <c r="G574" s="364">
        <f ca="1">IF(Q$27=2,IF(LOOKUP(F574,X$1:X$35,X$1:X$35) = F574,ROUND(LOOKUP(LOOKUP(F574,X$1:X$35,A:A),Single!A$2:A$107,Table13[Saving]),0),IF( LOOKUP(F574,W$1:W$35,W$1:W$35) =
 F574,ROUND(G573*(1+IF($Q$18&lt;6,$R$14,IF($Q$18&lt;11,$R$15,$R$16)))^(1/12),0),G573*(1+IF($Q$18&lt;6,$R$14,IF($Q$18&lt;11,$R$15,$R$16)))^(1/12))),IF(LOOKUP(F574,X$1:X$35,X$1:X$35) = F574,ROUND(LOOKUP(LOOKUP(F574,X$1:X$35,A:A),'Annual Calculation'!A$2:A$107,Table1[Saving]),0),IF( LOOKUP(F574,W$1:W$35,W$1:W$35) =
 F574,ROUND(G573*(1+IF($Q$18&lt;6,$R$14,IF($Q$18&lt;11,$R$15,$R$16)))^(1/12),0),G573*(1+IF($Q$18&lt;6,$R$14,IF($Q$18&lt;11,$R$15,$R$16)))^(1/12))))</f>
        <v>0</v>
      </c>
    </row>
    <row r="575" spans="1:7">
      <c r="A575" s="348">
        <f t="shared" si="18"/>
        <v>574</v>
      </c>
      <c r="B575" s="360">
        <f>DATE('Profit Calculation'!J$6,A$2,A$2+A575-1)</f>
        <v>42578</v>
      </c>
      <c r="D575" s="362">
        <f t="shared" ca="1" si="17"/>
        <v>106465142.31254768</v>
      </c>
      <c r="F575" s="363">
        <f>DATE('Profit Calculation'!J$6,'Profit Calculation'!R$6+A575-1,'Profit Calculation'!Z$6)</f>
        <v>59537</v>
      </c>
      <c r="G575" s="364">
        <f ca="1">IF(Q$27=2,IF(LOOKUP(F575,X$1:X$35,X$1:X$35) = F575,ROUND(LOOKUP(LOOKUP(F575,X$1:X$35,A:A),Single!A$2:A$107,Table13[Saving]),0),IF( LOOKUP(F575,W$1:W$35,W$1:W$35) =
 F575,ROUND(G574*(1+IF($Q$18&lt;6,$R$14,IF($Q$18&lt;11,$R$15,$R$16)))^(1/12),0),G574*(1+IF($Q$18&lt;6,$R$14,IF($Q$18&lt;11,$R$15,$R$16)))^(1/12))),IF(LOOKUP(F575,X$1:X$35,X$1:X$35) = F575,ROUND(LOOKUP(LOOKUP(F575,X$1:X$35,A:A),'Annual Calculation'!A$2:A$107,Table1[Saving]),0),IF( LOOKUP(F575,W$1:W$35,W$1:W$35) =
 F575,ROUND(G574*(1+IF($Q$18&lt;6,$R$14,IF($Q$18&lt;11,$R$15,$R$16)))^(1/12),0),G574*(1+IF($Q$18&lt;6,$R$14,IF($Q$18&lt;11,$R$15,$R$16)))^(1/12))))</f>
        <v>0</v>
      </c>
    </row>
    <row r="576" spans="1:7">
      <c r="A576" s="348">
        <f t="shared" si="18"/>
        <v>575</v>
      </c>
      <c r="B576" s="360">
        <f>DATE('Profit Calculation'!J$6,A$2,A$2+A576-1)</f>
        <v>42579</v>
      </c>
      <c r="D576" s="362">
        <f t="shared" ca="1" si="17"/>
        <v>106505916.62556578</v>
      </c>
      <c r="F576" s="363">
        <f>DATE('Profit Calculation'!J$6,'Profit Calculation'!R$6+A576-1,'Profit Calculation'!Z$6)</f>
        <v>59568</v>
      </c>
      <c r="G576" s="364">
        <f ca="1">IF(Q$27=2,IF(LOOKUP(F576,X$1:X$35,X$1:X$35) = F576,ROUND(LOOKUP(LOOKUP(F576,X$1:X$35,A:A),Single!A$2:A$107,Table13[Saving]),0),IF( LOOKUP(F576,W$1:W$35,W$1:W$35) =
 F576,ROUND(G575*(1+IF($Q$18&lt;6,$R$14,IF($Q$18&lt;11,$R$15,$R$16)))^(1/12),0),G575*(1+IF($Q$18&lt;6,$R$14,IF($Q$18&lt;11,$R$15,$R$16)))^(1/12))),IF(LOOKUP(F576,X$1:X$35,X$1:X$35) = F576,ROUND(LOOKUP(LOOKUP(F576,X$1:X$35,A:A),'Annual Calculation'!A$2:A$107,Table1[Saving]),0),IF( LOOKUP(F576,W$1:W$35,W$1:W$35) =
 F576,ROUND(G575*(1+IF($Q$18&lt;6,$R$14,IF($Q$18&lt;11,$R$15,$R$16)))^(1/12),0),G575*(1+IF($Q$18&lt;6,$R$14,IF($Q$18&lt;11,$R$15,$R$16)))^(1/12))))</f>
        <v>0</v>
      </c>
    </row>
    <row r="577" spans="1:7">
      <c r="A577" s="348">
        <f t="shared" si="18"/>
        <v>576</v>
      </c>
      <c r="B577" s="360">
        <f>DATE('Profit Calculation'!J$6,A$2,A$2+A577-1)</f>
        <v>42580</v>
      </c>
      <c r="D577" s="362">
        <f t="shared" ca="1" si="17"/>
        <v>106546706.55444242</v>
      </c>
      <c r="F577" s="363">
        <f>DATE('Profit Calculation'!J$6,'Profit Calculation'!R$6+A577-1,'Profit Calculation'!Z$6)</f>
        <v>59596</v>
      </c>
      <c r="G577" s="364">
        <f ca="1">IF(Q$27=2,IF(LOOKUP(F577,X$1:X$35,X$1:X$35) = F577,ROUND(LOOKUP(LOOKUP(F577,X$1:X$35,A:A),Single!A$2:A$107,Table13[Saving]),0),IF( LOOKUP(F577,W$1:W$35,W$1:W$35) =
 F577,ROUND(G576*(1+IF($Q$18&lt;6,$R$14,IF($Q$18&lt;11,$R$15,$R$16)))^(1/12),0),G576*(1+IF($Q$18&lt;6,$R$14,IF($Q$18&lt;11,$R$15,$R$16)))^(1/12))),IF(LOOKUP(F577,X$1:X$35,X$1:X$35) = F577,ROUND(LOOKUP(LOOKUP(F577,X$1:X$35,A:A),'Annual Calculation'!A$2:A$107,Table1[Saving]),0),IF( LOOKUP(F577,W$1:W$35,W$1:W$35) =
 F577,ROUND(G576*(1+IF($Q$18&lt;6,$R$14,IF($Q$18&lt;11,$R$15,$R$16)))^(1/12),0),G576*(1+IF($Q$18&lt;6,$R$14,IF($Q$18&lt;11,$R$15,$R$16)))^(1/12))))</f>
        <v>0</v>
      </c>
    </row>
    <row r="578" spans="1:7">
      <c r="A578" s="348">
        <f t="shared" si="18"/>
        <v>577</v>
      </c>
      <c r="B578" s="360">
        <f>DATE('Profit Calculation'!J$6,A$2,A$2+A578-1)</f>
        <v>42581</v>
      </c>
      <c r="D578" s="362">
        <f t="shared" ca="1" si="17"/>
        <v>106587512.10515819</v>
      </c>
      <c r="F578" s="363">
        <f>DATE('Profit Calculation'!J$6,'Profit Calculation'!R$6+A578-1,'Profit Calculation'!Z$6)</f>
        <v>59627</v>
      </c>
      <c r="G578" s="364">
        <f ca="1">IF(Q$27=2,IF(LOOKUP(F578,X$1:X$35,X$1:X$35) = F578,ROUND(LOOKUP(LOOKUP(F578,X$1:X$35,A:A),Single!A$2:A$107,Table13[Saving]),0),IF( LOOKUP(F578,W$1:W$35,W$1:W$35) =
 F578,ROUND(G577*(1+IF($Q$18&lt;6,$R$14,IF($Q$18&lt;11,$R$15,$R$16)))^(1/12),0),G577*(1+IF($Q$18&lt;6,$R$14,IF($Q$18&lt;11,$R$15,$R$16)))^(1/12))),IF(LOOKUP(F578,X$1:X$35,X$1:X$35) = F578,ROUND(LOOKUP(LOOKUP(F578,X$1:X$35,A:A),'Annual Calculation'!A$2:A$107,Table1[Saving]),0),IF( LOOKUP(F578,W$1:W$35,W$1:W$35) =
 F578,ROUND(G577*(1+IF($Q$18&lt;6,$R$14,IF($Q$18&lt;11,$R$15,$R$16)))^(1/12),0),G577*(1+IF($Q$18&lt;6,$R$14,IF($Q$18&lt;11,$R$15,$R$16)))^(1/12))))</f>
        <v>0</v>
      </c>
    </row>
    <row r="579" spans="1:7">
      <c r="A579" s="348">
        <f t="shared" si="18"/>
        <v>578</v>
      </c>
      <c r="B579" s="360">
        <f>DATE('Profit Calculation'!J$6,A$2,A$2+A579-1)</f>
        <v>42582</v>
      </c>
      <c r="D579" s="362">
        <f t="shared" ca="1" si="17"/>
        <v>106628333.28369603</v>
      </c>
      <c r="F579" s="363">
        <f>DATE('Profit Calculation'!J$6,'Profit Calculation'!R$6+A579-1,'Profit Calculation'!Z$6)</f>
        <v>59657</v>
      </c>
      <c r="G579" s="364">
        <f ca="1">IF(Q$27=2,IF(LOOKUP(F579,X$1:X$35,X$1:X$35) = F579,ROUND(LOOKUP(LOOKUP(F579,X$1:X$35,A:A),Single!A$2:A$107,Table13[Saving]),0),IF( LOOKUP(F579,W$1:W$35,W$1:W$35) =
 F579,ROUND(G578*(1+IF($Q$18&lt;6,$R$14,IF($Q$18&lt;11,$R$15,$R$16)))^(1/12),0),G578*(1+IF($Q$18&lt;6,$R$14,IF($Q$18&lt;11,$R$15,$R$16)))^(1/12))),IF(LOOKUP(F579,X$1:X$35,X$1:X$35) = F579,ROUND(LOOKUP(LOOKUP(F579,X$1:X$35,A:A),'Annual Calculation'!A$2:A$107,Table1[Saving]),0),IF( LOOKUP(F579,W$1:W$35,W$1:W$35) =
 F579,ROUND(G578*(1+IF($Q$18&lt;6,$R$14,IF($Q$18&lt;11,$R$15,$R$16)))^(1/12),0),G578*(1+IF($Q$18&lt;6,$R$14,IF($Q$18&lt;11,$R$15,$R$16)))^(1/12))))</f>
        <v>0</v>
      </c>
    </row>
    <row r="580" spans="1:7">
      <c r="A580" s="348">
        <f t="shared" si="18"/>
        <v>579</v>
      </c>
      <c r="B580" s="360">
        <f>DATE('Profit Calculation'!J$6,A$2,A$2+A580-1)</f>
        <v>42583</v>
      </c>
      <c r="D580" s="362">
        <f t="shared" ref="D580:D643" ca="1" si="19">IF(OR(LOOKUP(B580,W$1:W$35,W$1:W$35) = B580, LOOKUP(B580,X$1:X$35,X$1:X$35) = B580),LOOKUP(B580,F:F,G:G),D579*(1+((IF($Q$18&lt;6,$R$14,IF($Q$18&lt;11,$R$15,$R$16)))))^(1/365))</f>
        <v>106669170.09604108</v>
      </c>
      <c r="F580" s="363">
        <f>DATE('Profit Calculation'!J$6,'Profit Calculation'!R$6+A580-1,'Profit Calculation'!Z$6)</f>
        <v>59688</v>
      </c>
      <c r="G580" s="364">
        <f ca="1">IF(Q$27=2,IF(LOOKUP(F580,X$1:X$35,X$1:X$35) = F580,ROUND(LOOKUP(LOOKUP(F580,X$1:X$35,A:A),Single!A$2:A$107,Table13[Saving]),0),IF( LOOKUP(F580,W$1:W$35,W$1:W$35) =
 F580,ROUND(G579*(1+IF($Q$18&lt;6,$R$14,IF($Q$18&lt;11,$R$15,$R$16)))^(1/12),0),G579*(1+IF($Q$18&lt;6,$R$14,IF($Q$18&lt;11,$R$15,$R$16)))^(1/12))),IF(LOOKUP(F580,X$1:X$35,X$1:X$35) = F580,ROUND(LOOKUP(LOOKUP(F580,X$1:X$35,A:A),'Annual Calculation'!A$2:A$107,Table1[Saving]),0),IF( LOOKUP(F580,W$1:W$35,W$1:W$35) =
 F580,ROUND(G579*(1+IF($Q$18&lt;6,$R$14,IF($Q$18&lt;11,$R$15,$R$16)))^(1/12),0),G579*(1+IF($Q$18&lt;6,$R$14,IF($Q$18&lt;11,$R$15,$R$16)))^(1/12))))</f>
        <v>0</v>
      </c>
    </row>
    <row r="581" spans="1:7">
      <c r="A581" s="348">
        <f t="shared" ref="A581:A644" si="20">A580+1</f>
        <v>580</v>
      </c>
      <c r="B581" s="360">
        <f>DATE('Profit Calculation'!J$6,A$2,A$2+A581-1)</f>
        <v>42584</v>
      </c>
      <c r="D581" s="362">
        <f t="shared" ca="1" si="19"/>
        <v>106710022.54818085</v>
      </c>
      <c r="F581" s="363">
        <f>DATE('Profit Calculation'!J$6,'Profit Calculation'!R$6+A581-1,'Profit Calculation'!Z$6)</f>
        <v>59718</v>
      </c>
      <c r="G581" s="364">
        <f ca="1">IF(Q$27=2,IF(LOOKUP(F581,X$1:X$35,X$1:X$35) = F581,ROUND(LOOKUP(LOOKUP(F581,X$1:X$35,A:A),Single!A$2:A$107,Table13[Saving]),0),IF( LOOKUP(F581,W$1:W$35,W$1:W$35) =
 F581,ROUND(G580*(1+IF($Q$18&lt;6,$R$14,IF($Q$18&lt;11,$R$15,$R$16)))^(1/12),0),G580*(1+IF($Q$18&lt;6,$R$14,IF($Q$18&lt;11,$R$15,$R$16)))^(1/12))),IF(LOOKUP(F581,X$1:X$35,X$1:X$35) = F581,ROUND(LOOKUP(LOOKUP(F581,X$1:X$35,A:A),'Annual Calculation'!A$2:A$107,Table1[Saving]),0),IF( LOOKUP(F581,W$1:W$35,W$1:W$35) =
 F581,ROUND(G580*(1+IF($Q$18&lt;6,$R$14,IF($Q$18&lt;11,$R$15,$R$16)))^(1/12),0),G580*(1+IF($Q$18&lt;6,$R$14,IF($Q$18&lt;11,$R$15,$R$16)))^(1/12))))</f>
        <v>0</v>
      </c>
    </row>
    <row r="582" spans="1:7">
      <c r="A582" s="348">
        <f t="shared" si="20"/>
        <v>581</v>
      </c>
      <c r="B582" s="360">
        <f>DATE('Profit Calculation'!J$6,A$2,A$2+A582-1)</f>
        <v>42585</v>
      </c>
      <c r="D582" s="362">
        <f t="shared" ca="1" si="19"/>
        <v>106750890.64610508</v>
      </c>
      <c r="F582" s="363">
        <f>DATE('Profit Calculation'!J$6,'Profit Calculation'!R$6+A582-1,'Profit Calculation'!Z$6)</f>
        <v>59749</v>
      </c>
      <c r="G582" s="364">
        <f ca="1">IF(Q$27=2,IF(LOOKUP(F582,X$1:X$35,X$1:X$35) = F582,ROUND(LOOKUP(LOOKUP(F582,X$1:X$35,A:A),Single!A$2:A$107,Table13[Saving]),0),IF( LOOKUP(F582,W$1:W$35,W$1:W$35) =
 F582,ROUND(G581*(1+IF($Q$18&lt;6,$R$14,IF($Q$18&lt;11,$R$15,$R$16)))^(1/12),0),G581*(1+IF($Q$18&lt;6,$R$14,IF($Q$18&lt;11,$R$15,$R$16)))^(1/12))),IF(LOOKUP(F582,X$1:X$35,X$1:X$35) = F582,ROUND(LOOKUP(LOOKUP(F582,X$1:X$35,A:A),'Annual Calculation'!A$2:A$107,Table1[Saving]),0),IF( LOOKUP(F582,W$1:W$35,W$1:W$35) =
 F582,ROUND(G581*(1+IF($Q$18&lt;6,$R$14,IF($Q$18&lt;11,$R$15,$R$16)))^(1/12),0),G581*(1+IF($Q$18&lt;6,$R$14,IF($Q$18&lt;11,$R$15,$R$16)))^(1/12))))</f>
        <v>0</v>
      </c>
    </row>
    <row r="583" spans="1:7">
      <c r="A583" s="348">
        <f t="shared" si="20"/>
        <v>582</v>
      </c>
      <c r="B583" s="360">
        <f>DATE('Profit Calculation'!J$6,A$2,A$2+A583-1)</f>
        <v>42586</v>
      </c>
      <c r="D583" s="362">
        <f t="shared" ca="1" si="19"/>
        <v>106791774.39580587</v>
      </c>
      <c r="F583" s="363">
        <f>DATE('Profit Calculation'!J$6,'Profit Calculation'!R$6+A583-1,'Profit Calculation'!Z$6)</f>
        <v>59780</v>
      </c>
      <c r="G583" s="364">
        <f ca="1">IF(Q$27=2,IF(LOOKUP(F583,X$1:X$35,X$1:X$35) = F583,ROUND(LOOKUP(LOOKUP(F583,X$1:X$35,A:A),Single!A$2:A$107,Table13[Saving]),0),IF( LOOKUP(F583,W$1:W$35,W$1:W$35) =
 F583,ROUND(G582*(1+IF($Q$18&lt;6,$R$14,IF($Q$18&lt;11,$R$15,$R$16)))^(1/12),0),G582*(1+IF($Q$18&lt;6,$R$14,IF($Q$18&lt;11,$R$15,$R$16)))^(1/12))),IF(LOOKUP(F583,X$1:X$35,X$1:X$35) = F583,ROUND(LOOKUP(LOOKUP(F583,X$1:X$35,A:A),'Annual Calculation'!A$2:A$107,Table1[Saving]),0),IF( LOOKUP(F583,W$1:W$35,W$1:W$35) =
 F583,ROUND(G582*(1+IF($Q$18&lt;6,$R$14,IF($Q$18&lt;11,$R$15,$R$16)))^(1/12),0),G582*(1+IF($Q$18&lt;6,$R$14,IF($Q$18&lt;11,$R$15,$R$16)))^(1/12))))</f>
        <v>0</v>
      </c>
    </row>
    <row r="584" spans="1:7">
      <c r="A584" s="348">
        <f t="shared" si="20"/>
        <v>583</v>
      </c>
      <c r="B584" s="360">
        <f>DATE('Profit Calculation'!J$6,A$2,A$2+A584-1)</f>
        <v>42587</v>
      </c>
      <c r="D584" s="362">
        <f t="shared" ca="1" si="19"/>
        <v>106832673.80327755</v>
      </c>
      <c r="F584" s="363">
        <f>DATE('Profit Calculation'!J$6,'Profit Calculation'!R$6+A584-1,'Profit Calculation'!Z$6)</f>
        <v>59810</v>
      </c>
      <c r="G584" s="364">
        <f ca="1">IF(Q$27=2,IF(LOOKUP(F584,X$1:X$35,X$1:X$35) = F584,ROUND(LOOKUP(LOOKUP(F584,X$1:X$35,A:A),Single!A$2:A$107,Table13[Saving]),0),IF( LOOKUP(F584,W$1:W$35,W$1:W$35) =
 F584,ROUND(G583*(1+IF($Q$18&lt;6,$R$14,IF($Q$18&lt;11,$R$15,$R$16)))^(1/12),0),G583*(1+IF($Q$18&lt;6,$R$14,IF($Q$18&lt;11,$R$15,$R$16)))^(1/12))),IF(LOOKUP(F584,X$1:X$35,X$1:X$35) = F584,ROUND(LOOKUP(LOOKUP(F584,X$1:X$35,A:A),'Annual Calculation'!A$2:A$107,Table1[Saving]),0),IF( LOOKUP(F584,W$1:W$35,W$1:W$35) =
 F584,ROUND(G583*(1+IF($Q$18&lt;6,$R$14,IF($Q$18&lt;11,$R$15,$R$16)))^(1/12),0),G583*(1+IF($Q$18&lt;6,$R$14,IF($Q$18&lt;11,$R$15,$R$16)))^(1/12))))</f>
        <v>0</v>
      </c>
    </row>
    <row r="585" spans="1:7">
      <c r="A585" s="348">
        <f t="shared" si="20"/>
        <v>584</v>
      </c>
      <c r="B585" s="360">
        <f>DATE('Profit Calculation'!J$6,A$2,A$2+A585-1)</f>
        <v>42588</v>
      </c>
      <c r="D585" s="362">
        <f t="shared" ca="1" si="19"/>
        <v>106873588.8745168</v>
      </c>
      <c r="F585" s="363">
        <f>DATE('Profit Calculation'!J$6,'Profit Calculation'!R$6+A585-1,'Profit Calculation'!Z$6)</f>
        <v>59841</v>
      </c>
      <c r="G585" s="364">
        <f ca="1">IF(Q$27=2,IF(LOOKUP(F585,X$1:X$35,X$1:X$35) = F585,ROUND(LOOKUP(LOOKUP(F585,X$1:X$35,A:A),Single!A$2:A$107,Table13[Saving]),0),IF( LOOKUP(F585,W$1:W$35,W$1:W$35) =
 F585,ROUND(G584*(1+IF($Q$18&lt;6,$R$14,IF($Q$18&lt;11,$R$15,$R$16)))^(1/12),0),G584*(1+IF($Q$18&lt;6,$R$14,IF($Q$18&lt;11,$R$15,$R$16)))^(1/12))),IF(LOOKUP(F585,X$1:X$35,X$1:X$35) = F585,ROUND(LOOKUP(LOOKUP(F585,X$1:X$35,A:A),'Annual Calculation'!A$2:A$107,Table1[Saving]),0),IF( LOOKUP(F585,W$1:W$35,W$1:W$35) =
 F585,ROUND(G584*(1+IF($Q$18&lt;6,$R$14,IF($Q$18&lt;11,$R$15,$R$16)))^(1/12),0),G584*(1+IF($Q$18&lt;6,$R$14,IF($Q$18&lt;11,$R$15,$R$16)))^(1/12))))</f>
        <v>0</v>
      </c>
    </row>
    <row r="586" spans="1:7">
      <c r="A586" s="348">
        <f t="shared" si="20"/>
        <v>585</v>
      </c>
      <c r="B586" s="360">
        <f>DATE('Profit Calculation'!J$6,A$2,A$2+A586-1)</f>
        <v>42589</v>
      </c>
      <c r="D586" s="362">
        <f t="shared" ca="1" si="19"/>
        <v>106914519.61552256</v>
      </c>
      <c r="F586" s="363">
        <f>DATE('Profit Calculation'!J$6,'Profit Calculation'!R$6+A586-1,'Profit Calculation'!Z$6)</f>
        <v>59871</v>
      </c>
      <c r="G586" s="364">
        <f ca="1">IF(Q$27=2,IF(LOOKUP(F586,X$1:X$35,X$1:X$35) = F586,ROUND(LOOKUP(LOOKUP(F586,X$1:X$35,A:A),Single!A$2:A$107,Table13[Saving]),0),IF( LOOKUP(F586,W$1:W$35,W$1:W$35) =
 F586,ROUND(G585*(1+IF($Q$18&lt;6,$R$14,IF($Q$18&lt;11,$R$15,$R$16)))^(1/12),0),G585*(1+IF($Q$18&lt;6,$R$14,IF($Q$18&lt;11,$R$15,$R$16)))^(1/12))),IF(LOOKUP(F586,X$1:X$35,X$1:X$35) = F586,ROUND(LOOKUP(LOOKUP(F586,X$1:X$35,A:A),'Annual Calculation'!A$2:A$107,Table1[Saving]),0),IF( LOOKUP(F586,W$1:W$35,W$1:W$35) =
 F586,ROUND(G585*(1+IF($Q$18&lt;6,$R$14,IF($Q$18&lt;11,$R$15,$R$16)))^(1/12),0),G585*(1+IF($Q$18&lt;6,$R$14,IF($Q$18&lt;11,$R$15,$R$16)))^(1/12))))</f>
        <v>0</v>
      </c>
    </row>
    <row r="587" spans="1:7">
      <c r="A587" s="348">
        <f t="shared" si="20"/>
        <v>586</v>
      </c>
      <c r="B587" s="360">
        <f>DATE('Profit Calculation'!J$6,A$2,A$2+A587-1)</f>
        <v>42590</v>
      </c>
      <c r="D587" s="362">
        <f t="shared" ca="1" si="19"/>
        <v>106955466.03229609</v>
      </c>
      <c r="F587" s="363">
        <f>DATE('Profit Calculation'!J$6,'Profit Calculation'!R$6+A587-1,'Profit Calculation'!Z$6)</f>
        <v>59902</v>
      </c>
      <c r="G587" s="364">
        <f ca="1">IF(Q$27=2,IF(LOOKUP(F587,X$1:X$35,X$1:X$35) = F587,ROUND(LOOKUP(LOOKUP(F587,X$1:X$35,A:A),Single!A$2:A$107,Table13[Saving]),0),IF( LOOKUP(F587,W$1:W$35,W$1:W$35) =
 F587,ROUND(G586*(1+IF($Q$18&lt;6,$R$14,IF($Q$18&lt;11,$R$15,$R$16)))^(1/12),0),G586*(1+IF($Q$18&lt;6,$R$14,IF($Q$18&lt;11,$R$15,$R$16)))^(1/12))),IF(LOOKUP(F587,X$1:X$35,X$1:X$35) = F587,ROUND(LOOKUP(LOOKUP(F587,X$1:X$35,A:A),'Annual Calculation'!A$2:A$107,Table1[Saving]),0),IF( LOOKUP(F587,W$1:W$35,W$1:W$35) =
 F587,ROUND(G586*(1+IF($Q$18&lt;6,$R$14,IF($Q$18&lt;11,$R$15,$R$16)))^(1/12),0),G586*(1+IF($Q$18&lt;6,$R$14,IF($Q$18&lt;11,$R$15,$R$16)))^(1/12))))</f>
        <v>0</v>
      </c>
    </row>
    <row r="588" spans="1:7">
      <c r="A588" s="348">
        <f t="shared" si="20"/>
        <v>587</v>
      </c>
      <c r="B588" s="360">
        <f>DATE('Profit Calculation'!J$6,A$2,A$2+A588-1)</f>
        <v>42591</v>
      </c>
      <c r="D588" s="362">
        <f t="shared" ca="1" si="19"/>
        <v>106996428.13084093</v>
      </c>
      <c r="F588" s="363">
        <f>DATE('Profit Calculation'!J$6,'Profit Calculation'!R$6+A588-1,'Profit Calculation'!Z$6)</f>
        <v>59933</v>
      </c>
      <c r="G588" s="364">
        <f ca="1">IF(Q$27=2,IF(LOOKUP(F588,X$1:X$35,X$1:X$35) = F588,ROUND(LOOKUP(LOOKUP(F588,X$1:X$35,A:A),Single!A$2:A$107,Table13[Saving]),0),IF( LOOKUP(F588,W$1:W$35,W$1:W$35) =
 F588,ROUND(G587*(1+IF($Q$18&lt;6,$R$14,IF($Q$18&lt;11,$R$15,$R$16)))^(1/12),0),G587*(1+IF($Q$18&lt;6,$R$14,IF($Q$18&lt;11,$R$15,$R$16)))^(1/12))),IF(LOOKUP(F588,X$1:X$35,X$1:X$35) = F588,ROUND(LOOKUP(LOOKUP(F588,X$1:X$35,A:A),'Annual Calculation'!A$2:A$107,Table1[Saving]),0),IF( LOOKUP(F588,W$1:W$35,W$1:W$35) =
 F588,ROUND(G587*(1+IF($Q$18&lt;6,$R$14,IF($Q$18&lt;11,$R$15,$R$16)))^(1/12),0),G587*(1+IF($Q$18&lt;6,$R$14,IF($Q$18&lt;11,$R$15,$R$16)))^(1/12))))</f>
        <v>0</v>
      </c>
    </row>
    <row r="589" spans="1:7">
      <c r="A589" s="348">
        <f t="shared" si="20"/>
        <v>588</v>
      </c>
      <c r="B589" s="360">
        <f>DATE('Profit Calculation'!J$6,A$2,A$2+A589-1)</f>
        <v>42592</v>
      </c>
      <c r="D589" s="362">
        <f t="shared" ca="1" si="19"/>
        <v>107037405.91716293</v>
      </c>
      <c r="F589" s="363">
        <f>DATE('Profit Calculation'!J$6,'Profit Calculation'!R$6+A589-1,'Profit Calculation'!Z$6)</f>
        <v>59962</v>
      </c>
      <c r="G589" s="364">
        <f ca="1">IF(Q$27=2,IF(LOOKUP(F589,X$1:X$35,X$1:X$35) = F589,ROUND(LOOKUP(LOOKUP(F589,X$1:X$35,A:A),Single!A$2:A$107,Table13[Saving]),0),IF( LOOKUP(F589,W$1:W$35,W$1:W$35) =
 F589,ROUND(G588*(1+IF($Q$18&lt;6,$R$14,IF($Q$18&lt;11,$R$15,$R$16)))^(1/12),0),G588*(1+IF($Q$18&lt;6,$R$14,IF($Q$18&lt;11,$R$15,$R$16)))^(1/12))),IF(LOOKUP(F589,X$1:X$35,X$1:X$35) = F589,ROUND(LOOKUP(LOOKUP(F589,X$1:X$35,A:A),'Annual Calculation'!A$2:A$107,Table1[Saving]),0),IF( LOOKUP(F589,W$1:W$35,W$1:W$35) =
 F589,ROUND(G588*(1+IF($Q$18&lt;6,$R$14,IF($Q$18&lt;11,$R$15,$R$16)))^(1/12),0),G588*(1+IF($Q$18&lt;6,$R$14,IF($Q$18&lt;11,$R$15,$R$16)))^(1/12))))</f>
        <v>0</v>
      </c>
    </row>
    <row r="590" spans="1:7">
      <c r="A590" s="348">
        <f t="shared" si="20"/>
        <v>589</v>
      </c>
      <c r="B590" s="360">
        <f>DATE('Profit Calculation'!J$6,A$2,A$2+A590-1)</f>
        <v>42593</v>
      </c>
      <c r="D590" s="362">
        <f t="shared" ca="1" si="19"/>
        <v>107078399.39727023</v>
      </c>
      <c r="F590" s="363">
        <f>DATE('Profit Calculation'!J$6,'Profit Calculation'!R$6+A590-1,'Profit Calculation'!Z$6)</f>
        <v>59993</v>
      </c>
      <c r="G590" s="364">
        <f ca="1">IF(Q$27=2,IF(LOOKUP(F590,X$1:X$35,X$1:X$35) = F590,ROUND(LOOKUP(LOOKUP(F590,X$1:X$35,A:A),Single!A$2:A$107,Table13[Saving]),0),IF( LOOKUP(F590,W$1:W$35,W$1:W$35) =
 F590,ROUND(G589*(1+IF($Q$18&lt;6,$R$14,IF($Q$18&lt;11,$R$15,$R$16)))^(1/12),0),G589*(1+IF($Q$18&lt;6,$R$14,IF($Q$18&lt;11,$R$15,$R$16)))^(1/12))),IF(LOOKUP(F590,X$1:X$35,X$1:X$35) = F590,ROUND(LOOKUP(LOOKUP(F590,X$1:X$35,A:A),'Annual Calculation'!A$2:A$107,Table1[Saving]),0),IF( LOOKUP(F590,W$1:W$35,W$1:W$35) =
 F590,ROUND(G589*(1+IF($Q$18&lt;6,$R$14,IF($Q$18&lt;11,$R$15,$R$16)))^(1/12),0),G589*(1+IF($Q$18&lt;6,$R$14,IF($Q$18&lt;11,$R$15,$R$16)))^(1/12))))</f>
        <v>0</v>
      </c>
    </row>
    <row r="591" spans="1:7">
      <c r="A591" s="348">
        <f t="shared" si="20"/>
        <v>590</v>
      </c>
      <c r="B591" s="360">
        <f>DATE('Profit Calculation'!J$6,A$2,A$2+A591-1)</f>
        <v>42594</v>
      </c>
      <c r="D591" s="362">
        <f t="shared" ca="1" si="19"/>
        <v>107119408.57717329</v>
      </c>
      <c r="F591" s="363">
        <f>DATE('Profit Calculation'!J$6,'Profit Calculation'!R$6+A591-1,'Profit Calculation'!Z$6)</f>
        <v>60023</v>
      </c>
      <c r="G591" s="364">
        <f ca="1">IF(Q$27=2,IF(LOOKUP(F591,X$1:X$35,X$1:X$35) = F591,ROUND(LOOKUP(LOOKUP(F591,X$1:X$35,A:A),Single!A$2:A$107,Table13[Saving]),0),IF( LOOKUP(F591,W$1:W$35,W$1:W$35) =
 F591,ROUND(G590*(1+IF($Q$18&lt;6,$R$14,IF($Q$18&lt;11,$R$15,$R$16)))^(1/12),0),G590*(1+IF($Q$18&lt;6,$R$14,IF($Q$18&lt;11,$R$15,$R$16)))^(1/12))),IF(LOOKUP(F591,X$1:X$35,X$1:X$35) = F591,ROUND(LOOKUP(LOOKUP(F591,X$1:X$35,A:A),'Annual Calculation'!A$2:A$107,Table1[Saving]),0),IF( LOOKUP(F591,W$1:W$35,W$1:W$35) =
 F591,ROUND(G590*(1+IF($Q$18&lt;6,$R$14,IF($Q$18&lt;11,$R$15,$R$16)))^(1/12),0),G590*(1+IF($Q$18&lt;6,$R$14,IF($Q$18&lt;11,$R$15,$R$16)))^(1/12))))</f>
        <v>0</v>
      </c>
    </row>
    <row r="592" spans="1:7">
      <c r="A592" s="348">
        <f t="shared" si="20"/>
        <v>591</v>
      </c>
      <c r="B592" s="360">
        <f>DATE('Profit Calculation'!J$6,A$2,A$2+A592-1)</f>
        <v>42595</v>
      </c>
      <c r="D592" s="362">
        <f t="shared" ca="1" si="19"/>
        <v>107160433.46288486</v>
      </c>
      <c r="F592" s="363">
        <f>DATE('Profit Calculation'!J$6,'Profit Calculation'!R$6+A592-1,'Profit Calculation'!Z$6)</f>
        <v>60054</v>
      </c>
      <c r="G592" s="364">
        <f ca="1">IF(Q$27=2,IF(LOOKUP(F592,X$1:X$35,X$1:X$35) = F592,ROUND(LOOKUP(LOOKUP(F592,X$1:X$35,A:A),Single!A$2:A$107,Table13[Saving]),0),IF( LOOKUP(F592,W$1:W$35,W$1:W$35) =
 F592,ROUND(G591*(1+IF($Q$18&lt;6,$R$14,IF($Q$18&lt;11,$R$15,$R$16)))^(1/12),0),G591*(1+IF($Q$18&lt;6,$R$14,IF($Q$18&lt;11,$R$15,$R$16)))^(1/12))),IF(LOOKUP(F592,X$1:X$35,X$1:X$35) = F592,ROUND(LOOKUP(LOOKUP(F592,X$1:X$35,A:A),'Annual Calculation'!A$2:A$107,Table1[Saving]),0),IF( LOOKUP(F592,W$1:W$35,W$1:W$35) =
 F592,ROUND(G591*(1+IF($Q$18&lt;6,$R$14,IF($Q$18&lt;11,$R$15,$R$16)))^(1/12),0),G591*(1+IF($Q$18&lt;6,$R$14,IF($Q$18&lt;11,$R$15,$R$16)))^(1/12))))</f>
        <v>0</v>
      </c>
    </row>
    <row r="593" spans="1:7">
      <c r="A593" s="348">
        <f t="shared" si="20"/>
        <v>592</v>
      </c>
      <c r="B593" s="360">
        <f>DATE('Profit Calculation'!J$6,A$2,A$2+A593-1)</f>
        <v>42596</v>
      </c>
      <c r="D593" s="362">
        <f t="shared" ca="1" si="19"/>
        <v>107201474.06041999</v>
      </c>
      <c r="F593" s="363">
        <f>DATE('Profit Calculation'!J$6,'Profit Calculation'!R$6+A593-1,'Profit Calculation'!Z$6)</f>
        <v>60084</v>
      </c>
      <c r="G593" s="364">
        <f ca="1">IF(Q$27=2,IF(LOOKUP(F593,X$1:X$35,X$1:X$35) = F593,ROUND(LOOKUP(LOOKUP(F593,X$1:X$35,A:A),Single!A$2:A$107,Table13[Saving]),0),IF( LOOKUP(F593,W$1:W$35,W$1:W$35) =
 F593,ROUND(G592*(1+IF($Q$18&lt;6,$R$14,IF($Q$18&lt;11,$R$15,$R$16)))^(1/12),0),G592*(1+IF($Q$18&lt;6,$R$14,IF($Q$18&lt;11,$R$15,$R$16)))^(1/12))),IF(LOOKUP(F593,X$1:X$35,X$1:X$35) = F593,ROUND(LOOKUP(LOOKUP(F593,X$1:X$35,A:A),'Annual Calculation'!A$2:A$107,Table1[Saving]),0),IF( LOOKUP(F593,W$1:W$35,W$1:W$35) =
 F593,ROUND(G592*(1+IF($Q$18&lt;6,$R$14,IF($Q$18&lt;11,$R$15,$R$16)))^(1/12),0),G592*(1+IF($Q$18&lt;6,$R$14,IF($Q$18&lt;11,$R$15,$R$16)))^(1/12))))</f>
        <v>0</v>
      </c>
    </row>
    <row r="594" spans="1:7">
      <c r="A594" s="348">
        <f t="shared" si="20"/>
        <v>593</v>
      </c>
      <c r="B594" s="360">
        <f>DATE('Profit Calculation'!J$6,A$2,A$2+A594-1)</f>
        <v>42597</v>
      </c>
      <c r="D594" s="362">
        <f t="shared" ca="1" si="19"/>
        <v>107242530.37579605</v>
      </c>
      <c r="F594" s="363">
        <f>DATE('Profit Calculation'!J$6,'Profit Calculation'!R$6+A594-1,'Profit Calculation'!Z$6)</f>
        <v>60115</v>
      </c>
      <c r="G594" s="364">
        <f ca="1">IF(Q$27=2,IF(LOOKUP(F594,X$1:X$35,X$1:X$35) = F594,ROUND(LOOKUP(LOOKUP(F594,X$1:X$35,A:A),Single!A$2:A$107,Table13[Saving]),0),IF( LOOKUP(F594,W$1:W$35,W$1:W$35) =
 F594,ROUND(G593*(1+IF($Q$18&lt;6,$R$14,IF($Q$18&lt;11,$R$15,$R$16)))^(1/12),0),G593*(1+IF($Q$18&lt;6,$R$14,IF($Q$18&lt;11,$R$15,$R$16)))^(1/12))),IF(LOOKUP(F594,X$1:X$35,X$1:X$35) = F594,ROUND(LOOKUP(LOOKUP(F594,X$1:X$35,A:A),'Annual Calculation'!A$2:A$107,Table1[Saving]),0),IF( LOOKUP(F594,W$1:W$35,W$1:W$35) =
 F594,ROUND(G593*(1+IF($Q$18&lt;6,$R$14,IF($Q$18&lt;11,$R$15,$R$16)))^(1/12),0),G593*(1+IF($Q$18&lt;6,$R$14,IF($Q$18&lt;11,$R$15,$R$16)))^(1/12))))</f>
        <v>0</v>
      </c>
    </row>
    <row r="595" spans="1:7">
      <c r="A595" s="348">
        <f t="shared" si="20"/>
        <v>594</v>
      </c>
      <c r="B595" s="360">
        <f>DATE('Profit Calculation'!J$6,A$2,A$2+A595-1)</f>
        <v>42598</v>
      </c>
      <c r="D595" s="362">
        <f t="shared" ca="1" si="19"/>
        <v>107283602.41503268</v>
      </c>
      <c r="F595" s="363">
        <f>DATE('Profit Calculation'!J$6,'Profit Calculation'!R$6+A595-1,'Profit Calculation'!Z$6)</f>
        <v>60146</v>
      </c>
      <c r="G595" s="364">
        <f ca="1">IF(Q$27=2,IF(LOOKUP(F595,X$1:X$35,X$1:X$35) = F595,ROUND(LOOKUP(LOOKUP(F595,X$1:X$35,A:A),Single!A$2:A$107,Table13[Saving]),0),IF( LOOKUP(F595,W$1:W$35,W$1:W$35) =
 F595,ROUND(G594*(1+IF($Q$18&lt;6,$R$14,IF($Q$18&lt;11,$R$15,$R$16)))^(1/12),0),G594*(1+IF($Q$18&lt;6,$R$14,IF($Q$18&lt;11,$R$15,$R$16)))^(1/12))),IF(LOOKUP(F595,X$1:X$35,X$1:X$35) = F595,ROUND(LOOKUP(LOOKUP(F595,X$1:X$35,A:A),'Annual Calculation'!A$2:A$107,Table1[Saving]),0),IF( LOOKUP(F595,W$1:W$35,W$1:W$35) =
 F595,ROUND(G594*(1+IF($Q$18&lt;6,$R$14,IF($Q$18&lt;11,$R$15,$R$16)))^(1/12),0),G594*(1+IF($Q$18&lt;6,$R$14,IF($Q$18&lt;11,$R$15,$R$16)))^(1/12))))</f>
        <v>0</v>
      </c>
    </row>
    <row r="596" spans="1:7">
      <c r="A596" s="348">
        <f t="shared" si="20"/>
        <v>595</v>
      </c>
      <c r="B596" s="360">
        <f>DATE('Profit Calculation'!J$6,A$2,A$2+A596-1)</f>
        <v>42599</v>
      </c>
      <c r="D596" s="362">
        <f t="shared" ca="1" si="19"/>
        <v>107324690.18415187</v>
      </c>
      <c r="F596" s="363">
        <f>DATE('Profit Calculation'!J$6,'Profit Calculation'!R$6+A596-1,'Profit Calculation'!Z$6)</f>
        <v>60176</v>
      </c>
      <c r="G596" s="364">
        <f ca="1">IF(Q$27=2,IF(LOOKUP(F596,X$1:X$35,X$1:X$35) = F596,ROUND(LOOKUP(LOOKUP(F596,X$1:X$35,A:A),Single!A$2:A$107,Table13[Saving]),0),IF( LOOKUP(F596,W$1:W$35,W$1:W$35) =
 F596,ROUND(G595*(1+IF($Q$18&lt;6,$R$14,IF($Q$18&lt;11,$R$15,$R$16)))^(1/12),0),G595*(1+IF($Q$18&lt;6,$R$14,IF($Q$18&lt;11,$R$15,$R$16)))^(1/12))),IF(LOOKUP(F596,X$1:X$35,X$1:X$35) = F596,ROUND(LOOKUP(LOOKUP(F596,X$1:X$35,A:A),'Annual Calculation'!A$2:A$107,Table1[Saving]),0),IF( LOOKUP(F596,W$1:W$35,W$1:W$35) =
 F596,ROUND(G595*(1+IF($Q$18&lt;6,$R$14,IF($Q$18&lt;11,$R$15,$R$16)))^(1/12),0),G595*(1+IF($Q$18&lt;6,$R$14,IF($Q$18&lt;11,$R$15,$R$16)))^(1/12))))</f>
        <v>0</v>
      </c>
    </row>
    <row r="597" spans="1:7">
      <c r="A597" s="348">
        <f t="shared" si="20"/>
        <v>596</v>
      </c>
      <c r="B597" s="360">
        <f>DATE('Profit Calculation'!J$6,A$2,A$2+A597-1)</f>
        <v>42600</v>
      </c>
      <c r="D597" s="362">
        <f t="shared" ca="1" si="19"/>
        <v>107365793.68917789</v>
      </c>
      <c r="F597" s="363">
        <f>DATE('Profit Calculation'!J$6,'Profit Calculation'!R$6+A597-1,'Profit Calculation'!Z$6)</f>
        <v>60207</v>
      </c>
      <c r="G597" s="364">
        <f ca="1">IF(Q$27=2,IF(LOOKUP(F597,X$1:X$35,X$1:X$35) = F597,ROUND(LOOKUP(LOOKUP(F597,X$1:X$35,A:A),Single!A$2:A$107,Table13[Saving]),0),IF( LOOKUP(F597,W$1:W$35,W$1:W$35) =
 F597,ROUND(G596*(1+IF($Q$18&lt;6,$R$14,IF($Q$18&lt;11,$R$15,$R$16)))^(1/12),0),G596*(1+IF($Q$18&lt;6,$R$14,IF($Q$18&lt;11,$R$15,$R$16)))^(1/12))),IF(LOOKUP(F597,X$1:X$35,X$1:X$35) = F597,ROUND(LOOKUP(LOOKUP(F597,X$1:X$35,A:A),'Annual Calculation'!A$2:A$107,Table1[Saving]),0),IF( LOOKUP(F597,W$1:W$35,W$1:W$35) =
 F597,ROUND(G596*(1+IF($Q$18&lt;6,$R$14,IF($Q$18&lt;11,$R$15,$R$16)))^(1/12),0),G596*(1+IF($Q$18&lt;6,$R$14,IF($Q$18&lt;11,$R$15,$R$16)))^(1/12))))</f>
        <v>0</v>
      </c>
    </row>
    <row r="598" spans="1:7">
      <c r="A598" s="348">
        <f t="shared" si="20"/>
        <v>597</v>
      </c>
      <c r="B598" s="360">
        <f>DATE('Profit Calculation'!J$6,A$2,A$2+A598-1)</f>
        <v>42601</v>
      </c>
      <c r="D598" s="362">
        <f t="shared" ca="1" si="19"/>
        <v>107406912.93613729</v>
      </c>
      <c r="F598" s="363">
        <f>DATE('Profit Calculation'!J$6,'Profit Calculation'!R$6+A598-1,'Profit Calculation'!Z$6)</f>
        <v>60237</v>
      </c>
      <c r="G598" s="364">
        <f ca="1">IF(Q$27=2,IF(LOOKUP(F598,X$1:X$35,X$1:X$35) = F598,ROUND(LOOKUP(LOOKUP(F598,X$1:X$35,A:A),Single!A$2:A$107,Table13[Saving]),0),IF( LOOKUP(F598,W$1:W$35,W$1:W$35) =
 F598,ROUND(G597*(1+IF($Q$18&lt;6,$R$14,IF($Q$18&lt;11,$R$15,$R$16)))^(1/12),0),G597*(1+IF($Q$18&lt;6,$R$14,IF($Q$18&lt;11,$R$15,$R$16)))^(1/12))),IF(LOOKUP(F598,X$1:X$35,X$1:X$35) = F598,ROUND(LOOKUP(LOOKUP(F598,X$1:X$35,A:A),'Annual Calculation'!A$2:A$107,Table1[Saving]),0),IF( LOOKUP(F598,W$1:W$35,W$1:W$35) =
 F598,ROUND(G597*(1+IF($Q$18&lt;6,$R$14,IF($Q$18&lt;11,$R$15,$R$16)))^(1/12),0),G597*(1+IF($Q$18&lt;6,$R$14,IF($Q$18&lt;11,$R$15,$R$16)))^(1/12))))</f>
        <v>0</v>
      </c>
    </row>
    <row r="599" spans="1:7">
      <c r="A599" s="348">
        <f t="shared" si="20"/>
        <v>598</v>
      </c>
      <c r="B599" s="360">
        <f>DATE('Profit Calculation'!J$6,A$2,A$2+A599-1)</f>
        <v>42602</v>
      </c>
      <c r="D599" s="362">
        <f t="shared" ca="1" si="19"/>
        <v>107448047.93105899</v>
      </c>
      <c r="F599" s="363">
        <f>DATE('Profit Calculation'!J$6,'Profit Calculation'!R$6+A599-1,'Profit Calculation'!Z$6)</f>
        <v>60268</v>
      </c>
      <c r="G599" s="364">
        <f ca="1">IF(Q$27=2,IF(LOOKUP(F599,X$1:X$35,X$1:X$35) = F599,ROUND(LOOKUP(LOOKUP(F599,X$1:X$35,A:A),Single!A$2:A$107,Table13[Saving]),0),IF( LOOKUP(F599,W$1:W$35,W$1:W$35) =
 F599,ROUND(G598*(1+IF($Q$18&lt;6,$R$14,IF($Q$18&lt;11,$R$15,$R$16)))^(1/12),0),G598*(1+IF($Q$18&lt;6,$R$14,IF($Q$18&lt;11,$R$15,$R$16)))^(1/12))),IF(LOOKUP(F599,X$1:X$35,X$1:X$35) = F599,ROUND(LOOKUP(LOOKUP(F599,X$1:X$35,A:A),'Annual Calculation'!A$2:A$107,Table1[Saving]),0),IF( LOOKUP(F599,W$1:W$35,W$1:W$35) =
 F599,ROUND(G598*(1+IF($Q$18&lt;6,$R$14,IF($Q$18&lt;11,$R$15,$R$16)))^(1/12),0),G598*(1+IF($Q$18&lt;6,$R$14,IF($Q$18&lt;11,$R$15,$R$16)))^(1/12))))</f>
        <v>0</v>
      </c>
    </row>
    <row r="600" spans="1:7">
      <c r="A600" s="348">
        <f t="shared" si="20"/>
        <v>599</v>
      </c>
      <c r="B600" s="360">
        <f>DATE('Profit Calculation'!J$6,A$2,A$2+A600-1)</f>
        <v>42603</v>
      </c>
      <c r="D600" s="362">
        <f t="shared" ca="1" si="19"/>
        <v>107489198.67997418</v>
      </c>
      <c r="F600" s="363">
        <f>DATE('Profit Calculation'!J$6,'Profit Calculation'!R$6+A600-1,'Profit Calculation'!Z$6)</f>
        <v>60299</v>
      </c>
      <c r="G600" s="364">
        <f ca="1">IF(Q$27=2,IF(LOOKUP(F600,X$1:X$35,X$1:X$35) = F600,ROUND(LOOKUP(LOOKUP(F600,X$1:X$35,A:A),Single!A$2:A$107,Table13[Saving]),0),IF( LOOKUP(F600,W$1:W$35,W$1:W$35) =
 F600,ROUND(G599*(1+IF($Q$18&lt;6,$R$14,IF($Q$18&lt;11,$R$15,$R$16)))^(1/12),0),G599*(1+IF($Q$18&lt;6,$R$14,IF($Q$18&lt;11,$R$15,$R$16)))^(1/12))),IF(LOOKUP(F600,X$1:X$35,X$1:X$35) = F600,ROUND(LOOKUP(LOOKUP(F600,X$1:X$35,A:A),'Annual Calculation'!A$2:A$107,Table1[Saving]),0),IF( LOOKUP(F600,W$1:W$35,W$1:W$35) =
 F600,ROUND(G599*(1+IF($Q$18&lt;6,$R$14,IF($Q$18&lt;11,$R$15,$R$16)))^(1/12),0),G599*(1+IF($Q$18&lt;6,$R$14,IF($Q$18&lt;11,$R$15,$R$16)))^(1/12))))</f>
        <v>0</v>
      </c>
    </row>
    <row r="601" spans="1:7">
      <c r="A601" s="348">
        <f t="shared" si="20"/>
        <v>600</v>
      </c>
      <c r="B601" s="360">
        <f>DATE('Profit Calculation'!J$6,A$2,A$2+A601-1)</f>
        <v>42604</v>
      </c>
      <c r="D601" s="362">
        <f t="shared" ca="1" si="19"/>
        <v>107530365.18891637</v>
      </c>
      <c r="F601" s="363">
        <f>DATE('Profit Calculation'!J$6,'Profit Calculation'!R$6+A601-1,'Profit Calculation'!Z$6)</f>
        <v>60327</v>
      </c>
      <c r="G601" s="364">
        <f ca="1">IF(Q$27=2,IF(LOOKUP(F601,X$1:X$35,X$1:X$35) = F601,ROUND(LOOKUP(LOOKUP(F601,X$1:X$35,A:A),Single!A$2:A$107,Table13[Saving]),0),IF( LOOKUP(F601,W$1:W$35,W$1:W$35) =
 F601,ROUND(G600*(1+IF($Q$18&lt;6,$R$14,IF($Q$18&lt;11,$R$15,$R$16)))^(1/12),0),G600*(1+IF($Q$18&lt;6,$R$14,IF($Q$18&lt;11,$R$15,$R$16)))^(1/12))),IF(LOOKUP(F601,X$1:X$35,X$1:X$35) = F601,ROUND(LOOKUP(LOOKUP(F601,X$1:X$35,A:A),'Annual Calculation'!A$2:A$107,Table1[Saving]),0),IF( LOOKUP(F601,W$1:W$35,W$1:W$35) =
 F601,ROUND(G600*(1+IF($Q$18&lt;6,$R$14,IF($Q$18&lt;11,$R$15,$R$16)))^(1/12),0),G600*(1+IF($Q$18&lt;6,$R$14,IF($Q$18&lt;11,$R$15,$R$16)))^(1/12))))</f>
        <v>0</v>
      </c>
    </row>
    <row r="602" spans="1:7">
      <c r="A602" s="348">
        <f t="shared" si="20"/>
        <v>601</v>
      </c>
      <c r="B602" s="360">
        <f>DATE('Profit Calculation'!J$6,A$2,A$2+A602-1)</f>
        <v>42605</v>
      </c>
      <c r="D602" s="362">
        <f t="shared" ca="1" si="19"/>
        <v>107571547.46392138</v>
      </c>
      <c r="F602" s="363">
        <f>DATE('Profit Calculation'!J$6,'Profit Calculation'!R$6+A602-1,'Profit Calculation'!Z$6)</f>
        <v>60358</v>
      </c>
      <c r="G602" s="364">
        <f ca="1">IF(Q$27=2,IF(LOOKUP(F602,X$1:X$35,X$1:X$35) = F602,ROUND(LOOKUP(LOOKUP(F602,X$1:X$35,A:A),Single!A$2:A$107,Table13[Saving]),0),IF( LOOKUP(F602,W$1:W$35,W$1:W$35) =
 F602,ROUND(G601*(1+IF($Q$18&lt;6,$R$14,IF($Q$18&lt;11,$R$15,$R$16)))^(1/12),0),G601*(1+IF($Q$18&lt;6,$R$14,IF($Q$18&lt;11,$R$15,$R$16)))^(1/12))),IF(LOOKUP(F602,X$1:X$35,X$1:X$35) = F602,ROUND(LOOKUP(LOOKUP(F602,X$1:X$35,A:A),'Annual Calculation'!A$2:A$107,Table1[Saving]),0),IF( LOOKUP(F602,W$1:W$35,W$1:W$35) =
 F602,ROUND(G601*(1+IF($Q$18&lt;6,$R$14,IF($Q$18&lt;11,$R$15,$R$16)))^(1/12),0),G601*(1+IF($Q$18&lt;6,$R$14,IF($Q$18&lt;11,$R$15,$R$16)))^(1/12))))</f>
        <v>0</v>
      </c>
    </row>
    <row r="603" spans="1:7">
      <c r="A603" s="348">
        <f t="shared" si="20"/>
        <v>602</v>
      </c>
      <c r="B603" s="360">
        <f>DATE('Profit Calculation'!J$6,A$2,A$2+A603-1)</f>
        <v>42606</v>
      </c>
      <c r="D603" s="362">
        <f t="shared" ca="1" si="19"/>
        <v>107612745.51102734</v>
      </c>
      <c r="F603" s="363">
        <f>DATE('Profit Calculation'!J$6,'Profit Calculation'!R$6+A603-1,'Profit Calculation'!Z$6)</f>
        <v>60388</v>
      </c>
      <c r="G603" s="364">
        <f ca="1">IF(Q$27=2,IF(LOOKUP(F603,X$1:X$35,X$1:X$35) = F603,ROUND(LOOKUP(LOOKUP(F603,X$1:X$35,A:A),Single!A$2:A$107,Table13[Saving]),0),IF( LOOKUP(F603,W$1:W$35,W$1:W$35) =
 F603,ROUND(G602*(1+IF($Q$18&lt;6,$R$14,IF($Q$18&lt;11,$R$15,$R$16)))^(1/12),0),G602*(1+IF($Q$18&lt;6,$R$14,IF($Q$18&lt;11,$R$15,$R$16)))^(1/12))),IF(LOOKUP(F603,X$1:X$35,X$1:X$35) = F603,ROUND(LOOKUP(LOOKUP(F603,X$1:X$35,A:A),'Annual Calculation'!A$2:A$107,Table1[Saving]),0),IF( LOOKUP(F603,W$1:W$35,W$1:W$35) =
 F603,ROUND(G602*(1+IF($Q$18&lt;6,$R$14,IF($Q$18&lt;11,$R$15,$R$16)))^(1/12),0),G602*(1+IF($Q$18&lt;6,$R$14,IF($Q$18&lt;11,$R$15,$R$16)))^(1/12))))</f>
        <v>0</v>
      </c>
    </row>
    <row r="604" spans="1:7">
      <c r="A604" s="348">
        <f t="shared" si="20"/>
        <v>603</v>
      </c>
      <c r="B604" s="360">
        <f>DATE('Profit Calculation'!J$6,A$2,A$2+A604-1)</f>
        <v>42607</v>
      </c>
      <c r="D604" s="362">
        <f t="shared" ca="1" si="19"/>
        <v>107653959.33627468</v>
      </c>
      <c r="F604" s="363">
        <f>DATE('Profit Calculation'!J$6,'Profit Calculation'!R$6+A604-1,'Profit Calculation'!Z$6)</f>
        <v>60419</v>
      </c>
      <c r="G604" s="364">
        <f ca="1">IF(Q$27=2,IF(LOOKUP(F604,X$1:X$35,X$1:X$35) = F604,ROUND(LOOKUP(LOOKUP(F604,X$1:X$35,A:A),Single!A$2:A$107,Table13[Saving]),0),IF( LOOKUP(F604,W$1:W$35,W$1:W$35) =
 F604,ROUND(G603*(1+IF($Q$18&lt;6,$R$14,IF($Q$18&lt;11,$R$15,$R$16)))^(1/12),0),G603*(1+IF($Q$18&lt;6,$R$14,IF($Q$18&lt;11,$R$15,$R$16)))^(1/12))),IF(LOOKUP(F604,X$1:X$35,X$1:X$35) = F604,ROUND(LOOKUP(LOOKUP(F604,X$1:X$35,A:A),'Annual Calculation'!A$2:A$107,Table1[Saving]),0),IF( LOOKUP(F604,W$1:W$35,W$1:W$35) =
 F604,ROUND(G603*(1+IF($Q$18&lt;6,$R$14,IF($Q$18&lt;11,$R$15,$R$16)))^(1/12),0),G603*(1+IF($Q$18&lt;6,$R$14,IF($Q$18&lt;11,$R$15,$R$16)))^(1/12))))</f>
        <v>0</v>
      </c>
    </row>
    <row r="605" spans="1:7">
      <c r="A605" s="348">
        <f t="shared" si="20"/>
        <v>604</v>
      </c>
      <c r="B605" s="360">
        <f>DATE('Profit Calculation'!J$6,A$2,A$2+A605-1)</f>
        <v>42608</v>
      </c>
      <c r="D605" s="362">
        <f t="shared" ca="1" si="19"/>
        <v>107695188.94570617</v>
      </c>
      <c r="F605" s="363">
        <f>DATE('Profit Calculation'!J$6,'Profit Calculation'!R$6+A605-1,'Profit Calculation'!Z$6)</f>
        <v>60449</v>
      </c>
      <c r="G605" s="364">
        <f ca="1">IF(Q$27=2,IF(LOOKUP(F605,X$1:X$35,X$1:X$35) = F605,ROUND(LOOKUP(LOOKUP(F605,X$1:X$35,A:A),Single!A$2:A$107,Table13[Saving]),0),IF( LOOKUP(F605,W$1:W$35,W$1:W$35) =
 F605,ROUND(G604*(1+IF($Q$18&lt;6,$R$14,IF($Q$18&lt;11,$R$15,$R$16)))^(1/12),0),G604*(1+IF($Q$18&lt;6,$R$14,IF($Q$18&lt;11,$R$15,$R$16)))^(1/12))),IF(LOOKUP(F605,X$1:X$35,X$1:X$35) = F605,ROUND(LOOKUP(LOOKUP(F605,X$1:X$35,A:A),'Annual Calculation'!A$2:A$107,Table1[Saving]),0),IF( LOOKUP(F605,W$1:W$35,W$1:W$35) =
 F605,ROUND(G604*(1+IF($Q$18&lt;6,$R$14,IF($Q$18&lt;11,$R$15,$R$16)))^(1/12),0),G604*(1+IF($Q$18&lt;6,$R$14,IF($Q$18&lt;11,$R$15,$R$16)))^(1/12))))</f>
        <v>0</v>
      </c>
    </row>
    <row r="606" spans="1:7">
      <c r="A606" s="348">
        <f t="shared" si="20"/>
        <v>605</v>
      </c>
      <c r="B606" s="360">
        <f>DATE('Profit Calculation'!J$6,A$2,A$2+A606-1)</f>
        <v>42609</v>
      </c>
      <c r="D606" s="362">
        <f t="shared" ca="1" si="19"/>
        <v>107736434.34536688</v>
      </c>
      <c r="F606" s="363">
        <f>DATE('Profit Calculation'!J$6,'Profit Calculation'!R$6+A606-1,'Profit Calculation'!Z$6)</f>
        <v>60480</v>
      </c>
      <c r="G606" s="364">
        <f ca="1">IF(Q$27=2,IF(LOOKUP(F606,X$1:X$35,X$1:X$35) = F606,ROUND(LOOKUP(LOOKUP(F606,X$1:X$35,A:A),Single!A$2:A$107,Table13[Saving]),0),IF( LOOKUP(F606,W$1:W$35,W$1:W$35) =
 F606,ROUND(G605*(1+IF($Q$18&lt;6,$R$14,IF($Q$18&lt;11,$R$15,$R$16)))^(1/12),0),G605*(1+IF($Q$18&lt;6,$R$14,IF($Q$18&lt;11,$R$15,$R$16)))^(1/12))),IF(LOOKUP(F606,X$1:X$35,X$1:X$35) = F606,ROUND(LOOKUP(LOOKUP(F606,X$1:X$35,A:A),'Annual Calculation'!A$2:A$107,Table1[Saving]),0),IF( LOOKUP(F606,W$1:W$35,W$1:W$35) =
 F606,ROUND(G605*(1+IF($Q$18&lt;6,$R$14,IF($Q$18&lt;11,$R$15,$R$16)))^(1/12),0),G605*(1+IF($Q$18&lt;6,$R$14,IF($Q$18&lt;11,$R$15,$R$16)))^(1/12))))</f>
        <v>0</v>
      </c>
    </row>
    <row r="607" spans="1:7">
      <c r="A607" s="348">
        <f t="shared" si="20"/>
        <v>606</v>
      </c>
      <c r="B607" s="360">
        <f>DATE('Profit Calculation'!J$6,A$2,A$2+A607-1)</f>
        <v>42610</v>
      </c>
      <c r="D607" s="362">
        <f t="shared" ca="1" si="19"/>
        <v>107777695.54130419</v>
      </c>
      <c r="F607" s="363">
        <f>DATE('Profit Calculation'!J$6,'Profit Calculation'!R$6+A607-1,'Profit Calculation'!Z$6)</f>
        <v>60511</v>
      </c>
      <c r="G607" s="364">
        <f ca="1">IF(Q$27=2,IF(LOOKUP(F607,X$1:X$35,X$1:X$35) = F607,ROUND(LOOKUP(LOOKUP(F607,X$1:X$35,A:A),Single!A$2:A$107,Table13[Saving]),0),IF( LOOKUP(F607,W$1:W$35,W$1:W$35) =
 F607,ROUND(G606*(1+IF($Q$18&lt;6,$R$14,IF($Q$18&lt;11,$R$15,$R$16)))^(1/12),0),G606*(1+IF($Q$18&lt;6,$R$14,IF($Q$18&lt;11,$R$15,$R$16)))^(1/12))),IF(LOOKUP(F607,X$1:X$35,X$1:X$35) = F607,ROUND(LOOKUP(LOOKUP(F607,X$1:X$35,A:A),'Annual Calculation'!A$2:A$107,Table1[Saving]),0),IF( LOOKUP(F607,W$1:W$35,W$1:W$35) =
 F607,ROUND(G606*(1+IF($Q$18&lt;6,$R$14,IF($Q$18&lt;11,$R$15,$R$16)))^(1/12),0),G606*(1+IF($Q$18&lt;6,$R$14,IF($Q$18&lt;11,$R$15,$R$16)))^(1/12))))</f>
        <v>0</v>
      </c>
    </row>
    <row r="608" spans="1:7">
      <c r="A608" s="348">
        <f t="shared" si="20"/>
        <v>607</v>
      </c>
      <c r="B608" s="360">
        <f>DATE('Profit Calculation'!J$6,A$2,A$2+A608-1)</f>
        <v>42611</v>
      </c>
      <c r="D608" s="362">
        <f t="shared" ca="1" si="19"/>
        <v>107818972.5395678</v>
      </c>
      <c r="F608" s="363">
        <f>DATE('Profit Calculation'!J$6,'Profit Calculation'!R$6+A608-1,'Profit Calculation'!Z$6)</f>
        <v>60541</v>
      </c>
      <c r="G608" s="364">
        <f ca="1">IF(Q$27=2,IF(LOOKUP(F608,X$1:X$35,X$1:X$35) = F608,ROUND(LOOKUP(LOOKUP(F608,X$1:X$35,A:A),Single!A$2:A$107,Table13[Saving]),0),IF( LOOKUP(F608,W$1:W$35,W$1:W$35) =
 F608,ROUND(G607*(1+IF($Q$18&lt;6,$R$14,IF($Q$18&lt;11,$R$15,$R$16)))^(1/12),0),G607*(1+IF($Q$18&lt;6,$R$14,IF($Q$18&lt;11,$R$15,$R$16)))^(1/12))),IF(LOOKUP(F608,X$1:X$35,X$1:X$35) = F608,ROUND(LOOKUP(LOOKUP(F608,X$1:X$35,A:A),'Annual Calculation'!A$2:A$107,Table1[Saving]),0),IF( LOOKUP(F608,W$1:W$35,W$1:W$35) =
 F608,ROUND(G607*(1+IF($Q$18&lt;6,$R$14,IF($Q$18&lt;11,$R$15,$R$16)))^(1/12),0),G607*(1+IF($Q$18&lt;6,$R$14,IF($Q$18&lt;11,$R$15,$R$16)))^(1/12))))</f>
        <v>0</v>
      </c>
    </row>
    <row r="609" spans="1:7">
      <c r="A609" s="348">
        <f t="shared" si="20"/>
        <v>608</v>
      </c>
      <c r="B609" s="360">
        <f>DATE('Profit Calculation'!J$6,A$2,A$2+A609-1)</f>
        <v>42612</v>
      </c>
      <c r="D609" s="362">
        <f t="shared" ca="1" si="19"/>
        <v>107860265.34620972</v>
      </c>
      <c r="F609" s="363">
        <f>DATE('Profit Calculation'!J$6,'Profit Calculation'!R$6+A609-1,'Profit Calculation'!Z$6)</f>
        <v>60572</v>
      </c>
      <c r="G609" s="364">
        <f ca="1">IF(Q$27=2,IF(LOOKUP(F609,X$1:X$35,X$1:X$35) = F609,ROUND(LOOKUP(LOOKUP(F609,X$1:X$35,A:A),Single!A$2:A$107,Table13[Saving]),0),IF( LOOKUP(F609,W$1:W$35,W$1:W$35) =
 F609,ROUND(G608*(1+IF($Q$18&lt;6,$R$14,IF($Q$18&lt;11,$R$15,$R$16)))^(1/12),0),G608*(1+IF($Q$18&lt;6,$R$14,IF($Q$18&lt;11,$R$15,$R$16)))^(1/12))),IF(LOOKUP(F609,X$1:X$35,X$1:X$35) = F609,ROUND(LOOKUP(LOOKUP(F609,X$1:X$35,A:A),'Annual Calculation'!A$2:A$107,Table1[Saving]),0),IF( LOOKUP(F609,W$1:W$35,W$1:W$35) =
 F609,ROUND(G608*(1+IF($Q$18&lt;6,$R$14,IF($Q$18&lt;11,$R$15,$R$16)))^(1/12),0),G608*(1+IF($Q$18&lt;6,$R$14,IF($Q$18&lt;11,$R$15,$R$16)))^(1/12))))</f>
        <v>0</v>
      </c>
    </row>
    <row r="610" spans="1:7">
      <c r="A610" s="348">
        <f t="shared" si="20"/>
        <v>609</v>
      </c>
      <c r="B610" s="360">
        <f>DATE('Profit Calculation'!J$6,A$2,A$2+A610-1)</f>
        <v>42613</v>
      </c>
      <c r="D610" s="362">
        <f t="shared" ca="1" si="19"/>
        <v>107901573.96728431</v>
      </c>
      <c r="F610" s="363">
        <f>DATE('Profit Calculation'!J$6,'Profit Calculation'!R$6+A610-1,'Profit Calculation'!Z$6)</f>
        <v>60602</v>
      </c>
      <c r="G610" s="364">
        <f ca="1">IF(Q$27=2,IF(LOOKUP(F610,X$1:X$35,X$1:X$35) = F610,ROUND(LOOKUP(LOOKUP(F610,X$1:X$35,A:A),Single!A$2:A$107,Table13[Saving]),0),IF( LOOKUP(F610,W$1:W$35,W$1:W$35) =
 F610,ROUND(G609*(1+IF($Q$18&lt;6,$R$14,IF($Q$18&lt;11,$R$15,$R$16)))^(1/12),0),G609*(1+IF($Q$18&lt;6,$R$14,IF($Q$18&lt;11,$R$15,$R$16)))^(1/12))),IF(LOOKUP(F610,X$1:X$35,X$1:X$35) = F610,ROUND(LOOKUP(LOOKUP(F610,X$1:X$35,A:A),'Annual Calculation'!A$2:A$107,Table1[Saving]),0),IF( LOOKUP(F610,W$1:W$35,W$1:W$35) =
 F610,ROUND(G609*(1+IF($Q$18&lt;6,$R$14,IF($Q$18&lt;11,$R$15,$R$16)))^(1/12),0),G609*(1+IF($Q$18&lt;6,$R$14,IF($Q$18&lt;11,$R$15,$R$16)))^(1/12))))</f>
        <v>0</v>
      </c>
    </row>
    <row r="611" spans="1:7">
      <c r="A611" s="348">
        <f t="shared" si="20"/>
        <v>610</v>
      </c>
      <c r="B611" s="360">
        <f>DATE('Profit Calculation'!J$6,A$2,A$2+A611-1)</f>
        <v>42614</v>
      </c>
      <c r="D611" s="362">
        <f t="shared" ca="1" si="19"/>
        <v>107942898.4088482</v>
      </c>
      <c r="F611" s="363">
        <f>DATE('Profit Calculation'!J$6,'Profit Calculation'!R$6+A611-1,'Profit Calculation'!Z$6)</f>
        <v>60633</v>
      </c>
      <c r="G611" s="364">
        <f ca="1">IF(Q$27=2,IF(LOOKUP(F611,X$1:X$35,X$1:X$35) = F611,ROUND(LOOKUP(LOOKUP(F611,X$1:X$35,A:A),Single!A$2:A$107,Table13[Saving]),0),IF( LOOKUP(F611,W$1:W$35,W$1:W$35) =
 F611,ROUND(G610*(1+IF($Q$18&lt;6,$R$14,IF($Q$18&lt;11,$R$15,$R$16)))^(1/12),0),G610*(1+IF($Q$18&lt;6,$R$14,IF($Q$18&lt;11,$R$15,$R$16)))^(1/12))),IF(LOOKUP(F611,X$1:X$35,X$1:X$35) = F611,ROUND(LOOKUP(LOOKUP(F611,X$1:X$35,A:A),'Annual Calculation'!A$2:A$107,Table1[Saving]),0),IF( LOOKUP(F611,W$1:W$35,W$1:W$35) =
 F611,ROUND(G610*(1+IF($Q$18&lt;6,$R$14,IF($Q$18&lt;11,$R$15,$R$16)))^(1/12),0),G610*(1+IF($Q$18&lt;6,$R$14,IF($Q$18&lt;11,$R$15,$R$16)))^(1/12))))</f>
        <v>0</v>
      </c>
    </row>
    <row r="612" spans="1:7">
      <c r="A612" s="348">
        <f t="shared" si="20"/>
        <v>611</v>
      </c>
      <c r="B612" s="360">
        <f>DATE('Profit Calculation'!J$6,A$2,A$2+A612-1)</f>
        <v>42615</v>
      </c>
      <c r="D612" s="362">
        <f t="shared" ca="1" si="19"/>
        <v>107984238.67696038</v>
      </c>
      <c r="F612" s="363">
        <f>DATE('Profit Calculation'!J$6,'Profit Calculation'!R$6+A612-1,'Profit Calculation'!Z$6)</f>
        <v>60664</v>
      </c>
      <c r="G612" s="364">
        <f ca="1">IF(Q$27=2,IF(LOOKUP(F612,X$1:X$35,X$1:X$35) = F612,ROUND(LOOKUP(LOOKUP(F612,X$1:X$35,A:A),Single!A$2:A$107,Table13[Saving]),0),IF( LOOKUP(F612,W$1:W$35,W$1:W$35) =
 F612,ROUND(G611*(1+IF($Q$18&lt;6,$R$14,IF($Q$18&lt;11,$R$15,$R$16)))^(1/12),0),G611*(1+IF($Q$18&lt;6,$R$14,IF($Q$18&lt;11,$R$15,$R$16)))^(1/12))),IF(LOOKUP(F612,X$1:X$35,X$1:X$35) = F612,ROUND(LOOKUP(LOOKUP(F612,X$1:X$35,A:A),'Annual Calculation'!A$2:A$107,Table1[Saving]),0),IF( LOOKUP(F612,W$1:W$35,W$1:W$35) =
 F612,ROUND(G611*(1+IF($Q$18&lt;6,$R$14,IF($Q$18&lt;11,$R$15,$R$16)))^(1/12),0),G611*(1+IF($Q$18&lt;6,$R$14,IF($Q$18&lt;11,$R$15,$R$16)))^(1/12))))</f>
        <v>0</v>
      </c>
    </row>
    <row r="613" spans="1:7">
      <c r="A613" s="348">
        <f t="shared" si="20"/>
        <v>612</v>
      </c>
      <c r="B613" s="360">
        <f>DATE('Profit Calculation'!J$6,A$2,A$2+A613-1)</f>
        <v>42616</v>
      </c>
      <c r="D613" s="362">
        <f t="shared" ca="1" si="19"/>
        <v>108025594.77768214</v>
      </c>
      <c r="F613" s="363">
        <f>DATE('Profit Calculation'!J$6,'Profit Calculation'!R$6+A613-1,'Profit Calculation'!Z$6)</f>
        <v>60692</v>
      </c>
      <c r="G613" s="364">
        <f ca="1">IF(Q$27=2,IF(LOOKUP(F613,X$1:X$35,X$1:X$35) = F613,ROUND(LOOKUP(LOOKUP(F613,X$1:X$35,A:A),Single!A$2:A$107,Table13[Saving]),0),IF( LOOKUP(F613,W$1:W$35,W$1:W$35) =
 F613,ROUND(G612*(1+IF($Q$18&lt;6,$R$14,IF($Q$18&lt;11,$R$15,$R$16)))^(1/12),0),G612*(1+IF($Q$18&lt;6,$R$14,IF($Q$18&lt;11,$R$15,$R$16)))^(1/12))),IF(LOOKUP(F613,X$1:X$35,X$1:X$35) = F613,ROUND(LOOKUP(LOOKUP(F613,X$1:X$35,A:A),'Annual Calculation'!A$2:A$107,Table1[Saving]),0),IF( LOOKUP(F613,W$1:W$35,W$1:W$35) =
 F613,ROUND(G612*(1+IF($Q$18&lt;6,$R$14,IF($Q$18&lt;11,$R$15,$R$16)))^(1/12),0),G612*(1+IF($Q$18&lt;6,$R$14,IF($Q$18&lt;11,$R$15,$R$16)))^(1/12))))</f>
        <v>0</v>
      </c>
    </row>
    <row r="614" spans="1:7">
      <c r="A614" s="348">
        <f t="shared" si="20"/>
        <v>613</v>
      </c>
      <c r="B614" s="360">
        <f>DATE('Profit Calculation'!J$6,A$2,A$2+A614-1)</f>
        <v>42617</v>
      </c>
      <c r="D614" s="362">
        <f t="shared" ca="1" si="19"/>
        <v>108066966.71707711</v>
      </c>
      <c r="F614" s="363">
        <f>DATE('Profit Calculation'!J$6,'Profit Calculation'!R$6+A614-1,'Profit Calculation'!Z$6)</f>
        <v>60723</v>
      </c>
      <c r="G614" s="364">
        <f ca="1">IF(Q$27=2,IF(LOOKUP(F614,X$1:X$35,X$1:X$35) = F614,ROUND(LOOKUP(LOOKUP(F614,X$1:X$35,A:A),Single!A$2:A$107,Table13[Saving]),0),IF( LOOKUP(F614,W$1:W$35,W$1:W$35) =
 F614,ROUND(G613*(1+IF($Q$18&lt;6,$R$14,IF($Q$18&lt;11,$R$15,$R$16)))^(1/12),0),G613*(1+IF($Q$18&lt;6,$R$14,IF($Q$18&lt;11,$R$15,$R$16)))^(1/12))),IF(LOOKUP(F614,X$1:X$35,X$1:X$35) = F614,ROUND(LOOKUP(LOOKUP(F614,X$1:X$35,A:A),'Annual Calculation'!A$2:A$107,Table1[Saving]),0),IF( LOOKUP(F614,W$1:W$35,W$1:W$35) =
 F614,ROUND(G613*(1+IF($Q$18&lt;6,$R$14,IF($Q$18&lt;11,$R$15,$R$16)))^(1/12),0),G613*(1+IF($Q$18&lt;6,$R$14,IF($Q$18&lt;11,$R$15,$R$16)))^(1/12))))</f>
        <v>0</v>
      </c>
    </row>
    <row r="615" spans="1:7">
      <c r="A615" s="348">
        <f t="shared" si="20"/>
        <v>614</v>
      </c>
      <c r="B615" s="360">
        <f>DATE('Profit Calculation'!J$6,A$2,A$2+A615-1)</f>
        <v>42618</v>
      </c>
      <c r="D615" s="362">
        <f t="shared" ca="1" si="19"/>
        <v>108108354.50121121</v>
      </c>
      <c r="F615" s="363">
        <f>DATE('Profit Calculation'!J$6,'Profit Calculation'!R$6+A615-1,'Profit Calculation'!Z$6)</f>
        <v>60753</v>
      </c>
      <c r="G615" s="364">
        <f ca="1">IF(Q$27=2,IF(LOOKUP(F615,X$1:X$35,X$1:X$35) = F615,ROUND(LOOKUP(LOOKUP(F615,X$1:X$35,A:A),Single!A$2:A$107,Table13[Saving]),0),IF( LOOKUP(F615,W$1:W$35,W$1:W$35) =
 F615,ROUND(G614*(1+IF($Q$18&lt;6,$R$14,IF($Q$18&lt;11,$R$15,$R$16)))^(1/12),0),G614*(1+IF($Q$18&lt;6,$R$14,IF($Q$18&lt;11,$R$15,$R$16)))^(1/12))),IF(LOOKUP(F615,X$1:X$35,X$1:X$35) = F615,ROUND(LOOKUP(LOOKUP(F615,X$1:X$35,A:A),'Annual Calculation'!A$2:A$107,Table1[Saving]),0),IF( LOOKUP(F615,W$1:W$35,W$1:W$35) =
 F615,ROUND(G614*(1+IF($Q$18&lt;6,$R$14,IF($Q$18&lt;11,$R$15,$R$16)))^(1/12),0),G614*(1+IF($Q$18&lt;6,$R$14,IF($Q$18&lt;11,$R$15,$R$16)))^(1/12))))</f>
        <v>0</v>
      </c>
    </row>
    <row r="616" spans="1:7">
      <c r="A616" s="348">
        <f t="shared" si="20"/>
        <v>615</v>
      </c>
      <c r="B616" s="360">
        <f>DATE('Profit Calculation'!J$6,A$2,A$2+A616-1)</f>
        <v>42619</v>
      </c>
      <c r="D616" s="362">
        <f t="shared" ca="1" si="19"/>
        <v>108149758.13615271</v>
      </c>
      <c r="F616" s="363">
        <f>DATE('Profit Calculation'!J$6,'Profit Calculation'!R$6+A616-1,'Profit Calculation'!Z$6)</f>
        <v>60784</v>
      </c>
      <c r="G616" s="364">
        <f ca="1">IF(Q$27=2,IF(LOOKUP(F616,X$1:X$35,X$1:X$35) = F616,ROUND(LOOKUP(LOOKUP(F616,X$1:X$35,A:A),Single!A$2:A$107,Table13[Saving]),0),IF( LOOKUP(F616,W$1:W$35,W$1:W$35) =
 F616,ROUND(G615*(1+IF($Q$18&lt;6,$R$14,IF($Q$18&lt;11,$R$15,$R$16)))^(1/12),0),G615*(1+IF($Q$18&lt;6,$R$14,IF($Q$18&lt;11,$R$15,$R$16)))^(1/12))),IF(LOOKUP(F616,X$1:X$35,X$1:X$35) = F616,ROUND(LOOKUP(LOOKUP(F616,X$1:X$35,A:A),'Annual Calculation'!A$2:A$107,Table1[Saving]),0),IF( LOOKUP(F616,W$1:W$35,W$1:W$35) =
 F616,ROUND(G615*(1+IF($Q$18&lt;6,$R$14,IF($Q$18&lt;11,$R$15,$R$16)))^(1/12),0),G615*(1+IF($Q$18&lt;6,$R$14,IF($Q$18&lt;11,$R$15,$R$16)))^(1/12))))</f>
        <v>0</v>
      </c>
    </row>
    <row r="617" spans="1:7">
      <c r="A617" s="348">
        <f t="shared" si="20"/>
        <v>616</v>
      </c>
      <c r="B617" s="360">
        <f>DATE('Profit Calculation'!J$6,A$2,A$2+A617-1)</f>
        <v>42620</v>
      </c>
      <c r="D617" s="362">
        <f t="shared" ca="1" si="19"/>
        <v>108191177.6279722</v>
      </c>
      <c r="F617" s="363">
        <f>DATE('Profit Calculation'!J$6,'Profit Calculation'!R$6+A617-1,'Profit Calculation'!Z$6)</f>
        <v>60814</v>
      </c>
      <c r="G617" s="364">
        <f ca="1">IF(Q$27=2,IF(LOOKUP(F617,X$1:X$35,X$1:X$35) = F617,ROUND(LOOKUP(LOOKUP(F617,X$1:X$35,A:A),Single!A$2:A$107,Table13[Saving]),0),IF( LOOKUP(F617,W$1:W$35,W$1:W$35) =
 F617,ROUND(G616*(1+IF($Q$18&lt;6,$R$14,IF($Q$18&lt;11,$R$15,$R$16)))^(1/12),0),G616*(1+IF($Q$18&lt;6,$R$14,IF($Q$18&lt;11,$R$15,$R$16)))^(1/12))),IF(LOOKUP(F617,X$1:X$35,X$1:X$35) = F617,ROUND(LOOKUP(LOOKUP(F617,X$1:X$35,A:A),'Annual Calculation'!A$2:A$107,Table1[Saving]),0),IF( LOOKUP(F617,W$1:W$35,W$1:W$35) =
 F617,ROUND(G616*(1+IF($Q$18&lt;6,$R$14,IF($Q$18&lt;11,$R$15,$R$16)))^(1/12),0),G616*(1+IF($Q$18&lt;6,$R$14,IF($Q$18&lt;11,$R$15,$R$16)))^(1/12))))</f>
        <v>0</v>
      </c>
    </row>
    <row r="618" spans="1:7">
      <c r="A618" s="348">
        <f t="shared" si="20"/>
        <v>617</v>
      </c>
      <c r="B618" s="360">
        <f>DATE('Profit Calculation'!J$6,A$2,A$2+A618-1)</f>
        <v>42621</v>
      </c>
      <c r="D618" s="362">
        <f t="shared" ca="1" si="19"/>
        <v>108232612.98274258</v>
      </c>
      <c r="F618" s="363">
        <f>DATE('Profit Calculation'!J$6,'Profit Calculation'!R$6+A618-1,'Profit Calculation'!Z$6)</f>
        <v>60845</v>
      </c>
      <c r="G618" s="364">
        <f ca="1">IF(Q$27=2,IF(LOOKUP(F618,X$1:X$35,X$1:X$35) = F618,ROUND(LOOKUP(LOOKUP(F618,X$1:X$35,A:A),Single!A$2:A$107,Table13[Saving]),0),IF( LOOKUP(F618,W$1:W$35,W$1:W$35) =
 F618,ROUND(G617*(1+IF($Q$18&lt;6,$R$14,IF($Q$18&lt;11,$R$15,$R$16)))^(1/12),0),G617*(1+IF($Q$18&lt;6,$R$14,IF($Q$18&lt;11,$R$15,$R$16)))^(1/12))),IF(LOOKUP(F618,X$1:X$35,X$1:X$35) = F618,ROUND(LOOKUP(LOOKUP(F618,X$1:X$35,A:A),'Annual Calculation'!A$2:A$107,Table1[Saving]),0),IF( LOOKUP(F618,W$1:W$35,W$1:W$35) =
 F618,ROUND(G617*(1+IF($Q$18&lt;6,$R$14,IF($Q$18&lt;11,$R$15,$R$16)))^(1/12),0),G617*(1+IF($Q$18&lt;6,$R$14,IF($Q$18&lt;11,$R$15,$R$16)))^(1/12))))</f>
        <v>0</v>
      </c>
    </row>
    <row r="619" spans="1:7">
      <c r="A619" s="348">
        <f t="shared" si="20"/>
        <v>618</v>
      </c>
      <c r="B619" s="360">
        <f>DATE('Profit Calculation'!J$6,A$2,A$2+A619-1)</f>
        <v>42622</v>
      </c>
      <c r="D619" s="362">
        <f t="shared" ca="1" si="19"/>
        <v>108274064.20653908</v>
      </c>
      <c r="F619" s="363">
        <f>DATE('Profit Calculation'!J$6,'Profit Calculation'!R$6+A619-1,'Profit Calculation'!Z$6)</f>
        <v>60876</v>
      </c>
      <c r="G619" s="364">
        <f ca="1">IF(Q$27=2,IF(LOOKUP(F619,X$1:X$35,X$1:X$35) = F619,ROUND(LOOKUP(LOOKUP(F619,X$1:X$35,A:A),Single!A$2:A$107,Table13[Saving]),0),IF( LOOKUP(F619,W$1:W$35,W$1:W$35) =
 F619,ROUND(G618*(1+IF($Q$18&lt;6,$R$14,IF($Q$18&lt;11,$R$15,$R$16)))^(1/12),0),G618*(1+IF($Q$18&lt;6,$R$14,IF($Q$18&lt;11,$R$15,$R$16)))^(1/12))),IF(LOOKUP(F619,X$1:X$35,X$1:X$35) = F619,ROUND(LOOKUP(LOOKUP(F619,X$1:X$35,A:A),'Annual Calculation'!A$2:A$107,Table1[Saving]),0),IF( LOOKUP(F619,W$1:W$35,W$1:W$35) =
 F619,ROUND(G618*(1+IF($Q$18&lt;6,$R$14,IF($Q$18&lt;11,$R$15,$R$16)))^(1/12),0),G618*(1+IF($Q$18&lt;6,$R$14,IF($Q$18&lt;11,$R$15,$R$16)))^(1/12))))</f>
        <v>0</v>
      </c>
    </row>
    <row r="620" spans="1:7">
      <c r="A620" s="348">
        <f t="shared" si="20"/>
        <v>619</v>
      </c>
      <c r="B620" s="360">
        <f>DATE('Profit Calculation'!J$6,A$2,A$2+A620-1)</f>
        <v>42623</v>
      </c>
      <c r="D620" s="362">
        <f t="shared" ca="1" si="19"/>
        <v>108315531.30543928</v>
      </c>
      <c r="F620" s="363">
        <f>DATE('Profit Calculation'!J$6,'Profit Calculation'!R$6+A620-1,'Profit Calculation'!Z$6)</f>
        <v>60906</v>
      </c>
      <c r="G620" s="364">
        <f ca="1">IF(Q$27=2,IF(LOOKUP(F620,X$1:X$35,X$1:X$35) = F620,ROUND(LOOKUP(LOOKUP(F620,X$1:X$35,A:A),Single!A$2:A$107,Table13[Saving]),0),IF( LOOKUP(F620,W$1:W$35,W$1:W$35) =
 F620,ROUND(G619*(1+IF($Q$18&lt;6,$R$14,IF($Q$18&lt;11,$R$15,$R$16)))^(1/12),0),G619*(1+IF($Q$18&lt;6,$R$14,IF($Q$18&lt;11,$R$15,$R$16)))^(1/12))),IF(LOOKUP(F620,X$1:X$35,X$1:X$35) = F620,ROUND(LOOKUP(LOOKUP(F620,X$1:X$35,A:A),'Annual Calculation'!A$2:A$107,Table1[Saving]),0),IF( LOOKUP(F620,W$1:W$35,W$1:W$35) =
 F620,ROUND(G619*(1+IF($Q$18&lt;6,$R$14,IF($Q$18&lt;11,$R$15,$R$16)))^(1/12),0),G619*(1+IF($Q$18&lt;6,$R$14,IF($Q$18&lt;11,$R$15,$R$16)))^(1/12))))</f>
        <v>0</v>
      </c>
    </row>
    <row r="621" spans="1:7">
      <c r="A621" s="348">
        <f t="shared" si="20"/>
        <v>620</v>
      </c>
      <c r="B621" s="360">
        <f>DATE('Profit Calculation'!J$6,A$2,A$2+A621-1)</f>
        <v>42624</v>
      </c>
      <c r="D621" s="362">
        <f t="shared" ca="1" si="19"/>
        <v>108357014.28552307</v>
      </c>
      <c r="F621" s="363">
        <f>DATE('Profit Calculation'!J$6,'Profit Calculation'!R$6+A621-1,'Profit Calculation'!Z$6)</f>
        <v>60937</v>
      </c>
      <c r="G621" s="364">
        <f ca="1">IF(Q$27=2,IF(LOOKUP(F621,X$1:X$35,X$1:X$35) = F621,ROUND(LOOKUP(LOOKUP(F621,X$1:X$35,A:A),Single!A$2:A$107,Table13[Saving]),0),IF( LOOKUP(F621,W$1:W$35,W$1:W$35) =
 F621,ROUND(G620*(1+IF($Q$18&lt;6,$R$14,IF($Q$18&lt;11,$R$15,$R$16)))^(1/12),0),G620*(1+IF($Q$18&lt;6,$R$14,IF($Q$18&lt;11,$R$15,$R$16)))^(1/12))),IF(LOOKUP(F621,X$1:X$35,X$1:X$35) = F621,ROUND(LOOKUP(LOOKUP(F621,X$1:X$35,A:A),'Annual Calculation'!A$2:A$107,Table1[Saving]),0),IF( LOOKUP(F621,W$1:W$35,W$1:W$35) =
 F621,ROUND(G620*(1+IF($Q$18&lt;6,$R$14,IF($Q$18&lt;11,$R$15,$R$16)))^(1/12),0),G620*(1+IF($Q$18&lt;6,$R$14,IF($Q$18&lt;11,$R$15,$R$16)))^(1/12))))</f>
        <v>0</v>
      </c>
    </row>
    <row r="622" spans="1:7">
      <c r="A622" s="348">
        <f t="shared" si="20"/>
        <v>621</v>
      </c>
      <c r="B622" s="360">
        <f>DATE('Profit Calculation'!J$6,A$2,A$2+A622-1)</f>
        <v>42625</v>
      </c>
      <c r="D622" s="362">
        <f t="shared" ca="1" si="19"/>
        <v>108398513.15287267</v>
      </c>
      <c r="F622" s="363">
        <f>DATE('Profit Calculation'!J$6,'Profit Calculation'!R$6+A622-1,'Profit Calculation'!Z$6)</f>
        <v>60967</v>
      </c>
      <c r="G622" s="364">
        <f ca="1">IF(Q$27=2,IF(LOOKUP(F622,X$1:X$35,X$1:X$35) = F622,ROUND(LOOKUP(LOOKUP(F622,X$1:X$35,A:A),Single!A$2:A$107,Table13[Saving]),0),IF( LOOKUP(F622,W$1:W$35,W$1:W$35) =
 F622,ROUND(G621*(1+IF($Q$18&lt;6,$R$14,IF($Q$18&lt;11,$R$15,$R$16)))^(1/12),0),G621*(1+IF($Q$18&lt;6,$R$14,IF($Q$18&lt;11,$R$15,$R$16)))^(1/12))),IF(LOOKUP(F622,X$1:X$35,X$1:X$35) = F622,ROUND(LOOKUP(LOOKUP(F622,X$1:X$35,A:A),'Annual Calculation'!A$2:A$107,Table1[Saving]),0),IF( LOOKUP(F622,W$1:W$35,W$1:W$35) =
 F622,ROUND(G621*(1+IF($Q$18&lt;6,$R$14,IF($Q$18&lt;11,$R$15,$R$16)))^(1/12),0),G621*(1+IF($Q$18&lt;6,$R$14,IF($Q$18&lt;11,$R$15,$R$16)))^(1/12))))</f>
        <v>0</v>
      </c>
    </row>
    <row r="623" spans="1:7">
      <c r="A623" s="348">
        <f t="shared" si="20"/>
        <v>622</v>
      </c>
      <c r="B623" s="360">
        <f>DATE('Profit Calculation'!J$6,A$2,A$2+A623-1)</f>
        <v>42626</v>
      </c>
      <c r="D623" s="362">
        <f t="shared" ca="1" si="19"/>
        <v>108440027.91357261</v>
      </c>
      <c r="F623" s="363">
        <f>DATE('Profit Calculation'!J$6,'Profit Calculation'!R$6+A623-1,'Profit Calculation'!Z$6)</f>
        <v>60998</v>
      </c>
      <c r="G623" s="364">
        <f ca="1">IF(Q$27=2,IF(LOOKUP(F623,X$1:X$35,X$1:X$35) = F623,ROUND(LOOKUP(LOOKUP(F623,X$1:X$35,A:A),Single!A$2:A$107,Table13[Saving]),0),IF( LOOKUP(F623,W$1:W$35,W$1:W$35) =
 F623,ROUND(G622*(1+IF($Q$18&lt;6,$R$14,IF($Q$18&lt;11,$R$15,$R$16)))^(1/12),0),G622*(1+IF($Q$18&lt;6,$R$14,IF($Q$18&lt;11,$R$15,$R$16)))^(1/12))),IF(LOOKUP(F623,X$1:X$35,X$1:X$35) = F623,ROUND(LOOKUP(LOOKUP(F623,X$1:X$35,A:A),'Annual Calculation'!A$2:A$107,Table1[Saving]),0),IF( LOOKUP(F623,W$1:W$35,W$1:W$35) =
 F623,ROUND(G622*(1+IF($Q$18&lt;6,$R$14,IF($Q$18&lt;11,$R$15,$R$16)))^(1/12),0),G622*(1+IF($Q$18&lt;6,$R$14,IF($Q$18&lt;11,$R$15,$R$16)))^(1/12))))</f>
        <v>0</v>
      </c>
    </row>
    <row r="624" spans="1:7">
      <c r="A624" s="348">
        <f t="shared" si="20"/>
        <v>623</v>
      </c>
      <c r="B624" s="360">
        <f>DATE('Profit Calculation'!J$6,A$2,A$2+A624-1)</f>
        <v>42627</v>
      </c>
      <c r="D624" s="362">
        <f t="shared" ca="1" si="19"/>
        <v>108481558.57370979</v>
      </c>
      <c r="F624" s="363">
        <f>DATE('Profit Calculation'!J$6,'Profit Calculation'!R$6+A624-1,'Profit Calculation'!Z$6)</f>
        <v>61029</v>
      </c>
      <c r="G624" s="364">
        <f ca="1">IF(Q$27=2,IF(LOOKUP(F624,X$1:X$35,X$1:X$35) = F624,ROUND(LOOKUP(LOOKUP(F624,X$1:X$35,A:A),Single!A$2:A$107,Table13[Saving]),0),IF( LOOKUP(F624,W$1:W$35,W$1:W$35) =
 F624,ROUND(G623*(1+IF($Q$18&lt;6,$R$14,IF($Q$18&lt;11,$R$15,$R$16)))^(1/12),0),G623*(1+IF($Q$18&lt;6,$R$14,IF($Q$18&lt;11,$R$15,$R$16)))^(1/12))),IF(LOOKUP(F624,X$1:X$35,X$1:X$35) = F624,ROUND(LOOKUP(LOOKUP(F624,X$1:X$35,A:A),'Annual Calculation'!A$2:A$107,Table1[Saving]),0),IF( LOOKUP(F624,W$1:W$35,W$1:W$35) =
 F624,ROUND(G623*(1+IF($Q$18&lt;6,$R$14,IF($Q$18&lt;11,$R$15,$R$16)))^(1/12),0),G623*(1+IF($Q$18&lt;6,$R$14,IF($Q$18&lt;11,$R$15,$R$16)))^(1/12))))</f>
        <v>0</v>
      </c>
    </row>
    <row r="625" spans="1:7">
      <c r="A625" s="348">
        <f t="shared" si="20"/>
        <v>624</v>
      </c>
      <c r="B625" s="360">
        <f>DATE('Profit Calculation'!J$6,A$2,A$2+A625-1)</f>
        <v>42628</v>
      </c>
      <c r="D625" s="362">
        <f t="shared" ca="1" si="19"/>
        <v>108523105.13937341</v>
      </c>
      <c r="F625" s="363">
        <f>DATE('Profit Calculation'!J$6,'Profit Calculation'!R$6+A625-1,'Profit Calculation'!Z$6)</f>
        <v>61057</v>
      </c>
      <c r="G625" s="364">
        <f ca="1">IF(Q$27=2,IF(LOOKUP(F625,X$1:X$35,X$1:X$35) = F625,ROUND(LOOKUP(LOOKUP(F625,X$1:X$35,A:A),Single!A$2:A$107,Table13[Saving]),0),IF( LOOKUP(F625,W$1:W$35,W$1:W$35) =
 F625,ROUND(G624*(1+IF($Q$18&lt;6,$R$14,IF($Q$18&lt;11,$R$15,$R$16)))^(1/12),0),G624*(1+IF($Q$18&lt;6,$R$14,IF($Q$18&lt;11,$R$15,$R$16)))^(1/12))),IF(LOOKUP(F625,X$1:X$35,X$1:X$35) = F625,ROUND(LOOKUP(LOOKUP(F625,X$1:X$35,A:A),'Annual Calculation'!A$2:A$107,Table1[Saving]),0),IF( LOOKUP(F625,W$1:W$35,W$1:W$35) =
 F625,ROUND(G624*(1+IF($Q$18&lt;6,$R$14,IF($Q$18&lt;11,$R$15,$R$16)))^(1/12),0),G624*(1+IF($Q$18&lt;6,$R$14,IF($Q$18&lt;11,$R$15,$R$16)))^(1/12))))</f>
        <v>0</v>
      </c>
    </row>
    <row r="626" spans="1:7">
      <c r="A626" s="348">
        <f t="shared" si="20"/>
        <v>625</v>
      </c>
      <c r="B626" s="360">
        <f>DATE('Profit Calculation'!J$6,A$2,A$2+A626-1)</f>
        <v>42629</v>
      </c>
      <c r="D626" s="362">
        <f t="shared" ca="1" si="19"/>
        <v>108564667.61665501</v>
      </c>
      <c r="F626" s="363">
        <f>DATE('Profit Calculation'!J$6,'Profit Calculation'!R$6+A626-1,'Profit Calculation'!Z$6)</f>
        <v>61088</v>
      </c>
      <c r="G626" s="364">
        <f ca="1">IF(Q$27=2,IF(LOOKUP(F626,X$1:X$35,X$1:X$35) = F626,ROUND(LOOKUP(LOOKUP(F626,X$1:X$35,A:A),Single!A$2:A$107,Table13[Saving]),0),IF( LOOKUP(F626,W$1:W$35,W$1:W$35) =
 F626,ROUND(G625*(1+IF($Q$18&lt;6,$R$14,IF($Q$18&lt;11,$R$15,$R$16)))^(1/12),0),G625*(1+IF($Q$18&lt;6,$R$14,IF($Q$18&lt;11,$R$15,$R$16)))^(1/12))),IF(LOOKUP(F626,X$1:X$35,X$1:X$35) = F626,ROUND(LOOKUP(LOOKUP(F626,X$1:X$35,A:A),'Annual Calculation'!A$2:A$107,Table1[Saving]),0),IF( LOOKUP(F626,W$1:W$35,W$1:W$35) =
 F626,ROUND(G625*(1+IF($Q$18&lt;6,$R$14,IF($Q$18&lt;11,$R$15,$R$16)))^(1/12),0),G625*(1+IF($Q$18&lt;6,$R$14,IF($Q$18&lt;11,$R$15,$R$16)))^(1/12))))</f>
        <v>0</v>
      </c>
    </row>
    <row r="627" spans="1:7">
      <c r="A627" s="348">
        <f t="shared" si="20"/>
        <v>626</v>
      </c>
      <c r="B627" s="360">
        <f>DATE('Profit Calculation'!J$6,A$2,A$2+A627-1)</f>
        <v>42630</v>
      </c>
      <c r="D627" s="362">
        <f t="shared" ca="1" si="19"/>
        <v>108606246.01164848</v>
      </c>
      <c r="F627" s="363">
        <f>DATE('Profit Calculation'!J$6,'Profit Calculation'!R$6+A627-1,'Profit Calculation'!Z$6)</f>
        <v>61118</v>
      </c>
      <c r="G627" s="364">
        <f ca="1">IF(Q$27=2,IF(LOOKUP(F627,X$1:X$35,X$1:X$35) = F627,ROUND(LOOKUP(LOOKUP(F627,X$1:X$35,A:A),Single!A$2:A$107,Table13[Saving]),0),IF( LOOKUP(F627,W$1:W$35,W$1:W$35) =
 F627,ROUND(G626*(1+IF($Q$18&lt;6,$R$14,IF($Q$18&lt;11,$R$15,$R$16)))^(1/12),0),G626*(1+IF($Q$18&lt;6,$R$14,IF($Q$18&lt;11,$R$15,$R$16)))^(1/12))),IF(LOOKUP(F627,X$1:X$35,X$1:X$35) = F627,ROUND(LOOKUP(LOOKUP(F627,X$1:X$35,A:A),'Annual Calculation'!A$2:A$107,Table1[Saving]),0),IF( LOOKUP(F627,W$1:W$35,W$1:W$35) =
 F627,ROUND(G626*(1+IF($Q$18&lt;6,$R$14,IF($Q$18&lt;11,$R$15,$R$16)))^(1/12),0),G626*(1+IF($Q$18&lt;6,$R$14,IF($Q$18&lt;11,$R$15,$R$16)))^(1/12))))</f>
        <v>0</v>
      </c>
    </row>
    <row r="628" spans="1:7">
      <c r="A628" s="348">
        <f t="shared" si="20"/>
        <v>627</v>
      </c>
      <c r="B628" s="360">
        <f>DATE('Profit Calculation'!J$6,A$2,A$2+A628-1)</f>
        <v>42631</v>
      </c>
      <c r="D628" s="362">
        <f t="shared" ca="1" si="19"/>
        <v>108647840.33045001</v>
      </c>
      <c r="F628" s="363">
        <f>DATE('Profit Calculation'!J$6,'Profit Calculation'!R$6+A628-1,'Profit Calculation'!Z$6)</f>
        <v>61149</v>
      </c>
      <c r="G628" s="364">
        <f ca="1">IF(Q$27=2,IF(LOOKUP(F628,X$1:X$35,X$1:X$35) = F628,ROUND(LOOKUP(LOOKUP(F628,X$1:X$35,A:A),Single!A$2:A$107,Table13[Saving]),0),IF( LOOKUP(F628,W$1:W$35,W$1:W$35) =
 F628,ROUND(G627*(1+IF($Q$18&lt;6,$R$14,IF($Q$18&lt;11,$R$15,$R$16)))^(1/12),0),G627*(1+IF($Q$18&lt;6,$R$14,IF($Q$18&lt;11,$R$15,$R$16)))^(1/12))),IF(LOOKUP(F628,X$1:X$35,X$1:X$35) = F628,ROUND(LOOKUP(LOOKUP(F628,X$1:X$35,A:A),'Annual Calculation'!A$2:A$107,Table1[Saving]),0),IF( LOOKUP(F628,W$1:W$35,W$1:W$35) =
 F628,ROUND(G627*(1+IF($Q$18&lt;6,$R$14,IF($Q$18&lt;11,$R$15,$R$16)))^(1/12),0),G627*(1+IF($Q$18&lt;6,$R$14,IF($Q$18&lt;11,$R$15,$R$16)))^(1/12))))</f>
        <v>0</v>
      </c>
    </row>
    <row r="629" spans="1:7">
      <c r="A629" s="348">
        <f t="shared" si="20"/>
        <v>628</v>
      </c>
      <c r="B629" s="360">
        <f>DATE('Profit Calculation'!J$6,A$2,A$2+A629-1)</f>
        <v>42632</v>
      </c>
      <c r="D629" s="362">
        <f t="shared" ca="1" si="19"/>
        <v>108689450.57915816</v>
      </c>
      <c r="F629" s="363">
        <f>DATE('Profit Calculation'!J$6,'Profit Calculation'!R$6+A629-1,'Profit Calculation'!Z$6)</f>
        <v>61179</v>
      </c>
      <c r="G629" s="364">
        <f ca="1">IF(Q$27=2,IF(LOOKUP(F629,X$1:X$35,X$1:X$35) = F629,ROUND(LOOKUP(LOOKUP(F629,X$1:X$35,A:A),Single!A$2:A$107,Table13[Saving]),0),IF( LOOKUP(F629,W$1:W$35,W$1:W$35) =
 F629,ROUND(G628*(1+IF($Q$18&lt;6,$R$14,IF($Q$18&lt;11,$R$15,$R$16)))^(1/12),0),G628*(1+IF($Q$18&lt;6,$R$14,IF($Q$18&lt;11,$R$15,$R$16)))^(1/12))),IF(LOOKUP(F629,X$1:X$35,X$1:X$35) = F629,ROUND(LOOKUP(LOOKUP(F629,X$1:X$35,A:A),'Annual Calculation'!A$2:A$107,Table1[Saving]),0),IF( LOOKUP(F629,W$1:W$35,W$1:W$35) =
 F629,ROUND(G628*(1+IF($Q$18&lt;6,$R$14,IF($Q$18&lt;11,$R$15,$R$16)))^(1/12),0),G628*(1+IF($Q$18&lt;6,$R$14,IF($Q$18&lt;11,$R$15,$R$16)))^(1/12))))</f>
        <v>0</v>
      </c>
    </row>
    <row r="630" spans="1:7">
      <c r="A630" s="348">
        <f t="shared" si="20"/>
        <v>629</v>
      </c>
      <c r="B630" s="360">
        <f>DATE('Profit Calculation'!J$6,A$2,A$2+A630-1)</f>
        <v>42633</v>
      </c>
      <c r="D630" s="362">
        <f t="shared" ca="1" si="19"/>
        <v>108731076.7638738</v>
      </c>
      <c r="F630" s="363">
        <f>DATE('Profit Calculation'!J$6,'Profit Calculation'!R$6+A630-1,'Profit Calculation'!Z$6)</f>
        <v>61210</v>
      </c>
      <c r="G630" s="364">
        <f ca="1">IF(Q$27=2,IF(LOOKUP(F630,X$1:X$35,X$1:X$35) = F630,ROUND(LOOKUP(LOOKUP(F630,X$1:X$35,A:A),Single!A$2:A$107,Table13[Saving]),0),IF( LOOKUP(F630,W$1:W$35,W$1:W$35) =
 F630,ROUND(G629*(1+IF($Q$18&lt;6,$R$14,IF($Q$18&lt;11,$R$15,$R$16)))^(1/12),0),G629*(1+IF($Q$18&lt;6,$R$14,IF($Q$18&lt;11,$R$15,$R$16)))^(1/12))),IF(LOOKUP(F630,X$1:X$35,X$1:X$35) = F630,ROUND(LOOKUP(LOOKUP(F630,X$1:X$35,A:A),'Annual Calculation'!A$2:A$107,Table1[Saving]),0),IF( LOOKUP(F630,W$1:W$35,W$1:W$35) =
 F630,ROUND(G629*(1+IF($Q$18&lt;6,$R$14,IF($Q$18&lt;11,$R$15,$R$16)))^(1/12),0),G629*(1+IF($Q$18&lt;6,$R$14,IF($Q$18&lt;11,$R$15,$R$16)))^(1/12))))</f>
        <v>0</v>
      </c>
    </row>
    <row r="631" spans="1:7">
      <c r="A631" s="348">
        <f t="shared" si="20"/>
        <v>630</v>
      </c>
      <c r="B631" s="360">
        <f>DATE('Profit Calculation'!J$6,A$2,A$2+A631-1)</f>
        <v>42634</v>
      </c>
      <c r="D631" s="362">
        <f t="shared" ca="1" si="19"/>
        <v>108772718.89070015</v>
      </c>
      <c r="F631" s="363">
        <f>DATE('Profit Calculation'!J$6,'Profit Calculation'!R$6+A631-1,'Profit Calculation'!Z$6)</f>
        <v>61241</v>
      </c>
      <c r="G631" s="364">
        <f ca="1">IF(Q$27=2,IF(LOOKUP(F631,X$1:X$35,X$1:X$35) = F631,ROUND(LOOKUP(LOOKUP(F631,X$1:X$35,A:A),Single!A$2:A$107,Table13[Saving]),0),IF( LOOKUP(F631,W$1:W$35,W$1:W$35) =
 F631,ROUND(G630*(1+IF($Q$18&lt;6,$R$14,IF($Q$18&lt;11,$R$15,$R$16)))^(1/12),0),G630*(1+IF($Q$18&lt;6,$R$14,IF($Q$18&lt;11,$R$15,$R$16)))^(1/12))),IF(LOOKUP(F631,X$1:X$35,X$1:X$35) = F631,ROUND(LOOKUP(LOOKUP(F631,X$1:X$35,A:A),'Annual Calculation'!A$2:A$107,Table1[Saving]),0),IF( LOOKUP(F631,W$1:W$35,W$1:W$35) =
 F631,ROUND(G630*(1+IF($Q$18&lt;6,$R$14,IF($Q$18&lt;11,$R$15,$R$16)))^(1/12),0),G630*(1+IF($Q$18&lt;6,$R$14,IF($Q$18&lt;11,$R$15,$R$16)))^(1/12))))</f>
        <v>0</v>
      </c>
    </row>
    <row r="632" spans="1:7">
      <c r="A632" s="348">
        <f t="shared" si="20"/>
        <v>631</v>
      </c>
      <c r="B632" s="360">
        <f>DATE('Profit Calculation'!J$6,A$2,A$2+A632-1)</f>
        <v>42635</v>
      </c>
      <c r="D632" s="362">
        <f t="shared" ca="1" si="19"/>
        <v>108814376.96574275</v>
      </c>
      <c r="F632" s="363">
        <f>DATE('Profit Calculation'!J$6,'Profit Calculation'!R$6+A632-1,'Profit Calculation'!Z$6)</f>
        <v>61271</v>
      </c>
      <c r="G632" s="364">
        <f ca="1">IF(Q$27=2,IF(LOOKUP(F632,X$1:X$35,X$1:X$35) = F632,ROUND(LOOKUP(LOOKUP(F632,X$1:X$35,A:A),Single!A$2:A$107,Table13[Saving]),0),IF( LOOKUP(F632,W$1:W$35,W$1:W$35) =
 F632,ROUND(G631*(1+IF($Q$18&lt;6,$R$14,IF($Q$18&lt;11,$R$15,$R$16)))^(1/12),0),G631*(1+IF($Q$18&lt;6,$R$14,IF($Q$18&lt;11,$R$15,$R$16)))^(1/12))),IF(LOOKUP(F632,X$1:X$35,X$1:X$35) = F632,ROUND(LOOKUP(LOOKUP(F632,X$1:X$35,A:A),'Annual Calculation'!A$2:A$107,Table1[Saving]),0),IF( LOOKUP(F632,W$1:W$35,W$1:W$35) =
 F632,ROUND(G631*(1+IF($Q$18&lt;6,$R$14,IF($Q$18&lt;11,$R$15,$R$16)))^(1/12),0),G631*(1+IF($Q$18&lt;6,$R$14,IF($Q$18&lt;11,$R$15,$R$16)))^(1/12))))</f>
        <v>0</v>
      </c>
    </row>
    <row r="633" spans="1:7">
      <c r="A633" s="348">
        <f t="shared" si="20"/>
        <v>632</v>
      </c>
      <c r="B633" s="360">
        <f>DATE('Profit Calculation'!J$6,A$2,A$2+A633-1)</f>
        <v>42636</v>
      </c>
      <c r="D633" s="362">
        <f t="shared" ca="1" si="19"/>
        <v>108856050.99510951</v>
      </c>
      <c r="F633" s="363">
        <f>DATE('Profit Calculation'!J$6,'Profit Calculation'!R$6+A633-1,'Profit Calculation'!Z$6)</f>
        <v>61302</v>
      </c>
      <c r="G633" s="364">
        <f ca="1">IF(Q$27=2,IF(LOOKUP(F633,X$1:X$35,X$1:X$35) = F633,ROUND(LOOKUP(LOOKUP(F633,X$1:X$35,A:A),Single!A$2:A$107,Table13[Saving]),0),IF( LOOKUP(F633,W$1:W$35,W$1:W$35) =
 F633,ROUND(G632*(1+IF($Q$18&lt;6,$R$14,IF($Q$18&lt;11,$R$15,$R$16)))^(1/12),0),G632*(1+IF($Q$18&lt;6,$R$14,IF($Q$18&lt;11,$R$15,$R$16)))^(1/12))),IF(LOOKUP(F633,X$1:X$35,X$1:X$35) = F633,ROUND(LOOKUP(LOOKUP(F633,X$1:X$35,A:A),'Annual Calculation'!A$2:A$107,Table1[Saving]),0),IF( LOOKUP(F633,W$1:W$35,W$1:W$35) =
 F633,ROUND(G632*(1+IF($Q$18&lt;6,$R$14,IF($Q$18&lt;11,$R$15,$R$16)))^(1/12),0),G632*(1+IF($Q$18&lt;6,$R$14,IF($Q$18&lt;11,$R$15,$R$16)))^(1/12))))</f>
        <v>0</v>
      </c>
    </row>
    <row r="634" spans="1:7">
      <c r="A634" s="348">
        <f t="shared" si="20"/>
        <v>633</v>
      </c>
      <c r="B634" s="360">
        <f>DATE('Profit Calculation'!J$6,A$2,A$2+A634-1)</f>
        <v>42637</v>
      </c>
      <c r="D634" s="362">
        <f t="shared" ca="1" si="19"/>
        <v>108897740.98491067</v>
      </c>
      <c r="F634" s="363">
        <f>DATE('Profit Calculation'!J$6,'Profit Calculation'!R$6+A634-1,'Profit Calculation'!Z$6)</f>
        <v>61332</v>
      </c>
      <c r="G634" s="364">
        <f ca="1">IF(Q$27=2,IF(LOOKUP(F634,X$1:X$35,X$1:X$35) = F634,ROUND(LOOKUP(LOOKUP(F634,X$1:X$35,A:A),Single!A$2:A$107,Table13[Saving]),0),IF( LOOKUP(F634,W$1:W$35,W$1:W$35) =
 F634,ROUND(G633*(1+IF($Q$18&lt;6,$R$14,IF($Q$18&lt;11,$R$15,$R$16)))^(1/12),0),G633*(1+IF($Q$18&lt;6,$R$14,IF($Q$18&lt;11,$R$15,$R$16)))^(1/12))),IF(LOOKUP(F634,X$1:X$35,X$1:X$35) = F634,ROUND(LOOKUP(LOOKUP(F634,X$1:X$35,A:A),'Annual Calculation'!A$2:A$107,Table1[Saving]),0),IF( LOOKUP(F634,W$1:W$35,W$1:W$35) =
 F634,ROUND(G633*(1+IF($Q$18&lt;6,$R$14,IF($Q$18&lt;11,$R$15,$R$16)))^(1/12),0),G633*(1+IF($Q$18&lt;6,$R$14,IF($Q$18&lt;11,$R$15,$R$16)))^(1/12))))</f>
        <v>0</v>
      </c>
    </row>
    <row r="635" spans="1:7">
      <c r="A635" s="348">
        <f t="shared" si="20"/>
        <v>634</v>
      </c>
      <c r="B635" s="360">
        <f>DATE('Profit Calculation'!J$6,A$2,A$2+A635-1)</f>
        <v>42638</v>
      </c>
      <c r="D635" s="362">
        <f t="shared" ca="1" si="19"/>
        <v>108939446.94125877</v>
      </c>
      <c r="F635" s="363">
        <f>DATE('Profit Calculation'!J$6,'Profit Calculation'!R$6+A635-1,'Profit Calculation'!Z$6)</f>
        <v>61363</v>
      </c>
      <c r="G635" s="364">
        <f ca="1">IF(Q$27=2,IF(LOOKUP(F635,X$1:X$35,X$1:X$35) = F635,ROUND(LOOKUP(LOOKUP(F635,X$1:X$35,A:A),Single!A$2:A$107,Table13[Saving]),0),IF( LOOKUP(F635,W$1:W$35,W$1:W$35) =
 F635,ROUND(G634*(1+IF($Q$18&lt;6,$R$14,IF($Q$18&lt;11,$R$15,$R$16)))^(1/12),0),G634*(1+IF($Q$18&lt;6,$R$14,IF($Q$18&lt;11,$R$15,$R$16)))^(1/12))),IF(LOOKUP(F635,X$1:X$35,X$1:X$35) = F635,ROUND(LOOKUP(LOOKUP(F635,X$1:X$35,A:A),'Annual Calculation'!A$2:A$107,Table1[Saving]),0),IF( LOOKUP(F635,W$1:W$35,W$1:W$35) =
 F635,ROUND(G634*(1+IF($Q$18&lt;6,$R$14,IF($Q$18&lt;11,$R$15,$R$16)))^(1/12),0),G634*(1+IF($Q$18&lt;6,$R$14,IF($Q$18&lt;11,$R$15,$R$16)))^(1/12))))</f>
        <v>0</v>
      </c>
    </row>
    <row r="636" spans="1:7">
      <c r="A636" s="348">
        <f t="shared" si="20"/>
        <v>635</v>
      </c>
      <c r="B636" s="360">
        <f>DATE('Profit Calculation'!J$6,A$2,A$2+A636-1)</f>
        <v>42639</v>
      </c>
      <c r="D636" s="362">
        <f t="shared" ca="1" si="19"/>
        <v>108981168.87026875</v>
      </c>
      <c r="F636" s="363">
        <f>DATE('Profit Calculation'!J$6,'Profit Calculation'!R$6+A636-1,'Profit Calculation'!Z$6)</f>
        <v>61394</v>
      </c>
      <c r="G636" s="364">
        <f ca="1">IF(Q$27=2,IF(LOOKUP(F636,X$1:X$35,X$1:X$35) = F636,ROUND(LOOKUP(LOOKUP(F636,X$1:X$35,A:A),Single!A$2:A$107,Table13[Saving]),0),IF( LOOKUP(F636,W$1:W$35,W$1:W$35) =
 F636,ROUND(G635*(1+IF($Q$18&lt;6,$R$14,IF($Q$18&lt;11,$R$15,$R$16)))^(1/12),0),G635*(1+IF($Q$18&lt;6,$R$14,IF($Q$18&lt;11,$R$15,$R$16)))^(1/12))),IF(LOOKUP(F636,X$1:X$35,X$1:X$35) = F636,ROUND(LOOKUP(LOOKUP(F636,X$1:X$35,A:A),'Annual Calculation'!A$2:A$107,Table1[Saving]),0),IF( LOOKUP(F636,W$1:W$35,W$1:W$35) =
 F636,ROUND(G635*(1+IF($Q$18&lt;6,$R$14,IF($Q$18&lt;11,$R$15,$R$16)))^(1/12),0),G635*(1+IF($Q$18&lt;6,$R$14,IF($Q$18&lt;11,$R$15,$R$16)))^(1/12))))</f>
        <v>0</v>
      </c>
    </row>
    <row r="637" spans="1:7">
      <c r="A637" s="348">
        <f t="shared" si="20"/>
        <v>636</v>
      </c>
      <c r="B637" s="360">
        <f>DATE('Profit Calculation'!J$6,A$2,A$2+A637-1)</f>
        <v>42640</v>
      </c>
      <c r="D637" s="362">
        <f t="shared" ca="1" si="19"/>
        <v>109022906.77805784</v>
      </c>
      <c r="F637" s="363">
        <f>DATE('Profit Calculation'!J$6,'Profit Calculation'!R$6+A637-1,'Profit Calculation'!Z$6)</f>
        <v>61423</v>
      </c>
      <c r="G637" s="364">
        <f ca="1">IF(Q$27=2,IF(LOOKUP(F637,X$1:X$35,X$1:X$35) = F637,ROUND(LOOKUP(LOOKUP(F637,X$1:X$35,A:A),Single!A$2:A$107,Table13[Saving]),0),IF( LOOKUP(F637,W$1:W$35,W$1:W$35) =
 F637,ROUND(G636*(1+IF($Q$18&lt;6,$R$14,IF($Q$18&lt;11,$R$15,$R$16)))^(1/12),0),G636*(1+IF($Q$18&lt;6,$R$14,IF($Q$18&lt;11,$R$15,$R$16)))^(1/12))),IF(LOOKUP(F637,X$1:X$35,X$1:X$35) = F637,ROUND(LOOKUP(LOOKUP(F637,X$1:X$35,A:A),'Annual Calculation'!A$2:A$107,Table1[Saving]),0),IF( LOOKUP(F637,W$1:W$35,W$1:W$35) =
 F637,ROUND(G636*(1+IF($Q$18&lt;6,$R$14,IF($Q$18&lt;11,$R$15,$R$16)))^(1/12),0),G636*(1+IF($Q$18&lt;6,$R$14,IF($Q$18&lt;11,$R$15,$R$16)))^(1/12))))</f>
        <v>0</v>
      </c>
    </row>
    <row r="638" spans="1:7">
      <c r="A638" s="348">
        <f t="shared" si="20"/>
        <v>637</v>
      </c>
      <c r="B638" s="360">
        <f>DATE('Profit Calculation'!J$6,A$2,A$2+A638-1)</f>
        <v>42641</v>
      </c>
      <c r="D638" s="362">
        <f t="shared" ca="1" si="19"/>
        <v>109064660.67074566</v>
      </c>
      <c r="F638" s="363">
        <f>DATE('Profit Calculation'!J$6,'Profit Calculation'!R$6+A638-1,'Profit Calculation'!Z$6)</f>
        <v>61454</v>
      </c>
      <c r="G638" s="364">
        <f ca="1">IF(Q$27=2,IF(LOOKUP(F638,X$1:X$35,X$1:X$35) = F638,ROUND(LOOKUP(LOOKUP(F638,X$1:X$35,A:A),Single!A$2:A$107,Table13[Saving]),0),IF( LOOKUP(F638,W$1:W$35,W$1:W$35) =
 F638,ROUND(G637*(1+IF($Q$18&lt;6,$R$14,IF($Q$18&lt;11,$R$15,$R$16)))^(1/12),0),G637*(1+IF($Q$18&lt;6,$R$14,IF($Q$18&lt;11,$R$15,$R$16)))^(1/12))),IF(LOOKUP(F638,X$1:X$35,X$1:X$35) = F638,ROUND(LOOKUP(LOOKUP(F638,X$1:X$35,A:A),'Annual Calculation'!A$2:A$107,Table1[Saving]),0),IF( LOOKUP(F638,W$1:W$35,W$1:W$35) =
 F638,ROUND(G637*(1+IF($Q$18&lt;6,$R$14,IF($Q$18&lt;11,$R$15,$R$16)))^(1/12),0),G637*(1+IF($Q$18&lt;6,$R$14,IF($Q$18&lt;11,$R$15,$R$16)))^(1/12))))</f>
        <v>0</v>
      </c>
    </row>
    <row r="639" spans="1:7">
      <c r="A639" s="348">
        <f t="shared" si="20"/>
        <v>638</v>
      </c>
      <c r="B639" s="360">
        <f>DATE('Profit Calculation'!J$6,A$2,A$2+A639-1)</f>
        <v>42642</v>
      </c>
      <c r="D639" s="362">
        <f t="shared" ca="1" si="19"/>
        <v>109106430.55445413</v>
      </c>
      <c r="F639" s="363">
        <f>DATE('Profit Calculation'!J$6,'Profit Calculation'!R$6+A639-1,'Profit Calculation'!Z$6)</f>
        <v>61484</v>
      </c>
      <c r="G639" s="364">
        <f ca="1">IF(Q$27=2,IF(LOOKUP(F639,X$1:X$35,X$1:X$35) = F639,ROUND(LOOKUP(LOOKUP(F639,X$1:X$35,A:A),Single!A$2:A$107,Table13[Saving]),0),IF( LOOKUP(F639,W$1:W$35,W$1:W$35) =
 F639,ROUND(G638*(1+IF($Q$18&lt;6,$R$14,IF($Q$18&lt;11,$R$15,$R$16)))^(1/12),0),G638*(1+IF($Q$18&lt;6,$R$14,IF($Q$18&lt;11,$R$15,$R$16)))^(1/12))),IF(LOOKUP(F639,X$1:X$35,X$1:X$35) = F639,ROUND(LOOKUP(LOOKUP(F639,X$1:X$35,A:A),'Annual Calculation'!A$2:A$107,Table1[Saving]),0),IF( LOOKUP(F639,W$1:W$35,W$1:W$35) =
 F639,ROUND(G638*(1+IF($Q$18&lt;6,$R$14,IF($Q$18&lt;11,$R$15,$R$16)))^(1/12),0),G638*(1+IF($Q$18&lt;6,$R$14,IF($Q$18&lt;11,$R$15,$R$16)))^(1/12))))</f>
        <v>0</v>
      </c>
    </row>
    <row r="640" spans="1:7">
      <c r="A640" s="348">
        <f t="shared" si="20"/>
        <v>639</v>
      </c>
      <c r="B640" s="360">
        <f>DATE('Profit Calculation'!J$6,A$2,A$2+A640-1)</f>
        <v>42643</v>
      </c>
      <c r="D640" s="362">
        <f t="shared" ca="1" si="19"/>
        <v>109148216.43530755</v>
      </c>
      <c r="F640" s="363">
        <f>DATE('Profit Calculation'!J$6,'Profit Calculation'!R$6+A640-1,'Profit Calculation'!Z$6)</f>
        <v>61515</v>
      </c>
      <c r="G640" s="364">
        <f ca="1">IF(Q$27=2,IF(LOOKUP(F640,X$1:X$35,X$1:X$35) = F640,ROUND(LOOKUP(LOOKUP(F640,X$1:X$35,A:A),Single!A$2:A$107,Table13[Saving]),0),IF( LOOKUP(F640,W$1:W$35,W$1:W$35) =
 F640,ROUND(G639*(1+IF($Q$18&lt;6,$R$14,IF($Q$18&lt;11,$R$15,$R$16)))^(1/12),0),G639*(1+IF($Q$18&lt;6,$R$14,IF($Q$18&lt;11,$R$15,$R$16)))^(1/12))),IF(LOOKUP(F640,X$1:X$35,X$1:X$35) = F640,ROUND(LOOKUP(LOOKUP(F640,X$1:X$35,A:A),'Annual Calculation'!A$2:A$107,Table1[Saving]),0),IF( LOOKUP(F640,W$1:W$35,W$1:W$35) =
 F640,ROUND(G639*(1+IF($Q$18&lt;6,$R$14,IF($Q$18&lt;11,$R$15,$R$16)))^(1/12),0),G639*(1+IF($Q$18&lt;6,$R$14,IF($Q$18&lt;11,$R$15,$R$16)))^(1/12))))</f>
        <v>0</v>
      </c>
    </row>
    <row r="641" spans="1:7">
      <c r="A641" s="348">
        <f t="shared" si="20"/>
        <v>640</v>
      </c>
      <c r="B641" s="360">
        <f>DATE('Profit Calculation'!J$6,A$2,A$2+A641-1)</f>
        <v>42644</v>
      </c>
      <c r="D641" s="362">
        <f t="shared" ca="1" si="19"/>
        <v>109190018.31943254</v>
      </c>
      <c r="F641" s="363">
        <f>DATE('Profit Calculation'!J$6,'Profit Calculation'!R$6+A641-1,'Profit Calculation'!Z$6)</f>
        <v>61545</v>
      </c>
      <c r="G641" s="364">
        <f ca="1">IF(Q$27=2,IF(LOOKUP(F641,X$1:X$35,X$1:X$35) = F641,ROUND(LOOKUP(LOOKUP(F641,X$1:X$35,A:A),Single!A$2:A$107,Table13[Saving]),0),IF( LOOKUP(F641,W$1:W$35,W$1:W$35) =
 F641,ROUND(G640*(1+IF($Q$18&lt;6,$R$14,IF($Q$18&lt;11,$R$15,$R$16)))^(1/12),0),G640*(1+IF($Q$18&lt;6,$R$14,IF($Q$18&lt;11,$R$15,$R$16)))^(1/12))),IF(LOOKUP(F641,X$1:X$35,X$1:X$35) = F641,ROUND(LOOKUP(LOOKUP(F641,X$1:X$35,A:A),'Annual Calculation'!A$2:A$107,Table1[Saving]),0),IF( LOOKUP(F641,W$1:W$35,W$1:W$35) =
 F641,ROUND(G640*(1+IF($Q$18&lt;6,$R$14,IF($Q$18&lt;11,$R$15,$R$16)))^(1/12),0),G640*(1+IF($Q$18&lt;6,$R$14,IF($Q$18&lt;11,$R$15,$R$16)))^(1/12))))</f>
        <v>0</v>
      </c>
    </row>
    <row r="642" spans="1:7">
      <c r="A642" s="348">
        <f t="shared" si="20"/>
        <v>641</v>
      </c>
      <c r="B642" s="360">
        <f>DATE('Profit Calculation'!J$6,A$2,A$2+A642-1)</f>
        <v>42645</v>
      </c>
      <c r="D642" s="362">
        <f t="shared" ca="1" si="19"/>
        <v>109231836.21295808</v>
      </c>
      <c r="F642" s="363">
        <f>DATE('Profit Calculation'!J$6,'Profit Calculation'!R$6+A642-1,'Profit Calculation'!Z$6)</f>
        <v>61576</v>
      </c>
      <c r="G642" s="364">
        <f ca="1">IF(Q$27=2,IF(LOOKUP(F642,X$1:X$35,X$1:X$35) = F642,ROUND(LOOKUP(LOOKUP(F642,X$1:X$35,A:A),Single!A$2:A$107,Table13[Saving]),0),IF( LOOKUP(F642,W$1:W$35,W$1:W$35) =
 F642,ROUND(G641*(1+IF($Q$18&lt;6,$R$14,IF($Q$18&lt;11,$R$15,$R$16)))^(1/12),0),G641*(1+IF($Q$18&lt;6,$R$14,IF($Q$18&lt;11,$R$15,$R$16)))^(1/12))),IF(LOOKUP(F642,X$1:X$35,X$1:X$35) = F642,ROUND(LOOKUP(LOOKUP(F642,X$1:X$35,A:A),'Annual Calculation'!A$2:A$107,Table1[Saving]),0),IF( LOOKUP(F642,W$1:W$35,W$1:W$35) =
 F642,ROUND(G641*(1+IF($Q$18&lt;6,$R$14,IF($Q$18&lt;11,$R$15,$R$16)))^(1/12),0),G641*(1+IF($Q$18&lt;6,$R$14,IF($Q$18&lt;11,$R$15,$R$16)))^(1/12))))</f>
        <v>0</v>
      </c>
    </row>
    <row r="643" spans="1:7">
      <c r="A643" s="348">
        <f t="shared" si="20"/>
        <v>642</v>
      </c>
      <c r="B643" s="360">
        <f>DATE('Profit Calculation'!J$6,A$2,A$2+A643-1)</f>
        <v>42646</v>
      </c>
      <c r="D643" s="362">
        <f t="shared" ca="1" si="19"/>
        <v>109273670.12201551</v>
      </c>
      <c r="F643" s="363">
        <f>DATE('Profit Calculation'!J$6,'Profit Calculation'!R$6+A643-1,'Profit Calculation'!Z$6)</f>
        <v>61607</v>
      </c>
      <c r="G643" s="364">
        <f ca="1">IF(Q$27=2,IF(LOOKUP(F643,X$1:X$35,X$1:X$35) = F643,ROUND(LOOKUP(LOOKUP(F643,X$1:X$35,A:A),Single!A$2:A$107,Table13[Saving]),0),IF( LOOKUP(F643,W$1:W$35,W$1:W$35) =
 F643,ROUND(G642*(1+IF($Q$18&lt;6,$R$14,IF($Q$18&lt;11,$R$15,$R$16)))^(1/12),0),G642*(1+IF($Q$18&lt;6,$R$14,IF($Q$18&lt;11,$R$15,$R$16)))^(1/12))),IF(LOOKUP(F643,X$1:X$35,X$1:X$35) = F643,ROUND(LOOKUP(LOOKUP(F643,X$1:X$35,A:A),'Annual Calculation'!A$2:A$107,Table1[Saving]),0),IF( LOOKUP(F643,W$1:W$35,W$1:W$35) =
 F643,ROUND(G642*(1+IF($Q$18&lt;6,$R$14,IF($Q$18&lt;11,$R$15,$R$16)))^(1/12),0),G642*(1+IF($Q$18&lt;6,$R$14,IF($Q$18&lt;11,$R$15,$R$16)))^(1/12))))</f>
        <v>0</v>
      </c>
    </row>
    <row r="644" spans="1:7">
      <c r="A644" s="348">
        <f t="shared" si="20"/>
        <v>643</v>
      </c>
      <c r="B644" s="360">
        <f>DATE('Profit Calculation'!J$6,A$2,A$2+A644-1)</f>
        <v>42647</v>
      </c>
      <c r="D644" s="362">
        <f t="shared" ref="D644:D707" ca="1" si="21">IF(OR(LOOKUP(B644,W$1:W$35,W$1:W$35) = B644, LOOKUP(B644,X$1:X$35,X$1:X$35) = B644),LOOKUP(B644,F:F,G:G),D643*(1+((IF($Q$18&lt;6,$R$14,IF($Q$18&lt;11,$R$15,$R$16)))))^(1/365))</f>
        <v>109315520.05273847</v>
      </c>
      <c r="F644" s="363">
        <f>DATE('Profit Calculation'!J$6,'Profit Calculation'!R$6+A644-1,'Profit Calculation'!Z$6)</f>
        <v>61637</v>
      </c>
      <c r="G644" s="364">
        <f ca="1">IF(Q$27=2,IF(LOOKUP(F644,X$1:X$35,X$1:X$35) = F644,ROUND(LOOKUP(LOOKUP(F644,X$1:X$35,A:A),Single!A$2:A$107,Table13[Saving]),0),IF( LOOKUP(F644,W$1:W$35,W$1:W$35) =
 F644,ROUND(G643*(1+IF($Q$18&lt;6,$R$14,IF($Q$18&lt;11,$R$15,$R$16)))^(1/12),0),G643*(1+IF($Q$18&lt;6,$R$14,IF($Q$18&lt;11,$R$15,$R$16)))^(1/12))),IF(LOOKUP(F644,X$1:X$35,X$1:X$35) = F644,ROUND(LOOKUP(LOOKUP(F644,X$1:X$35,A:A),'Annual Calculation'!A$2:A$107,Table1[Saving]),0),IF( LOOKUP(F644,W$1:W$35,W$1:W$35) =
 F644,ROUND(G643*(1+IF($Q$18&lt;6,$R$14,IF($Q$18&lt;11,$R$15,$R$16)))^(1/12),0),G643*(1+IF($Q$18&lt;6,$R$14,IF($Q$18&lt;11,$R$15,$R$16)))^(1/12))))</f>
        <v>0</v>
      </c>
    </row>
    <row r="645" spans="1:7">
      <c r="A645" s="348">
        <f t="shared" ref="A645:A708" si="22">A644+1</f>
        <v>644</v>
      </c>
      <c r="B645" s="360">
        <f>DATE('Profit Calculation'!J$6,A$2,A$2+A645-1)</f>
        <v>42648</v>
      </c>
      <c r="D645" s="362">
        <f t="shared" ca="1" si="21"/>
        <v>109357386.01126301</v>
      </c>
      <c r="F645" s="363">
        <f>DATE('Profit Calculation'!J$6,'Profit Calculation'!R$6+A645-1,'Profit Calculation'!Z$6)</f>
        <v>61668</v>
      </c>
      <c r="G645" s="364">
        <f ca="1">IF(Q$27=2,IF(LOOKUP(F645,X$1:X$35,X$1:X$35) = F645,ROUND(LOOKUP(LOOKUP(F645,X$1:X$35,A:A),Single!A$2:A$107,Table13[Saving]),0),IF( LOOKUP(F645,W$1:W$35,W$1:W$35) =
 F645,ROUND(G644*(1+IF($Q$18&lt;6,$R$14,IF($Q$18&lt;11,$R$15,$R$16)))^(1/12),0),G644*(1+IF($Q$18&lt;6,$R$14,IF($Q$18&lt;11,$R$15,$R$16)))^(1/12))),IF(LOOKUP(F645,X$1:X$35,X$1:X$35) = F645,ROUND(LOOKUP(LOOKUP(F645,X$1:X$35,A:A),'Annual Calculation'!A$2:A$107,Table1[Saving]),0),IF( LOOKUP(F645,W$1:W$35,W$1:W$35) =
 F645,ROUND(G644*(1+IF($Q$18&lt;6,$R$14,IF($Q$18&lt;11,$R$15,$R$16)))^(1/12),0),G644*(1+IF($Q$18&lt;6,$R$14,IF($Q$18&lt;11,$R$15,$R$16)))^(1/12))))</f>
        <v>0</v>
      </c>
    </row>
    <row r="646" spans="1:7">
      <c r="A646" s="348">
        <f t="shared" si="22"/>
        <v>645</v>
      </c>
      <c r="B646" s="360">
        <f>DATE('Profit Calculation'!J$6,A$2,A$2+A646-1)</f>
        <v>42649</v>
      </c>
      <c r="D646" s="362">
        <f t="shared" ca="1" si="21"/>
        <v>109399268.0037275</v>
      </c>
      <c r="F646" s="363">
        <f>DATE('Profit Calculation'!J$6,'Profit Calculation'!R$6+A646-1,'Profit Calculation'!Z$6)</f>
        <v>61698</v>
      </c>
      <c r="G646" s="364">
        <f ca="1">IF(Q$27=2,IF(LOOKUP(F646,X$1:X$35,X$1:X$35) = F646,ROUND(LOOKUP(LOOKUP(F646,X$1:X$35,A:A),Single!A$2:A$107,Table13[Saving]),0),IF( LOOKUP(F646,W$1:W$35,W$1:W$35) =
 F646,ROUND(G645*(1+IF($Q$18&lt;6,$R$14,IF($Q$18&lt;11,$R$15,$R$16)))^(1/12),0),G645*(1+IF($Q$18&lt;6,$R$14,IF($Q$18&lt;11,$R$15,$R$16)))^(1/12))),IF(LOOKUP(F646,X$1:X$35,X$1:X$35) = F646,ROUND(LOOKUP(LOOKUP(F646,X$1:X$35,A:A),'Annual Calculation'!A$2:A$107,Table1[Saving]),0),IF( LOOKUP(F646,W$1:W$35,W$1:W$35) =
 F646,ROUND(G645*(1+IF($Q$18&lt;6,$R$14,IF($Q$18&lt;11,$R$15,$R$16)))^(1/12),0),G645*(1+IF($Q$18&lt;6,$R$14,IF($Q$18&lt;11,$R$15,$R$16)))^(1/12))))</f>
        <v>0</v>
      </c>
    </row>
    <row r="647" spans="1:7">
      <c r="A647" s="348">
        <f t="shared" si="22"/>
        <v>646</v>
      </c>
      <c r="B647" s="360">
        <f>DATE('Profit Calculation'!J$6,A$2,A$2+A647-1)</f>
        <v>42650</v>
      </c>
      <c r="D647" s="362">
        <f t="shared" ca="1" si="21"/>
        <v>109441166.03627263</v>
      </c>
      <c r="F647" s="363">
        <f>DATE('Profit Calculation'!J$6,'Profit Calculation'!R$6+A647-1,'Profit Calculation'!Z$6)</f>
        <v>61729</v>
      </c>
      <c r="G647" s="364">
        <f ca="1">IF(Q$27=2,IF(LOOKUP(F647,X$1:X$35,X$1:X$35) = F647,ROUND(LOOKUP(LOOKUP(F647,X$1:X$35,A:A),Single!A$2:A$107,Table13[Saving]),0),IF( LOOKUP(F647,W$1:W$35,W$1:W$35) =
 F647,ROUND(G646*(1+IF($Q$18&lt;6,$R$14,IF($Q$18&lt;11,$R$15,$R$16)))^(1/12),0),G646*(1+IF($Q$18&lt;6,$R$14,IF($Q$18&lt;11,$R$15,$R$16)))^(1/12))),IF(LOOKUP(F647,X$1:X$35,X$1:X$35) = F647,ROUND(LOOKUP(LOOKUP(F647,X$1:X$35,A:A),'Annual Calculation'!A$2:A$107,Table1[Saving]),0),IF( LOOKUP(F647,W$1:W$35,W$1:W$35) =
 F647,ROUND(G646*(1+IF($Q$18&lt;6,$R$14,IF($Q$18&lt;11,$R$15,$R$16)))^(1/12),0),G646*(1+IF($Q$18&lt;6,$R$14,IF($Q$18&lt;11,$R$15,$R$16)))^(1/12))))</f>
        <v>0</v>
      </c>
    </row>
    <row r="648" spans="1:7">
      <c r="A648" s="348">
        <f t="shared" si="22"/>
        <v>647</v>
      </c>
      <c r="B648" s="360">
        <f>DATE('Profit Calculation'!J$6,A$2,A$2+A648-1)</f>
        <v>42651</v>
      </c>
      <c r="D648" s="362">
        <f t="shared" ca="1" si="21"/>
        <v>109483080.11504151</v>
      </c>
      <c r="F648" s="363">
        <f>DATE('Profit Calculation'!J$6,'Profit Calculation'!R$6+A648-1,'Profit Calculation'!Z$6)</f>
        <v>61760</v>
      </c>
      <c r="G648" s="364">
        <f ca="1">IF(Q$27=2,IF(LOOKUP(F648,X$1:X$35,X$1:X$35) = F648,ROUND(LOOKUP(LOOKUP(F648,X$1:X$35,A:A),Single!A$2:A$107,Table13[Saving]),0),IF( LOOKUP(F648,W$1:W$35,W$1:W$35) =
 F648,ROUND(G647*(1+IF($Q$18&lt;6,$R$14,IF($Q$18&lt;11,$R$15,$R$16)))^(1/12),0),G647*(1+IF($Q$18&lt;6,$R$14,IF($Q$18&lt;11,$R$15,$R$16)))^(1/12))),IF(LOOKUP(F648,X$1:X$35,X$1:X$35) = F648,ROUND(LOOKUP(LOOKUP(F648,X$1:X$35,A:A),'Annual Calculation'!A$2:A$107,Table1[Saving]),0),IF( LOOKUP(F648,W$1:W$35,W$1:W$35) =
 F648,ROUND(G647*(1+IF($Q$18&lt;6,$R$14,IF($Q$18&lt;11,$R$15,$R$16)))^(1/12),0),G647*(1+IF($Q$18&lt;6,$R$14,IF($Q$18&lt;11,$R$15,$R$16)))^(1/12))))</f>
        <v>0</v>
      </c>
    </row>
    <row r="649" spans="1:7">
      <c r="A649" s="348">
        <f t="shared" si="22"/>
        <v>648</v>
      </c>
      <c r="B649" s="360">
        <f>DATE('Profit Calculation'!J$6,A$2,A$2+A649-1)</f>
        <v>42652</v>
      </c>
      <c r="D649" s="362">
        <f t="shared" ca="1" si="21"/>
        <v>109525010.24617955</v>
      </c>
      <c r="F649" s="363">
        <f>DATE('Profit Calculation'!J$6,'Profit Calculation'!R$6+A649-1,'Profit Calculation'!Z$6)</f>
        <v>61788</v>
      </c>
      <c r="G649" s="364">
        <f ca="1">IF(Q$27=2,IF(LOOKUP(F649,X$1:X$35,X$1:X$35) = F649,ROUND(LOOKUP(LOOKUP(F649,X$1:X$35,A:A),Single!A$2:A$107,Table13[Saving]),0),IF( LOOKUP(F649,W$1:W$35,W$1:W$35) =
 F649,ROUND(G648*(1+IF($Q$18&lt;6,$R$14,IF($Q$18&lt;11,$R$15,$R$16)))^(1/12),0),G648*(1+IF($Q$18&lt;6,$R$14,IF($Q$18&lt;11,$R$15,$R$16)))^(1/12))),IF(LOOKUP(F649,X$1:X$35,X$1:X$35) = F649,ROUND(LOOKUP(LOOKUP(F649,X$1:X$35,A:A),'Annual Calculation'!A$2:A$107,Table1[Saving]),0),IF( LOOKUP(F649,W$1:W$35,W$1:W$35) =
 F649,ROUND(G648*(1+IF($Q$18&lt;6,$R$14,IF($Q$18&lt;11,$R$15,$R$16)))^(1/12),0),G648*(1+IF($Q$18&lt;6,$R$14,IF($Q$18&lt;11,$R$15,$R$16)))^(1/12))))</f>
        <v>0</v>
      </c>
    </row>
    <row r="650" spans="1:7">
      <c r="A650" s="348">
        <f t="shared" si="22"/>
        <v>649</v>
      </c>
      <c r="B650" s="360">
        <f>DATE('Profit Calculation'!J$6,A$2,A$2+A650-1)</f>
        <v>42653</v>
      </c>
      <c r="D650" s="362">
        <f t="shared" ca="1" si="21"/>
        <v>109566956.43583454</v>
      </c>
      <c r="F650" s="363">
        <f>DATE('Profit Calculation'!J$6,'Profit Calculation'!R$6+A650-1,'Profit Calculation'!Z$6)</f>
        <v>61819</v>
      </c>
      <c r="G650" s="364">
        <f ca="1">IF(Q$27=2,IF(LOOKUP(F650,X$1:X$35,X$1:X$35) = F650,ROUND(LOOKUP(LOOKUP(F650,X$1:X$35,A:A),Single!A$2:A$107,Table13[Saving]),0),IF( LOOKUP(F650,W$1:W$35,W$1:W$35) =
 F650,ROUND(G649*(1+IF($Q$18&lt;6,$R$14,IF($Q$18&lt;11,$R$15,$R$16)))^(1/12),0),G649*(1+IF($Q$18&lt;6,$R$14,IF($Q$18&lt;11,$R$15,$R$16)))^(1/12))),IF(LOOKUP(F650,X$1:X$35,X$1:X$35) = F650,ROUND(LOOKUP(LOOKUP(F650,X$1:X$35,A:A),'Annual Calculation'!A$2:A$107,Table1[Saving]),0),IF( LOOKUP(F650,W$1:W$35,W$1:W$35) =
 F650,ROUND(G649*(1+IF($Q$18&lt;6,$R$14,IF($Q$18&lt;11,$R$15,$R$16)))^(1/12),0),G649*(1+IF($Q$18&lt;6,$R$14,IF($Q$18&lt;11,$R$15,$R$16)))^(1/12))))</f>
        <v>0</v>
      </c>
    </row>
    <row r="651" spans="1:7">
      <c r="A651" s="348">
        <f t="shared" si="22"/>
        <v>650</v>
      </c>
      <c r="B651" s="360">
        <f>DATE('Profit Calculation'!J$6,A$2,A$2+A651-1)</f>
        <v>42654</v>
      </c>
      <c r="D651" s="362">
        <f t="shared" ca="1" si="21"/>
        <v>109608918.69015661</v>
      </c>
      <c r="F651" s="363">
        <f>DATE('Profit Calculation'!J$6,'Profit Calculation'!R$6+A651-1,'Profit Calculation'!Z$6)</f>
        <v>61849</v>
      </c>
      <c r="G651" s="364">
        <f ca="1">IF(Q$27=2,IF(LOOKUP(F651,X$1:X$35,X$1:X$35) = F651,ROUND(LOOKUP(LOOKUP(F651,X$1:X$35,A:A),Single!A$2:A$107,Table13[Saving]),0),IF( LOOKUP(F651,W$1:W$35,W$1:W$35) =
 F651,ROUND(G650*(1+IF($Q$18&lt;6,$R$14,IF($Q$18&lt;11,$R$15,$R$16)))^(1/12),0),G650*(1+IF($Q$18&lt;6,$R$14,IF($Q$18&lt;11,$R$15,$R$16)))^(1/12))),IF(LOOKUP(F651,X$1:X$35,X$1:X$35) = F651,ROUND(LOOKUP(LOOKUP(F651,X$1:X$35,A:A),'Annual Calculation'!A$2:A$107,Table1[Saving]),0),IF( LOOKUP(F651,W$1:W$35,W$1:W$35) =
 F651,ROUND(G650*(1+IF($Q$18&lt;6,$R$14,IF($Q$18&lt;11,$R$15,$R$16)))^(1/12),0),G650*(1+IF($Q$18&lt;6,$R$14,IF($Q$18&lt;11,$R$15,$R$16)))^(1/12))))</f>
        <v>0</v>
      </c>
    </row>
    <row r="652" spans="1:7">
      <c r="A652" s="348">
        <f t="shared" si="22"/>
        <v>651</v>
      </c>
      <c r="B652" s="360">
        <f>DATE('Profit Calculation'!J$6,A$2,A$2+A652-1)</f>
        <v>42655</v>
      </c>
      <c r="D652" s="362">
        <f t="shared" ca="1" si="21"/>
        <v>109650897.01529825</v>
      </c>
      <c r="F652" s="363">
        <f>DATE('Profit Calculation'!J$6,'Profit Calculation'!R$6+A652-1,'Profit Calculation'!Z$6)</f>
        <v>61880</v>
      </c>
      <c r="G652" s="364">
        <f ca="1">IF(Q$27=2,IF(LOOKUP(F652,X$1:X$35,X$1:X$35) = F652,ROUND(LOOKUP(LOOKUP(F652,X$1:X$35,A:A),Single!A$2:A$107,Table13[Saving]),0),IF( LOOKUP(F652,W$1:W$35,W$1:W$35) =
 F652,ROUND(G651*(1+IF($Q$18&lt;6,$R$14,IF($Q$18&lt;11,$R$15,$R$16)))^(1/12),0),G651*(1+IF($Q$18&lt;6,$R$14,IF($Q$18&lt;11,$R$15,$R$16)))^(1/12))),IF(LOOKUP(F652,X$1:X$35,X$1:X$35) = F652,ROUND(LOOKUP(LOOKUP(F652,X$1:X$35,A:A),'Annual Calculation'!A$2:A$107,Table1[Saving]),0),IF( LOOKUP(F652,W$1:W$35,W$1:W$35) =
 F652,ROUND(G651*(1+IF($Q$18&lt;6,$R$14,IF($Q$18&lt;11,$R$15,$R$16)))^(1/12),0),G651*(1+IF($Q$18&lt;6,$R$14,IF($Q$18&lt;11,$R$15,$R$16)))^(1/12))))</f>
        <v>0</v>
      </c>
    </row>
    <row r="653" spans="1:7">
      <c r="A653" s="348">
        <f t="shared" si="22"/>
        <v>652</v>
      </c>
      <c r="B653" s="360">
        <f>DATE('Profit Calculation'!J$6,A$2,A$2+A653-1)</f>
        <v>42656</v>
      </c>
      <c r="D653" s="362">
        <f t="shared" ca="1" si="21"/>
        <v>109692891.41741431</v>
      </c>
      <c r="F653" s="363">
        <f>DATE('Profit Calculation'!J$6,'Profit Calculation'!R$6+A653-1,'Profit Calculation'!Z$6)</f>
        <v>61910</v>
      </c>
      <c r="G653" s="364">
        <f ca="1">IF(Q$27=2,IF(LOOKUP(F653,X$1:X$35,X$1:X$35) = F653,ROUND(LOOKUP(LOOKUP(F653,X$1:X$35,A:A),Single!A$2:A$107,Table13[Saving]),0),IF( LOOKUP(F653,W$1:W$35,W$1:W$35) =
 F653,ROUND(G652*(1+IF($Q$18&lt;6,$R$14,IF($Q$18&lt;11,$R$15,$R$16)))^(1/12),0),G652*(1+IF($Q$18&lt;6,$R$14,IF($Q$18&lt;11,$R$15,$R$16)))^(1/12))),IF(LOOKUP(F653,X$1:X$35,X$1:X$35) = F653,ROUND(LOOKUP(LOOKUP(F653,X$1:X$35,A:A),'Annual Calculation'!A$2:A$107,Table1[Saving]),0),IF( LOOKUP(F653,W$1:W$35,W$1:W$35) =
 F653,ROUND(G652*(1+IF($Q$18&lt;6,$R$14,IF($Q$18&lt;11,$R$15,$R$16)))^(1/12),0),G652*(1+IF($Q$18&lt;6,$R$14,IF($Q$18&lt;11,$R$15,$R$16)))^(1/12))))</f>
        <v>0</v>
      </c>
    </row>
    <row r="654" spans="1:7">
      <c r="A654" s="348">
        <f t="shared" si="22"/>
        <v>653</v>
      </c>
      <c r="B654" s="360">
        <f>DATE('Profit Calculation'!J$6,A$2,A$2+A654-1)</f>
        <v>42657</v>
      </c>
      <c r="D654" s="362">
        <f t="shared" ca="1" si="21"/>
        <v>109734901.90266198</v>
      </c>
      <c r="F654" s="363">
        <f>DATE('Profit Calculation'!J$6,'Profit Calculation'!R$6+A654-1,'Profit Calculation'!Z$6)</f>
        <v>61941</v>
      </c>
      <c r="G654" s="364">
        <f ca="1">IF(Q$27=2,IF(LOOKUP(F654,X$1:X$35,X$1:X$35) = F654,ROUND(LOOKUP(LOOKUP(F654,X$1:X$35,A:A),Single!A$2:A$107,Table13[Saving]),0),IF( LOOKUP(F654,W$1:W$35,W$1:W$35) =
 F654,ROUND(G653*(1+IF($Q$18&lt;6,$R$14,IF($Q$18&lt;11,$R$15,$R$16)))^(1/12),0),G653*(1+IF($Q$18&lt;6,$R$14,IF($Q$18&lt;11,$R$15,$R$16)))^(1/12))),IF(LOOKUP(F654,X$1:X$35,X$1:X$35) = F654,ROUND(LOOKUP(LOOKUP(F654,X$1:X$35,A:A),'Annual Calculation'!A$2:A$107,Table1[Saving]),0),IF( LOOKUP(F654,W$1:W$35,W$1:W$35) =
 F654,ROUND(G653*(1+IF($Q$18&lt;6,$R$14,IF($Q$18&lt;11,$R$15,$R$16)))^(1/12),0),G653*(1+IF($Q$18&lt;6,$R$14,IF($Q$18&lt;11,$R$15,$R$16)))^(1/12))))</f>
        <v>0</v>
      </c>
    </row>
    <row r="655" spans="1:7">
      <c r="A655" s="348">
        <f t="shared" si="22"/>
        <v>654</v>
      </c>
      <c r="B655" s="360">
        <f>DATE('Profit Calculation'!J$6,A$2,A$2+A655-1)</f>
        <v>42658</v>
      </c>
      <c r="D655" s="362">
        <f t="shared" ca="1" si="21"/>
        <v>109776928.47720084</v>
      </c>
      <c r="F655" s="363">
        <f>DATE('Profit Calculation'!J$6,'Profit Calculation'!R$6+A655-1,'Profit Calculation'!Z$6)</f>
        <v>61972</v>
      </c>
      <c r="G655" s="364">
        <f ca="1">IF(Q$27=2,IF(LOOKUP(F655,X$1:X$35,X$1:X$35) = F655,ROUND(LOOKUP(LOOKUP(F655,X$1:X$35,A:A),Single!A$2:A$107,Table13[Saving]),0),IF( LOOKUP(F655,W$1:W$35,W$1:W$35) =
 F655,ROUND(G654*(1+IF($Q$18&lt;6,$R$14,IF($Q$18&lt;11,$R$15,$R$16)))^(1/12),0),G654*(1+IF($Q$18&lt;6,$R$14,IF($Q$18&lt;11,$R$15,$R$16)))^(1/12))),IF(LOOKUP(F655,X$1:X$35,X$1:X$35) = F655,ROUND(LOOKUP(LOOKUP(F655,X$1:X$35,A:A),'Annual Calculation'!A$2:A$107,Table1[Saving]),0),IF( LOOKUP(F655,W$1:W$35,W$1:W$35) =
 F655,ROUND(G654*(1+IF($Q$18&lt;6,$R$14,IF($Q$18&lt;11,$R$15,$R$16)))^(1/12),0),G654*(1+IF($Q$18&lt;6,$R$14,IF($Q$18&lt;11,$R$15,$R$16)))^(1/12))))</f>
        <v>0</v>
      </c>
    </row>
    <row r="656" spans="1:7">
      <c r="A656" s="348">
        <f t="shared" si="22"/>
        <v>655</v>
      </c>
      <c r="B656" s="360">
        <f>DATE('Profit Calculation'!J$6,A$2,A$2+A656-1)</f>
        <v>42659</v>
      </c>
      <c r="D656" s="362">
        <f t="shared" ca="1" si="21"/>
        <v>109818971.14719281</v>
      </c>
      <c r="F656" s="363">
        <f>DATE('Profit Calculation'!J$6,'Profit Calculation'!R$6+A656-1,'Profit Calculation'!Z$6)</f>
        <v>62002</v>
      </c>
      <c r="G656" s="364">
        <f ca="1">IF(Q$27=2,IF(LOOKUP(F656,X$1:X$35,X$1:X$35) = F656,ROUND(LOOKUP(LOOKUP(F656,X$1:X$35,A:A),Single!A$2:A$107,Table13[Saving]),0),IF( LOOKUP(F656,W$1:W$35,W$1:W$35) =
 F656,ROUND(G655*(1+IF($Q$18&lt;6,$R$14,IF($Q$18&lt;11,$R$15,$R$16)))^(1/12),0),G655*(1+IF($Q$18&lt;6,$R$14,IF($Q$18&lt;11,$R$15,$R$16)))^(1/12))),IF(LOOKUP(F656,X$1:X$35,X$1:X$35) = F656,ROUND(LOOKUP(LOOKUP(F656,X$1:X$35,A:A),'Annual Calculation'!A$2:A$107,Table1[Saving]),0),IF( LOOKUP(F656,W$1:W$35,W$1:W$35) =
 F656,ROUND(G655*(1+IF($Q$18&lt;6,$R$14,IF($Q$18&lt;11,$R$15,$R$16)))^(1/12),0),G655*(1+IF($Q$18&lt;6,$R$14,IF($Q$18&lt;11,$R$15,$R$16)))^(1/12))))</f>
        <v>0</v>
      </c>
    </row>
    <row r="657" spans="1:7">
      <c r="A657" s="348">
        <f t="shared" si="22"/>
        <v>656</v>
      </c>
      <c r="B657" s="360">
        <f>DATE('Profit Calculation'!J$6,A$2,A$2+A657-1)</f>
        <v>42660</v>
      </c>
      <c r="D657" s="362">
        <f t="shared" ca="1" si="21"/>
        <v>109861029.91880216</v>
      </c>
      <c r="F657" s="363">
        <f>DATE('Profit Calculation'!J$6,'Profit Calculation'!R$6+A657-1,'Profit Calculation'!Z$6)</f>
        <v>62033</v>
      </c>
      <c r="G657" s="364">
        <f ca="1">IF(Q$27=2,IF(LOOKUP(F657,X$1:X$35,X$1:X$35) = F657,ROUND(LOOKUP(LOOKUP(F657,X$1:X$35,A:A),Single!A$2:A$107,Table13[Saving]),0),IF( LOOKUP(F657,W$1:W$35,W$1:W$35) =
 F657,ROUND(G656*(1+IF($Q$18&lt;6,$R$14,IF($Q$18&lt;11,$R$15,$R$16)))^(1/12),0),G656*(1+IF($Q$18&lt;6,$R$14,IF($Q$18&lt;11,$R$15,$R$16)))^(1/12))),IF(LOOKUP(F657,X$1:X$35,X$1:X$35) = F657,ROUND(LOOKUP(LOOKUP(F657,X$1:X$35,A:A),'Annual Calculation'!A$2:A$107,Table1[Saving]),0),IF( LOOKUP(F657,W$1:W$35,W$1:W$35) =
 F657,ROUND(G656*(1+IF($Q$18&lt;6,$R$14,IF($Q$18&lt;11,$R$15,$R$16)))^(1/12),0),G656*(1+IF($Q$18&lt;6,$R$14,IF($Q$18&lt;11,$R$15,$R$16)))^(1/12))))</f>
        <v>0</v>
      </c>
    </row>
    <row r="658" spans="1:7">
      <c r="A658" s="348">
        <f t="shared" si="22"/>
        <v>657</v>
      </c>
      <c r="B658" s="360">
        <f>DATE('Profit Calculation'!J$6,A$2,A$2+A658-1)</f>
        <v>42661</v>
      </c>
      <c r="D658" s="362">
        <f t="shared" ca="1" si="21"/>
        <v>109903104.79819554</v>
      </c>
      <c r="F658" s="363">
        <f>DATE('Profit Calculation'!J$6,'Profit Calculation'!R$6+A658-1,'Profit Calculation'!Z$6)</f>
        <v>62063</v>
      </c>
      <c r="G658" s="364">
        <f ca="1">IF(Q$27=2,IF(LOOKUP(F658,X$1:X$35,X$1:X$35) = F658,ROUND(LOOKUP(LOOKUP(F658,X$1:X$35,A:A),Single!A$2:A$107,Table13[Saving]),0),IF( LOOKUP(F658,W$1:W$35,W$1:W$35) =
 F658,ROUND(G657*(1+IF($Q$18&lt;6,$R$14,IF($Q$18&lt;11,$R$15,$R$16)))^(1/12),0),G657*(1+IF($Q$18&lt;6,$R$14,IF($Q$18&lt;11,$R$15,$R$16)))^(1/12))),IF(LOOKUP(F658,X$1:X$35,X$1:X$35) = F658,ROUND(LOOKUP(LOOKUP(F658,X$1:X$35,A:A),'Annual Calculation'!A$2:A$107,Table1[Saving]),0),IF( LOOKUP(F658,W$1:W$35,W$1:W$35) =
 F658,ROUND(G657*(1+IF($Q$18&lt;6,$R$14,IF($Q$18&lt;11,$R$15,$R$16)))^(1/12),0),G657*(1+IF($Q$18&lt;6,$R$14,IF($Q$18&lt;11,$R$15,$R$16)))^(1/12))))</f>
        <v>0</v>
      </c>
    </row>
    <row r="659" spans="1:7">
      <c r="A659" s="348">
        <f t="shared" si="22"/>
        <v>658</v>
      </c>
      <c r="B659" s="360">
        <f>DATE('Profit Calculation'!J$6,A$2,A$2+A659-1)</f>
        <v>42662</v>
      </c>
      <c r="D659" s="362">
        <f t="shared" ca="1" si="21"/>
        <v>109945195.79154195</v>
      </c>
      <c r="F659" s="363">
        <f>DATE('Profit Calculation'!J$6,'Profit Calculation'!R$6+A659-1,'Profit Calculation'!Z$6)</f>
        <v>62094</v>
      </c>
      <c r="G659" s="364">
        <f ca="1">IF(Q$27=2,IF(LOOKUP(F659,X$1:X$35,X$1:X$35) = F659,ROUND(LOOKUP(LOOKUP(F659,X$1:X$35,A:A),Single!A$2:A$107,Table13[Saving]),0),IF( LOOKUP(F659,W$1:W$35,W$1:W$35) =
 F659,ROUND(G658*(1+IF($Q$18&lt;6,$R$14,IF($Q$18&lt;11,$R$15,$R$16)))^(1/12),0),G658*(1+IF($Q$18&lt;6,$R$14,IF($Q$18&lt;11,$R$15,$R$16)))^(1/12))),IF(LOOKUP(F659,X$1:X$35,X$1:X$35) = F659,ROUND(LOOKUP(LOOKUP(F659,X$1:X$35,A:A),'Annual Calculation'!A$2:A$107,Table1[Saving]),0),IF( LOOKUP(F659,W$1:W$35,W$1:W$35) =
 F659,ROUND(G658*(1+IF($Q$18&lt;6,$R$14,IF($Q$18&lt;11,$R$15,$R$16)))^(1/12),0),G658*(1+IF($Q$18&lt;6,$R$14,IF($Q$18&lt;11,$R$15,$R$16)))^(1/12))))</f>
        <v>0</v>
      </c>
    </row>
    <row r="660" spans="1:7">
      <c r="A660" s="348">
        <f t="shared" si="22"/>
        <v>659</v>
      </c>
      <c r="B660" s="360">
        <f>DATE('Profit Calculation'!J$6,A$2,A$2+A660-1)</f>
        <v>42663</v>
      </c>
      <c r="D660" s="362">
        <f t="shared" ca="1" si="21"/>
        <v>109987302.90501276</v>
      </c>
      <c r="F660" s="363">
        <f>DATE('Profit Calculation'!J$6,'Profit Calculation'!R$6+A660-1,'Profit Calculation'!Z$6)</f>
        <v>62125</v>
      </c>
      <c r="G660" s="364">
        <f ca="1">IF(Q$27=2,IF(LOOKUP(F660,X$1:X$35,X$1:X$35) = F660,ROUND(LOOKUP(LOOKUP(F660,X$1:X$35,A:A),Single!A$2:A$107,Table13[Saving]),0),IF( LOOKUP(F660,W$1:W$35,W$1:W$35) =
 F660,ROUND(G659*(1+IF($Q$18&lt;6,$R$14,IF($Q$18&lt;11,$R$15,$R$16)))^(1/12),0),G659*(1+IF($Q$18&lt;6,$R$14,IF($Q$18&lt;11,$R$15,$R$16)))^(1/12))),IF(LOOKUP(F660,X$1:X$35,X$1:X$35) = F660,ROUND(LOOKUP(LOOKUP(F660,X$1:X$35,A:A),'Annual Calculation'!A$2:A$107,Table1[Saving]),0),IF( LOOKUP(F660,W$1:W$35,W$1:W$35) =
 F660,ROUND(G659*(1+IF($Q$18&lt;6,$R$14,IF($Q$18&lt;11,$R$15,$R$16)))^(1/12),0),G659*(1+IF($Q$18&lt;6,$R$14,IF($Q$18&lt;11,$R$15,$R$16)))^(1/12))))</f>
        <v>0</v>
      </c>
    </row>
    <row r="661" spans="1:7">
      <c r="A661" s="348">
        <f t="shared" si="22"/>
        <v>660</v>
      </c>
      <c r="B661" s="360">
        <f>DATE('Profit Calculation'!J$6,A$2,A$2+A661-1)</f>
        <v>42664</v>
      </c>
      <c r="D661" s="362">
        <f t="shared" ca="1" si="21"/>
        <v>110029426.14478168</v>
      </c>
      <c r="F661" s="363">
        <f>DATE('Profit Calculation'!J$6,'Profit Calculation'!R$6+A661-1,'Profit Calculation'!Z$6)</f>
        <v>62153</v>
      </c>
      <c r="G661" s="364">
        <f ca="1">IF(Q$27=2,IF(LOOKUP(F661,X$1:X$35,X$1:X$35) = F661,ROUND(LOOKUP(LOOKUP(F661,X$1:X$35,A:A),Single!A$2:A$107,Table13[Saving]),0),IF( LOOKUP(F661,W$1:W$35,W$1:W$35) =
 F661,ROUND(G660*(1+IF($Q$18&lt;6,$R$14,IF($Q$18&lt;11,$R$15,$R$16)))^(1/12),0),G660*(1+IF($Q$18&lt;6,$R$14,IF($Q$18&lt;11,$R$15,$R$16)))^(1/12))),IF(LOOKUP(F661,X$1:X$35,X$1:X$35) = F661,ROUND(LOOKUP(LOOKUP(F661,X$1:X$35,A:A),'Annual Calculation'!A$2:A$107,Table1[Saving]),0),IF( LOOKUP(F661,W$1:W$35,W$1:W$35) =
 F661,ROUND(G660*(1+IF($Q$18&lt;6,$R$14,IF($Q$18&lt;11,$R$15,$R$16)))^(1/12),0),G660*(1+IF($Q$18&lt;6,$R$14,IF($Q$18&lt;11,$R$15,$R$16)))^(1/12))))</f>
        <v>0</v>
      </c>
    </row>
    <row r="662" spans="1:7">
      <c r="A662" s="348">
        <f t="shared" si="22"/>
        <v>661</v>
      </c>
      <c r="B662" s="360">
        <f>DATE('Profit Calculation'!J$6,A$2,A$2+A662-1)</f>
        <v>42665</v>
      </c>
      <c r="D662" s="362">
        <f t="shared" ca="1" si="21"/>
        <v>110071565.51702483</v>
      </c>
      <c r="F662" s="363">
        <f>DATE('Profit Calculation'!J$6,'Profit Calculation'!R$6+A662-1,'Profit Calculation'!Z$6)</f>
        <v>62184</v>
      </c>
      <c r="G662" s="364">
        <f ca="1">IF(Q$27=2,IF(LOOKUP(F662,X$1:X$35,X$1:X$35) = F662,ROUND(LOOKUP(LOOKUP(F662,X$1:X$35,A:A),Single!A$2:A$107,Table13[Saving]),0),IF( LOOKUP(F662,W$1:W$35,W$1:W$35) =
 F662,ROUND(G661*(1+IF($Q$18&lt;6,$R$14,IF($Q$18&lt;11,$R$15,$R$16)))^(1/12),0),G661*(1+IF($Q$18&lt;6,$R$14,IF($Q$18&lt;11,$R$15,$R$16)))^(1/12))),IF(LOOKUP(F662,X$1:X$35,X$1:X$35) = F662,ROUND(LOOKUP(LOOKUP(F662,X$1:X$35,A:A),'Annual Calculation'!A$2:A$107,Table1[Saving]),0),IF( LOOKUP(F662,W$1:W$35,W$1:W$35) =
 F662,ROUND(G661*(1+IF($Q$18&lt;6,$R$14,IF($Q$18&lt;11,$R$15,$R$16)))^(1/12),0),G661*(1+IF($Q$18&lt;6,$R$14,IF($Q$18&lt;11,$R$15,$R$16)))^(1/12))))</f>
        <v>0</v>
      </c>
    </row>
    <row r="663" spans="1:7">
      <c r="A663" s="348">
        <f t="shared" si="22"/>
        <v>662</v>
      </c>
      <c r="B663" s="360">
        <f>DATE('Profit Calculation'!J$6,A$2,A$2+A663-1)</f>
        <v>42666</v>
      </c>
      <c r="D663" s="362">
        <f t="shared" ca="1" si="21"/>
        <v>110113721.02792066</v>
      </c>
      <c r="F663" s="363">
        <f>DATE('Profit Calculation'!J$6,'Profit Calculation'!R$6+A663-1,'Profit Calculation'!Z$6)</f>
        <v>62214</v>
      </c>
      <c r="G663" s="364">
        <f ca="1">IF(Q$27=2,IF(LOOKUP(F663,X$1:X$35,X$1:X$35) = F663,ROUND(LOOKUP(LOOKUP(F663,X$1:X$35,A:A),Single!A$2:A$107,Table13[Saving]),0),IF( LOOKUP(F663,W$1:W$35,W$1:W$35) =
 F663,ROUND(G662*(1+IF($Q$18&lt;6,$R$14,IF($Q$18&lt;11,$R$15,$R$16)))^(1/12),0),G662*(1+IF($Q$18&lt;6,$R$14,IF($Q$18&lt;11,$R$15,$R$16)))^(1/12))),IF(LOOKUP(F663,X$1:X$35,X$1:X$35) = F663,ROUND(LOOKUP(LOOKUP(F663,X$1:X$35,A:A),'Annual Calculation'!A$2:A$107,Table1[Saving]),0),IF( LOOKUP(F663,W$1:W$35,W$1:W$35) =
 F663,ROUND(G662*(1+IF($Q$18&lt;6,$R$14,IF($Q$18&lt;11,$R$15,$R$16)))^(1/12),0),G662*(1+IF($Q$18&lt;6,$R$14,IF($Q$18&lt;11,$R$15,$R$16)))^(1/12))))</f>
        <v>0</v>
      </c>
    </row>
    <row r="664" spans="1:7">
      <c r="A664" s="348">
        <f t="shared" si="22"/>
        <v>663</v>
      </c>
      <c r="B664" s="360">
        <f>DATE('Profit Calculation'!J$6,A$2,A$2+A664-1)</f>
        <v>42667</v>
      </c>
      <c r="D664" s="362">
        <f t="shared" ca="1" si="21"/>
        <v>110155892.68365</v>
      </c>
      <c r="F664" s="363">
        <f>DATE('Profit Calculation'!J$6,'Profit Calculation'!R$6+A664-1,'Profit Calculation'!Z$6)</f>
        <v>62245</v>
      </c>
      <c r="G664" s="364">
        <f ca="1">IF(Q$27=2,IF(LOOKUP(F664,X$1:X$35,X$1:X$35) = F664,ROUND(LOOKUP(LOOKUP(F664,X$1:X$35,A:A),Single!A$2:A$107,Table13[Saving]),0),IF( LOOKUP(F664,W$1:W$35,W$1:W$35) =
 F664,ROUND(G663*(1+IF($Q$18&lt;6,$R$14,IF($Q$18&lt;11,$R$15,$R$16)))^(1/12),0),G663*(1+IF($Q$18&lt;6,$R$14,IF($Q$18&lt;11,$R$15,$R$16)))^(1/12))),IF(LOOKUP(F664,X$1:X$35,X$1:X$35) = F664,ROUND(LOOKUP(LOOKUP(F664,X$1:X$35,A:A),'Annual Calculation'!A$2:A$107,Table1[Saving]),0),IF( LOOKUP(F664,W$1:W$35,W$1:W$35) =
 F664,ROUND(G663*(1+IF($Q$18&lt;6,$R$14,IF($Q$18&lt;11,$R$15,$R$16)))^(1/12),0),G663*(1+IF($Q$18&lt;6,$R$14,IF($Q$18&lt;11,$R$15,$R$16)))^(1/12))))</f>
        <v>0</v>
      </c>
    </row>
    <row r="665" spans="1:7">
      <c r="A665" s="348">
        <f t="shared" si="22"/>
        <v>664</v>
      </c>
      <c r="B665" s="360">
        <f>DATE('Profit Calculation'!J$6,A$2,A$2+A665-1)</f>
        <v>42668</v>
      </c>
      <c r="D665" s="362">
        <f t="shared" ca="1" si="21"/>
        <v>110198080.49039604</v>
      </c>
      <c r="F665" s="363">
        <f>DATE('Profit Calculation'!J$6,'Profit Calculation'!R$6+A665-1,'Profit Calculation'!Z$6)</f>
        <v>62275</v>
      </c>
      <c r="G665" s="364">
        <f ca="1">IF(Q$27=2,IF(LOOKUP(F665,X$1:X$35,X$1:X$35) = F665,ROUND(LOOKUP(LOOKUP(F665,X$1:X$35,A:A),Single!A$2:A$107,Table13[Saving]),0),IF( LOOKUP(F665,W$1:W$35,W$1:W$35) =
 F665,ROUND(G664*(1+IF($Q$18&lt;6,$R$14,IF($Q$18&lt;11,$R$15,$R$16)))^(1/12),0),G664*(1+IF($Q$18&lt;6,$R$14,IF($Q$18&lt;11,$R$15,$R$16)))^(1/12))),IF(LOOKUP(F665,X$1:X$35,X$1:X$35) = F665,ROUND(LOOKUP(LOOKUP(F665,X$1:X$35,A:A),'Annual Calculation'!A$2:A$107,Table1[Saving]),0),IF( LOOKUP(F665,W$1:W$35,W$1:W$35) =
 F665,ROUND(G664*(1+IF($Q$18&lt;6,$R$14,IF($Q$18&lt;11,$R$15,$R$16)))^(1/12),0),G664*(1+IF($Q$18&lt;6,$R$14,IF($Q$18&lt;11,$R$15,$R$16)))^(1/12))))</f>
        <v>0</v>
      </c>
    </row>
    <row r="666" spans="1:7">
      <c r="A666" s="348">
        <f t="shared" si="22"/>
        <v>665</v>
      </c>
      <c r="B666" s="360">
        <f>DATE('Profit Calculation'!J$6,A$2,A$2+A666-1)</f>
        <v>42669</v>
      </c>
      <c r="D666" s="362">
        <f t="shared" ca="1" si="21"/>
        <v>110240284.45434433</v>
      </c>
      <c r="F666" s="363">
        <f>DATE('Profit Calculation'!J$6,'Profit Calculation'!R$6+A666-1,'Profit Calculation'!Z$6)</f>
        <v>62306</v>
      </c>
      <c r="G666" s="364">
        <f ca="1">IF(Q$27=2,IF(LOOKUP(F666,X$1:X$35,X$1:X$35) = F666,ROUND(LOOKUP(LOOKUP(F666,X$1:X$35,A:A),Single!A$2:A$107,Table13[Saving]),0),IF( LOOKUP(F666,W$1:W$35,W$1:W$35) =
 F666,ROUND(G665*(1+IF($Q$18&lt;6,$R$14,IF($Q$18&lt;11,$R$15,$R$16)))^(1/12),0),G665*(1+IF($Q$18&lt;6,$R$14,IF($Q$18&lt;11,$R$15,$R$16)))^(1/12))),IF(LOOKUP(F666,X$1:X$35,X$1:X$35) = F666,ROUND(LOOKUP(LOOKUP(F666,X$1:X$35,A:A),'Annual Calculation'!A$2:A$107,Table1[Saving]),0),IF( LOOKUP(F666,W$1:W$35,W$1:W$35) =
 F666,ROUND(G665*(1+IF($Q$18&lt;6,$R$14,IF($Q$18&lt;11,$R$15,$R$16)))^(1/12),0),G665*(1+IF($Q$18&lt;6,$R$14,IF($Q$18&lt;11,$R$15,$R$16)))^(1/12))))</f>
        <v>0</v>
      </c>
    </row>
    <row r="667" spans="1:7">
      <c r="A667" s="348">
        <f t="shared" si="22"/>
        <v>666</v>
      </c>
      <c r="B667" s="360">
        <f>DATE('Profit Calculation'!J$6,A$2,A$2+A667-1)</f>
        <v>42670</v>
      </c>
      <c r="D667" s="362">
        <f t="shared" ca="1" si="21"/>
        <v>110282504.58168282</v>
      </c>
      <c r="F667" s="363">
        <f>DATE('Profit Calculation'!J$6,'Profit Calculation'!R$6+A667-1,'Profit Calculation'!Z$6)</f>
        <v>62337</v>
      </c>
      <c r="G667" s="364">
        <f ca="1">IF(Q$27=2,IF(LOOKUP(F667,X$1:X$35,X$1:X$35) = F667,ROUND(LOOKUP(LOOKUP(F667,X$1:X$35,A:A),Single!A$2:A$107,Table13[Saving]),0),IF( LOOKUP(F667,W$1:W$35,W$1:W$35) =
 F667,ROUND(G666*(1+IF($Q$18&lt;6,$R$14,IF($Q$18&lt;11,$R$15,$R$16)))^(1/12),0),G666*(1+IF($Q$18&lt;6,$R$14,IF($Q$18&lt;11,$R$15,$R$16)))^(1/12))),IF(LOOKUP(F667,X$1:X$35,X$1:X$35) = F667,ROUND(LOOKUP(LOOKUP(F667,X$1:X$35,A:A),'Annual Calculation'!A$2:A$107,Table1[Saving]),0),IF( LOOKUP(F667,W$1:W$35,W$1:W$35) =
 F667,ROUND(G666*(1+IF($Q$18&lt;6,$R$14,IF($Q$18&lt;11,$R$15,$R$16)))^(1/12),0),G666*(1+IF($Q$18&lt;6,$R$14,IF($Q$18&lt;11,$R$15,$R$16)))^(1/12))))</f>
        <v>0</v>
      </c>
    </row>
    <row r="668" spans="1:7">
      <c r="A668" s="348">
        <f t="shared" si="22"/>
        <v>667</v>
      </c>
      <c r="B668" s="360">
        <f>DATE('Profit Calculation'!J$6,A$2,A$2+A668-1)</f>
        <v>42671</v>
      </c>
      <c r="D668" s="362">
        <f t="shared" ca="1" si="21"/>
        <v>110324740.87860177</v>
      </c>
      <c r="F668" s="363">
        <f>DATE('Profit Calculation'!J$6,'Profit Calculation'!R$6+A668-1,'Profit Calculation'!Z$6)</f>
        <v>62367</v>
      </c>
      <c r="G668" s="364">
        <f ca="1">IF(Q$27=2,IF(LOOKUP(F668,X$1:X$35,X$1:X$35) = F668,ROUND(LOOKUP(LOOKUP(F668,X$1:X$35,A:A),Single!A$2:A$107,Table13[Saving]),0),IF( LOOKUP(F668,W$1:W$35,W$1:W$35) =
 F668,ROUND(G667*(1+IF($Q$18&lt;6,$R$14,IF($Q$18&lt;11,$R$15,$R$16)))^(1/12),0),G667*(1+IF($Q$18&lt;6,$R$14,IF($Q$18&lt;11,$R$15,$R$16)))^(1/12))),IF(LOOKUP(F668,X$1:X$35,X$1:X$35) = F668,ROUND(LOOKUP(LOOKUP(F668,X$1:X$35,A:A),'Annual Calculation'!A$2:A$107,Table1[Saving]),0),IF( LOOKUP(F668,W$1:W$35,W$1:W$35) =
 F668,ROUND(G667*(1+IF($Q$18&lt;6,$R$14,IF($Q$18&lt;11,$R$15,$R$16)))^(1/12),0),G667*(1+IF($Q$18&lt;6,$R$14,IF($Q$18&lt;11,$R$15,$R$16)))^(1/12))))</f>
        <v>0</v>
      </c>
    </row>
    <row r="669" spans="1:7">
      <c r="A669" s="348">
        <f t="shared" si="22"/>
        <v>668</v>
      </c>
      <c r="B669" s="360">
        <f>DATE('Profit Calculation'!J$6,A$2,A$2+A669-1)</f>
        <v>42672</v>
      </c>
      <c r="D669" s="362">
        <f t="shared" ca="1" si="21"/>
        <v>110366993.35129389</v>
      </c>
      <c r="F669" s="363">
        <f>DATE('Profit Calculation'!J$6,'Profit Calculation'!R$6+A669-1,'Profit Calculation'!Z$6)</f>
        <v>62398</v>
      </c>
      <c r="G669" s="364">
        <f ca="1">IF(Q$27=2,IF(LOOKUP(F669,X$1:X$35,X$1:X$35) = F669,ROUND(LOOKUP(LOOKUP(F669,X$1:X$35,A:A),Single!A$2:A$107,Table13[Saving]),0),IF( LOOKUP(F669,W$1:W$35,W$1:W$35) =
 F669,ROUND(G668*(1+IF($Q$18&lt;6,$R$14,IF($Q$18&lt;11,$R$15,$R$16)))^(1/12),0),G668*(1+IF($Q$18&lt;6,$R$14,IF($Q$18&lt;11,$R$15,$R$16)))^(1/12))),IF(LOOKUP(F669,X$1:X$35,X$1:X$35) = F669,ROUND(LOOKUP(LOOKUP(F669,X$1:X$35,A:A),'Annual Calculation'!A$2:A$107,Table1[Saving]),0),IF( LOOKUP(F669,W$1:W$35,W$1:W$35) =
 F669,ROUND(G668*(1+IF($Q$18&lt;6,$R$14,IF($Q$18&lt;11,$R$15,$R$16)))^(1/12),0),G668*(1+IF($Q$18&lt;6,$R$14,IF($Q$18&lt;11,$R$15,$R$16)))^(1/12))))</f>
        <v>0</v>
      </c>
    </row>
    <row r="670" spans="1:7">
      <c r="A670" s="348">
        <f t="shared" si="22"/>
        <v>669</v>
      </c>
      <c r="B670" s="360">
        <f>DATE('Profit Calculation'!J$6,A$2,A$2+A670-1)</f>
        <v>42673</v>
      </c>
      <c r="D670" s="362">
        <f t="shared" ca="1" si="21"/>
        <v>110409262.00595422</v>
      </c>
      <c r="F670" s="363">
        <f>DATE('Profit Calculation'!J$6,'Profit Calculation'!R$6+A670-1,'Profit Calculation'!Z$6)</f>
        <v>62428</v>
      </c>
      <c r="G670" s="364">
        <f ca="1">IF(Q$27=2,IF(LOOKUP(F670,X$1:X$35,X$1:X$35) = F670,ROUND(LOOKUP(LOOKUP(F670,X$1:X$35,A:A),Single!A$2:A$107,Table13[Saving]),0),IF( LOOKUP(F670,W$1:W$35,W$1:W$35) =
 F670,ROUND(G669*(1+IF($Q$18&lt;6,$R$14,IF($Q$18&lt;11,$R$15,$R$16)))^(1/12),0),G669*(1+IF($Q$18&lt;6,$R$14,IF($Q$18&lt;11,$R$15,$R$16)))^(1/12))),IF(LOOKUP(F670,X$1:X$35,X$1:X$35) = F670,ROUND(LOOKUP(LOOKUP(F670,X$1:X$35,A:A),'Annual Calculation'!A$2:A$107,Table1[Saving]),0),IF( LOOKUP(F670,W$1:W$35,W$1:W$35) =
 F670,ROUND(G669*(1+IF($Q$18&lt;6,$R$14,IF($Q$18&lt;11,$R$15,$R$16)))^(1/12),0),G669*(1+IF($Q$18&lt;6,$R$14,IF($Q$18&lt;11,$R$15,$R$16)))^(1/12))))</f>
        <v>0</v>
      </c>
    </row>
    <row r="671" spans="1:7">
      <c r="A671" s="348">
        <f t="shared" si="22"/>
        <v>670</v>
      </c>
      <c r="B671" s="360">
        <f>DATE('Profit Calculation'!J$6,A$2,A$2+A671-1)</f>
        <v>42674</v>
      </c>
      <c r="D671" s="362">
        <f t="shared" ca="1" si="21"/>
        <v>110451546.84878016</v>
      </c>
      <c r="F671" s="363">
        <f>DATE('Profit Calculation'!J$6,'Profit Calculation'!R$6+A671-1,'Profit Calculation'!Z$6)</f>
        <v>62459</v>
      </c>
      <c r="G671" s="364">
        <f ca="1">IF(Q$27=2,IF(LOOKUP(F671,X$1:X$35,X$1:X$35) = F671,ROUND(LOOKUP(LOOKUP(F671,X$1:X$35,A:A),Single!A$2:A$107,Table13[Saving]),0),IF( LOOKUP(F671,W$1:W$35,W$1:W$35) =
 F671,ROUND(G670*(1+IF($Q$18&lt;6,$R$14,IF($Q$18&lt;11,$R$15,$R$16)))^(1/12),0),G670*(1+IF($Q$18&lt;6,$R$14,IF($Q$18&lt;11,$R$15,$R$16)))^(1/12))),IF(LOOKUP(F671,X$1:X$35,X$1:X$35) = F671,ROUND(LOOKUP(LOOKUP(F671,X$1:X$35,A:A),'Annual Calculation'!A$2:A$107,Table1[Saving]),0),IF( LOOKUP(F671,W$1:W$35,W$1:W$35) =
 F671,ROUND(G670*(1+IF($Q$18&lt;6,$R$14,IF($Q$18&lt;11,$R$15,$R$16)))^(1/12),0),G670*(1+IF($Q$18&lt;6,$R$14,IF($Q$18&lt;11,$R$15,$R$16)))^(1/12))))</f>
        <v>0</v>
      </c>
    </row>
    <row r="672" spans="1:7">
      <c r="A672" s="348">
        <f t="shared" si="22"/>
        <v>671</v>
      </c>
      <c r="B672" s="360">
        <f>DATE('Profit Calculation'!J$6,A$2,A$2+A672-1)</f>
        <v>42675</v>
      </c>
      <c r="D672" s="362">
        <f t="shared" ca="1" si="21"/>
        <v>110493847.8859715</v>
      </c>
      <c r="F672" s="363">
        <f>DATE('Profit Calculation'!J$6,'Profit Calculation'!R$6+A672-1,'Profit Calculation'!Z$6)</f>
        <v>62490</v>
      </c>
      <c r="G672" s="364">
        <f ca="1">IF(Q$27=2,IF(LOOKUP(F672,X$1:X$35,X$1:X$35) = F672,ROUND(LOOKUP(LOOKUP(F672,X$1:X$35,A:A),Single!A$2:A$107,Table13[Saving]),0),IF( LOOKUP(F672,W$1:W$35,W$1:W$35) =
 F672,ROUND(G671*(1+IF($Q$18&lt;6,$R$14,IF($Q$18&lt;11,$R$15,$R$16)))^(1/12),0),G671*(1+IF($Q$18&lt;6,$R$14,IF($Q$18&lt;11,$R$15,$R$16)))^(1/12))),IF(LOOKUP(F672,X$1:X$35,X$1:X$35) = F672,ROUND(LOOKUP(LOOKUP(F672,X$1:X$35,A:A),'Annual Calculation'!A$2:A$107,Table1[Saving]),0),IF( LOOKUP(F672,W$1:W$35,W$1:W$35) =
 F672,ROUND(G671*(1+IF($Q$18&lt;6,$R$14,IF($Q$18&lt;11,$R$15,$R$16)))^(1/12),0),G671*(1+IF($Q$18&lt;6,$R$14,IF($Q$18&lt;11,$R$15,$R$16)))^(1/12))))</f>
        <v>0</v>
      </c>
    </row>
    <row r="673" spans="1:7">
      <c r="A673" s="348">
        <f t="shared" si="22"/>
        <v>672</v>
      </c>
      <c r="B673" s="360">
        <f>DATE('Profit Calculation'!J$6,A$2,A$2+A673-1)</f>
        <v>42676</v>
      </c>
      <c r="D673" s="362">
        <f t="shared" ca="1" si="21"/>
        <v>110536165.12373041</v>
      </c>
      <c r="F673" s="363">
        <f>DATE('Profit Calculation'!J$6,'Profit Calculation'!R$6+A673-1,'Profit Calculation'!Z$6)</f>
        <v>62518</v>
      </c>
      <c r="G673" s="364">
        <f ca="1">IF(Q$27=2,IF(LOOKUP(F673,X$1:X$35,X$1:X$35) = F673,ROUND(LOOKUP(LOOKUP(F673,X$1:X$35,A:A),Single!A$2:A$107,Table13[Saving]),0),IF( LOOKUP(F673,W$1:W$35,W$1:W$35) =
 F673,ROUND(G672*(1+IF($Q$18&lt;6,$R$14,IF($Q$18&lt;11,$R$15,$R$16)))^(1/12),0),G672*(1+IF($Q$18&lt;6,$R$14,IF($Q$18&lt;11,$R$15,$R$16)))^(1/12))),IF(LOOKUP(F673,X$1:X$35,X$1:X$35) = F673,ROUND(LOOKUP(LOOKUP(F673,X$1:X$35,A:A),'Annual Calculation'!A$2:A$107,Table1[Saving]),0),IF( LOOKUP(F673,W$1:W$35,W$1:W$35) =
 F673,ROUND(G672*(1+IF($Q$18&lt;6,$R$14,IF($Q$18&lt;11,$R$15,$R$16)))^(1/12),0),G672*(1+IF($Q$18&lt;6,$R$14,IF($Q$18&lt;11,$R$15,$R$16)))^(1/12))))</f>
        <v>0</v>
      </c>
    </row>
    <row r="674" spans="1:7">
      <c r="A674" s="348">
        <f t="shared" si="22"/>
        <v>673</v>
      </c>
      <c r="B674" s="360">
        <f>DATE('Profit Calculation'!J$6,A$2,A$2+A674-1)</f>
        <v>42677</v>
      </c>
      <c r="D674" s="362">
        <f t="shared" ca="1" si="21"/>
        <v>110578498.56826141</v>
      </c>
      <c r="F674" s="363">
        <f>DATE('Profit Calculation'!J$6,'Profit Calculation'!R$6+A674-1,'Profit Calculation'!Z$6)</f>
        <v>62549</v>
      </c>
      <c r="G674" s="364">
        <f ca="1">IF(Q$27=2,IF(LOOKUP(F674,X$1:X$35,X$1:X$35) = F674,ROUND(LOOKUP(LOOKUP(F674,X$1:X$35,A:A),Single!A$2:A$107,Table13[Saving]),0),IF( LOOKUP(F674,W$1:W$35,W$1:W$35) =
 F674,ROUND(G673*(1+IF($Q$18&lt;6,$R$14,IF($Q$18&lt;11,$R$15,$R$16)))^(1/12),0),G673*(1+IF($Q$18&lt;6,$R$14,IF($Q$18&lt;11,$R$15,$R$16)))^(1/12))),IF(LOOKUP(F674,X$1:X$35,X$1:X$35) = F674,ROUND(LOOKUP(LOOKUP(F674,X$1:X$35,A:A),'Annual Calculation'!A$2:A$107,Table1[Saving]),0),IF( LOOKUP(F674,W$1:W$35,W$1:W$35) =
 F674,ROUND(G673*(1+IF($Q$18&lt;6,$R$14,IF($Q$18&lt;11,$R$15,$R$16)))^(1/12),0),G673*(1+IF($Q$18&lt;6,$R$14,IF($Q$18&lt;11,$R$15,$R$16)))^(1/12))))</f>
        <v>0</v>
      </c>
    </row>
    <row r="675" spans="1:7">
      <c r="A675" s="348">
        <f t="shared" si="22"/>
        <v>674</v>
      </c>
      <c r="B675" s="360">
        <f>DATE('Profit Calculation'!J$6,A$2,A$2+A675-1)</f>
        <v>42678</v>
      </c>
      <c r="D675" s="362">
        <f t="shared" ca="1" si="21"/>
        <v>110620848.22577144</v>
      </c>
      <c r="F675" s="363">
        <f>DATE('Profit Calculation'!J$6,'Profit Calculation'!R$6+A675-1,'Profit Calculation'!Z$6)</f>
        <v>62579</v>
      </c>
      <c r="G675" s="364">
        <f ca="1">IF(Q$27=2,IF(LOOKUP(F675,X$1:X$35,X$1:X$35) = F675,ROUND(LOOKUP(LOOKUP(F675,X$1:X$35,A:A),Single!A$2:A$107,Table13[Saving]),0),IF( LOOKUP(F675,W$1:W$35,W$1:W$35) =
 F675,ROUND(G674*(1+IF($Q$18&lt;6,$R$14,IF($Q$18&lt;11,$R$15,$R$16)))^(1/12),0),G674*(1+IF($Q$18&lt;6,$R$14,IF($Q$18&lt;11,$R$15,$R$16)))^(1/12))),IF(LOOKUP(F675,X$1:X$35,X$1:X$35) = F675,ROUND(LOOKUP(LOOKUP(F675,X$1:X$35,A:A),'Annual Calculation'!A$2:A$107,Table1[Saving]),0),IF( LOOKUP(F675,W$1:W$35,W$1:W$35) =
 F675,ROUND(G674*(1+IF($Q$18&lt;6,$R$14,IF($Q$18&lt;11,$R$15,$R$16)))^(1/12),0),G674*(1+IF($Q$18&lt;6,$R$14,IF($Q$18&lt;11,$R$15,$R$16)))^(1/12))))</f>
        <v>0</v>
      </c>
    </row>
    <row r="676" spans="1:7">
      <c r="A676" s="348">
        <f t="shared" si="22"/>
        <v>675</v>
      </c>
      <c r="B676" s="360">
        <f>DATE('Profit Calculation'!J$6,A$2,A$2+A676-1)</f>
        <v>42679</v>
      </c>
      <c r="D676" s="362">
        <f t="shared" ca="1" si="21"/>
        <v>110663214.10246979</v>
      </c>
      <c r="F676" s="363">
        <f>DATE('Profit Calculation'!J$6,'Profit Calculation'!R$6+A676-1,'Profit Calculation'!Z$6)</f>
        <v>62610</v>
      </c>
      <c r="G676" s="364">
        <f ca="1">IF(Q$27=2,IF(LOOKUP(F676,X$1:X$35,X$1:X$35) = F676,ROUND(LOOKUP(LOOKUP(F676,X$1:X$35,A:A),Single!A$2:A$107,Table13[Saving]),0),IF( LOOKUP(F676,W$1:W$35,W$1:W$35) =
 F676,ROUND(G675*(1+IF($Q$18&lt;6,$R$14,IF($Q$18&lt;11,$R$15,$R$16)))^(1/12),0),G675*(1+IF($Q$18&lt;6,$R$14,IF($Q$18&lt;11,$R$15,$R$16)))^(1/12))),IF(LOOKUP(F676,X$1:X$35,X$1:X$35) = F676,ROUND(LOOKUP(LOOKUP(F676,X$1:X$35,A:A),'Annual Calculation'!A$2:A$107,Table1[Saving]),0),IF( LOOKUP(F676,W$1:W$35,W$1:W$35) =
 F676,ROUND(G675*(1+IF($Q$18&lt;6,$R$14,IF($Q$18&lt;11,$R$15,$R$16)))^(1/12),0),G675*(1+IF($Q$18&lt;6,$R$14,IF($Q$18&lt;11,$R$15,$R$16)))^(1/12))))</f>
        <v>0</v>
      </c>
    </row>
    <row r="677" spans="1:7">
      <c r="A677" s="348">
        <f t="shared" si="22"/>
        <v>676</v>
      </c>
      <c r="B677" s="360">
        <f>DATE('Profit Calculation'!J$6,A$2,A$2+A677-1)</f>
        <v>42680</v>
      </c>
      <c r="D677" s="362">
        <f t="shared" ca="1" si="21"/>
        <v>110705596.2045681</v>
      </c>
      <c r="F677" s="363">
        <f>DATE('Profit Calculation'!J$6,'Profit Calculation'!R$6+A677-1,'Profit Calculation'!Z$6)</f>
        <v>62640</v>
      </c>
      <c r="G677" s="364">
        <f ca="1">IF(Q$27=2,IF(LOOKUP(F677,X$1:X$35,X$1:X$35) = F677,ROUND(LOOKUP(LOOKUP(F677,X$1:X$35,A:A),Single!A$2:A$107,Table13[Saving]),0),IF( LOOKUP(F677,W$1:W$35,W$1:W$35) =
 F677,ROUND(G676*(1+IF($Q$18&lt;6,$R$14,IF($Q$18&lt;11,$R$15,$R$16)))^(1/12),0),G676*(1+IF($Q$18&lt;6,$R$14,IF($Q$18&lt;11,$R$15,$R$16)))^(1/12))),IF(LOOKUP(F677,X$1:X$35,X$1:X$35) = F677,ROUND(LOOKUP(LOOKUP(F677,X$1:X$35,A:A),'Annual Calculation'!A$2:A$107,Table1[Saving]),0),IF( LOOKUP(F677,W$1:W$35,W$1:W$35) =
 F677,ROUND(G676*(1+IF($Q$18&lt;6,$R$14,IF($Q$18&lt;11,$R$15,$R$16)))^(1/12),0),G676*(1+IF($Q$18&lt;6,$R$14,IF($Q$18&lt;11,$R$15,$R$16)))^(1/12))))</f>
        <v>0</v>
      </c>
    </row>
    <row r="678" spans="1:7">
      <c r="A678" s="348">
        <f t="shared" si="22"/>
        <v>677</v>
      </c>
      <c r="B678" s="360">
        <f>DATE('Profit Calculation'!J$6,A$2,A$2+A678-1)</f>
        <v>42681</v>
      </c>
      <c r="D678" s="362">
        <f t="shared" ca="1" si="21"/>
        <v>110747994.53828044</v>
      </c>
      <c r="F678" s="363">
        <f>DATE('Profit Calculation'!J$6,'Profit Calculation'!R$6+A678-1,'Profit Calculation'!Z$6)</f>
        <v>62671</v>
      </c>
      <c r="G678" s="364">
        <f ca="1">IF(Q$27=2,IF(LOOKUP(F678,X$1:X$35,X$1:X$35) = F678,ROUND(LOOKUP(LOOKUP(F678,X$1:X$35,A:A),Single!A$2:A$107,Table13[Saving]),0),IF( LOOKUP(F678,W$1:W$35,W$1:W$35) =
 F678,ROUND(G677*(1+IF($Q$18&lt;6,$R$14,IF($Q$18&lt;11,$R$15,$R$16)))^(1/12),0),G677*(1+IF($Q$18&lt;6,$R$14,IF($Q$18&lt;11,$R$15,$R$16)))^(1/12))),IF(LOOKUP(F678,X$1:X$35,X$1:X$35) = F678,ROUND(LOOKUP(LOOKUP(F678,X$1:X$35,A:A),'Annual Calculation'!A$2:A$107,Table1[Saving]),0),IF( LOOKUP(F678,W$1:W$35,W$1:W$35) =
 F678,ROUND(G677*(1+IF($Q$18&lt;6,$R$14,IF($Q$18&lt;11,$R$15,$R$16)))^(1/12),0),G677*(1+IF($Q$18&lt;6,$R$14,IF($Q$18&lt;11,$R$15,$R$16)))^(1/12))))</f>
        <v>0</v>
      </c>
    </row>
    <row r="679" spans="1:7">
      <c r="A679" s="348">
        <f t="shared" si="22"/>
        <v>678</v>
      </c>
      <c r="B679" s="360">
        <f>DATE('Profit Calculation'!J$6,A$2,A$2+A679-1)</f>
        <v>42682</v>
      </c>
      <c r="D679" s="362">
        <f t="shared" ca="1" si="21"/>
        <v>110790409.10982324</v>
      </c>
      <c r="F679" s="363">
        <f>DATE('Profit Calculation'!J$6,'Profit Calculation'!R$6+A679-1,'Profit Calculation'!Z$6)</f>
        <v>62702</v>
      </c>
      <c r="G679" s="364">
        <f ca="1">IF(Q$27=2,IF(LOOKUP(F679,X$1:X$35,X$1:X$35) = F679,ROUND(LOOKUP(LOOKUP(F679,X$1:X$35,A:A),Single!A$2:A$107,Table13[Saving]),0),IF( LOOKUP(F679,W$1:W$35,W$1:W$35) =
 F679,ROUND(G678*(1+IF($Q$18&lt;6,$R$14,IF($Q$18&lt;11,$R$15,$R$16)))^(1/12),0),G678*(1+IF($Q$18&lt;6,$R$14,IF($Q$18&lt;11,$R$15,$R$16)))^(1/12))),IF(LOOKUP(F679,X$1:X$35,X$1:X$35) = F679,ROUND(LOOKUP(LOOKUP(F679,X$1:X$35,A:A),'Annual Calculation'!A$2:A$107,Table1[Saving]),0),IF( LOOKUP(F679,W$1:W$35,W$1:W$35) =
 F679,ROUND(G678*(1+IF($Q$18&lt;6,$R$14,IF($Q$18&lt;11,$R$15,$R$16)))^(1/12),0),G678*(1+IF($Q$18&lt;6,$R$14,IF($Q$18&lt;11,$R$15,$R$16)))^(1/12))))</f>
        <v>0</v>
      </c>
    </row>
    <row r="680" spans="1:7">
      <c r="A680" s="348">
        <f t="shared" si="22"/>
        <v>679</v>
      </c>
      <c r="B680" s="360">
        <f>DATE('Profit Calculation'!J$6,A$2,A$2+A680-1)</f>
        <v>42683</v>
      </c>
      <c r="D680" s="362">
        <f t="shared" ca="1" si="21"/>
        <v>110832839.92541531</v>
      </c>
      <c r="F680" s="363">
        <f>DATE('Profit Calculation'!J$6,'Profit Calculation'!R$6+A680-1,'Profit Calculation'!Z$6)</f>
        <v>62732</v>
      </c>
      <c r="G680" s="364">
        <f ca="1">IF(Q$27=2,IF(LOOKUP(F680,X$1:X$35,X$1:X$35) = F680,ROUND(LOOKUP(LOOKUP(F680,X$1:X$35,A:A),Single!A$2:A$107,Table13[Saving]),0),IF( LOOKUP(F680,W$1:W$35,W$1:W$35) =
 F680,ROUND(G679*(1+IF($Q$18&lt;6,$R$14,IF($Q$18&lt;11,$R$15,$R$16)))^(1/12),0),G679*(1+IF($Q$18&lt;6,$R$14,IF($Q$18&lt;11,$R$15,$R$16)))^(1/12))),IF(LOOKUP(F680,X$1:X$35,X$1:X$35) = F680,ROUND(LOOKUP(LOOKUP(F680,X$1:X$35,A:A),'Annual Calculation'!A$2:A$107,Table1[Saving]),0),IF( LOOKUP(F680,W$1:W$35,W$1:W$35) =
 F680,ROUND(G679*(1+IF($Q$18&lt;6,$R$14,IF($Q$18&lt;11,$R$15,$R$16)))^(1/12),0),G679*(1+IF($Q$18&lt;6,$R$14,IF($Q$18&lt;11,$R$15,$R$16)))^(1/12))))</f>
        <v>0</v>
      </c>
    </row>
    <row r="681" spans="1:7">
      <c r="A681" s="348">
        <f t="shared" si="22"/>
        <v>680</v>
      </c>
      <c r="B681" s="360">
        <f>DATE('Profit Calculation'!J$6,A$2,A$2+A681-1)</f>
        <v>42684</v>
      </c>
      <c r="D681" s="362">
        <f t="shared" ca="1" si="21"/>
        <v>110875286.99127783</v>
      </c>
      <c r="F681" s="363">
        <f>DATE('Profit Calculation'!J$6,'Profit Calculation'!R$6+A681-1,'Profit Calculation'!Z$6)</f>
        <v>62763</v>
      </c>
      <c r="G681" s="364">
        <f ca="1">IF(Q$27=2,IF(LOOKUP(F681,X$1:X$35,X$1:X$35) = F681,ROUND(LOOKUP(LOOKUP(F681,X$1:X$35,A:A),Single!A$2:A$107,Table13[Saving]),0),IF( LOOKUP(F681,W$1:W$35,W$1:W$35) =
 F681,ROUND(G680*(1+IF($Q$18&lt;6,$R$14,IF($Q$18&lt;11,$R$15,$R$16)))^(1/12),0),G680*(1+IF($Q$18&lt;6,$R$14,IF($Q$18&lt;11,$R$15,$R$16)))^(1/12))),IF(LOOKUP(F681,X$1:X$35,X$1:X$35) = F681,ROUND(LOOKUP(LOOKUP(F681,X$1:X$35,A:A),'Annual Calculation'!A$2:A$107,Table1[Saving]),0),IF( LOOKUP(F681,W$1:W$35,W$1:W$35) =
 F681,ROUND(G680*(1+IF($Q$18&lt;6,$R$14,IF($Q$18&lt;11,$R$15,$R$16)))^(1/12),0),G680*(1+IF($Q$18&lt;6,$R$14,IF($Q$18&lt;11,$R$15,$R$16)))^(1/12))))</f>
        <v>0</v>
      </c>
    </row>
    <row r="682" spans="1:7">
      <c r="A682" s="348">
        <f t="shared" si="22"/>
        <v>681</v>
      </c>
      <c r="B682" s="360">
        <f>DATE('Profit Calculation'!J$6,A$2,A$2+A682-1)</f>
        <v>42685</v>
      </c>
      <c r="D682" s="362">
        <f t="shared" ca="1" si="21"/>
        <v>110917750.31363437</v>
      </c>
      <c r="F682" s="363">
        <f>DATE('Profit Calculation'!J$6,'Profit Calculation'!R$6+A682-1,'Profit Calculation'!Z$6)</f>
        <v>62793</v>
      </c>
      <c r="G682" s="364">
        <f ca="1">IF(Q$27=2,IF(LOOKUP(F682,X$1:X$35,X$1:X$35) = F682,ROUND(LOOKUP(LOOKUP(F682,X$1:X$35,A:A),Single!A$2:A$107,Table13[Saving]),0),IF( LOOKUP(F682,W$1:W$35,W$1:W$35) =
 F682,ROUND(G681*(1+IF($Q$18&lt;6,$R$14,IF($Q$18&lt;11,$R$15,$R$16)))^(1/12),0),G681*(1+IF($Q$18&lt;6,$R$14,IF($Q$18&lt;11,$R$15,$R$16)))^(1/12))),IF(LOOKUP(F682,X$1:X$35,X$1:X$35) = F682,ROUND(LOOKUP(LOOKUP(F682,X$1:X$35,A:A),'Annual Calculation'!A$2:A$107,Table1[Saving]),0),IF( LOOKUP(F682,W$1:W$35,W$1:W$35) =
 F682,ROUND(G681*(1+IF($Q$18&lt;6,$R$14,IF($Q$18&lt;11,$R$15,$R$16)))^(1/12),0),G681*(1+IF($Q$18&lt;6,$R$14,IF($Q$18&lt;11,$R$15,$R$16)))^(1/12))))</f>
        <v>0</v>
      </c>
    </row>
    <row r="683" spans="1:7">
      <c r="A683" s="348">
        <f t="shared" si="22"/>
        <v>682</v>
      </c>
      <c r="B683" s="360">
        <f>DATE('Profit Calculation'!J$6,A$2,A$2+A683-1)</f>
        <v>42686</v>
      </c>
      <c r="D683" s="362">
        <f t="shared" ca="1" si="21"/>
        <v>110960229.89871089</v>
      </c>
      <c r="F683" s="363">
        <f>DATE('Profit Calculation'!J$6,'Profit Calculation'!R$6+A683-1,'Profit Calculation'!Z$6)</f>
        <v>62824</v>
      </c>
      <c r="G683" s="364">
        <f ca="1">IF(Q$27=2,IF(LOOKUP(F683,X$1:X$35,X$1:X$35) = F683,ROUND(LOOKUP(LOOKUP(F683,X$1:X$35,A:A),Single!A$2:A$107,Table13[Saving]),0),IF( LOOKUP(F683,W$1:W$35,W$1:W$35) =
 F683,ROUND(G682*(1+IF($Q$18&lt;6,$R$14,IF($Q$18&lt;11,$R$15,$R$16)))^(1/12),0),G682*(1+IF($Q$18&lt;6,$R$14,IF($Q$18&lt;11,$R$15,$R$16)))^(1/12))),IF(LOOKUP(F683,X$1:X$35,X$1:X$35) = F683,ROUND(LOOKUP(LOOKUP(F683,X$1:X$35,A:A),'Annual Calculation'!A$2:A$107,Table1[Saving]),0),IF( LOOKUP(F683,W$1:W$35,W$1:W$35) =
 F683,ROUND(G682*(1+IF($Q$18&lt;6,$R$14,IF($Q$18&lt;11,$R$15,$R$16)))^(1/12),0),G682*(1+IF($Q$18&lt;6,$R$14,IF($Q$18&lt;11,$R$15,$R$16)))^(1/12))))</f>
        <v>0</v>
      </c>
    </row>
    <row r="684" spans="1:7">
      <c r="A684" s="348">
        <f t="shared" si="22"/>
        <v>683</v>
      </c>
      <c r="B684" s="360">
        <f>DATE('Profit Calculation'!J$6,A$2,A$2+A684-1)</f>
        <v>42687</v>
      </c>
      <c r="D684" s="362">
        <f t="shared" ca="1" si="21"/>
        <v>111002725.75273575</v>
      </c>
      <c r="F684" s="363">
        <f>DATE('Profit Calculation'!J$6,'Profit Calculation'!R$6+A684-1,'Profit Calculation'!Z$6)</f>
        <v>62855</v>
      </c>
      <c r="G684" s="364">
        <f ca="1">IF(Q$27=2,IF(LOOKUP(F684,X$1:X$35,X$1:X$35) = F684,ROUND(LOOKUP(LOOKUP(F684,X$1:X$35,A:A),Single!A$2:A$107,Table13[Saving]),0),IF( LOOKUP(F684,W$1:W$35,W$1:W$35) =
 F684,ROUND(G683*(1+IF($Q$18&lt;6,$R$14,IF($Q$18&lt;11,$R$15,$R$16)))^(1/12),0),G683*(1+IF($Q$18&lt;6,$R$14,IF($Q$18&lt;11,$R$15,$R$16)))^(1/12))),IF(LOOKUP(F684,X$1:X$35,X$1:X$35) = F684,ROUND(LOOKUP(LOOKUP(F684,X$1:X$35,A:A),'Annual Calculation'!A$2:A$107,Table1[Saving]),0),IF( LOOKUP(F684,W$1:W$35,W$1:W$35) =
 F684,ROUND(G683*(1+IF($Q$18&lt;6,$R$14,IF($Q$18&lt;11,$R$15,$R$16)))^(1/12),0),G683*(1+IF($Q$18&lt;6,$R$14,IF($Q$18&lt;11,$R$15,$R$16)))^(1/12))))</f>
        <v>0</v>
      </c>
    </row>
    <row r="685" spans="1:7">
      <c r="A685" s="348">
        <f t="shared" si="22"/>
        <v>684</v>
      </c>
      <c r="B685" s="360">
        <f>DATE('Profit Calculation'!J$6,A$2,A$2+A685-1)</f>
        <v>42688</v>
      </c>
      <c r="D685" s="362">
        <f t="shared" ca="1" si="21"/>
        <v>111045237.88193965</v>
      </c>
      <c r="F685" s="363">
        <f>DATE('Profit Calculation'!J$6,'Profit Calculation'!R$6+A685-1,'Profit Calculation'!Z$6)</f>
        <v>62884</v>
      </c>
      <c r="G685" s="364">
        <f ca="1">IF(Q$27=2,IF(LOOKUP(F685,X$1:X$35,X$1:X$35) = F685,ROUND(LOOKUP(LOOKUP(F685,X$1:X$35,A:A),Single!A$2:A$107,Table13[Saving]),0),IF( LOOKUP(F685,W$1:W$35,W$1:W$35) =
 F685,ROUND(G684*(1+IF($Q$18&lt;6,$R$14,IF($Q$18&lt;11,$R$15,$R$16)))^(1/12),0),G684*(1+IF($Q$18&lt;6,$R$14,IF($Q$18&lt;11,$R$15,$R$16)))^(1/12))),IF(LOOKUP(F685,X$1:X$35,X$1:X$35) = F685,ROUND(LOOKUP(LOOKUP(F685,X$1:X$35,A:A),'Annual Calculation'!A$2:A$107,Table1[Saving]),0),IF( LOOKUP(F685,W$1:W$35,W$1:W$35) =
 F685,ROUND(G684*(1+IF($Q$18&lt;6,$R$14,IF($Q$18&lt;11,$R$15,$R$16)))^(1/12),0),G684*(1+IF($Q$18&lt;6,$R$14,IF($Q$18&lt;11,$R$15,$R$16)))^(1/12))))</f>
        <v>0</v>
      </c>
    </row>
    <row r="686" spans="1:7">
      <c r="A686" s="348">
        <f t="shared" si="22"/>
        <v>685</v>
      </c>
      <c r="B686" s="360">
        <f>DATE('Profit Calculation'!J$6,A$2,A$2+A686-1)</f>
        <v>42689</v>
      </c>
      <c r="D686" s="362">
        <f t="shared" ca="1" si="21"/>
        <v>111087766.29255572</v>
      </c>
      <c r="F686" s="363">
        <f>DATE('Profit Calculation'!J$6,'Profit Calculation'!R$6+A686-1,'Profit Calculation'!Z$6)</f>
        <v>62915</v>
      </c>
      <c r="G686" s="364">
        <f ca="1">IF(Q$27=2,IF(LOOKUP(F686,X$1:X$35,X$1:X$35) = F686,ROUND(LOOKUP(LOOKUP(F686,X$1:X$35,A:A),Single!A$2:A$107,Table13[Saving]),0),IF( LOOKUP(F686,W$1:W$35,W$1:W$35) =
 F686,ROUND(G685*(1+IF($Q$18&lt;6,$R$14,IF($Q$18&lt;11,$R$15,$R$16)))^(1/12),0),G685*(1+IF($Q$18&lt;6,$R$14,IF($Q$18&lt;11,$R$15,$R$16)))^(1/12))),IF(LOOKUP(F686,X$1:X$35,X$1:X$35) = F686,ROUND(LOOKUP(LOOKUP(F686,X$1:X$35,A:A),'Annual Calculation'!A$2:A$107,Table1[Saving]),0),IF( LOOKUP(F686,W$1:W$35,W$1:W$35) =
 F686,ROUND(G685*(1+IF($Q$18&lt;6,$R$14,IF($Q$18&lt;11,$R$15,$R$16)))^(1/12),0),G685*(1+IF($Q$18&lt;6,$R$14,IF($Q$18&lt;11,$R$15,$R$16)))^(1/12))))</f>
        <v>0</v>
      </c>
    </row>
    <row r="687" spans="1:7">
      <c r="A687" s="348">
        <f t="shared" si="22"/>
        <v>686</v>
      </c>
      <c r="B687" s="360">
        <f>DATE('Profit Calculation'!J$6,A$2,A$2+A687-1)</f>
        <v>42690</v>
      </c>
      <c r="D687" s="362">
        <f t="shared" ca="1" si="21"/>
        <v>111130310.99081945</v>
      </c>
      <c r="F687" s="363">
        <f>DATE('Profit Calculation'!J$6,'Profit Calculation'!R$6+A687-1,'Profit Calculation'!Z$6)</f>
        <v>62945</v>
      </c>
      <c r="G687" s="364">
        <f ca="1">IF(Q$27=2,IF(LOOKUP(F687,X$1:X$35,X$1:X$35) = F687,ROUND(LOOKUP(LOOKUP(F687,X$1:X$35,A:A),Single!A$2:A$107,Table13[Saving]),0),IF( LOOKUP(F687,W$1:W$35,W$1:W$35) =
 F687,ROUND(G686*(1+IF($Q$18&lt;6,$R$14,IF($Q$18&lt;11,$R$15,$R$16)))^(1/12),0),G686*(1+IF($Q$18&lt;6,$R$14,IF($Q$18&lt;11,$R$15,$R$16)))^(1/12))),IF(LOOKUP(F687,X$1:X$35,X$1:X$35) = F687,ROUND(LOOKUP(LOOKUP(F687,X$1:X$35,A:A),'Annual Calculation'!A$2:A$107,Table1[Saving]),0),IF( LOOKUP(F687,W$1:W$35,W$1:W$35) =
 F687,ROUND(G686*(1+IF($Q$18&lt;6,$R$14,IF($Q$18&lt;11,$R$15,$R$16)))^(1/12),0),G686*(1+IF($Q$18&lt;6,$R$14,IF($Q$18&lt;11,$R$15,$R$16)))^(1/12))))</f>
        <v>0</v>
      </c>
    </row>
    <row r="688" spans="1:7">
      <c r="A688" s="348">
        <f t="shared" si="22"/>
        <v>687</v>
      </c>
      <c r="B688" s="360">
        <f>DATE('Profit Calculation'!J$6,A$2,A$2+A688-1)</f>
        <v>42691</v>
      </c>
      <c r="D688" s="362">
        <f t="shared" ca="1" si="21"/>
        <v>111172871.98296875</v>
      </c>
      <c r="F688" s="363">
        <f>DATE('Profit Calculation'!J$6,'Profit Calculation'!R$6+A688-1,'Profit Calculation'!Z$6)</f>
        <v>62976</v>
      </c>
      <c r="G688" s="364">
        <f ca="1">IF(Q$27=2,IF(LOOKUP(F688,X$1:X$35,X$1:X$35) = F688,ROUND(LOOKUP(LOOKUP(F688,X$1:X$35,A:A),Single!A$2:A$107,Table13[Saving]),0),IF( LOOKUP(F688,W$1:W$35,W$1:W$35) =
 F688,ROUND(G687*(1+IF($Q$18&lt;6,$R$14,IF($Q$18&lt;11,$R$15,$R$16)))^(1/12),0),G687*(1+IF($Q$18&lt;6,$R$14,IF($Q$18&lt;11,$R$15,$R$16)))^(1/12))),IF(LOOKUP(F688,X$1:X$35,X$1:X$35) = F688,ROUND(LOOKUP(LOOKUP(F688,X$1:X$35,A:A),'Annual Calculation'!A$2:A$107,Table1[Saving]),0),IF( LOOKUP(F688,W$1:W$35,W$1:W$35) =
 F688,ROUND(G687*(1+IF($Q$18&lt;6,$R$14,IF($Q$18&lt;11,$R$15,$R$16)))^(1/12),0),G687*(1+IF($Q$18&lt;6,$R$14,IF($Q$18&lt;11,$R$15,$R$16)))^(1/12))))</f>
        <v>0</v>
      </c>
    </row>
    <row r="689" spans="1:7">
      <c r="A689" s="348">
        <f t="shared" si="22"/>
        <v>688</v>
      </c>
      <c r="B689" s="360">
        <f>DATE('Profit Calculation'!J$6,A$2,A$2+A689-1)</f>
        <v>42692</v>
      </c>
      <c r="D689" s="362">
        <f t="shared" ca="1" si="21"/>
        <v>111215449.27524386</v>
      </c>
      <c r="F689" s="363">
        <f>DATE('Profit Calculation'!J$6,'Profit Calculation'!R$6+A689-1,'Profit Calculation'!Z$6)</f>
        <v>63006</v>
      </c>
      <c r="G689" s="364">
        <f ca="1">IF(Q$27=2,IF(LOOKUP(F689,X$1:X$35,X$1:X$35) = F689,ROUND(LOOKUP(LOOKUP(F689,X$1:X$35,A:A),Single!A$2:A$107,Table13[Saving]),0),IF( LOOKUP(F689,W$1:W$35,W$1:W$35) =
 F689,ROUND(G688*(1+IF($Q$18&lt;6,$R$14,IF($Q$18&lt;11,$R$15,$R$16)))^(1/12),0),G688*(1+IF($Q$18&lt;6,$R$14,IF($Q$18&lt;11,$R$15,$R$16)))^(1/12))),IF(LOOKUP(F689,X$1:X$35,X$1:X$35) = F689,ROUND(LOOKUP(LOOKUP(F689,X$1:X$35,A:A),'Annual Calculation'!A$2:A$107,Table1[Saving]),0),IF( LOOKUP(F689,W$1:W$35,W$1:W$35) =
 F689,ROUND(G688*(1+IF($Q$18&lt;6,$R$14,IF($Q$18&lt;11,$R$15,$R$16)))^(1/12),0),G688*(1+IF($Q$18&lt;6,$R$14,IF($Q$18&lt;11,$R$15,$R$16)))^(1/12))))</f>
        <v>0</v>
      </c>
    </row>
    <row r="690" spans="1:7">
      <c r="A690" s="348">
        <f t="shared" si="22"/>
        <v>689</v>
      </c>
      <c r="B690" s="360">
        <f>DATE('Profit Calculation'!J$6,A$2,A$2+A690-1)</f>
        <v>42693</v>
      </c>
      <c r="D690" s="362">
        <f t="shared" ca="1" si="21"/>
        <v>111258042.87388748</v>
      </c>
      <c r="F690" s="363">
        <f>DATE('Profit Calculation'!J$6,'Profit Calculation'!R$6+A690-1,'Profit Calculation'!Z$6)</f>
        <v>63037</v>
      </c>
      <c r="G690" s="364">
        <f ca="1">IF(Q$27=2,IF(LOOKUP(F690,X$1:X$35,X$1:X$35) = F690,ROUND(LOOKUP(LOOKUP(F690,X$1:X$35,A:A),Single!A$2:A$107,Table13[Saving]),0),IF( LOOKUP(F690,W$1:W$35,W$1:W$35) =
 F690,ROUND(G689*(1+IF($Q$18&lt;6,$R$14,IF($Q$18&lt;11,$R$15,$R$16)))^(1/12),0),G689*(1+IF($Q$18&lt;6,$R$14,IF($Q$18&lt;11,$R$15,$R$16)))^(1/12))),IF(LOOKUP(F690,X$1:X$35,X$1:X$35) = F690,ROUND(LOOKUP(LOOKUP(F690,X$1:X$35,A:A),'Annual Calculation'!A$2:A$107,Table1[Saving]),0),IF( LOOKUP(F690,W$1:W$35,W$1:W$35) =
 F690,ROUND(G689*(1+IF($Q$18&lt;6,$R$14,IF($Q$18&lt;11,$R$15,$R$16)))^(1/12),0),G689*(1+IF($Q$18&lt;6,$R$14,IF($Q$18&lt;11,$R$15,$R$16)))^(1/12))))</f>
        <v>0</v>
      </c>
    </row>
    <row r="691" spans="1:7">
      <c r="A691" s="348">
        <f t="shared" si="22"/>
        <v>690</v>
      </c>
      <c r="B691" s="360">
        <f>DATE('Profit Calculation'!J$6,A$2,A$2+A691-1)</f>
        <v>42694</v>
      </c>
      <c r="D691" s="362">
        <f t="shared" ca="1" si="21"/>
        <v>111300652.78514466</v>
      </c>
      <c r="F691" s="363">
        <f>DATE('Profit Calculation'!J$6,'Profit Calculation'!R$6+A691-1,'Profit Calculation'!Z$6)</f>
        <v>63068</v>
      </c>
      <c r="G691" s="364">
        <f ca="1">IF(Q$27=2,IF(LOOKUP(F691,X$1:X$35,X$1:X$35) = F691,ROUND(LOOKUP(LOOKUP(F691,X$1:X$35,A:A),Single!A$2:A$107,Table13[Saving]),0),IF( LOOKUP(F691,W$1:W$35,W$1:W$35) =
 F691,ROUND(G690*(1+IF($Q$18&lt;6,$R$14,IF($Q$18&lt;11,$R$15,$R$16)))^(1/12),0),G690*(1+IF($Q$18&lt;6,$R$14,IF($Q$18&lt;11,$R$15,$R$16)))^(1/12))),IF(LOOKUP(F691,X$1:X$35,X$1:X$35) = F691,ROUND(LOOKUP(LOOKUP(F691,X$1:X$35,A:A),'Annual Calculation'!A$2:A$107,Table1[Saving]),0),IF( LOOKUP(F691,W$1:W$35,W$1:W$35) =
 F691,ROUND(G690*(1+IF($Q$18&lt;6,$R$14,IF($Q$18&lt;11,$R$15,$R$16)))^(1/12),0),G690*(1+IF($Q$18&lt;6,$R$14,IF($Q$18&lt;11,$R$15,$R$16)))^(1/12))))</f>
        <v>0</v>
      </c>
    </row>
    <row r="692" spans="1:7">
      <c r="A692" s="348">
        <f t="shared" si="22"/>
        <v>691</v>
      </c>
      <c r="B692" s="360">
        <f>DATE('Profit Calculation'!J$6,A$2,A$2+A692-1)</f>
        <v>42695</v>
      </c>
      <c r="D692" s="362">
        <f t="shared" ca="1" si="21"/>
        <v>111343279.01526284</v>
      </c>
      <c r="F692" s="363">
        <f>DATE('Profit Calculation'!J$6,'Profit Calculation'!R$6+A692-1,'Profit Calculation'!Z$6)</f>
        <v>63098</v>
      </c>
      <c r="G692" s="364">
        <f ca="1">IF(Q$27=2,IF(LOOKUP(F692,X$1:X$35,X$1:X$35) = F692,ROUND(LOOKUP(LOOKUP(F692,X$1:X$35,A:A),Single!A$2:A$107,Table13[Saving]),0),IF( LOOKUP(F692,W$1:W$35,W$1:W$35) =
 F692,ROUND(G691*(1+IF($Q$18&lt;6,$R$14,IF($Q$18&lt;11,$R$15,$R$16)))^(1/12),0),G691*(1+IF($Q$18&lt;6,$R$14,IF($Q$18&lt;11,$R$15,$R$16)))^(1/12))),IF(LOOKUP(F692,X$1:X$35,X$1:X$35) = F692,ROUND(LOOKUP(LOOKUP(F692,X$1:X$35,A:A),'Annual Calculation'!A$2:A$107,Table1[Saving]),0),IF( LOOKUP(F692,W$1:W$35,W$1:W$35) =
 F692,ROUND(G691*(1+IF($Q$18&lt;6,$R$14,IF($Q$18&lt;11,$R$15,$R$16)))^(1/12),0),G691*(1+IF($Q$18&lt;6,$R$14,IF($Q$18&lt;11,$R$15,$R$16)))^(1/12))))</f>
        <v>0</v>
      </c>
    </row>
    <row r="693" spans="1:7">
      <c r="A693" s="348">
        <f t="shared" si="22"/>
        <v>692</v>
      </c>
      <c r="B693" s="360">
        <f>DATE('Profit Calculation'!J$6,A$2,A$2+A693-1)</f>
        <v>42696</v>
      </c>
      <c r="D693" s="362">
        <f t="shared" ca="1" si="21"/>
        <v>111385921.57049187</v>
      </c>
      <c r="F693" s="363">
        <f>DATE('Profit Calculation'!J$6,'Profit Calculation'!R$6+A693-1,'Profit Calculation'!Z$6)</f>
        <v>63129</v>
      </c>
      <c r="G693" s="364">
        <f ca="1">IF(Q$27=2,IF(LOOKUP(F693,X$1:X$35,X$1:X$35) = F693,ROUND(LOOKUP(LOOKUP(F693,X$1:X$35,A:A),Single!A$2:A$107,Table13[Saving]),0),IF( LOOKUP(F693,W$1:W$35,W$1:W$35) =
 F693,ROUND(G692*(1+IF($Q$18&lt;6,$R$14,IF($Q$18&lt;11,$R$15,$R$16)))^(1/12),0),G692*(1+IF($Q$18&lt;6,$R$14,IF($Q$18&lt;11,$R$15,$R$16)))^(1/12))),IF(LOOKUP(F693,X$1:X$35,X$1:X$35) = F693,ROUND(LOOKUP(LOOKUP(F693,X$1:X$35,A:A),'Annual Calculation'!A$2:A$107,Table1[Saving]),0),IF( LOOKUP(F693,W$1:W$35,W$1:W$35) =
 F693,ROUND(G692*(1+IF($Q$18&lt;6,$R$14,IF($Q$18&lt;11,$R$15,$R$16)))^(1/12),0),G692*(1+IF($Q$18&lt;6,$R$14,IF($Q$18&lt;11,$R$15,$R$16)))^(1/12))))</f>
        <v>0</v>
      </c>
    </row>
    <row r="694" spans="1:7">
      <c r="A694" s="348">
        <f t="shared" si="22"/>
        <v>693</v>
      </c>
      <c r="B694" s="360">
        <f>DATE('Profit Calculation'!J$6,A$2,A$2+A694-1)</f>
        <v>42697</v>
      </c>
      <c r="D694" s="362">
        <f t="shared" ca="1" si="21"/>
        <v>111428580.45708397</v>
      </c>
      <c r="F694" s="363">
        <f>DATE('Profit Calculation'!J$6,'Profit Calculation'!R$6+A694-1,'Profit Calculation'!Z$6)</f>
        <v>63159</v>
      </c>
      <c r="G694" s="364">
        <f ca="1">IF(Q$27=2,IF(LOOKUP(F694,X$1:X$35,X$1:X$35) = F694,ROUND(LOOKUP(LOOKUP(F694,X$1:X$35,A:A),Single!A$2:A$107,Table13[Saving]),0),IF( LOOKUP(F694,W$1:W$35,W$1:W$35) =
 F694,ROUND(G693*(1+IF($Q$18&lt;6,$R$14,IF($Q$18&lt;11,$R$15,$R$16)))^(1/12),0),G693*(1+IF($Q$18&lt;6,$R$14,IF($Q$18&lt;11,$R$15,$R$16)))^(1/12))),IF(LOOKUP(F694,X$1:X$35,X$1:X$35) = F694,ROUND(LOOKUP(LOOKUP(F694,X$1:X$35,A:A),'Annual Calculation'!A$2:A$107,Table1[Saving]),0),IF( LOOKUP(F694,W$1:W$35,W$1:W$35) =
 F694,ROUND(G693*(1+IF($Q$18&lt;6,$R$14,IF($Q$18&lt;11,$R$15,$R$16)))^(1/12),0),G693*(1+IF($Q$18&lt;6,$R$14,IF($Q$18&lt;11,$R$15,$R$16)))^(1/12))))</f>
        <v>0</v>
      </c>
    </row>
    <row r="695" spans="1:7">
      <c r="A695" s="348">
        <f t="shared" si="22"/>
        <v>694</v>
      </c>
      <c r="B695" s="360">
        <f>DATE('Profit Calculation'!J$6,A$2,A$2+A695-1)</f>
        <v>42698</v>
      </c>
      <c r="D695" s="362">
        <f t="shared" ca="1" si="21"/>
        <v>111471255.6812938</v>
      </c>
      <c r="F695" s="363">
        <f>DATE('Profit Calculation'!J$6,'Profit Calculation'!R$6+A695-1,'Profit Calculation'!Z$6)</f>
        <v>63190</v>
      </c>
      <c r="G695" s="364">
        <f ca="1">IF(Q$27=2,IF(LOOKUP(F695,X$1:X$35,X$1:X$35) = F695,ROUND(LOOKUP(LOOKUP(F695,X$1:X$35,A:A),Single!A$2:A$107,Table13[Saving]),0),IF( LOOKUP(F695,W$1:W$35,W$1:W$35) =
 F695,ROUND(G694*(1+IF($Q$18&lt;6,$R$14,IF($Q$18&lt;11,$R$15,$R$16)))^(1/12),0),G694*(1+IF($Q$18&lt;6,$R$14,IF($Q$18&lt;11,$R$15,$R$16)))^(1/12))),IF(LOOKUP(F695,X$1:X$35,X$1:X$35) = F695,ROUND(LOOKUP(LOOKUP(F695,X$1:X$35,A:A),'Annual Calculation'!A$2:A$107,Table1[Saving]),0),IF( LOOKUP(F695,W$1:W$35,W$1:W$35) =
 F695,ROUND(G694*(1+IF($Q$18&lt;6,$R$14,IF($Q$18&lt;11,$R$15,$R$16)))^(1/12),0),G694*(1+IF($Q$18&lt;6,$R$14,IF($Q$18&lt;11,$R$15,$R$16)))^(1/12))))</f>
        <v>0</v>
      </c>
    </row>
    <row r="696" spans="1:7">
      <c r="A696" s="348">
        <f t="shared" si="22"/>
        <v>695</v>
      </c>
      <c r="B696" s="360">
        <f>DATE('Profit Calculation'!J$6,A$2,A$2+A696-1)</f>
        <v>42699</v>
      </c>
      <c r="D696" s="362">
        <f t="shared" ca="1" si="21"/>
        <v>111513947.24937837</v>
      </c>
      <c r="F696" s="363">
        <f>DATE('Profit Calculation'!J$6,'Profit Calculation'!R$6+A696-1,'Profit Calculation'!Z$6)</f>
        <v>63221</v>
      </c>
      <c r="G696" s="364">
        <f ca="1">IF(Q$27=2,IF(LOOKUP(F696,X$1:X$35,X$1:X$35) = F696,ROUND(LOOKUP(LOOKUP(F696,X$1:X$35,A:A),Single!A$2:A$107,Table13[Saving]),0),IF( LOOKUP(F696,W$1:W$35,W$1:W$35) =
 F696,ROUND(G695*(1+IF($Q$18&lt;6,$R$14,IF($Q$18&lt;11,$R$15,$R$16)))^(1/12),0),G695*(1+IF($Q$18&lt;6,$R$14,IF($Q$18&lt;11,$R$15,$R$16)))^(1/12))),IF(LOOKUP(F696,X$1:X$35,X$1:X$35) = F696,ROUND(LOOKUP(LOOKUP(F696,X$1:X$35,A:A),'Annual Calculation'!A$2:A$107,Table1[Saving]),0),IF( LOOKUP(F696,W$1:W$35,W$1:W$35) =
 F696,ROUND(G695*(1+IF($Q$18&lt;6,$R$14,IF($Q$18&lt;11,$R$15,$R$16)))^(1/12),0),G695*(1+IF($Q$18&lt;6,$R$14,IF($Q$18&lt;11,$R$15,$R$16)))^(1/12))))</f>
        <v>0</v>
      </c>
    </row>
    <row r="697" spans="1:7">
      <c r="A697" s="348">
        <f t="shared" si="22"/>
        <v>696</v>
      </c>
      <c r="B697" s="360">
        <f>DATE('Profit Calculation'!J$6,A$2,A$2+A697-1)</f>
        <v>42700</v>
      </c>
      <c r="D697" s="362">
        <f t="shared" ca="1" si="21"/>
        <v>111556655.16759709</v>
      </c>
      <c r="F697" s="363">
        <f>DATE('Profit Calculation'!J$6,'Profit Calculation'!R$6+A697-1,'Profit Calculation'!Z$6)</f>
        <v>63249</v>
      </c>
      <c r="G697" s="364">
        <f ca="1">IF(Q$27=2,IF(LOOKUP(F697,X$1:X$35,X$1:X$35) = F697,ROUND(LOOKUP(LOOKUP(F697,X$1:X$35,A:A),Single!A$2:A$107,Table13[Saving]),0),IF( LOOKUP(F697,W$1:W$35,W$1:W$35) =
 F697,ROUND(G696*(1+IF($Q$18&lt;6,$R$14,IF($Q$18&lt;11,$R$15,$R$16)))^(1/12),0),G696*(1+IF($Q$18&lt;6,$R$14,IF($Q$18&lt;11,$R$15,$R$16)))^(1/12))),IF(LOOKUP(F697,X$1:X$35,X$1:X$35) = F697,ROUND(LOOKUP(LOOKUP(F697,X$1:X$35,A:A),'Annual Calculation'!A$2:A$107,Table1[Saving]),0),IF( LOOKUP(F697,W$1:W$35,W$1:W$35) =
 F697,ROUND(G696*(1+IF($Q$18&lt;6,$R$14,IF($Q$18&lt;11,$R$15,$R$16)))^(1/12),0),G696*(1+IF($Q$18&lt;6,$R$14,IF($Q$18&lt;11,$R$15,$R$16)))^(1/12))))</f>
        <v>0</v>
      </c>
    </row>
    <row r="698" spans="1:7">
      <c r="A698" s="348">
        <f t="shared" si="22"/>
        <v>697</v>
      </c>
      <c r="B698" s="360">
        <f>DATE('Profit Calculation'!J$6,A$2,A$2+A698-1)</f>
        <v>42701</v>
      </c>
      <c r="D698" s="362">
        <f t="shared" ca="1" si="21"/>
        <v>111599379.44221179</v>
      </c>
      <c r="F698" s="363">
        <f>DATE('Profit Calculation'!J$6,'Profit Calculation'!R$6+A698-1,'Profit Calculation'!Z$6)</f>
        <v>63280</v>
      </c>
      <c r="G698" s="364">
        <f ca="1">IF(Q$27=2,IF(LOOKUP(F698,X$1:X$35,X$1:X$35) = F698,ROUND(LOOKUP(LOOKUP(F698,X$1:X$35,A:A),Single!A$2:A$107,Table13[Saving]),0),IF( LOOKUP(F698,W$1:W$35,W$1:W$35) =
 F698,ROUND(G697*(1+IF($Q$18&lt;6,$R$14,IF($Q$18&lt;11,$R$15,$R$16)))^(1/12),0),G697*(1+IF($Q$18&lt;6,$R$14,IF($Q$18&lt;11,$R$15,$R$16)))^(1/12))),IF(LOOKUP(F698,X$1:X$35,X$1:X$35) = F698,ROUND(LOOKUP(LOOKUP(F698,X$1:X$35,A:A),'Annual Calculation'!A$2:A$107,Table1[Saving]),0),IF( LOOKUP(F698,W$1:W$35,W$1:W$35) =
 F698,ROUND(G697*(1+IF($Q$18&lt;6,$R$14,IF($Q$18&lt;11,$R$15,$R$16)))^(1/12),0),G697*(1+IF($Q$18&lt;6,$R$14,IF($Q$18&lt;11,$R$15,$R$16)))^(1/12))))</f>
        <v>0</v>
      </c>
    </row>
    <row r="699" spans="1:7">
      <c r="A699" s="348">
        <f t="shared" si="22"/>
        <v>698</v>
      </c>
      <c r="B699" s="360">
        <f>DATE('Profit Calculation'!J$6,A$2,A$2+A699-1)</f>
        <v>42702</v>
      </c>
      <c r="D699" s="362">
        <f t="shared" ca="1" si="21"/>
        <v>111642120.0794867</v>
      </c>
      <c r="F699" s="363">
        <f>DATE('Profit Calculation'!J$6,'Profit Calculation'!R$6+A699-1,'Profit Calculation'!Z$6)</f>
        <v>63310</v>
      </c>
      <c r="G699" s="364">
        <f ca="1">IF(Q$27=2,IF(LOOKUP(F699,X$1:X$35,X$1:X$35) = F699,ROUND(LOOKUP(LOOKUP(F699,X$1:X$35,A:A),Single!A$2:A$107,Table13[Saving]),0),IF( LOOKUP(F699,W$1:W$35,W$1:W$35) =
 F699,ROUND(G698*(1+IF($Q$18&lt;6,$R$14,IF($Q$18&lt;11,$R$15,$R$16)))^(1/12),0),G698*(1+IF($Q$18&lt;6,$R$14,IF($Q$18&lt;11,$R$15,$R$16)))^(1/12))),IF(LOOKUP(F699,X$1:X$35,X$1:X$35) = F699,ROUND(LOOKUP(LOOKUP(F699,X$1:X$35,A:A),'Annual Calculation'!A$2:A$107,Table1[Saving]),0),IF( LOOKUP(F699,W$1:W$35,W$1:W$35) =
 F699,ROUND(G698*(1+IF($Q$18&lt;6,$R$14,IF($Q$18&lt;11,$R$15,$R$16)))^(1/12),0),G698*(1+IF($Q$18&lt;6,$R$14,IF($Q$18&lt;11,$R$15,$R$16)))^(1/12))))</f>
        <v>0</v>
      </c>
    </row>
    <row r="700" spans="1:7">
      <c r="A700" s="348">
        <f t="shared" si="22"/>
        <v>699</v>
      </c>
      <c r="B700" s="360">
        <f>DATE('Profit Calculation'!J$6,A$2,A$2+A700-1)</f>
        <v>42703</v>
      </c>
      <c r="D700" s="362">
        <f t="shared" ca="1" si="21"/>
        <v>111684877.08568841</v>
      </c>
      <c r="F700" s="363">
        <f>DATE('Profit Calculation'!J$6,'Profit Calculation'!R$6+A700-1,'Profit Calculation'!Z$6)</f>
        <v>63341</v>
      </c>
      <c r="G700" s="364">
        <f ca="1">IF(Q$27=2,IF(LOOKUP(F700,X$1:X$35,X$1:X$35) = F700,ROUND(LOOKUP(LOOKUP(F700,X$1:X$35,A:A),Single!A$2:A$107,Table13[Saving]),0),IF( LOOKUP(F700,W$1:W$35,W$1:W$35) =
 F700,ROUND(G699*(1+IF($Q$18&lt;6,$R$14,IF($Q$18&lt;11,$R$15,$R$16)))^(1/12),0),G699*(1+IF($Q$18&lt;6,$R$14,IF($Q$18&lt;11,$R$15,$R$16)))^(1/12))),IF(LOOKUP(F700,X$1:X$35,X$1:X$35) = F700,ROUND(LOOKUP(LOOKUP(F700,X$1:X$35,A:A),'Annual Calculation'!A$2:A$107,Table1[Saving]),0),IF( LOOKUP(F700,W$1:W$35,W$1:W$35) =
 F700,ROUND(G699*(1+IF($Q$18&lt;6,$R$14,IF($Q$18&lt;11,$R$15,$R$16)))^(1/12),0),G699*(1+IF($Q$18&lt;6,$R$14,IF($Q$18&lt;11,$R$15,$R$16)))^(1/12))))</f>
        <v>0</v>
      </c>
    </row>
    <row r="701" spans="1:7">
      <c r="A701" s="348">
        <f t="shared" si="22"/>
        <v>700</v>
      </c>
      <c r="B701" s="360">
        <f>DATE('Profit Calculation'!J$6,A$2,A$2+A701-1)</f>
        <v>42704</v>
      </c>
      <c r="D701" s="362">
        <f t="shared" ca="1" si="21"/>
        <v>111727650.46708596</v>
      </c>
      <c r="F701" s="363">
        <f>DATE('Profit Calculation'!J$6,'Profit Calculation'!R$6+A701-1,'Profit Calculation'!Z$6)</f>
        <v>63371</v>
      </c>
      <c r="G701" s="364">
        <f ca="1">IF(Q$27=2,IF(LOOKUP(F701,X$1:X$35,X$1:X$35) = F701,ROUND(LOOKUP(LOOKUP(F701,X$1:X$35,A:A),Single!A$2:A$107,Table13[Saving]),0),IF( LOOKUP(F701,W$1:W$35,W$1:W$35) =
 F701,ROUND(G700*(1+IF($Q$18&lt;6,$R$14,IF($Q$18&lt;11,$R$15,$R$16)))^(1/12),0),G700*(1+IF($Q$18&lt;6,$R$14,IF($Q$18&lt;11,$R$15,$R$16)))^(1/12))),IF(LOOKUP(F701,X$1:X$35,X$1:X$35) = F701,ROUND(LOOKUP(LOOKUP(F701,X$1:X$35,A:A),'Annual Calculation'!A$2:A$107,Table1[Saving]),0),IF( LOOKUP(F701,W$1:W$35,W$1:W$35) =
 F701,ROUND(G700*(1+IF($Q$18&lt;6,$R$14,IF($Q$18&lt;11,$R$15,$R$16)))^(1/12),0),G700*(1+IF($Q$18&lt;6,$R$14,IF($Q$18&lt;11,$R$15,$R$16)))^(1/12))))</f>
        <v>0</v>
      </c>
    </row>
    <row r="702" spans="1:7">
      <c r="A702" s="348">
        <f t="shared" si="22"/>
        <v>701</v>
      </c>
      <c r="B702" s="360">
        <f>DATE('Profit Calculation'!J$6,A$2,A$2+A702-1)</f>
        <v>42705</v>
      </c>
      <c r="D702" s="362">
        <f t="shared" ca="1" si="21"/>
        <v>111770440.22995076</v>
      </c>
      <c r="F702" s="363">
        <f>DATE('Profit Calculation'!J$6,'Profit Calculation'!R$6+A702-1,'Profit Calculation'!Z$6)</f>
        <v>63402</v>
      </c>
      <c r="G702" s="364">
        <f ca="1">IF(Q$27=2,IF(LOOKUP(F702,X$1:X$35,X$1:X$35) = F702,ROUND(LOOKUP(LOOKUP(F702,X$1:X$35,A:A),Single!A$2:A$107,Table13[Saving]),0),IF( LOOKUP(F702,W$1:W$35,W$1:W$35) =
 F702,ROUND(G701*(1+IF($Q$18&lt;6,$R$14,IF($Q$18&lt;11,$R$15,$R$16)))^(1/12),0),G701*(1+IF($Q$18&lt;6,$R$14,IF($Q$18&lt;11,$R$15,$R$16)))^(1/12))),IF(LOOKUP(F702,X$1:X$35,X$1:X$35) = F702,ROUND(LOOKUP(LOOKUP(F702,X$1:X$35,A:A),'Annual Calculation'!A$2:A$107,Table1[Saving]),0),IF( LOOKUP(F702,W$1:W$35,W$1:W$35) =
 F702,ROUND(G701*(1+IF($Q$18&lt;6,$R$14,IF($Q$18&lt;11,$R$15,$R$16)))^(1/12),0),G701*(1+IF($Q$18&lt;6,$R$14,IF($Q$18&lt;11,$R$15,$R$16)))^(1/12))))</f>
        <v>0</v>
      </c>
    </row>
    <row r="703" spans="1:7">
      <c r="A703" s="348">
        <f t="shared" si="22"/>
        <v>702</v>
      </c>
      <c r="B703" s="360">
        <f>DATE('Profit Calculation'!J$6,A$2,A$2+A703-1)</f>
        <v>42706</v>
      </c>
      <c r="D703" s="362">
        <f t="shared" ca="1" si="21"/>
        <v>111813246.38055663</v>
      </c>
      <c r="F703" s="363">
        <f>DATE('Profit Calculation'!J$6,'Profit Calculation'!R$6+A703-1,'Profit Calculation'!Z$6)</f>
        <v>63433</v>
      </c>
      <c r="G703" s="364">
        <f ca="1">IF(Q$27=2,IF(LOOKUP(F703,X$1:X$35,X$1:X$35) = F703,ROUND(LOOKUP(LOOKUP(F703,X$1:X$35,A:A),Single!A$2:A$107,Table13[Saving]),0),IF( LOOKUP(F703,W$1:W$35,W$1:W$35) =
 F703,ROUND(G702*(1+IF($Q$18&lt;6,$R$14,IF($Q$18&lt;11,$R$15,$R$16)))^(1/12),0),G702*(1+IF($Q$18&lt;6,$R$14,IF($Q$18&lt;11,$R$15,$R$16)))^(1/12))),IF(LOOKUP(F703,X$1:X$35,X$1:X$35) = F703,ROUND(LOOKUP(LOOKUP(F703,X$1:X$35,A:A),'Annual Calculation'!A$2:A$107,Table1[Saving]),0),IF( LOOKUP(F703,W$1:W$35,W$1:W$35) =
 F703,ROUND(G702*(1+IF($Q$18&lt;6,$R$14,IF($Q$18&lt;11,$R$15,$R$16)))^(1/12),0),G702*(1+IF($Q$18&lt;6,$R$14,IF($Q$18&lt;11,$R$15,$R$16)))^(1/12))))</f>
        <v>0</v>
      </c>
    </row>
    <row r="704" spans="1:7">
      <c r="A704" s="348">
        <f t="shared" si="22"/>
        <v>703</v>
      </c>
      <c r="B704" s="360">
        <f>DATE('Profit Calculation'!J$6,A$2,A$2+A704-1)</f>
        <v>42707</v>
      </c>
      <c r="D704" s="362">
        <f t="shared" ca="1" si="21"/>
        <v>111856068.92517978</v>
      </c>
      <c r="F704" s="363">
        <f>DATE('Profit Calculation'!J$6,'Profit Calculation'!R$6+A704-1,'Profit Calculation'!Z$6)</f>
        <v>63463</v>
      </c>
      <c r="G704" s="364">
        <f ca="1">IF(Q$27=2,IF(LOOKUP(F704,X$1:X$35,X$1:X$35) = F704,ROUND(LOOKUP(LOOKUP(F704,X$1:X$35,A:A),Single!A$2:A$107,Table13[Saving]),0),IF( LOOKUP(F704,W$1:W$35,W$1:W$35) =
 F704,ROUND(G703*(1+IF($Q$18&lt;6,$R$14,IF($Q$18&lt;11,$R$15,$R$16)))^(1/12),0),G703*(1+IF($Q$18&lt;6,$R$14,IF($Q$18&lt;11,$R$15,$R$16)))^(1/12))),IF(LOOKUP(F704,X$1:X$35,X$1:X$35) = F704,ROUND(LOOKUP(LOOKUP(F704,X$1:X$35,A:A),'Annual Calculation'!A$2:A$107,Table1[Saving]),0),IF( LOOKUP(F704,W$1:W$35,W$1:W$35) =
 F704,ROUND(G703*(1+IF($Q$18&lt;6,$R$14,IF($Q$18&lt;11,$R$15,$R$16)))^(1/12),0),G703*(1+IF($Q$18&lt;6,$R$14,IF($Q$18&lt;11,$R$15,$R$16)))^(1/12))))</f>
        <v>0</v>
      </c>
    </row>
    <row r="705" spans="1:7">
      <c r="A705" s="348">
        <f t="shared" si="22"/>
        <v>704</v>
      </c>
      <c r="B705" s="360">
        <f>DATE('Profit Calculation'!J$6,A$2,A$2+A705-1)</f>
        <v>42708</v>
      </c>
      <c r="D705" s="362">
        <f t="shared" ca="1" si="21"/>
        <v>111898907.87009886</v>
      </c>
      <c r="F705" s="363">
        <f>DATE('Profit Calculation'!J$6,'Profit Calculation'!R$6+A705-1,'Profit Calculation'!Z$6)</f>
        <v>63494</v>
      </c>
      <c r="G705" s="364">
        <f ca="1">IF(Q$27=2,IF(LOOKUP(F705,X$1:X$35,X$1:X$35) = F705,ROUND(LOOKUP(LOOKUP(F705,X$1:X$35,A:A),Single!A$2:A$107,Table13[Saving]),0),IF( LOOKUP(F705,W$1:W$35,W$1:W$35) =
 F705,ROUND(G704*(1+IF($Q$18&lt;6,$R$14,IF($Q$18&lt;11,$R$15,$R$16)))^(1/12),0),G704*(1+IF($Q$18&lt;6,$R$14,IF($Q$18&lt;11,$R$15,$R$16)))^(1/12))),IF(LOOKUP(F705,X$1:X$35,X$1:X$35) = F705,ROUND(LOOKUP(LOOKUP(F705,X$1:X$35,A:A),'Annual Calculation'!A$2:A$107,Table1[Saving]),0),IF( LOOKUP(F705,W$1:W$35,W$1:W$35) =
 F705,ROUND(G704*(1+IF($Q$18&lt;6,$R$14,IF($Q$18&lt;11,$R$15,$R$16)))^(1/12),0),G704*(1+IF($Q$18&lt;6,$R$14,IF($Q$18&lt;11,$R$15,$R$16)))^(1/12))))</f>
        <v>0</v>
      </c>
    </row>
    <row r="706" spans="1:7">
      <c r="A706" s="348">
        <f t="shared" si="22"/>
        <v>705</v>
      </c>
      <c r="B706" s="360">
        <f>DATE('Profit Calculation'!J$6,A$2,A$2+A706-1)</f>
        <v>42709</v>
      </c>
      <c r="D706" s="362">
        <f t="shared" ca="1" si="21"/>
        <v>111941763.22159488</v>
      </c>
      <c r="F706" s="363">
        <f>DATE('Profit Calculation'!J$6,'Profit Calculation'!R$6+A706-1,'Profit Calculation'!Z$6)</f>
        <v>63524</v>
      </c>
      <c r="G706" s="364">
        <f ca="1">IF(Q$27=2,IF(LOOKUP(F706,X$1:X$35,X$1:X$35) = F706,ROUND(LOOKUP(LOOKUP(F706,X$1:X$35,A:A),Single!A$2:A$107,Table13[Saving]),0),IF( LOOKUP(F706,W$1:W$35,W$1:W$35) =
 F706,ROUND(G705*(1+IF($Q$18&lt;6,$R$14,IF($Q$18&lt;11,$R$15,$R$16)))^(1/12),0),G705*(1+IF($Q$18&lt;6,$R$14,IF($Q$18&lt;11,$R$15,$R$16)))^(1/12))),IF(LOOKUP(F706,X$1:X$35,X$1:X$35) = F706,ROUND(LOOKUP(LOOKUP(F706,X$1:X$35,A:A),'Annual Calculation'!A$2:A$107,Table1[Saving]),0),IF( LOOKUP(F706,W$1:W$35,W$1:W$35) =
 F706,ROUND(G705*(1+IF($Q$18&lt;6,$R$14,IF($Q$18&lt;11,$R$15,$R$16)))^(1/12),0),G705*(1+IF($Q$18&lt;6,$R$14,IF($Q$18&lt;11,$R$15,$R$16)))^(1/12))))</f>
        <v>0</v>
      </c>
    </row>
    <row r="707" spans="1:7">
      <c r="A707" s="348">
        <f t="shared" si="22"/>
        <v>706</v>
      </c>
      <c r="B707" s="360">
        <f>DATE('Profit Calculation'!J$6,A$2,A$2+A707-1)</f>
        <v>42710</v>
      </c>
      <c r="D707" s="362">
        <f t="shared" ca="1" si="21"/>
        <v>111984634.98595129</v>
      </c>
      <c r="F707" s="363">
        <f>DATE('Profit Calculation'!J$6,'Profit Calculation'!R$6+A707-1,'Profit Calculation'!Z$6)</f>
        <v>63555</v>
      </c>
      <c r="G707" s="364">
        <f ca="1">IF(Q$27=2,IF(LOOKUP(F707,X$1:X$35,X$1:X$35) = F707,ROUND(LOOKUP(LOOKUP(F707,X$1:X$35,A:A),Single!A$2:A$107,Table13[Saving]),0),IF( LOOKUP(F707,W$1:W$35,W$1:W$35) =
 F707,ROUND(G706*(1+IF($Q$18&lt;6,$R$14,IF($Q$18&lt;11,$R$15,$R$16)))^(1/12),0),G706*(1+IF($Q$18&lt;6,$R$14,IF($Q$18&lt;11,$R$15,$R$16)))^(1/12))),IF(LOOKUP(F707,X$1:X$35,X$1:X$35) = F707,ROUND(LOOKUP(LOOKUP(F707,X$1:X$35,A:A),'Annual Calculation'!A$2:A$107,Table1[Saving]),0),IF( LOOKUP(F707,W$1:W$35,W$1:W$35) =
 F707,ROUND(G706*(1+IF($Q$18&lt;6,$R$14,IF($Q$18&lt;11,$R$15,$R$16)))^(1/12),0),G706*(1+IF($Q$18&lt;6,$R$14,IF($Q$18&lt;11,$R$15,$R$16)))^(1/12))))</f>
        <v>0</v>
      </c>
    </row>
    <row r="708" spans="1:7">
      <c r="A708" s="348">
        <f t="shared" si="22"/>
        <v>707</v>
      </c>
      <c r="B708" s="360">
        <f>DATE('Profit Calculation'!J$6,A$2,A$2+A708-1)</f>
        <v>42711</v>
      </c>
      <c r="D708" s="362">
        <f t="shared" ref="D708:D771" ca="1" si="23">IF(OR(LOOKUP(B708,W$1:W$35,W$1:W$35) = B708, LOOKUP(B708,X$1:X$35,X$1:X$35) = B708),LOOKUP(B708,F:F,G:G),D707*(1+((IF($Q$18&lt;6,$R$14,IF($Q$18&lt;11,$R$15,$R$16)))))^(1/365))</f>
        <v>112027523.16945392</v>
      </c>
      <c r="F708" s="363">
        <f>DATE('Profit Calculation'!J$6,'Profit Calculation'!R$6+A708-1,'Profit Calculation'!Z$6)</f>
        <v>63586</v>
      </c>
      <c r="G708" s="364">
        <f ca="1">IF(Q$27=2,IF(LOOKUP(F708,X$1:X$35,X$1:X$35) = F708,ROUND(LOOKUP(LOOKUP(F708,X$1:X$35,A:A),Single!A$2:A$107,Table13[Saving]),0),IF( LOOKUP(F708,W$1:W$35,W$1:W$35) =
 F708,ROUND(G707*(1+IF($Q$18&lt;6,$R$14,IF($Q$18&lt;11,$R$15,$R$16)))^(1/12),0),G707*(1+IF($Q$18&lt;6,$R$14,IF($Q$18&lt;11,$R$15,$R$16)))^(1/12))),IF(LOOKUP(F708,X$1:X$35,X$1:X$35) = F708,ROUND(LOOKUP(LOOKUP(F708,X$1:X$35,A:A),'Annual Calculation'!A$2:A$107,Table1[Saving]),0),IF( LOOKUP(F708,W$1:W$35,W$1:W$35) =
 F708,ROUND(G707*(1+IF($Q$18&lt;6,$R$14,IF($Q$18&lt;11,$R$15,$R$16)))^(1/12),0),G707*(1+IF($Q$18&lt;6,$R$14,IF($Q$18&lt;11,$R$15,$R$16)))^(1/12))))</f>
        <v>0</v>
      </c>
    </row>
    <row r="709" spans="1:7">
      <c r="A709" s="348">
        <f t="shared" ref="A709:A772" si="24">A708+1</f>
        <v>708</v>
      </c>
      <c r="B709" s="360">
        <f>DATE('Profit Calculation'!J$6,A$2,A$2+A709-1)</f>
        <v>42712</v>
      </c>
      <c r="D709" s="362">
        <f t="shared" ca="1" si="23"/>
        <v>112070427.77839102</v>
      </c>
      <c r="F709" s="363">
        <f>DATE('Profit Calculation'!J$6,'Profit Calculation'!R$6+A709-1,'Profit Calculation'!Z$6)</f>
        <v>63614</v>
      </c>
      <c r="G709" s="364">
        <f ca="1">IF(Q$27=2,IF(LOOKUP(F709,X$1:X$35,X$1:X$35) = F709,ROUND(LOOKUP(LOOKUP(F709,X$1:X$35,A:A),Single!A$2:A$107,Table13[Saving]),0),IF( LOOKUP(F709,W$1:W$35,W$1:W$35) =
 F709,ROUND(G708*(1+IF($Q$18&lt;6,$R$14,IF($Q$18&lt;11,$R$15,$R$16)))^(1/12),0),G708*(1+IF($Q$18&lt;6,$R$14,IF($Q$18&lt;11,$R$15,$R$16)))^(1/12))),IF(LOOKUP(F709,X$1:X$35,X$1:X$35) = F709,ROUND(LOOKUP(LOOKUP(F709,X$1:X$35,A:A),'Annual Calculation'!A$2:A$107,Table1[Saving]),0),IF( LOOKUP(F709,W$1:W$35,W$1:W$35) =
 F709,ROUND(G708*(1+IF($Q$18&lt;6,$R$14,IF($Q$18&lt;11,$R$15,$R$16)))^(1/12),0),G708*(1+IF($Q$18&lt;6,$R$14,IF($Q$18&lt;11,$R$15,$R$16)))^(1/12))))</f>
        <v>0</v>
      </c>
    </row>
    <row r="710" spans="1:7">
      <c r="A710" s="348">
        <f t="shared" si="24"/>
        <v>709</v>
      </c>
      <c r="B710" s="360">
        <f>DATE('Profit Calculation'!J$6,A$2,A$2+A710-1)</f>
        <v>42713</v>
      </c>
      <c r="D710" s="362">
        <f t="shared" ca="1" si="23"/>
        <v>112113348.81905325</v>
      </c>
      <c r="F710" s="363">
        <f>DATE('Profit Calculation'!J$6,'Profit Calculation'!R$6+A710-1,'Profit Calculation'!Z$6)</f>
        <v>63645</v>
      </c>
      <c r="G710" s="364">
        <f ca="1">IF(Q$27=2,IF(LOOKUP(F710,X$1:X$35,X$1:X$35) = F710,ROUND(LOOKUP(LOOKUP(F710,X$1:X$35,A:A),Single!A$2:A$107,Table13[Saving]),0),IF( LOOKUP(F710,W$1:W$35,W$1:W$35) =
 F710,ROUND(G709*(1+IF($Q$18&lt;6,$R$14,IF($Q$18&lt;11,$R$15,$R$16)))^(1/12),0),G709*(1+IF($Q$18&lt;6,$R$14,IF($Q$18&lt;11,$R$15,$R$16)))^(1/12))),IF(LOOKUP(F710,X$1:X$35,X$1:X$35) = F710,ROUND(LOOKUP(LOOKUP(F710,X$1:X$35,A:A),'Annual Calculation'!A$2:A$107,Table1[Saving]),0),IF( LOOKUP(F710,W$1:W$35,W$1:W$35) =
 F710,ROUND(G709*(1+IF($Q$18&lt;6,$R$14,IF($Q$18&lt;11,$R$15,$R$16)))^(1/12),0),G709*(1+IF($Q$18&lt;6,$R$14,IF($Q$18&lt;11,$R$15,$R$16)))^(1/12))))</f>
        <v>0</v>
      </c>
    </row>
    <row r="711" spans="1:7">
      <c r="A711" s="348">
        <f t="shared" si="24"/>
        <v>710</v>
      </c>
      <c r="B711" s="360">
        <f>DATE('Profit Calculation'!J$6,A$2,A$2+A711-1)</f>
        <v>42714</v>
      </c>
      <c r="D711" s="362">
        <f t="shared" ca="1" si="23"/>
        <v>112156286.29773368</v>
      </c>
      <c r="F711" s="363">
        <f>DATE('Profit Calculation'!J$6,'Profit Calculation'!R$6+A711-1,'Profit Calculation'!Z$6)</f>
        <v>63675</v>
      </c>
      <c r="G711" s="364">
        <f ca="1">IF(Q$27=2,IF(LOOKUP(F711,X$1:X$35,X$1:X$35) = F711,ROUND(LOOKUP(LOOKUP(F711,X$1:X$35,A:A),Single!A$2:A$107,Table13[Saving]),0),IF( LOOKUP(F711,W$1:W$35,W$1:W$35) =
 F711,ROUND(G710*(1+IF($Q$18&lt;6,$R$14,IF($Q$18&lt;11,$R$15,$R$16)))^(1/12),0),G710*(1+IF($Q$18&lt;6,$R$14,IF($Q$18&lt;11,$R$15,$R$16)))^(1/12))),IF(LOOKUP(F711,X$1:X$35,X$1:X$35) = F711,ROUND(LOOKUP(LOOKUP(F711,X$1:X$35,A:A),'Annual Calculation'!A$2:A$107,Table1[Saving]),0),IF( LOOKUP(F711,W$1:W$35,W$1:W$35) =
 F711,ROUND(G710*(1+IF($Q$18&lt;6,$R$14,IF($Q$18&lt;11,$R$15,$R$16)))^(1/12),0),G710*(1+IF($Q$18&lt;6,$R$14,IF($Q$18&lt;11,$R$15,$R$16)))^(1/12))))</f>
        <v>0</v>
      </c>
    </row>
    <row r="712" spans="1:7">
      <c r="A712" s="348">
        <f t="shared" si="24"/>
        <v>711</v>
      </c>
      <c r="B712" s="360">
        <f>DATE('Profit Calculation'!J$6,A$2,A$2+A712-1)</f>
        <v>42715</v>
      </c>
      <c r="D712" s="362">
        <f t="shared" ca="1" si="23"/>
        <v>112199240.22072779</v>
      </c>
      <c r="F712" s="363">
        <f>DATE('Profit Calculation'!J$6,'Profit Calculation'!R$6+A712-1,'Profit Calculation'!Z$6)</f>
        <v>63706</v>
      </c>
      <c r="G712" s="364">
        <f ca="1">IF(Q$27=2,IF(LOOKUP(F712,X$1:X$35,X$1:X$35) = F712,ROUND(LOOKUP(LOOKUP(F712,X$1:X$35,A:A),Single!A$2:A$107,Table13[Saving]),0),IF( LOOKUP(F712,W$1:W$35,W$1:W$35) =
 F712,ROUND(G711*(1+IF($Q$18&lt;6,$R$14,IF($Q$18&lt;11,$R$15,$R$16)))^(1/12),0),G711*(1+IF($Q$18&lt;6,$R$14,IF($Q$18&lt;11,$R$15,$R$16)))^(1/12))),IF(LOOKUP(F712,X$1:X$35,X$1:X$35) = F712,ROUND(LOOKUP(LOOKUP(F712,X$1:X$35,A:A),'Annual Calculation'!A$2:A$107,Table1[Saving]),0),IF( LOOKUP(F712,W$1:W$35,W$1:W$35) =
 F712,ROUND(G711*(1+IF($Q$18&lt;6,$R$14,IF($Q$18&lt;11,$R$15,$R$16)))^(1/12),0),G711*(1+IF($Q$18&lt;6,$R$14,IF($Q$18&lt;11,$R$15,$R$16)))^(1/12))))</f>
        <v>0</v>
      </c>
    </row>
    <row r="713" spans="1:7">
      <c r="A713" s="348">
        <f t="shared" si="24"/>
        <v>712</v>
      </c>
      <c r="B713" s="360">
        <f>DATE('Profit Calculation'!J$6,A$2,A$2+A713-1)</f>
        <v>42716</v>
      </c>
      <c r="D713" s="362">
        <f t="shared" ca="1" si="23"/>
        <v>112242210.59433347</v>
      </c>
      <c r="F713" s="363">
        <f>DATE('Profit Calculation'!J$6,'Profit Calculation'!R$6+A713-1,'Profit Calculation'!Z$6)</f>
        <v>63736</v>
      </c>
      <c r="G713" s="364">
        <f ca="1">IF(Q$27=2,IF(LOOKUP(F713,X$1:X$35,X$1:X$35) = F713,ROUND(LOOKUP(LOOKUP(F713,X$1:X$35,A:A),Single!A$2:A$107,Table13[Saving]),0),IF( LOOKUP(F713,W$1:W$35,W$1:W$35) =
 F713,ROUND(G712*(1+IF($Q$18&lt;6,$R$14,IF($Q$18&lt;11,$R$15,$R$16)))^(1/12),0),G712*(1+IF($Q$18&lt;6,$R$14,IF($Q$18&lt;11,$R$15,$R$16)))^(1/12))),IF(LOOKUP(F713,X$1:X$35,X$1:X$35) = F713,ROUND(LOOKUP(LOOKUP(F713,X$1:X$35,A:A),'Annual Calculation'!A$2:A$107,Table1[Saving]),0),IF( LOOKUP(F713,W$1:W$35,W$1:W$35) =
 F713,ROUND(G712*(1+IF($Q$18&lt;6,$R$14,IF($Q$18&lt;11,$R$15,$R$16)))^(1/12),0),G712*(1+IF($Q$18&lt;6,$R$14,IF($Q$18&lt;11,$R$15,$R$16)))^(1/12))))</f>
        <v>0</v>
      </c>
    </row>
    <row r="714" spans="1:7">
      <c r="A714" s="348">
        <f t="shared" si="24"/>
        <v>713</v>
      </c>
      <c r="B714" s="360">
        <f>DATE('Profit Calculation'!J$6,A$2,A$2+A714-1)</f>
        <v>42717</v>
      </c>
      <c r="D714" s="362">
        <f t="shared" ca="1" si="23"/>
        <v>112285197.42485102</v>
      </c>
      <c r="F714" s="363">
        <f>DATE('Profit Calculation'!J$6,'Profit Calculation'!R$6+A714-1,'Profit Calculation'!Z$6)</f>
        <v>63767</v>
      </c>
      <c r="G714" s="364">
        <f ca="1">IF(Q$27=2,IF(LOOKUP(F714,X$1:X$35,X$1:X$35) = F714,ROUND(LOOKUP(LOOKUP(F714,X$1:X$35,A:A),Single!A$2:A$107,Table13[Saving]),0),IF( LOOKUP(F714,W$1:W$35,W$1:W$35) =
 F714,ROUND(G713*(1+IF($Q$18&lt;6,$R$14,IF($Q$18&lt;11,$R$15,$R$16)))^(1/12),0),G713*(1+IF($Q$18&lt;6,$R$14,IF($Q$18&lt;11,$R$15,$R$16)))^(1/12))),IF(LOOKUP(F714,X$1:X$35,X$1:X$35) = F714,ROUND(LOOKUP(LOOKUP(F714,X$1:X$35,A:A),'Annual Calculation'!A$2:A$107,Table1[Saving]),0),IF( LOOKUP(F714,W$1:W$35,W$1:W$35) =
 F714,ROUND(G713*(1+IF($Q$18&lt;6,$R$14,IF($Q$18&lt;11,$R$15,$R$16)))^(1/12),0),G713*(1+IF($Q$18&lt;6,$R$14,IF($Q$18&lt;11,$R$15,$R$16)))^(1/12))))</f>
        <v>0</v>
      </c>
    </row>
    <row r="715" spans="1:7">
      <c r="A715" s="348">
        <f t="shared" si="24"/>
        <v>714</v>
      </c>
      <c r="B715" s="360">
        <f>DATE('Profit Calculation'!J$6,A$2,A$2+A715-1)</f>
        <v>42718</v>
      </c>
      <c r="D715" s="362">
        <f t="shared" ca="1" si="23"/>
        <v>112328200.71858314</v>
      </c>
      <c r="F715" s="363">
        <f>DATE('Profit Calculation'!J$6,'Profit Calculation'!R$6+A715-1,'Profit Calculation'!Z$6)</f>
        <v>63798</v>
      </c>
      <c r="G715" s="364">
        <f ca="1">IF(Q$27=2,IF(LOOKUP(F715,X$1:X$35,X$1:X$35) = F715,ROUND(LOOKUP(LOOKUP(F715,X$1:X$35,A:A),Single!A$2:A$107,Table13[Saving]),0),IF( LOOKUP(F715,W$1:W$35,W$1:W$35) =
 F715,ROUND(G714*(1+IF($Q$18&lt;6,$R$14,IF($Q$18&lt;11,$R$15,$R$16)))^(1/12),0),G714*(1+IF($Q$18&lt;6,$R$14,IF($Q$18&lt;11,$R$15,$R$16)))^(1/12))),IF(LOOKUP(F715,X$1:X$35,X$1:X$35) = F715,ROUND(LOOKUP(LOOKUP(F715,X$1:X$35,A:A),'Annual Calculation'!A$2:A$107,Table1[Saving]),0),IF( LOOKUP(F715,W$1:W$35,W$1:W$35) =
 F715,ROUND(G714*(1+IF($Q$18&lt;6,$R$14,IF($Q$18&lt;11,$R$15,$R$16)))^(1/12),0),G714*(1+IF($Q$18&lt;6,$R$14,IF($Q$18&lt;11,$R$15,$R$16)))^(1/12))))</f>
        <v>0</v>
      </c>
    </row>
    <row r="716" spans="1:7">
      <c r="A716" s="348">
        <f t="shared" si="24"/>
        <v>715</v>
      </c>
      <c r="B716" s="360">
        <f>DATE('Profit Calculation'!J$6,A$2,A$2+A716-1)</f>
        <v>42719</v>
      </c>
      <c r="D716" s="362">
        <f t="shared" ca="1" si="23"/>
        <v>112371220.48183496</v>
      </c>
      <c r="F716" s="363">
        <f>DATE('Profit Calculation'!J$6,'Profit Calculation'!R$6+A716-1,'Profit Calculation'!Z$6)</f>
        <v>63828</v>
      </c>
      <c r="G716" s="364">
        <f ca="1">IF(Q$27=2,IF(LOOKUP(F716,X$1:X$35,X$1:X$35) = F716,ROUND(LOOKUP(LOOKUP(F716,X$1:X$35,A:A),Single!A$2:A$107,Table13[Saving]),0),IF( LOOKUP(F716,W$1:W$35,W$1:W$35) =
 F716,ROUND(G715*(1+IF($Q$18&lt;6,$R$14,IF($Q$18&lt;11,$R$15,$R$16)))^(1/12),0),G715*(1+IF($Q$18&lt;6,$R$14,IF($Q$18&lt;11,$R$15,$R$16)))^(1/12))),IF(LOOKUP(F716,X$1:X$35,X$1:X$35) = F716,ROUND(LOOKUP(LOOKUP(F716,X$1:X$35,A:A),'Annual Calculation'!A$2:A$107,Table1[Saving]),0),IF( LOOKUP(F716,W$1:W$35,W$1:W$35) =
 F716,ROUND(G715*(1+IF($Q$18&lt;6,$R$14,IF($Q$18&lt;11,$R$15,$R$16)))^(1/12),0),G715*(1+IF($Q$18&lt;6,$R$14,IF($Q$18&lt;11,$R$15,$R$16)))^(1/12))))</f>
        <v>0</v>
      </c>
    </row>
    <row r="717" spans="1:7">
      <c r="A717" s="348">
        <f t="shared" si="24"/>
        <v>716</v>
      </c>
      <c r="B717" s="360">
        <f>DATE('Profit Calculation'!J$6,A$2,A$2+A717-1)</f>
        <v>42720</v>
      </c>
      <c r="D717" s="362">
        <f t="shared" ca="1" si="23"/>
        <v>112414256.72091405</v>
      </c>
      <c r="F717" s="363">
        <f>DATE('Profit Calculation'!J$6,'Profit Calculation'!R$6+A717-1,'Profit Calculation'!Z$6)</f>
        <v>63859</v>
      </c>
      <c r="G717" s="364">
        <f ca="1">IF(Q$27=2,IF(LOOKUP(F717,X$1:X$35,X$1:X$35) = F717,ROUND(LOOKUP(LOOKUP(F717,X$1:X$35,A:A),Single!A$2:A$107,Table13[Saving]),0),IF( LOOKUP(F717,W$1:W$35,W$1:W$35) =
 F717,ROUND(G716*(1+IF($Q$18&lt;6,$R$14,IF($Q$18&lt;11,$R$15,$R$16)))^(1/12),0),G716*(1+IF($Q$18&lt;6,$R$14,IF($Q$18&lt;11,$R$15,$R$16)))^(1/12))),IF(LOOKUP(F717,X$1:X$35,X$1:X$35) = F717,ROUND(LOOKUP(LOOKUP(F717,X$1:X$35,A:A),'Annual Calculation'!A$2:A$107,Table1[Saving]),0),IF( LOOKUP(F717,W$1:W$35,W$1:W$35) =
 F717,ROUND(G716*(1+IF($Q$18&lt;6,$R$14,IF($Q$18&lt;11,$R$15,$R$16)))^(1/12),0),G716*(1+IF($Q$18&lt;6,$R$14,IF($Q$18&lt;11,$R$15,$R$16)))^(1/12))))</f>
        <v>0</v>
      </c>
    </row>
    <row r="718" spans="1:7">
      <c r="A718" s="348">
        <f t="shared" si="24"/>
        <v>717</v>
      </c>
      <c r="B718" s="360">
        <f>DATE('Profit Calculation'!J$6,A$2,A$2+A718-1)</f>
        <v>42721</v>
      </c>
      <c r="D718" s="362">
        <f t="shared" ca="1" si="23"/>
        <v>112457309.44213034</v>
      </c>
      <c r="F718" s="363">
        <f>DATE('Profit Calculation'!J$6,'Profit Calculation'!R$6+A718-1,'Profit Calculation'!Z$6)</f>
        <v>63889</v>
      </c>
      <c r="G718" s="364">
        <f ca="1">IF(Q$27=2,IF(LOOKUP(F718,X$1:X$35,X$1:X$35) = F718,ROUND(LOOKUP(LOOKUP(F718,X$1:X$35,A:A),Single!A$2:A$107,Table13[Saving]),0),IF( LOOKUP(F718,W$1:W$35,W$1:W$35) =
 F718,ROUND(G717*(1+IF($Q$18&lt;6,$R$14,IF($Q$18&lt;11,$R$15,$R$16)))^(1/12),0),G717*(1+IF($Q$18&lt;6,$R$14,IF($Q$18&lt;11,$R$15,$R$16)))^(1/12))),IF(LOOKUP(F718,X$1:X$35,X$1:X$35) = F718,ROUND(LOOKUP(LOOKUP(F718,X$1:X$35,A:A),'Annual Calculation'!A$2:A$107,Table1[Saving]),0),IF( LOOKUP(F718,W$1:W$35,W$1:W$35) =
 F718,ROUND(G717*(1+IF($Q$18&lt;6,$R$14,IF($Q$18&lt;11,$R$15,$R$16)))^(1/12),0),G717*(1+IF($Q$18&lt;6,$R$14,IF($Q$18&lt;11,$R$15,$R$16)))^(1/12))))</f>
        <v>0</v>
      </c>
    </row>
    <row r="719" spans="1:7">
      <c r="A719" s="348">
        <f t="shared" si="24"/>
        <v>718</v>
      </c>
      <c r="B719" s="360">
        <f>DATE('Profit Calculation'!J$6,A$2,A$2+A719-1)</f>
        <v>42722</v>
      </c>
      <c r="D719" s="362">
        <f t="shared" ca="1" si="23"/>
        <v>112500378.65179621</v>
      </c>
      <c r="F719" s="363">
        <f>DATE('Profit Calculation'!J$6,'Profit Calculation'!R$6+A719-1,'Profit Calculation'!Z$6)</f>
        <v>63920</v>
      </c>
      <c r="G719" s="364">
        <f ca="1">IF(Q$27=2,IF(LOOKUP(F719,X$1:X$35,X$1:X$35) = F719,ROUND(LOOKUP(LOOKUP(F719,X$1:X$35,A:A),Single!A$2:A$107,Table13[Saving]),0),IF( LOOKUP(F719,W$1:W$35,W$1:W$35) =
 F719,ROUND(G718*(1+IF($Q$18&lt;6,$R$14,IF($Q$18&lt;11,$R$15,$R$16)))^(1/12),0),G718*(1+IF($Q$18&lt;6,$R$14,IF($Q$18&lt;11,$R$15,$R$16)))^(1/12))),IF(LOOKUP(F719,X$1:X$35,X$1:X$35) = F719,ROUND(LOOKUP(LOOKUP(F719,X$1:X$35,A:A),'Annual Calculation'!A$2:A$107,Table1[Saving]),0),IF( LOOKUP(F719,W$1:W$35,W$1:W$35) =
 F719,ROUND(G718*(1+IF($Q$18&lt;6,$R$14,IF($Q$18&lt;11,$R$15,$R$16)))^(1/12),0),G718*(1+IF($Q$18&lt;6,$R$14,IF($Q$18&lt;11,$R$15,$R$16)))^(1/12))))</f>
        <v>0</v>
      </c>
    </row>
    <row r="720" spans="1:7">
      <c r="A720" s="348">
        <f t="shared" si="24"/>
        <v>719</v>
      </c>
      <c r="B720" s="360">
        <f>DATE('Profit Calculation'!J$6,A$2,A$2+A720-1)</f>
        <v>42723</v>
      </c>
      <c r="D720" s="362">
        <f t="shared" ca="1" si="23"/>
        <v>112543464.35622644</v>
      </c>
      <c r="F720" s="363">
        <f>DATE('Profit Calculation'!J$6,'Profit Calculation'!R$6+A720-1,'Profit Calculation'!Z$6)</f>
        <v>63951</v>
      </c>
      <c r="G720" s="364">
        <f ca="1">IF(Q$27=2,IF(LOOKUP(F720,X$1:X$35,X$1:X$35) = F720,ROUND(LOOKUP(LOOKUP(F720,X$1:X$35,A:A),Single!A$2:A$107,Table13[Saving]),0),IF( LOOKUP(F720,W$1:W$35,W$1:W$35) =
 F720,ROUND(G719*(1+IF($Q$18&lt;6,$R$14,IF($Q$18&lt;11,$R$15,$R$16)))^(1/12),0),G719*(1+IF($Q$18&lt;6,$R$14,IF($Q$18&lt;11,$R$15,$R$16)))^(1/12))),IF(LOOKUP(F720,X$1:X$35,X$1:X$35) = F720,ROUND(LOOKUP(LOOKUP(F720,X$1:X$35,A:A),'Annual Calculation'!A$2:A$107,Table1[Saving]),0),IF( LOOKUP(F720,W$1:W$35,W$1:W$35) =
 F720,ROUND(G719*(1+IF($Q$18&lt;6,$R$14,IF($Q$18&lt;11,$R$15,$R$16)))^(1/12),0),G719*(1+IF($Q$18&lt;6,$R$14,IF($Q$18&lt;11,$R$15,$R$16)))^(1/12))))</f>
        <v>0</v>
      </c>
    </row>
    <row r="721" spans="1:7">
      <c r="A721" s="348">
        <f t="shared" si="24"/>
        <v>720</v>
      </c>
      <c r="B721" s="360">
        <f>DATE('Profit Calculation'!J$6,A$2,A$2+A721-1)</f>
        <v>42724</v>
      </c>
      <c r="D721" s="362">
        <f t="shared" ca="1" si="23"/>
        <v>112586566.56173827</v>
      </c>
      <c r="F721" s="363">
        <f>DATE('Profit Calculation'!J$6,'Profit Calculation'!R$6+A721-1,'Profit Calculation'!Z$6)</f>
        <v>63979</v>
      </c>
      <c r="G721" s="364">
        <f ca="1">IF(Q$27=2,IF(LOOKUP(F721,X$1:X$35,X$1:X$35) = F721,ROUND(LOOKUP(LOOKUP(F721,X$1:X$35,A:A),Single!A$2:A$107,Table13[Saving]),0),IF( LOOKUP(F721,W$1:W$35,W$1:W$35) =
 F721,ROUND(G720*(1+IF($Q$18&lt;6,$R$14,IF($Q$18&lt;11,$R$15,$R$16)))^(1/12),0),G720*(1+IF($Q$18&lt;6,$R$14,IF($Q$18&lt;11,$R$15,$R$16)))^(1/12))),IF(LOOKUP(F721,X$1:X$35,X$1:X$35) = F721,ROUND(LOOKUP(LOOKUP(F721,X$1:X$35,A:A),'Annual Calculation'!A$2:A$107,Table1[Saving]),0),IF( LOOKUP(F721,W$1:W$35,W$1:W$35) =
 F721,ROUND(G720*(1+IF($Q$18&lt;6,$R$14,IF($Q$18&lt;11,$R$15,$R$16)))^(1/12),0),G720*(1+IF($Q$18&lt;6,$R$14,IF($Q$18&lt;11,$R$15,$R$16)))^(1/12))))</f>
        <v>0</v>
      </c>
    </row>
    <row r="722" spans="1:7">
      <c r="A722" s="348">
        <f t="shared" si="24"/>
        <v>721</v>
      </c>
      <c r="B722" s="360">
        <f>DATE('Profit Calculation'!J$6,A$2,A$2+A722-1)</f>
        <v>42725</v>
      </c>
      <c r="D722" s="362">
        <f t="shared" ca="1" si="23"/>
        <v>112629685.2746513</v>
      </c>
      <c r="F722" s="363">
        <f>DATE('Profit Calculation'!J$6,'Profit Calculation'!R$6+A722-1,'Profit Calculation'!Z$6)</f>
        <v>64010</v>
      </c>
      <c r="G722" s="364">
        <f ca="1">IF(Q$27=2,IF(LOOKUP(F722,X$1:X$35,X$1:X$35) = F722,ROUND(LOOKUP(LOOKUP(F722,X$1:X$35,A:A),Single!A$2:A$107,Table13[Saving]),0),IF( LOOKUP(F722,W$1:W$35,W$1:W$35) =
 F722,ROUND(G721*(1+IF($Q$18&lt;6,$R$14,IF($Q$18&lt;11,$R$15,$R$16)))^(1/12),0),G721*(1+IF($Q$18&lt;6,$R$14,IF($Q$18&lt;11,$R$15,$R$16)))^(1/12))),IF(LOOKUP(F722,X$1:X$35,X$1:X$35) = F722,ROUND(LOOKUP(LOOKUP(F722,X$1:X$35,A:A),'Annual Calculation'!A$2:A$107,Table1[Saving]),0),IF( LOOKUP(F722,W$1:W$35,W$1:W$35) =
 F722,ROUND(G721*(1+IF($Q$18&lt;6,$R$14,IF($Q$18&lt;11,$R$15,$R$16)))^(1/12),0),G721*(1+IF($Q$18&lt;6,$R$14,IF($Q$18&lt;11,$R$15,$R$16)))^(1/12))))</f>
        <v>0</v>
      </c>
    </row>
    <row r="723" spans="1:7">
      <c r="A723" s="348">
        <f t="shared" si="24"/>
        <v>722</v>
      </c>
      <c r="B723" s="360">
        <f>DATE('Profit Calculation'!J$6,A$2,A$2+A723-1)</f>
        <v>42726</v>
      </c>
      <c r="D723" s="362">
        <f t="shared" ca="1" si="23"/>
        <v>112672820.50128761</v>
      </c>
      <c r="F723" s="363">
        <f>DATE('Profit Calculation'!J$6,'Profit Calculation'!R$6+A723-1,'Profit Calculation'!Z$6)</f>
        <v>64040</v>
      </c>
      <c r="G723" s="364">
        <f ca="1">IF(Q$27=2,IF(LOOKUP(F723,X$1:X$35,X$1:X$35) = F723,ROUND(LOOKUP(LOOKUP(F723,X$1:X$35,A:A),Single!A$2:A$107,Table13[Saving]),0),IF( LOOKUP(F723,W$1:W$35,W$1:W$35) =
 F723,ROUND(G722*(1+IF($Q$18&lt;6,$R$14,IF($Q$18&lt;11,$R$15,$R$16)))^(1/12),0),G722*(1+IF($Q$18&lt;6,$R$14,IF($Q$18&lt;11,$R$15,$R$16)))^(1/12))),IF(LOOKUP(F723,X$1:X$35,X$1:X$35) = F723,ROUND(LOOKUP(LOOKUP(F723,X$1:X$35,A:A),'Annual Calculation'!A$2:A$107,Table1[Saving]),0),IF( LOOKUP(F723,W$1:W$35,W$1:W$35) =
 F723,ROUND(G722*(1+IF($Q$18&lt;6,$R$14,IF($Q$18&lt;11,$R$15,$R$16)))^(1/12),0),G722*(1+IF($Q$18&lt;6,$R$14,IF($Q$18&lt;11,$R$15,$R$16)))^(1/12))))</f>
        <v>0</v>
      </c>
    </row>
    <row r="724" spans="1:7">
      <c r="A724" s="348">
        <f t="shared" si="24"/>
        <v>723</v>
      </c>
      <c r="B724" s="360">
        <f>DATE('Profit Calculation'!J$6,A$2,A$2+A724-1)</f>
        <v>42727</v>
      </c>
      <c r="D724" s="362">
        <f t="shared" ca="1" si="23"/>
        <v>112715972.24797164</v>
      </c>
      <c r="F724" s="363">
        <f>DATE('Profit Calculation'!J$6,'Profit Calculation'!R$6+A724-1,'Profit Calculation'!Z$6)</f>
        <v>64071</v>
      </c>
      <c r="G724" s="364">
        <f ca="1">IF(Q$27=2,IF(LOOKUP(F724,X$1:X$35,X$1:X$35) = F724,ROUND(LOOKUP(LOOKUP(F724,X$1:X$35,A:A),Single!A$2:A$107,Table13[Saving]),0),IF( LOOKUP(F724,W$1:W$35,W$1:W$35) =
 F724,ROUND(G723*(1+IF($Q$18&lt;6,$R$14,IF($Q$18&lt;11,$R$15,$R$16)))^(1/12),0),G723*(1+IF($Q$18&lt;6,$R$14,IF($Q$18&lt;11,$R$15,$R$16)))^(1/12))),IF(LOOKUP(F724,X$1:X$35,X$1:X$35) = F724,ROUND(LOOKUP(LOOKUP(F724,X$1:X$35,A:A),'Annual Calculation'!A$2:A$107,Table1[Saving]),0),IF( LOOKUP(F724,W$1:W$35,W$1:W$35) =
 F724,ROUND(G723*(1+IF($Q$18&lt;6,$R$14,IF($Q$18&lt;11,$R$15,$R$16)))^(1/12),0),G723*(1+IF($Q$18&lt;6,$R$14,IF($Q$18&lt;11,$R$15,$R$16)))^(1/12))))</f>
        <v>0</v>
      </c>
    </row>
    <row r="725" spans="1:7">
      <c r="A725" s="348">
        <f t="shared" si="24"/>
        <v>724</v>
      </c>
      <c r="B725" s="360">
        <f>DATE('Profit Calculation'!J$6,A$2,A$2+A725-1)</f>
        <v>42728</v>
      </c>
      <c r="D725" s="362">
        <f t="shared" ca="1" si="23"/>
        <v>112759140.52103031</v>
      </c>
      <c r="F725" s="363">
        <f>DATE('Profit Calculation'!J$6,'Profit Calculation'!R$6+A725-1,'Profit Calculation'!Z$6)</f>
        <v>64101</v>
      </c>
      <c r="G725" s="364">
        <f ca="1">IF(Q$27=2,IF(LOOKUP(F725,X$1:X$35,X$1:X$35) = F725,ROUND(LOOKUP(LOOKUP(F725,X$1:X$35,A:A),Single!A$2:A$107,Table13[Saving]),0),IF( LOOKUP(F725,W$1:W$35,W$1:W$35) =
 F725,ROUND(G724*(1+IF($Q$18&lt;6,$R$14,IF($Q$18&lt;11,$R$15,$R$16)))^(1/12),0),G724*(1+IF($Q$18&lt;6,$R$14,IF($Q$18&lt;11,$R$15,$R$16)))^(1/12))),IF(LOOKUP(F725,X$1:X$35,X$1:X$35) = F725,ROUND(LOOKUP(LOOKUP(F725,X$1:X$35,A:A),'Annual Calculation'!A$2:A$107,Table1[Saving]),0),IF( LOOKUP(F725,W$1:W$35,W$1:W$35) =
 F725,ROUND(G724*(1+IF($Q$18&lt;6,$R$14,IF($Q$18&lt;11,$R$15,$R$16)))^(1/12),0),G724*(1+IF($Q$18&lt;6,$R$14,IF($Q$18&lt;11,$R$15,$R$16)))^(1/12))))</f>
        <v>0</v>
      </c>
    </row>
    <row r="726" spans="1:7">
      <c r="A726" s="348">
        <f t="shared" si="24"/>
        <v>725</v>
      </c>
      <c r="B726" s="360">
        <f>DATE('Profit Calculation'!J$6,A$2,A$2+A726-1)</f>
        <v>42729</v>
      </c>
      <c r="D726" s="362">
        <f t="shared" ca="1" si="23"/>
        <v>112802325.32679291</v>
      </c>
      <c r="F726" s="363">
        <f>DATE('Profit Calculation'!J$6,'Profit Calculation'!R$6+A726-1,'Profit Calculation'!Z$6)</f>
        <v>64132</v>
      </c>
      <c r="G726" s="364">
        <f ca="1">IF(Q$27=2,IF(LOOKUP(F726,X$1:X$35,X$1:X$35) = F726,ROUND(LOOKUP(LOOKUP(F726,X$1:X$35,A:A),Single!A$2:A$107,Table13[Saving]),0),IF( LOOKUP(F726,W$1:W$35,W$1:W$35) =
 F726,ROUND(G725*(1+IF($Q$18&lt;6,$R$14,IF($Q$18&lt;11,$R$15,$R$16)))^(1/12),0),G725*(1+IF($Q$18&lt;6,$R$14,IF($Q$18&lt;11,$R$15,$R$16)))^(1/12))),IF(LOOKUP(F726,X$1:X$35,X$1:X$35) = F726,ROUND(LOOKUP(LOOKUP(F726,X$1:X$35,A:A),'Annual Calculation'!A$2:A$107,Table1[Saving]),0),IF( LOOKUP(F726,W$1:W$35,W$1:W$35) =
 F726,ROUND(G725*(1+IF($Q$18&lt;6,$R$14,IF($Q$18&lt;11,$R$15,$R$16)))^(1/12),0),G725*(1+IF($Q$18&lt;6,$R$14,IF($Q$18&lt;11,$R$15,$R$16)))^(1/12))))</f>
        <v>0</v>
      </c>
    </row>
    <row r="727" spans="1:7">
      <c r="A727" s="348">
        <f t="shared" si="24"/>
        <v>726</v>
      </c>
      <c r="B727" s="360">
        <f>DATE('Profit Calculation'!J$6,A$2,A$2+A727-1)</f>
        <v>42730</v>
      </c>
      <c r="D727" s="362">
        <f t="shared" ca="1" si="23"/>
        <v>112845526.67159119</v>
      </c>
      <c r="F727" s="363">
        <f>DATE('Profit Calculation'!J$6,'Profit Calculation'!R$6+A727-1,'Profit Calculation'!Z$6)</f>
        <v>64163</v>
      </c>
      <c r="G727" s="364">
        <f ca="1">IF(Q$27=2,IF(LOOKUP(F727,X$1:X$35,X$1:X$35) = F727,ROUND(LOOKUP(LOOKUP(F727,X$1:X$35,A:A),Single!A$2:A$107,Table13[Saving]),0),IF( LOOKUP(F727,W$1:W$35,W$1:W$35) =
 F727,ROUND(G726*(1+IF($Q$18&lt;6,$R$14,IF($Q$18&lt;11,$R$15,$R$16)))^(1/12),0),G726*(1+IF($Q$18&lt;6,$R$14,IF($Q$18&lt;11,$R$15,$R$16)))^(1/12))),IF(LOOKUP(F727,X$1:X$35,X$1:X$35) = F727,ROUND(LOOKUP(LOOKUP(F727,X$1:X$35,A:A),'Annual Calculation'!A$2:A$107,Table1[Saving]),0),IF( LOOKUP(F727,W$1:W$35,W$1:W$35) =
 F727,ROUND(G726*(1+IF($Q$18&lt;6,$R$14,IF($Q$18&lt;11,$R$15,$R$16)))^(1/12),0),G726*(1+IF($Q$18&lt;6,$R$14,IF($Q$18&lt;11,$R$15,$R$16)))^(1/12))))</f>
        <v>0</v>
      </c>
    </row>
    <row r="728" spans="1:7">
      <c r="A728" s="348">
        <f t="shared" si="24"/>
        <v>727</v>
      </c>
      <c r="B728" s="360">
        <f>DATE('Profit Calculation'!J$6,A$2,A$2+A728-1)</f>
        <v>42731</v>
      </c>
      <c r="D728" s="362">
        <f t="shared" ca="1" si="23"/>
        <v>112888744.56175932</v>
      </c>
      <c r="F728" s="363">
        <f>DATE('Profit Calculation'!J$6,'Profit Calculation'!R$6+A728-1,'Profit Calculation'!Z$6)</f>
        <v>64193</v>
      </c>
      <c r="G728" s="364">
        <f ca="1">IF(Q$27=2,IF(LOOKUP(F728,X$1:X$35,X$1:X$35) = F728,ROUND(LOOKUP(LOOKUP(F728,X$1:X$35,A:A),Single!A$2:A$107,Table13[Saving]),0),IF( LOOKUP(F728,W$1:W$35,W$1:W$35) =
 F728,ROUND(G727*(1+IF($Q$18&lt;6,$R$14,IF($Q$18&lt;11,$R$15,$R$16)))^(1/12),0),G727*(1+IF($Q$18&lt;6,$R$14,IF($Q$18&lt;11,$R$15,$R$16)))^(1/12))),IF(LOOKUP(F728,X$1:X$35,X$1:X$35) = F728,ROUND(LOOKUP(LOOKUP(F728,X$1:X$35,A:A),'Annual Calculation'!A$2:A$107,Table1[Saving]),0),IF( LOOKUP(F728,W$1:W$35,W$1:W$35) =
 F728,ROUND(G727*(1+IF($Q$18&lt;6,$R$14,IF($Q$18&lt;11,$R$15,$R$16)))^(1/12),0),G727*(1+IF($Q$18&lt;6,$R$14,IF($Q$18&lt;11,$R$15,$R$16)))^(1/12))))</f>
        <v>0</v>
      </c>
    </row>
    <row r="729" spans="1:7">
      <c r="A729" s="348">
        <f t="shared" si="24"/>
        <v>728</v>
      </c>
      <c r="B729" s="360">
        <f>DATE('Profit Calculation'!J$6,A$2,A$2+A729-1)</f>
        <v>42732</v>
      </c>
      <c r="D729" s="362">
        <f t="shared" ca="1" si="23"/>
        <v>112931979.0036339</v>
      </c>
      <c r="F729" s="363">
        <f>DATE('Profit Calculation'!J$6,'Profit Calculation'!R$6+A729-1,'Profit Calculation'!Z$6)</f>
        <v>64224</v>
      </c>
      <c r="G729" s="364">
        <f ca="1">IF(Q$27=2,IF(LOOKUP(F729,X$1:X$35,X$1:X$35) = F729,ROUND(LOOKUP(LOOKUP(F729,X$1:X$35,A:A),Single!A$2:A$107,Table13[Saving]),0),IF( LOOKUP(F729,W$1:W$35,W$1:W$35) =
 F729,ROUND(G728*(1+IF($Q$18&lt;6,$R$14,IF($Q$18&lt;11,$R$15,$R$16)))^(1/12),0),G728*(1+IF($Q$18&lt;6,$R$14,IF($Q$18&lt;11,$R$15,$R$16)))^(1/12))),IF(LOOKUP(F729,X$1:X$35,X$1:X$35) = F729,ROUND(LOOKUP(LOOKUP(F729,X$1:X$35,A:A),'Annual Calculation'!A$2:A$107,Table1[Saving]),0),IF( LOOKUP(F729,W$1:W$35,W$1:W$35) =
 F729,ROUND(G728*(1+IF($Q$18&lt;6,$R$14,IF($Q$18&lt;11,$R$15,$R$16)))^(1/12),0),G728*(1+IF($Q$18&lt;6,$R$14,IF($Q$18&lt;11,$R$15,$R$16)))^(1/12))))</f>
        <v>0</v>
      </c>
    </row>
    <row r="730" spans="1:7">
      <c r="A730" s="348">
        <f t="shared" si="24"/>
        <v>729</v>
      </c>
      <c r="B730" s="360">
        <f>DATE('Profit Calculation'!J$6,A$2,A$2+A730-1)</f>
        <v>42733</v>
      </c>
      <c r="D730" s="362">
        <f t="shared" ca="1" si="23"/>
        <v>112975230.00355394</v>
      </c>
      <c r="F730" s="363">
        <f>DATE('Profit Calculation'!J$6,'Profit Calculation'!R$6+A730-1,'Profit Calculation'!Z$6)</f>
        <v>64254</v>
      </c>
      <c r="G730" s="364">
        <f ca="1">IF(Q$27=2,IF(LOOKUP(F730,X$1:X$35,X$1:X$35) = F730,ROUND(LOOKUP(LOOKUP(F730,X$1:X$35,A:A),Single!A$2:A$107,Table13[Saving]),0),IF( LOOKUP(F730,W$1:W$35,W$1:W$35) =
 F730,ROUND(G729*(1+IF($Q$18&lt;6,$R$14,IF($Q$18&lt;11,$R$15,$R$16)))^(1/12),0),G729*(1+IF($Q$18&lt;6,$R$14,IF($Q$18&lt;11,$R$15,$R$16)))^(1/12))),IF(LOOKUP(F730,X$1:X$35,X$1:X$35) = F730,ROUND(LOOKUP(LOOKUP(F730,X$1:X$35,A:A),'Annual Calculation'!A$2:A$107,Table1[Saving]),0),IF( LOOKUP(F730,W$1:W$35,W$1:W$35) =
 F730,ROUND(G729*(1+IF($Q$18&lt;6,$R$14,IF($Q$18&lt;11,$R$15,$R$16)))^(1/12),0),G729*(1+IF($Q$18&lt;6,$R$14,IF($Q$18&lt;11,$R$15,$R$16)))^(1/12))))</f>
        <v>0</v>
      </c>
    </row>
    <row r="731" spans="1:7">
      <c r="A731" s="348">
        <f t="shared" si="24"/>
        <v>730</v>
      </c>
      <c r="B731" s="360">
        <f>DATE('Profit Calculation'!J$6,A$2,A$2+A731-1)</f>
        <v>42734</v>
      </c>
      <c r="D731" s="362">
        <f t="shared" ca="1" si="23"/>
        <v>113018497.56786089</v>
      </c>
      <c r="F731" s="363">
        <f>DATE('Profit Calculation'!J$6,'Profit Calculation'!R$6+A731-1,'Profit Calculation'!Z$6)</f>
        <v>64285</v>
      </c>
      <c r="G731" s="364">
        <f ca="1">IF(Q$27=2,IF(LOOKUP(F731,X$1:X$35,X$1:X$35) = F731,ROUND(LOOKUP(LOOKUP(F731,X$1:X$35,A:A),Single!A$2:A$107,Table13[Saving]),0),IF( LOOKUP(F731,W$1:W$35,W$1:W$35) =
 F731,ROUND(G730*(1+IF($Q$18&lt;6,$R$14,IF($Q$18&lt;11,$R$15,$R$16)))^(1/12),0),G730*(1+IF($Q$18&lt;6,$R$14,IF($Q$18&lt;11,$R$15,$R$16)))^(1/12))),IF(LOOKUP(F731,X$1:X$35,X$1:X$35) = F731,ROUND(LOOKUP(LOOKUP(F731,X$1:X$35,A:A),'Annual Calculation'!A$2:A$107,Table1[Saving]),0),IF( LOOKUP(F731,W$1:W$35,W$1:W$35) =
 F731,ROUND(G730*(1+IF($Q$18&lt;6,$R$14,IF($Q$18&lt;11,$R$15,$R$16)))^(1/12),0),G730*(1+IF($Q$18&lt;6,$R$14,IF($Q$18&lt;11,$R$15,$R$16)))^(1/12))))</f>
        <v>0</v>
      </c>
    </row>
    <row r="732" spans="1:7">
      <c r="A732" s="348">
        <f t="shared" si="24"/>
        <v>731</v>
      </c>
      <c r="B732" s="360">
        <f>DATE('Profit Calculation'!J$6,A$2,A$2+A732-1)</f>
        <v>42735</v>
      </c>
      <c r="D732" s="362">
        <f t="shared" ca="1" si="23"/>
        <v>113061781.70289861</v>
      </c>
      <c r="F732" s="363">
        <f>DATE('Profit Calculation'!J$6,'Profit Calculation'!R$6+A732-1,'Profit Calculation'!Z$6)</f>
        <v>64316</v>
      </c>
      <c r="G732" s="364">
        <f ca="1">IF(Q$27=2,IF(LOOKUP(F732,X$1:X$35,X$1:X$35) = F732,ROUND(LOOKUP(LOOKUP(F732,X$1:X$35,A:A),Single!A$2:A$107,Table13[Saving]),0),IF( LOOKUP(F732,W$1:W$35,W$1:W$35) =
 F732,ROUND(G731*(1+IF($Q$18&lt;6,$R$14,IF($Q$18&lt;11,$R$15,$R$16)))^(1/12),0),G731*(1+IF($Q$18&lt;6,$R$14,IF($Q$18&lt;11,$R$15,$R$16)))^(1/12))),IF(LOOKUP(F732,X$1:X$35,X$1:X$35) = F732,ROUND(LOOKUP(LOOKUP(F732,X$1:X$35,A:A),'Annual Calculation'!A$2:A$107,Table1[Saving]),0),IF( LOOKUP(F732,W$1:W$35,W$1:W$35) =
 F732,ROUND(G731*(1+IF($Q$18&lt;6,$R$14,IF($Q$18&lt;11,$R$15,$R$16)))^(1/12),0),G731*(1+IF($Q$18&lt;6,$R$14,IF($Q$18&lt;11,$R$15,$R$16)))^(1/12))))</f>
        <v>0</v>
      </c>
    </row>
    <row r="733" spans="1:7">
      <c r="A733" s="348">
        <f t="shared" si="24"/>
        <v>732</v>
      </c>
      <c r="B733" s="360">
        <f>DATE('Profit Calculation'!J$6,A$2,A$2+A733-1)</f>
        <v>42736</v>
      </c>
      <c r="C733" s="354"/>
      <c r="D733" s="355">
        <f t="shared" ca="1" si="23"/>
        <v>113050959</v>
      </c>
      <c r="F733" s="363">
        <f>DATE('Profit Calculation'!J$6,'Profit Calculation'!R$6+A733-1,'Profit Calculation'!Z$6)</f>
        <v>64345</v>
      </c>
      <c r="G733" s="364">
        <f ca="1">IF(Q$27=2,IF(LOOKUP(F733,X$1:X$35,X$1:X$35) = F733,ROUND(LOOKUP(LOOKUP(F733,X$1:X$35,A:A),Single!A$2:A$107,Table13[Saving]),0),IF( LOOKUP(F733,W$1:W$35,W$1:W$35) =
 F733,ROUND(G732*(1+IF($Q$18&lt;6,$R$14,IF($Q$18&lt;11,$R$15,$R$16)))^(1/12),0),G732*(1+IF($Q$18&lt;6,$R$14,IF($Q$18&lt;11,$R$15,$R$16)))^(1/12))),IF(LOOKUP(F733,X$1:X$35,X$1:X$35) = F733,ROUND(LOOKUP(LOOKUP(F733,X$1:X$35,A:A),'Annual Calculation'!A$2:A$107,Table1[Saving]),0),IF( LOOKUP(F733,W$1:W$35,W$1:W$35) =
 F733,ROUND(G732*(1+IF($Q$18&lt;6,$R$14,IF($Q$18&lt;11,$R$15,$R$16)))^(1/12),0),G732*(1+IF($Q$18&lt;6,$R$14,IF($Q$18&lt;11,$R$15,$R$16)))^(1/12))))</f>
        <v>0</v>
      </c>
    </row>
    <row r="734" spans="1:7">
      <c r="A734" s="348">
        <f t="shared" si="24"/>
        <v>733</v>
      </c>
      <c r="B734" s="360">
        <f>DATE('Profit Calculation'!J$6,A$2,A$2+A734-1)</f>
        <v>42737</v>
      </c>
      <c r="D734" s="362">
        <f t="shared" ca="1" si="23"/>
        <v>113094255.56720628</v>
      </c>
      <c r="F734" s="363">
        <f>DATE('Profit Calculation'!J$6,'Profit Calculation'!R$6+A734-1,'Profit Calculation'!Z$6)</f>
        <v>64376</v>
      </c>
      <c r="G734" s="364">
        <f ca="1">IF(Q$27=2,IF(LOOKUP(F734,X$1:X$35,X$1:X$35) = F734,ROUND(LOOKUP(LOOKUP(F734,X$1:X$35,A:A),Single!A$2:A$107,Table13[Saving]),0),IF( LOOKUP(F734,W$1:W$35,W$1:W$35) =
 F734,ROUND(G733*(1+IF($Q$18&lt;6,$R$14,IF($Q$18&lt;11,$R$15,$R$16)))^(1/12),0),G733*(1+IF($Q$18&lt;6,$R$14,IF($Q$18&lt;11,$R$15,$R$16)))^(1/12))),IF(LOOKUP(F734,X$1:X$35,X$1:X$35) = F734,ROUND(LOOKUP(LOOKUP(F734,X$1:X$35,A:A),'Annual Calculation'!A$2:A$107,Table1[Saving]),0),IF( LOOKUP(F734,W$1:W$35,W$1:W$35) =
 F734,ROUND(G733*(1+IF($Q$18&lt;6,$R$14,IF($Q$18&lt;11,$R$15,$R$16)))^(1/12),0),G733*(1+IF($Q$18&lt;6,$R$14,IF($Q$18&lt;11,$R$15,$R$16)))^(1/12))))</f>
        <v>0</v>
      </c>
    </row>
    <row r="735" spans="1:7">
      <c r="A735" s="348">
        <f t="shared" si="24"/>
        <v>734</v>
      </c>
      <c r="B735" s="360">
        <f>DATE('Profit Calculation'!J$6,A$2,A$2+A735-1)</f>
        <v>42738</v>
      </c>
      <c r="D735" s="362">
        <f t="shared" ca="1" si="23"/>
        <v>113137568.71625094</v>
      </c>
      <c r="F735" s="363">
        <f>DATE('Profit Calculation'!J$6,'Profit Calculation'!R$6+A735-1,'Profit Calculation'!Z$6)</f>
        <v>64406</v>
      </c>
      <c r="G735" s="364">
        <f ca="1">IF(Q$27=2,IF(LOOKUP(F735,X$1:X$35,X$1:X$35) = F735,ROUND(LOOKUP(LOOKUP(F735,X$1:X$35,A:A),Single!A$2:A$107,Table13[Saving]),0),IF( LOOKUP(F735,W$1:W$35,W$1:W$35) =
 F735,ROUND(G734*(1+IF($Q$18&lt;6,$R$14,IF($Q$18&lt;11,$R$15,$R$16)))^(1/12),0),G734*(1+IF($Q$18&lt;6,$R$14,IF($Q$18&lt;11,$R$15,$R$16)))^(1/12))),IF(LOOKUP(F735,X$1:X$35,X$1:X$35) = F735,ROUND(LOOKUP(LOOKUP(F735,X$1:X$35,A:A),'Annual Calculation'!A$2:A$107,Table1[Saving]),0),IF( LOOKUP(F735,W$1:W$35,W$1:W$35) =
 F735,ROUND(G734*(1+IF($Q$18&lt;6,$R$14,IF($Q$18&lt;11,$R$15,$R$16)))^(1/12),0),G734*(1+IF($Q$18&lt;6,$R$14,IF($Q$18&lt;11,$R$15,$R$16)))^(1/12))))</f>
        <v>0</v>
      </c>
    </row>
    <row r="736" spans="1:7">
      <c r="A736" s="348">
        <f t="shared" si="24"/>
        <v>735</v>
      </c>
      <c r="B736" s="360">
        <f>DATE('Profit Calculation'!J$6,A$2,A$2+A736-1)</f>
        <v>42739</v>
      </c>
      <c r="D736" s="362">
        <f t="shared" ca="1" si="23"/>
        <v>113180898.45348455</v>
      </c>
      <c r="F736" s="363">
        <f>DATE('Profit Calculation'!J$6,'Profit Calculation'!R$6+A736-1,'Profit Calculation'!Z$6)</f>
        <v>64437</v>
      </c>
      <c r="G736" s="364">
        <f ca="1">IF(Q$27=2,IF(LOOKUP(F736,X$1:X$35,X$1:X$35) = F736,ROUND(LOOKUP(LOOKUP(F736,X$1:X$35,A:A),Single!A$2:A$107,Table13[Saving]),0),IF( LOOKUP(F736,W$1:W$35,W$1:W$35) =
 F736,ROUND(G735*(1+IF($Q$18&lt;6,$R$14,IF($Q$18&lt;11,$R$15,$R$16)))^(1/12),0),G735*(1+IF($Q$18&lt;6,$R$14,IF($Q$18&lt;11,$R$15,$R$16)))^(1/12))),IF(LOOKUP(F736,X$1:X$35,X$1:X$35) = F736,ROUND(LOOKUP(LOOKUP(F736,X$1:X$35,A:A),'Annual Calculation'!A$2:A$107,Table1[Saving]),0),IF( LOOKUP(F736,W$1:W$35,W$1:W$35) =
 F736,ROUND(G735*(1+IF($Q$18&lt;6,$R$14,IF($Q$18&lt;11,$R$15,$R$16)))^(1/12),0),G735*(1+IF($Q$18&lt;6,$R$14,IF($Q$18&lt;11,$R$15,$R$16)))^(1/12))))</f>
        <v>0</v>
      </c>
    </row>
    <row r="737" spans="1:7">
      <c r="A737" s="348">
        <f t="shared" si="24"/>
        <v>736</v>
      </c>
      <c r="B737" s="360">
        <f>DATE('Profit Calculation'!J$6,A$2,A$2+A737-1)</f>
        <v>42740</v>
      </c>
      <c r="D737" s="362">
        <f t="shared" ca="1" si="23"/>
        <v>113224244.7852601</v>
      </c>
      <c r="F737" s="363">
        <f>DATE('Profit Calculation'!J$6,'Profit Calculation'!R$6+A737-1,'Profit Calculation'!Z$6)</f>
        <v>64467</v>
      </c>
      <c r="G737" s="364">
        <f ca="1">IF(Q$27=2,IF(LOOKUP(F737,X$1:X$35,X$1:X$35) = F737,ROUND(LOOKUP(LOOKUP(F737,X$1:X$35,A:A),Single!A$2:A$107,Table13[Saving]),0),IF( LOOKUP(F737,W$1:W$35,W$1:W$35) =
 F737,ROUND(G736*(1+IF($Q$18&lt;6,$R$14,IF($Q$18&lt;11,$R$15,$R$16)))^(1/12),0),G736*(1+IF($Q$18&lt;6,$R$14,IF($Q$18&lt;11,$R$15,$R$16)))^(1/12))),IF(LOOKUP(F737,X$1:X$35,X$1:X$35) = F737,ROUND(LOOKUP(LOOKUP(F737,X$1:X$35,A:A),'Annual Calculation'!A$2:A$107,Table1[Saving]),0),IF( LOOKUP(F737,W$1:W$35,W$1:W$35) =
 F737,ROUND(G736*(1+IF($Q$18&lt;6,$R$14,IF($Q$18&lt;11,$R$15,$R$16)))^(1/12),0),G736*(1+IF($Q$18&lt;6,$R$14,IF($Q$18&lt;11,$R$15,$R$16)))^(1/12))))</f>
        <v>0</v>
      </c>
    </row>
    <row r="738" spans="1:7">
      <c r="A738" s="348">
        <f t="shared" si="24"/>
        <v>737</v>
      </c>
      <c r="B738" s="360">
        <f>DATE('Profit Calculation'!J$6,A$2,A$2+A738-1)</f>
        <v>42741</v>
      </c>
      <c r="D738" s="362">
        <f t="shared" ca="1" si="23"/>
        <v>113267607.71793301</v>
      </c>
      <c r="F738" s="363">
        <f>DATE('Profit Calculation'!J$6,'Profit Calculation'!R$6+A738-1,'Profit Calculation'!Z$6)</f>
        <v>64498</v>
      </c>
      <c r="G738" s="364">
        <f ca="1">IF(Q$27=2,IF(LOOKUP(F738,X$1:X$35,X$1:X$35) = F738,ROUND(LOOKUP(LOOKUP(F738,X$1:X$35,A:A),Single!A$2:A$107,Table13[Saving]),0),IF( LOOKUP(F738,W$1:W$35,W$1:W$35) =
 F738,ROUND(G737*(1+IF($Q$18&lt;6,$R$14,IF($Q$18&lt;11,$R$15,$R$16)))^(1/12),0),G737*(1+IF($Q$18&lt;6,$R$14,IF($Q$18&lt;11,$R$15,$R$16)))^(1/12))),IF(LOOKUP(F738,X$1:X$35,X$1:X$35) = F738,ROUND(LOOKUP(LOOKUP(F738,X$1:X$35,A:A),'Annual Calculation'!A$2:A$107,Table1[Saving]),0),IF( LOOKUP(F738,W$1:W$35,W$1:W$35) =
 F738,ROUND(G737*(1+IF($Q$18&lt;6,$R$14,IF($Q$18&lt;11,$R$15,$R$16)))^(1/12),0),G737*(1+IF($Q$18&lt;6,$R$14,IF($Q$18&lt;11,$R$15,$R$16)))^(1/12))))</f>
        <v>0</v>
      </c>
    </row>
    <row r="739" spans="1:7">
      <c r="A739" s="348">
        <f t="shared" si="24"/>
        <v>738</v>
      </c>
      <c r="B739" s="360">
        <f>DATE('Profit Calculation'!J$6,A$2,A$2+A739-1)</f>
        <v>42742</v>
      </c>
      <c r="D739" s="362">
        <f t="shared" ca="1" si="23"/>
        <v>113310987.25786115</v>
      </c>
      <c r="F739" s="363">
        <f>DATE('Profit Calculation'!J$6,'Profit Calculation'!R$6+A739-1,'Profit Calculation'!Z$6)</f>
        <v>64529</v>
      </c>
      <c r="G739" s="364">
        <f ca="1">IF(Q$27=2,IF(LOOKUP(F739,X$1:X$35,X$1:X$35) = F739,ROUND(LOOKUP(LOOKUP(F739,X$1:X$35,A:A),Single!A$2:A$107,Table13[Saving]),0),IF( LOOKUP(F739,W$1:W$35,W$1:W$35) =
 F739,ROUND(G738*(1+IF($Q$18&lt;6,$R$14,IF($Q$18&lt;11,$R$15,$R$16)))^(1/12),0),G738*(1+IF($Q$18&lt;6,$R$14,IF($Q$18&lt;11,$R$15,$R$16)))^(1/12))),IF(LOOKUP(F739,X$1:X$35,X$1:X$35) = F739,ROUND(LOOKUP(LOOKUP(F739,X$1:X$35,A:A),'Annual Calculation'!A$2:A$107,Table1[Saving]),0),IF( LOOKUP(F739,W$1:W$35,W$1:W$35) =
 F739,ROUND(G738*(1+IF($Q$18&lt;6,$R$14,IF($Q$18&lt;11,$R$15,$R$16)))^(1/12),0),G738*(1+IF($Q$18&lt;6,$R$14,IF($Q$18&lt;11,$R$15,$R$16)))^(1/12))))</f>
        <v>0</v>
      </c>
    </row>
    <row r="740" spans="1:7">
      <c r="A740" s="348">
        <f t="shared" si="24"/>
        <v>739</v>
      </c>
      <c r="B740" s="360">
        <f>DATE('Profit Calculation'!J$6,A$2,A$2+A740-1)</f>
        <v>42743</v>
      </c>
      <c r="D740" s="362">
        <f t="shared" ca="1" si="23"/>
        <v>113354383.41140479</v>
      </c>
      <c r="F740" s="363">
        <f>DATE('Profit Calculation'!J$6,'Profit Calculation'!R$6+A740-1,'Profit Calculation'!Z$6)</f>
        <v>64559</v>
      </c>
      <c r="G740" s="364">
        <f ca="1">IF(Q$27=2,IF(LOOKUP(F740,X$1:X$35,X$1:X$35) = F740,ROUND(LOOKUP(LOOKUP(F740,X$1:X$35,A:A),Single!A$2:A$107,Table13[Saving]),0),IF( LOOKUP(F740,W$1:W$35,W$1:W$35) =
 F740,ROUND(G739*(1+IF($Q$18&lt;6,$R$14,IF($Q$18&lt;11,$R$15,$R$16)))^(1/12),0),G739*(1+IF($Q$18&lt;6,$R$14,IF($Q$18&lt;11,$R$15,$R$16)))^(1/12))),IF(LOOKUP(F740,X$1:X$35,X$1:X$35) = F740,ROUND(LOOKUP(LOOKUP(F740,X$1:X$35,A:A),'Annual Calculation'!A$2:A$107,Table1[Saving]),0),IF( LOOKUP(F740,W$1:W$35,W$1:W$35) =
 F740,ROUND(G739*(1+IF($Q$18&lt;6,$R$14,IF($Q$18&lt;11,$R$15,$R$16)))^(1/12),0),G739*(1+IF($Q$18&lt;6,$R$14,IF($Q$18&lt;11,$R$15,$R$16)))^(1/12))))</f>
        <v>0</v>
      </c>
    </row>
    <row r="741" spans="1:7">
      <c r="A741" s="348">
        <f t="shared" si="24"/>
        <v>740</v>
      </c>
      <c r="B741" s="360">
        <f>DATE('Profit Calculation'!J$6,A$2,A$2+A741-1)</f>
        <v>42744</v>
      </c>
      <c r="D741" s="362">
        <f t="shared" ca="1" si="23"/>
        <v>113397796.18492667</v>
      </c>
      <c r="F741" s="363">
        <f>DATE('Profit Calculation'!J$6,'Profit Calculation'!R$6+A741-1,'Profit Calculation'!Z$6)</f>
        <v>64590</v>
      </c>
      <c r="G741" s="364">
        <f ca="1">IF(Q$27=2,IF(LOOKUP(F741,X$1:X$35,X$1:X$35) = F741,ROUND(LOOKUP(LOOKUP(F741,X$1:X$35,A:A),Single!A$2:A$107,Table13[Saving]),0),IF( LOOKUP(F741,W$1:W$35,W$1:W$35) =
 F741,ROUND(G740*(1+IF($Q$18&lt;6,$R$14,IF($Q$18&lt;11,$R$15,$R$16)))^(1/12),0),G740*(1+IF($Q$18&lt;6,$R$14,IF($Q$18&lt;11,$R$15,$R$16)))^(1/12))),IF(LOOKUP(F741,X$1:X$35,X$1:X$35) = F741,ROUND(LOOKUP(LOOKUP(F741,X$1:X$35,A:A),'Annual Calculation'!A$2:A$107,Table1[Saving]),0),IF( LOOKUP(F741,W$1:W$35,W$1:W$35) =
 F741,ROUND(G740*(1+IF($Q$18&lt;6,$R$14,IF($Q$18&lt;11,$R$15,$R$16)))^(1/12),0),G740*(1+IF($Q$18&lt;6,$R$14,IF($Q$18&lt;11,$R$15,$R$16)))^(1/12))))</f>
        <v>0</v>
      </c>
    </row>
    <row r="742" spans="1:7">
      <c r="A742" s="348">
        <f t="shared" si="24"/>
        <v>741</v>
      </c>
      <c r="B742" s="360">
        <f>DATE('Profit Calculation'!J$6,A$2,A$2+A742-1)</f>
        <v>42745</v>
      </c>
      <c r="D742" s="362">
        <f t="shared" ca="1" si="23"/>
        <v>113441225.58479196</v>
      </c>
      <c r="F742" s="363">
        <f>DATE('Profit Calculation'!J$6,'Profit Calculation'!R$6+A742-1,'Profit Calculation'!Z$6)</f>
        <v>64620</v>
      </c>
      <c r="G742" s="364">
        <f ca="1">IF(Q$27=2,IF(LOOKUP(F742,X$1:X$35,X$1:X$35) = F742,ROUND(LOOKUP(LOOKUP(F742,X$1:X$35,A:A),Single!A$2:A$107,Table13[Saving]),0),IF( LOOKUP(F742,W$1:W$35,W$1:W$35) =
 F742,ROUND(G741*(1+IF($Q$18&lt;6,$R$14,IF($Q$18&lt;11,$R$15,$R$16)))^(1/12),0),G741*(1+IF($Q$18&lt;6,$R$14,IF($Q$18&lt;11,$R$15,$R$16)))^(1/12))),IF(LOOKUP(F742,X$1:X$35,X$1:X$35) = F742,ROUND(LOOKUP(LOOKUP(F742,X$1:X$35,A:A),'Annual Calculation'!A$2:A$107,Table1[Saving]),0),IF( LOOKUP(F742,W$1:W$35,W$1:W$35) =
 F742,ROUND(G741*(1+IF($Q$18&lt;6,$R$14,IF($Q$18&lt;11,$R$15,$R$16)))^(1/12),0),G741*(1+IF($Q$18&lt;6,$R$14,IF($Q$18&lt;11,$R$15,$R$16)))^(1/12))))</f>
        <v>0</v>
      </c>
    </row>
    <row r="743" spans="1:7">
      <c r="A743" s="348">
        <f t="shared" si="24"/>
        <v>742</v>
      </c>
      <c r="B743" s="360">
        <f>DATE('Profit Calculation'!J$6,A$2,A$2+A743-1)</f>
        <v>42746</v>
      </c>
      <c r="D743" s="362">
        <f t="shared" ca="1" si="23"/>
        <v>113484671.61736825</v>
      </c>
      <c r="F743" s="363">
        <f>DATE('Profit Calculation'!J$6,'Profit Calculation'!R$6+A743-1,'Profit Calculation'!Z$6)</f>
        <v>64651</v>
      </c>
      <c r="G743" s="364">
        <f ca="1">IF(Q$27=2,IF(LOOKUP(F743,X$1:X$35,X$1:X$35) = F743,ROUND(LOOKUP(LOOKUP(F743,X$1:X$35,A:A),Single!A$2:A$107,Table13[Saving]),0),IF( LOOKUP(F743,W$1:W$35,W$1:W$35) =
 F743,ROUND(G742*(1+IF($Q$18&lt;6,$R$14,IF($Q$18&lt;11,$R$15,$R$16)))^(1/12),0),G742*(1+IF($Q$18&lt;6,$R$14,IF($Q$18&lt;11,$R$15,$R$16)))^(1/12))),IF(LOOKUP(F743,X$1:X$35,X$1:X$35) = F743,ROUND(LOOKUP(LOOKUP(F743,X$1:X$35,A:A),'Annual Calculation'!A$2:A$107,Table1[Saving]),0),IF( LOOKUP(F743,W$1:W$35,W$1:W$35) =
 F743,ROUND(G742*(1+IF($Q$18&lt;6,$R$14,IF($Q$18&lt;11,$R$15,$R$16)))^(1/12),0),G742*(1+IF($Q$18&lt;6,$R$14,IF($Q$18&lt;11,$R$15,$R$16)))^(1/12))))</f>
        <v>0</v>
      </c>
    </row>
    <row r="744" spans="1:7">
      <c r="A744" s="348">
        <f t="shared" si="24"/>
        <v>743</v>
      </c>
      <c r="B744" s="360">
        <f>DATE('Profit Calculation'!J$6,A$2,A$2+A744-1)</f>
        <v>42747</v>
      </c>
      <c r="D744" s="362">
        <f t="shared" ca="1" si="23"/>
        <v>113528134.28902559</v>
      </c>
      <c r="F744" s="363">
        <f>DATE('Profit Calculation'!J$6,'Profit Calculation'!R$6+A744-1,'Profit Calculation'!Z$6)</f>
        <v>64682</v>
      </c>
      <c r="G744" s="364">
        <f ca="1">IF(Q$27=2,IF(LOOKUP(F744,X$1:X$35,X$1:X$35) = F744,ROUND(LOOKUP(LOOKUP(F744,X$1:X$35,A:A),Single!A$2:A$107,Table13[Saving]),0),IF( LOOKUP(F744,W$1:W$35,W$1:W$35) =
 F744,ROUND(G743*(1+IF($Q$18&lt;6,$R$14,IF($Q$18&lt;11,$R$15,$R$16)))^(1/12),0),G743*(1+IF($Q$18&lt;6,$R$14,IF($Q$18&lt;11,$R$15,$R$16)))^(1/12))),IF(LOOKUP(F744,X$1:X$35,X$1:X$35) = F744,ROUND(LOOKUP(LOOKUP(F744,X$1:X$35,A:A),'Annual Calculation'!A$2:A$107,Table1[Saving]),0),IF( LOOKUP(F744,W$1:W$35,W$1:W$35) =
 F744,ROUND(G743*(1+IF($Q$18&lt;6,$R$14,IF($Q$18&lt;11,$R$15,$R$16)))^(1/12),0),G743*(1+IF($Q$18&lt;6,$R$14,IF($Q$18&lt;11,$R$15,$R$16)))^(1/12))))</f>
        <v>0</v>
      </c>
    </row>
    <row r="745" spans="1:7">
      <c r="A745" s="348">
        <f t="shared" si="24"/>
        <v>744</v>
      </c>
      <c r="B745" s="360">
        <f>DATE('Profit Calculation'!J$6,A$2,A$2+A745-1)</f>
        <v>42748</v>
      </c>
      <c r="D745" s="362">
        <f t="shared" ca="1" si="23"/>
        <v>113571613.60613646</v>
      </c>
      <c r="F745" s="363">
        <f>DATE('Profit Calculation'!J$6,'Profit Calculation'!R$6+A745-1,'Profit Calculation'!Z$6)</f>
        <v>64710</v>
      </c>
      <c r="G745" s="364">
        <f ca="1">IF(Q$27=2,IF(LOOKUP(F745,X$1:X$35,X$1:X$35) = F745,ROUND(LOOKUP(LOOKUP(F745,X$1:X$35,A:A),Single!A$2:A$107,Table13[Saving]),0),IF( LOOKUP(F745,W$1:W$35,W$1:W$35) =
 F745,ROUND(G744*(1+IF($Q$18&lt;6,$R$14,IF($Q$18&lt;11,$R$15,$R$16)))^(1/12),0),G744*(1+IF($Q$18&lt;6,$R$14,IF($Q$18&lt;11,$R$15,$R$16)))^(1/12))),IF(LOOKUP(F745,X$1:X$35,X$1:X$35) = F745,ROUND(LOOKUP(LOOKUP(F745,X$1:X$35,A:A),'Annual Calculation'!A$2:A$107,Table1[Saving]),0),IF( LOOKUP(F745,W$1:W$35,W$1:W$35) =
 F745,ROUND(G744*(1+IF($Q$18&lt;6,$R$14,IF($Q$18&lt;11,$R$15,$R$16)))^(1/12),0),G744*(1+IF($Q$18&lt;6,$R$14,IF($Q$18&lt;11,$R$15,$R$16)))^(1/12))))</f>
        <v>0</v>
      </c>
    </row>
    <row r="746" spans="1:7">
      <c r="A746" s="348">
        <f t="shared" si="24"/>
        <v>745</v>
      </c>
      <c r="B746" s="360">
        <f>DATE('Profit Calculation'!J$6,A$2,A$2+A746-1)</f>
        <v>42749</v>
      </c>
      <c r="D746" s="362">
        <f t="shared" ca="1" si="23"/>
        <v>113615109.57507578</v>
      </c>
      <c r="F746" s="363">
        <f>DATE('Profit Calculation'!J$6,'Profit Calculation'!R$6+A746-1,'Profit Calculation'!Z$6)</f>
        <v>64741</v>
      </c>
      <c r="G746" s="364">
        <f ca="1">IF(Q$27=2,IF(LOOKUP(F746,X$1:X$35,X$1:X$35) = F746,ROUND(LOOKUP(LOOKUP(F746,X$1:X$35,A:A),Single!A$2:A$107,Table13[Saving]),0),IF( LOOKUP(F746,W$1:W$35,W$1:W$35) =
 F746,ROUND(G745*(1+IF($Q$18&lt;6,$R$14,IF($Q$18&lt;11,$R$15,$R$16)))^(1/12),0),G745*(1+IF($Q$18&lt;6,$R$14,IF($Q$18&lt;11,$R$15,$R$16)))^(1/12))),IF(LOOKUP(F746,X$1:X$35,X$1:X$35) = F746,ROUND(LOOKUP(LOOKUP(F746,X$1:X$35,A:A),'Annual Calculation'!A$2:A$107,Table1[Saving]),0),IF( LOOKUP(F746,W$1:W$35,W$1:W$35) =
 F746,ROUND(G745*(1+IF($Q$18&lt;6,$R$14,IF($Q$18&lt;11,$R$15,$R$16)))^(1/12),0),G745*(1+IF($Q$18&lt;6,$R$14,IF($Q$18&lt;11,$R$15,$R$16)))^(1/12))))</f>
        <v>0</v>
      </c>
    </row>
    <row r="747" spans="1:7">
      <c r="A747" s="348">
        <f t="shared" si="24"/>
        <v>746</v>
      </c>
      <c r="B747" s="360">
        <f>DATE('Profit Calculation'!J$6,A$2,A$2+A747-1)</f>
        <v>42750</v>
      </c>
      <c r="D747" s="362">
        <f t="shared" ca="1" si="23"/>
        <v>113658622.2022209</v>
      </c>
      <c r="F747" s="363">
        <f>DATE('Profit Calculation'!J$6,'Profit Calculation'!R$6+A747-1,'Profit Calculation'!Z$6)</f>
        <v>64771</v>
      </c>
      <c r="G747" s="364">
        <f ca="1">IF(Q$27=2,IF(LOOKUP(F747,X$1:X$35,X$1:X$35) = F747,ROUND(LOOKUP(LOOKUP(F747,X$1:X$35,A:A),Single!A$2:A$107,Table13[Saving]),0),IF( LOOKUP(F747,W$1:W$35,W$1:W$35) =
 F747,ROUND(G746*(1+IF($Q$18&lt;6,$R$14,IF($Q$18&lt;11,$R$15,$R$16)))^(1/12),0),G746*(1+IF($Q$18&lt;6,$R$14,IF($Q$18&lt;11,$R$15,$R$16)))^(1/12))),IF(LOOKUP(F747,X$1:X$35,X$1:X$35) = F747,ROUND(LOOKUP(LOOKUP(F747,X$1:X$35,A:A),'Annual Calculation'!A$2:A$107,Table1[Saving]),0),IF( LOOKUP(F747,W$1:W$35,W$1:W$35) =
 F747,ROUND(G746*(1+IF($Q$18&lt;6,$R$14,IF($Q$18&lt;11,$R$15,$R$16)))^(1/12),0),G746*(1+IF($Q$18&lt;6,$R$14,IF($Q$18&lt;11,$R$15,$R$16)))^(1/12))))</f>
        <v>0</v>
      </c>
    </row>
    <row r="748" spans="1:7">
      <c r="A748" s="348">
        <f t="shared" si="24"/>
        <v>747</v>
      </c>
      <c r="B748" s="360">
        <f>DATE('Profit Calculation'!J$6,A$2,A$2+A748-1)</f>
        <v>42751</v>
      </c>
      <c r="D748" s="362">
        <f t="shared" ca="1" si="23"/>
        <v>113702151.49395165</v>
      </c>
      <c r="F748" s="363">
        <f>DATE('Profit Calculation'!J$6,'Profit Calculation'!R$6+A748-1,'Profit Calculation'!Z$6)</f>
        <v>64802</v>
      </c>
      <c r="G748" s="364">
        <f ca="1">IF(Q$27=2,IF(LOOKUP(F748,X$1:X$35,X$1:X$35) = F748,ROUND(LOOKUP(LOOKUP(F748,X$1:X$35,A:A),Single!A$2:A$107,Table13[Saving]),0),IF( LOOKUP(F748,W$1:W$35,W$1:W$35) =
 F748,ROUND(G747*(1+IF($Q$18&lt;6,$R$14,IF($Q$18&lt;11,$R$15,$R$16)))^(1/12),0),G747*(1+IF($Q$18&lt;6,$R$14,IF($Q$18&lt;11,$R$15,$R$16)))^(1/12))),IF(LOOKUP(F748,X$1:X$35,X$1:X$35) = F748,ROUND(LOOKUP(LOOKUP(F748,X$1:X$35,A:A),'Annual Calculation'!A$2:A$107,Table1[Saving]),0),IF( LOOKUP(F748,W$1:W$35,W$1:W$35) =
 F748,ROUND(G747*(1+IF($Q$18&lt;6,$R$14,IF($Q$18&lt;11,$R$15,$R$16)))^(1/12),0),G747*(1+IF($Q$18&lt;6,$R$14,IF($Q$18&lt;11,$R$15,$R$16)))^(1/12))))</f>
        <v>0</v>
      </c>
    </row>
    <row r="749" spans="1:7">
      <c r="A749" s="348">
        <f t="shared" si="24"/>
        <v>748</v>
      </c>
      <c r="B749" s="360">
        <f>DATE('Profit Calculation'!J$6,A$2,A$2+A749-1)</f>
        <v>42752</v>
      </c>
      <c r="D749" s="362">
        <f t="shared" ca="1" si="23"/>
        <v>113745697.45665026</v>
      </c>
      <c r="F749" s="363">
        <f>DATE('Profit Calculation'!J$6,'Profit Calculation'!R$6+A749-1,'Profit Calculation'!Z$6)</f>
        <v>64832</v>
      </c>
      <c r="G749" s="364">
        <f ca="1">IF(Q$27=2,IF(LOOKUP(F749,X$1:X$35,X$1:X$35) = F749,ROUND(LOOKUP(LOOKUP(F749,X$1:X$35,A:A),Single!A$2:A$107,Table13[Saving]),0),IF( LOOKUP(F749,W$1:W$35,W$1:W$35) =
 F749,ROUND(G748*(1+IF($Q$18&lt;6,$R$14,IF($Q$18&lt;11,$R$15,$R$16)))^(1/12),0),G748*(1+IF($Q$18&lt;6,$R$14,IF($Q$18&lt;11,$R$15,$R$16)))^(1/12))),IF(LOOKUP(F749,X$1:X$35,X$1:X$35) = F749,ROUND(LOOKUP(LOOKUP(F749,X$1:X$35,A:A),'Annual Calculation'!A$2:A$107,Table1[Saving]),0),IF( LOOKUP(F749,W$1:W$35,W$1:W$35) =
 F749,ROUND(G748*(1+IF($Q$18&lt;6,$R$14,IF($Q$18&lt;11,$R$15,$R$16)))^(1/12),0),G748*(1+IF($Q$18&lt;6,$R$14,IF($Q$18&lt;11,$R$15,$R$16)))^(1/12))))</f>
        <v>0</v>
      </c>
    </row>
    <row r="750" spans="1:7">
      <c r="A750" s="348">
        <f t="shared" si="24"/>
        <v>749</v>
      </c>
      <c r="B750" s="360">
        <f>DATE('Profit Calculation'!J$6,A$2,A$2+A750-1)</f>
        <v>42753</v>
      </c>
      <c r="D750" s="362">
        <f t="shared" ca="1" si="23"/>
        <v>113789260.09670143</v>
      </c>
      <c r="F750" s="363">
        <f>DATE('Profit Calculation'!J$6,'Profit Calculation'!R$6+A750-1,'Profit Calculation'!Z$6)</f>
        <v>64863</v>
      </c>
      <c r="G750" s="364">
        <f ca="1">IF(Q$27=2,IF(LOOKUP(F750,X$1:X$35,X$1:X$35) = F750,ROUND(LOOKUP(LOOKUP(F750,X$1:X$35,A:A),Single!A$2:A$107,Table13[Saving]),0),IF( LOOKUP(F750,W$1:W$35,W$1:W$35) =
 F750,ROUND(G749*(1+IF($Q$18&lt;6,$R$14,IF($Q$18&lt;11,$R$15,$R$16)))^(1/12),0),G749*(1+IF($Q$18&lt;6,$R$14,IF($Q$18&lt;11,$R$15,$R$16)))^(1/12))),IF(LOOKUP(F750,X$1:X$35,X$1:X$35) = F750,ROUND(LOOKUP(LOOKUP(F750,X$1:X$35,A:A),'Annual Calculation'!A$2:A$107,Table1[Saving]),0),IF( LOOKUP(F750,W$1:W$35,W$1:W$35) =
 F750,ROUND(G749*(1+IF($Q$18&lt;6,$R$14,IF($Q$18&lt;11,$R$15,$R$16)))^(1/12),0),G749*(1+IF($Q$18&lt;6,$R$14,IF($Q$18&lt;11,$R$15,$R$16)))^(1/12))))</f>
        <v>0</v>
      </c>
    </row>
    <row r="751" spans="1:7">
      <c r="A751" s="348">
        <f t="shared" si="24"/>
        <v>750</v>
      </c>
      <c r="B751" s="360">
        <f>DATE('Profit Calculation'!J$6,A$2,A$2+A751-1)</f>
        <v>42754</v>
      </c>
      <c r="D751" s="362">
        <f t="shared" ca="1" si="23"/>
        <v>113832839.42049231</v>
      </c>
      <c r="F751" s="363">
        <f>DATE('Profit Calculation'!J$6,'Profit Calculation'!R$6+A751-1,'Profit Calculation'!Z$6)</f>
        <v>64894</v>
      </c>
      <c r="G751" s="364">
        <f ca="1">IF(Q$27=2,IF(LOOKUP(F751,X$1:X$35,X$1:X$35) = F751,ROUND(LOOKUP(LOOKUP(F751,X$1:X$35,A:A),Single!A$2:A$107,Table13[Saving]),0),IF( LOOKUP(F751,W$1:W$35,W$1:W$35) =
 F751,ROUND(G750*(1+IF($Q$18&lt;6,$R$14,IF($Q$18&lt;11,$R$15,$R$16)))^(1/12),0),G750*(1+IF($Q$18&lt;6,$R$14,IF($Q$18&lt;11,$R$15,$R$16)))^(1/12))),IF(LOOKUP(F751,X$1:X$35,X$1:X$35) = F751,ROUND(LOOKUP(LOOKUP(F751,X$1:X$35,A:A),'Annual Calculation'!A$2:A$107,Table1[Saving]),0),IF( LOOKUP(F751,W$1:W$35,W$1:W$35) =
 F751,ROUND(G750*(1+IF($Q$18&lt;6,$R$14,IF($Q$18&lt;11,$R$15,$R$16)))^(1/12),0),G750*(1+IF($Q$18&lt;6,$R$14,IF($Q$18&lt;11,$R$15,$R$16)))^(1/12))))</f>
        <v>0</v>
      </c>
    </row>
    <row r="752" spans="1:7">
      <c r="A752" s="348">
        <f t="shared" si="24"/>
        <v>751</v>
      </c>
      <c r="B752" s="360">
        <f>DATE('Profit Calculation'!J$6,A$2,A$2+A752-1)</f>
        <v>42755</v>
      </c>
      <c r="D752" s="362">
        <f t="shared" ca="1" si="23"/>
        <v>113876435.43441246</v>
      </c>
      <c r="F752" s="363">
        <f>DATE('Profit Calculation'!J$6,'Profit Calculation'!R$6+A752-1,'Profit Calculation'!Z$6)</f>
        <v>64924</v>
      </c>
      <c r="G752" s="364">
        <f ca="1">IF(Q$27=2,IF(LOOKUP(F752,X$1:X$35,X$1:X$35) = F752,ROUND(LOOKUP(LOOKUP(F752,X$1:X$35,A:A),Single!A$2:A$107,Table13[Saving]),0),IF( LOOKUP(F752,W$1:W$35,W$1:W$35) =
 F752,ROUND(G751*(1+IF($Q$18&lt;6,$R$14,IF($Q$18&lt;11,$R$15,$R$16)))^(1/12),0),G751*(1+IF($Q$18&lt;6,$R$14,IF($Q$18&lt;11,$R$15,$R$16)))^(1/12))),IF(LOOKUP(F752,X$1:X$35,X$1:X$35) = F752,ROUND(LOOKUP(LOOKUP(F752,X$1:X$35,A:A),'Annual Calculation'!A$2:A$107,Table1[Saving]),0),IF( LOOKUP(F752,W$1:W$35,W$1:W$35) =
 F752,ROUND(G751*(1+IF($Q$18&lt;6,$R$14,IF($Q$18&lt;11,$R$15,$R$16)))^(1/12),0),G751*(1+IF($Q$18&lt;6,$R$14,IF($Q$18&lt;11,$R$15,$R$16)))^(1/12))))</f>
        <v>0</v>
      </c>
    </row>
    <row r="753" spans="1:7">
      <c r="A753" s="348">
        <f t="shared" si="24"/>
        <v>752</v>
      </c>
      <c r="B753" s="360">
        <f>DATE('Profit Calculation'!J$6,A$2,A$2+A753-1)</f>
        <v>42756</v>
      </c>
      <c r="D753" s="362">
        <f t="shared" ca="1" si="23"/>
        <v>113920048.14485393</v>
      </c>
      <c r="F753" s="363">
        <f>DATE('Profit Calculation'!J$6,'Profit Calculation'!R$6+A753-1,'Profit Calculation'!Z$6)</f>
        <v>64955</v>
      </c>
      <c r="G753" s="364">
        <f ca="1">IF(Q$27=2,IF(LOOKUP(F753,X$1:X$35,X$1:X$35) = F753,ROUND(LOOKUP(LOOKUP(F753,X$1:X$35,A:A),Single!A$2:A$107,Table13[Saving]),0),IF( LOOKUP(F753,W$1:W$35,W$1:W$35) =
 F753,ROUND(G752*(1+IF($Q$18&lt;6,$R$14,IF($Q$18&lt;11,$R$15,$R$16)))^(1/12),0),G752*(1+IF($Q$18&lt;6,$R$14,IF($Q$18&lt;11,$R$15,$R$16)))^(1/12))),IF(LOOKUP(F753,X$1:X$35,X$1:X$35) = F753,ROUND(LOOKUP(LOOKUP(F753,X$1:X$35,A:A),'Annual Calculation'!A$2:A$107,Table1[Saving]),0),IF( LOOKUP(F753,W$1:W$35,W$1:W$35) =
 F753,ROUND(G752*(1+IF($Q$18&lt;6,$R$14,IF($Q$18&lt;11,$R$15,$R$16)))^(1/12),0),G752*(1+IF($Q$18&lt;6,$R$14,IF($Q$18&lt;11,$R$15,$R$16)))^(1/12))))</f>
        <v>0</v>
      </c>
    </row>
    <row r="754" spans="1:7">
      <c r="A754" s="348">
        <f t="shared" si="24"/>
        <v>753</v>
      </c>
      <c r="B754" s="360">
        <f>DATE('Profit Calculation'!J$6,A$2,A$2+A754-1)</f>
        <v>42757</v>
      </c>
      <c r="D754" s="362">
        <f t="shared" ca="1" si="23"/>
        <v>113963677.55821121</v>
      </c>
      <c r="F754" s="363">
        <f>DATE('Profit Calculation'!J$6,'Profit Calculation'!R$6+A754-1,'Profit Calculation'!Z$6)</f>
        <v>64985</v>
      </c>
      <c r="G754" s="364">
        <f ca="1">IF(Q$27=2,IF(LOOKUP(F754,X$1:X$35,X$1:X$35) = F754,ROUND(LOOKUP(LOOKUP(F754,X$1:X$35,A:A),Single!A$2:A$107,Table13[Saving]),0),IF( LOOKUP(F754,W$1:W$35,W$1:W$35) =
 F754,ROUND(G753*(1+IF($Q$18&lt;6,$R$14,IF($Q$18&lt;11,$R$15,$R$16)))^(1/12),0),G753*(1+IF($Q$18&lt;6,$R$14,IF($Q$18&lt;11,$R$15,$R$16)))^(1/12))),IF(LOOKUP(F754,X$1:X$35,X$1:X$35) = F754,ROUND(LOOKUP(LOOKUP(F754,X$1:X$35,A:A),'Annual Calculation'!A$2:A$107,Table1[Saving]),0),IF( LOOKUP(F754,W$1:W$35,W$1:W$35) =
 F754,ROUND(G753*(1+IF($Q$18&lt;6,$R$14,IF($Q$18&lt;11,$R$15,$R$16)))^(1/12),0),G753*(1+IF($Q$18&lt;6,$R$14,IF($Q$18&lt;11,$R$15,$R$16)))^(1/12))))</f>
        <v>0</v>
      </c>
    </row>
    <row r="755" spans="1:7">
      <c r="A755" s="348">
        <f t="shared" si="24"/>
        <v>754</v>
      </c>
      <c r="B755" s="360">
        <f>DATE('Profit Calculation'!J$6,A$2,A$2+A755-1)</f>
        <v>42758</v>
      </c>
      <c r="D755" s="362">
        <f t="shared" ca="1" si="23"/>
        <v>114007323.6808812</v>
      </c>
      <c r="F755" s="363">
        <f>DATE('Profit Calculation'!J$6,'Profit Calculation'!R$6+A755-1,'Profit Calculation'!Z$6)</f>
        <v>65016</v>
      </c>
      <c r="G755" s="364">
        <f ca="1">IF(Q$27=2,IF(LOOKUP(F755,X$1:X$35,X$1:X$35) = F755,ROUND(LOOKUP(LOOKUP(F755,X$1:X$35,A:A),Single!A$2:A$107,Table13[Saving]),0),IF( LOOKUP(F755,W$1:W$35,W$1:W$35) =
 F755,ROUND(G754*(1+IF($Q$18&lt;6,$R$14,IF($Q$18&lt;11,$R$15,$R$16)))^(1/12),0),G754*(1+IF($Q$18&lt;6,$R$14,IF($Q$18&lt;11,$R$15,$R$16)))^(1/12))),IF(LOOKUP(F755,X$1:X$35,X$1:X$35) = F755,ROUND(LOOKUP(LOOKUP(F755,X$1:X$35,A:A),'Annual Calculation'!A$2:A$107,Table1[Saving]),0),IF( LOOKUP(F755,W$1:W$35,W$1:W$35) =
 F755,ROUND(G754*(1+IF($Q$18&lt;6,$R$14,IF($Q$18&lt;11,$R$15,$R$16)))^(1/12),0),G754*(1+IF($Q$18&lt;6,$R$14,IF($Q$18&lt;11,$R$15,$R$16)))^(1/12))))</f>
        <v>0</v>
      </c>
    </row>
    <row r="756" spans="1:7">
      <c r="A756" s="348">
        <f t="shared" si="24"/>
        <v>755</v>
      </c>
      <c r="B756" s="360">
        <f>DATE('Profit Calculation'!J$6,A$2,A$2+A756-1)</f>
        <v>42759</v>
      </c>
      <c r="D756" s="362">
        <f t="shared" ca="1" si="23"/>
        <v>114050986.5192633</v>
      </c>
      <c r="F756" s="363">
        <f>DATE('Profit Calculation'!J$6,'Profit Calculation'!R$6+A756-1,'Profit Calculation'!Z$6)</f>
        <v>65047</v>
      </c>
      <c r="G756" s="364">
        <f ca="1">IF(Q$27=2,IF(LOOKUP(F756,X$1:X$35,X$1:X$35) = F756,ROUND(LOOKUP(LOOKUP(F756,X$1:X$35,A:A),Single!A$2:A$107,Table13[Saving]),0),IF( LOOKUP(F756,W$1:W$35,W$1:W$35) =
 F756,ROUND(G755*(1+IF($Q$18&lt;6,$R$14,IF($Q$18&lt;11,$R$15,$R$16)))^(1/12),0),G755*(1+IF($Q$18&lt;6,$R$14,IF($Q$18&lt;11,$R$15,$R$16)))^(1/12))),IF(LOOKUP(F756,X$1:X$35,X$1:X$35) = F756,ROUND(LOOKUP(LOOKUP(F756,X$1:X$35,A:A),'Annual Calculation'!A$2:A$107,Table1[Saving]),0),IF( LOOKUP(F756,W$1:W$35,W$1:W$35) =
 F756,ROUND(G755*(1+IF($Q$18&lt;6,$R$14,IF($Q$18&lt;11,$R$15,$R$16)))^(1/12),0),G755*(1+IF($Q$18&lt;6,$R$14,IF($Q$18&lt;11,$R$15,$R$16)))^(1/12))))</f>
        <v>0</v>
      </c>
    </row>
    <row r="757" spans="1:7">
      <c r="A757" s="348">
        <f t="shared" si="24"/>
        <v>756</v>
      </c>
      <c r="B757" s="360">
        <f>DATE('Profit Calculation'!J$6,A$2,A$2+A757-1)</f>
        <v>42760</v>
      </c>
      <c r="D757" s="362">
        <f t="shared" ca="1" si="23"/>
        <v>114094666.07975931</v>
      </c>
      <c r="F757" s="363">
        <f>DATE('Profit Calculation'!J$6,'Profit Calculation'!R$6+A757-1,'Profit Calculation'!Z$6)</f>
        <v>65075</v>
      </c>
      <c r="G757" s="364">
        <f ca="1">IF(Q$27=2,IF(LOOKUP(F757,X$1:X$35,X$1:X$35) = F757,ROUND(LOOKUP(LOOKUP(F757,X$1:X$35,A:A),Single!A$2:A$107,Table13[Saving]),0),IF( LOOKUP(F757,W$1:W$35,W$1:W$35) =
 F757,ROUND(G756*(1+IF($Q$18&lt;6,$R$14,IF($Q$18&lt;11,$R$15,$R$16)))^(1/12),0),G756*(1+IF($Q$18&lt;6,$R$14,IF($Q$18&lt;11,$R$15,$R$16)))^(1/12))),IF(LOOKUP(F757,X$1:X$35,X$1:X$35) = F757,ROUND(LOOKUP(LOOKUP(F757,X$1:X$35,A:A),'Annual Calculation'!A$2:A$107,Table1[Saving]),0),IF( LOOKUP(F757,W$1:W$35,W$1:W$35) =
 F757,ROUND(G756*(1+IF($Q$18&lt;6,$R$14,IF($Q$18&lt;11,$R$15,$R$16)))^(1/12),0),G756*(1+IF($Q$18&lt;6,$R$14,IF($Q$18&lt;11,$R$15,$R$16)))^(1/12))))</f>
        <v>0</v>
      </c>
    </row>
    <row r="758" spans="1:7">
      <c r="A758" s="348">
        <f t="shared" si="24"/>
        <v>757</v>
      </c>
      <c r="B758" s="360">
        <f>DATE('Profit Calculation'!J$6,A$2,A$2+A758-1)</f>
        <v>42761</v>
      </c>
      <c r="D758" s="362">
        <f t="shared" ca="1" si="23"/>
        <v>114138362.36877355</v>
      </c>
      <c r="F758" s="363">
        <f>DATE('Profit Calculation'!J$6,'Profit Calculation'!R$6+A758-1,'Profit Calculation'!Z$6)</f>
        <v>65106</v>
      </c>
      <c r="G758" s="364">
        <f ca="1">IF(Q$27=2,IF(LOOKUP(F758,X$1:X$35,X$1:X$35) = F758,ROUND(LOOKUP(LOOKUP(F758,X$1:X$35,A:A),Single!A$2:A$107,Table13[Saving]),0),IF( LOOKUP(F758,W$1:W$35,W$1:W$35) =
 F758,ROUND(G757*(1+IF($Q$18&lt;6,$R$14,IF($Q$18&lt;11,$R$15,$R$16)))^(1/12),0),G757*(1+IF($Q$18&lt;6,$R$14,IF($Q$18&lt;11,$R$15,$R$16)))^(1/12))),IF(LOOKUP(F758,X$1:X$35,X$1:X$35) = F758,ROUND(LOOKUP(LOOKUP(F758,X$1:X$35,A:A),'Annual Calculation'!A$2:A$107,Table1[Saving]),0),IF( LOOKUP(F758,W$1:W$35,W$1:W$35) =
 F758,ROUND(G757*(1+IF($Q$18&lt;6,$R$14,IF($Q$18&lt;11,$R$15,$R$16)))^(1/12),0),G757*(1+IF($Q$18&lt;6,$R$14,IF($Q$18&lt;11,$R$15,$R$16)))^(1/12))))</f>
        <v>0</v>
      </c>
    </row>
    <row r="759" spans="1:7">
      <c r="A759" s="348">
        <f t="shared" si="24"/>
        <v>758</v>
      </c>
      <c r="B759" s="360">
        <f>DATE('Profit Calculation'!J$6,A$2,A$2+A759-1)</f>
        <v>42762</v>
      </c>
      <c r="D759" s="362">
        <f t="shared" ca="1" si="23"/>
        <v>114182075.39271273</v>
      </c>
      <c r="F759" s="363">
        <f>DATE('Profit Calculation'!J$6,'Profit Calculation'!R$6+A759-1,'Profit Calculation'!Z$6)</f>
        <v>65136</v>
      </c>
      <c r="G759" s="364">
        <f ca="1">IF(Q$27=2,IF(LOOKUP(F759,X$1:X$35,X$1:X$35) = F759,ROUND(LOOKUP(LOOKUP(F759,X$1:X$35,A:A),Single!A$2:A$107,Table13[Saving]),0),IF( LOOKUP(F759,W$1:W$35,W$1:W$35) =
 F759,ROUND(G758*(1+IF($Q$18&lt;6,$R$14,IF($Q$18&lt;11,$R$15,$R$16)))^(1/12),0),G758*(1+IF($Q$18&lt;6,$R$14,IF($Q$18&lt;11,$R$15,$R$16)))^(1/12))),IF(LOOKUP(F759,X$1:X$35,X$1:X$35) = F759,ROUND(LOOKUP(LOOKUP(F759,X$1:X$35,A:A),'Annual Calculation'!A$2:A$107,Table1[Saving]),0),IF( LOOKUP(F759,W$1:W$35,W$1:W$35) =
 F759,ROUND(G758*(1+IF($Q$18&lt;6,$R$14,IF($Q$18&lt;11,$R$15,$R$16)))^(1/12),0),G758*(1+IF($Q$18&lt;6,$R$14,IF($Q$18&lt;11,$R$15,$R$16)))^(1/12))))</f>
        <v>0</v>
      </c>
    </row>
    <row r="760" spans="1:7">
      <c r="A760" s="348">
        <f t="shared" si="24"/>
        <v>759</v>
      </c>
      <c r="B760" s="360">
        <f>DATE('Profit Calculation'!J$6,A$2,A$2+A760-1)</f>
        <v>42763</v>
      </c>
      <c r="D760" s="362">
        <f t="shared" ca="1" si="23"/>
        <v>114225805.15798604</v>
      </c>
      <c r="F760" s="363">
        <f>DATE('Profit Calculation'!J$6,'Profit Calculation'!R$6+A760-1,'Profit Calculation'!Z$6)</f>
        <v>65167</v>
      </c>
      <c r="G760" s="364">
        <f ca="1">IF(Q$27=2,IF(LOOKUP(F760,X$1:X$35,X$1:X$35) = F760,ROUND(LOOKUP(LOOKUP(F760,X$1:X$35,A:A),Single!A$2:A$107,Table13[Saving]),0),IF( LOOKUP(F760,W$1:W$35,W$1:W$35) =
 F760,ROUND(G759*(1+IF($Q$18&lt;6,$R$14,IF($Q$18&lt;11,$R$15,$R$16)))^(1/12),0),G759*(1+IF($Q$18&lt;6,$R$14,IF($Q$18&lt;11,$R$15,$R$16)))^(1/12))),IF(LOOKUP(F760,X$1:X$35,X$1:X$35) = F760,ROUND(LOOKUP(LOOKUP(F760,X$1:X$35,A:A),'Annual Calculation'!A$2:A$107,Table1[Saving]),0),IF( LOOKUP(F760,W$1:W$35,W$1:W$35) =
 F760,ROUND(G759*(1+IF($Q$18&lt;6,$R$14,IF($Q$18&lt;11,$R$15,$R$16)))^(1/12),0),G759*(1+IF($Q$18&lt;6,$R$14,IF($Q$18&lt;11,$R$15,$R$16)))^(1/12))))</f>
        <v>0</v>
      </c>
    </row>
    <row r="761" spans="1:7">
      <c r="A761" s="348">
        <f t="shared" si="24"/>
        <v>760</v>
      </c>
      <c r="B761" s="360">
        <f>DATE('Profit Calculation'!J$6,A$2,A$2+A761-1)</f>
        <v>42764</v>
      </c>
      <c r="D761" s="362">
        <f t="shared" ca="1" si="23"/>
        <v>114269551.67100513</v>
      </c>
      <c r="F761" s="363">
        <f>DATE('Profit Calculation'!J$6,'Profit Calculation'!R$6+A761-1,'Profit Calculation'!Z$6)</f>
        <v>65197</v>
      </c>
      <c r="G761" s="364">
        <f ca="1">IF(Q$27=2,IF(LOOKUP(F761,X$1:X$35,X$1:X$35) = F761,ROUND(LOOKUP(LOOKUP(F761,X$1:X$35,A:A),Single!A$2:A$107,Table13[Saving]),0),IF( LOOKUP(F761,W$1:W$35,W$1:W$35) =
 F761,ROUND(G760*(1+IF($Q$18&lt;6,$R$14,IF($Q$18&lt;11,$R$15,$R$16)))^(1/12),0),G760*(1+IF($Q$18&lt;6,$R$14,IF($Q$18&lt;11,$R$15,$R$16)))^(1/12))),IF(LOOKUP(F761,X$1:X$35,X$1:X$35) = F761,ROUND(LOOKUP(LOOKUP(F761,X$1:X$35,A:A),'Annual Calculation'!A$2:A$107,Table1[Saving]),0),IF( LOOKUP(F761,W$1:W$35,W$1:W$35) =
 F761,ROUND(G760*(1+IF($Q$18&lt;6,$R$14,IF($Q$18&lt;11,$R$15,$R$16)))^(1/12),0),G760*(1+IF($Q$18&lt;6,$R$14,IF($Q$18&lt;11,$R$15,$R$16)))^(1/12))))</f>
        <v>0</v>
      </c>
    </row>
    <row r="762" spans="1:7">
      <c r="A762" s="348">
        <f t="shared" si="24"/>
        <v>761</v>
      </c>
      <c r="B762" s="360">
        <f>DATE('Profit Calculation'!J$6,A$2,A$2+A762-1)</f>
        <v>42765</v>
      </c>
      <c r="D762" s="362">
        <f t="shared" ca="1" si="23"/>
        <v>114313314.9381841</v>
      </c>
      <c r="F762" s="363">
        <f>DATE('Profit Calculation'!J$6,'Profit Calculation'!R$6+A762-1,'Profit Calculation'!Z$6)</f>
        <v>65228</v>
      </c>
      <c r="G762" s="364">
        <f ca="1">IF(Q$27=2,IF(LOOKUP(F762,X$1:X$35,X$1:X$35) = F762,ROUND(LOOKUP(LOOKUP(F762,X$1:X$35,A:A),Single!A$2:A$107,Table13[Saving]),0),IF( LOOKUP(F762,W$1:W$35,W$1:W$35) =
 F762,ROUND(G761*(1+IF($Q$18&lt;6,$R$14,IF($Q$18&lt;11,$R$15,$R$16)))^(1/12),0),G761*(1+IF($Q$18&lt;6,$R$14,IF($Q$18&lt;11,$R$15,$R$16)))^(1/12))),IF(LOOKUP(F762,X$1:X$35,X$1:X$35) = F762,ROUND(LOOKUP(LOOKUP(F762,X$1:X$35,A:A),'Annual Calculation'!A$2:A$107,Table1[Saving]),0),IF( LOOKUP(F762,W$1:W$35,W$1:W$35) =
 F762,ROUND(G761*(1+IF($Q$18&lt;6,$R$14,IF($Q$18&lt;11,$R$15,$R$16)))^(1/12),0),G761*(1+IF($Q$18&lt;6,$R$14,IF($Q$18&lt;11,$R$15,$R$16)))^(1/12))))</f>
        <v>0</v>
      </c>
    </row>
    <row r="763" spans="1:7">
      <c r="A763" s="348">
        <f t="shared" si="24"/>
        <v>762</v>
      </c>
      <c r="B763" s="360">
        <f>DATE('Profit Calculation'!J$6,A$2,A$2+A763-1)</f>
        <v>42766</v>
      </c>
      <c r="D763" s="362">
        <f t="shared" ca="1" si="23"/>
        <v>114357094.96593949</v>
      </c>
      <c r="F763" s="363">
        <f>DATE('Profit Calculation'!J$6,'Profit Calculation'!R$6+A763-1,'Profit Calculation'!Z$6)</f>
        <v>65259</v>
      </c>
      <c r="G763" s="364">
        <f ca="1">IF(Q$27=2,IF(LOOKUP(F763,X$1:X$35,X$1:X$35) = F763,ROUND(LOOKUP(LOOKUP(F763,X$1:X$35,A:A),Single!A$2:A$107,Table13[Saving]),0),IF( LOOKUP(F763,W$1:W$35,W$1:W$35) =
 F763,ROUND(G762*(1+IF($Q$18&lt;6,$R$14,IF($Q$18&lt;11,$R$15,$R$16)))^(1/12),0),G762*(1+IF($Q$18&lt;6,$R$14,IF($Q$18&lt;11,$R$15,$R$16)))^(1/12))),IF(LOOKUP(F763,X$1:X$35,X$1:X$35) = F763,ROUND(LOOKUP(LOOKUP(F763,X$1:X$35,A:A),'Annual Calculation'!A$2:A$107,Table1[Saving]),0),IF( LOOKUP(F763,W$1:W$35,W$1:W$35) =
 F763,ROUND(G762*(1+IF($Q$18&lt;6,$R$14,IF($Q$18&lt;11,$R$15,$R$16)))^(1/12),0),G762*(1+IF($Q$18&lt;6,$R$14,IF($Q$18&lt;11,$R$15,$R$16)))^(1/12))))</f>
        <v>0</v>
      </c>
    </row>
    <row r="764" spans="1:7">
      <c r="A764" s="348">
        <f t="shared" si="24"/>
        <v>763</v>
      </c>
      <c r="B764" s="360">
        <f>DATE('Profit Calculation'!J$6,A$2,A$2+A764-1)</f>
        <v>42767</v>
      </c>
      <c r="D764" s="362">
        <f t="shared" ca="1" si="23"/>
        <v>114400891.76069033</v>
      </c>
      <c r="F764" s="363">
        <f>DATE('Profit Calculation'!J$6,'Profit Calculation'!R$6+A764-1,'Profit Calculation'!Z$6)</f>
        <v>65289</v>
      </c>
      <c r="G764" s="364">
        <f ca="1">IF(Q$27=2,IF(LOOKUP(F764,X$1:X$35,X$1:X$35) = F764,ROUND(LOOKUP(LOOKUP(F764,X$1:X$35,A:A),Single!A$2:A$107,Table13[Saving]),0),IF( LOOKUP(F764,W$1:W$35,W$1:W$35) =
 F764,ROUND(G763*(1+IF($Q$18&lt;6,$R$14,IF($Q$18&lt;11,$R$15,$R$16)))^(1/12),0),G763*(1+IF($Q$18&lt;6,$R$14,IF($Q$18&lt;11,$R$15,$R$16)))^(1/12))),IF(LOOKUP(F764,X$1:X$35,X$1:X$35) = F764,ROUND(LOOKUP(LOOKUP(F764,X$1:X$35,A:A),'Annual Calculation'!A$2:A$107,Table1[Saving]),0),IF( LOOKUP(F764,W$1:W$35,W$1:W$35) =
 F764,ROUND(G763*(1+IF($Q$18&lt;6,$R$14,IF($Q$18&lt;11,$R$15,$R$16)))^(1/12),0),G763*(1+IF($Q$18&lt;6,$R$14,IF($Q$18&lt;11,$R$15,$R$16)))^(1/12))))</f>
        <v>0</v>
      </c>
    </row>
    <row r="765" spans="1:7">
      <c r="A765" s="348">
        <f t="shared" si="24"/>
        <v>764</v>
      </c>
      <c r="B765" s="360">
        <f>DATE('Profit Calculation'!J$6,A$2,A$2+A765-1)</f>
        <v>42768</v>
      </c>
      <c r="D765" s="362">
        <f t="shared" ca="1" si="23"/>
        <v>114444705.32885808</v>
      </c>
      <c r="F765" s="363">
        <f>DATE('Profit Calculation'!J$6,'Profit Calculation'!R$6+A765-1,'Profit Calculation'!Z$6)</f>
        <v>65320</v>
      </c>
      <c r="G765" s="364">
        <f ca="1">IF(Q$27=2,IF(LOOKUP(F765,X$1:X$35,X$1:X$35) = F765,ROUND(LOOKUP(LOOKUP(F765,X$1:X$35,A:A),Single!A$2:A$107,Table13[Saving]),0),IF( LOOKUP(F765,W$1:W$35,W$1:W$35) =
 F765,ROUND(G764*(1+IF($Q$18&lt;6,$R$14,IF($Q$18&lt;11,$R$15,$R$16)))^(1/12),0),G764*(1+IF($Q$18&lt;6,$R$14,IF($Q$18&lt;11,$R$15,$R$16)))^(1/12))),IF(LOOKUP(F765,X$1:X$35,X$1:X$35) = F765,ROUND(LOOKUP(LOOKUP(F765,X$1:X$35,A:A),'Annual Calculation'!A$2:A$107,Table1[Saving]),0),IF( LOOKUP(F765,W$1:W$35,W$1:W$35) =
 F765,ROUND(G764*(1+IF($Q$18&lt;6,$R$14,IF($Q$18&lt;11,$R$15,$R$16)))^(1/12),0),G764*(1+IF($Q$18&lt;6,$R$14,IF($Q$18&lt;11,$R$15,$R$16)))^(1/12))))</f>
        <v>0</v>
      </c>
    </row>
    <row r="766" spans="1:7">
      <c r="A766" s="348">
        <f t="shared" si="24"/>
        <v>765</v>
      </c>
      <c r="B766" s="360">
        <f>DATE('Profit Calculation'!J$6,A$2,A$2+A766-1)</f>
        <v>42769</v>
      </c>
      <c r="D766" s="362">
        <f t="shared" ca="1" si="23"/>
        <v>114488535.67686667</v>
      </c>
      <c r="F766" s="363">
        <f>DATE('Profit Calculation'!J$6,'Profit Calculation'!R$6+A766-1,'Profit Calculation'!Z$6)</f>
        <v>65350</v>
      </c>
      <c r="G766" s="364">
        <f ca="1">IF(Q$27=2,IF(LOOKUP(F766,X$1:X$35,X$1:X$35) = F766,ROUND(LOOKUP(LOOKUP(F766,X$1:X$35,A:A),Single!A$2:A$107,Table13[Saving]),0),IF( LOOKUP(F766,W$1:W$35,W$1:W$35) =
 F766,ROUND(G765*(1+IF($Q$18&lt;6,$R$14,IF($Q$18&lt;11,$R$15,$R$16)))^(1/12),0),G765*(1+IF($Q$18&lt;6,$R$14,IF($Q$18&lt;11,$R$15,$R$16)))^(1/12))),IF(LOOKUP(F766,X$1:X$35,X$1:X$35) = F766,ROUND(LOOKUP(LOOKUP(F766,X$1:X$35,A:A),'Annual Calculation'!A$2:A$107,Table1[Saving]),0),IF( LOOKUP(F766,W$1:W$35,W$1:W$35) =
 F766,ROUND(G765*(1+IF($Q$18&lt;6,$R$14,IF($Q$18&lt;11,$R$15,$R$16)))^(1/12),0),G765*(1+IF($Q$18&lt;6,$R$14,IF($Q$18&lt;11,$R$15,$R$16)))^(1/12))))</f>
        <v>0</v>
      </c>
    </row>
    <row r="767" spans="1:7">
      <c r="A767" s="348">
        <f t="shared" si="24"/>
        <v>766</v>
      </c>
      <c r="B767" s="360">
        <f>DATE('Profit Calculation'!J$6,A$2,A$2+A767-1)</f>
        <v>42770</v>
      </c>
      <c r="D767" s="362">
        <f t="shared" ca="1" si="23"/>
        <v>114532382.81114247</v>
      </c>
      <c r="F767" s="363">
        <f>DATE('Profit Calculation'!J$6,'Profit Calculation'!R$6+A767-1,'Profit Calculation'!Z$6)</f>
        <v>65381</v>
      </c>
      <c r="G767" s="364">
        <f ca="1">IF(Q$27=2,IF(LOOKUP(F767,X$1:X$35,X$1:X$35) = F767,ROUND(LOOKUP(LOOKUP(F767,X$1:X$35,A:A),Single!A$2:A$107,Table13[Saving]),0),IF( LOOKUP(F767,W$1:W$35,W$1:W$35) =
 F767,ROUND(G766*(1+IF($Q$18&lt;6,$R$14,IF($Q$18&lt;11,$R$15,$R$16)))^(1/12),0),G766*(1+IF($Q$18&lt;6,$R$14,IF($Q$18&lt;11,$R$15,$R$16)))^(1/12))),IF(LOOKUP(F767,X$1:X$35,X$1:X$35) = F767,ROUND(LOOKUP(LOOKUP(F767,X$1:X$35,A:A),'Annual Calculation'!A$2:A$107,Table1[Saving]),0),IF( LOOKUP(F767,W$1:W$35,W$1:W$35) =
 F767,ROUND(G766*(1+IF($Q$18&lt;6,$R$14,IF($Q$18&lt;11,$R$15,$R$16)))^(1/12),0),G766*(1+IF($Q$18&lt;6,$R$14,IF($Q$18&lt;11,$R$15,$R$16)))^(1/12))))</f>
        <v>0</v>
      </c>
    </row>
    <row r="768" spans="1:7">
      <c r="A768" s="348">
        <f t="shared" si="24"/>
        <v>767</v>
      </c>
      <c r="B768" s="360">
        <f>DATE('Profit Calculation'!J$6,A$2,A$2+A768-1)</f>
        <v>42771</v>
      </c>
      <c r="D768" s="362">
        <f t="shared" ca="1" si="23"/>
        <v>114576246.73811436</v>
      </c>
      <c r="F768" s="363">
        <f>DATE('Profit Calculation'!J$6,'Profit Calculation'!R$6+A768-1,'Profit Calculation'!Z$6)</f>
        <v>65412</v>
      </c>
      <c r="G768" s="364">
        <f ca="1">IF(Q$27=2,IF(LOOKUP(F768,X$1:X$35,X$1:X$35) = F768,ROUND(LOOKUP(LOOKUP(F768,X$1:X$35,A:A),Single!A$2:A$107,Table13[Saving]),0),IF( LOOKUP(F768,W$1:W$35,W$1:W$35) =
 F768,ROUND(G767*(1+IF($Q$18&lt;6,$R$14,IF($Q$18&lt;11,$R$15,$R$16)))^(1/12),0),G767*(1+IF($Q$18&lt;6,$R$14,IF($Q$18&lt;11,$R$15,$R$16)))^(1/12))),IF(LOOKUP(F768,X$1:X$35,X$1:X$35) = F768,ROUND(LOOKUP(LOOKUP(F768,X$1:X$35,A:A),'Annual Calculation'!A$2:A$107,Table1[Saving]),0),IF( LOOKUP(F768,W$1:W$35,W$1:W$35) =
 F768,ROUND(G767*(1+IF($Q$18&lt;6,$R$14,IF($Q$18&lt;11,$R$15,$R$16)))^(1/12),0),G767*(1+IF($Q$18&lt;6,$R$14,IF($Q$18&lt;11,$R$15,$R$16)))^(1/12))))</f>
        <v>0</v>
      </c>
    </row>
    <row r="769" spans="1:7">
      <c r="A769" s="348">
        <f t="shared" si="24"/>
        <v>768</v>
      </c>
      <c r="B769" s="360">
        <f>DATE('Profit Calculation'!J$6,A$2,A$2+A769-1)</f>
        <v>42772</v>
      </c>
      <c r="D769" s="362">
        <f t="shared" ca="1" si="23"/>
        <v>114620127.46421364</v>
      </c>
      <c r="F769" s="363">
        <f>DATE('Profit Calculation'!J$6,'Profit Calculation'!R$6+A769-1,'Profit Calculation'!Z$6)</f>
        <v>65440</v>
      </c>
      <c r="G769" s="364">
        <f ca="1">IF(Q$27=2,IF(LOOKUP(F769,X$1:X$35,X$1:X$35) = F769,ROUND(LOOKUP(LOOKUP(F769,X$1:X$35,A:A),Single!A$2:A$107,Table13[Saving]),0),IF( LOOKUP(F769,W$1:W$35,W$1:W$35) =
 F769,ROUND(G768*(1+IF($Q$18&lt;6,$R$14,IF($Q$18&lt;11,$R$15,$R$16)))^(1/12),0),G768*(1+IF($Q$18&lt;6,$R$14,IF($Q$18&lt;11,$R$15,$R$16)))^(1/12))),IF(LOOKUP(F769,X$1:X$35,X$1:X$35) = F769,ROUND(LOOKUP(LOOKUP(F769,X$1:X$35,A:A),'Annual Calculation'!A$2:A$107,Table1[Saving]),0),IF( LOOKUP(F769,W$1:W$35,W$1:W$35) =
 F769,ROUND(G768*(1+IF($Q$18&lt;6,$R$14,IF($Q$18&lt;11,$R$15,$R$16)))^(1/12),0),G768*(1+IF($Q$18&lt;6,$R$14,IF($Q$18&lt;11,$R$15,$R$16)))^(1/12))))</f>
        <v>0</v>
      </c>
    </row>
    <row r="770" spans="1:7">
      <c r="A770" s="348">
        <f t="shared" si="24"/>
        <v>769</v>
      </c>
      <c r="B770" s="360">
        <f>DATE('Profit Calculation'!J$6,A$2,A$2+A770-1)</f>
        <v>42773</v>
      </c>
      <c r="D770" s="362">
        <f t="shared" ca="1" si="23"/>
        <v>114664024.99587409</v>
      </c>
      <c r="F770" s="363">
        <f>DATE('Profit Calculation'!J$6,'Profit Calculation'!R$6+A770-1,'Profit Calculation'!Z$6)</f>
        <v>65471</v>
      </c>
      <c r="G770" s="364">
        <f ca="1">IF(Q$27=2,IF(LOOKUP(F770,X$1:X$35,X$1:X$35) = F770,ROUND(LOOKUP(LOOKUP(F770,X$1:X$35,A:A),Single!A$2:A$107,Table13[Saving]),0),IF( LOOKUP(F770,W$1:W$35,W$1:W$35) =
 F770,ROUND(G769*(1+IF($Q$18&lt;6,$R$14,IF($Q$18&lt;11,$R$15,$R$16)))^(1/12),0),G769*(1+IF($Q$18&lt;6,$R$14,IF($Q$18&lt;11,$R$15,$R$16)))^(1/12))),IF(LOOKUP(F770,X$1:X$35,X$1:X$35) = F770,ROUND(LOOKUP(LOOKUP(F770,X$1:X$35,A:A),'Annual Calculation'!A$2:A$107,Table1[Saving]),0),IF( LOOKUP(F770,W$1:W$35,W$1:W$35) =
 F770,ROUND(G769*(1+IF($Q$18&lt;6,$R$14,IF($Q$18&lt;11,$R$15,$R$16)))^(1/12),0),G769*(1+IF($Q$18&lt;6,$R$14,IF($Q$18&lt;11,$R$15,$R$16)))^(1/12))))</f>
        <v>0</v>
      </c>
    </row>
    <row r="771" spans="1:7">
      <c r="A771" s="348">
        <f t="shared" si="24"/>
        <v>770</v>
      </c>
      <c r="B771" s="360">
        <f>DATE('Profit Calculation'!J$6,A$2,A$2+A771-1)</f>
        <v>42774</v>
      </c>
      <c r="D771" s="362">
        <f t="shared" ca="1" si="23"/>
        <v>114707939.33953194</v>
      </c>
      <c r="F771" s="363">
        <f>DATE('Profit Calculation'!J$6,'Profit Calculation'!R$6+A771-1,'Profit Calculation'!Z$6)</f>
        <v>65501</v>
      </c>
      <c r="G771" s="364">
        <f ca="1">IF(Q$27=2,IF(LOOKUP(F771,X$1:X$35,X$1:X$35) = F771,ROUND(LOOKUP(LOOKUP(F771,X$1:X$35,A:A),Single!A$2:A$107,Table13[Saving]),0),IF( LOOKUP(F771,W$1:W$35,W$1:W$35) =
 F771,ROUND(G770*(1+IF($Q$18&lt;6,$R$14,IF($Q$18&lt;11,$R$15,$R$16)))^(1/12),0),G770*(1+IF($Q$18&lt;6,$R$14,IF($Q$18&lt;11,$R$15,$R$16)))^(1/12))),IF(LOOKUP(F771,X$1:X$35,X$1:X$35) = F771,ROUND(LOOKUP(LOOKUP(F771,X$1:X$35,A:A),'Annual Calculation'!A$2:A$107,Table1[Saving]),0),IF( LOOKUP(F771,W$1:W$35,W$1:W$35) =
 F771,ROUND(G770*(1+IF($Q$18&lt;6,$R$14,IF($Q$18&lt;11,$R$15,$R$16)))^(1/12),0),G770*(1+IF($Q$18&lt;6,$R$14,IF($Q$18&lt;11,$R$15,$R$16)))^(1/12))))</f>
        <v>0</v>
      </c>
    </row>
    <row r="772" spans="1:7">
      <c r="A772" s="348">
        <f t="shared" si="24"/>
        <v>771</v>
      </c>
      <c r="B772" s="360">
        <f>DATE('Profit Calculation'!J$6,A$2,A$2+A772-1)</f>
        <v>42775</v>
      </c>
      <c r="D772" s="362">
        <f t="shared" ref="D772:D835" ca="1" si="25">IF(OR(LOOKUP(B772,W$1:W$35,W$1:W$35) = B772, LOOKUP(B772,X$1:X$35,X$1:X$35) = B772),LOOKUP(B772,F:F,G:G),D771*(1+((IF($Q$18&lt;6,$R$14,IF($Q$18&lt;11,$R$15,$R$16)))))^(1/365))</f>
        <v>114751870.50162591</v>
      </c>
      <c r="F772" s="363">
        <f>DATE('Profit Calculation'!J$6,'Profit Calculation'!R$6+A772-1,'Profit Calculation'!Z$6)</f>
        <v>65532</v>
      </c>
      <c r="G772" s="364">
        <f ca="1">IF(Q$27=2,IF(LOOKUP(F772,X$1:X$35,X$1:X$35) = F772,ROUND(LOOKUP(LOOKUP(F772,X$1:X$35,A:A),Single!A$2:A$107,Table13[Saving]),0),IF( LOOKUP(F772,W$1:W$35,W$1:W$35) =
 F772,ROUND(G771*(1+IF($Q$18&lt;6,$R$14,IF($Q$18&lt;11,$R$15,$R$16)))^(1/12),0),G771*(1+IF($Q$18&lt;6,$R$14,IF($Q$18&lt;11,$R$15,$R$16)))^(1/12))),IF(LOOKUP(F772,X$1:X$35,X$1:X$35) = F772,ROUND(LOOKUP(LOOKUP(F772,X$1:X$35,A:A),'Annual Calculation'!A$2:A$107,Table1[Saving]),0),IF( LOOKUP(F772,W$1:W$35,W$1:W$35) =
 F772,ROUND(G771*(1+IF($Q$18&lt;6,$R$14,IF($Q$18&lt;11,$R$15,$R$16)))^(1/12),0),G771*(1+IF($Q$18&lt;6,$R$14,IF($Q$18&lt;11,$R$15,$R$16)))^(1/12))))</f>
        <v>0</v>
      </c>
    </row>
    <row r="773" spans="1:7">
      <c r="A773" s="348">
        <f t="shared" ref="A773:A836" si="26">A772+1</f>
        <v>772</v>
      </c>
      <c r="B773" s="360">
        <f>DATE('Profit Calculation'!J$6,A$2,A$2+A773-1)</f>
        <v>42776</v>
      </c>
      <c r="D773" s="362">
        <f t="shared" ca="1" si="25"/>
        <v>114795818.48859717</v>
      </c>
      <c r="F773" s="363">
        <f>DATE('Profit Calculation'!J$6,'Profit Calculation'!R$6+A773-1,'Profit Calculation'!Z$6)</f>
        <v>65562</v>
      </c>
      <c r="G773" s="364">
        <f ca="1">IF(Q$27=2,IF(LOOKUP(F773,X$1:X$35,X$1:X$35) = F773,ROUND(LOOKUP(LOOKUP(F773,X$1:X$35,A:A),Single!A$2:A$107,Table13[Saving]),0),IF( LOOKUP(F773,W$1:W$35,W$1:W$35) =
 F773,ROUND(G772*(1+IF($Q$18&lt;6,$R$14,IF($Q$18&lt;11,$R$15,$R$16)))^(1/12),0),G772*(1+IF($Q$18&lt;6,$R$14,IF($Q$18&lt;11,$R$15,$R$16)))^(1/12))),IF(LOOKUP(F773,X$1:X$35,X$1:X$35) = F773,ROUND(LOOKUP(LOOKUP(F773,X$1:X$35,A:A),'Annual Calculation'!A$2:A$107,Table1[Saving]),0),IF( LOOKUP(F773,W$1:W$35,W$1:W$35) =
 F773,ROUND(G772*(1+IF($Q$18&lt;6,$R$14,IF($Q$18&lt;11,$R$15,$R$16)))^(1/12),0),G772*(1+IF($Q$18&lt;6,$R$14,IF($Q$18&lt;11,$R$15,$R$16)))^(1/12))))</f>
        <v>0</v>
      </c>
    </row>
    <row r="774" spans="1:7">
      <c r="A774" s="348">
        <f t="shared" si="26"/>
        <v>773</v>
      </c>
      <c r="B774" s="360">
        <f>DATE('Profit Calculation'!J$6,A$2,A$2+A774-1)</f>
        <v>42777</v>
      </c>
      <c r="D774" s="362">
        <f t="shared" ca="1" si="25"/>
        <v>114839783.30688936</v>
      </c>
      <c r="F774" s="363">
        <f>DATE('Profit Calculation'!J$6,'Profit Calculation'!R$6+A774-1,'Profit Calculation'!Z$6)</f>
        <v>65593</v>
      </c>
      <c r="G774" s="364">
        <f ca="1">IF(Q$27=2,IF(LOOKUP(F774,X$1:X$35,X$1:X$35) = F774,ROUND(LOOKUP(LOOKUP(F774,X$1:X$35,A:A),Single!A$2:A$107,Table13[Saving]),0),IF( LOOKUP(F774,W$1:W$35,W$1:W$35) =
 F774,ROUND(G773*(1+IF($Q$18&lt;6,$R$14,IF($Q$18&lt;11,$R$15,$R$16)))^(1/12),0),G773*(1+IF($Q$18&lt;6,$R$14,IF($Q$18&lt;11,$R$15,$R$16)))^(1/12))),IF(LOOKUP(F774,X$1:X$35,X$1:X$35) = F774,ROUND(LOOKUP(LOOKUP(F774,X$1:X$35,A:A),'Annual Calculation'!A$2:A$107,Table1[Saving]),0),IF( LOOKUP(F774,W$1:W$35,W$1:W$35) =
 F774,ROUND(G773*(1+IF($Q$18&lt;6,$R$14,IF($Q$18&lt;11,$R$15,$R$16)))^(1/12),0),G773*(1+IF($Q$18&lt;6,$R$14,IF($Q$18&lt;11,$R$15,$R$16)))^(1/12))))</f>
        <v>0</v>
      </c>
    </row>
    <row r="775" spans="1:7">
      <c r="A775" s="348">
        <f t="shared" si="26"/>
        <v>774</v>
      </c>
      <c r="B775" s="360">
        <f>DATE('Profit Calculation'!J$6,A$2,A$2+A775-1)</f>
        <v>42778</v>
      </c>
      <c r="D775" s="362">
        <f t="shared" ca="1" si="25"/>
        <v>114883764.96294856</v>
      </c>
      <c r="F775" s="363">
        <f>DATE('Profit Calculation'!J$6,'Profit Calculation'!R$6+A775-1,'Profit Calculation'!Z$6)</f>
        <v>65624</v>
      </c>
      <c r="G775" s="364">
        <f ca="1">IF(Q$27=2,IF(LOOKUP(F775,X$1:X$35,X$1:X$35) = F775,ROUND(LOOKUP(LOOKUP(F775,X$1:X$35,A:A),Single!A$2:A$107,Table13[Saving]),0),IF( LOOKUP(F775,W$1:W$35,W$1:W$35) =
 F775,ROUND(G774*(1+IF($Q$18&lt;6,$R$14,IF($Q$18&lt;11,$R$15,$R$16)))^(1/12),0),G774*(1+IF($Q$18&lt;6,$R$14,IF($Q$18&lt;11,$R$15,$R$16)))^(1/12))),IF(LOOKUP(F775,X$1:X$35,X$1:X$35) = F775,ROUND(LOOKUP(LOOKUP(F775,X$1:X$35,A:A),'Annual Calculation'!A$2:A$107,Table1[Saving]),0),IF( LOOKUP(F775,W$1:W$35,W$1:W$35) =
 F775,ROUND(G774*(1+IF($Q$18&lt;6,$R$14,IF($Q$18&lt;11,$R$15,$R$16)))^(1/12),0),G774*(1+IF($Q$18&lt;6,$R$14,IF($Q$18&lt;11,$R$15,$R$16)))^(1/12))))</f>
        <v>0</v>
      </c>
    </row>
    <row r="776" spans="1:7">
      <c r="A776" s="348">
        <f t="shared" si="26"/>
        <v>775</v>
      </c>
      <c r="B776" s="360">
        <f>DATE('Profit Calculation'!J$6,A$2,A$2+A776-1)</f>
        <v>42779</v>
      </c>
      <c r="D776" s="362">
        <f t="shared" ca="1" si="25"/>
        <v>114927763.46322337</v>
      </c>
      <c r="F776" s="363">
        <f>DATE('Profit Calculation'!J$6,'Profit Calculation'!R$6+A776-1,'Profit Calculation'!Z$6)</f>
        <v>65654</v>
      </c>
      <c r="G776" s="364">
        <f ca="1">IF(Q$27=2,IF(LOOKUP(F776,X$1:X$35,X$1:X$35) = F776,ROUND(LOOKUP(LOOKUP(F776,X$1:X$35,A:A),Single!A$2:A$107,Table13[Saving]),0),IF( LOOKUP(F776,W$1:W$35,W$1:W$35) =
 F776,ROUND(G775*(1+IF($Q$18&lt;6,$R$14,IF($Q$18&lt;11,$R$15,$R$16)))^(1/12),0),G775*(1+IF($Q$18&lt;6,$R$14,IF($Q$18&lt;11,$R$15,$R$16)))^(1/12))),IF(LOOKUP(F776,X$1:X$35,X$1:X$35) = F776,ROUND(LOOKUP(LOOKUP(F776,X$1:X$35,A:A),'Annual Calculation'!A$2:A$107,Table1[Saving]),0),IF( LOOKUP(F776,W$1:W$35,W$1:W$35) =
 F776,ROUND(G775*(1+IF($Q$18&lt;6,$R$14,IF($Q$18&lt;11,$R$15,$R$16)))^(1/12),0),G775*(1+IF($Q$18&lt;6,$R$14,IF($Q$18&lt;11,$R$15,$R$16)))^(1/12))))</f>
        <v>0</v>
      </c>
    </row>
    <row r="777" spans="1:7">
      <c r="A777" s="348">
        <f t="shared" si="26"/>
        <v>776</v>
      </c>
      <c r="B777" s="360">
        <f>DATE('Profit Calculation'!J$6,A$2,A$2+A777-1)</f>
        <v>42780</v>
      </c>
      <c r="D777" s="362">
        <f t="shared" ca="1" si="25"/>
        <v>114971778.81416482</v>
      </c>
      <c r="F777" s="363">
        <f>DATE('Profit Calculation'!J$6,'Profit Calculation'!R$6+A777-1,'Profit Calculation'!Z$6)</f>
        <v>65685</v>
      </c>
      <c r="G777" s="364">
        <f ca="1">IF(Q$27=2,IF(LOOKUP(F777,X$1:X$35,X$1:X$35) = F777,ROUND(LOOKUP(LOOKUP(F777,X$1:X$35,A:A),Single!A$2:A$107,Table13[Saving]),0),IF( LOOKUP(F777,W$1:W$35,W$1:W$35) =
 F777,ROUND(G776*(1+IF($Q$18&lt;6,$R$14,IF($Q$18&lt;11,$R$15,$R$16)))^(1/12),0),G776*(1+IF($Q$18&lt;6,$R$14,IF($Q$18&lt;11,$R$15,$R$16)))^(1/12))),IF(LOOKUP(F777,X$1:X$35,X$1:X$35) = F777,ROUND(LOOKUP(LOOKUP(F777,X$1:X$35,A:A),'Annual Calculation'!A$2:A$107,Table1[Saving]),0),IF( LOOKUP(F777,W$1:W$35,W$1:W$35) =
 F777,ROUND(G776*(1+IF($Q$18&lt;6,$R$14,IF($Q$18&lt;11,$R$15,$R$16)))^(1/12),0),G776*(1+IF($Q$18&lt;6,$R$14,IF($Q$18&lt;11,$R$15,$R$16)))^(1/12))))</f>
        <v>0</v>
      </c>
    </row>
    <row r="778" spans="1:7">
      <c r="A778" s="348">
        <f t="shared" si="26"/>
        <v>777</v>
      </c>
      <c r="B778" s="360">
        <f>DATE('Profit Calculation'!J$6,A$2,A$2+A778-1)</f>
        <v>42781</v>
      </c>
      <c r="D778" s="362">
        <f t="shared" ca="1" si="25"/>
        <v>115015811.02222644</v>
      </c>
      <c r="F778" s="363">
        <f>DATE('Profit Calculation'!J$6,'Profit Calculation'!R$6+A778-1,'Profit Calculation'!Z$6)</f>
        <v>65715</v>
      </c>
      <c r="G778" s="364">
        <f ca="1">IF(Q$27=2,IF(LOOKUP(F778,X$1:X$35,X$1:X$35) = F778,ROUND(LOOKUP(LOOKUP(F778,X$1:X$35,A:A),Single!A$2:A$107,Table13[Saving]),0),IF( LOOKUP(F778,W$1:W$35,W$1:W$35) =
 F778,ROUND(G777*(1+IF($Q$18&lt;6,$R$14,IF($Q$18&lt;11,$R$15,$R$16)))^(1/12),0),G777*(1+IF($Q$18&lt;6,$R$14,IF($Q$18&lt;11,$R$15,$R$16)))^(1/12))),IF(LOOKUP(F778,X$1:X$35,X$1:X$35) = F778,ROUND(LOOKUP(LOOKUP(F778,X$1:X$35,A:A),'Annual Calculation'!A$2:A$107,Table1[Saving]),0),IF( LOOKUP(F778,W$1:W$35,W$1:W$35) =
 F778,ROUND(G777*(1+IF($Q$18&lt;6,$R$14,IF($Q$18&lt;11,$R$15,$R$16)))^(1/12),0),G777*(1+IF($Q$18&lt;6,$R$14,IF($Q$18&lt;11,$R$15,$R$16)))^(1/12))))</f>
        <v>0</v>
      </c>
    </row>
    <row r="779" spans="1:7">
      <c r="A779" s="348">
        <f t="shared" si="26"/>
        <v>778</v>
      </c>
      <c r="B779" s="360">
        <f>DATE('Profit Calculation'!J$6,A$2,A$2+A779-1)</f>
        <v>42782</v>
      </c>
      <c r="D779" s="362">
        <f t="shared" ca="1" si="25"/>
        <v>115059860.0938642</v>
      </c>
      <c r="F779" s="363">
        <f>DATE('Profit Calculation'!J$6,'Profit Calculation'!R$6+A779-1,'Profit Calculation'!Z$6)</f>
        <v>65746</v>
      </c>
      <c r="G779" s="364">
        <f ca="1">IF(Q$27=2,IF(LOOKUP(F779,X$1:X$35,X$1:X$35) = F779,ROUND(LOOKUP(LOOKUP(F779,X$1:X$35,A:A),Single!A$2:A$107,Table13[Saving]),0),IF( LOOKUP(F779,W$1:W$35,W$1:W$35) =
 F779,ROUND(G778*(1+IF($Q$18&lt;6,$R$14,IF($Q$18&lt;11,$R$15,$R$16)))^(1/12),0),G778*(1+IF($Q$18&lt;6,$R$14,IF($Q$18&lt;11,$R$15,$R$16)))^(1/12))),IF(LOOKUP(F779,X$1:X$35,X$1:X$35) = F779,ROUND(LOOKUP(LOOKUP(F779,X$1:X$35,A:A),'Annual Calculation'!A$2:A$107,Table1[Saving]),0),IF( LOOKUP(F779,W$1:W$35,W$1:W$35) =
 F779,ROUND(G778*(1+IF($Q$18&lt;6,$R$14,IF($Q$18&lt;11,$R$15,$R$16)))^(1/12),0),G778*(1+IF($Q$18&lt;6,$R$14,IF($Q$18&lt;11,$R$15,$R$16)))^(1/12))))</f>
        <v>0</v>
      </c>
    </row>
    <row r="780" spans="1:7">
      <c r="A780" s="348">
        <f t="shared" si="26"/>
        <v>779</v>
      </c>
      <c r="B780" s="360">
        <f>DATE('Profit Calculation'!J$6,A$2,A$2+A780-1)</f>
        <v>42783</v>
      </c>
      <c r="D780" s="362">
        <f t="shared" ca="1" si="25"/>
        <v>115103926.03553657</v>
      </c>
      <c r="F780" s="363">
        <f>DATE('Profit Calculation'!J$6,'Profit Calculation'!R$6+A780-1,'Profit Calculation'!Z$6)</f>
        <v>65777</v>
      </c>
      <c r="G780" s="364">
        <f ca="1">IF(Q$27=2,IF(LOOKUP(F780,X$1:X$35,X$1:X$35) = F780,ROUND(LOOKUP(LOOKUP(F780,X$1:X$35,A:A),Single!A$2:A$107,Table13[Saving]),0),IF( LOOKUP(F780,W$1:W$35,W$1:W$35) =
 F780,ROUND(G779*(1+IF($Q$18&lt;6,$R$14,IF($Q$18&lt;11,$R$15,$R$16)))^(1/12),0),G779*(1+IF($Q$18&lt;6,$R$14,IF($Q$18&lt;11,$R$15,$R$16)))^(1/12))),IF(LOOKUP(F780,X$1:X$35,X$1:X$35) = F780,ROUND(LOOKUP(LOOKUP(F780,X$1:X$35,A:A),'Annual Calculation'!A$2:A$107,Table1[Saving]),0),IF( LOOKUP(F780,W$1:W$35,W$1:W$35) =
 F780,ROUND(G779*(1+IF($Q$18&lt;6,$R$14,IF($Q$18&lt;11,$R$15,$R$16)))^(1/12),0),G779*(1+IF($Q$18&lt;6,$R$14,IF($Q$18&lt;11,$R$15,$R$16)))^(1/12))))</f>
        <v>0</v>
      </c>
    </row>
    <row r="781" spans="1:7">
      <c r="A781" s="348">
        <f t="shared" si="26"/>
        <v>780</v>
      </c>
      <c r="B781" s="360">
        <f>DATE('Profit Calculation'!J$6,A$2,A$2+A781-1)</f>
        <v>42784</v>
      </c>
      <c r="D781" s="362">
        <f t="shared" ca="1" si="25"/>
        <v>115148008.85370448</v>
      </c>
      <c r="F781" s="363">
        <f>DATE('Profit Calculation'!J$6,'Profit Calculation'!R$6+A781-1,'Profit Calculation'!Z$6)</f>
        <v>65806</v>
      </c>
      <c r="G781" s="364">
        <f ca="1">IF(Q$27=2,IF(LOOKUP(F781,X$1:X$35,X$1:X$35) = F781,ROUND(LOOKUP(LOOKUP(F781,X$1:X$35,A:A),Single!A$2:A$107,Table13[Saving]),0),IF( LOOKUP(F781,W$1:W$35,W$1:W$35) =
 F781,ROUND(G780*(1+IF($Q$18&lt;6,$R$14,IF($Q$18&lt;11,$R$15,$R$16)))^(1/12),0),G780*(1+IF($Q$18&lt;6,$R$14,IF($Q$18&lt;11,$R$15,$R$16)))^(1/12))),IF(LOOKUP(F781,X$1:X$35,X$1:X$35) = F781,ROUND(LOOKUP(LOOKUP(F781,X$1:X$35,A:A),'Annual Calculation'!A$2:A$107,Table1[Saving]),0),IF( LOOKUP(F781,W$1:W$35,W$1:W$35) =
 F781,ROUND(G780*(1+IF($Q$18&lt;6,$R$14,IF($Q$18&lt;11,$R$15,$R$16)))^(1/12),0),G780*(1+IF($Q$18&lt;6,$R$14,IF($Q$18&lt;11,$R$15,$R$16)))^(1/12))))</f>
        <v>0</v>
      </c>
    </row>
    <row r="782" spans="1:7">
      <c r="A782" s="348">
        <f t="shared" si="26"/>
        <v>781</v>
      </c>
      <c r="B782" s="360">
        <f>DATE('Profit Calculation'!J$6,A$2,A$2+A782-1)</f>
        <v>42785</v>
      </c>
      <c r="D782" s="362">
        <f t="shared" ca="1" si="25"/>
        <v>115192108.55483133</v>
      </c>
      <c r="F782" s="363">
        <f>DATE('Profit Calculation'!J$6,'Profit Calculation'!R$6+A782-1,'Profit Calculation'!Z$6)</f>
        <v>65837</v>
      </c>
      <c r="G782" s="364">
        <f ca="1">IF(Q$27=2,IF(LOOKUP(F782,X$1:X$35,X$1:X$35) = F782,ROUND(LOOKUP(LOOKUP(F782,X$1:X$35,A:A),Single!A$2:A$107,Table13[Saving]),0),IF( LOOKUP(F782,W$1:W$35,W$1:W$35) =
 F782,ROUND(G781*(1+IF($Q$18&lt;6,$R$14,IF($Q$18&lt;11,$R$15,$R$16)))^(1/12),0),G781*(1+IF($Q$18&lt;6,$R$14,IF($Q$18&lt;11,$R$15,$R$16)))^(1/12))),IF(LOOKUP(F782,X$1:X$35,X$1:X$35) = F782,ROUND(LOOKUP(LOOKUP(F782,X$1:X$35,A:A),'Annual Calculation'!A$2:A$107,Table1[Saving]),0),IF( LOOKUP(F782,W$1:W$35,W$1:W$35) =
 F782,ROUND(G781*(1+IF($Q$18&lt;6,$R$14,IF($Q$18&lt;11,$R$15,$R$16)))^(1/12),0),G781*(1+IF($Q$18&lt;6,$R$14,IF($Q$18&lt;11,$R$15,$R$16)))^(1/12))))</f>
        <v>0</v>
      </c>
    </row>
    <row r="783" spans="1:7">
      <c r="A783" s="348">
        <f t="shared" si="26"/>
        <v>782</v>
      </c>
      <c r="B783" s="360">
        <f>DATE('Profit Calculation'!J$6,A$2,A$2+A783-1)</f>
        <v>42786</v>
      </c>
      <c r="D783" s="362">
        <f t="shared" ca="1" si="25"/>
        <v>115236225.145383</v>
      </c>
      <c r="F783" s="363">
        <f>DATE('Profit Calculation'!J$6,'Profit Calculation'!R$6+A783-1,'Profit Calculation'!Z$6)</f>
        <v>65867</v>
      </c>
      <c r="G783" s="364">
        <f ca="1">IF(Q$27=2,IF(LOOKUP(F783,X$1:X$35,X$1:X$35) = F783,ROUND(LOOKUP(LOOKUP(F783,X$1:X$35,A:A),Single!A$2:A$107,Table13[Saving]),0),IF( LOOKUP(F783,W$1:W$35,W$1:W$35) =
 F783,ROUND(G782*(1+IF($Q$18&lt;6,$R$14,IF($Q$18&lt;11,$R$15,$R$16)))^(1/12),0),G782*(1+IF($Q$18&lt;6,$R$14,IF($Q$18&lt;11,$R$15,$R$16)))^(1/12))),IF(LOOKUP(F783,X$1:X$35,X$1:X$35) = F783,ROUND(LOOKUP(LOOKUP(F783,X$1:X$35,A:A),'Annual Calculation'!A$2:A$107,Table1[Saving]),0),IF( LOOKUP(F783,W$1:W$35,W$1:W$35) =
 F783,ROUND(G782*(1+IF($Q$18&lt;6,$R$14,IF($Q$18&lt;11,$R$15,$R$16)))^(1/12),0),G782*(1+IF($Q$18&lt;6,$R$14,IF($Q$18&lt;11,$R$15,$R$16)))^(1/12))))</f>
        <v>0</v>
      </c>
    </row>
    <row r="784" spans="1:7">
      <c r="A784" s="348">
        <f t="shared" si="26"/>
        <v>783</v>
      </c>
      <c r="B784" s="360">
        <f>DATE('Profit Calculation'!J$6,A$2,A$2+A784-1)</f>
        <v>42787</v>
      </c>
      <c r="D784" s="362">
        <f t="shared" ca="1" si="25"/>
        <v>115280358.63182786</v>
      </c>
      <c r="F784" s="363">
        <f>DATE('Profit Calculation'!J$6,'Profit Calculation'!R$6+A784-1,'Profit Calculation'!Z$6)</f>
        <v>65898</v>
      </c>
      <c r="G784" s="364">
        <f ca="1">IF(Q$27=2,IF(LOOKUP(F784,X$1:X$35,X$1:X$35) = F784,ROUND(LOOKUP(LOOKUP(F784,X$1:X$35,A:A),Single!A$2:A$107,Table13[Saving]),0),IF( LOOKUP(F784,W$1:W$35,W$1:W$35) =
 F784,ROUND(G783*(1+IF($Q$18&lt;6,$R$14,IF($Q$18&lt;11,$R$15,$R$16)))^(1/12),0),G783*(1+IF($Q$18&lt;6,$R$14,IF($Q$18&lt;11,$R$15,$R$16)))^(1/12))),IF(LOOKUP(F784,X$1:X$35,X$1:X$35) = F784,ROUND(LOOKUP(LOOKUP(F784,X$1:X$35,A:A),'Annual Calculation'!A$2:A$107,Table1[Saving]),0),IF( LOOKUP(F784,W$1:W$35,W$1:W$35) =
 F784,ROUND(G783*(1+IF($Q$18&lt;6,$R$14,IF($Q$18&lt;11,$R$15,$R$16)))^(1/12),0),G783*(1+IF($Q$18&lt;6,$R$14,IF($Q$18&lt;11,$R$15,$R$16)))^(1/12))))</f>
        <v>0</v>
      </c>
    </row>
    <row r="785" spans="1:7">
      <c r="A785" s="348">
        <f t="shared" si="26"/>
        <v>784</v>
      </c>
      <c r="B785" s="360">
        <f>DATE('Profit Calculation'!J$6,A$2,A$2+A785-1)</f>
        <v>42788</v>
      </c>
      <c r="D785" s="362">
        <f t="shared" ca="1" si="25"/>
        <v>115324509.02063674</v>
      </c>
      <c r="F785" s="363">
        <f>DATE('Profit Calculation'!J$6,'Profit Calculation'!R$6+A785-1,'Profit Calculation'!Z$6)</f>
        <v>65928</v>
      </c>
      <c r="G785" s="364">
        <f ca="1">IF(Q$27=2,IF(LOOKUP(F785,X$1:X$35,X$1:X$35) = F785,ROUND(LOOKUP(LOOKUP(F785,X$1:X$35,A:A),Single!A$2:A$107,Table13[Saving]),0),IF( LOOKUP(F785,W$1:W$35,W$1:W$35) =
 F785,ROUND(G784*(1+IF($Q$18&lt;6,$R$14,IF($Q$18&lt;11,$R$15,$R$16)))^(1/12),0),G784*(1+IF($Q$18&lt;6,$R$14,IF($Q$18&lt;11,$R$15,$R$16)))^(1/12))),IF(LOOKUP(F785,X$1:X$35,X$1:X$35) = F785,ROUND(LOOKUP(LOOKUP(F785,X$1:X$35,A:A),'Annual Calculation'!A$2:A$107,Table1[Saving]),0),IF( LOOKUP(F785,W$1:W$35,W$1:W$35) =
 F785,ROUND(G784*(1+IF($Q$18&lt;6,$R$14,IF($Q$18&lt;11,$R$15,$R$16)))^(1/12),0),G784*(1+IF($Q$18&lt;6,$R$14,IF($Q$18&lt;11,$R$15,$R$16)))^(1/12))))</f>
        <v>0</v>
      </c>
    </row>
    <row r="786" spans="1:7">
      <c r="A786" s="348">
        <f t="shared" si="26"/>
        <v>785</v>
      </c>
      <c r="B786" s="360">
        <f>DATE('Profit Calculation'!J$6,A$2,A$2+A786-1)</f>
        <v>42789</v>
      </c>
      <c r="D786" s="362">
        <f t="shared" ca="1" si="25"/>
        <v>115368676.31828295</v>
      </c>
      <c r="F786" s="363">
        <f>DATE('Profit Calculation'!J$6,'Profit Calculation'!R$6+A786-1,'Profit Calculation'!Z$6)</f>
        <v>65959</v>
      </c>
      <c r="G786" s="364">
        <f ca="1">IF(Q$27=2,IF(LOOKUP(F786,X$1:X$35,X$1:X$35) = F786,ROUND(LOOKUP(LOOKUP(F786,X$1:X$35,A:A),Single!A$2:A$107,Table13[Saving]),0),IF( LOOKUP(F786,W$1:W$35,W$1:W$35) =
 F786,ROUND(G785*(1+IF($Q$18&lt;6,$R$14,IF($Q$18&lt;11,$R$15,$R$16)))^(1/12),0),G785*(1+IF($Q$18&lt;6,$R$14,IF($Q$18&lt;11,$R$15,$R$16)))^(1/12))),IF(LOOKUP(F786,X$1:X$35,X$1:X$35) = F786,ROUND(LOOKUP(LOOKUP(F786,X$1:X$35,A:A),'Annual Calculation'!A$2:A$107,Table1[Saving]),0),IF( LOOKUP(F786,W$1:W$35,W$1:W$35) =
 F786,ROUND(G785*(1+IF($Q$18&lt;6,$R$14,IF($Q$18&lt;11,$R$15,$R$16)))^(1/12),0),G785*(1+IF($Q$18&lt;6,$R$14,IF($Q$18&lt;11,$R$15,$R$16)))^(1/12))))</f>
        <v>0</v>
      </c>
    </row>
    <row r="787" spans="1:7">
      <c r="A787" s="348">
        <f t="shared" si="26"/>
        <v>786</v>
      </c>
      <c r="B787" s="360">
        <f>DATE('Profit Calculation'!J$6,A$2,A$2+A787-1)</f>
        <v>42790</v>
      </c>
      <c r="D787" s="362">
        <f t="shared" ca="1" si="25"/>
        <v>115412860.5312423</v>
      </c>
      <c r="F787" s="363">
        <f>DATE('Profit Calculation'!J$6,'Profit Calculation'!R$6+A787-1,'Profit Calculation'!Z$6)</f>
        <v>65990</v>
      </c>
      <c r="G787" s="364">
        <f ca="1">IF(Q$27=2,IF(LOOKUP(F787,X$1:X$35,X$1:X$35) = F787,ROUND(LOOKUP(LOOKUP(F787,X$1:X$35,A:A),Single!A$2:A$107,Table13[Saving]),0),IF( LOOKUP(F787,W$1:W$35,W$1:W$35) =
 F787,ROUND(G786*(1+IF($Q$18&lt;6,$R$14,IF($Q$18&lt;11,$R$15,$R$16)))^(1/12),0),G786*(1+IF($Q$18&lt;6,$R$14,IF($Q$18&lt;11,$R$15,$R$16)))^(1/12))),IF(LOOKUP(F787,X$1:X$35,X$1:X$35) = F787,ROUND(LOOKUP(LOOKUP(F787,X$1:X$35,A:A),'Annual Calculation'!A$2:A$107,Table1[Saving]),0),IF( LOOKUP(F787,W$1:W$35,W$1:W$35) =
 F787,ROUND(G786*(1+IF($Q$18&lt;6,$R$14,IF($Q$18&lt;11,$R$15,$R$16)))^(1/12),0),G786*(1+IF($Q$18&lt;6,$R$14,IF($Q$18&lt;11,$R$15,$R$16)))^(1/12))))</f>
        <v>0</v>
      </c>
    </row>
    <row r="788" spans="1:7">
      <c r="A788" s="348">
        <f t="shared" si="26"/>
        <v>787</v>
      </c>
      <c r="B788" s="360">
        <f>DATE('Profit Calculation'!J$6,A$2,A$2+A788-1)</f>
        <v>42791</v>
      </c>
      <c r="D788" s="362">
        <f t="shared" ca="1" si="25"/>
        <v>115457061.66599303</v>
      </c>
      <c r="F788" s="363">
        <f>DATE('Profit Calculation'!J$6,'Profit Calculation'!R$6+A788-1,'Profit Calculation'!Z$6)</f>
        <v>66020</v>
      </c>
      <c r="G788" s="364">
        <f ca="1">IF(Q$27=2,IF(LOOKUP(F788,X$1:X$35,X$1:X$35) = F788,ROUND(LOOKUP(LOOKUP(F788,X$1:X$35,A:A),Single!A$2:A$107,Table13[Saving]),0),IF( LOOKUP(F788,W$1:W$35,W$1:W$35) =
 F788,ROUND(G787*(1+IF($Q$18&lt;6,$R$14,IF($Q$18&lt;11,$R$15,$R$16)))^(1/12),0),G787*(1+IF($Q$18&lt;6,$R$14,IF($Q$18&lt;11,$R$15,$R$16)))^(1/12))),IF(LOOKUP(F788,X$1:X$35,X$1:X$35) = F788,ROUND(LOOKUP(LOOKUP(F788,X$1:X$35,A:A),'Annual Calculation'!A$2:A$107,Table1[Saving]),0),IF( LOOKUP(F788,W$1:W$35,W$1:W$35) =
 F788,ROUND(G787*(1+IF($Q$18&lt;6,$R$14,IF($Q$18&lt;11,$R$15,$R$16)))^(1/12),0),G787*(1+IF($Q$18&lt;6,$R$14,IF($Q$18&lt;11,$R$15,$R$16)))^(1/12))))</f>
        <v>0</v>
      </c>
    </row>
    <row r="789" spans="1:7">
      <c r="A789" s="348">
        <f t="shared" si="26"/>
        <v>788</v>
      </c>
      <c r="B789" s="360">
        <f>DATE('Profit Calculation'!J$6,A$2,A$2+A789-1)</f>
        <v>42792</v>
      </c>
      <c r="D789" s="362">
        <f t="shared" ca="1" si="25"/>
        <v>115501279.72901593</v>
      </c>
      <c r="F789" s="363">
        <f>DATE('Profit Calculation'!J$6,'Profit Calculation'!R$6+A789-1,'Profit Calculation'!Z$6)</f>
        <v>66051</v>
      </c>
      <c r="G789" s="364">
        <f ca="1">IF(Q$27=2,IF(LOOKUP(F789,X$1:X$35,X$1:X$35) = F789,ROUND(LOOKUP(LOOKUP(F789,X$1:X$35,A:A),Single!A$2:A$107,Table13[Saving]),0),IF( LOOKUP(F789,W$1:W$35,W$1:W$35) =
 F789,ROUND(G788*(1+IF($Q$18&lt;6,$R$14,IF($Q$18&lt;11,$R$15,$R$16)))^(1/12),0),G788*(1+IF($Q$18&lt;6,$R$14,IF($Q$18&lt;11,$R$15,$R$16)))^(1/12))),IF(LOOKUP(F789,X$1:X$35,X$1:X$35) = F789,ROUND(LOOKUP(LOOKUP(F789,X$1:X$35,A:A),'Annual Calculation'!A$2:A$107,Table1[Saving]),0),IF( LOOKUP(F789,W$1:W$35,W$1:W$35) =
 F789,ROUND(G788*(1+IF($Q$18&lt;6,$R$14,IF($Q$18&lt;11,$R$15,$R$16)))^(1/12),0),G788*(1+IF($Q$18&lt;6,$R$14,IF($Q$18&lt;11,$R$15,$R$16)))^(1/12))))</f>
        <v>0</v>
      </c>
    </row>
    <row r="790" spans="1:7">
      <c r="A790" s="348">
        <f t="shared" si="26"/>
        <v>789</v>
      </c>
      <c r="B790" s="360">
        <f>DATE('Profit Calculation'!J$6,A$2,A$2+A790-1)</f>
        <v>42793</v>
      </c>
      <c r="D790" s="362">
        <f t="shared" ca="1" si="25"/>
        <v>115545514.72679423</v>
      </c>
      <c r="F790" s="363">
        <f>DATE('Profit Calculation'!J$6,'Profit Calculation'!R$6+A790-1,'Profit Calculation'!Z$6)</f>
        <v>66081</v>
      </c>
      <c r="G790" s="364">
        <f ca="1">IF(Q$27=2,IF(LOOKUP(F790,X$1:X$35,X$1:X$35) = F790,ROUND(LOOKUP(LOOKUP(F790,X$1:X$35,A:A),Single!A$2:A$107,Table13[Saving]),0),IF( LOOKUP(F790,W$1:W$35,W$1:W$35) =
 F790,ROUND(G789*(1+IF($Q$18&lt;6,$R$14,IF($Q$18&lt;11,$R$15,$R$16)))^(1/12),0),G789*(1+IF($Q$18&lt;6,$R$14,IF($Q$18&lt;11,$R$15,$R$16)))^(1/12))),IF(LOOKUP(F790,X$1:X$35,X$1:X$35) = F790,ROUND(LOOKUP(LOOKUP(F790,X$1:X$35,A:A),'Annual Calculation'!A$2:A$107,Table1[Saving]),0),IF( LOOKUP(F790,W$1:W$35,W$1:W$35) =
 F790,ROUND(G789*(1+IF($Q$18&lt;6,$R$14,IF($Q$18&lt;11,$R$15,$R$16)))^(1/12),0),G789*(1+IF($Q$18&lt;6,$R$14,IF($Q$18&lt;11,$R$15,$R$16)))^(1/12))))</f>
        <v>0</v>
      </c>
    </row>
    <row r="791" spans="1:7">
      <c r="A791" s="348">
        <f t="shared" si="26"/>
        <v>790</v>
      </c>
      <c r="B791" s="360">
        <f>DATE('Profit Calculation'!J$6,A$2,A$2+A791-1)</f>
        <v>42794</v>
      </c>
      <c r="D791" s="362">
        <f t="shared" ca="1" si="25"/>
        <v>115589766.66581362</v>
      </c>
      <c r="F791" s="363">
        <f>DATE('Profit Calculation'!J$6,'Profit Calculation'!R$6+A791-1,'Profit Calculation'!Z$6)</f>
        <v>66112</v>
      </c>
      <c r="G791" s="364">
        <f ca="1">IF(Q$27=2,IF(LOOKUP(F791,X$1:X$35,X$1:X$35) = F791,ROUND(LOOKUP(LOOKUP(F791,X$1:X$35,A:A),Single!A$2:A$107,Table13[Saving]),0),IF( LOOKUP(F791,W$1:W$35,W$1:W$35) =
 F791,ROUND(G790*(1+IF($Q$18&lt;6,$R$14,IF($Q$18&lt;11,$R$15,$R$16)))^(1/12),0),G790*(1+IF($Q$18&lt;6,$R$14,IF($Q$18&lt;11,$R$15,$R$16)))^(1/12))),IF(LOOKUP(F791,X$1:X$35,X$1:X$35) = F791,ROUND(LOOKUP(LOOKUP(F791,X$1:X$35,A:A),'Annual Calculation'!A$2:A$107,Table1[Saving]),0),IF( LOOKUP(F791,W$1:W$35,W$1:W$35) =
 F791,ROUND(G790*(1+IF($Q$18&lt;6,$R$14,IF($Q$18&lt;11,$R$15,$R$16)))^(1/12),0),G790*(1+IF($Q$18&lt;6,$R$14,IF($Q$18&lt;11,$R$15,$R$16)))^(1/12))))</f>
        <v>0</v>
      </c>
    </row>
    <row r="792" spans="1:7">
      <c r="A792" s="348">
        <f t="shared" si="26"/>
        <v>791</v>
      </c>
      <c r="B792" s="360">
        <f>DATE('Profit Calculation'!J$6,A$2,A$2+A792-1)</f>
        <v>42795</v>
      </c>
      <c r="D792" s="362">
        <f t="shared" ca="1" si="25"/>
        <v>115634035.55256234</v>
      </c>
      <c r="F792" s="363">
        <f>DATE('Profit Calculation'!J$6,'Profit Calculation'!R$6+A792-1,'Profit Calculation'!Z$6)</f>
        <v>66143</v>
      </c>
      <c r="G792" s="364">
        <f ca="1">IF(Q$27=2,IF(LOOKUP(F792,X$1:X$35,X$1:X$35) = F792,ROUND(LOOKUP(LOOKUP(F792,X$1:X$35,A:A),Single!A$2:A$107,Table13[Saving]),0),IF( LOOKUP(F792,W$1:W$35,W$1:W$35) =
 F792,ROUND(G791*(1+IF($Q$18&lt;6,$R$14,IF($Q$18&lt;11,$R$15,$R$16)))^(1/12),0),G791*(1+IF($Q$18&lt;6,$R$14,IF($Q$18&lt;11,$R$15,$R$16)))^(1/12))),IF(LOOKUP(F792,X$1:X$35,X$1:X$35) = F792,ROUND(LOOKUP(LOOKUP(F792,X$1:X$35,A:A),'Annual Calculation'!A$2:A$107,Table1[Saving]),0),IF( LOOKUP(F792,W$1:W$35,W$1:W$35) =
 F792,ROUND(G791*(1+IF($Q$18&lt;6,$R$14,IF($Q$18&lt;11,$R$15,$R$16)))^(1/12),0),G791*(1+IF($Q$18&lt;6,$R$14,IF($Q$18&lt;11,$R$15,$R$16)))^(1/12))))</f>
        <v>0</v>
      </c>
    </row>
    <row r="793" spans="1:7">
      <c r="A793" s="348">
        <f t="shared" si="26"/>
        <v>792</v>
      </c>
      <c r="B793" s="360">
        <f>DATE('Profit Calculation'!J$6,A$2,A$2+A793-1)</f>
        <v>42796</v>
      </c>
      <c r="D793" s="362">
        <f t="shared" ca="1" si="25"/>
        <v>115678321.39353105</v>
      </c>
      <c r="F793" s="363">
        <f>DATE('Profit Calculation'!J$6,'Profit Calculation'!R$6+A793-1,'Profit Calculation'!Z$6)</f>
        <v>66171</v>
      </c>
      <c r="G793" s="364">
        <f ca="1">IF(Q$27=2,IF(LOOKUP(F793,X$1:X$35,X$1:X$35) = F793,ROUND(LOOKUP(LOOKUP(F793,X$1:X$35,A:A),Single!A$2:A$107,Table13[Saving]),0),IF( LOOKUP(F793,W$1:W$35,W$1:W$35) =
 F793,ROUND(G792*(1+IF($Q$18&lt;6,$R$14,IF($Q$18&lt;11,$R$15,$R$16)))^(1/12),0),G792*(1+IF($Q$18&lt;6,$R$14,IF($Q$18&lt;11,$R$15,$R$16)))^(1/12))),IF(LOOKUP(F793,X$1:X$35,X$1:X$35) = F793,ROUND(LOOKUP(LOOKUP(F793,X$1:X$35,A:A),'Annual Calculation'!A$2:A$107,Table1[Saving]),0),IF( LOOKUP(F793,W$1:W$35,W$1:W$35) =
 F793,ROUND(G792*(1+IF($Q$18&lt;6,$R$14,IF($Q$18&lt;11,$R$15,$R$16)))^(1/12),0),G792*(1+IF($Q$18&lt;6,$R$14,IF($Q$18&lt;11,$R$15,$R$16)))^(1/12))))</f>
        <v>0</v>
      </c>
    </row>
    <row r="794" spans="1:7">
      <c r="A794" s="348">
        <f t="shared" si="26"/>
        <v>793</v>
      </c>
      <c r="B794" s="360">
        <f>DATE('Profit Calculation'!J$6,A$2,A$2+A794-1)</f>
        <v>42797</v>
      </c>
      <c r="D794" s="362">
        <f t="shared" ca="1" si="25"/>
        <v>115722624.19521295</v>
      </c>
      <c r="F794" s="363">
        <f>DATE('Profit Calculation'!J$6,'Profit Calculation'!R$6+A794-1,'Profit Calculation'!Z$6)</f>
        <v>66202</v>
      </c>
      <c r="G794" s="364">
        <f ca="1">IF(Q$27=2,IF(LOOKUP(F794,X$1:X$35,X$1:X$35) = F794,ROUND(LOOKUP(LOOKUP(F794,X$1:X$35,A:A),Single!A$2:A$107,Table13[Saving]),0),IF( LOOKUP(F794,W$1:W$35,W$1:W$35) =
 F794,ROUND(G793*(1+IF($Q$18&lt;6,$R$14,IF($Q$18&lt;11,$R$15,$R$16)))^(1/12),0),G793*(1+IF($Q$18&lt;6,$R$14,IF($Q$18&lt;11,$R$15,$R$16)))^(1/12))),IF(LOOKUP(F794,X$1:X$35,X$1:X$35) = F794,ROUND(LOOKUP(LOOKUP(F794,X$1:X$35,A:A),'Annual Calculation'!A$2:A$107,Table1[Saving]),0),IF( LOOKUP(F794,W$1:W$35,W$1:W$35) =
 F794,ROUND(G793*(1+IF($Q$18&lt;6,$R$14,IF($Q$18&lt;11,$R$15,$R$16)))^(1/12),0),G793*(1+IF($Q$18&lt;6,$R$14,IF($Q$18&lt;11,$R$15,$R$16)))^(1/12))))</f>
        <v>0</v>
      </c>
    </row>
    <row r="795" spans="1:7">
      <c r="A795" s="348">
        <f t="shared" si="26"/>
        <v>794</v>
      </c>
      <c r="B795" s="360">
        <f>DATE('Profit Calculation'!J$6,A$2,A$2+A795-1)</f>
        <v>42798</v>
      </c>
      <c r="D795" s="362">
        <f t="shared" ca="1" si="25"/>
        <v>115766943.96410367</v>
      </c>
      <c r="F795" s="363">
        <f>DATE('Profit Calculation'!J$6,'Profit Calculation'!R$6+A795-1,'Profit Calculation'!Z$6)</f>
        <v>66232</v>
      </c>
      <c r="G795" s="364">
        <f ca="1">IF(Q$27=2,IF(LOOKUP(F795,X$1:X$35,X$1:X$35) = F795,ROUND(LOOKUP(LOOKUP(F795,X$1:X$35,A:A),Single!A$2:A$107,Table13[Saving]),0),IF( LOOKUP(F795,W$1:W$35,W$1:W$35) =
 F795,ROUND(G794*(1+IF($Q$18&lt;6,$R$14,IF($Q$18&lt;11,$R$15,$R$16)))^(1/12),0),G794*(1+IF($Q$18&lt;6,$R$14,IF($Q$18&lt;11,$R$15,$R$16)))^(1/12))),IF(LOOKUP(F795,X$1:X$35,X$1:X$35) = F795,ROUND(LOOKUP(LOOKUP(F795,X$1:X$35,A:A),'Annual Calculation'!A$2:A$107,Table1[Saving]),0),IF( LOOKUP(F795,W$1:W$35,W$1:W$35) =
 F795,ROUND(G794*(1+IF($Q$18&lt;6,$R$14,IF($Q$18&lt;11,$R$15,$R$16)))^(1/12),0),G794*(1+IF($Q$18&lt;6,$R$14,IF($Q$18&lt;11,$R$15,$R$16)))^(1/12))))</f>
        <v>0</v>
      </c>
    </row>
    <row r="796" spans="1:7">
      <c r="A796" s="348">
        <f t="shared" si="26"/>
        <v>795</v>
      </c>
      <c r="B796" s="360">
        <f>DATE('Profit Calculation'!J$6,A$2,A$2+A796-1)</f>
        <v>42799</v>
      </c>
      <c r="D796" s="362">
        <f t="shared" ca="1" si="25"/>
        <v>115811280.70670138</v>
      </c>
      <c r="F796" s="363">
        <f>DATE('Profit Calculation'!J$6,'Profit Calculation'!R$6+A796-1,'Profit Calculation'!Z$6)</f>
        <v>66263</v>
      </c>
      <c r="G796" s="364">
        <f ca="1">IF(Q$27=2,IF(LOOKUP(F796,X$1:X$35,X$1:X$35) = F796,ROUND(LOOKUP(LOOKUP(F796,X$1:X$35,A:A),Single!A$2:A$107,Table13[Saving]),0),IF( LOOKUP(F796,W$1:W$35,W$1:W$35) =
 F796,ROUND(G795*(1+IF($Q$18&lt;6,$R$14,IF($Q$18&lt;11,$R$15,$R$16)))^(1/12),0),G795*(1+IF($Q$18&lt;6,$R$14,IF($Q$18&lt;11,$R$15,$R$16)))^(1/12))),IF(LOOKUP(F796,X$1:X$35,X$1:X$35) = F796,ROUND(LOOKUP(LOOKUP(F796,X$1:X$35,A:A),'Annual Calculation'!A$2:A$107,Table1[Saving]),0),IF( LOOKUP(F796,W$1:W$35,W$1:W$35) =
 F796,ROUND(G795*(1+IF($Q$18&lt;6,$R$14,IF($Q$18&lt;11,$R$15,$R$16)))^(1/12),0),G795*(1+IF($Q$18&lt;6,$R$14,IF($Q$18&lt;11,$R$15,$R$16)))^(1/12))))</f>
        <v>0</v>
      </c>
    </row>
    <row r="797" spans="1:7">
      <c r="A797" s="348">
        <f t="shared" si="26"/>
        <v>796</v>
      </c>
      <c r="B797" s="360">
        <f>DATE('Profit Calculation'!J$6,A$2,A$2+A797-1)</f>
        <v>42800</v>
      </c>
      <c r="D797" s="362">
        <f t="shared" ca="1" si="25"/>
        <v>115855634.42950672</v>
      </c>
      <c r="F797" s="363">
        <f>DATE('Profit Calculation'!J$6,'Profit Calculation'!R$6+A797-1,'Profit Calculation'!Z$6)</f>
        <v>66293</v>
      </c>
      <c r="G797" s="364">
        <f ca="1">IF(Q$27=2,IF(LOOKUP(F797,X$1:X$35,X$1:X$35) = F797,ROUND(LOOKUP(LOOKUP(F797,X$1:X$35,A:A),Single!A$2:A$107,Table13[Saving]),0),IF( LOOKUP(F797,W$1:W$35,W$1:W$35) =
 F797,ROUND(G796*(1+IF($Q$18&lt;6,$R$14,IF($Q$18&lt;11,$R$15,$R$16)))^(1/12),0),G796*(1+IF($Q$18&lt;6,$R$14,IF($Q$18&lt;11,$R$15,$R$16)))^(1/12))),IF(LOOKUP(F797,X$1:X$35,X$1:X$35) = F797,ROUND(LOOKUP(LOOKUP(F797,X$1:X$35,A:A),'Annual Calculation'!A$2:A$107,Table1[Saving]),0),IF( LOOKUP(F797,W$1:W$35,W$1:W$35) =
 F797,ROUND(G796*(1+IF($Q$18&lt;6,$R$14,IF($Q$18&lt;11,$R$15,$R$16)))^(1/12),0),G796*(1+IF($Q$18&lt;6,$R$14,IF($Q$18&lt;11,$R$15,$R$16)))^(1/12))))</f>
        <v>0</v>
      </c>
    </row>
    <row r="798" spans="1:7">
      <c r="A798" s="348">
        <f t="shared" si="26"/>
        <v>797</v>
      </c>
      <c r="B798" s="360">
        <f>DATE('Profit Calculation'!J$6,A$2,A$2+A798-1)</f>
        <v>42801</v>
      </c>
      <c r="D798" s="362">
        <f t="shared" ca="1" si="25"/>
        <v>115900005.1390228</v>
      </c>
      <c r="F798" s="363">
        <f>DATE('Profit Calculation'!J$6,'Profit Calculation'!R$6+A798-1,'Profit Calculation'!Z$6)</f>
        <v>66324</v>
      </c>
      <c r="G798" s="364">
        <f ca="1">IF(Q$27=2,IF(LOOKUP(F798,X$1:X$35,X$1:X$35) = F798,ROUND(LOOKUP(LOOKUP(F798,X$1:X$35,A:A),Single!A$2:A$107,Table13[Saving]),0),IF( LOOKUP(F798,W$1:W$35,W$1:W$35) =
 F798,ROUND(G797*(1+IF($Q$18&lt;6,$R$14,IF($Q$18&lt;11,$R$15,$R$16)))^(1/12),0),G797*(1+IF($Q$18&lt;6,$R$14,IF($Q$18&lt;11,$R$15,$R$16)))^(1/12))),IF(LOOKUP(F798,X$1:X$35,X$1:X$35) = F798,ROUND(LOOKUP(LOOKUP(F798,X$1:X$35,A:A),'Annual Calculation'!A$2:A$107,Table1[Saving]),0),IF( LOOKUP(F798,W$1:W$35,W$1:W$35) =
 F798,ROUND(G797*(1+IF($Q$18&lt;6,$R$14,IF($Q$18&lt;11,$R$15,$R$16)))^(1/12),0),G797*(1+IF($Q$18&lt;6,$R$14,IF($Q$18&lt;11,$R$15,$R$16)))^(1/12))))</f>
        <v>0</v>
      </c>
    </row>
    <row r="799" spans="1:7">
      <c r="A799" s="348">
        <f t="shared" si="26"/>
        <v>798</v>
      </c>
      <c r="B799" s="360">
        <f>DATE('Profit Calculation'!J$6,A$2,A$2+A799-1)</f>
        <v>42802</v>
      </c>
      <c r="D799" s="362">
        <f t="shared" ca="1" si="25"/>
        <v>115944392.84175524</v>
      </c>
      <c r="F799" s="363">
        <f>DATE('Profit Calculation'!J$6,'Profit Calculation'!R$6+A799-1,'Profit Calculation'!Z$6)</f>
        <v>66355</v>
      </c>
      <c r="G799" s="364">
        <f ca="1">IF(Q$27=2,IF(LOOKUP(F799,X$1:X$35,X$1:X$35) = F799,ROUND(LOOKUP(LOOKUP(F799,X$1:X$35,A:A),Single!A$2:A$107,Table13[Saving]),0),IF( LOOKUP(F799,W$1:W$35,W$1:W$35) =
 F799,ROUND(G798*(1+IF($Q$18&lt;6,$R$14,IF($Q$18&lt;11,$R$15,$R$16)))^(1/12),0),G798*(1+IF($Q$18&lt;6,$R$14,IF($Q$18&lt;11,$R$15,$R$16)))^(1/12))),IF(LOOKUP(F799,X$1:X$35,X$1:X$35) = F799,ROUND(LOOKUP(LOOKUP(F799,X$1:X$35,A:A),'Annual Calculation'!A$2:A$107,Table1[Saving]),0),IF( LOOKUP(F799,W$1:W$35,W$1:W$35) =
 F799,ROUND(G798*(1+IF($Q$18&lt;6,$R$14,IF($Q$18&lt;11,$R$15,$R$16)))^(1/12),0),G798*(1+IF($Q$18&lt;6,$R$14,IF($Q$18&lt;11,$R$15,$R$16)))^(1/12))))</f>
        <v>0</v>
      </c>
    </row>
    <row r="800" spans="1:7">
      <c r="A800" s="348">
        <f t="shared" si="26"/>
        <v>799</v>
      </c>
      <c r="B800" s="360">
        <f>DATE('Profit Calculation'!J$6,A$2,A$2+A800-1)</f>
        <v>42803</v>
      </c>
      <c r="D800" s="362">
        <f t="shared" ca="1" si="25"/>
        <v>115988797.54421216</v>
      </c>
      <c r="F800" s="363">
        <f>DATE('Profit Calculation'!J$6,'Profit Calculation'!R$6+A800-1,'Profit Calculation'!Z$6)</f>
        <v>66385</v>
      </c>
      <c r="G800" s="364">
        <f ca="1">IF(Q$27=2,IF(LOOKUP(F800,X$1:X$35,X$1:X$35) = F800,ROUND(LOOKUP(LOOKUP(F800,X$1:X$35,A:A),Single!A$2:A$107,Table13[Saving]),0),IF( LOOKUP(F800,W$1:W$35,W$1:W$35) =
 F800,ROUND(G799*(1+IF($Q$18&lt;6,$R$14,IF($Q$18&lt;11,$R$15,$R$16)))^(1/12),0),G799*(1+IF($Q$18&lt;6,$R$14,IF($Q$18&lt;11,$R$15,$R$16)))^(1/12))),IF(LOOKUP(F800,X$1:X$35,X$1:X$35) = F800,ROUND(LOOKUP(LOOKUP(F800,X$1:X$35,A:A),'Annual Calculation'!A$2:A$107,Table1[Saving]),0),IF( LOOKUP(F800,W$1:W$35,W$1:W$35) =
 F800,ROUND(G799*(1+IF($Q$18&lt;6,$R$14,IF($Q$18&lt;11,$R$15,$R$16)))^(1/12),0),G799*(1+IF($Q$18&lt;6,$R$14,IF($Q$18&lt;11,$R$15,$R$16)))^(1/12))))</f>
        <v>0</v>
      </c>
    </row>
    <row r="801" spans="1:7">
      <c r="A801" s="348">
        <f t="shared" si="26"/>
        <v>800</v>
      </c>
      <c r="B801" s="360">
        <f>DATE('Profit Calculation'!J$6,A$2,A$2+A801-1)</f>
        <v>42804</v>
      </c>
      <c r="D801" s="362">
        <f t="shared" ca="1" si="25"/>
        <v>116033219.25290416</v>
      </c>
      <c r="F801" s="363">
        <f>DATE('Profit Calculation'!J$6,'Profit Calculation'!R$6+A801-1,'Profit Calculation'!Z$6)</f>
        <v>66416</v>
      </c>
      <c r="G801" s="364">
        <f ca="1">IF(Q$27=2,IF(LOOKUP(F801,X$1:X$35,X$1:X$35) = F801,ROUND(LOOKUP(LOOKUP(F801,X$1:X$35,A:A),Single!A$2:A$107,Table13[Saving]),0),IF( LOOKUP(F801,W$1:W$35,W$1:W$35) =
 F801,ROUND(G800*(1+IF($Q$18&lt;6,$R$14,IF($Q$18&lt;11,$R$15,$R$16)))^(1/12),0),G800*(1+IF($Q$18&lt;6,$R$14,IF($Q$18&lt;11,$R$15,$R$16)))^(1/12))),IF(LOOKUP(F801,X$1:X$35,X$1:X$35) = F801,ROUND(LOOKUP(LOOKUP(F801,X$1:X$35,A:A),'Annual Calculation'!A$2:A$107,Table1[Saving]),0),IF( LOOKUP(F801,W$1:W$35,W$1:W$35) =
 F801,ROUND(G800*(1+IF($Q$18&lt;6,$R$14,IF($Q$18&lt;11,$R$15,$R$16)))^(1/12),0),G800*(1+IF($Q$18&lt;6,$R$14,IF($Q$18&lt;11,$R$15,$R$16)))^(1/12))))</f>
        <v>0</v>
      </c>
    </row>
    <row r="802" spans="1:7">
      <c r="A802" s="348">
        <f t="shared" si="26"/>
        <v>801</v>
      </c>
      <c r="B802" s="360">
        <f>DATE('Profit Calculation'!J$6,A$2,A$2+A802-1)</f>
        <v>42805</v>
      </c>
      <c r="D802" s="362">
        <f t="shared" ca="1" si="25"/>
        <v>116077657.97434433</v>
      </c>
      <c r="F802" s="363">
        <f>DATE('Profit Calculation'!J$6,'Profit Calculation'!R$6+A802-1,'Profit Calculation'!Z$6)</f>
        <v>66446</v>
      </c>
      <c r="G802" s="364">
        <f ca="1">IF(Q$27=2,IF(LOOKUP(F802,X$1:X$35,X$1:X$35) = F802,ROUND(LOOKUP(LOOKUP(F802,X$1:X$35,A:A),Single!A$2:A$107,Table13[Saving]),0),IF( LOOKUP(F802,W$1:W$35,W$1:W$35) =
 F802,ROUND(G801*(1+IF($Q$18&lt;6,$R$14,IF($Q$18&lt;11,$R$15,$R$16)))^(1/12),0),G801*(1+IF($Q$18&lt;6,$R$14,IF($Q$18&lt;11,$R$15,$R$16)))^(1/12))),IF(LOOKUP(F802,X$1:X$35,X$1:X$35) = F802,ROUND(LOOKUP(LOOKUP(F802,X$1:X$35,A:A),'Annual Calculation'!A$2:A$107,Table1[Saving]),0),IF( LOOKUP(F802,W$1:W$35,W$1:W$35) =
 F802,ROUND(G801*(1+IF($Q$18&lt;6,$R$14,IF($Q$18&lt;11,$R$15,$R$16)))^(1/12),0),G801*(1+IF($Q$18&lt;6,$R$14,IF($Q$18&lt;11,$R$15,$R$16)))^(1/12))))</f>
        <v>0</v>
      </c>
    </row>
    <row r="803" spans="1:7">
      <c r="A803" s="348">
        <f t="shared" si="26"/>
        <v>802</v>
      </c>
      <c r="B803" s="360">
        <f>DATE('Profit Calculation'!J$6,A$2,A$2+A803-1)</f>
        <v>42806</v>
      </c>
      <c r="D803" s="362">
        <f t="shared" ca="1" si="25"/>
        <v>116122113.71504825</v>
      </c>
      <c r="F803" s="363">
        <f>DATE('Profit Calculation'!J$6,'Profit Calculation'!R$6+A803-1,'Profit Calculation'!Z$6)</f>
        <v>66477</v>
      </c>
      <c r="G803" s="364">
        <f ca="1">IF(Q$27=2,IF(LOOKUP(F803,X$1:X$35,X$1:X$35) = F803,ROUND(LOOKUP(LOOKUP(F803,X$1:X$35,A:A),Single!A$2:A$107,Table13[Saving]),0),IF( LOOKUP(F803,W$1:W$35,W$1:W$35) =
 F803,ROUND(G802*(1+IF($Q$18&lt;6,$R$14,IF($Q$18&lt;11,$R$15,$R$16)))^(1/12),0),G802*(1+IF($Q$18&lt;6,$R$14,IF($Q$18&lt;11,$R$15,$R$16)))^(1/12))),IF(LOOKUP(F803,X$1:X$35,X$1:X$35) = F803,ROUND(LOOKUP(LOOKUP(F803,X$1:X$35,A:A),'Annual Calculation'!A$2:A$107,Table1[Saving]),0),IF( LOOKUP(F803,W$1:W$35,W$1:W$35) =
 F803,ROUND(G802*(1+IF($Q$18&lt;6,$R$14,IF($Q$18&lt;11,$R$15,$R$16)))^(1/12),0),G802*(1+IF($Q$18&lt;6,$R$14,IF($Q$18&lt;11,$R$15,$R$16)))^(1/12))))</f>
        <v>0</v>
      </c>
    </row>
    <row r="804" spans="1:7">
      <c r="A804" s="348">
        <f t="shared" si="26"/>
        <v>803</v>
      </c>
      <c r="B804" s="360">
        <f>DATE('Profit Calculation'!J$6,A$2,A$2+A804-1)</f>
        <v>42807</v>
      </c>
      <c r="D804" s="362">
        <f t="shared" ca="1" si="25"/>
        <v>116166586.48153402</v>
      </c>
      <c r="F804" s="363">
        <f>DATE('Profit Calculation'!J$6,'Profit Calculation'!R$6+A804-1,'Profit Calculation'!Z$6)</f>
        <v>66508</v>
      </c>
      <c r="G804" s="364">
        <f ca="1">IF(Q$27=2,IF(LOOKUP(F804,X$1:X$35,X$1:X$35) = F804,ROUND(LOOKUP(LOOKUP(F804,X$1:X$35,A:A),Single!A$2:A$107,Table13[Saving]),0),IF( LOOKUP(F804,W$1:W$35,W$1:W$35) =
 F804,ROUND(G803*(1+IF($Q$18&lt;6,$R$14,IF($Q$18&lt;11,$R$15,$R$16)))^(1/12),0),G803*(1+IF($Q$18&lt;6,$R$14,IF($Q$18&lt;11,$R$15,$R$16)))^(1/12))),IF(LOOKUP(F804,X$1:X$35,X$1:X$35) = F804,ROUND(LOOKUP(LOOKUP(F804,X$1:X$35,A:A),'Annual Calculation'!A$2:A$107,Table1[Saving]),0),IF( LOOKUP(F804,W$1:W$35,W$1:W$35) =
 F804,ROUND(G803*(1+IF($Q$18&lt;6,$R$14,IF($Q$18&lt;11,$R$15,$R$16)))^(1/12),0),G803*(1+IF($Q$18&lt;6,$R$14,IF($Q$18&lt;11,$R$15,$R$16)))^(1/12))))</f>
        <v>0</v>
      </c>
    </row>
    <row r="805" spans="1:7">
      <c r="A805" s="348">
        <f t="shared" si="26"/>
        <v>804</v>
      </c>
      <c r="B805" s="360">
        <f>DATE('Profit Calculation'!J$6,A$2,A$2+A805-1)</f>
        <v>42808</v>
      </c>
      <c r="D805" s="362">
        <f t="shared" ca="1" si="25"/>
        <v>116211076.28032221</v>
      </c>
      <c r="F805" s="363">
        <f>DATE('Profit Calculation'!J$6,'Profit Calculation'!R$6+A805-1,'Profit Calculation'!Z$6)</f>
        <v>66536</v>
      </c>
      <c r="G805" s="364">
        <f ca="1">IF(Q$27=2,IF(LOOKUP(F805,X$1:X$35,X$1:X$35) = F805,ROUND(LOOKUP(LOOKUP(F805,X$1:X$35,A:A),Single!A$2:A$107,Table13[Saving]),0),IF( LOOKUP(F805,W$1:W$35,W$1:W$35) =
 F805,ROUND(G804*(1+IF($Q$18&lt;6,$R$14,IF($Q$18&lt;11,$R$15,$R$16)))^(1/12),0),G804*(1+IF($Q$18&lt;6,$R$14,IF($Q$18&lt;11,$R$15,$R$16)))^(1/12))),IF(LOOKUP(F805,X$1:X$35,X$1:X$35) = F805,ROUND(LOOKUP(LOOKUP(F805,X$1:X$35,A:A),'Annual Calculation'!A$2:A$107,Table1[Saving]),0),IF( LOOKUP(F805,W$1:W$35,W$1:W$35) =
 F805,ROUND(G804*(1+IF($Q$18&lt;6,$R$14,IF($Q$18&lt;11,$R$15,$R$16)))^(1/12),0),G804*(1+IF($Q$18&lt;6,$R$14,IF($Q$18&lt;11,$R$15,$R$16)))^(1/12))))</f>
        <v>0</v>
      </c>
    </row>
    <row r="806" spans="1:7">
      <c r="A806" s="348">
        <f t="shared" si="26"/>
        <v>805</v>
      </c>
      <c r="B806" s="360">
        <f>DATE('Profit Calculation'!J$6,A$2,A$2+A806-1)</f>
        <v>42809</v>
      </c>
      <c r="D806" s="362">
        <f t="shared" ca="1" si="25"/>
        <v>116255583.1179359</v>
      </c>
      <c r="F806" s="363">
        <f>DATE('Profit Calculation'!J$6,'Profit Calculation'!R$6+A806-1,'Profit Calculation'!Z$6)</f>
        <v>66567</v>
      </c>
      <c r="G806" s="364">
        <f ca="1">IF(Q$27=2,IF(LOOKUP(F806,X$1:X$35,X$1:X$35) = F806,ROUND(LOOKUP(LOOKUP(F806,X$1:X$35,A:A),Single!A$2:A$107,Table13[Saving]),0),IF( LOOKUP(F806,W$1:W$35,W$1:W$35) =
 F806,ROUND(G805*(1+IF($Q$18&lt;6,$R$14,IF($Q$18&lt;11,$R$15,$R$16)))^(1/12),0),G805*(1+IF($Q$18&lt;6,$R$14,IF($Q$18&lt;11,$R$15,$R$16)))^(1/12))),IF(LOOKUP(F806,X$1:X$35,X$1:X$35) = F806,ROUND(LOOKUP(LOOKUP(F806,X$1:X$35,A:A),'Annual Calculation'!A$2:A$107,Table1[Saving]),0),IF( LOOKUP(F806,W$1:W$35,W$1:W$35) =
 F806,ROUND(G805*(1+IF($Q$18&lt;6,$R$14,IF($Q$18&lt;11,$R$15,$R$16)))^(1/12),0),G805*(1+IF($Q$18&lt;6,$R$14,IF($Q$18&lt;11,$R$15,$R$16)))^(1/12))))</f>
        <v>0</v>
      </c>
    </row>
    <row r="807" spans="1:7">
      <c r="A807" s="348">
        <f t="shared" si="26"/>
        <v>806</v>
      </c>
      <c r="B807" s="360">
        <f>DATE('Profit Calculation'!J$6,A$2,A$2+A807-1)</f>
        <v>42810</v>
      </c>
      <c r="D807" s="362">
        <f t="shared" ca="1" si="25"/>
        <v>116300107.00090067</v>
      </c>
      <c r="F807" s="363">
        <f>DATE('Profit Calculation'!J$6,'Profit Calculation'!R$6+A807-1,'Profit Calculation'!Z$6)</f>
        <v>66597</v>
      </c>
      <c r="G807" s="364">
        <f ca="1">IF(Q$27=2,IF(LOOKUP(F807,X$1:X$35,X$1:X$35) = F807,ROUND(LOOKUP(LOOKUP(F807,X$1:X$35,A:A),Single!A$2:A$107,Table13[Saving]),0),IF( LOOKUP(F807,W$1:W$35,W$1:W$35) =
 F807,ROUND(G806*(1+IF($Q$18&lt;6,$R$14,IF($Q$18&lt;11,$R$15,$R$16)))^(1/12),0),G806*(1+IF($Q$18&lt;6,$R$14,IF($Q$18&lt;11,$R$15,$R$16)))^(1/12))),IF(LOOKUP(F807,X$1:X$35,X$1:X$35) = F807,ROUND(LOOKUP(LOOKUP(F807,X$1:X$35,A:A),'Annual Calculation'!A$2:A$107,Table1[Saving]),0),IF( LOOKUP(F807,W$1:W$35,W$1:W$35) =
 F807,ROUND(G806*(1+IF($Q$18&lt;6,$R$14,IF($Q$18&lt;11,$R$15,$R$16)))^(1/12),0),G806*(1+IF($Q$18&lt;6,$R$14,IF($Q$18&lt;11,$R$15,$R$16)))^(1/12))))</f>
        <v>0</v>
      </c>
    </row>
    <row r="808" spans="1:7">
      <c r="A808" s="348">
        <f t="shared" si="26"/>
        <v>807</v>
      </c>
      <c r="B808" s="360">
        <f>DATE('Profit Calculation'!J$6,A$2,A$2+A808-1)</f>
        <v>42811</v>
      </c>
      <c r="D808" s="362">
        <f t="shared" ca="1" si="25"/>
        <v>116344647.9357446</v>
      </c>
      <c r="F808" s="363">
        <f>DATE('Profit Calculation'!J$6,'Profit Calculation'!R$6+A808-1,'Profit Calculation'!Z$6)</f>
        <v>66628</v>
      </c>
      <c r="G808" s="364">
        <f ca="1">IF(Q$27=2,IF(LOOKUP(F808,X$1:X$35,X$1:X$35) = F808,ROUND(LOOKUP(LOOKUP(F808,X$1:X$35,A:A),Single!A$2:A$107,Table13[Saving]),0),IF( LOOKUP(F808,W$1:W$35,W$1:W$35) =
 F808,ROUND(G807*(1+IF($Q$18&lt;6,$R$14,IF($Q$18&lt;11,$R$15,$R$16)))^(1/12),0),G807*(1+IF($Q$18&lt;6,$R$14,IF($Q$18&lt;11,$R$15,$R$16)))^(1/12))),IF(LOOKUP(F808,X$1:X$35,X$1:X$35) = F808,ROUND(LOOKUP(LOOKUP(F808,X$1:X$35,A:A),'Annual Calculation'!A$2:A$107,Table1[Saving]),0),IF( LOOKUP(F808,W$1:W$35,W$1:W$35) =
 F808,ROUND(G807*(1+IF($Q$18&lt;6,$R$14,IF($Q$18&lt;11,$R$15,$R$16)))^(1/12),0),G807*(1+IF($Q$18&lt;6,$R$14,IF($Q$18&lt;11,$R$15,$R$16)))^(1/12))))</f>
        <v>0</v>
      </c>
    </row>
    <row r="809" spans="1:7">
      <c r="A809" s="348">
        <f t="shared" si="26"/>
        <v>808</v>
      </c>
      <c r="B809" s="360">
        <f>DATE('Profit Calculation'!J$6,A$2,A$2+A809-1)</f>
        <v>42812</v>
      </c>
      <c r="D809" s="362">
        <f t="shared" ca="1" si="25"/>
        <v>116389205.92899825</v>
      </c>
      <c r="F809" s="363">
        <f>DATE('Profit Calculation'!J$6,'Profit Calculation'!R$6+A809-1,'Profit Calculation'!Z$6)</f>
        <v>66658</v>
      </c>
      <c r="G809" s="364">
        <f ca="1">IF(Q$27=2,IF(LOOKUP(F809,X$1:X$35,X$1:X$35) = F809,ROUND(LOOKUP(LOOKUP(F809,X$1:X$35,A:A),Single!A$2:A$107,Table13[Saving]),0),IF( LOOKUP(F809,W$1:W$35,W$1:W$35) =
 F809,ROUND(G808*(1+IF($Q$18&lt;6,$R$14,IF($Q$18&lt;11,$R$15,$R$16)))^(1/12),0),G808*(1+IF($Q$18&lt;6,$R$14,IF($Q$18&lt;11,$R$15,$R$16)))^(1/12))),IF(LOOKUP(F809,X$1:X$35,X$1:X$35) = F809,ROUND(LOOKUP(LOOKUP(F809,X$1:X$35,A:A),'Annual Calculation'!A$2:A$107,Table1[Saving]),0),IF( LOOKUP(F809,W$1:W$35,W$1:W$35) =
 F809,ROUND(G808*(1+IF($Q$18&lt;6,$R$14,IF($Q$18&lt;11,$R$15,$R$16)))^(1/12),0),G808*(1+IF($Q$18&lt;6,$R$14,IF($Q$18&lt;11,$R$15,$R$16)))^(1/12))))</f>
        <v>0</v>
      </c>
    </row>
    <row r="810" spans="1:7">
      <c r="A810" s="348">
        <f t="shared" si="26"/>
        <v>809</v>
      </c>
      <c r="B810" s="360">
        <f>DATE('Profit Calculation'!J$6,A$2,A$2+A810-1)</f>
        <v>42813</v>
      </c>
      <c r="D810" s="362">
        <f t="shared" ca="1" si="25"/>
        <v>116433780.9871947</v>
      </c>
      <c r="F810" s="363">
        <f>DATE('Profit Calculation'!J$6,'Profit Calculation'!R$6+A810-1,'Profit Calculation'!Z$6)</f>
        <v>66689</v>
      </c>
      <c r="G810" s="364">
        <f ca="1">IF(Q$27=2,IF(LOOKUP(F810,X$1:X$35,X$1:X$35) = F810,ROUND(LOOKUP(LOOKUP(F810,X$1:X$35,A:A),Single!A$2:A$107,Table13[Saving]),0),IF( LOOKUP(F810,W$1:W$35,W$1:W$35) =
 F810,ROUND(G809*(1+IF($Q$18&lt;6,$R$14,IF($Q$18&lt;11,$R$15,$R$16)))^(1/12),0),G809*(1+IF($Q$18&lt;6,$R$14,IF($Q$18&lt;11,$R$15,$R$16)))^(1/12))),IF(LOOKUP(F810,X$1:X$35,X$1:X$35) = F810,ROUND(LOOKUP(LOOKUP(F810,X$1:X$35,A:A),'Annual Calculation'!A$2:A$107,Table1[Saving]),0),IF( LOOKUP(F810,W$1:W$35,W$1:W$35) =
 F810,ROUND(G809*(1+IF($Q$18&lt;6,$R$14,IF($Q$18&lt;11,$R$15,$R$16)))^(1/12),0),G809*(1+IF($Q$18&lt;6,$R$14,IF($Q$18&lt;11,$R$15,$R$16)))^(1/12))))</f>
        <v>0</v>
      </c>
    </row>
    <row r="811" spans="1:7">
      <c r="A811" s="348">
        <f t="shared" si="26"/>
        <v>810</v>
      </c>
      <c r="B811" s="360">
        <f>DATE('Profit Calculation'!J$6,A$2,A$2+A811-1)</f>
        <v>42814</v>
      </c>
      <c r="D811" s="362">
        <f t="shared" ca="1" si="25"/>
        <v>116478373.11686954</v>
      </c>
      <c r="F811" s="363">
        <f>DATE('Profit Calculation'!J$6,'Profit Calculation'!R$6+A811-1,'Profit Calculation'!Z$6)</f>
        <v>66720</v>
      </c>
      <c r="G811" s="364">
        <f ca="1">IF(Q$27=2,IF(LOOKUP(F811,X$1:X$35,X$1:X$35) = F811,ROUND(LOOKUP(LOOKUP(F811,X$1:X$35,A:A),Single!A$2:A$107,Table13[Saving]),0),IF( LOOKUP(F811,W$1:W$35,W$1:W$35) =
 F811,ROUND(G810*(1+IF($Q$18&lt;6,$R$14,IF($Q$18&lt;11,$R$15,$R$16)))^(1/12),0),G810*(1+IF($Q$18&lt;6,$R$14,IF($Q$18&lt;11,$R$15,$R$16)))^(1/12))),IF(LOOKUP(F811,X$1:X$35,X$1:X$35) = F811,ROUND(LOOKUP(LOOKUP(F811,X$1:X$35,A:A),'Annual Calculation'!A$2:A$107,Table1[Saving]),0),IF( LOOKUP(F811,W$1:W$35,W$1:W$35) =
 F811,ROUND(G810*(1+IF($Q$18&lt;6,$R$14,IF($Q$18&lt;11,$R$15,$R$16)))^(1/12),0),G810*(1+IF($Q$18&lt;6,$R$14,IF($Q$18&lt;11,$R$15,$R$16)))^(1/12))))</f>
        <v>0</v>
      </c>
    </row>
    <row r="812" spans="1:7">
      <c r="A812" s="348">
        <f t="shared" si="26"/>
        <v>811</v>
      </c>
      <c r="B812" s="360">
        <f>DATE('Profit Calculation'!J$6,A$2,A$2+A812-1)</f>
        <v>42815</v>
      </c>
      <c r="D812" s="362">
        <f t="shared" ca="1" si="25"/>
        <v>116522982.32456085</v>
      </c>
      <c r="F812" s="363">
        <f>DATE('Profit Calculation'!J$6,'Profit Calculation'!R$6+A812-1,'Profit Calculation'!Z$6)</f>
        <v>66750</v>
      </c>
      <c r="G812" s="364">
        <f ca="1">IF(Q$27=2,IF(LOOKUP(F812,X$1:X$35,X$1:X$35) = F812,ROUND(LOOKUP(LOOKUP(F812,X$1:X$35,A:A),Single!A$2:A$107,Table13[Saving]),0),IF( LOOKUP(F812,W$1:W$35,W$1:W$35) =
 F812,ROUND(G811*(1+IF($Q$18&lt;6,$R$14,IF($Q$18&lt;11,$R$15,$R$16)))^(1/12),0),G811*(1+IF($Q$18&lt;6,$R$14,IF($Q$18&lt;11,$R$15,$R$16)))^(1/12))),IF(LOOKUP(F812,X$1:X$35,X$1:X$35) = F812,ROUND(LOOKUP(LOOKUP(F812,X$1:X$35,A:A),'Annual Calculation'!A$2:A$107,Table1[Saving]),0),IF( LOOKUP(F812,W$1:W$35,W$1:W$35) =
 F812,ROUND(G811*(1+IF($Q$18&lt;6,$R$14,IF($Q$18&lt;11,$R$15,$R$16)))^(1/12),0),G811*(1+IF($Q$18&lt;6,$R$14,IF($Q$18&lt;11,$R$15,$R$16)))^(1/12))))</f>
        <v>0</v>
      </c>
    </row>
    <row r="813" spans="1:7">
      <c r="A813" s="348">
        <f t="shared" si="26"/>
        <v>812</v>
      </c>
      <c r="B813" s="360">
        <f>DATE('Profit Calculation'!J$6,A$2,A$2+A813-1)</f>
        <v>42816</v>
      </c>
      <c r="D813" s="362">
        <f t="shared" ca="1" si="25"/>
        <v>116567608.61680922</v>
      </c>
      <c r="F813" s="363">
        <f>DATE('Profit Calculation'!J$6,'Profit Calculation'!R$6+A813-1,'Profit Calculation'!Z$6)</f>
        <v>66781</v>
      </c>
      <c r="G813" s="364">
        <f ca="1">IF(Q$27=2,IF(LOOKUP(F813,X$1:X$35,X$1:X$35) = F813,ROUND(LOOKUP(LOOKUP(F813,X$1:X$35,A:A),Single!A$2:A$107,Table13[Saving]),0),IF( LOOKUP(F813,W$1:W$35,W$1:W$35) =
 F813,ROUND(G812*(1+IF($Q$18&lt;6,$R$14,IF($Q$18&lt;11,$R$15,$R$16)))^(1/12),0),G812*(1+IF($Q$18&lt;6,$R$14,IF($Q$18&lt;11,$R$15,$R$16)))^(1/12))),IF(LOOKUP(F813,X$1:X$35,X$1:X$35) = F813,ROUND(LOOKUP(LOOKUP(F813,X$1:X$35,A:A),'Annual Calculation'!A$2:A$107,Table1[Saving]),0),IF( LOOKUP(F813,W$1:W$35,W$1:W$35) =
 F813,ROUND(G812*(1+IF($Q$18&lt;6,$R$14,IF($Q$18&lt;11,$R$15,$R$16)))^(1/12),0),G812*(1+IF($Q$18&lt;6,$R$14,IF($Q$18&lt;11,$R$15,$R$16)))^(1/12))))</f>
        <v>0</v>
      </c>
    </row>
    <row r="814" spans="1:7">
      <c r="A814" s="348">
        <f t="shared" si="26"/>
        <v>813</v>
      </c>
      <c r="B814" s="360">
        <f>DATE('Profit Calculation'!J$6,A$2,A$2+A814-1)</f>
        <v>42817</v>
      </c>
      <c r="D814" s="362">
        <f t="shared" ca="1" si="25"/>
        <v>116612252.00015773</v>
      </c>
      <c r="F814" s="363">
        <f>DATE('Profit Calculation'!J$6,'Profit Calculation'!R$6+A814-1,'Profit Calculation'!Z$6)</f>
        <v>66811</v>
      </c>
      <c r="G814" s="364">
        <f ca="1">IF(Q$27=2,IF(LOOKUP(F814,X$1:X$35,X$1:X$35) = F814,ROUND(LOOKUP(LOOKUP(F814,X$1:X$35,A:A),Single!A$2:A$107,Table13[Saving]),0),IF( LOOKUP(F814,W$1:W$35,W$1:W$35) =
 F814,ROUND(G813*(1+IF($Q$18&lt;6,$R$14,IF($Q$18&lt;11,$R$15,$R$16)))^(1/12),0),G813*(1+IF($Q$18&lt;6,$R$14,IF($Q$18&lt;11,$R$15,$R$16)))^(1/12))),IF(LOOKUP(F814,X$1:X$35,X$1:X$35) = F814,ROUND(LOOKUP(LOOKUP(F814,X$1:X$35,A:A),'Annual Calculation'!A$2:A$107,Table1[Saving]),0),IF( LOOKUP(F814,W$1:W$35,W$1:W$35) =
 F814,ROUND(G813*(1+IF($Q$18&lt;6,$R$14,IF($Q$18&lt;11,$R$15,$R$16)))^(1/12),0),G813*(1+IF($Q$18&lt;6,$R$14,IF($Q$18&lt;11,$R$15,$R$16)))^(1/12))))</f>
        <v>0</v>
      </c>
    </row>
    <row r="815" spans="1:7">
      <c r="A815" s="348">
        <f t="shared" si="26"/>
        <v>814</v>
      </c>
      <c r="B815" s="360">
        <f>DATE('Profit Calculation'!J$6,A$2,A$2+A815-1)</f>
        <v>42818</v>
      </c>
      <c r="D815" s="362">
        <f t="shared" ca="1" si="25"/>
        <v>116656912.48115197</v>
      </c>
      <c r="F815" s="363">
        <f>DATE('Profit Calculation'!J$6,'Profit Calculation'!R$6+A815-1,'Profit Calculation'!Z$6)</f>
        <v>66842</v>
      </c>
      <c r="G815" s="364">
        <f ca="1">IF(Q$27=2,IF(LOOKUP(F815,X$1:X$35,X$1:X$35) = F815,ROUND(LOOKUP(LOOKUP(F815,X$1:X$35,A:A),Single!A$2:A$107,Table13[Saving]),0),IF( LOOKUP(F815,W$1:W$35,W$1:W$35) =
 F815,ROUND(G814*(1+IF($Q$18&lt;6,$R$14,IF($Q$18&lt;11,$R$15,$R$16)))^(1/12),0),G814*(1+IF($Q$18&lt;6,$R$14,IF($Q$18&lt;11,$R$15,$R$16)))^(1/12))),IF(LOOKUP(F815,X$1:X$35,X$1:X$35) = F815,ROUND(LOOKUP(LOOKUP(F815,X$1:X$35,A:A),'Annual Calculation'!A$2:A$107,Table1[Saving]),0),IF( LOOKUP(F815,W$1:W$35,W$1:W$35) =
 F815,ROUND(G814*(1+IF($Q$18&lt;6,$R$14,IF($Q$18&lt;11,$R$15,$R$16)))^(1/12),0),G814*(1+IF($Q$18&lt;6,$R$14,IF($Q$18&lt;11,$R$15,$R$16)))^(1/12))))</f>
        <v>0</v>
      </c>
    </row>
    <row r="816" spans="1:7">
      <c r="A816" s="348">
        <f t="shared" si="26"/>
        <v>815</v>
      </c>
      <c r="B816" s="360">
        <f>DATE('Profit Calculation'!J$6,A$2,A$2+A816-1)</f>
        <v>42819</v>
      </c>
      <c r="D816" s="362">
        <f t="shared" ca="1" si="25"/>
        <v>116701590.06634006</v>
      </c>
      <c r="F816" s="363">
        <f>DATE('Profit Calculation'!J$6,'Profit Calculation'!R$6+A816-1,'Profit Calculation'!Z$6)</f>
        <v>66873</v>
      </c>
      <c r="G816" s="364">
        <f ca="1">IF(Q$27=2,IF(LOOKUP(F816,X$1:X$35,X$1:X$35) = F816,ROUND(LOOKUP(LOOKUP(F816,X$1:X$35,A:A),Single!A$2:A$107,Table13[Saving]),0),IF( LOOKUP(F816,W$1:W$35,W$1:W$35) =
 F816,ROUND(G815*(1+IF($Q$18&lt;6,$R$14,IF($Q$18&lt;11,$R$15,$R$16)))^(1/12),0),G815*(1+IF($Q$18&lt;6,$R$14,IF($Q$18&lt;11,$R$15,$R$16)))^(1/12))),IF(LOOKUP(F816,X$1:X$35,X$1:X$35) = F816,ROUND(LOOKUP(LOOKUP(F816,X$1:X$35,A:A),'Annual Calculation'!A$2:A$107,Table1[Saving]),0),IF( LOOKUP(F816,W$1:W$35,W$1:W$35) =
 F816,ROUND(G815*(1+IF($Q$18&lt;6,$R$14,IF($Q$18&lt;11,$R$15,$R$16)))^(1/12),0),G815*(1+IF($Q$18&lt;6,$R$14,IF($Q$18&lt;11,$R$15,$R$16)))^(1/12))))</f>
        <v>0</v>
      </c>
    </row>
    <row r="817" spans="1:7">
      <c r="A817" s="348">
        <f t="shared" si="26"/>
        <v>816</v>
      </c>
      <c r="B817" s="360">
        <f>DATE('Profit Calculation'!J$6,A$2,A$2+A817-1)</f>
        <v>42820</v>
      </c>
      <c r="D817" s="362">
        <f t="shared" ca="1" si="25"/>
        <v>116746284.7622726</v>
      </c>
      <c r="F817" s="363">
        <f>DATE('Profit Calculation'!J$6,'Profit Calculation'!R$6+A817-1,'Profit Calculation'!Z$6)</f>
        <v>66901</v>
      </c>
      <c r="G817" s="364">
        <f ca="1">IF(Q$27=2,IF(LOOKUP(F817,X$1:X$35,X$1:X$35) = F817,ROUND(LOOKUP(LOOKUP(F817,X$1:X$35,A:A),Single!A$2:A$107,Table13[Saving]),0),IF( LOOKUP(F817,W$1:W$35,W$1:W$35) =
 F817,ROUND(G816*(1+IF($Q$18&lt;6,$R$14,IF($Q$18&lt;11,$R$15,$R$16)))^(1/12),0),G816*(1+IF($Q$18&lt;6,$R$14,IF($Q$18&lt;11,$R$15,$R$16)))^(1/12))),IF(LOOKUP(F817,X$1:X$35,X$1:X$35) = F817,ROUND(LOOKUP(LOOKUP(F817,X$1:X$35,A:A),'Annual Calculation'!A$2:A$107,Table1[Saving]),0),IF( LOOKUP(F817,W$1:W$35,W$1:W$35) =
 F817,ROUND(G816*(1+IF($Q$18&lt;6,$R$14,IF($Q$18&lt;11,$R$15,$R$16)))^(1/12),0),G816*(1+IF($Q$18&lt;6,$R$14,IF($Q$18&lt;11,$R$15,$R$16)))^(1/12))))</f>
        <v>0</v>
      </c>
    </row>
    <row r="818" spans="1:7">
      <c r="A818" s="348">
        <f t="shared" si="26"/>
        <v>817</v>
      </c>
      <c r="B818" s="360">
        <f>DATE('Profit Calculation'!J$6,A$2,A$2+A818-1)</f>
        <v>42821</v>
      </c>
      <c r="D818" s="362">
        <f t="shared" ca="1" si="25"/>
        <v>116790996.57550271</v>
      </c>
      <c r="F818" s="363">
        <f>DATE('Profit Calculation'!J$6,'Profit Calculation'!R$6+A818-1,'Profit Calculation'!Z$6)</f>
        <v>66932</v>
      </c>
      <c r="G818" s="364">
        <f ca="1">IF(Q$27=2,IF(LOOKUP(F818,X$1:X$35,X$1:X$35) = F818,ROUND(LOOKUP(LOOKUP(F818,X$1:X$35,A:A),Single!A$2:A$107,Table13[Saving]),0),IF( LOOKUP(F818,W$1:W$35,W$1:W$35) =
 F818,ROUND(G817*(1+IF($Q$18&lt;6,$R$14,IF($Q$18&lt;11,$R$15,$R$16)))^(1/12),0),G817*(1+IF($Q$18&lt;6,$R$14,IF($Q$18&lt;11,$R$15,$R$16)))^(1/12))),IF(LOOKUP(F818,X$1:X$35,X$1:X$35) = F818,ROUND(LOOKUP(LOOKUP(F818,X$1:X$35,A:A),'Annual Calculation'!A$2:A$107,Table1[Saving]),0),IF( LOOKUP(F818,W$1:W$35,W$1:W$35) =
 F818,ROUND(G817*(1+IF($Q$18&lt;6,$R$14,IF($Q$18&lt;11,$R$15,$R$16)))^(1/12),0),G817*(1+IF($Q$18&lt;6,$R$14,IF($Q$18&lt;11,$R$15,$R$16)))^(1/12))))</f>
        <v>0</v>
      </c>
    </row>
    <row r="819" spans="1:7">
      <c r="A819" s="348">
        <f t="shared" si="26"/>
        <v>818</v>
      </c>
      <c r="B819" s="360">
        <f>DATE('Profit Calculation'!J$6,A$2,A$2+A819-1)</f>
        <v>42822</v>
      </c>
      <c r="D819" s="362">
        <f t="shared" ca="1" si="25"/>
        <v>116835725.51258603</v>
      </c>
      <c r="F819" s="363">
        <f>DATE('Profit Calculation'!J$6,'Profit Calculation'!R$6+A819-1,'Profit Calculation'!Z$6)</f>
        <v>66962</v>
      </c>
      <c r="G819" s="364">
        <f ca="1">IF(Q$27=2,IF(LOOKUP(F819,X$1:X$35,X$1:X$35) = F819,ROUND(LOOKUP(LOOKUP(F819,X$1:X$35,A:A),Single!A$2:A$107,Table13[Saving]),0),IF( LOOKUP(F819,W$1:W$35,W$1:W$35) =
 F819,ROUND(G818*(1+IF($Q$18&lt;6,$R$14,IF($Q$18&lt;11,$R$15,$R$16)))^(1/12),0),G818*(1+IF($Q$18&lt;6,$R$14,IF($Q$18&lt;11,$R$15,$R$16)))^(1/12))),IF(LOOKUP(F819,X$1:X$35,X$1:X$35) = F819,ROUND(LOOKUP(LOOKUP(F819,X$1:X$35,A:A),'Annual Calculation'!A$2:A$107,Table1[Saving]),0),IF( LOOKUP(F819,W$1:W$35,W$1:W$35) =
 F819,ROUND(G818*(1+IF($Q$18&lt;6,$R$14,IF($Q$18&lt;11,$R$15,$R$16)))^(1/12),0),G818*(1+IF($Q$18&lt;6,$R$14,IF($Q$18&lt;11,$R$15,$R$16)))^(1/12))))</f>
        <v>0</v>
      </c>
    </row>
    <row r="820" spans="1:7">
      <c r="A820" s="348">
        <f t="shared" si="26"/>
        <v>819</v>
      </c>
      <c r="B820" s="360">
        <f>DATE('Profit Calculation'!J$6,A$2,A$2+A820-1)</f>
        <v>42823</v>
      </c>
      <c r="D820" s="362">
        <f t="shared" ca="1" si="25"/>
        <v>116880471.58008069</v>
      </c>
      <c r="F820" s="363">
        <f>DATE('Profit Calculation'!J$6,'Profit Calculation'!R$6+A820-1,'Profit Calculation'!Z$6)</f>
        <v>66993</v>
      </c>
      <c r="G820" s="364">
        <f ca="1">IF(Q$27=2,IF(LOOKUP(F820,X$1:X$35,X$1:X$35) = F820,ROUND(LOOKUP(LOOKUP(F820,X$1:X$35,A:A),Single!A$2:A$107,Table13[Saving]),0),IF( LOOKUP(F820,W$1:W$35,W$1:W$35) =
 F820,ROUND(G819*(1+IF($Q$18&lt;6,$R$14,IF($Q$18&lt;11,$R$15,$R$16)))^(1/12),0),G819*(1+IF($Q$18&lt;6,$R$14,IF($Q$18&lt;11,$R$15,$R$16)))^(1/12))),IF(LOOKUP(F820,X$1:X$35,X$1:X$35) = F820,ROUND(LOOKUP(LOOKUP(F820,X$1:X$35,A:A),'Annual Calculation'!A$2:A$107,Table1[Saving]),0),IF( LOOKUP(F820,W$1:W$35,W$1:W$35) =
 F820,ROUND(G819*(1+IF($Q$18&lt;6,$R$14,IF($Q$18&lt;11,$R$15,$R$16)))^(1/12),0),G819*(1+IF($Q$18&lt;6,$R$14,IF($Q$18&lt;11,$R$15,$R$16)))^(1/12))))</f>
        <v>0</v>
      </c>
    </row>
    <row r="821" spans="1:7">
      <c r="A821" s="348">
        <f t="shared" si="26"/>
        <v>820</v>
      </c>
      <c r="B821" s="360">
        <f>DATE('Profit Calculation'!J$6,A$2,A$2+A821-1)</f>
        <v>42824</v>
      </c>
      <c r="D821" s="362">
        <f t="shared" ca="1" si="25"/>
        <v>116925234.78454734</v>
      </c>
      <c r="F821" s="363">
        <f>DATE('Profit Calculation'!J$6,'Profit Calculation'!R$6+A821-1,'Profit Calculation'!Z$6)</f>
        <v>67023</v>
      </c>
      <c r="G821" s="364">
        <f ca="1">IF(Q$27=2,IF(LOOKUP(F821,X$1:X$35,X$1:X$35) = F821,ROUND(LOOKUP(LOOKUP(F821,X$1:X$35,A:A),Single!A$2:A$107,Table13[Saving]),0),IF( LOOKUP(F821,W$1:W$35,W$1:W$35) =
 F821,ROUND(G820*(1+IF($Q$18&lt;6,$R$14,IF($Q$18&lt;11,$R$15,$R$16)))^(1/12),0),G820*(1+IF($Q$18&lt;6,$R$14,IF($Q$18&lt;11,$R$15,$R$16)))^(1/12))),IF(LOOKUP(F821,X$1:X$35,X$1:X$35) = F821,ROUND(LOOKUP(LOOKUP(F821,X$1:X$35,A:A),'Annual Calculation'!A$2:A$107,Table1[Saving]),0),IF( LOOKUP(F821,W$1:W$35,W$1:W$35) =
 F821,ROUND(G820*(1+IF($Q$18&lt;6,$R$14,IF($Q$18&lt;11,$R$15,$R$16)))^(1/12),0),G820*(1+IF($Q$18&lt;6,$R$14,IF($Q$18&lt;11,$R$15,$R$16)))^(1/12))))</f>
        <v>0</v>
      </c>
    </row>
    <row r="822" spans="1:7">
      <c r="A822" s="348">
        <f t="shared" si="26"/>
        <v>821</v>
      </c>
      <c r="B822" s="360">
        <f>DATE('Profit Calculation'!J$6,A$2,A$2+A822-1)</f>
        <v>42825</v>
      </c>
      <c r="D822" s="362">
        <f t="shared" ca="1" si="25"/>
        <v>116970015.13254917</v>
      </c>
      <c r="F822" s="363">
        <f>DATE('Profit Calculation'!J$6,'Profit Calculation'!R$6+A822-1,'Profit Calculation'!Z$6)</f>
        <v>67054</v>
      </c>
      <c r="G822" s="364">
        <f ca="1">IF(Q$27=2,IF(LOOKUP(F822,X$1:X$35,X$1:X$35) = F822,ROUND(LOOKUP(LOOKUP(F822,X$1:X$35,A:A),Single!A$2:A$107,Table13[Saving]),0),IF( LOOKUP(F822,W$1:W$35,W$1:W$35) =
 F822,ROUND(G821*(1+IF($Q$18&lt;6,$R$14,IF($Q$18&lt;11,$R$15,$R$16)))^(1/12),0),G821*(1+IF($Q$18&lt;6,$R$14,IF($Q$18&lt;11,$R$15,$R$16)))^(1/12))),IF(LOOKUP(F822,X$1:X$35,X$1:X$35) = F822,ROUND(LOOKUP(LOOKUP(F822,X$1:X$35,A:A),'Annual Calculation'!A$2:A$107,Table1[Saving]),0),IF( LOOKUP(F822,W$1:W$35,W$1:W$35) =
 F822,ROUND(G821*(1+IF($Q$18&lt;6,$R$14,IF($Q$18&lt;11,$R$15,$R$16)))^(1/12),0),G821*(1+IF($Q$18&lt;6,$R$14,IF($Q$18&lt;11,$R$15,$R$16)))^(1/12))))</f>
        <v>0</v>
      </c>
    </row>
    <row r="823" spans="1:7">
      <c r="A823" s="348">
        <f t="shared" si="26"/>
        <v>822</v>
      </c>
      <c r="B823" s="360">
        <f>DATE('Profit Calculation'!J$6,A$2,A$2+A823-1)</f>
        <v>42826</v>
      </c>
      <c r="D823" s="362">
        <f t="shared" ca="1" si="25"/>
        <v>115595827</v>
      </c>
      <c r="F823" s="363">
        <f>DATE('Profit Calculation'!J$6,'Profit Calculation'!R$6+A823-1,'Profit Calculation'!Z$6)</f>
        <v>67085</v>
      </c>
      <c r="G823" s="364">
        <f ca="1">IF(Q$27=2,IF(LOOKUP(F823,X$1:X$35,X$1:X$35) = F823,ROUND(LOOKUP(LOOKUP(F823,X$1:X$35,A:A),Single!A$2:A$107,Table13[Saving]),0),IF( LOOKUP(F823,W$1:W$35,W$1:W$35) =
 F823,ROUND(G822*(1+IF($Q$18&lt;6,$R$14,IF($Q$18&lt;11,$R$15,$R$16)))^(1/12),0),G822*(1+IF($Q$18&lt;6,$R$14,IF($Q$18&lt;11,$R$15,$R$16)))^(1/12))),IF(LOOKUP(F823,X$1:X$35,X$1:X$35) = F823,ROUND(LOOKUP(LOOKUP(F823,X$1:X$35,A:A),'Annual Calculation'!A$2:A$107,Table1[Saving]),0),IF( LOOKUP(F823,W$1:W$35,W$1:W$35) =
 F823,ROUND(G822*(1+IF($Q$18&lt;6,$R$14,IF($Q$18&lt;11,$R$15,$R$16)))^(1/12),0),G822*(1+IF($Q$18&lt;6,$R$14,IF($Q$18&lt;11,$R$15,$R$16)))^(1/12))))</f>
        <v>0</v>
      </c>
    </row>
    <row r="824" spans="1:7">
      <c r="A824" s="348">
        <f t="shared" si="26"/>
        <v>823</v>
      </c>
      <c r="B824" s="360">
        <f>DATE('Profit Calculation'!J$6,A$2,A$2+A824-1)</f>
        <v>42827</v>
      </c>
      <c r="D824" s="362">
        <f t="shared" ca="1" si="25"/>
        <v>115640098.20775217</v>
      </c>
      <c r="F824" s="363">
        <f>DATE('Profit Calculation'!J$6,'Profit Calculation'!R$6+A824-1,'Profit Calculation'!Z$6)</f>
        <v>67115</v>
      </c>
      <c r="G824" s="364">
        <f ca="1">IF(Q$27=2,IF(LOOKUP(F824,X$1:X$35,X$1:X$35) = F824,ROUND(LOOKUP(LOOKUP(F824,X$1:X$35,A:A),Single!A$2:A$107,Table13[Saving]),0),IF( LOOKUP(F824,W$1:W$35,W$1:W$35) =
 F824,ROUND(G823*(1+IF($Q$18&lt;6,$R$14,IF($Q$18&lt;11,$R$15,$R$16)))^(1/12),0),G823*(1+IF($Q$18&lt;6,$R$14,IF($Q$18&lt;11,$R$15,$R$16)))^(1/12))),IF(LOOKUP(F824,X$1:X$35,X$1:X$35) = F824,ROUND(LOOKUP(LOOKUP(F824,X$1:X$35,A:A),'Annual Calculation'!A$2:A$107,Table1[Saving]),0),IF( LOOKUP(F824,W$1:W$35,W$1:W$35) =
 F824,ROUND(G823*(1+IF($Q$18&lt;6,$R$14,IF($Q$18&lt;11,$R$15,$R$16)))^(1/12),0),G823*(1+IF($Q$18&lt;6,$R$14,IF($Q$18&lt;11,$R$15,$R$16)))^(1/12))))</f>
        <v>0</v>
      </c>
    </row>
    <row r="825" spans="1:7">
      <c r="A825" s="348">
        <f t="shared" si="26"/>
        <v>824</v>
      </c>
      <c r="B825" s="360">
        <f>DATE('Profit Calculation'!J$6,A$2,A$2+A825-1)</f>
        <v>42828</v>
      </c>
      <c r="D825" s="362">
        <f t="shared" ca="1" si="25"/>
        <v>115684386.37061325</v>
      </c>
      <c r="F825" s="363">
        <f>DATE('Profit Calculation'!J$6,'Profit Calculation'!R$6+A825-1,'Profit Calculation'!Z$6)</f>
        <v>67146</v>
      </c>
      <c r="G825" s="364">
        <f ca="1">IF(Q$27=2,IF(LOOKUP(F825,X$1:X$35,X$1:X$35) = F825,ROUND(LOOKUP(LOOKUP(F825,X$1:X$35,A:A),Single!A$2:A$107,Table13[Saving]),0),IF( LOOKUP(F825,W$1:W$35,W$1:W$35) =
 F825,ROUND(G824*(1+IF($Q$18&lt;6,$R$14,IF($Q$18&lt;11,$R$15,$R$16)))^(1/12),0),G824*(1+IF($Q$18&lt;6,$R$14,IF($Q$18&lt;11,$R$15,$R$16)))^(1/12))),IF(LOOKUP(F825,X$1:X$35,X$1:X$35) = F825,ROUND(LOOKUP(LOOKUP(F825,X$1:X$35,A:A),'Annual Calculation'!A$2:A$107,Table1[Saving]),0),IF( LOOKUP(F825,W$1:W$35,W$1:W$35) =
 F825,ROUND(G824*(1+IF($Q$18&lt;6,$R$14,IF($Q$18&lt;11,$R$15,$R$16)))^(1/12),0),G824*(1+IF($Q$18&lt;6,$R$14,IF($Q$18&lt;11,$R$15,$R$16)))^(1/12))))</f>
        <v>0</v>
      </c>
    </row>
    <row r="826" spans="1:7">
      <c r="A826" s="348">
        <f t="shared" si="26"/>
        <v>825</v>
      </c>
      <c r="B826" s="360">
        <f>DATE('Profit Calculation'!J$6,A$2,A$2+A826-1)</f>
        <v>42829</v>
      </c>
      <c r="D826" s="362">
        <f t="shared" ca="1" si="25"/>
        <v>115728691.49507675</v>
      </c>
      <c r="F826" s="363">
        <f>DATE('Profit Calculation'!J$6,'Profit Calculation'!R$6+A826-1,'Profit Calculation'!Z$6)</f>
        <v>67176</v>
      </c>
      <c r="G826" s="364">
        <f ca="1">IF(Q$27=2,IF(LOOKUP(F826,X$1:X$35,X$1:X$35) = F826,ROUND(LOOKUP(LOOKUP(F826,X$1:X$35,A:A),Single!A$2:A$107,Table13[Saving]),0),IF( LOOKUP(F826,W$1:W$35,W$1:W$35) =
 F826,ROUND(G825*(1+IF($Q$18&lt;6,$R$14,IF($Q$18&lt;11,$R$15,$R$16)))^(1/12),0),G825*(1+IF($Q$18&lt;6,$R$14,IF($Q$18&lt;11,$R$15,$R$16)))^(1/12))),IF(LOOKUP(F826,X$1:X$35,X$1:X$35) = F826,ROUND(LOOKUP(LOOKUP(F826,X$1:X$35,A:A),'Annual Calculation'!A$2:A$107,Table1[Saving]),0),IF( LOOKUP(F826,W$1:W$35,W$1:W$35) =
 F826,ROUND(G825*(1+IF($Q$18&lt;6,$R$14,IF($Q$18&lt;11,$R$15,$R$16)))^(1/12),0),G825*(1+IF($Q$18&lt;6,$R$14,IF($Q$18&lt;11,$R$15,$R$16)))^(1/12))))</f>
        <v>0</v>
      </c>
    </row>
    <row r="827" spans="1:7">
      <c r="A827" s="348">
        <f t="shared" si="26"/>
        <v>826</v>
      </c>
      <c r="B827" s="360">
        <f>DATE('Profit Calculation'!J$6,A$2,A$2+A827-1)</f>
        <v>42830</v>
      </c>
      <c r="D827" s="362">
        <f t="shared" ca="1" si="25"/>
        <v>115773013.58763866</v>
      </c>
      <c r="F827" s="363">
        <f>DATE('Profit Calculation'!J$6,'Profit Calculation'!R$6+A827-1,'Profit Calculation'!Z$6)</f>
        <v>67207</v>
      </c>
      <c r="G827" s="364">
        <f ca="1">IF(Q$27=2,IF(LOOKUP(F827,X$1:X$35,X$1:X$35) = F827,ROUND(LOOKUP(LOOKUP(F827,X$1:X$35,A:A),Single!A$2:A$107,Table13[Saving]),0),IF( LOOKUP(F827,W$1:W$35,W$1:W$35) =
 F827,ROUND(G826*(1+IF($Q$18&lt;6,$R$14,IF($Q$18&lt;11,$R$15,$R$16)))^(1/12),0),G826*(1+IF($Q$18&lt;6,$R$14,IF($Q$18&lt;11,$R$15,$R$16)))^(1/12))),IF(LOOKUP(F827,X$1:X$35,X$1:X$35) = F827,ROUND(LOOKUP(LOOKUP(F827,X$1:X$35,A:A),'Annual Calculation'!A$2:A$107,Table1[Saving]),0),IF( LOOKUP(F827,W$1:W$35,W$1:W$35) =
 F827,ROUND(G826*(1+IF($Q$18&lt;6,$R$14,IF($Q$18&lt;11,$R$15,$R$16)))^(1/12),0),G826*(1+IF($Q$18&lt;6,$R$14,IF($Q$18&lt;11,$R$15,$R$16)))^(1/12))))</f>
        <v>0</v>
      </c>
    </row>
    <row r="828" spans="1:7">
      <c r="A828" s="348">
        <f t="shared" si="26"/>
        <v>827</v>
      </c>
      <c r="B828" s="360">
        <f>DATE('Profit Calculation'!J$6,A$2,A$2+A828-1)</f>
        <v>42831</v>
      </c>
      <c r="D828" s="362">
        <f t="shared" ca="1" si="25"/>
        <v>115817352.65479749</v>
      </c>
      <c r="F828" s="363">
        <f>DATE('Profit Calculation'!J$6,'Profit Calculation'!R$6+A828-1,'Profit Calculation'!Z$6)</f>
        <v>67238</v>
      </c>
      <c r="G828" s="364">
        <f ca="1">IF(Q$27=2,IF(LOOKUP(F828,X$1:X$35,X$1:X$35) = F828,ROUND(LOOKUP(LOOKUP(F828,X$1:X$35,A:A),Single!A$2:A$107,Table13[Saving]),0),IF( LOOKUP(F828,W$1:W$35,W$1:W$35) =
 F828,ROUND(G827*(1+IF($Q$18&lt;6,$R$14,IF($Q$18&lt;11,$R$15,$R$16)))^(1/12),0),G827*(1+IF($Q$18&lt;6,$R$14,IF($Q$18&lt;11,$R$15,$R$16)))^(1/12))),IF(LOOKUP(F828,X$1:X$35,X$1:X$35) = F828,ROUND(LOOKUP(LOOKUP(F828,X$1:X$35,A:A),'Annual Calculation'!A$2:A$107,Table1[Saving]),0),IF( LOOKUP(F828,W$1:W$35,W$1:W$35) =
 F828,ROUND(G827*(1+IF($Q$18&lt;6,$R$14,IF($Q$18&lt;11,$R$15,$R$16)))^(1/12),0),G827*(1+IF($Q$18&lt;6,$R$14,IF($Q$18&lt;11,$R$15,$R$16)))^(1/12))))</f>
        <v>0</v>
      </c>
    </row>
    <row r="829" spans="1:7">
      <c r="A829" s="348">
        <f t="shared" si="26"/>
        <v>828</v>
      </c>
      <c r="B829" s="360">
        <f>DATE('Profit Calculation'!J$6,A$2,A$2+A829-1)</f>
        <v>42832</v>
      </c>
      <c r="D829" s="362">
        <f t="shared" ca="1" si="25"/>
        <v>115861708.7030542</v>
      </c>
      <c r="F829" s="363">
        <f>DATE('Profit Calculation'!J$6,'Profit Calculation'!R$6+A829-1,'Profit Calculation'!Z$6)</f>
        <v>67267</v>
      </c>
      <c r="G829" s="364">
        <f ca="1">IF(Q$27=2,IF(LOOKUP(F829,X$1:X$35,X$1:X$35) = F829,ROUND(LOOKUP(LOOKUP(F829,X$1:X$35,A:A),Single!A$2:A$107,Table13[Saving]),0),IF( LOOKUP(F829,W$1:W$35,W$1:W$35) =
 F829,ROUND(G828*(1+IF($Q$18&lt;6,$R$14,IF($Q$18&lt;11,$R$15,$R$16)))^(1/12),0),G828*(1+IF($Q$18&lt;6,$R$14,IF($Q$18&lt;11,$R$15,$R$16)))^(1/12))),IF(LOOKUP(F829,X$1:X$35,X$1:X$35) = F829,ROUND(LOOKUP(LOOKUP(F829,X$1:X$35,A:A),'Annual Calculation'!A$2:A$107,Table1[Saving]),0),IF( LOOKUP(F829,W$1:W$35,W$1:W$35) =
 F829,ROUND(G828*(1+IF($Q$18&lt;6,$R$14,IF($Q$18&lt;11,$R$15,$R$16)))^(1/12),0),G828*(1+IF($Q$18&lt;6,$R$14,IF($Q$18&lt;11,$R$15,$R$16)))^(1/12))))</f>
        <v>0</v>
      </c>
    </row>
    <row r="830" spans="1:7">
      <c r="A830" s="348">
        <f t="shared" si="26"/>
        <v>829</v>
      </c>
      <c r="B830" s="360">
        <f>DATE('Profit Calculation'!J$6,A$2,A$2+A830-1)</f>
        <v>42833</v>
      </c>
      <c r="D830" s="362">
        <f t="shared" ca="1" si="25"/>
        <v>115906081.73891227</v>
      </c>
      <c r="F830" s="363">
        <f>DATE('Profit Calculation'!J$6,'Profit Calculation'!R$6+A830-1,'Profit Calculation'!Z$6)</f>
        <v>67298</v>
      </c>
      <c r="G830" s="364">
        <f ca="1">IF(Q$27=2,IF(LOOKUP(F830,X$1:X$35,X$1:X$35) = F830,ROUND(LOOKUP(LOOKUP(F830,X$1:X$35,A:A),Single!A$2:A$107,Table13[Saving]),0),IF( LOOKUP(F830,W$1:W$35,W$1:W$35) =
 F830,ROUND(G829*(1+IF($Q$18&lt;6,$R$14,IF($Q$18&lt;11,$R$15,$R$16)))^(1/12),0),G829*(1+IF($Q$18&lt;6,$R$14,IF($Q$18&lt;11,$R$15,$R$16)))^(1/12))),IF(LOOKUP(F830,X$1:X$35,X$1:X$35) = F830,ROUND(LOOKUP(LOOKUP(F830,X$1:X$35,A:A),'Annual Calculation'!A$2:A$107,Table1[Saving]),0),IF( LOOKUP(F830,W$1:W$35,W$1:W$35) =
 F830,ROUND(G829*(1+IF($Q$18&lt;6,$R$14,IF($Q$18&lt;11,$R$15,$R$16)))^(1/12),0),G829*(1+IF($Q$18&lt;6,$R$14,IF($Q$18&lt;11,$R$15,$R$16)))^(1/12))))</f>
        <v>0</v>
      </c>
    </row>
    <row r="831" spans="1:7">
      <c r="A831" s="348">
        <f t="shared" si="26"/>
        <v>830</v>
      </c>
      <c r="B831" s="360">
        <f>DATE('Profit Calculation'!J$6,A$2,A$2+A831-1)</f>
        <v>42834</v>
      </c>
      <c r="D831" s="362">
        <f t="shared" ca="1" si="25"/>
        <v>115950471.76887766</v>
      </c>
      <c r="F831" s="363">
        <f>DATE('Profit Calculation'!J$6,'Profit Calculation'!R$6+A831-1,'Profit Calculation'!Z$6)</f>
        <v>67328</v>
      </c>
      <c r="G831" s="364">
        <f ca="1">IF(Q$27=2,IF(LOOKUP(F831,X$1:X$35,X$1:X$35) = F831,ROUND(LOOKUP(LOOKUP(F831,X$1:X$35,A:A),Single!A$2:A$107,Table13[Saving]),0),IF( LOOKUP(F831,W$1:W$35,W$1:W$35) =
 F831,ROUND(G830*(1+IF($Q$18&lt;6,$R$14,IF($Q$18&lt;11,$R$15,$R$16)))^(1/12),0),G830*(1+IF($Q$18&lt;6,$R$14,IF($Q$18&lt;11,$R$15,$R$16)))^(1/12))),IF(LOOKUP(F831,X$1:X$35,X$1:X$35) = F831,ROUND(LOOKUP(LOOKUP(F831,X$1:X$35,A:A),'Annual Calculation'!A$2:A$107,Table1[Saving]),0),IF( LOOKUP(F831,W$1:W$35,W$1:W$35) =
 F831,ROUND(G830*(1+IF($Q$18&lt;6,$R$14,IF($Q$18&lt;11,$R$15,$R$16)))^(1/12),0),G830*(1+IF($Q$18&lt;6,$R$14,IF($Q$18&lt;11,$R$15,$R$16)))^(1/12))))</f>
        <v>0</v>
      </c>
    </row>
    <row r="832" spans="1:7">
      <c r="A832" s="348">
        <f t="shared" si="26"/>
        <v>831</v>
      </c>
      <c r="B832" s="360">
        <f>DATE('Profit Calculation'!J$6,A$2,A$2+A832-1)</f>
        <v>42835</v>
      </c>
      <c r="D832" s="362">
        <f t="shared" ca="1" si="25"/>
        <v>115994878.7994588</v>
      </c>
      <c r="F832" s="363">
        <f>DATE('Profit Calculation'!J$6,'Profit Calculation'!R$6+A832-1,'Profit Calculation'!Z$6)</f>
        <v>67359</v>
      </c>
      <c r="G832" s="364">
        <f ca="1">IF(Q$27=2,IF(LOOKUP(F832,X$1:X$35,X$1:X$35) = F832,ROUND(LOOKUP(LOOKUP(F832,X$1:X$35,A:A),Single!A$2:A$107,Table13[Saving]),0),IF( LOOKUP(F832,W$1:W$35,W$1:W$35) =
 F832,ROUND(G831*(1+IF($Q$18&lt;6,$R$14,IF($Q$18&lt;11,$R$15,$R$16)))^(1/12),0),G831*(1+IF($Q$18&lt;6,$R$14,IF($Q$18&lt;11,$R$15,$R$16)))^(1/12))),IF(LOOKUP(F832,X$1:X$35,X$1:X$35) = F832,ROUND(LOOKUP(LOOKUP(F832,X$1:X$35,A:A),'Annual Calculation'!A$2:A$107,Table1[Saving]),0),IF( LOOKUP(F832,W$1:W$35,W$1:W$35) =
 F832,ROUND(G831*(1+IF($Q$18&lt;6,$R$14,IF($Q$18&lt;11,$R$15,$R$16)))^(1/12),0),G831*(1+IF($Q$18&lt;6,$R$14,IF($Q$18&lt;11,$R$15,$R$16)))^(1/12))))</f>
        <v>0</v>
      </c>
    </row>
    <row r="833" spans="1:7">
      <c r="A833" s="348">
        <f t="shared" si="26"/>
        <v>832</v>
      </c>
      <c r="B833" s="360">
        <f>DATE('Profit Calculation'!J$6,A$2,A$2+A833-1)</f>
        <v>42836</v>
      </c>
      <c r="D833" s="362">
        <f t="shared" ca="1" si="25"/>
        <v>116039302.83716665</v>
      </c>
      <c r="F833" s="363">
        <f>DATE('Profit Calculation'!J$6,'Profit Calculation'!R$6+A833-1,'Profit Calculation'!Z$6)</f>
        <v>67389</v>
      </c>
      <c r="G833" s="364">
        <f ca="1">IF(Q$27=2,IF(LOOKUP(F833,X$1:X$35,X$1:X$35) = F833,ROUND(LOOKUP(LOOKUP(F833,X$1:X$35,A:A),Single!A$2:A$107,Table13[Saving]),0),IF( LOOKUP(F833,W$1:W$35,W$1:W$35) =
 F833,ROUND(G832*(1+IF($Q$18&lt;6,$R$14,IF($Q$18&lt;11,$R$15,$R$16)))^(1/12),0),G832*(1+IF($Q$18&lt;6,$R$14,IF($Q$18&lt;11,$R$15,$R$16)))^(1/12))),IF(LOOKUP(F833,X$1:X$35,X$1:X$35) = F833,ROUND(LOOKUP(LOOKUP(F833,X$1:X$35,A:A),'Annual Calculation'!A$2:A$107,Table1[Saving]),0),IF( LOOKUP(F833,W$1:W$35,W$1:W$35) =
 F833,ROUND(G832*(1+IF($Q$18&lt;6,$R$14,IF($Q$18&lt;11,$R$15,$R$16)))^(1/12),0),G832*(1+IF($Q$18&lt;6,$R$14,IF($Q$18&lt;11,$R$15,$R$16)))^(1/12))))</f>
        <v>0</v>
      </c>
    </row>
    <row r="834" spans="1:7">
      <c r="A834" s="348">
        <f t="shared" si="26"/>
        <v>833</v>
      </c>
      <c r="B834" s="360">
        <f>DATE('Profit Calculation'!J$6,A$2,A$2+A834-1)</f>
        <v>42837</v>
      </c>
      <c r="D834" s="362">
        <f t="shared" ca="1" si="25"/>
        <v>116083743.88851465</v>
      </c>
      <c r="F834" s="363">
        <f>DATE('Profit Calculation'!J$6,'Profit Calculation'!R$6+A834-1,'Profit Calculation'!Z$6)</f>
        <v>67420</v>
      </c>
      <c r="G834" s="364">
        <f ca="1">IF(Q$27=2,IF(LOOKUP(F834,X$1:X$35,X$1:X$35) = F834,ROUND(LOOKUP(LOOKUP(F834,X$1:X$35,A:A),Single!A$2:A$107,Table13[Saving]),0),IF( LOOKUP(F834,W$1:W$35,W$1:W$35) =
 F834,ROUND(G833*(1+IF($Q$18&lt;6,$R$14,IF($Q$18&lt;11,$R$15,$R$16)))^(1/12),0),G833*(1+IF($Q$18&lt;6,$R$14,IF($Q$18&lt;11,$R$15,$R$16)))^(1/12))),IF(LOOKUP(F834,X$1:X$35,X$1:X$35) = F834,ROUND(LOOKUP(LOOKUP(F834,X$1:X$35,A:A),'Annual Calculation'!A$2:A$107,Table1[Saving]),0),IF( LOOKUP(F834,W$1:W$35,W$1:W$35) =
 F834,ROUND(G833*(1+IF($Q$18&lt;6,$R$14,IF($Q$18&lt;11,$R$15,$R$16)))^(1/12),0),G833*(1+IF($Q$18&lt;6,$R$14,IF($Q$18&lt;11,$R$15,$R$16)))^(1/12))))</f>
        <v>0</v>
      </c>
    </row>
    <row r="835" spans="1:7">
      <c r="A835" s="348">
        <f t="shared" si="26"/>
        <v>834</v>
      </c>
      <c r="B835" s="360">
        <f>DATE('Profit Calculation'!J$6,A$2,A$2+A835-1)</f>
        <v>42838</v>
      </c>
      <c r="D835" s="362">
        <f t="shared" ca="1" si="25"/>
        <v>116128201.96001872</v>
      </c>
      <c r="F835" s="363">
        <f>DATE('Profit Calculation'!J$6,'Profit Calculation'!R$6+A835-1,'Profit Calculation'!Z$6)</f>
        <v>67451</v>
      </c>
      <c r="G835" s="364">
        <f ca="1">IF(Q$27=2,IF(LOOKUP(F835,X$1:X$35,X$1:X$35) = F835,ROUND(LOOKUP(LOOKUP(F835,X$1:X$35,A:A),Single!A$2:A$107,Table13[Saving]),0),IF( LOOKUP(F835,W$1:W$35,W$1:W$35) =
 F835,ROUND(G834*(1+IF($Q$18&lt;6,$R$14,IF($Q$18&lt;11,$R$15,$R$16)))^(1/12),0),G834*(1+IF($Q$18&lt;6,$R$14,IF($Q$18&lt;11,$R$15,$R$16)))^(1/12))),IF(LOOKUP(F835,X$1:X$35,X$1:X$35) = F835,ROUND(LOOKUP(LOOKUP(F835,X$1:X$35,A:A),'Annual Calculation'!A$2:A$107,Table1[Saving]),0),IF( LOOKUP(F835,W$1:W$35,W$1:W$35) =
 F835,ROUND(G834*(1+IF($Q$18&lt;6,$R$14,IF($Q$18&lt;11,$R$15,$R$16)))^(1/12),0),G834*(1+IF($Q$18&lt;6,$R$14,IF($Q$18&lt;11,$R$15,$R$16)))^(1/12))))</f>
        <v>0</v>
      </c>
    </row>
    <row r="836" spans="1:7">
      <c r="A836" s="348">
        <f t="shared" si="26"/>
        <v>835</v>
      </c>
      <c r="B836" s="360">
        <f>DATE('Profit Calculation'!J$6,A$2,A$2+A836-1)</f>
        <v>42839</v>
      </c>
      <c r="D836" s="362">
        <f t="shared" ref="D836:D899" ca="1" si="27">IF(OR(LOOKUP(B836,W$1:W$35,W$1:W$35) = B836, LOOKUP(B836,X$1:X$35,X$1:X$35) = B836),LOOKUP(B836,F:F,G:G),D835*(1+((IF($Q$18&lt;6,$R$14,IF($Q$18&lt;11,$R$15,$R$16)))))^(1/365))</f>
        <v>116172677.05819729</v>
      </c>
      <c r="F836" s="363">
        <f>DATE('Profit Calculation'!J$6,'Profit Calculation'!R$6+A836-1,'Profit Calculation'!Z$6)</f>
        <v>67481</v>
      </c>
      <c r="G836" s="364">
        <f ca="1">IF(Q$27=2,IF(LOOKUP(F836,X$1:X$35,X$1:X$35) = F836,ROUND(LOOKUP(LOOKUP(F836,X$1:X$35,A:A),Single!A$2:A$107,Table13[Saving]),0),IF( LOOKUP(F836,W$1:W$35,W$1:W$35) =
 F836,ROUND(G835*(1+IF($Q$18&lt;6,$R$14,IF($Q$18&lt;11,$R$15,$R$16)))^(1/12),0),G835*(1+IF($Q$18&lt;6,$R$14,IF($Q$18&lt;11,$R$15,$R$16)))^(1/12))),IF(LOOKUP(F836,X$1:X$35,X$1:X$35) = F836,ROUND(LOOKUP(LOOKUP(F836,X$1:X$35,A:A),'Annual Calculation'!A$2:A$107,Table1[Saving]),0),IF( LOOKUP(F836,W$1:W$35,W$1:W$35) =
 F836,ROUND(G835*(1+IF($Q$18&lt;6,$R$14,IF($Q$18&lt;11,$R$15,$R$16)))^(1/12),0),G835*(1+IF($Q$18&lt;6,$R$14,IF($Q$18&lt;11,$R$15,$R$16)))^(1/12))))</f>
        <v>0</v>
      </c>
    </row>
    <row r="837" spans="1:7">
      <c r="A837" s="348">
        <f t="shared" ref="A837:A900" si="28">A836+1</f>
        <v>836</v>
      </c>
      <c r="B837" s="360">
        <f>DATE('Profit Calculation'!J$6,A$2,A$2+A837-1)</f>
        <v>42840</v>
      </c>
      <c r="D837" s="362">
        <f t="shared" ca="1" si="27"/>
        <v>116217169.18957128</v>
      </c>
      <c r="F837" s="363">
        <f>DATE('Profit Calculation'!J$6,'Profit Calculation'!R$6+A837-1,'Profit Calculation'!Z$6)</f>
        <v>67512</v>
      </c>
      <c r="G837" s="364">
        <f ca="1">IF(Q$27=2,IF(LOOKUP(F837,X$1:X$35,X$1:X$35) = F837,ROUND(LOOKUP(LOOKUP(F837,X$1:X$35,A:A),Single!A$2:A$107,Table13[Saving]),0),IF( LOOKUP(F837,W$1:W$35,W$1:W$35) =
 F837,ROUND(G836*(1+IF($Q$18&lt;6,$R$14,IF($Q$18&lt;11,$R$15,$R$16)))^(1/12),0),G836*(1+IF($Q$18&lt;6,$R$14,IF($Q$18&lt;11,$R$15,$R$16)))^(1/12))),IF(LOOKUP(F837,X$1:X$35,X$1:X$35) = F837,ROUND(LOOKUP(LOOKUP(F837,X$1:X$35,A:A),'Annual Calculation'!A$2:A$107,Table1[Saving]),0),IF( LOOKUP(F837,W$1:W$35,W$1:W$35) =
 F837,ROUND(G836*(1+IF($Q$18&lt;6,$R$14,IF($Q$18&lt;11,$R$15,$R$16)))^(1/12),0),G836*(1+IF($Q$18&lt;6,$R$14,IF($Q$18&lt;11,$R$15,$R$16)))^(1/12))))</f>
        <v>0</v>
      </c>
    </row>
    <row r="838" spans="1:7">
      <c r="A838" s="348">
        <f t="shared" si="28"/>
        <v>837</v>
      </c>
      <c r="B838" s="360">
        <f>DATE('Profit Calculation'!J$6,A$2,A$2+A838-1)</f>
        <v>42841</v>
      </c>
      <c r="D838" s="362">
        <f t="shared" ca="1" si="27"/>
        <v>116261678.36066411</v>
      </c>
      <c r="F838" s="363">
        <f>DATE('Profit Calculation'!J$6,'Profit Calculation'!R$6+A838-1,'Profit Calculation'!Z$6)</f>
        <v>67542</v>
      </c>
      <c r="G838" s="364">
        <f ca="1">IF(Q$27=2,IF(LOOKUP(F838,X$1:X$35,X$1:X$35) = F838,ROUND(LOOKUP(LOOKUP(F838,X$1:X$35,A:A),Single!A$2:A$107,Table13[Saving]),0),IF( LOOKUP(F838,W$1:W$35,W$1:W$35) =
 F838,ROUND(G837*(1+IF($Q$18&lt;6,$R$14,IF($Q$18&lt;11,$R$15,$R$16)))^(1/12),0),G837*(1+IF($Q$18&lt;6,$R$14,IF($Q$18&lt;11,$R$15,$R$16)))^(1/12))),IF(LOOKUP(F838,X$1:X$35,X$1:X$35) = F838,ROUND(LOOKUP(LOOKUP(F838,X$1:X$35,A:A),'Annual Calculation'!A$2:A$107,Table1[Saving]),0),IF( LOOKUP(F838,W$1:W$35,W$1:W$35) =
 F838,ROUND(G837*(1+IF($Q$18&lt;6,$R$14,IF($Q$18&lt;11,$R$15,$R$16)))^(1/12),0),G837*(1+IF($Q$18&lt;6,$R$14,IF($Q$18&lt;11,$R$15,$R$16)))^(1/12))))</f>
        <v>0</v>
      </c>
    </row>
    <row r="839" spans="1:7">
      <c r="A839" s="348">
        <f t="shared" si="28"/>
        <v>838</v>
      </c>
      <c r="B839" s="360">
        <f>DATE('Profit Calculation'!J$6,A$2,A$2+A839-1)</f>
        <v>42842</v>
      </c>
      <c r="D839" s="362">
        <f t="shared" ca="1" si="27"/>
        <v>116306204.57800171</v>
      </c>
      <c r="F839" s="363">
        <f>DATE('Profit Calculation'!J$6,'Profit Calculation'!R$6+A839-1,'Profit Calculation'!Z$6)</f>
        <v>67573</v>
      </c>
      <c r="G839" s="364">
        <f ca="1">IF(Q$27=2,IF(LOOKUP(F839,X$1:X$35,X$1:X$35) = F839,ROUND(LOOKUP(LOOKUP(F839,X$1:X$35,A:A),Single!A$2:A$107,Table13[Saving]),0),IF( LOOKUP(F839,W$1:W$35,W$1:W$35) =
 F839,ROUND(G838*(1+IF($Q$18&lt;6,$R$14,IF($Q$18&lt;11,$R$15,$R$16)))^(1/12),0),G838*(1+IF($Q$18&lt;6,$R$14,IF($Q$18&lt;11,$R$15,$R$16)))^(1/12))),IF(LOOKUP(F839,X$1:X$35,X$1:X$35) = F839,ROUND(LOOKUP(LOOKUP(F839,X$1:X$35,A:A),'Annual Calculation'!A$2:A$107,Table1[Saving]),0),IF( LOOKUP(F839,W$1:W$35,W$1:W$35) =
 F839,ROUND(G838*(1+IF($Q$18&lt;6,$R$14,IF($Q$18&lt;11,$R$15,$R$16)))^(1/12),0),G838*(1+IF($Q$18&lt;6,$R$14,IF($Q$18&lt;11,$R$15,$R$16)))^(1/12))))</f>
        <v>0</v>
      </c>
    </row>
    <row r="840" spans="1:7">
      <c r="A840" s="348">
        <f t="shared" si="28"/>
        <v>839</v>
      </c>
      <c r="B840" s="360">
        <f>DATE('Profit Calculation'!J$6,A$2,A$2+A840-1)</f>
        <v>42843</v>
      </c>
      <c r="D840" s="362">
        <f t="shared" ca="1" si="27"/>
        <v>116350747.84811248</v>
      </c>
      <c r="F840" s="363">
        <f>DATE('Profit Calculation'!J$6,'Profit Calculation'!R$6+A840-1,'Profit Calculation'!Z$6)</f>
        <v>67604</v>
      </c>
      <c r="G840" s="364">
        <f ca="1">IF(Q$27=2,IF(LOOKUP(F840,X$1:X$35,X$1:X$35) = F840,ROUND(LOOKUP(LOOKUP(F840,X$1:X$35,A:A),Single!A$2:A$107,Table13[Saving]),0),IF( LOOKUP(F840,W$1:W$35,W$1:W$35) =
 F840,ROUND(G839*(1+IF($Q$18&lt;6,$R$14,IF($Q$18&lt;11,$R$15,$R$16)))^(1/12),0),G839*(1+IF($Q$18&lt;6,$R$14,IF($Q$18&lt;11,$R$15,$R$16)))^(1/12))),IF(LOOKUP(F840,X$1:X$35,X$1:X$35) = F840,ROUND(LOOKUP(LOOKUP(F840,X$1:X$35,A:A),'Annual Calculation'!A$2:A$107,Table1[Saving]),0),IF( LOOKUP(F840,W$1:W$35,W$1:W$35) =
 F840,ROUND(G839*(1+IF($Q$18&lt;6,$R$14,IF($Q$18&lt;11,$R$15,$R$16)))^(1/12),0),G839*(1+IF($Q$18&lt;6,$R$14,IF($Q$18&lt;11,$R$15,$R$16)))^(1/12))))</f>
        <v>0</v>
      </c>
    </row>
    <row r="841" spans="1:7">
      <c r="A841" s="348">
        <f t="shared" si="28"/>
        <v>840</v>
      </c>
      <c r="B841" s="360">
        <f>DATE('Profit Calculation'!J$6,A$2,A$2+A841-1)</f>
        <v>42844</v>
      </c>
      <c r="D841" s="362">
        <f t="shared" ca="1" si="27"/>
        <v>116395308.17752735</v>
      </c>
      <c r="F841" s="363">
        <f>DATE('Profit Calculation'!J$6,'Profit Calculation'!R$6+A841-1,'Profit Calculation'!Z$6)</f>
        <v>67632</v>
      </c>
      <c r="G841" s="364">
        <f ca="1">IF(Q$27=2,IF(LOOKUP(F841,X$1:X$35,X$1:X$35) = F841,ROUND(LOOKUP(LOOKUP(F841,X$1:X$35,A:A),Single!A$2:A$107,Table13[Saving]),0),IF( LOOKUP(F841,W$1:W$35,W$1:W$35) =
 F841,ROUND(G840*(1+IF($Q$18&lt;6,$R$14,IF($Q$18&lt;11,$R$15,$R$16)))^(1/12),0),G840*(1+IF($Q$18&lt;6,$R$14,IF($Q$18&lt;11,$R$15,$R$16)))^(1/12))),IF(LOOKUP(F841,X$1:X$35,X$1:X$35) = F841,ROUND(LOOKUP(LOOKUP(F841,X$1:X$35,A:A),'Annual Calculation'!A$2:A$107,Table1[Saving]),0),IF( LOOKUP(F841,W$1:W$35,W$1:W$35) =
 F841,ROUND(G840*(1+IF($Q$18&lt;6,$R$14,IF($Q$18&lt;11,$R$15,$R$16)))^(1/12),0),G840*(1+IF($Q$18&lt;6,$R$14,IF($Q$18&lt;11,$R$15,$R$16)))^(1/12))))</f>
        <v>0</v>
      </c>
    </row>
    <row r="842" spans="1:7">
      <c r="A842" s="348">
        <f t="shared" si="28"/>
        <v>841</v>
      </c>
      <c r="B842" s="360">
        <f>DATE('Profit Calculation'!J$6,A$2,A$2+A842-1)</f>
        <v>42845</v>
      </c>
      <c r="D842" s="362">
        <f t="shared" ca="1" si="27"/>
        <v>116439885.57277973</v>
      </c>
      <c r="F842" s="363">
        <f>DATE('Profit Calculation'!J$6,'Profit Calculation'!R$6+A842-1,'Profit Calculation'!Z$6)</f>
        <v>67663</v>
      </c>
      <c r="G842" s="364">
        <f ca="1">IF(Q$27=2,IF(LOOKUP(F842,X$1:X$35,X$1:X$35) = F842,ROUND(LOOKUP(LOOKUP(F842,X$1:X$35,A:A),Single!A$2:A$107,Table13[Saving]),0),IF( LOOKUP(F842,W$1:W$35,W$1:W$35) =
 F842,ROUND(G841*(1+IF($Q$18&lt;6,$R$14,IF($Q$18&lt;11,$R$15,$R$16)))^(1/12),0),G841*(1+IF($Q$18&lt;6,$R$14,IF($Q$18&lt;11,$R$15,$R$16)))^(1/12))),IF(LOOKUP(F842,X$1:X$35,X$1:X$35) = F842,ROUND(LOOKUP(LOOKUP(F842,X$1:X$35,A:A),'Annual Calculation'!A$2:A$107,Table1[Saving]),0),IF( LOOKUP(F842,W$1:W$35,W$1:W$35) =
 F842,ROUND(G841*(1+IF($Q$18&lt;6,$R$14,IF($Q$18&lt;11,$R$15,$R$16)))^(1/12),0),G841*(1+IF($Q$18&lt;6,$R$14,IF($Q$18&lt;11,$R$15,$R$16)))^(1/12))))</f>
        <v>0</v>
      </c>
    </row>
    <row r="843" spans="1:7">
      <c r="A843" s="348">
        <f t="shared" si="28"/>
        <v>842</v>
      </c>
      <c r="B843" s="360">
        <f>DATE('Profit Calculation'!J$6,A$2,A$2+A843-1)</f>
        <v>42846</v>
      </c>
      <c r="D843" s="362">
        <f t="shared" ca="1" si="27"/>
        <v>116484480.04040556</v>
      </c>
      <c r="F843" s="363">
        <f>DATE('Profit Calculation'!J$6,'Profit Calculation'!R$6+A843-1,'Profit Calculation'!Z$6)</f>
        <v>67693</v>
      </c>
      <c r="G843" s="364">
        <f ca="1">IF(Q$27=2,IF(LOOKUP(F843,X$1:X$35,X$1:X$35) = F843,ROUND(LOOKUP(LOOKUP(F843,X$1:X$35,A:A),Single!A$2:A$107,Table13[Saving]),0),IF( LOOKUP(F843,W$1:W$35,W$1:W$35) =
 F843,ROUND(G842*(1+IF($Q$18&lt;6,$R$14,IF($Q$18&lt;11,$R$15,$R$16)))^(1/12),0),G842*(1+IF($Q$18&lt;6,$R$14,IF($Q$18&lt;11,$R$15,$R$16)))^(1/12))),IF(LOOKUP(F843,X$1:X$35,X$1:X$35) = F843,ROUND(LOOKUP(LOOKUP(F843,X$1:X$35,A:A),'Annual Calculation'!A$2:A$107,Table1[Saving]),0),IF( LOOKUP(F843,W$1:W$35,W$1:W$35) =
 F843,ROUND(G842*(1+IF($Q$18&lt;6,$R$14,IF($Q$18&lt;11,$R$15,$R$16)))^(1/12),0),G842*(1+IF($Q$18&lt;6,$R$14,IF($Q$18&lt;11,$R$15,$R$16)))^(1/12))))</f>
        <v>0</v>
      </c>
    </row>
    <row r="844" spans="1:7">
      <c r="A844" s="348">
        <f t="shared" si="28"/>
        <v>843</v>
      </c>
      <c r="B844" s="360">
        <f>DATE('Profit Calculation'!J$6,A$2,A$2+A844-1)</f>
        <v>42847</v>
      </c>
      <c r="D844" s="362">
        <f t="shared" ca="1" si="27"/>
        <v>116529091.58694324</v>
      </c>
      <c r="F844" s="363">
        <f>DATE('Profit Calculation'!J$6,'Profit Calculation'!R$6+A844-1,'Profit Calculation'!Z$6)</f>
        <v>67724</v>
      </c>
      <c r="G844" s="364">
        <f ca="1">IF(Q$27=2,IF(LOOKUP(F844,X$1:X$35,X$1:X$35) = F844,ROUND(LOOKUP(LOOKUP(F844,X$1:X$35,A:A),Single!A$2:A$107,Table13[Saving]),0),IF( LOOKUP(F844,W$1:W$35,W$1:W$35) =
 F844,ROUND(G843*(1+IF($Q$18&lt;6,$R$14,IF($Q$18&lt;11,$R$15,$R$16)))^(1/12),0),G843*(1+IF($Q$18&lt;6,$R$14,IF($Q$18&lt;11,$R$15,$R$16)))^(1/12))),IF(LOOKUP(F844,X$1:X$35,X$1:X$35) = F844,ROUND(LOOKUP(LOOKUP(F844,X$1:X$35,A:A),'Annual Calculation'!A$2:A$107,Table1[Saving]),0),IF( LOOKUP(F844,W$1:W$35,W$1:W$35) =
 F844,ROUND(G843*(1+IF($Q$18&lt;6,$R$14,IF($Q$18&lt;11,$R$15,$R$16)))^(1/12),0),G843*(1+IF($Q$18&lt;6,$R$14,IF($Q$18&lt;11,$R$15,$R$16)))^(1/12))))</f>
        <v>0</v>
      </c>
    </row>
    <row r="845" spans="1:7">
      <c r="A845" s="348">
        <f t="shared" si="28"/>
        <v>844</v>
      </c>
      <c r="B845" s="360">
        <f>DATE('Profit Calculation'!J$6,A$2,A$2+A845-1)</f>
        <v>42848</v>
      </c>
      <c r="D845" s="362">
        <f t="shared" ca="1" si="27"/>
        <v>116573720.21893372</v>
      </c>
      <c r="F845" s="363">
        <f>DATE('Profit Calculation'!J$6,'Profit Calculation'!R$6+A845-1,'Profit Calculation'!Z$6)</f>
        <v>67754</v>
      </c>
      <c r="G845" s="364">
        <f ca="1">IF(Q$27=2,IF(LOOKUP(F845,X$1:X$35,X$1:X$35) = F845,ROUND(LOOKUP(LOOKUP(F845,X$1:X$35,A:A),Single!A$2:A$107,Table13[Saving]),0),IF( LOOKUP(F845,W$1:W$35,W$1:W$35) =
 F845,ROUND(G844*(1+IF($Q$18&lt;6,$R$14,IF($Q$18&lt;11,$R$15,$R$16)))^(1/12),0),G844*(1+IF($Q$18&lt;6,$R$14,IF($Q$18&lt;11,$R$15,$R$16)))^(1/12))),IF(LOOKUP(F845,X$1:X$35,X$1:X$35) = F845,ROUND(LOOKUP(LOOKUP(F845,X$1:X$35,A:A),'Annual Calculation'!A$2:A$107,Table1[Saving]),0),IF( LOOKUP(F845,W$1:W$35,W$1:W$35) =
 F845,ROUND(G844*(1+IF($Q$18&lt;6,$R$14,IF($Q$18&lt;11,$R$15,$R$16)))^(1/12),0),G844*(1+IF($Q$18&lt;6,$R$14,IF($Q$18&lt;11,$R$15,$R$16)))^(1/12))))</f>
        <v>0</v>
      </c>
    </row>
    <row r="846" spans="1:7">
      <c r="A846" s="348">
        <f t="shared" si="28"/>
        <v>845</v>
      </c>
      <c r="B846" s="360">
        <f>DATE('Profit Calculation'!J$6,A$2,A$2+A846-1)</f>
        <v>42849</v>
      </c>
      <c r="D846" s="362">
        <f t="shared" ca="1" si="27"/>
        <v>116618365.94292042</v>
      </c>
      <c r="F846" s="363">
        <f>DATE('Profit Calculation'!J$6,'Profit Calculation'!R$6+A846-1,'Profit Calculation'!Z$6)</f>
        <v>67785</v>
      </c>
      <c r="G846" s="364">
        <f ca="1">IF(Q$27=2,IF(LOOKUP(F846,X$1:X$35,X$1:X$35) = F846,ROUND(LOOKUP(LOOKUP(F846,X$1:X$35,A:A),Single!A$2:A$107,Table13[Saving]),0),IF( LOOKUP(F846,W$1:W$35,W$1:W$35) =
 F846,ROUND(G845*(1+IF($Q$18&lt;6,$R$14,IF($Q$18&lt;11,$R$15,$R$16)))^(1/12),0),G845*(1+IF($Q$18&lt;6,$R$14,IF($Q$18&lt;11,$R$15,$R$16)))^(1/12))),IF(LOOKUP(F846,X$1:X$35,X$1:X$35) = F846,ROUND(LOOKUP(LOOKUP(F846,X$1:X$35,A:A),'Annual Calculation'!A$2:A$107,Table1[Saving]),0),IF( LOOKUP(F846,W$1:W$35,W$1:W$35) =
 F846,ROUND(G845*(1+IF($Q$18&lt;6,$R$14,IF($Q$18&lt;11,$R$15,$R$16)))^(1/12),0),G845*(1+IF($Q$18&lt;6,$R$14,IF($Q$18&lt;11,$R$15,$R$16)))^(1/12))))</f>
        <v>0</v>
      </c>
    </row>
    <row r="847" spans="1:7">
      <c r="A847" s="348">
        <f t="shared" si="28"/>
        <v>846</v>
      </c>
      <c r="B847" s="360">
        <f>DATE('Profit Calculation'!J$6,A$2,A$2+A847-1)</f>
        <v>42850</v>
      </c>
      <c r="D847" s="362">
        <f t="shared" ca="1" si="27"/>
        <v>116663028.76544927</v>
      </c>
      <c r="F847" s="363">
        <f>DATE('Profit Calculation'!J$6,'Profit Calculation'!R$6+A847-1,'Profit Calculation'!Z$6)</f>
        <v>67816</v>
      </c>
      <c r="G847" s="364">
        <f ca="1">IF(Q$27=2,IF(LOOKUP(F847,X$1:X$35,X$1:X$35) = F847,ROUND(LOOKUP(LOOKUP(F847,X$1:X$35,A:A),Single!A$2:A$107,Table13[Saving]),0),IF( LOOKUP(F847,W$1:W$35,W$1:W$35) =
 F847,ROUND(G846*(1+IF($Q$18&lt;6,$R$14,IF($Q$18&lt;11,$R$15,$R$16)))^(1/12),0),G846*(1+IF($Q$18&lt;6,$R$14,IF($Q$18&lt;11,$R$15,$R$16)))^(1/12))),IF(LOOKUP(F847,X$1:X$35,X$1:X$35) = F847,ROUND(LOOKUP(LOOKUP(F847,X$1:X$35,A:A),'Annual Calculation'!A$2:A$107,Table1[Saving]),0),IF( LOOKUP(F847,W$1:W$35,W$1:W$35) =
 F847,ROUND(G846*(1+IF($Q$18&lt;6,$R$14,IF($Q$18&lt;11,$R$15,$R$16)))^(1/12),0),G846*(1+IF($Q$18&lt;6,$R$14,IF($Q$18&lt;11,$R$15,$R$16)))^(1/12))))</f>
        <v>0</v>
      </c>
    </row>
    <row r="848" spans="1:7">
      <c r="A848" s="348">
        <f t="shared" si="28"/>
        <v>847</v>
      </c>
      <c r="B848" s="360">
        <f>DATE('Profit Calculation'!J$6,A$2,A$2+A848-1)</f>
        <v>42851</v>
      </c>
      <c r="D848" s="362">
        <f t="shared" ca="1" si="27"/>
        <v>116707708.69306874</v>
      </c>
      <c r="F848" s="363">
        <f>DATE('Profit Calculation'!J$6,'Profit Calculation'!R$6+A848-1,'Profit Calculation'!Z$6)</f>
        <v>67846</v>
      </c>
      <c r="G848" s="364">
        <f ca="1">IF(Q$27=2,IF(LOOKUP(F848,X$1:X$35,X$1:X$35) = F848,ROUND(LOOKUP(LOOKUP(F848,X$1:X$35,A:A),Single!A$2:A$107,Table13[Saving]),0),IF( LOOKUP(F848,W$1:W$35,W$1:W$35) =
 F848,ROUND(G847*(1+IF($Q$18&lt;6,$R$14,IF($Q$18&lt;11,$R$15,$R$16)))^(1/12),0),G847*(1+IF($Q$18&lt;6,$R$14,IF($Q$18&lt;11,$R$15,$R$16)))^(1/12))),IF(LOOKUP(F848,X$1:X$35,X$1:X$35) = F848,ROUND(LOOKUP(LOOKUP(F848,X$1:X$35,A:A),'Annual Calculation'!A$2:A$107,Table1[Saving]),0),IF( LOOKUP(F848,W$1:W$35,W$1:W$35) =
 F848,ROUND(G847*(1+IF($Q$18&lt;6,$R$14,IF($Q$18&lt;11,$R$15,$R$16)))^(1/12),0),G847*(1+IF($Q$18&lt;6,$R$14,IF($Q$18&lt;11,$R$15,$R$16)))^(1/12))))</f>
        <v>0</v>
      </c>
    </row>
    <row r="849" spans="1:7">
      <c r="A849" s="348">
        <f t="shared" si="28"/>
        <v>848</v>
      </c>
      <c r="B849" s="360">
        <f>DATE('Profit Calculation'!J$6,A$2,A$2+A849-1)</f>
        <v>42852</v>
      </c>
      <c r="D849" s="362">
        <f t="shared" ca="1" si="27"/>
        <v>116752405.73232977</v>
      </c>
      <c r="F849" s="363">
        <f>DATE('Profit Calculation'!J$6,'Profit Calculation'!R$6+A849-1,'Profit Calculation'!Z$6)</f>
        <v>67877</v>
      </c>
      <c r="G849" s="364">
        <f ca="1">IF(Q$27=2,IF(LOOKUP(F849,X$1:X$35,X$1:X$35) = F849,ROUND(LOOKUP(LOOKUP(F849,X$1:X$35,A:A),Single!A$2:A$107,Table13[Saving]),0),IF( LOOKUP(F849,W$1:W$35,W$1:W$35) =
 F849,ROUND(G848*(1+IF($Q$18&lt;6,$R$14,IF($Q$18&lt;11,$R$15,$R$16)))^(1/12),0),G848*(1+IF($Q$18&lt;6,$R$14,IF($Q$18&lt;11,$R$15,$R$16)))^(1/12))),IF(LOOKUP(F849,X$1:X$35,X$1:X$35) = F849,ROUND(LOOKUP(LOOKUP(F849,X$1:X$35,A:A),'Annual Calculation'!A$2:A$107,Table1[Saving]),0),IF( LOOKUP(F849,W$1:W$35,W$1:W$35) =
 F849,ROUND(G848*(1+IF($Q$18&lt;6,$R$14,IF($Q$18&lt;11,$R$15,$R$16)))^(1/12),0),G848*(1+IF($Q$18&lt;6,$R$14,IF($Q$18&lt;11,$R$15,$R$16)))^(1/12))))</f>
        <v>0</v>
      </c>
    </row>
    <row r="850" spans="1:7">
      <c r="A850" s="348">
        <f t="shared" si="28"/>
        <v>849</v>
      </c>
      <c r="B850" s="360">
        <f>DATE('Profit Calculation'!J$6,A$2,A$2+A850-1)</f>
        <v>42853</v>
      </c>
      <c r="D850" s="362">
        <f t="shared" ca="1" si="27"/>
        <v>116797119.88978583</v>
      </c>
      <c r="F850" s="363">
        <f>DATE('Profit Calculation'!J$6,'Profit Calculation'!R$6+A850-1,'Profit Calculation'!Z$6)</f>
        <v>67907</v>
      </c>
      <c r="G850" s="364">
        <f ca="1">IF(Q$27=2,IF(LOOKUP(F850,X$1:X$35,X$1:X$35) = F850,ROUND(LOOKUP(LOOKUP(F850,X$1:X$35,A:A),Single!A$2:A$107,Table13[Saving]),0),IF( LOOKUP(F850,W$1:W$35,W$1:W$35) =
 F850,ROUND(G849*(1+IF($Q$18&lt;6,$R$14,IF($Q$18&lt;11,$R$15,$R$16)))^(1/12),0),G849*(1+IF($Q$18&lt;6,$R$14,IF($Q$18&lt;11,$R$15,$R$16)))^(1/12))),IF(LOOKUP(F850,X$1:X$35,X$1:X$35) = F850,ROUND(LOOKUP(LOOKUP(F850,X$1:X$35,A:A),'Annual Calculation'!A$2:A$107,Table1[Saving]),0),IF( LOOKUP(F850,W$1:W$35,W$1:W$35) =
 F850,ROUND(G849*(1+IF($Q$18&lt;6,$R$14,IF($Q$18&lt;11,$R$15,$R$16)))^(1/12),0),G849*(1+IF($Q$18&lt;6,$R$14,IF($Q$18&lt;11,$R$15,$R$16)))^(1/12))))</f>
        <v>0</v>
      </c>
    </row>
    <row r="851" spans="1:7">
      <c r="A851" s="348">
        <f t="shared" si="28"/>
        <v>850</v>
      </c>
      <c r="B851" s="360">
        <f>DATE('Profit Calculation'!J$6,A$2,A$2+A851-1)</f>
        <v>42854</v>
      </c>
      <c r="D851" s="362">
        <f t="shared" ca="1" si="27"/>
        <v>116841851.17199288</v>
      </c>
      <c r="F851" s="363">
        <f>DATE('Profit Calculation'!J$6,'Profit Calculation'!R$6+A851-1,'Profit Calculation'!Z$6)</f>
        <v>67938</v>
      </c>
      <c r="G851" s="364">
        <f ca="1">IF(Q$27=2,IF(LOOKUP(F851,X$1:X$35,X$1:X$35) = F851,ROUND(LOOKUP(LOOKUP(F851,X$1:X$35,A:A),Single!A$2:A$107,Table13[Saving]),0),IF( LOOKUP(F851,W$1:W$35,W$1:W$35) =
 F851,ROUND(G850*(1+IF($Q$18&lt;6,$R$14,IF($Q$18&lt;11,$R$15,$R$16)))^(1/12),0),G850*(1+IF($Q$18&lt;6,$R$14,IF($Q$18&lt;11,$R$15,$R$16)))^(1/12))),IF(LOOKUP(F851,X$1:X$35,X$1:X$35) = F851,ROUND(LOOKUP(LOOKUP(F851,X$1:X$35,A:A),'Annual Calculation'!A$2:A$107,Table1[Saving]),0),IF( LOOKUP(F851,W$1:W$35,W$1:W$35) =
 F851,ROUND(G850*(1+IF($Q$18&lt;6,$R$14,IF($Q$18&lt;11,$R$15,$R$16)))^(1/12),0),G850*(1+IF($Q$18&lt;6,$R$14,IF($Q$18&lt;11,$R$15,$R$16)))^(1/12))))</f>
        <v>0</v>
      </c>
    </row>
    <row r="852" spans="1:7">
      <c r="A852" s="348">
        <f t="shared" si="28"/>
        <v>851</v>
      </c>
      <c r="B852" s="360">
        <f>DATE('Profit Calculation'!J$6,A$2,A$2+A852-1)</f>
        <v>42855</v>
      </c>
      <c r="D852" s="362">
        <f t="shared" ca="1" si="27"/>
        <v>116886599.58550943</v>
      </c>
      <c r="F852" s="363">
        <f>DATE('Profit Calculation'!J$6,'Profit Calculation'!R$6+A852-1,'Profit Calculation'!Z$6)</f>
        <v>67969</v>
      </c>
      <c r="G852" s="364">
        <f ca="1">IF(Q$27=2,IF(LOOKUP(F852,X$1:X$35,X$1:X$35) = F852,ROUND(LOOKUP(LOOKUP(F852,X$1:X$35,A:A),Single!A$2:A$107,Table13[Saving]),0),IF( LOOKUP(F852,W$1:W$35,W$1:W$35) =
 F852,ROUND(G851*(1+IF($Q$18&lt;6,$R$14,IF($Q$18&lt;11,$R$15,$R$16)))^(1/12),0),G851*(1+IF($Q$18&lt;6,$R$14,IF($Q$18&lt;11,$R$15,$R$16)))^(1/12))),IF(LOOKUP(F852,X$1:X$35,X$1:X$35) = F852,ROUND(LOOKUP(LOOKUP(F852,X$1:X$35,A:A),'Annual Calculation'!A$2:A$107,Table1[Saving]),0),IF( LOOKUP(F852,W$1:W$35,W$1:W$35) =
 F852,ROUND(G851*(1+IF($Q$18&lt;6,$R$14,IF($Q$18&lt;11,$R$15,$R$16)))^(1/12),0),G851*(1+IF($Q$18&lt;6,$R$14,IF($Q$18&lt;11,$R$15,$R$16)))^(1/12))))</f>
        <v>0</v>
      </c>
    </row>
    <row r="853" spans="1:7">
      <c r="A853" s="348">
        <f t="shared" si="28"/>
        <v>852</v>
      </c>
      <c r="B853" s="360">
        <f>DATE('Profit Calculation'!J$6,A$2,A$2+A853-1)</f>
        <v>42856</v>
      </c>
      <c r="D853" s="362">
        <f t="shared" ca="1" si="27"/>
        <v>116931365.13689646</v>
      </c>
      <c r="F853" s="363">
        <f>DATE('Profit Calculation'!J$6,'Profit Calculation'!R$6+A853-1,'Profit Calculation'!Z$6)</f>
        <v>67997</v>
      </c>
      <c r="G853" s="364">
        <f ca="1">IF(Q$27=2,IF(LOOKUP(F853,X$1:X$35,X$1:X$35) = F853,ROUND(LOOKUP(LOOKUP(F853,X$1:X$35,A:A),Single!A$2:A$107,Table13[Saving]),0),IF( LOOKUP(F853,W$1:W$35,W$1:W$35) =
 F853,ROUND(G852*(1+IF($Q$18&lt;6,$R$14,IF($Q$18&lt;11,$R$15,$R$16)))^(1/12),0),G852*(1+IF($Q$18&lt;6,$R$14,IF($Q$18&lt;11,$R$15,$R$16)))^(1/12))),IF(LOOKUP(F853,X$1:X$35,X$1:X$35) = F853,ROUND(LOOKUP(LOOKUP(F853,X$1:X$35,A:A),'Annual Calculation'!A$2:A$107,Table1[Saving]),0),IF( LOOKUP(F853,W$1:W$35,W$1:W$35) =
 F853,ROUND(G852*(1+IF($Q$18&lt;6,$R$14,IF($Q$18&lt;11,$R$15,$R$16)))^(1/12),0),G852*(1+IF($Q$18&lt;6,$R$14,IF($Q$18&lt;11,$R$15,$R$16)))^(1/12))))</f>
        <v>0</v>
      </c>
    </row>
    <row r="854" spans="1:7">
      <c r="A854" s="348">
        <f t="shared" si="28"/>
        <v>853</v>
      </c>
      <c r="B854" s="360">
        <f>DATE('Profit Calculation'!J$6,A$2,A$2+A854-1)</f>
        <v>42857</v>
      </c>
      <c r="D854" s="362">
        <f t="shared" ca="1" si="27"/>
        <v>116976147.83271748</v>
      </c>
      <c r="F854" s="363">
        <f>DATE('Profit Calculation'!J$6,'Profit Calculation'!R$6+A854-1,'Profit Calculation'!Z$6)</f>
        <v>68028</v>
      </c>
      <c r="G854" s="364">
        <f ca="1">IF(Q$27=2,IF(LOOKUP(F854,X$1:X$35,X$1:X$35) = F854,ROUND(LOOKUP(LOOKUP(F854,X$1:X$35,A:A),Single!A$2:A$107,Table13[Saving]),0),IF( LOOKUP(F854,W$1:W$35,W$1:W$35) =
 F854,ROUND(G853*(1+IF($Q$18&lt;6,$R$14,IF($Q$18&lt;11,$R$15,$R$16)))^(1/12),0),G853*(1+IF($Q$18&lt;6,$R$14,IF($Q$18&lt;11,$R$15,$R$16)))^(1/12))),IF(LOOKUP(F854,X$1:X$35,X$1:X$35) = F854,ROUND(LOOKUP(LOOKUP(F854,X$1:X$35,A:A),'Annual Calculation'!A$2:A$107,Table1[Saving]),0),IF( LOOKUP(F854,W$1:W$35,W$1:W$35) =
 F854,ROUND(G853*(1+IF($Q$18&lt;6,$R$14,IF($Q$18&lt;11,$R$15,$R$16)))^(1/12),0),G853*(1+IF($Q$18&lt;6,$R$14,IF($Q$18&lt;11,$R$15,$R$16)))^(1/12))))</f>
        <v>0</v>
      </c>
    </row>
    <row r="855" spans="1:7">
      <c r="A855" s="348">
        <f t="shared" si="28"/>
        <v>854</v>
      </c>
      <c r="B855" s="360">
        <f>DATE('Profit Calculation'!J$6,A$2,A$2+A855-1)</f>
        <v>42858</v>
      </c>
      <c r="D855" s="362">
        <f t="shared" ca="1" si="27"/>
        <v>117020947.67953852</v>
      </c>
      <c r="F855" s="363">
        <f>DATE('Profit Calculation'!J$6,'Profit Calculation'!R$6+A855-1,'Profit Calculation'!Z$6)</f>
        <v>68058</v>
      </c>
      <c r="G855" s="364">
        <f ca="1">IF(Q$27=2,IF(LOOKUP(F855,X$1:X$35,X$1:X$35) = F855,ROUND(LOOKUP(LOOKUP(F855,X$1:X$35,A:A),Single!A$2:A$107,Table13[Saving]),0),IF( LOOKUP(F855,W$1:W$35,W$1:W$35) =
 F855,ROUND(G854*(1+IF($Q$18&lt;6,$R$14,IF($Q$18&lt;11,$R$15,$R$16)))^(1/12),0),G854*(1+IF($Q$18&lt;6,$R$14,IF($Q$18&lt;11,$R$15,$R$16)))^(1/12))),IF(LOOKUP(F855,X$1:X$35,X$1:X$35) = F855,ROUND(LOOKUP(LOOKUP(F855,X$1:X$35,A:A),'Annual Calculation'!A$2:A$107,Table1[Saving]),0),IF( LOOKUP(F855,W$1:W$35,W$1:W$35) =
 F855,ROUND(G854*(1+IF($Q$18&lt;6,$R$14,IF($Q$18&lt;11,$R$15,$R$16)))^(1/12),0),G854*(1+IF($Q$18&lt;6,$R$14,IF($Q$18&lt;11,$R$15,$R$16)))^(1/12))))</f>
        <v>0</v>
      </c>
    </row>
    <row r="856" spans="1:7">
      <c r="A856" s="348">
        <f t="shared" si="28"/>
        <v>855</v>
      </c>
      <c r="B856" s="360">
        <f>DATE('Profit Calculation'!J$6,A$2,A$2+A856-1)</f>
        <v>42859</v>
      </c>
      <c r="D856" s="362">
        <f t="shared" ca="1" si="27"/>
        <v>117065764.6839281</v>
      </c>
      <c r="F856" s="363">
        <f>DATE('Profit Calculation'!J$6,'Profit Calculation'!R$6+A856-1,'Profit Calculation'!Z$6)</f>
        <v>68089</v>
      </c>
      <c r="G856" s="364">
        <f ca="1">IF(Q$27=2,IF(LOOKUP(F856,X$1:X$35,X$1:X$35) = F856,ROUND(LOOKUP(LOOKUP(F856,X$1:X$35,A:A),Single!A$2:A$107,Table13[Saving]),0),IF( LOOKUP(F856,W$1:W$35,W$1:W$35) =
 F856,ROUND(G855*(1+IF($Q$18&lt;6,$R$14,IF($Q$18&lt;11,$R$15,$R$16)))^(1/12),0),G855*(1+IF($Q$18&lt;6,$R$14,IF($Q$18&lt;11,$R$15,$R$16)))^(1/12))),IF(LOOKUP(F856,X$1:X$35,X$1:X$35) = F856,ROUND(LOOKUP(LOOKUP(F856,X$1:X$35,A:A),'Annual Calculation'!A$2:A$107,Table1[Saving]),0),IF( LOOKUP(F856,W$1:W$35,W$1:W$35) =
 F856,ROUND(G855*(1+IF($Q$18&lt;6,$R$14,IF($Q$18&lt;11,$R$15,$R$16)))^(1/12),0),G855*(1+IF($Q$18&lt;6,$R$14,IF($Q$18&lt;11,$R$15,$R$16)))^(1/12))))</f>
        <v>0</v>
      </c>
    </row>
    <row r="857" spans="1:7">
      <c r="A857" s="348">
        <f t="shared" si="28"/>
        <v>856</v>
      </c>
      <c r="B857" s="360">
        <f>DATE('Profit Calculation'!J$6,A$2,A$2+A857-1)</f>
        <v>42860</v>
      </c>
      <c r="D857" s="362">
        <f t="shared" ca="1" si="27"/>
        <v>117110598.85245728</v>
      </c>
      <c r="F857" s="363">
        <f>DATE('Profit Calculation'!J$6,'Profit Calculation'!R$6+A857-1,'Profit Calculation'!Z$6)</f>
        <v>68119</v>
      </c>
      <c r="G857" s="364">
        <f ca="1">IF(Q$27=2,IF(LOOKUP(F857,X$1:X$35,X$1:X$35) = F857,ROUND(LOOKUP(LOOKUP(F857,X$1:X$35,A:A),Single!A$2:A$107,Table13[Saving]),0),IF( LOOKUP(F857,W$1:W$35,W$1:W$35) =
 F857,ROUND(G856*(1+IF($Q$18&lt;6,$R$14,IF($Q$18&lt;11,$R$15,$R$16)))^(1/12),0),G856*(1+IF($Q$18&lt;6,$R$14,IF($Q$18&lt;11,$R$15,$R$16)))^(1/12))),IF(LOOKUP(F857,X$1:X$35,X$1:X$35) = F857,ROUND(LOOKUP(LOOKUP(F857,X$1:X$35,A:A),'Annual Calculation'!A$2:A$107,Table1[Saving]),0),IF( LOOKUP(F857,W$1:W$35,W$1:W$35) =
 F857,ROUND(G856*(1+IF($Q$18&lt;6,$R$14,IF($Q$18&lt;11,$R$15,$R$16)))^(1/12),0),G856*(1+IF($Q$18&lt;6,$R$14,IF($Q$18&lt;11,$R$15,$R$16)))^(1/12))))</f>
        <v>0</v>
      </c>
    </row>
    <row r="858" spans="1:7">
      <c r="A858" s="348">
        <f t="shared" si="28"/>
        <v>857</v>
      </c>
      <c r="B858" s="360">
        <f>DATE('Profit Calculation'!J$6,A$2,A$2+A858-1)</f>
        <v>42861</v>
      </c>
      <c r="D858" s="362">
        <f t="shared" ca="1" si="27"/>
        <v>117155450.19169964</v>
      </c>
      <c r="F858" s="363">
        <f>DATE('Profit Calculation'!J$6,'Profit Calculation'!R$6+A858-1,'Profit Calculation'!Z$6)</f>
        <v>68150</v>
      </c>
      <c r="G858" s="364">
        <f ca="1">IF(Q$27=2,IF(LOOKUP(F858,X$1:X$35,X$1:X$35) = F858,ROUND(LOOKUP(LOOKUP(F858,X$1:X$35,A:A),Single!A$2:A$107,Table13[Saving]),0),IF( LOOKUP(F858,W$1:W$35,W$1:W$35) =
 F858,ROUND(G857*(1+IF($Q$18&lt;6,$R$14,IF($Q$18&lt;11,$R$15,$R$16)))^(1/12),0),G857*(1+IF($Q$18&lt;6,$R$14,IF($Q$18&lt;11,$R$15,$R$16)))^(1/12))),IF(LOOKUP(F858,X$1:X$35,X$1:X$35) = F858,ROUND(LOOKUP(LOOKUP(F858,X$1:X$35,A:A),'Annual Calculation'!A$2:A$107,Table1[Saving]),0),IF( LOOKUP(F858,W$1:W$35,W$1:W$35) =
 F858,ROUND(G857*(1+IF($Q$18&lt;6,$R$14,IF($Q$18&lt;11,$R$15,$R$16)))^(1/12),0),G857*(1+IF($Q$18&lt;6,$R$14,IF($Q$18&lt;11,$R$15,$R$16)))^(1/12))))</f>
        <v>0</v>
      </c>
    </row>
    <row r="859" spans="1:7">
      <c r="A859" s="348">
        <f t="shared" si="28"/>
        <v>858</v>
      </c>
      <c r="B859" s="360">
        <f>DATE('Profit Calculation'!J$6,A$2,A$2+A859-1)</f>
        <v>42862</v>
      </c>
      <c r="D859" s="362">
        <f t="shared" ca="1" si="27"/>
        <v>117200318.70823126</v>
      </c>
      <c r="F859" s="363">
        <f>DATE('Profit Calculation'!J$6,'Profit Calculation'!R$6+A859-1,'Profit Calculation'!Z$6)</f>
        <v>68181</v>
      </c>
      <c r="G859" s="364">
        <f ca="1">IF(Q$27=2,IF(LOOKUP(F859,X$1:X$35,X$1:X$35) = F859,ROUND(LOOKUP(LOOKUP(F859,X$1:X$35,A:A),Single!A$2:A$107,Table13[Saving]),0),IF( LOOKUP(F859,W$1:W$35,W$1:W$35) =
 F859,ROUND(G858*(1+IF($Q$18&lt;6,$R$14,IF($Q$18&lt;11,$R$15,$R$16)))^(1/12),0),G858*(1+IF($Q$18&lt;6,$R$14,IF($Q$18&lt;11,$R$15,$R$16)))^(1/12))),IF(LOOKUP(F859,X$1:X$35,X$1:X$35) = F859,ROUND(LOOKUP(LOOKUP(F859,X$1:X$35,A:A),'Annual Calculation'!A$2:A$107,Table1[Saving]),0),IF( LOOKUP(F859,W$1:W$35,W$1:W$35) =
 F859,ROUND(G858*(1+IF($Q$18&lt;6,$R$14,IF($Q$18&lt;11,$R$15,$R$16)))^(1/12),0),G858*(1+IF($Q$18&lt;6,$R$14,IF($Q$18&lt;11,$R$15,$R$16)))^(1/12))))</f>
        <v>0</v>
      </c>
    </row>
    <row r="860" spans="1:7">
      <c r="A860" s="348">
        <f t="shared" si="28"/>
        <v>859</v>
      </c>
      <c r="B860" s="360">
        <f>DATE('Profit Calculation'!J$6,A$2,A$2+A860-1)</f>
        <v>42863</v>
      </c>
      <c r="D860" s="362">
        <f t="shared" ca="1" si="27"/>
        <v>117245204.40863074</v>
      </c>
      <c r="F860" s="363">
        <f>DATE('Profit Calculation'!J$6,'Profit Calculation'!R$6+A860-1,'Profit Calculation'!Z$6)</f>
        <v>68211</v>
      </c>
      <c r="G860" s="364">
        <f ca="1">IF(Q$27=2,IF(LOOKUP(F860,X$1:X$35,X$1:X$35) = F860,ROUND(LOOKUP(LOOKUP(F860,X$1:X$35,A:A),Single!A$2:A$107,Table13[Saving]),0),IF( LOOKUP(F860,W$1:W$35,W$1:W$35) =
 F860,ROUND(G859*(1+IF($Q$18&lt;6,$R$14,IF($Q$18&lt;11,$R$15,$R$16)))^(1/12),0),G859*(1+IF($Q$18&lt;6,$R$14,IF($Q$18&lt;11,$R$15,$R$16)))^(1/12))),IF(LOOKUP(F860,X$1:X$35,X$1:X$35) = F860,ROUND(LOOKUP(LOOKUP(F860,X$1:X$35,A:A),'Annual Calculation'!A$2:A$107,Table1[Saving]),0),IF( LOOKUP(F860,W$1:W$35,W$1:W$35) =
 F860,ROUND(G859*(1+IF($Q$18&lt;6,$R$14,IF($Q$18&lt;11,$R$15,$R$16)))^(1/12),0),G859*(1+IF($Q$18&lt;6,$R$14,IF($Q$18&lt;11,$R$15,$R$16)))^(1/12))))</f>
        <v>0</v>
      </c>
    </row>
    <row r="861" spans="1:7">
      <c r="A861" s="348">
        <f t="shared" si="28"/>
        <v>860</v>
      </c>
      <c r="B861" s="360">
        <f>DATE('Profit Calculation'!J$6,A$2,A$2+A861-1)</f>
        <v>42864</v>
      </c>
      <c r="D861" s="362">
        <f t="shared" ca="1" si="27"/>
        <v>117290107.29947922</v>
      </c>
      <c r="F861" s="363">
        <f>DATE('Profit Calculation'!J$6,'Profit Calculation'!R$6+A861-1,'Profit Calculation'!Z$6)</f>
        <v>68242</v>
      </c>
      <c r="G861" s="364">
        <f ca="1">IF(Q$27=2,IF(LOOKUP(F861,X$1:X$35,X$1:X$35) = F861,ROUND(LOOKUP(LOOKUP(F861,X$1:X$35,A:A),Single!A$2:A$107,Table13[Saving]),0),IF( LOOKUP(F861,W$1:W$35,W$1:W$35) =
 F861,ROUND(G860*(1+IF($Q$18&lt;6,$R$14,IF($Q$18&lt;11,$R$15,$R$16)))^(1/12),0),G860*(1+IF($Q$18&lt;6,$R$14,IF($Q$18&lt;11,$R$15,$R$16)))^(1/12))),IF(LOOKUP(F861,X$1:X$35,X$1:X$35) = F861,ROUND(LOOKUP(LOOKUP(F861,X$1:X$35,A:A),'Annual Calculation'!A$2:A$107,Table1[Saving]),0),IF( LOOKUP(F861,W$1:W$35,W$1:W$35) =
 F861,ROUND(G860*(1+IF($Q$18&lt;6,$R$14,IF($Q$18&lt;11,$R$15,$R$16)))^(1/12),0),G860*(1+IF($Q$18&lt;6,$R$14,IF($Q$18&lt;11,$R$15,$R$16)))^(1/12))))</f>
        <v>0</v>
      </c>
    </row>
    <row r="862" spans="1:7">
      <c r="A862" s="348">
        <f t="shared" si="28"/>
        <v>861</v>
      </c>
      <c r="B862" s="360">
        <f>DATE('Profit Calculation'!J$6,A$2,A$2+A862-1)</f>
        <v>42865</v>
      </c>
      <c r="D862" s="362">
        <f t="shared" ca="1" si="27"/>
        <v>117335027.38736032</v>
      </c>
      <c r="F862" s="363">
        <f>DATE('Profit Calculation'!J$6,'Profit Calculation'!R$6+A862-1,'Profit Calculation'!Z$6)</f>
        <v>68272</v>
      </c>
      <c r="G862" s="364">
        <f ca="1">IF(Q$27=2,IF(LOOKUP(F862,X$1:X$35,X$1:X$35) = F862,ROUND(LOOKUP(LOOKUP(F862,X$1:X$35,A:A),Single!A$2:A$107,Table13[Saving]),0),IF( LOOKUP(F862,W$1:W$35,W$1:W$35) =
 F862,ROUND(G861*(1+IF($Q$18&lt;6,$R$14,IF($Q$18&lt;11,$R$15,$R$16)))^(1/12),0),G861*(1+IF($Q$18&lt;6,$R$14,IF($Q$18&lt;11,$R$15,$R$16)))^(1/12))),IF(LOOKUP(F862,X$1:X$35,X$1:X$35) = F862,ROUND(LOOKUP(LOOKUP(F862,X$1:X$35,A:A),'Annual Calculation'!A$2:A$107,Table1[Saving]),0),IF( LOOKUP(F862,W$1:W$35,W$1:W$35) =
 F862,ROUND(G861*(1+IF($Q$18&lt;6,$R$14,IF($Q$18&lt;11,$R$15,$R$16)))^(1/12),0),G861*(1+IF($Q$18&lt;6,$R$14,IF($Q$18&lt;11,$R$15,$R$16)))^(1/12))))</f>
        <v>0</v>
      </c>
    </row>
    <row r="863" spans="1:7">
      <c r="A863" s="348">
        <f t="shared" si="28"/>
        <v>862</v>
      </c>
      <c r="B863" s="360">
        <f>DATE('Profit Calculation'!J$6,A$2,A$2+A863-1)</f>
        <v>42866</v>
      </c>
      <c r="D863" s="362">
        <f t="shared" ca="1" si="27"/>
        <v>117379964.67886023</v>
      </c>
      <c r="F863" s="363">
        <f>DATE('Profit Calculation'!J$6,'Profit Calculation'!R$6+A863-1,'Profit Calculation'!Z$6)</f>
        <v>68303</v>
      </c>
      <c r="G863" s="364">
        <f ca="1">IF(Q$27=2,IF(LOOKUP(F863,X$1:X$35,X$1:X$35) = F863,ROUND(LOOKUP(LOOKUP(F863,X$1:X$35,A:A),Single!A$2:A$107,Table13[Saving]),0),IF( LOOKUP(F863,W$1:W$35,W$1:W$35) =
 F863,ROUND(G862*(1+IF($Q$18&lt;6,$R$14,IF($Q$18&lt;11,$R$15,$R$16)))^(1/12),0),G862*(1+IF($Q$18&lt;6,$R$14,IF($Q$18&lt;11,$R$15,$R$16)))^(1/12))),IF(LOOKUP(F863,X$1:X$35,X$1:X$35) = F863,ROUND(LOOKUP(LOOKUP(F863,X$1:X$35,A:A),'Annual Calculation'!A$2:A$107,Table1[Saving]),0),IF( LOOKUP(F863,W$1:W$35,W$1:W$35) =
 F863,ROUND(G862*(1+IF($Q$18&lt;6,$R$14,IF($Q$18&lt;11,$R$15,$R$16)))^(1/12),0),G862*(1+IF($Q$18&lt;6,$R$14,IF($Q$18&lt;11,$R$15,$R$16)))^(1/12))))</f>
        <v>0</v>
      </c>
    </row>
    <row r="864" spans="1:7">
      <c r="A864" s="348">
        <f t="shared" si="28"/>
        <v>863</v>
      </c>
      <c r="B864" s="360">
        <f>DATE('Profit Calculation'!J$6,A$2,A$2+A864-1)</f>
        <v>42867</v>
      </c>
      <c r="D864" s="362">
        <f t="shared" ca="1" si="27"/>
        <v>117424919.18056764</v>
      </c>
      <c r="F864" s="363">
        <f>DATE('Profit Calculation'!J$6,'Profit Calculation'!R$6+A864-1,'Profit Calculation'!Z$6)</f>
        <v>68334</v>
      </c>
      <c r="G864" s="364">
        <f ca="1">IF(Q$27=2,IF(LOOKUP(F864,X$1:X$35,X$1:X$35) = F864,ROUND(LOOKUP(LOOKUP(F864,X$1:X$35,A:A),Single!A$2:A$107,Table13[Saving]),0),IF( LOOKUP(F864,W$1:W$35,W$1:W$35) =
 F864,ROUND(G863*(1+IF($Q$18&lt;6,$R$14,IF($Q$18&lt;11,$R$15,$R$16)))^(1/12),0),G863*(1+IF($Q$18&lt;6,$R$14,IF($Q$18&lt;11,$R$15,$R$16)))^(1/12))),IF(LOOKUP(F864,X$1:X$35,X$1:X$35) = F864,ROUND(LOOKUP(LOOKUP(F864,X$1:X$35,A:A),'Annual Calculation'!A$2:A$107,Table1[Saving]),0),IF( LOOKUP(F864,W$1:W$35,W$1:W$35) =
 F864,ROUND(G863*(1+IF($Q$18&lt;6,$R$14,IF($Q$18&lt;11,$R$15,$R$16)))^(1/12),0),G863*(1+IF($Q$18&lt;6,$R$14,IF($Q$18&lt;11,$R$15,$R$16)))^(1/12))))</f>
        <v>0</v>
      </c>
    </row>
    <row r="865" spans="1:7">
      <c r="A865" s="348">
        <f t="shared" si="28"/>
        <v>864</v>
      </c>
      <c r="B865" s="360">
        <f>DATE('Profit Calculation'!J$6,A$2,A$2+A865-1)</f>
        <v>42868</v>
      </c>
      <c r="D865" s="362">
        <f t="shared" ca="1" si="27"/>
        <v>117469890.89907375</v>
      </c>
      <c r="F865" s="363">
        <f>DATE('Profit Calculation'!J$6,'Profit Calculation'!R$6+A865-1,'Profit Calculation'!Z$6)</f>
        <v>68362</v>
      </c>
      <c r="G865" s="364">
        <f ca="1">IF(Q$27=2,IF(LOOKUP(F865,X$1:X$35,X$1:X$35) = F865,ROUND(LOOKUP(LOOKUP(F865,X$1:X$35,A:A),Single!A$2:A$107,Table13[Saving]),0),IF( LOOKUP(F865,W$1:W$35,W$1:W$35) =
 F865,ROUND(G864*(1+IF($Q$18&lt;6,$R$14,IF($Q$18&lt;11,$R$15,$R$16)))^(1/12),0),G864*(1+IF($Q$18&lt;6,$R$14,IF($Q$18&lt;11,$R$15,$R$16)))^(1/12))),IF(LOOKUP(F865,X$1:X$35,X$1:X$35) = F865,ROUND(LOOKUP(LOOKUP(F865,X$1:X$35,A:A),'Annual Calculation'!A$2:A$107,Table1[Saving]),0),IF( LOOKUP(F865,W$1:W$35,W$1:W$35) =
 F865,ROUND(G864*(1+IF($Q$18&lt;6,$R$14,IF($Q$18&lt;11,$R$15,$R$16)))^(1/12),0),G864*(1+IF($Q$18&lt;6,$R$14,IF($Q$18&lt;11,$R$15,$R$16)))^(1/12))))</f>
        <v>0</v>
      </c>
    </row>
    <row r="866" spans="1:7">
      <c r="A866" s="348">
        <f t="shared" si="28"/>
        <v>865</v>
      </c>
      <c r="B866" s="360">
        <f>DATE('Profit Calculation'!J$6,A$2,A$2+A866-1)</f>
        <v>42869</v>
      </c>
      <c r="D866" s="362">
        <f t="shared" ca="1" si="27"/>
        <v>117514879.8409723</v>
      </c>
      <c r="F866" s="363">
        <f>DATE('Profit Calculation'!J$6,'Profit Calculation'!R$6+A866-1,'Profit Calculation'!Z$6)</f>
        <v>68393</v>
      </c>
      <c r="G866" s="364">
        <f ca="1">IF(Q$27=2,IF(LOOKUP(F866,X$1:X$35,X$1:X$35) = F866,ROUND(LOOKUP(LOOKUP(F866,X$1:X$35,A:A),Single!A$2:A$107,Table13[Saving]),0),IF( LOOKUP(F866,W$1:W$35,W$1:W$35) =
 F866,ROUND(G865*(1+IF($Q$18&lt;6,$R$14,IF($Q$18&lt;11,$R$15,$R$16)))^(1/12),0),G865*(1+IF($Q$18&lt;6,$R$14,IF($Q$18&lt;11,$R$15,$R$16)))^(1/12))),IF(LOOKUP(F866,X$1:X$35,X$1:X$35) = F866,ROUND(LOOKUP(LOOKUP(F866,X$1:X$35,A:A),'Annual Calculation'!A$2:A$107,Table1[Saving]),0),IF( LOOKUP(F866,W$1:W$35,W$1:W$35) =
 F866,ROUND(G865*(1+IF($Q$18&lt;6,$R$14,IF($Q$18&lt;11,$R$15,$R$16)))^(1/12),0),G865*(1+IF($Q$18&lt;6,$R$14,IF($Q$18&lt;11,$R$15,$R$16)))^(1/12))))</f>
        <v>0</v>
      </c>
    </row>
    <row r="867" spans="1:7">
      <c r="A867" s="348">
        <f t="shared" si="28"/>
        <v>866</v>
      </c>
      <c r="B867" s="360">
        <f>DATE('Profit Calculation'!J$6,A$2,A$2+A867-1)</f>
        <v>42870</v>
      </c>
      <c r="D867" s="362">
        <f t="shared" ca="1" si="27"/>
        <v>117559886.01285955</v>
      </c>
      <c r="F867" s="363">
        <f>DATE('Profit Calculation'!J$6,'Profit Calculation'!R$6+A867-1,'Profit Calculation'!Z$6)</f>
        <v>68423</v>
      </c>
      <c r="G867" s="364">
        <f ca="1">IF(Q$27=2,IF(LOOKUP(F867,X$1:X$35,X$1:X$35) = F867,ROUND(LOOKUP(LOOKUP(F867,X$1:X$35,A:A),Single!A$2:A$107,Table13[Saving]),0),IF( LOOKUP(F867,W$1:W$35,W$1:W$35) =
 F867,ROUND(G866*(1+IF($Q$18&lt;6,$R$14,IF($Q$18&lt;11,$R$15,$R$16)))^(1/12),0),G866*(1+IF($Q$18&lt;6,$R$14,IF($Q$18&lt;11,$R$15,$R$16)))^(1/12))),IF(LOOKUP(F867,X$1:X$35,X$1:X$35) = F867,ROUND(LOOKUP(LOOKUP(F867,X$1:X$35,A:A),'Annual Calculation'!A$2:A$107,Table1[Saving]),0),IF( LOOKUP(F867,W$1:W$35,W$1:W$35) =
 F867,ROUND(G866*(1+IF($Q$18&lt;6,$R$14,IF($Q$18&lt;11,$R$15,$R$16)))^(1/12),0),G866*(1+IF($Q$18&lt;6,$R$14,IF($Q$18&lt;11,$R$15,$R$16)))^(1/12))))</f>
        <v>0</v>
      </c>
    </row>
    <row r="868" spans="1:7">
      <c r="A868" s="348">
        <f t="shared" si="28"/>
        <v>867</v>
      </c>
      <c r="B868" s="360">
        <f>DATE('Profit Calculation'!J$6,A$2,A$2+A868-1)</f>
        <v>42871</v>
      </c>
      <c r="D868" s="362">
        <f t="shared" ca="1" si="27"/>
        <v>117604909.4213343</v>
      </c>
      <c r="F868" s="363">
        <f>DATE('Profit Calculation'!J$6,'Profit Calculation'!R$6+A868-1,'Profit Calculation'!Z$6)</f>
        <v>68454</v>
      </c>
      <c r="G868" s="364">
        <f ca="1">IF(Q$27=2,IF(LOOKUP(F868,X$1:X$35,X$1:X$35) = F868,ROUND(LOOKUP(LOOKUP(F868,X$1:X$35,A:A),Single!A$2:A$107,Table13[Saving]),0),IF( LOOKUP(F868,W$1:W$35,W$1:W$35) =
 F868,ROUND(G867*(1+IF($Q$18&lt;6,$R$14,IF($Q$18&lt;11,$R$15,$R$16)))^(1/12),0),G867*(1+IF($Q$18&lt;6,$R$14,IF($Q$18&lt;11,$R$15,$R$16)))^(1/12))),IF(LOOKUP(F868,X$1:X$35,X$1:X$35) = F868,ROUND(LOOKUP(LOOKUP(F868,X$1:X$35,A:A),'Annual Calculation'!A$2:A$107,Table1[Saving]),0),IF( LOOKUP(F868,W$1:W$35,W$1:W$35) =
 F868,ROUND(G867*(1+IF($Q$18&lt;6,$R$14,IF($Q$18&lt;11,$R$15,$R$16)))^(1/12),0),G867*(1+IF($Q$18&lt;6,$R$14,IF($Q$18&lt;11,$R$15,$R$16)))^(1/12))))</f>
        <v>0</v>
      </c>
    </row>
    <row r="869" spans="1:7">
      <c r="A869" s="348">
        <f t="shared" si="28"/>
        <v>868</v>
      </c>
      <c r="B869" s="360">
        <f>DATE('Profit Calculation'!J$6,A$2,A$2+A869-1)</f>
        <v>42872</v>
      </c>
      <c r="D869" s="362">
        <f t="shared" ca="1" si="27"/>
        <v>117649950.07299785</v>
      </c>
      <c r="F869" s="363">
        <f>DATE('Profit Calculation'!J$6,'Profit Calculation'!R$6+A869-1,'Profit Calculation'!Z$6)</f>
        <v>68484</v>
      </c>
      <c r="G869" s="364">
        <f ca="1">IF(Q$27=2,IF(LOOKUP(F869,X$1:X$35,X$1:X$35) = F869,ROUND(LOOKUP(LOOKUP(F869,X$1:X$35,A:A),Single!A$2:A$107,Table13[Saving]),0),IF( LOOKUP(F869,W$1:W$35,W$1:W$35) =
 F869,ROUND(G868*(1+IF($Q$18&lt;6,$R$14,IF($Q$18&lt;11,$R$15,$R$16)))^(1/12),0),G868*(1+IF($Q$18&lt;6,$R$14,IF($Q$18&lt;11,$R$15,$R$16)))^(1/12))),IF(LOOKUP(F869,X$1:X$35,X$1:X$35) = F869,ROUND(LOOKUP(LOOKUP(F869,X$1:X$35,A:A),'Annual Calculation'!A$2:A$107,Table1[Saving]),0),IF( LOOKUP(F869,W$1:W$35,W$1:W$35) =
 F869,ROUND(G868*(1+IF($Q$18&lt;6,$R$14,IF($Q$18&lt;11,$R$15,$R$16)))^(1/12),0),G868*(1+IF($Q$18&lt;6,$R$14,IF($Q$18&lt;11,$R$15,$R$16)))^(1/12))))</f>
        <v>0</v>
      </c>
    </row>
    <row r="870" spans="1:7">
      <c r="A870" s="348">
        <f t="shared" si="28"/>
        <v>869</v>
      </c>
      <c r="B870" s="360">
        <f>DATE('Profit Calculation'!J$6,A$2,A$2+A870-1)</f>
        <v>42873</v>
      </c>
      <c r="D870" s="362">
        <f t="shared" ca="1" si="27"/>
        <v>117695007.97445406</v>
      </c>
      <c r="F870" s="363">
        <f>DATE('Profit Calculation'!J$6,'Profit Calculation'!R$6+A870-1,'Profit Calculation'!Z$6)</f>
        <v>68515</v>
      </c>
      <c r="G870" s="364">
        <f ca="1">IF(Q$27=2,IF(LOOKUP(F870,X$1:X$35,X$1:X$35) = F870,ROUND(LOOKUP(LOOKUP(F870,X$1:X$35,A:A),Single!A$2:A$107,Table13[Saving]),0),IF( LOOKUP(F870,W$1:W$35,W$1:W$35) =
 F870,ROUND(G869*(1+IF($Q$18&lt;6,$R$14,IF($Q$18&lt;11,$R$15,$R$16)))^(1/12),0),G869*(1+IF($Q$18&lt;6,$R$14,IF($Q$18&lt;11,$R$15,$R$16)))^(1/12))),IF(LOOKUP(F870,X$1:X$35,X$1:X$35) = F870,ROUND(LOOKUP(LOOKUP(F870,X$1:X$35,A:A),'Annual Calculation'!A$2:A$107,Table1[Saving]),0),IF( LOOKUP(F870,W$1:W$35,W$1:W$35) =
 F870,ROUND(G869*(1+IF($Q$18&lt;6,$R$14,IF($Q$18&lt;11,$R$15,$R$16)))^(1/12),0),G869*(1+IF($Q$18&lt;6,$R$14,IF($Q$18&lt;11,$R$15,$R$16)))^(1/12))))</f>
        <v>0</v>
      </c>
    </row>
    <row r="871" spans="1:7">
      <c r="A871" s="348">
        <f t="shared" si="28"/>
        <v>870</v>
      </c>
      <c r="B871" s="360">
        <f>DATE('Profit Calculation'!J$6,A$2,A$2+A871-1)</f>
        <v>42874</v>
      </c>
      <c r="D871" s="362">
        <f t="shared" ca="1" si="27"/>
        <v>117740083.13230929</v>
      </c>
      <c r="F871" s="363">
        <f>DATE('Profit Calculation'!J$6,'Profit Calculation'!R$6+A871-1,'Profit Calculation'!Z$6)</f>
        <v>68546</v>
      </c>
      <c r="G871" s="364">
        <f ca="1">IF(Q$27=2,IF(LOOKUP(F871,X$1:X$35,X$1:X$35) = F871,ROUND(LOOKUP(LOOKUP(F871,X$1:X$35,A:A),Single!A$2:A$107,Table13[Saving]),0),IF( LOOKUP(F871,W$1:W$35,W$1:W$35) =
 F871,ROUND(G870*(1+IF($Q$18&lt;6,$R$14,IF($Q$18&lt;11,$R$15,$R$16)))^(1/12),0),G870*(1+IF($Q$18&lt;6,$R$14,IF($Q$18&lt;11,$R$15,$R$16)))^(1/12))),IF(LOOKUP(F871,X$1:X$35,X$1:X$35) = F871,ROUND(LOOKUP(LOOKUP(F871,X$1:X$35,A:A),'Annual Calculation'!A$2:A$107,Table1[Saving]),0),IF( LOOKUP(F871,W$1:W$35,W$1:W$35) =
 F871,ROUND(G870*(1+IF($Q$18&lt;6,$R$14,IF($Q$18&lt;11,$R$15,$R$16)))^(1/12),0),G870*(1+IF($Q$18&lt;6,$R$14,IF($Q$18&lt;11,$R$15,$R$16)))^(1/12))))</f>
        <v>0</v>
      </c>
    </row>
    <row r="872" spans="1:7">
      <c r="A872" s="348">
        <f t="shared" si="28"/>
        <v>871</v>
      </c>
      <c r="B872" s="360">
        <f>DATE('Profit Calculation'!J$6,A$2,A$2+A872-1)</f>
        <v>42875</v>
      </c>
      <c r="D872" s="362">
        <f t="shared" ca="1" si="27"/>
        <v>117785175.55317244</v>
      </c>
      <c r="F872" s="363">
        <f>DATE('Profit Calculation'!J$6,'Profit Calculation'!R$6+A872-1,'Profit Calculation'!Z$6)</f>
        <v>68576</v>
      </c>
      <c r="G872" s="364">
        <f ca="1">IF(Q$27=2,IF(LOOKUP(F872,X$1:X$35,X$1:X$35) = F872,ROUND(LOOKUP(LOOKUP(F872,X$1:X$35,A:A),Single!A$2:A$107,Table13[Saving]),0),IF( LOOKUP(F872,W$1:W$35,W$1:W$35) =
 F872,ROUND(G871*(1+IF($Q$18&lt;6,$R$14,IF($Q$18&lt;11,$R$15,$R$16)))^(1/12),0),G871*(1+IF($Q$18&lt;6,$R$14,IF($Q$18&lt;11,$R$15,$R$16)))^(1/12))),IF(LOOKUP(F872,X$1:X$35,X$1:X$35) = F872,ROUND(LOOKUP(LOOKUP(F872,X$1:X$35,A:A),'Annual Calculation'!A$2:A$107,Table1[Saving]),0),IF( LOOKUP(F872,W$1:W$35,W$1:W$35) =
 F872,ROUND(G871*(1+IF($Q$18&lt;6,$R$14,IF($Q$18&lt;11,$R$15,$R$16)))^(1/12),0),G871*(1+IF($Q$18&lt;6,$R$14,IF($Q$18&lt;11,$R$15,$R$16)))^(1/12))))</f>
        <v>0</v>
      </c>
    </row>
    <row r="873" spans="1:7">
      <c r="A873" s="348">
        <f t="shared" si="28"/>
        <v>872</v>
      </c>
      <c r="B873" s="360">
        <f>DATE('Profit Calculation'!J$6,A$2,A$2+A873-1)</f>
        <v>42876</v>
      </c>
      <c r="D873" s="362">
        <f t="shared" ca="1" si="27"/>
        <v>117830285.24365495</v>
      </c>
      <c r="F873" s="363">
        <f>DATE('Profit Calculation'!J$6,'Profit Calculation'!R$6+A873-1,'Profit Calculation'!Z$6)</f>
        <v>68607</v>
      </c>
      <c r="G873" s="364">
        <f ca="1">IF(Q$27=2,IF(LOOKUP(F873,X$1:X$35,X$1:X$35) = F873,ROUND(LOOKUP(LOOKUP(F873,X$1:X$35,A:A),Single!A$2:A$107,Table13[Saving]),0),IF( LOOKUP(F873,W$1:W$35,W$1:W$35) =
 F873,ROUND(G872*(1+IF($Q$18&lt;6,$R$14,IF($Q$18&lt;11,$R$15,$R$16)))^(1/12),0),G872*(1+IF($Q$18&lt;6,$R$14,IF($Q$18&lt;11,$R$15,$R$16)))^(1/12))),IF(LOOKUP(F873,X$1:X$35,X$1:X$35) = F873,ROUND(LOOKUP(LOOKUP(F873,X$1:X$35,A:A),'Annual Calculation'!A$2:A$107,Table1[Saving]),0),IF( LOOKUP(F873,W$1:W$35,W$1:W$35) =
 F873,ROUND(G872*(1+IF($Q$18&lt;6,$R$14,IF($Q$18&lt;11,$R$15,$R$16)))^(1/12),0),G872*(1+IF($Q$18&lt;6,$R$14,IF($Q$18&lt;11,$R$15,$R$16)))^(1/12))))</f>
        <v>0</v>
      </c>
    </row>
    <row r="874" spans="1:7">
      <c r="A874" s="348">
        <f t="shared" si="28"/>
        <v>873</v>
      </c>
      <c r="B874" s="360">
        <f>DATE('Profit Calculation'!J$6,A$2,A$2+A874-1)</f>
        <v>42877</v>
      </c>
      <c r="D874" s="362">
        <f t="shared" ca="1" si="27"/>
        <v>117875412.21037079</v>
      </c>
      <c r="F874" s="363">
        <f>DATE('Profit Calculation'!J$6,'Profit Calculation'!R$6+A874-1,'Profit Calculation'!Z$6)</f>
        <v>68637</v>
      </c>
      <c r="G874" s="364">
        <f ca="1">IF(Q$27=2,IF(LOOKUP(F874,X$1:X$35,X$1:X$35) = F874,ROUND(LOOKUP(LOOKUP(F874,X$1:X$35,A:A),Single!A$2:A$107,Table13[Saving]),0),IF( LOOKUP(F874,W$1:W$35,W$1:W$35) =
 F874,ROUND(G873*(1+IF($Q$18&lt;6,$R$14,IF($Q$18&lt;11,$R$15,$R$16)))^(1/12),0),G873*(1+IF($Q$18&lt;6,$R$14,IF($Q$18&lt;11,$R$15,$R$16)))^(1/12))),IF(LOOKUP(F874,X$1:X$35,X$1:X$35) = F874,ROUND(LOOKUP(LOOKUP(F874,X$1:X$35,A:A),'Annual Calculation'!A$2:A$107,Table1[Saving]),0),IF( LOOKUP(F874,W$1:W$35,W$1:W$35) =
 F874,ROUND(G873*(1+IF($Q$18&lt;6,$R$14,IF($Q$18&lt;11,$R$15,$R$16)))^(1/12),0),G873*(1+IF($Q$18&lt;6,$R$14,IF($Q$18&lt;11,$R$15,$R$16)))^(1/12))))</f>
        <v>0</v>
      </c>
    </row>
    <row r="875" spans="1:7">
      <c r="A875" s="348">
        <f t="shared" si="28"/>
        <v>874</v>
      </c>
      <c r="B875" s="360">
        <f>DATE('Profit Calculation'!J$6,A$2,A$2+A875-1)</f>
        <v>42878</v>
      </c>
      <c r="D875" s="362">
        <f t="shared" ca="1" si="27"/>
        <v>117920556.45993647</v>
      </c>
    </row>
    <row r="876" spans="1:7">
      <c r="A876" s="348">
        <f t="shared" si="28"/>
        <v>875</v>
      </c>
      <c r="B876" s="360">
        <f>DATE('Profit Calculation'!J$6,A$2,A$2+A876-1)</f>
        <v>42879</v>
      </c>
      <c r="D876" s="362">
        <f t="shared" ca="1" si="27"/>
        <v>117965717.998971</v>
      </c>
    </row>
    <row r="877" spans="1:7">
      <c r="A877" s="348">
        <f t="shared" si="28"/>
        <v>876</v>
      </c>
      <c r="B877" s="360">
        <f>DATE('Profit Calculation'!J$6,A$2,A$2+A877-1)</f>
        <v>42880</v>
      </c>
      <c r="D877" s="362">
        <f t="shared" ca="1" si="27"/>
        <v>118010896.83409595</v>
      </c>
    </row>
    <row r="878" spans="1:7">
      <c r="A878" s="348">
        <f t="shared" si="28"/>
        <v>877</v>
      </c>
      <c r="B878" s="360">
        <f>DATE('Profit Calculation'!J$6,A$2,A$2+A878-1)</f>
        <v>42881</v>
      </c>
      <c r="D878" s="362">
        <f t="shared" ca="1" si="27"/>
        <v>118056092.97193545</v>
      </c>
    </row>
    <row r="879" spans="1:7">
      <c r="A879" s="348">
        <f t="shared" si="28"/>
        <v>878</v>
      </c>
      <c r="B879" s="360">
        <f>DATE('Profit Calculation'!J$6,A$2,A$2+A879-1)</f>
        <v>42882</v>
      </c>
      <c r="D879" s="362">
        <f t="shared" ca="1" si="27"/>
        <v>118101306.41911612</v>
      </c>
    </row>
    <row r="880" spans="1:7">
      <c r="A880" s="348">
        <f t="shared" si="28"/>
        <v>879</v>
      </c>
      <c r="B880" s="360">
        <f>DATE('Profit Calculation'!J$6,A$2,A$2+A880-1)</f>
        <v>42883</v>
      </c>
      <c r="D880" s="362">
        <f t="shared" ca="1" si="27"/>
        <v>118146537.18226714</v>
      </c>
    </row>
    <row r="881" spans="1:4">
      <c r="A881" s="348">
        <f t="shared" si="28"/>
        <v>880</v>
      </c>
      <c r="B881" s="360">
        <f>DATE('Profit Calculation'!J$6,A$2,A$2+A881-1)</f>
        <v>42884</v>
      </c>
      <c r="D881" s="362">
        <f t="shared" ca="1" si="27"/>
        <v>118191785.26802024</v>
      </c>
    </row>
    <row r="882" spans="1:4">
      <c r="A882" s="348">
        <f t="shared" si="28"/>
        <v>881</v>
      </c>
      <c r="B882" s="360">
        <f>DATE('Profit Calculation'!J$6,A$2,A$2+A882-1)</f>
        <v>42885</v>
      </c>
      <c r="D882" s="362">
        <f t="shared" ca="1" si="27"/>
        <v>118237050.68300967</v>
      </c>
    </row>
    <row r="883" spans="1:4">
      <c r="A883" s="348">
        <f t="shared" si="28"/>
        <v>882</v>
      </c>
      <c r="B883" s="360">
        <f>DATE('Profit Calculation'!J$6,A$2,A$2+A883-1)</f>
        <v>42886</v>
      </c>
      <c r="D883" s="362">
        <f t="shared" ca="1" si="27"/>
        <v>118282333.43387222</v>
      </c>
    </row>
    <row r="884" spans="1:4">
      <c r="A884" s="348">
        <f t="shared" si="28"/>
        <v>883</v>
      </c>
      <c r="B884" s="360">
        <f>DATE('Profit Calculation'!J$6,A$2,A$2+A884-1)</f>
        <v>42887</v>
      </c>
      <c r="D884" s="362">
        <f t="shared" ca="1" si="27"/>
        <v>118327633.52724724</v>
      </c>
    </row>
    <row r="885" spans="1:4">
      <c r="A885" s="348">
        <f t="shared" si="28"/>
        <v>884</v>
      </c>
      <c r="B885" s="360">
        <f>DATE('Profit Calculation'!J$6,A$2,A$2+A885-1)</f>
        <v>42888</v>
      </c>
      <c r="D885" s="362">
        <f t="shared" ca="1" si="27"/>
        <v>118372950.9697766</v>
      </c>
    </row>
    <row r="886" spans="1:4">
      <c r="A886" s="348">
        <f t="shared" si="28"/>
        <v>885</v>
      </c>
      <c r="B886" s="360">
        <f>DATE('Profit Calculation'!J$6,A$2,A$2+A886-1)</f>
        <v>42889</v>
      </c>
      <c r="D886" s="362">
        <f t="shared" ca="1" si="27"/>
        <v>118418285.76810475</v>
      </c>
    </row>
    <row r="887" spans="1:4">
      <c r="A887" s="348">
        <f t="shared" si="28"/>
        <v>886</v>
      </c>
      <c r="B887" s="360">
        <f>DATE('Profit Calculation'!J$6,A$2,A$2+A887-1)</f>
        <v>42890</v>
      </c>
      <c r="D887" s="362">
        <f t="shared" ca="1" si="27"/>
        <v>118463637.92887865</v>
      </c>
    </row>
    <row r="888" spans="1:4">
      <c r="A888" s="348">
        <f t="shared" si="28"/>
        <v>887</v>
      </c>
      <c r="B888" s="360">
        <f>DATE('Profit Calculation'!J$6,A$2,A$2+A888-1)</f>
        <v>42891</v>
      </c>
      <c r="D888" s="362">
        <f t="shared" ca="1" si="27"/>
        <v>118509007.45874782</v>
      </c>
    </row>
    <row r="889" spans="1:4">
      <c r="A889" s="348">
        <f t="shared" si="28"/>
        <v>888</v>
      </c>
      <c r="B889" s="360">
        <f>DATE('Profit Calculation'!J$6,A$2,A$2+A889-1)</f>
        <v>42892</v>
      </c>
      <c r="D889" s="362">
        <f t="shared" ca="1" si="27"/>
        <v>118554394.36436431</v>
      </c>
    </row>
    <row r="890" spans="1:4">
      <c r="A890" s="348">
        <f t="shared" si="28"/>
        <v>889</v>
      </c>
      <c r="B890" s="360">
        <f>DATE('Profit Calculation'!J$6,A$2,A$2+A890-1)</f>
        <v>42893</v>
      </c>
      <c r="D890" s="362">
        <f t="shared" ca="1" si="27"/>
        <v>118599798.65238275</v>
      </c>
    </row>
    <row r="891" spans="1:4">
      <c r="A891" s="348">
        <f t="shared" si="28"/>
        <v>890</v>
      </c>
      <c r="B891" s="360">
        <f>DATE('Profit Calculation'!J$6,A$2,A$2+A891-1)</f>
        <v>42894</v>
      </c>
      <c r="D891" s="362">
        <f t="shared" ca="1" si="27"/>
        <v>118645220.32946029</v>
      </c>
    </row>
    <row r="892" spans="1:4">
      <c r="A892" s="348">
        <f t="shared" si="28"/>
        <v>891</v>
      </c>
      <c r="B892" s="360">
        <f>DATE('Profit Calculation'!J$6,A$2,A$2+A892-1)</f>
        <v>42895</v>
      </c>
      <c r="D892" s="362">
        <f t="shared" ca="1" si="27"/>
        <v>118690659.40225664</v>
      </c>
    </row>
    <row r="893" spans="1:4">
      <c r="A893" s="348">
        <f t="shared" si="28"/>
        <v>892</v>
      </c>
      <c r="B893" s="360">
        <f>DATE('Profit Calculation'!J$6,A$2,A$2+A893-1)</f>
        <v>42896</v>
      </c>
      <c r="D893" s="362">
        <f t="shared" ca="1" si="27"/>
        <v>118736115.87743406</v>
      </c>
    </row>
    <row r="894" spans="1:4">
      <c r="A894" s="348">
        <f t="shared" si="28"/>
        <v>893</v>
      </c>
      <c r="B894" s="360">
        <f>DATE('Profit Calculation'!J$6,A$2,A$2+A894-1)</f>
        <v>42897</v>
      </c>
      <c r="D894" s="362">
        <f t="shared" ca="1" si="27"/>
        <v>118781589.76165737</v>
      </c>
    </row>
    <row r="895" spans="1:4">
      <c r="A895" s="348">
        <f t="shared" si="28"/>
        <v>894</v>
      </c>
      <c r="B895" s="360">
        <f>DATE('Profit Calculation'!J$6,A$2,A$2+A895-1)</f>
        <v>42898</v>
      </c>
      <c r="D895" s="362">
        <f t="shared" ca="1" si="27"/>
        <v>118827081.06159393</v>
      </c>
    </row>
    <row r="896" spans="1:4">
      <c r="A896" s="348">
        <f t="shared" si="28"/>
        <v>895</v>
      </c>
      <c r="B896" s="360">
        <f>DATE('Profit Calculation'!J$6,A$2,A$2+A896-1)</f>
        <v>42899</v>
      </c>
      <c r="D896" s="362">
        <f t="shared" ca="1" si="27"/>
        <v>118872589.78391366</v>
      </c>
    </row>
    <row r="897" spans="1:4">
      <c r="A897" s="348">
        <f t="shared" si="28"/>
        <v>896</v>
      </c>
      <c r="B897" s="360">
        <f>DATE('Profit Calculation'!J$6,A$2,A$2+A897-1)</f>
        <v>42900</v>
      </c>
      <c r="D897" s="362">
        <f t="shared" ca="1" si="27"/>
        <v>118918115.93528903</v>
      </c>
    </row>
    <row r="898" spans="1:4">
      <c r="A898" s="348">
        <f t="shared" si="28"/>
        <v>897</v>
      </c>
      <c r="B898" s="360">
        <f>DATE('Profit Calculation'!J$6,A$2,A$2+A898-1)</f>
        <v>42901</v>
      </c>
      <c r="D898" s="362">
        <f t="shared" ca="1" si="27"/>
        <v>118963659.52239506</v>
      </c>
    </row>
    <row r="899" spans="1:4">
      <c r="A899" s="348">
        <f t="shared" si="28"/>
        <v>898</v>
      </c>
      <c r="B899" s="360">
        <f>DATE('Profit Calculation'!J$6,A$2,A$2+A899-1)</f>
        <v>42902</v>
      </c>
      <c r="D899" s="362">
        <f t="shared" ca="1" si="27"/>
        <v>119009220.55190934</v>
      </c>
    </row>
    <row r="900" spans="1:4">
      <c r="A900" s="348">
        <f t="shared" si="28"/>
        <v>899</v>
      </c>
      <c r="B900" s="360">
        <f>DATE('Profit Calculation'!J$6,A$2,A$2+A900-1)</f>
        <v>42903</v>
      </c>
      <c r="D900" s="362">
        <f t="shared" ref="D900:D963" ca="1" si="29">IF(OR(LOOKUP(B900,W$1:W$35,W$1:W$35) = B900, LOOKUP(B900,X$1:X$35,X$1:X$35) = B900),LOOKUP(B900,F:F,G:G),D899*(1+((IF($Q$18&lt;6,$R$14,IF($Q$18&lt;11,$R$15,$R$16)))))^(1/365))</f>
        <v>119054799.03051201</v>
      </c>
    </row>
    <row r="901" spans="1:4">
      <c r="A901" s="348">
        <f t="shared" ref="A901:A964" si="30">A900+1</f>
        <v>900</v>
      </c>
      <c r="B901" s="360">
        <f>DATE('Profit Calculation'!J$6,A$2,A$2+A901-1)</f>
        <v>42904</v>
      </c>
      <c r="D901" s="362">
        <f t="shared" ca="1" si="29"/>
        <v>119100394.96488577</v>
      </c>
    </row>
    <row r="902" spans="1:4">
      <c r="A902" s="348">
        <f t="shared" si="30"/>
        <v>901</v>
      </c>
      <c r="B902" s="360">
        <f>DATE('Profit Calculation'!J$6,A$2,A$2+A902-1)</f>
        <v>42905</v>
      </c>
      <c r="D902" s="362">
        <f t="shared" ca="1" si="29"/>
        <v>119146008.36171588</v>
      </c>
    </row>
    <row r="903" spans="1:4">
      <c r="A903" s="348">
        <f t="shared" si="30"/>
        <v>902</v>
      </c>
      <c r="B903" s="360">
        <f>DATE('Profit Calculation'!J$6,A$2,A$2+A903-1)</f>
        <v>42906</v>
      </c>
      <c r="D903" s="362">
        <f t="shared" ca="1" si="29"/>
        <v>119191639.22769016</v>
      </c>
    </row>
    <row r="904" spans="1:4">
      <c r="A904" s="348">
        <f t="shared" si="30"/>
        <v>903</v>
      </c>
      <c r="B904" s="360">
        <f>DATE('Profit Calculation'!J$6,A$2,A$2+A904-1)</f>
        <v>42907</v>
      </c>
      <c r="D904" s="362">
        <f t="shared" ca="1" si="29"/>
        <v>119237287.569499</v>
      </c>
    </row>
    <row r="905" spans="1:4">
      <c r="A905" s="348">
        <f t="shared" si="30"/>
        <v>904</v>
      </c>
      <c r="B905" s="360">
        <f>DATE('Profit Calculation'!J$6,A$2,A$2+A905-1)</f>
        <v>42908</v>
      </c>
      <c r="D905" s="362">
        <f t="shared" ca="1" si="29"/>
        <v>119282953.39383534</v>
      </c>
    </row>
    <row r="906" spans="1:4">
      <c r="A906" s="348">
        <f t="shared" si="30"/>
        <v>905</v>
      </c>
      <c r="B906" s="360">
        <f>DATE('Profit Calculation'!J$6,A$2,A$2+A906-1)</f>
        <v>42909</v>
      </c>
      <c r="D906" s="362">
        <f t="shared" ca="1" si="29"/>
        <v>119328636.70739466</v>
      </c>
    </row>
    <row r="907" spans="1:4">
      <c r="A907" s="348">
        <f t="shared" si="30"/>
        <v>906</v>
      </c>
      <c r="B907" s="360">
        <f>DATE('Profit Calculation'!J$6,A$2,A$2+A907-1)</f>
        <v>42910</v>
      </c>
      <c r="D907" s="362">
        <f t="shared" ca="1" si="29"/>
        <v>119374337.51687506</v>
      </c>
    </row>
    <row r="908" spans="1:4">
      <c r="A908" s="348">
        <f t="shared" si="30"/>
        <v>907</v>
      </c>
      <c r="B908" s="360">
        <f>DATE('Profit Calculation'!J$6,A$2,A$2+A908-1)</f>
        <v>42911</v>
      </c>
      <c r="D908" s="362">
        <f t="shared" ca="1" si="29"/>
        <v>119420055.82897717</v>
      </c>
    </row>
    <row r="909" spans="1:4">
      <c r="A909" s="348">
        <f t="shared" si="30"/>
        <v>908</v>
      </c>
      <c r="B909" s="360">
        <f>DATE('Profit Calculation'!J$6,A$2,A$2+A909-1)</f>
        <v>42912</v>
      </c>
      <c r="D909" s="362">
        <f t="shared" ca="1" si="29"/>
        <v>119465791.65040419</v>
      </c>
    </row>
    <row r="910" spans="1:4">
      <c r="A910" s="348">
        <f t="shared" si="30"/>
        <v>909</v>
      </c>
      <c r="B910" s="360">
        <f>DATE('Profit Calculation'!J$6,A$2,A$2+A910-1)</f>
        <v>42913</v>
      </c>
      <c r="D910" s="362">
        <f t="shared" ca="1" si="29"/>
        <v>119511544.98786189</v>
      </c>
    </row>
    <row r="911" spans="1:4">
      <c r="A911" s="348">
        <f t="shared" si="30"/>
        <v>910</v>
      </c>
      <c r="B911" s="360">
        <f>DATE('Profit Calculation'!J$6,A$2,A$2+A911-1)</f>
        <v>42914</v>
      </c>
      <c r="D911" s="362">
        <f t="shared" ca="1" si="29"/>
        <v>119557315.8480586</v>
      </c>
    </row>
    <row r="912" spans="1:4">
      <c r="A912" s="348">
        <f t="shared" si="30"/>
        <v>911</v>
      </c>
      <c r="B912" s="360">
        <f>DATE('Profit Calculation'!J$6,A$2,A$2+A912-1)</f>
        <v>42915</v>
      </c>
      <c r="D912" s="362">
        <f t="shared" ca="1" si="29"/>
        <v>119603104.23770523</v>
      </c>
    </row>
    <row r="913" spans="1:4">
      <c r="A913" s="348">
        <f t="shared" si="30"/>
        <v>912</v>
      </c>
      <c r="B913" s="360">
        <f>DATE('Profit Calculation'!J$6,A$2,A$2+A913-1)</f>
        <v>42916</v>
      </c>
      <c r="D913" s="362">
        <f t="shared" ca="1" si="29"/>
        <v>119648910.16351527</v>
      </c>
    </row>
    <row r="914" spans="1:4">
      <c r="A914" s="348">
        <f t="shared" si="30"/>
        <v>913</v>
      </c>
      <c r="B914" s="360">
        <f>DATE('Profit Calculation'!J$6,A$2,A$2+A914-1)</f>
        <v>42917</v>
      </c>
      <c r="D914" s="362">
        <f t="shared" ca="1" si="29"/>
        <v>119694733.63220476</v>
      </c>
    </row>
    <row r="915" spans="1:4">
      <c r="A915" s="348">
        <f t="shared" si="30"/>
        <v>914</v>
      </c>
      <c r="B915" s="360">
        <f>DATE('Profit Calculation'!J$6,A$2,A$2+A915-1)</f>
        <v>42918</v>
      </c>
      <c r="D915" s="362">
        <f t="shared" ca="1" si="29"/>
        <v>119740574.65049231</v>
      </c>
    </row>
    <row r="916" spans="1:4">
      <c r="A916" s="348">
        <f t="shared" si="30"/>
        <v>915</v>
      </c>
      <c r="B916" s="360">
        <f>DATE('Profit Calculation'!J$6,A$2,A$2+A916-1)</f>
        <v>42919</v>
      </c>
      <c r="D916" s="362">
        <f t="shared" ca="1" si="29"/>
        <v>119786433.22509913</v>
      </c>
    </row>
    <row r="917" spans="1:4">
      <c r="A917" s="348">
        <f t="shared" si="30"/>
        <v>916</v>
      </c>
      <c r="B917" s="360">
        <f>DATE('Profit Calculation'!J$6,A$2,A$2+A917-1)</f>
        <v>42920</v>
      </c>
      <c r="D917" s="362">
        <f t="shared" ca="1" si="29"/>
        <v>119832309.36274898</v>
      </c>
    </row>
    <row r="918" spans="1:4">
      <c r="A918" s="348">
        <f t="shared" si="30"/>
        <v>917</v>
      </c>
      <c r="B918" s="360">
        <f>DATE('Profit Calculation'!J$6,A$2,A$2+A918-1)</f>
        <v>42921</v>
      </c>
      <c r="D918" s="362">
        <f t="shared" ca="1" si="29"/>
        <v>119878203.0701682</v>
      </c>
    </row>
    <row r="919" spans="1:4">
      <c r="A919" s="348">
        <f t="shared" si="30"/>
        <v>918</v>
      </c>
      <c r="B919" s="360">
        <f>DATE('Profit Calculation'!J$6,A$2,A$2+A919-1)</f>
        <v>42922</v>
      </c>
      <c r="D919" s="362">
        <f t="shared" ca="1" si="29"/>
        <v>119924114.3540857</v>
      </c>
    </row>
    <row r="920" spans="1:4">
      <c r="A920" s="348">
        <f t="shared" si="30"/>
        <v>919</v>
      </c>
      <c r="B920" s="360">
        <f>DATE('Profit Calculation'!J$6,A$2,A$2+A920-1)</f>
        <v>42923</v>
      </c>
      <c r="D920" s="362">
        <f t="shared" ca="1" si="29"/>
        <v>119970043.221233</v>
      </c>
    </row>
    <row r="921" spans="1:4">
      <c r="A921" s="348">
        <f t="shared" si="30"/>
        <v>920</v>
      </c>
      <c r="B921" s="360">
        <f>DATE('Profit Calculation'!J$6,A$2,A$2+A921-1)</f>
        <v>42924</v>
      </c>
      <c r="D921" s="362">
        <f t="shared" ca="1" si="29"/>
        <v>120015989.67834415</v>
      </c>
    </row>
    <row r="922" spans="1:4">
      <c r="A922" s="348">
        <f t="shared" si="30"/>
        <v>921</v>
      </c>
      <c r="B922" s="360">
        <f>DATE('Profit Calculation'!J$6,A$2,A$2+A922-1)</f>
        <v>42925</v>
      </c>
      <c r="D922" s="362">
        <f t="shared" ca="1" si="29"/>
        <v>120061953.73215581</v>
      </c>
    </row>
    <row r="923" spans="1:4">
      <c r="A923" s="348">
        <f t="shared" si="30"/>
        <v>922</v>
      </c>
      <c r="B923" s="360">
        <f>DATE('Profit Calculation'!J$6,A$2,A$2+A923-1)</f>
        <v>42926</v>
      </c>
      <c r="D923" s="362">
        <f t="shared" ca="1" si="29"/>
        <v>120107935.38940723</v>
      </c>
    </row>
    <row r="924" spans="1:4">
      <c r="A924" s="348">
        <f t="shared" si="30"/>
        <v>923</v>
      </c>
      <c r="B924" s="360">
        <f>DATE('Profit Calculation'!J$6,A$2,A$2+A924-1)</f>
        <v>42927</v>
      </c>
      <c r="D924" s="362">
        <f t="shared" ca="1" si="29"/>
        <v>120153934.65684021</v>
      </c>
    </row>
    <row r="925" spans="1:4">
      <c r="A925" s="348">
        <f t="shared" si="30"/>
        <v>924</v>
      </c>
      <c r="B925" s="360">
        <f>DATE('Profit Calculation'!J$6,A$2,A$2+A925-1)</f>
        <v>42928</v>
      </c>
      <c r="D925" s="362">
        <f t="shared" ca="1" si="29"/>
        <v>120199951.54119913</v>
      </c>
    </row>
    <row r="926" spans="1:4">
      <c r="A926" s="348">
        <f t="shared" si="30"/>
        <v>925</v>
      </c>
      <c r="B926" s="360">
        <f>DATE('Profit Calculation'!J$6,A$2,A$2+A926-1)</f>
        <v>42929</v>
      </c>
      <c r="D926" s="362">
        <f t="shared" ca="1" si="29"/>
        <v>120245986.04923099</v>
      </c>
    </row>
    <row r="927" spans="1:4">
      <c r="A927" s="348">
        <f t="shared" si="30"/>
        <v>926</v>
      </c>
      <c r="B927" s="360">
        <f>DATE('Profit Calculation'!J$6,A$2,A$2+A927-1)</f>
        <v>42930</v>
      </c>
      <c r="D927" s="362">
        <f t="shared" ca="1" si="29"/>
        <v>120292038.18768536</v>
      </c>
    </row>
    <row r="928" spans="1:4">
      <c r="A928" s="348">
        <f t="shared" si="30"/>
        <v>927</v>
      </c>
      <c r="B928" s="360">
        <f>DATE('Profit Calculation'!J$6,A$2,A$2+A928-1)</f>
        <v>42931</v>
      </c>
      <c r="D928" s="362">
        <f t="shared" ca="1" si="29"/>
        <v>120338107.96331435</v>
      </c>
    </row>
    <row r="929" spans="1:4">
      <c r="A929" s="348">
        <f t="shared" si="30"/>
        <v>928</v>
      </c>
      <c r="B929" s="360">
        <f>DATE('Profit Calculation'!J$6,A$2,A$2+A929-1)</f>
        <v>42932</v>
      </c>
      <c r="D929" s="362">
        <f t="shared" ca="1" si="29"/>
        <v>120384195.38287273</v>
      </c>
    </row>
    <row r="930" spans="1:4">
      <c r="A930" s="348">
        <f t="shared" si="30"/>
        <v>929</v>
      </c>
      <c r="B930" s="360">
        <f>DATE('Profit Calculation'!J$6,A$2,A$2+A930-1)</f>
        <v>42933</v>
      </c>
      <c r="D930" s="362">
        <f t="shared" ca="1" si="29"/>
        <v>120430300.4531178</v>
      </c>
    </row>
    <row r="931" spans="1:4">
      <c r="A931" s="348">
        <f t="shared" si="30"/>
        <v>930</v>
      </c>
      <c r="B931" s="360">
        <f>DATE('Profit Calculation'!J$6,A$2,A$2+A931-1)</f>
        <v>42934</v>
      </c>
      <c r="D931" s="362">
        <f t="shared" ca="1" si="29"/>
        <v>120476423.18080948</v>
      </c>
    </row>
    <row r="932" spans="1:4">
      <c r="A932" s="348">
        <f t="shared" si="30"/>
        <v>931</v>
      </c>
      <c r="B932" s="360">
        <f>DATE('Profit Calculation'!J$6,A$2,A$2+A932-1)</f>
        <v>42935</v>
      </c>
      <c r="D932" s="362">
        <f t="shared" ca="1" si="29"/>
        <v>120522563.57271028</v>
      </c>
    </row>
    <row r="933" spans="1:4">
      <c r="A933" s="348">
        <f t="shared" si="30"/>
        <v>932</v>
      </c>
      <c r="B933" s="360">
        <f>DATE('Profit Calculation'!J$6,A$2,A$2+A933-1)</f>
        <v>42936</v>
      </c>
      <c r="D933" s="362">
        <f t="shared" ca="1" si="29"/>
        <v>120568721.63558526</v>
      </c>
    </row>
    <row r="934" spans="1:4">
      <c r="A934" s="348">
        <f t="shared" si="30"/>
        <v>933</v>
      </c>
      <c r="B934" s="360">
        <f>DATE('Profit Calculation'!J$6,A$2,A$2+A934-1)</f>
        <v>42937</v>
      </c>
      <c r="D934" s="362">
        <f t="shared" ca="1" si="29"/>
        <v>120614897.37620212</v>
      </c>
    </row>
    <row r="935" spans="1:4">
      <c r="A935" s="348">
        <f t="shared" si="30"/>
        <v>934</v>
      </c>
      <c r="B935" s="360">
        <f>DATE('Profit Calculation'!J$6,A$2,A$2+A935-1)</f>
        <v>42938</v>
      </c>
      <c r="D935" s="362">
        <f t="shared" ca="1" si="29"/>
        <v>120661090.80133112</v>
      </c>
    </row>
    <row r="936" spans="1:4">
      <c r="A936" s="348">
        <f t="shared" si="30"/>
        <v>935</v>
      </c>
      <c r="B936" s="360">
        <f>DATE('Profit Calculation'!J$6,A$2,A$2+A936-1)</f>
        <v>42939</v>
      </c>
      <c r="D936" s="362">
        <f t="shared" ca="1" si="29"/>
        <v>120707301.91774511</v>
      </c>
    </row>
    <row r="937" spans="1:4">
      <c r="A937" s="348">
        <f t="shared" si="30"/>
        <v>936</v>
      </c>
      <c r="B937" s="360">
        <f>DATE('Profit Calculation'!J$6,A$2,A$2+A937-1)</f>
        <v>42940</v>
      </c>
      <c r="D937" s="362">
        <f t="shared" ca="1" si="29"/>
        <v>120753530.73221958</v>
      </c>
    </row>
    <row r="938" spans="1:4">
      <c r="A938" s="348">
        <f t="shared" si="30"/>
        <v>937</v>
      </c>
      <c r="B938" s="360">
        <f>DATE('Profit Calculation'!J$6,A$2,A$2+A938-1)</f>
        <v>42941</v>
      </c>
      <c r="D938" s="362">
        <f t="shared" ca="1" si="29"/>
        <v>120799777.25153254</v>
      </c>
    </row>
    <row r="939" spans="1:4">
      <c r="A939" s="348">
        <f t="shared" si="30"/>
        <v>938</v>
      </c>
      <c r="B939" s="360">
        <f>DATE('Profit Calculation'!J$6,A$2,A$2+A939-1)</f>
        <v>42942</v>
      </c>
      <c r="D939" s="362">
        <f t="shared" ca="1" si="29"/>
        <v>120846041.48246467</v>
      </c>
    </row>
    <row r="940" spans="1:4">
      <c r="A940" s="348">
        <f t="shared" si="30"/>
        <v>939</v>
      </c>
      <c r="B940" s="360">
        <f>DATE('Profit Calculation'!J$6,A$2,A$2+A940-1)</f>
        <v>42943</v>
      </c>
      <c r="D940" s="362">
        <f t="shared" ca="1" si="29"/>
        <v>120892323.4317992</v>
      </c>
    </row>
    <row r="941" spans="1:4">
      <c r="A941" s="348">
        <f t="shared" si="30"/>
        <v>940</v>
      </c>
      <c r="B941" s="360">
        <f>DATE('Profit Calculation'!J$6,A$2,A$2+A941-1)</f>
        <v>42944</v>
      </c>
      <c r="D941" s="362">
        <f t="shared" ca="1" si="29"/>
        <v>120938623.10632199</v>
      </c>
    </row>
    <row r="942" spans="1:4">
      <c r="A942" s="348">
        <f t="shared" si="30"/>
        <v>941</v>
      </c>
      <c r="B942" s="360">
        <f>DATE('Profit Calculation'!J$6,A$2,A$2+A942-1)</f>
        <v>42945</v>
      </c>
      <c r="D942" s="362">
        <f t="shared" ca="1" si="29"/>
        <v>120984940.51282147</v>
      </c>
    </row>
    <row r="943" spans="1:4">
      <c r="A943" s="348">
        <f t="shared" si="30"/>
        <v>942</v>
      </c>
      <c r="B943" s="360">
        <f>DATE('Profit Calculation'!J$6,A$2,A$2+A943-1)</f>
        <v>42946</v>
      </c>
      <c r="D943" s="362">
        <f t="shared" ca="1" si="29"/>
        <v>121031275.65808867</v>
      </c>
    </row>
    <row r="944" spans="1:4">
      <c r="A944" s="348">
        <f t="shared" si="30"/>
        <v>943</v>
      </c>
      <c r="B944" s="360">
        <f>DATE('Profit Calculation'!J$6,A$2,A$2+A944-1)</f>
        <v>42947</v>
      </c>
      <c r="D944" s="362">
        <f t="shared" ca="1" si="29"/>
        <v>121077628.54891723</v>
      </c>
    </row>
    <row r="945" spans="1:4">
      <c r="A945" s="348">
        <f t="shared" si="30"/>
        <v>944</v>
      </c>
      <c r="B945" s="360">
        <f>DATE('Profit Calculation'!J$6,A$2,A$2+A945-1)</f>
        <v>42948</v>
      </c>
      <c r="D945" s="362">
        <f t="shared" ca="1" si="29"/>
        <v>121123999.19210342</v>
      </c>
    </row>
    <row r="946" spans="1:4">
      <c r="A946" s="348">
        <f t="shared" si="30"/>
        <v>945</v>
      </c>
      <c r="B946" s="360">
        <f>DATE('Profit Calculation'!J$6,A$2,A$2+A946-1)</f>
        <v>42949</v>
      </c>
      <c r="D946" s="362">
        <f t="shared" ca="1" si="29"/>
        <v>121170387.59444606</v>
      </c>
    </row>
    <row r="947" spans="1:4">
      <c r="A947" s="348">
        <f t="shared" si="30"/>
        <v>946</v>
      </c>
      <c r="B947" s="360">
        <f>DATE('Profit Calculation'!J$6,A$2,A$2+A947-1)</f>
        <v>42950</v>
      </c>
      <c r="D947" s="362">
        <f t="shared" ca="1" si="29"/>
        <v>121216793.76274663</v>
      </c>
    </row>
    <row r="948" spans="1:4">
      <c r="A948" s="348">
        <f t="shared" si="30"/>
        <v>947</v>
      </c>
      <c r="B948" s="360">
        <f>DATE('Profit Calculation'!J$6,A$2,A$2+A948-1)</f>
        <v>42951</v>
      </c>
      <c r="D948" s="362">
        <f t="shared" ca="1" si="29"/>
        <v>121263217.70380916</v>
      </c>
    </row>
    <row r="949" spans="1:4">
      <c r="A949" s="348">
        <f t="shared" si="30"/>
        <v>948</v>
      </c>
      <c r="B949" s="360">
        <f>DATE('Profit Calculation'!J$6,A$2,A$2+A949-1)</f>
        <v>42952</v>
      </c>
      <c r="D949" s="362">
        <f t="shared" ca="1" si="29"/>
        <v>121309659.42444032</v>
      </c>
    </row>
    <row r="950" spans="1:4">
      <c r="A950" s="348">
        <f t="shared" si="30"/>
        <v>949</v>
      </c>
      <c r="B950" s="360">
        <f>DATE('Profit Calculation'!J$6,A$2,A$2+A950-1)</f>
        <v>42953</v>
      </c>
      <c r="D950" s="362">
        <f t="shared" ca="1" si="29"/>
        <v>121356118.93144938</v>
      </c>
    </row>
    <row r="951" spans="1:4">
      <c r="A951" s="348">
        <f t="shared" si="30"/>
        <v>950</v>
      </c>
      <c r="B951" s="360">
        <f>DATE('Profit Calculation'!J$6,A$2,A$2+A951-1)</f>
        <v>42954</v>
      </c>
      <c r="D951" s="362">
        <f t="shared" ca="1" si="29"/>
        <v>121402596.23164822</v>
      </c>
    </row>
    <row r="952" spans="1:4">
      <c r="A952" s="348">
        <f t="shared" si="30"/>
        <v>951</v>
      </c>
      <c r="B952" s="360">
        <f>DATE('Profit Calculation'!J$6,A$2,A$2+A952-1)</f>
        <v>42955</v>
      </c>
      <c r="D952" s="362">
        <f t="shared" ca="1" si="29"/>
        <v>121449091.33185132</v>
      </c>
    </row>
    <row r="953" spans="1:4">
      <c r="A953" s="348">
        <f t="shared" si="30"/>
        <v>952</v>
      </c>
      <c r="B953" s="360">
        <f>DATE('Profit Calculation'!J$6,A$2,A$2+A953-1)</f>
        <v>42956</v>
      </c>
      <c r="D953" s="362">
        <f t="shared" ca="1" si="29"/>
        <v>121495604.23887576</v>
      </c>
    </row>
    <row r="954" spans="1:4">
      <c r="A954" s="348">
        <f t="shared" si="30"/>
        <v>953</v>
      </c>
      <c r="B954" s="360">
        <f>DATE('Profit Calculation'!J$6,A$2,A$2+A954-1)</f>
        <v>42957</v>
      </c>
      <c r="D954" s="362">
        <f t="shared" ca="1" si="29"/>
        <v>121542134.95954126</v>
      </c>
    </row>
    <row r="955" spans="1:4">
      <c r="A955" s="348">
        <f t="shared" si="30"/>
        <v>954</v>
      </c>
      <c r="B955" s="360">
        <f>DATE('Profit Calculation'!J$6,A$2,A$2+A955-1)</f>
        <v>42958</v>
      </c>
      <c r="D955" s="362">
        <f t="shared" ca="1" si="29"/>
        <v>121588683.50067014</v>
      </c>
    </row>
    <row r="956" spans="1:4">
      <c r="A956" s="348">
        <f t="shared" si="30"/>
        <v>955</v>
      </c>
      <c r="B956" s="360">
        <f>DATE('Profit Calculation'!J$6,A$2,A$2+A956-1)</f>
        <v>42959</v>
      </c>
      <c r="D956" s="362">
        <f t="shared" ca="1" si="29"/>
        <v>121635249.86908732</v>
      </c>
    </row>
    <row r="957" spans="1:4">
      <c r="A957" s="348">
        <f t="shared" si="30"/>
        <v>956</v>
      </c>
      <c r="B957" s="360">
        <f>DATE('Profit Calculation'!J$6,A$2,A$2+A957-1)</f>
        <v>42960</v>
      </c>
      <c r="D957" s="362">
        <f t="shared" ca="1" si="29"/>
        <v>121681834.07162036</v>
      </c>
    </row>
    <row r="958" spans="1:4">
      <c r="A958" s="348">
        <f t="shared" si="30"/>
        <v>957</v>
      </c>
      <c r="B958" s="360">
        <f>DATE('Profit Calculation'!J$6,A$2,A$2+A958-1)</f>
        <v>42961</v>
      </c>
      <c r="D958" s="362">
        <f t="shared" ca="1" si="29"/>
        <v>121728436.1150994</v>
      </c>
    </row>
    <row r="959" spans="1:4">
      <c r="A959" s="348">
        <f t="shared" si="30"/>
        <v>958</v>
      </c>
      <c r="B959" s="360">
        <f>DATE('Profit Calculation'!J$6,A$2,A$2+A959-1)</f>
        <v>42962</v>
      </c>
      <c r="D959" s="362">
        <f t="shared" ca="1" si="29"/>
        <v>121775056.00635722</v>
      </c>
    </row>
    <row r="960" spans="1:4">
      <c r="A960" s="348">
        <f t="shared" si="30"/>
        <v>959</v>
      </c>
      <c r="B960" s="360">
        <f>DATE('Profit Calculation'!J$6,A$2,A$2+A960-1)</f>
        <v>42963</v>
      </c>
      <c r="D960" s="362">
        <f t="shared" ca="1" si="29"/>
        <v>121821693.75222923</v>
      </c>
    </row>
    <row r="961" spans="1:4">
      <c r="A961" s="348">
        <f t="shared" si="30"/>
        <v>960</v>
      </c>
      <c r="B961" s="360">
        <f>DATE('Profit Calculation'!J$6,A$2,A$2+A961-1)</f>
        <v>42964</v>
      </c>
      <c r="D961" s="362">
        <f t="shared" ca="1" si="29"/>
        <v>121868349.35955341</v>
      </c>
    </row>
    <row r="962" spans="1:4">
      <c r="A962" s="348">
        <f t="shared" si="30"/>
        <v>961</v>
      </c>
      <c r="B962" s="360">
        <f>DATE('Profit Calculation'!J$6,A$2,A$2+A962-1)</f>
        <v>42965</v>
      </c>
      <c r="D962" s="362">
        <f t="shared" ca="1" si="29"/>
        <v>121915022.8351704</v>
      </c>
    </row>
    <row r="963" spans="1:4">
      <c r="A963" s="348">
        <f t="shared" si="30"/>
        <v>962</v>
      </c>
      <c r="B963" s="360">
        <f>DATE('Profit Calculation'!J$6,A$2,A$2+A963-1)</f>
        <v>42966</v>
      </c>
      <c r="D963" s="362">
        <f t="shared" ca="1" si="29"/>
        <v>121961714.18592346</v>
      </c>
    </row>
    <row r="964" spans="1:4">
      <c r="A964" s="348">
        <f t="shared" si="30"/>
        <v>963</v>
      </c>
      <c r="B964" s="360">
        <f>DATE('Profit Calculation'!J$6,A$2,A$2+A964-1)</f>
        <v>42967</v>
      </c>
      <c r="D964" s="362">
        <f t="shared" ref="D964:D1027" ca="1" si="31">IF(OR(LOOKUP(B964,W$1:W$35,W$1:W$35) = B964, LOOKUP(B964,X$1:X$35,X$1:X$35) = B964),LOOKUP(B964,F:F,G:G),D963*(1+((IF($Q$18&lt;6,$R$14,IF($Q$18&lt;11,$R$15,$R$16)))))^(1/365))</f>
        <v>122008423.41865844</v>
      </c>
    </row>
    <row r="965" spans="1:4">
      <c r="A965" s="348">
        <f t="shared" ref="A965:A1028" si="32">A964+1</f>
        <v>964</v>
      </c>
      <c r="B965" s="360">
        <f>DATE('Profit Calculation'!J$6,A$2,A$2+A965-1)</f>
        <v>42968</v>
      </c>
      <c r="D965" s="362">
        <f t="shared" ca="1" si="31"/>
        <v>122055150.54022384</v>
      </c>
    </row>
    <row r="966" spans="1:4">
      <c r="A966" s="348">
        <f t="shared" si="32"/>
        <v>965</v>
      </c>
      <c r="B966" s="360">
        <f>DATE('Profit Calculation'!J$6,A$2,A$2+A966-1)</f>
        <v>42969</v>
      </c>
      <c r="D966" s="362">
        <f t="shared" ca="1" si="31"/>
        <v>122101895.55747077</v>
      </c>
    </row>
    <row r="967" spans="1:4">
      <c r="A967" s="348">
        <f t="shared" si="32"/>
        <v>966</v>
      </c>
      <c r="B967" s="360">
        <f>DATE('Profit Calculation'!J$6,A$2,A$2+A967-1)</f>
        <v>42970</v>
      </c>
      <c r="D967" s="362">
        <f t="shared" ca="1" si="31"/>
        <v>122148658.47725298</v>
      </c>
    </row>
    <row r="968" spans="1:4">
      <c r="A968" s="348">
        <f t="shared" si="32"/>
        <v>967</v>
      </c>
      <c r="B968" s="360">
        <f>DATE('Profit Calculation'!J$6,A$2,A$2+A968-1)</f>
        <v>42971</v>
      </c>
      <c r="D968" s="362">
        <f t="shared" ca="1" si="31"/>
        <v>122195439.30642681</v>
      </c>
    </row>
    <row r="969" spans="1:4">
      <c r="A969" s="348">
        <f t="shared" si="32"/>
        <v>968</v>
      </c>
      <c r="B969" s="360">
        <f>DATE('Profit Calculation'!J$6,A$2,A$2+A969-1)</f>
        <v>42972</v>
      </c>
      <c r="D969" s="362">
        <f t="shared" ca="1" si="31"/>
        <v>122242238.05185126</v>
      </c>
    </row>
    <row r="970" spans="1:4">
      <c r="A970" s="348">
        <f t="shared" si="32"/>
        <v>969</v>
      </c>
      <c r="B970" s="360">
        <f>DATE('Profit Calculation'!J$6,A$2,A$2+A970-1)</f>
        <v>42973</v>
      </c>
      <c r="D970" s="362">
        <f t="shared" ca="1" si="31"/>
        <v>122289054.72038795</v>
      </c>
    </row>
    <row r="971" spans="1:4">
      <c r="A971" s="348">
        <f t="shared" si="32"/>
        <v>970</v>
      </c>
      <c r="B971" s="360">
        <f>DATE('Profit Calculation'!J$6,A$2,A$2+A971-1)</f>
        <v>42974</v>
      </c>
      <c r="D971" s="362">
        <f t="shared" ca="1" si="31"/>
        <v>122335889.31890112</v>
      </c>
    </row>
    <row r="972" spans="1:4">
      <c r="A972" s="348">
        <f t="shared" si="32"/>
        <v>971</v>
      </c>
      <c r="B972" s="360">
        <f>DATE('Profit Calculation'!J$6,A$2,A$2+A972-1)</f>
        <v>42975</v>
      </c>
      <c r="D972" s="362">
        <f t="shared" ca="1" si="31"/>
        <v>122382741.85425764</v>
      </c>
    </row>
    <row r="973" spans="1:4">
      <c r="A973" s="348">
        <f t="shared" si="32"/>
        <v>972</v>
      </c>
      <c r="B973" s="360">
        <f>DATE('Profit Calculation'!J$6,A$2,A$2+A973-1)</f>
        <v>42976</v>
      </c>
      <c r="D973" s="362">
        <f t="shared" ca="1" si="31"/>
        <v>122429612.33332701</v>
      </c>
    </row>
    <row r="974" spans="1:4">
      <c r="A974" s="348">
        <f t="shared" si="32"/>
        <v>973</v>
      </c>
      <c r="B974" s="360">
        <f>DATE('Profit Calculation'!J$6,A$2,A$2+A974-1)</f>
        <v>42977</v>
      </c>
      <c r="D974" s="362">
        <f t="shared" ca="1" si="31"/>
        <v>122476500.76298137</v>
      </c>
    </row>
    <row r="975" spans="1:4">
      <c r="A975" s="348">
        <f t="shared" si="32"/>
        <v>974</v>
      </c>
      <c r="B975" s="360">
        <f>DATE('Profit Calculation'!J$6,A$2,A$2+A975-1)</f>
        <v>42978</v>
      </c>
      <c r="D975" s="362">
        <f t="shared" ca="1" si="31"/>
        <v>122523407.15009548</v>
      </c>
    </row>
    <row r="976" spans="1:4">
      <c r="A976" s="348">
        <f t="shared" si="32"/>
        <v>975</v>
      </c>
      <c r="B976" s="360">
        <f>DATE('Profit Calculation'!J$6,A$2,A$2+A976-1)</f>
        <v>42979</v>
      </c>
      <c r="D976" s="362">
        <f t="shared" ca="1" si="31"/>
        <v>122570331.50154673</v>
      </c>
    </row>
    <row r="977" spans="1:4">
      <c r="A977" s="348">
        <f t="shared" si="32"/>
        <v>976</v>
      </c>
      <c r="B977" s="360">
        <f>DATE('Profit Calculation'!J$6,A$2,A$2+A977-1)</f>
        <v>42980</v>
      </c>
      <c r="D977" s="362">
        <f t="shared" ca="1" si="31"/>
        <v>122617273.82421514</v>
      </c>
    </row>
    <row r="978" spans="1:4">
      <c r="A978" s="348">
        <f t="shared" si="32"/>
        <v>977</v>
      </c>
      <c r="B978" s="360">
        <f>DATE('Profit Calculation'!J$6,A$2,A$2+A978-1)</f>
        <v>42981</v>
      </c>
      <c r="D978" s="362">
        <f t="shared" ca="1" si="31"/>
        <v>122664234.12498342</v>
      </c>
    </row>
    <row r="979" spans="1:4">
      <c r="A979" s="348">
        <f t="shared" si="32"/>
        <v>978</v>
      </c>
      <c r="B979" s="360">
        <f>DATE('Profit Calculation'!J$6,A$2,A$2+A979-1)</f>
        <v>42982</v>
      </c>
      <c r="D979" s="362">
        <f t="shared" ca="1" si="31"/>
        <v>122711212.41073683</v>
      </c>
    </row>
    <row r="980" spans="1:4">
      <c r="A980" s="348">
        <f t="shared" si="32"/>
        <v>979</v>
      </c>
      <c r="B980" s="360">
        <f>DATE('Profit Calculation'!J$6,A$2,A$2+A980-1)</f>
        <v>42983</v>
      </c>
      <c r="D980" s="362">
        <f t="shared" ca="1" si="31"/>
        <v>122758208.68836333</v>
      </c>
    </row>
    <row r="981" spans="1:4">
      <c r="A981" s="348">
        <f t="shared" si="32"/>
        <v>980</v>
      </c>
      <c r="B981" s="360">
        <f>DATE('Profit Calculation'!J$6,A$2,A$2+A981-1)</f>
        <v>42984</v>
      </c>
      <c r="D981" s="362">
        <f t="shared" ca="1" si="31"/>
        <v>122805222.96475348</v>
      </c>
    </row>
    <row r="982" spans="1:4">
      <c r="A982" s="348">
        <f t="shared" si="32"/>
        <v>981</v>
      </c>
      <c r="B982" s="360">
        <f>DATE('Profit Calculation'!J$6,A$2,A$2+A982-1)</f>
        <v>42985</v>
      </c>
      <c r="D982" s="362">
        <f t="shared" ca="1" si="31"/>
        <v>122852255.24680051</v>
      </c>
    </row>
    <row r="983" spans="1:4">
      <c r="A983" s="348">
        <f t="shared" si="32"/>
        <v>982</v>
      </c>
      <c r="B983" s="360">
        <f>DATE('Profit Calculation'!J$6,A$2,A$2+A983-1)</f>
        <v>42986</v>
      </c>
      <c r="D983" s="362">
        <f t="shared" ca="1" si="31"/>
        <v>122899305.54140028</v>
      </c>
    </row>
    <row r="984" spans="1:4">
      <c r="A984" s="348">
        <f t="shared" si="32"/>
        <v>983</v>
      </c>
      <c r="B984" s="360">
        <f>DATE('Profit Calculation'!J$6,A$2,A$2+A984-1)</f>
        <v>42987</v>
      </c>
      <c r="D984" s="362">
        <f t="shared" ca="1" si="31"/>
        <v>122946373.85545129</v>
      </c>
    </row>
    <row r="985" spans="1:4">
      <c r="A985" s="348">
        <f t="shared" si="32"/>
        <v>984</v>
      </c>
      <c r="B985" s="360">
        <f>DATE('Profit Calculation'!J$6,A$2,A$2+A985-1)</f>
        <v>42988</v>
      </c>
      <c r="D985" s="362">
        <f t="shared" ca="1" si="31"/>
        <v>122993460.19585465</v>
      </c>
    </row>
    <row r="986" spans="1:4">
      <c r="A986" s="348">
        <f t="shared" si="32"/>
        <v>985</v>
      </c>
      <c r="B986" s="360">
        <f>DATE('Profit Calculation'!J$6,A$2,A$2+A986-1)</f>
        <v>42989</v>
      </c>
      <c r="D986" s="362">
        <f t="shared" ca="1" si="31"/>
        <v>123040564.56951417</v>
      </c>
    </row>
    <row r="987" spans="1:4">
      <c r="A987" s="348">
        <f t="shared" si="32"/>
        <v>986</v>
      </c>
      <c r="B987" s="360">
        <f>DATE('Profit Calculation'!J$6,A$2,A$2+A987-1)</f>
        <v>42990</v>
      </c>
      <c r="D987" s="362">
        <f t="shared" ca="1" si="31"/>
        <v>123087686.98333627</v>
      </c>
    </row>
    <row r="988" spans="1:4">
      <c r="A988" s="348">
        <f t="shared" si="32"/>
        <v>987</v>
      </c>
      <c r="B988" s="360">
        <f>DATE('Profit Calculation'!J$6,A$2,A$2+A988-1)</f>
        <v>42991</v>
      </c>
      <c r="D988" s="362">
        <f t="shared" ca="1" si="31"/>
        <v>123134827.44423002</v>
      </c>
    </row>
    <row r="989" spans="1:4">
      <c r="A989" s="348">
        <f t="shared" si="32"/>
        <v>988</v>
      </c>
      <c r="B989" s="360">
        <f>DATE('Profit Calculation'!J$6,A$2,A$2+A989-1)</f>
        <v>42992</v>
      </c>
      <c r="D989" s="362">
        <f t="shared" ca="1" si="31"/>
        <v>123181985.95910713</v>
      </c>
    </row>
    <row r="990" spans="1:4">
      <c r="A990" s="348">
        <f t="shared" si="32"/>
        <v>989</v>
      </c>
      <c r="B990" s="360">
        <f>DATE('Profit Calculation'!J$6,A$2,A$2+A990-1)</f>
        <v>42993</v>
      </c>
      <c r="D990" s="362">
        <f t="shared" ca="1" si="31"/>
        <v>123229162.53488196</v>
      </c>
    </row>
    <row r="991" spans="1:4">
      <c r="A991" s="348">
        <f t="shared" si="32"/>
        <v>990</v>
      </c>
      <c r="B991" s="360">
        <f>DATE('Profit Calculation'!J$6,A$2,A$2+A991-1)</f>
        <v>42994</v>
      </c>
      <c r="D991" s="362">
        <f t="shared" ca="1" si="31"/>
        <v>123276357.17847155</v>
      </c>
    </row>
    <row r="992" spans="1:4">
      <c r="A992" s="348">
        <f t="shared" si="32"/>
        <v>991</v>
      </c>
      <c r="B992" s="360">
        <f>DATE('Profit Calculation'!J$6,A$2,A$2+A992-1)</f>
        <v>42995</v>
      </c>
      <c r="D992" s="362">
        <f t="shared" ca="1" si="31"/>
        <v>123323569.89679553</v>
      </c>
    </row>
    <row r="993" spans="1:4">
      <c r="A993" s="348">
        <f t="shared" si="32"/>
        <v>992</v>
      </c>
      <c r="B993" s="360">
        <f>DATE('Profit Calculation'!J$6,A$2,A$2+A993-1)</f>
        <v>42996</v>
      </c>
      <c r="D993" s="362">
        <f t="shared" ca="1" si="31"/>
        <v>123370800.69677623</v>
      </c>
    </row>
    <row r="994" spans="1:4">
      <c r="A994" s="348">
        <f t="shared" si="32"/>
        <v>993</v>
      </c>
      <c r="B994" s="360">
        <f>DATE('Profit Calculation'!J$6,A$2,A$2+A994-1)</f>
        <v>42997</v>
      </c>
      <c r="D994" s="362">
        <f t="shared" ca="1" si="31"/>
        <v>123418049.58533861</v>
      </c>
    </row>
    <row r="995" spans="1:4">
      <c r="A995" s="348">
        <f t="shared" si="32"/>
        <v>994</v>
      </c>
      <c r="B995" s="360">
        <f>DATE('Profit Calculation'!J$6,A$2,A$2+A995-1)</f>
        <v>42998</v>
      </c>
      <c r="D995" s="362">
        <f t="shared" ca="1" si="31"/>
        <v>123465316.56941028</v>
      </c>
    </row>
    <row r="996" spans="1:4">
      <c r="A996" s="348">
        <f t="shared" si="32"/>
        <v>995</v>
      </c>
      <c r="B996" s="360">
        <f>DATE('Profit Calculation'!J$6,A$2,A$2+A996-1)</f>
        <v>42999</v>
      </c>
      <c r="D996" s="362">
        <f t="shared" ca="1" si="31"/>
        <v>123512601.6559215</v>
      </c>
    </row>
    <row r="997" spans="1:4">
      <c r="A997" s="348">
        <f t="shared" si="32"/>
        <v>996</v>
      </c>
      <c r="B997" s="360">
        <f>DATE('Profit Calculation'!J$6,A$2,A$2+A997-1)</f>
        <v>43000</v>
      </c>
      <c r="D997" s="362">
        <f t="shared" ca="1" si="31"/>
        <v>123559904.85180521</v>
      </c>
    </row>
    <row r="998" spans="1:4">
      <c r="A998" s="348">
        <f t="shared" si="32"/>
        <v>997</v>
      </c>
      <c r="B998" s="360">
        <f>DATE('Profit Calculation'!J$6,A$2,A$2+A998-1)</f>
        <v>43001</v>
      </c>
      <c r="D998" s="362">
        <f t="shared" ca="1" si="31"/>
        <v>123607226.16399698</v>
      </c>
    </row>
    <row r="999" spans="1:4">
      <c r="A999" s="348">
        <f t="shared" si="32"/>
        <v>998</v>
      </c>
      <c r="B999" s="360">
        <f>DATE('Profit Calculation'!J$6,A$2,A$2+A999-1)</f>
        <v>43002</v>
      </c>
      <c r="D999" s="362">
        <f t="shared" ca="1" si="31"/>
        <v>123654565.59943505</v>
      </c>
    </row>
    <row r="1000" spans="1:4">
      <c r="A1000" s="348">
        <f t="shared" si="32"/>
        <v>999</v>
      </c>
      <c r="B1000" s="360">
        <f>DATE('Profit Calculation'!J$6,A$2,A$2+A1000-1)</f>
        <v>43003</v>
      </c>
      <c r="D1000" s="362">
        <f t="shared" ca="1" si="31"/>
        <v>123701923.1650603</v>
      </c>
    </row>
    <row r="1001" spans="1:4">
      <c r="A1001" s="348">
        <f t="shared" si="32"/>
        <v>1000</v>
      </c>
      <c r="B1001" s="360">
        <f>DATE('Profit Calculation'!J$6,A$2,A$2+A1001-1)</f>
        <v>43004</v>
      </c>
      <c r="D1001" s="362">
        <f t="shared" ca="1" si="31"/>
        <v>123749298.86781627</v>
      </c>
    </row>
    <row r="1002" spans="1:4">
      <c r="A1002" s="348">
        <f t="shared" si="32"/>
        <v>1001</v>
      </c>
      <c r="B1002" s="360">
        <f>DATE('Profit Calculation'!J$6,A$2,A$2+A1002-1)</f>
        <v>43005</v>
      </c>
      <c r="D1002" s="362">
        <f t="shared" ca="1" si="31"/>
        <v>123796692.71464919</v>
      </c>
    </row>
    <row r="1003" spans="1:4">
      <c r="A1003" s="348">
        <f t="shared" si="32"/>
        <v>1002</v>
      </c>
      <c r="B1003" s="360">
        <f>DATE('Profit Calculation'!J$6,A$2,A$2+A1003-1)</f>
        <v>43006</v>
      </c>
      <c r="D1003" s="362">
        <f t="shared" ca="1" si="31"/>
        <v>123844104.71250792</v>
      </c>
    </row>
    <row r="1004" spans="1:4">
      <c r="A1004" s="348">
        <f t="shared" si="32"/>
        <v>1003</v>
      </c>
      <c r="B1004" s="360">
        <f>DATE('Profit Calculation'!J$6,A$2,A$2+A1004-1)</f>
        <v>43007</v>
      </c>
      <c r="D1004" s="362">
        <f t="shared" ca="1" si="31"/>
        <v>123891534.86834398</v>
      </c>
    </row>
    <row r="1005" spans="1:4">
      <c r="A1005" s="348">
        <f t="shared" si="32"/>
        <v>1004</v>
      </c>
      <c r="B1005" s="360">
        <f>DATE('Profit Calculation'!J$6,A$2,A$2+A1005-1)</f>
        <v>43008</v>
      </c>
      <c r="D1005" s="362">
        <f t="shared" ca="1" si="31"/>
        <v>123938983.18911158</v>
      </c>
    </row>
    <row r="1006" spans="1:4">
      <c r="A1006" s="348">
        <f t="shared" si="32"/>
        <v>1005</v>
      </c>
      <c r="B1006" s="360">
        <f>DATE('Profit Calculation'!J$6,A$2,A$2+A1006-1)</f>
        <v>43009</v>
      </c>
      <c r="D1006" s="362">
        <f t="shared" ca="1" si="31"/>
        <v>123986449.68176755</v>
      </c>
    </row>
    <row r="1007" spans="1:4">
      <c r="A1007" s="348">
        <f t="shared" si="32"/>
        <v>1006</v>
      </c>
      <c r="B1007" s="360">
        <f>DATE('Profit Calculation'!J$6,A$2,A$2+A1007-1)</f>
        <v>43010</v>
      </c>
      <c r="D1007" s="362">
        <f t="shared" ca="1" si="31"/>
        <v>124033934.35327144</v>
      </c>
    </row>
    <row r="1008" spans="1:4">
      <c r="A1008" s="348">
        <f t="shared" si="32"/>
        <v>1007</v>
      </c>
      <c r="B1008" s="360">
        <f>DATE('Profit Calculation'!J$6,A$2,A$2+A1008-1)</f>
        <v>43011</v>
      </c>
      <c r="D1008" s="362">
        <f t="shared" ca="1" si="31"/>
        <v>124081437.21058542</v>
      </c>
    </row>
    <row r="1009" spans="1:4">
      <c r="A1009" s="348">
        <f t="shared" si="32"/>
        <v>1008</v>
      </c>
      <c r="B1009" s="360">
        <f>DATE('Profit Calculation'!J$6,A$2,A$2+A1009-1)</f>
        <v>43012</v>
      </c>
      <c r="D1009" s="362">
        <f t="shared" ca="1" si="31"/>
        <v>124128958.26067434</v>
      </c>
    </row>
    <row r="1010" spans="1:4">
      <c r="A1010" s="348">
        <f t="shared" si="32"/>
        <v>1009</v>
      </c>
      <c r="B1010" s="360">
        <f>DATE('Profit Calculation'!J$6,A$2,A$2+A1010-1)</f>
        <v>43013</v>
      </c>
      <c r="D1010" s="362">
        <f t="shared" ca="1" si="31"/>
        <v>124176497.51050574</v>
      </c>
    </row>
    <row r="1011" spans="1:4">
      <c r="A1011" s="348">
        <f t="shared" si="32"/>
        <v>1010</v>
      </c>
      <c r="B1011" s="360">
        <f>DATE('Profit Calculation'!J$6,A$2,A$2+A1011-1)</f>
        <v>43014</v>
      </c>
      <c r="D1011" s="362">
        <f t="shared" ca="1" si="31"/>
        <v>124224054.96704978</v>
      </c>
    </row>
    <row r="1012" spans="1:4">
      <c r="A1012" s="348">
        <f t="shared" si="32"/>
        <v>1011</v>
      </c>
      <c r="B1012" s="360">
        <f>DATE('Profit Calculation'!J$6,A$2,A$2+A1012-1)</f>
        <v>43015</v>
      </c>
      <c r="D1012" s="362">
        <f t="shared" ca="1" si="31"/>
        <v>124271630.63727932</v>
      </c>
    </row>
    <row r="1013" spans="1:4">
      <c r="A1013" s="348">
        <f t="shared" si="32"/>
        <v>1012</v>
      </c>
      <c r="B1013" s="360">
        <f>DATE('Profit Calculation'!J$6,A$2,A$2+A1013-1)</f>
        <v>43016</v>
      </c>
      <c r="D1013" s="362">
        <f t="shared" ca="1" si="31"/>
        <v>124319224.5281699</v>
      </c>
    </row>
    <row r="1014" spans="1:4">
      <c r="A1014" s="348">
        <f t="shared" si="32"/>
        <v>1013</v>
      </c>
      <c r="B1014" s="360">
        <f>DATE('Profit Calculation'!J$6,A$2,A$2+A1014-1)</f>
        <v>43017</v>
      </c>
      <c r="D1014" s="362">
        <f t="shared" ca="1" si="31"/>
        <v>124366836.64669971</v>
      </c>
    </row>
    <row r="1015" spans="1:4">
      <c r="A1015" s="348">
        <f t="shared" si="32"/>
        <v>1014</v>
      </c>
      <c r="B1015" s="360">
        <f>DATE('Profit Calculation'!J$6,A$2,A$2+A1015-1)</f>
        <v>43018</v>
      </c>
      <c r="D1015" s="362">
        <f t="shared" ca="1" si="31"/>
        <v>124414466.99984962</v>
      </c>
    </row>
    <row r="1016" spans="1:4">
      <c r="A1016" s="348">
        <f t="shared" si="32"/>
        <v>1015</v>
      </c>
      <c r="B1016" s="360">
        <f>DATE('Profit Calculation'!J$6,A$2,A$2+A1016-1)</f>
        <v>43019</v>
      </c>
      <c r="D1016" s="362">
        <f t="shared" ca="1" si="31"/>
        <v>124462115.59460318</v>
      </c>
    </row>
    <row r="1017" spans="1:4">
      <c r="A1017" s="348">
        <f t="shared" si="32"/>
        <v>1016</v>
      </c>
      <c r="B1017" s="360">
        <f>DATE('Profit Calculation'!J$6,A$2,A$2+A1017-1)</f>
        <v>43020</v>
      </c>
      <c r="D1017" s="362">
        <f t="shared" ca="1" si="31"/>
        <v>124509782.43794662</v>
      </c>
    </row>
    <row r="1018" spans="1:4">
      <c r="A1018" s="348">
        <f t="shared" si="32"/>
        <v>1017</v>
      </c>
      <c r="B1018" s="360">
        <f>DATE('Profit Calculation'!J$6,A$2,A$2+A1018-1)</f>
        <v>43021</v>
      </c>
      <c r="D1018" s="362">
        <f t="shared" ca="1" si="31"/>
        <v>124557467.53686881</v>
      </c>
    </row>
    <row r="1019" spans="1:4">
      <c r="A1019" s="348">
        <f t="shared" si="32"/>
        <v>1018</v>
      </c>
      <c r="B1019" s="360">
        <f>DATE('Profit Calculation'!J$6,A$2,A$2+A1019-1)</f>
        <v>43022</v>
      </c>
      <c r="D1019" s="362">
        <f t="shared" ca="1" si="31"/>
        <v>124605170.89836134</v>
      </c>
    </row>
    <row r="1020" spans="1:4">
      <c r="A1020" s="348">
        <f t="shared" si="32"/>
        <v>1019</v>
      </c>
      <c r="B1020" s="360">
        <f>DATE('Profit Calculation'!J$6,A$2,A$2+A1020-1)</f>
        <v>43023</v>
      </c>
      <c r="D1020" s="362">
        <f t="shared" ca="1" si="31"/>
        <v>124652892.52941845</v>
      </c>
    </row>
    <row r="1021" spans="1:4">
      <c r="A1021" s="348">
        <f t="shared" si="32"/>
        <v>1020</v>
      </c>
      <c r="B1021" s="360">
        <f>DATE('Profit Calculation'!J$6,A$2,A$2+A1021-1)</f>
        <v>43024</v>
      </c>
      <c r="D1021" s="362">
        <f t="shared" ca="1" si="31"/>
        <v>124700632.43703708</v>
      </c>
    </row>
    <row r="1022" spans="1:4">
      <c r="A1022" s="348">
        <f t="shared" si="32"/>
        <v>1021</v>
      </c>
      <c r="B1022" s="360">
        <f>DATE('Profit Calculation'!J$6,A$2,A$2+A1022-1)</f>
        <v>43025</v>
      </c>
      <c r="D1022" s="362">
        <f t="shared" ca="1" si="31"/>
        <v>124748390.62821683</v>
      </c>
    </row>
    <row r="1023" spans="1:4">
      <c r="A1023" s="348">
        <f t="shared" si="32"/>
        <v>1022</v>
      </c>
      <c r="B1023" s="360">
        <f>DATE('Profit Calculation'!J$6,A$2,A$2+A1023-1)</f>
        <v>43026</v>
      </c>
      <c r="D1023" s="362">
        <f t="shared" ca="1" si="31"/>
        <v>124796167.10995999</v>
      </c>
    </row>
    <row r="1024" spans="1:4">
      <c r="A1024" s="348">
        <f t="shared" si="32"/>
        <v>1023</v>
      </c>
      <c r="B1024" s="360">
        <f>DATE('Profit Calculation'!J$6,A$2,A$2+A1024-1)</f>
        <v>43027</v>
      </c>
      <c r="D1024" s="362">
        <f t="shared" ca="1" si="31"/>
        <v>124843961.88927153</v>
      </c>
    </row>
    <row r="1025" spans="1:4">
      <c r="A1025" s="348">
        <f t="shared" si="32"/>
        <v>1024</v>
      </c>
      <c r="B1025" s="360">
        <f>DATE('Profit Calculation'!J$6,A$2,A$2+A1025-1)</f>
        <v>43028</v>
      </c>
      <c r="D1025" s="362">
        <f t="shared" ca="1" si="31"/>
        <v>124891774.97315909</v>
      </c>
    </row>
    <row r="1026" spans="1:4">
      <c r="A1026" s="348">
        <f t="shared" si="32"/>
        <v>1025</v>
      </c>
      <c r="B1026" s="360">
        <f>DATE('Profit Calculation'!J$6,A$2,A$2+A1026-1)</f>
        <v>43029</v>
      </c>
      <c r="D1026" s="362">
        <f t="shared" ca="1" si="31"/>
        <v>124939606.36863303</v>
      </c>
    </row>
    <row r="1027" spans="1:4">
      <c r="A1027" s="348">
        <f t="shared" si="32"/>
        <v>1026</v>
      </c>
      <c r="B1027" s="360">
        <f>DATE('Profit Calculation'!J$6,A$2,A$2+A1027-1)</f>
        <v>43030</v>
      </c>
      <c r="D1027" s="362">
        <f t="shared" ca="1" si="31"/>
        <v>124987456.08270636</v>
      </c>
    </row>
    <row r="1028" spans="1:4">
      <c r="A1028" s="348">
        <f t="shared" si="32"/>
        <v>1027</v>
      </c>
      <c r="B1028" s="360">
        <f>DATE('Profit Calculation'!J$6,A$2,A$2+A1028-1)</f>
        <v>43031</v>
      </c>
      <c r="D1028" s="362">
        <f t="shared" ref="D1028:D1091" ca="1" si="33">IF(OR(LOOKUP(B1028,W$1:W$35,W$1:W$35) = B1028, LOOKUP(B1028,X$1:X$35,X$1:X$35) = B1028),LOOKUP(B1028,F:F,G:G),D1027*(1+((IF($Q$18&lt;6,$R$14,IF($Q$18&lt;11,$R$15,$R$16)))))^(1/365))</f>
        <v>125035324.12239479</v>
      </c>
    </row>
    <row r="1029" spans="1:4">
      <c r="A1029" s="348">
        <f t="shared" ref="A1029:A1092" si="34">A1028+1</f>
        <v>1028</v>
      </c>
      <c r="B1029" s="360">
        <f>DATE('Profit Calculation'!J$6,A$2,A$2+A1029-1)</f>
        <v>43032</v>
      </c>
      <c r="D1029" s="362">
        <f t="shared" ca="1" si="33"/>
        <v>125083210.4947167</v>
      </c>
    </row>
    <row r="1030" spans="1:4">
      <c r="A1030" s="348">
        <f t="shared" si="34"/>
        <v>1029</v>
      </c>
      <c r="B1030" s="360">
        <f>DATE('Profit Calculation'!J$6,A$2,A$2+A1030-1)</f>
        <v>43033</v>
      </c>
      <c r="D1030" s="362">
        <f t="shared" ca="1" si="33"/>
        <v>125131115.2066932</v>
      </c>
    </row>
    <row r="1031" spans="1:4">
      <c r="A1031" s="348">
        <f t="shared" si="34"/>
        <v>1030</v>
      </c>
      <c r="B1031" s="360">
        <f>DATE('Profit Calculation'!J$6,A$2,A$2+A1031-1)</f>
        <v>43034</v>
      </c>
      <c r="D1031" s="362">
        <f t="shared" ca="1" si="33"/>
        <v>125179038.26534805</v>
      </c>
    </row>
    <row r="1032" spans="1:4">
      <c r="A1032" s="348">
        <f t="shared" si="34"/>
        <v>1031</v>
      </c>
      <c r="B1032" s="360">
        <f>DATE('Profit Calculation'!J$6,A$2,A$2+A1032-1)</f>
        <v>43035</v>
      </c>
      <c r="D1032" s="362">
        <f t="shared" ca="1" si="33"/>
        <v>125226979.6777077</v>
      </c>
    </row>
    <row r="1033" spans="1:4">
      <c r="A1033" s="348">
        <f t="shared" si="34"/>
        <v>1032</v>
      </c>
      <c r="B1033" s="360">
        <f>DATE('Profit Calculation'!J$6,A$2,A$2+A1033-1)</f>
        <v>43036</v>
      </c>
      <c r="D1033" s="362">
        <f t="shared" ca="1" si="33"/>
        <v>125274939.45080131</v>
      </c>
    </row>
    <row r="1034" spans="1:4">
      <c r="A1034" s="348">
        <f t="shared" si="34"/>
        <v>1033</v>
      </c>
      <c r="B1034" s="360">
        <f>DATE('Profit Calculation'!J$6,A$2,A$2+A1034-1)</f>
        <v>43037</v>
      </c>
      <c r="D1034" s="362">
        <f t="shared" ca="1" si="33"/>
        <v>125322917.59166074</v>
      </c>
    </row>
    <row r="1035" spans="1:4">
      <c r="A1035" s="348">
        <f t="shared" si="34"/>
        <v>1034</v>
      </c>
      <c r="B1035" s="360">
        <f>DATE('Profit Calculation'!J$6,A$2,A$2+A1035-1)</f>
        <v>43038</v>
      </c>
      <c r="D1035" s="362">
        <f t="shared" ca="1" si="33"/>
        <v>125370914.1073205</v>
      </c>
    </row>
    <row r="1036" spans="1:4">
      <c r="A1036" s="348">
        <f t="shared" si="34"/>
        <v>1035</v>
      </c>
      <c r="B1036" s="360">
        <f>DATE('Profit Calculation'!J$6,A$2,A$2+A1036-1)</f>
        <v>43039</v>
      </c>
      <c r="D1036" s="362">
        <f t="shared" ca="1" si="33"/>
        <v>125418929.00481784</v>
      </c>
    </row>
    <row r="1037" spans="1:4">
      <c r="A1037" s="348">
        <f t="shared" si="34"/>
        <v>1036</v>
      </c>
      <c r="B1037" s="360">
        <f>DATE('Profit Calculation'!J$6,A$2,A$2+A1037-1)</f>
        <v>43040</v>
      </c>
      <c r="D1037" s="362">
        <f t="shared" ca="1" si="33"/>
        <v>125466962.29119268</v>
      </c>
    </row>
    <row r="1038" spans="1:4">
      <c r="A1038" s="348">
        <f t="shared" si="34"/>
        <v>1037</v>
      </c>
      <c r="B1038" s="360">
        <f>DATE('Profit Calculation'!J$6,A$2,A$2+A1038-1)</f>
        <v>43041</v>
      </c>
      <c r="D1038" s="362">
        <f t="shared" ca="1" si="33"/>
        <v>125515013.97348765</v>
      </c>
    </row>
    <row r="1039" spans="1:4">
      <c r="A1039" s="348">
        <f t="shared" si="34"/>
        <v>1038</v>
      </c>
      <c r="B1039" s="360">
        <f>DATE('Profit Calculation'!J$6,A$2,A$2+A1039-1)</f>
        <v>43042</v>
      </c>
      <c r="D1039" s="362">
        <f t="shared" ca="1" si="33"/>
        <v>125563084.05874805</v>
      </c>
    </row>
    <row r="1040" spans="1:4">
      <c r="A1040" s="348">
        <f t="shared" si="34"/>
        <v>1039</v>
      </c>
      <c r="B1040" s="360">
        <f>DATE('Profit Calculation'!J$6,A$2,A$2+A1040-1)</f>
        <v>43043</v>
      </c>
      <c r="D1040" s="362">
        <f t="shared" ca="1" si="33"/>
        <v>125611172.55402191</v>
      </c>
    </row>
    <row r="1041" spans="1:4">
      <c r="A1041" s="348">
        <f t="shared" si="34"/>
        <v>1040</v>
      </c>
      <c r="B1041" s="360">
        <f>DATE('Profit Calculation'!J$6,A$2,A$2+A1041-1)</f>
        <v>43044</v>
      </c>
      <c r="D1041" s="362">
        <f t="shared" ca="1" si="33"/>
        <v>125659279.46635996</v>
      </c>
    </row>
    <row r="1042" spans="1:4">
      <c r="A1042" s="348">
        <f t="shared" si="34"/>
        <v>1041</v>
      </c>
      <c r="B1042" s="360">
        <f>DATE('Profit Calculation'!J$6,A$2,A$2+A1042-1)</f>
        <v>43045</v>
      </c>
      <c r="D1042" s="362">
        <f t="shared" ca="1" si="33"/>
        <v>125707404.8028156</v>
      </c>
    </row>
    <row r="1043" spans="1:4">
      <c r="A1043" s="348">
        <f t="shared" si="34"/>
        <v>1042</v>
      </c>
      <c r="B1043" s="360">
        <f>DATE('Profit Calculation'!J$6,A$2,A$2+A1043-1)</f>
        <v>43046</v>
      </c>
      <c r="D1043" s="362">
        <f t="shared" ca="1" si="33"/>
        <v>125755548.57044496</v>
      </c>
    </row>
    <row r="1044" spans="1:4">
      <c r="A1044" s="348">
        <f t="shared" si="34"/>
        <v>1043</v>
      </c>
      <c r="B1044" s="360">
        <f>DATE('Profit Calculation'!J$6,A$2,A$2+A1044-1)</f>
        <v>43047</v>
      </c>
      <c r="D1044" s="362">
        <f t="shared" ca="1" si="33"/>
        <v>125803710.77630685</v>
      </c>
    </row>
    <row r="1045" spans="1:4">
      <c r="A1045" s="348">
        <f t="shared" si="34"/>
        <v>1044</v>
      </c>
      <c r="B1045" s="360">
        <f>DATE('Profit Calculation'!J$6,A$2,A$2+A1045-1)</f>
        <v>43048</v>
      </c>
      <c r="D1045" s="362">
        <f t="shared" ca="1" si="33"/>
        <v>125851891.42746282</v>
      </c>
    </row>
    <row r="1046" spans="1:4">
      <c r="A1046" s="348">
        <f t="shared" si="34"/>
        <v>1045</v>
      </c>
      <c r="B1046" s="360">
        <f>DATE('Profit Calculation'!J$6,A$2,A$2+A1046-1)</f>
        <v>43049</v>
      </c>
      <c r="D1046" s="362">
        <f t="shared" ca="1" si="33"/>
        <v>125900090.53097707</v>
      </c>
    </row>
    <row r="1047" spans="1:4">
      <c r="A1047" s="348">
        <f t="shared" si="34"/>
        <v>1046</v>
      </c>
      <c r="B1047" s="360">
        <f>DATE('Profit Calculation'!J$6,A$2,A$2+A1047-1)</f>
        <v>43050</v>
      </c>
      <c r="D1047" s="362">
        <f t="shared" ca="1" si="33"/>
        <v>125948308.09391655</v>
      </c>
    </row>
    <row r="1048" spans="1:4">
      <c r="A1048" s="348">
        <f t="shared" si="34"/>
        <v>1047</v>
      </c>
      <c r="B1048" s="360">
        <f>DATE('Profit Calculation'!J$6,A$2,A$2+A1048-1)</f>
        <v>43051</v>
      </c>
      <c r="D1048" s="362">
        <f t="shared" ca="1" si="33"/>
        <v>125996544.1233509</v>
      </c>
    </row>
    <row r="1049" spans="1:4">
      <c r="A1049" s="348">
        <f t="shared" si="34"/>
        <v>1048</v>
      </c>
      <c r="B1049" s="360">
        <f>DATE('Profit Calculation'!J$6,A$2,A$2+A1049-1)</f>
        <v>43052</v>
      </c>
      <c r="D1049" s="362">
        <f t="shared" ca="1" si="33"/>
        <v>126044798.62635247</v>
      </c>
    </row>
    <row r="1050" spans="1:4">
      <c r="A1050" s="348">
        <f t="shared" si="34"/>
        <v>1049</v>
      </c>
      <c r="B1050" s="360">
        <f>DATE('Profit Calculation'!J$6,A$2,A$2+A1050-1)</f>
        <v>43053</v>
      </c>
      <c r="D1050" s="362">
        <f t="shared" ca="1" si="33"/>
        <v>126093071.60999632</v>
      </c>
    </row>
    <row r="1051" spans="1:4">
      <c r="A1051" s="348">
        <f t="shared" si="34"/>
        <v>1050</v>
      </c>
      <c r="B1051" s="360">
        <f>DATE('Profit Calculation'!J$6,A$2,A$2+A1051-1)</f>
        <v>43054</v>
      </c>
      <c r="D1051" s="362">
        <f t="shared" ca="1" si="33"/>
        <v>126141363.08136021</v>
      </c>
    </row>
    <row r="1052" spans="1:4">
      <c r="A1052" s="348">
        <f t="shared" si="34"/>
        <v>1051</v>
      </c>
      <c r="B1052" s="360">
        <f>DATE('Profit Calculation'!J$6,A$2,A$2+A1052-1)</f>
        <v>43055</v>
      </c>
      <c r="D1052" s="362">
        <f t="shared" ca="1" si="33"/>
        <v>126189673.04752462</v>
      </c>
    </row>
    <row r="1053" spans="1:4">
      <c r="A1053" s="348">
        <f t="shared" si="34"/>
        <v>1052</v>
      </c>
      <c r="B1053" s="360">
        <f>DATE('Profit Calculation'!J$6,A$2,A$2+A1053-1)</f>
        <v>43056</v>
      </c>
      <c r="D1053" s="362">
        <f t="shared" ca="1" si="33"/>
        <v>126238001.51557274</v>
      </c>
    </row>
    <row r="1054" spans="1:4">
      <c r="A1054" s="348">
        <f t="shared" si="34"/>
        <v>1053</v>
      </c>
      <c r="B1054" s="360">
        <f>DATE('Profit Calculation'!J$6,A$2,A$2+A1054-1)</f>
        <v>43057</v>
      </c>
      <c r="D1054" s="362">
        <f t="shared" ca="1" si="33"/>
        <v>126286348.49259047</v>
      </c>
    </row>
    <row r="1055" spans="1:4">
      <c r="A1055" s="348">
        <f t="shared" si="34"/>
        <v>1054</v>
      </c>
      <c r="B1055" s="360">
        <f>DATE('Profit Calculation'!J$6,A$2,A$2+A1055-1)</f>
        <v>43058</v>
      </c>
      <c r="D1055" s="362">
        <f t="shared" ca="1" si="33"/>
        <v>126334713.98566644</v>
      </c>
    </row>
    <row r="1056" spans="1:4">
      <c r="A1056" s="348">
        <f t="shared" si="34"/>
        <v>1055</v>
      </c>
      <c r="B1056" s="360">
        <f>DATE('Profit Calculation'!J$6,A$2,A$2+A1056-1)</f>
        <v>43059</v>
      </c>
      <c r="D1056" s="362">
        <f t="shared" ca="1" si="33"/>
        <v>126383098.00189196</v>
      </c>
    </row>
    <row r="1057" spans="1:4">
      <c r="A1057" s="348">
        <f t="shared" si="34"/>
        <v>1056</v>
      </c>
      <c r="B1057" s="360">
        <f>DATE('Profit Calculation'!J$6,A$2,A$2+A1057-1)</f>
        <v>43060</v>
      </c>
      <c r="D1057" s="362">
        <f t="shared" ca="1" si="33"/>
        <v>126431500.54836108</v>
      </c>
    </row>
    <row r="1058" spans="1:4">
      <c r="A1058" s="348">
        <f t="shared" si="34"/>
        <v>1057</v>
      </c>
      <c r="B1058" s="360">
        <f>DATE('Profit Calculation'!J$6,A$2,A$2+A1058-1)</f>
        <v>43061</v>
      </c>
      <c r="D1058" s="362">
        <f t="shared" ca="1" si="33"/>
        <v>126479921.63217057</v>
      </c>
    </row>
    <row r="1059" spans="1:4">
      <c r="A1059" s="348">
        <f t="shared" si="34"/>
        <v>1058</v>
      </c>
      <c r="B1059" s="360">
        <f>DATE('Profit Calculation'!J$6,A$2,A$2+A1059-1)</f>
        <v>43062</v>
      </c>
      <c r="D1059" s="362">
        <f t="shared" ca="1" si="33"/>
        <v>126528361.26041992</v>
      </c>
    </row>
    <row r="1060" spans="1:4">
      <c r="A1060" s="348">
        <f t="shared" si="34"/>
        <v>1059</v>
      </c>
      <c r="B1060" s="360">
        <f>DATE('Profit Calculation'!J$6,A$2,A$2+A1060-1)</f>
        <v>43063</v>
      </c>
      <c r="D1060" s="362">
        <f t="shared" ca="1" si="33"/>
        <v>126576819.44021133</v>
      </c>
    </row>
    <row r="1061" spans="1:4">
      <c r="A1061" s="348">
        <f t="shared" si="34"/>
        <v>1060</v>
      </c>
      <c r="B1061" s="360">
        <f>DATE('Profit Calculation'!J$6,A$2,A$2+A1061-1)</f>
        <v>43064</v>
      </c>
      <c r="D1061" s="362">
        <f t="shared" ca="1" si="33"/>
        <v>126625296.17864969</v>
      </c>
    </row>
    <row r="1062" spans="1:4">
      <c r="A1062" s="348">
        <f t="shared" si="34"/>
        <v>1061</v>
      </c>
      <c r="B1062" s="360">
        <f>DATE('Profit Calculation'!J$6,A$2,A$2+A1062-1)</f>
        <v>43065</v>
      </c>
      <c r="D1062" s="362">
        <f t="shared" ca="1" si="33"/>
        <v>126673791.48284268</v>
      </c>
    </row>
    <row r="1063" spans="1:4">
      <c r="A1063" s="348">
        <f t="shared" si="34"/>
        <v>1062</v>
      </c>
      <c r="B1063" s="360">
        <f>DATE('Profit Calculation'!J$6,A$2,A$2+A1063-1)</f>
        <v>43066</v>
      </c>
      <c r="D1063" s="362">
        <f t="shared" ca="1" si="33"/>
        <v>126722305.35990065</v>
      </c>
    </row>
    <row r="1064" spans="1:4">
      <c r="A1064" s="348">
        <f t="shared" si="34"/>
        <v>1063</v>
      </c>
      <c r="B1064" s="360">
        <f>DATE('Profit Calculation'!J$6,A$2,A$2+A1064-1)</f>
        <v>43067</v>
      </c>
      <c r="D1064" s="362">
        <f t="shared" ca="1" si="33"/>
        <v>126770837.81693669</v>
      </c>
    </row>
    <row r="1065" spans="1:4">
      <c r="A1065" s="348">
        <f t="shared" si="34"/>
        <v>1064</v>
      </c>
      <c r="B1065" s="360">
        <f>DATE('Profit Calculation'!J$6,A$2,A$2+A1065-1)</f>
        <v>43068</v>
      </c>
      <c r="D1065" s="362">
        <f t="shared" ca="1" si="33"/>
        <v>126819388.86106659</v>
      </c>
    </row>
    <row r="1066" spans="1:4">
      <c r="A1066" s="348">
        <f t="shared" si="34"/>
        <v>1065</v>
      </c>
      <c r="B1066" s="360">
        <f>DATE('Profit Calculation'!J$6,A$2,A$2+A1066-1)</f>
        <v>43069</v>
      </c>
      <c r="D1066" s="362">
        <f t="shared" ca="1" si="33"/>
        <v>126867958.49940892</v>
      </c>
    </row>
    <row r="1067" spans="1:4">
      <c r="A1067" s="348">
        <f t="shared" si="34"/>
        <v>1066</v>
      </c>
      <c r="B1067" s="360">
        <f>DATE('Profit Calculation'!J$6,A$2,A$2+A1067-1)</f>
        <v>43070</v>
      </c>
      <c r="D1067" s="362">
        <f t="shared" ca="1" si="33"/>
        <v>126916546.73908491</v>
      </c>
    </row>
    <row r="1068" spans="1:4">
      <c r="A1068" s="348">
        <f t="shared" si="34"/>
        <v>1067</v>
      </c>
      <c r="B1068" s="360">
        <f>DATE('Profit Calculation'!J$6,A$2,A$2+A1068-1)</f>
        <v>43071</v>
      </c>
      <c r="D1068" s="362">
        <f t="shared" ca="1" si="33"/>
        <v>126965153.58721858</v>
      </c>
    </row>
    <row r="1069" spans="1:4">
      <c r="A1069" s="348">
        <f t="shared" si="34"/>
        <v>1068</v>
      </c>
      <c r="B1069" s="360">
        <f>DATE('Profit Calculation'!J$6,A$2,A$2+A1069-1)</f>
        <v>43072</v>
      </c>
      <c r="D1069" s="362">
        <f t="shared" ca="1" si="33"/>
        <v>127013779.05093662</v>
      </c>
    </row>
    <row r="1070" spans="1:4">
      <c r="A1070" s="348">
        <f t="shared" si="34"/>
        <v>1069</v>
      </c>
      <c r="B1070" s="360">
        <f>DATE('Profit Calculation'!J$6,A$2,A$2+A1070-1)</f>
        <v>43073</v>
      </c>
      <c r="D1070" s="362">
        <f t="shared" ca="1" si="33"/>
        <v>127062423.1373685</v>
      </c>
    </row>
    <row r="1071" spans="1:4">
      <c r="A1071" s="348">
        <f t="shared" si="34"/>
        <v>1070</v>
      </c>
      <c r="B1071" s="360">
        <f>DATE('Profit Calculation'!J$6,A$2,A$2+A1071-1)</f>
        <v>43074</v>
      </c>
      <c r="D1071" s="362">
        <f t="shared" ca="1" si="33"/>
        <v>127111085.85364638</v>
      </c>
    </row>
    <row r="1072" spans="1:4">
      <c r="A1072" s="348">
        <f t="shared" si="34"/>
        <v>1071</v>
      </c>
      <c r="B1072" s="360">
        <f>DATE('Profit Calculation'!J$6,A$2,A$2+A1072-1)</f>
        <v>43075</v>
      </c>
      <c r="D1072" s="362">
        <f t="shared" ca="1" si="33"/>
        <v>127159767.20690519</v>
      </c>
    </row>
    <row r="1073" spans="1:4">
      <c r="A1073" s="348">
        <f t="shared" si="34"/>
        <v>1072</v>
      </c>
      <c r="B1073" s="360">
        <f>DATE('Profit Calculation'!J$6,A$2,A$2+A1073-1)</f>
        <v>43076</v>
      </c>
      <c r="D1073" s="362">
        <f t="shared" ca="1" si="33"/>
        <v>127208467.20428255</v>
      </c>
    </row>
    <row r="1074" spans="1:4">
      <c r="A1074" s="348">
        <f t="shared" si="34"/>
        <v>1073</v>
      </c>
      <c r="B1074" s="360">
        <f>DATE('Profit Calculation'!J$6,A$2,A$2+A1074-1)</f>
        <v>43077</v>
      </c>
      <c r="D1074" s="362">
        <f t="shared" ca="1" si="33"/>
        <v>127257185.85291885</v>
      </c>
    </row>
    <row r="1075" spans="1:4">
      <c r="A1075" s="348">
        <f t="shared" si="34"/>
        <v>1074</v>
      </c>
      <c r="B1075" s="360">
        <f>DATE('Profit Calculation'!J$6,A$2,A$2+A1075-1)</f>
        <v>43078</v>
      </c>
      <c r="D1075" s="362">
        <f t="shared" ca="1" si="33"/>
        <v>127305923.1599572</v>
      </c>
    </row>
    <row r="1076" spans="1:4">
      <c r="A1076" s="348">
        <f t="shared" si="34"/>
        <v>1075</v>
      </c>
      <c r="B1076" s="360">
        <f>DATE('Profit Calculation'!J$6,A$2,A$2+A1076-1)</f>
        <v>43079</v>
      </c>
      <c r="D1076" s="362">
        <f t="shared" ca="1" si="33"/>
        <v>127354679.13254344</v>
      </c>
    </row>
    <row r="1077" spans="1:4">
      <c r="A1077" s="348">
        <f t="shared" si="34"/>
        <v>1076</v>
      </c>
      <c r="B1077" s="360">
        <f>DATE('Profit Calculation'!J$6,A$2,A$2+A1077-1)</f>
        <v>43080</v>
      </c>
      <c r="D1077" s="362">
        <f t="shared" ca="1" si="33"/>
        <v>127403453.77782616</v>
      </c>
    </row>
    <row r="1078" spans="1:4">
      <c r="A1078" s="348">
        <f t="shared" si="34"/>
        <v>1077</v>
      </c>
      <c r="B1078" s="360">
        <f>DATE('Profit Calculation'!J$6,A$2,A$2+A1078-1)</f>
        <v>43081</v>
      </c>
      <c r="D1078" s="362">
        <f t="shared" ca="1" si="33"/>
        <v>127452247.10295668</v>
      </c>
    </row>
    <row r="1079" spans="1:4">
      <c r="A1079" s="348">
        <f t="shared" si="34"/>
        <v>1078</v>
      </c>
      <c r="B1079" s="360">
        <f>DATE('Profit Calculation'!J$6,A$2,A$2+A1079-1)</f>
        <v>43082</v>
      </c>
      <c r="D1079" s="362">
        <f t="shared" ca="1" si="33"/>
        <v>127501059.11508906</v>
      </c>
    </row>
    <row r="1080" spans="1:4">
      <c r="A1080" s="348">
        <f t="shared" si="34"/>
        <v>1079</v>
      </c>
      <c r="B1080" s="360">
        <f>DATE('Profit Calculation'!J$6,A$2,A$2+A1080-1)</f>
        <v>43083</v>
      </c>
      <c r="D1080" s="362">
        <f t="shared" ca="1" si="33"/>
        <v>127549889.82138009</v>
      </c>
    </row>
    <row r="1081" spans="1:4">
      <c r="A1081" s="348">
        <f t="shared" si="34"/>
        <v>1080</v>
      </c>
      <c r="B1081" s="360">
        <f>DATE('Profit Calculation'!J$6,A$2,A$2+A1081-1)</f>
        <v>43084</v>
      </c>
      <c r="D1081" s="362">
        <f t="shared" ca="1" si="33"/>
        <v>127598739.22898932</v>
      </c>
    </row>
    <row r="1082" spans="1:4">
      <c r="A1082" s="348">
        <f t="shared" si="34"/>
        <v>1081</v>
      </c>
      <c r="B1082" s="360">
        <f>DATE('Profit Calculation'!J$6,A$2,A$2+A1082-1)</f>
        <v>43085</v>
      </c>
      <c r="D1082" s="362">
        <f t="shared" ca="1" si="33"/>
        <v>127647607.34507902</v>
      </c>
    </row>
    <row r="1083" spans="1:4">
      <c r="A1083" s="348">
        <f t="shared" si="34"/>
        <v>1082</v>
      </c>
      <c r="B1083" s="360">
        <f>DATE('Profit Calculation'!J$6,A$2,A$2+A1083-1)</f>
        <v>43086</v>
      </c>
      <c r="D1083" s="362">
        <f t="shared" ca="1" si="33"/>
        <v>127696494.17681423</v>
      </c>
    </row>
    <row r="1084" spans="1:4">
      <c r="A1084" s="348">
        <f t="shared" si="34"/>
        <v>1083</v>
      </c>
      <c r="B1084" s="360">
        <f>DATE('Profit Calculation'!J$6,A$2,A$2+A1084-1)</f>
        <v>43087</v>
      </c>
      <c r="D1084" s="362">
        <f t="shared" ca="1" si="33"/>
        <v>127745399.73136272</v>
      </c>
    </row>
    <row r="1085" spans="1:4">
      <c r="A1085" s="348">
        <f t="shared" si="34"/>
        <v>1084</v>
      </c>
      <c r="B1085" s="360">
        <f>DATE('Profit Calculation'!J$6,A$2,A$2+A1085-1)</f>
        <v>43088</v>
      </c>
      <c r="D1085" s="362">
        <f t="shared" ca="1" si="33"/>
        <v>127794324.01589498</v>
      </c>
    </row>
    <row r="1086" spans="1:4">
      <c r="A1086" s="348">
        <f t="shared" si="34"/>
        <v>1085</v>
      </c>
      <c r="B1086" s="360">
        <f>DATE('Profit Calculation'!J$6,A$2,A$2+A1086-1)</f>
        <v>43089</v>
      </c>
      <c r="D1086" s="362">
        <f t="shared" ca="1" si="33"/>
        <v>127843267.0375843</v>
      </c>
    </row>
    <row r="1087" spans="1:4">
      <c r="A1087" s="348">
        <f t="shared" si="34"/>
        <v>1086</v>
      </c>
      <c r="B1087" s="360">
        <f>DATE('Profit Calculation'!J$6,A$2,A$2+A1087-1)</f>
        <v>43090</v>
      </c>
      <c r="D1087" s="362">
        <f t="shared" ca="1" si="33"/>
        <v>127892228.80360667</v>
      </c>
    </row>
    <row r="1088" spans="1:4">
      <c r="A1088" s="348">
        <f t="shared" si="34"/>
        <v>1087</v>
      </c>
      <c r="B1088" s="360">
        <f>DATE('Profit Calculation'!J$6,A$2,A$2+A1088-1)</f>
        <v>43091</v>
      </c>
      <c r="D1088" s="362">
        <f t="shared" ca="1" si="33"/>
        <v>127941209.32114086</v>
      </c>
    </row>
    <row r="1089" spans="1:4">
      <c r="A1089" s="348">
        <f t="shared" si="34"/>
        <v>1088</v>
      </c>
      <c r="B1089" s="360">
        <f>DATE('Profit Calculation'!J$6,A$2,A$2+A1089-1)</f>
        <v>43092</v>
      </c>
      <c r="D1089" s="362">
        <f t="shared" ca="1" si="33"/>
        <v>127990208.59736836</v>
      </c>
    </row>
    <row r="1090" spans="1:4">
      <c r="A1090" s="348">
        <f t="shared" si="34"/>
        <v>1089</v>
      </c>
      <c r="B1090" s="360">
        <f>DATE('Profit Calculation'!J$6,A$2,A$2+A1090-1)</f>
        <v>43093</v>
      </c>
      <c r="D1090" s="362">
        <f t="shared" ca="1" si="33"/>
        <v>128039226.63947344</v>
      </c>
    </row>
    <row r="1091" spans="1:4">
      <c r="A1091" s="348">
        <f t="shared" si="34"/>
        <v>1090</v>
      </c>
      <c r="B1091" s="360">
        <f>DATE('Profit Calculation'!J$6,A$2,A$2+A1091-1)</f>
        <v>43094</v>
      </c>
      <c r="D1091" s="362">
        <f t="shared" ca="1" si="33"/>
        <v>128088263.4546431</v>
      </c>
    </row>
    <row r="1092" spans="1:4">
      <c r="A1092" s="348">
        <f t="shared" si="34"/>
        <v>1091</v>
      </c>
      <c r="B1092" s="360">
        <f>DATE('Profit Calculation'!J$6,A$2,A$2+A1092-1)</f>
        <v>43095</v>
      </c>
      <c r="D1092" s="362">
        <f t="shared" ref="D1092:D1155" ca="1" si="35">IF(OR(LOOKUP(B1092,W$1:W$35,W$1:W$35) = B1092, LOOKUP(B1092,X$1:X$35,X$1:X$35) = B1092),LOOKUP(B1092,F:F,G:G),D1091*(1+((IF($Q$18&lt;6,$R$14,IF($Q$18&lt;11,$R$15,$R$16)))))^(1/365))</f>
        <v>128137319.05006711</v>
      </c>
    </row>
    <row r="1093" spans="1:4">
      <c r="A1093" s="348">
        <f t="shared" ref="A1093:A1156" si="36">A1092+1</f>
        <v>1092</v>
      </c>
      <c r="B1093" s="360">
        <f>DATE('Profit Calculation'!J$6,A$2,A$2+A1093-1)</f>
        <v>43096</v>
      </c>
      <c r="D1093" s="362">
        <f t="shared" ca="1" si="35"/>
        <v>128186393.43293796</v>
      </c>
    </row>
    <row r="1094" spans="1:4">
      <c r="A1094" s="348">
        <f t="shared" si="36"/>
        <v>1093</v>
      </c>
      <c r="B1094" s="360">
        <f>DATE('Profit Calculation'!J$6,A$2,A$2+A1094-1)</f>
        <v>43097</v>
      </c>
      <c r="D1094" s="362">
        <f t="shared" ca="1" si="35"/>
        <v>128235486.61045095</v>
      </c>
    </row>
    <row r="1095" spans="1:4">
      <c r="A1095" s="348">
        <f t="shared" si="36"/>
        <v>1094</v>
      </c>
      <c r="B1095" s="360">
        <f>DATE('Profit Calculation'!J$6,A$2,A$2+A1095-1)</f>
        <v>43098</v>
      </c>
      <c r="D1095" s="362">
        <f t="shared" ca="1" si="35"/>
        <v>128284598.58980408</v>
      </c>
    </row>
    <row r="1096" spans="1:4">
      <c r="A1096" s="348">
        <f t="shared" si="36"/>
        <v>1095</v>
      </c>
      <c r="B1096" s="360">
        <f>DATE('Profit Calculation'!J$6,A$2,A$2+A1096-1)</f>
        <v>43099</v>
      </c>
      <c r="D1096" s="362">
        <f t="shared" ca="1" si="35"/>
        <v>128333729.37819815</v>
      </c>
    </row>
    <row r="1097" spans="1:4">
      <c r="A1097" s="348">
        <f t="shared" si="36"/>
        <v>1096</v>
      </c>
      <c r="B1097" s="360">
        <f>DATE('Profit Calculation'!J$6,A$2,A$2+A1097-1)</f>
        <v>43100</v>
      </c>
      <c r="D1097" s="362">
        <f t="shared" ca="1" si="35"/>
        <v>128382878.98283666</v>
      </c>
    </row>
    <row r="1098" spans="1:4">
      <c r="A1098" s="348">
        <f t="shared" si="36"/>
        <v>1097</v>
      </c>
      <c r="B1098" s="360">
        <f>DATE('Profit Calculation'!J$6,A$2,A$2+A1098-1)</f>
        <v>43101</v>
      </c>
      <c r="C1098" s="354"/>
      <c r="D1098" s="355">
        <f t="shared" ca="1" si="35"/>
        <v>128370590</v>
      </c>
    </row>
    <row r="1099" spans="1:4">
      <c r="A1099" s="348">
        <f t="shared" si="36"/>
        <v>1098</v>
      </c>
      <c r="B1099" s="360">
        <f>DATE('Profit Calculation'!J$6,A$2,A$2+A1099-1)</f>
        <v>43102</v>
      </c>
      <c r="D1099" s="362">
        <f t="shared" ca="1" si="35"/>
        <v>128419753.72162084</v>
      </c>
    </row>
    <row r="1100" spans="1:4">
      <c r="A1100" s="348">
        <f t="shared" si="36"/>
        <v>1099</v>
      </c>
      <c r="B1100" s="360">
        <f>DATE('Profit Calculation'!J$6,A$2,A$2+A1100-1)</f>
        <v>43103</v>
      </c>
      <c r="D1100" s="362">
        <f t="shared" ca="1" si="35"/>
        <v>128468936.272099</v>
      </c>
    </row>
    <row r="1101" spans="1:4">
      <c r="A1101" s="348">
        <f t="shared" si="36"/>
        <v>1100</v>
      </c>
      <c r="B1101" s="360">
        <f>DATE('Profit Calculation'!J$6,A$2,A$2+A1101-1)</f>
        <v>43104</v>
      </c>
      <c r="D1101" s="362">
        <f t="shared" ca="1" si="35"/>
        <v>128518137.65864561</v>
      </c>
    </row>
    <row r="1102" spans="1:4">
      <c r="A1102" s="348">
        <f t="shared" si="36"/>
        <v>1101</v>
      </c>
      <c r="B1102" s="360">
        <f>DATE('Profit Calculation'!J$6,A$2,A$2+A1102-1)</f>
        <v>43105</v>
      </c>
      <c r="D1102" s="362">
        <f t="shared" ca="1" si="35"/>
        <v>128567357.88847457</v>
      </c>
    </row>
    <row r="1103" spans="1:4">
      <c r="A1103" s="348">
        <f t="shared" si="36"/>
        <v>1102</v>
      </c>
      <c r="B1103" s="360">
        <f>DATE('Profit Calculation'!J$6,A$2,A$2+A1103-1)</f>
        <v>43106</v>
      </c>
      <c r="D1103" s="362">
        <f t="shared" ca="1" si="35"/>
        <v>128616596.96880251</v>
      </c>
    </row>
    <row r="1104" spans="1:4">
      <c r="A1104" s="348">
        <f t="shared" si="36"/>
        <v>1103</v>
      </c>
      <c r="B1104" s="360">
        <f>DATE('Profit Calculation'!J$6,A$2,A$2+A1104-1)</f>
        <v>43107</v>
      </c>
      <c r="D1104" s="362">
        <f t="shared" ca="1" si="35"/>
        <v>128665854.90684886</v>
      </c>
    </row>
    <row r="1105" spans="1:4">
      <c r="A1105" s="348">
        <f t="shared" si="36"/>
        <v>1104</v>
      </c>
      <c r="B1105" s="360">
        <f>DATE('Profit Calculation'!J$6,A$2,A$2+A1105-1)</f>
        <v>43108</v>
      </c>
      <c r="D1105" s="362">
        <f t="shared" ca="1" si="35"/>
        <v>128715131.70983581</v>
      </c>
    </row>
    <row r="1106" spans="1:4">
      <c r="A1106" s="348">
        <f t="shared" si="36"/>
        <v>1105</v>
      </c>
      <c r="B1106" s="360">
        <f>DATE('Profit Calculation'!J$6,A$2,A$2+A1106-1)</f>
        <v>43109</v>
      </c>
      <c r="D1106" s="362">
        <f t="shared" ca="1" si="35"/>
        <v>128764427.38498829</v>
      </c>
    </row>
    <row r="1107" spans="1:4">
      <c r="A1107" s="348">
        <f t="shared" si="36"/>
        <v>1106</v>
      </c>
      <c r="B1107" s="360">
        <f>DATE('Profit Calculation'!J$6,A$2,A$2+A1107-1)</f>
        <v>43110</v>
      </c>
      <c r="D1107" s="362">
        <f t="shared" ca="1" si="35"/>
        <v>128813741.93953402</v>
      </c>
    </row>
    <row r="1108" spans="1:4">
      <c r="A1108" s="348">
        <f t="shared" si="36"/>
        <v>1107</v>
      </c>
      <c r="B1108" s="360">
        <f>DATE('Profit Calculation'!J$6,A$2,A$2+A1108-1)</f>
        <v>43111</v>
      </c>
      <c r="D1108" s="362">
        <f t="shared" ca="1" si="35"/>
        <v>128863075.38070348</v>
      </c>
    </row>
    <row r="1109" spans="1:4">
      <c r="A1109" s="348">
        <f t="shared" si="36"/>
        <v>1108</v>
      </c>
      <c r="B1109" s="360">
        <f>DATE('Profit Calculation'!J$6,A$2,A$2+A1109-1)</f>
        <v>43112</v>
      </c>
      <c r="D1109" s="362">
        <f t="shared" ca="1" si="35"/>
        <v>128912427.71572992</v>
      </c>
    </row>
    <row r="1110" spans="1:4">
      <c r="A1110" s="348">
        <f t="shared" si="36"/>
        <v>1109</v>
      </c>
      <c r="B1110" s="360">
        <f>DATE('Profit Calculation'!J$6,A$2,A$2+A1110-1)</f>
        <v>43113</v>
      </c>
      <c r="D1110" s="362">
        <f t="shared" ca="1" si="35"/>
        <v>128961798.95184937</v>
      </c>
    </row>
    <row r="1111" spans="1:4">
      <c r="A1111" s="348">
        <f t="shared" si="36"/>
        <v>1110</v>
      </c>
      <c r="B1111" s="360">
        <f>DATE('Profit Calculation'!J$6,A$2,A$2+A1111-1)</f>
        <v>43114</v>
      </c>
      <c r="D1111" s="362">
        <f t="shared" ca="1" si="35"/>
        <v>129011189.09630062</v>
      </c>
    </row>
    <row r="1112" spans="1:4">
      <c r="A1112" s="348">
        <f t="shared" si="36"/>
        <v>1111</v>
      </c>
      <c r="B1112" s="360">
        <f>DATE('Profit Calculation'!J$6,A$2,A$2+A1112-1)</f>
        <v>43115</v>
      </c>
      <c r="D1112" s="362">
        <f t="shared" ca="1" si="35"/>
        <v>129060598.15632522</v>
      </c>
    </row>
    <row r="1113" spans="1:4">
      <c r="A1113" s="348">
        <f t="shared" si="36"/>
        <v>1112</v>
      </c>
      <c r="B1113" s="360">
        <f>DATE('Profit Calculation'!J$6,A$2,A$2+A1113-1)</f>
        <v>43116</v>
      </c>
      <c r="D1113" s="362">
        <f t="shared" ca="1" si="35"/>
        <v>129110026.13916753</v>
      </c>
    </row>
    <row r="1114" spans="1:4">
      <c r="A1114" s="348">
        <f t="shared" si="36"/>
        <v>1113</v>
      </c>
      <c r="B1114" s="360">
        <f>DATE('Profit Calculation'!J$6,A$2,A$2+A1114-1)</f>
        <v>43117</v>
      </c>
      <c r="D1114" s="362">
        <f t="shared" ca="1" si="35"/>
        <v>129159473.05207466</v>
      </c>
    </row>
    <row r="1115" spans="1:4">
      <c r="A1115" s="348">
        <f t="shared" si="36"/>
        <v>1114</v>
      </c>
      <c r="B1115" s="360">
        <f>DATE('Profit Calculation'!J$6,A$2,A$2+A1115-1)</f>
        <v>43118</v>
      </c>
      <c r="D1115" s="362">
        <f t="shared" ca="1" si="35"/>
        <v>129208938.90229647</v>
      </c>
    </row>
    <row r="1116" spans="1:4">
      <c r="A1116" s="348">
        <f t="shared" si="36"/>
        <v>1115</v>
      </c>
      <c r="B1116" s="360">
        <f>DATE('Profit Calculation'!J$6,A$2,A$2+A1116-1)</f>
        <v>43119</v>
      </c>
      <c r="D1116" s="362">
        <f t="shared" ca="1" si="35"/>
        <v>129258423.69708565</v>
      </c>
    </row>
    <row r="1117" spans="1:4">
      <c r="A1117" s="348">
        <f t="shared" si="36"/>
        <v>1116</v>
      </c>
      <c r="B1117" s="360">
        <f>DATE('Profit Calculation'!J$6,A$2,A$2+A1117-1)</f>
        <v>43120</v>
      </c>
      <c r="D1117" s="362">
        <f t="shared" ca="1" si="35"/>
        <v>129307927.44369765</v>
      </c>
    </row>
    <row r="1118" spans="1:4">
      <c r="A1118" s="348">
        <f t="shared" si="36"/>
        <v>1117</v>
      </c>
      <c r="B1118" s="360">
        <f>DATE('Profit Calculation'!J$6,A$2,A$2+A1118-1)</f>
        <v>43121</v>
      </c>
      <c r="D1118" s="362">
        <f t="shared" ca="1" si="35"/>
        <v>129357450.14939067</v>
      </c>
    </row>
    <row r="1119" spans="1:4">
      <c r="A1119" s="348">
        <f t="shared" si="36"/>
        <v>1118</v>
      </c>
      <c r="B1119" s="360">
        <f>DATE('Profit Calculation'!J$6,A$2,A$2+A1119-1)</f>
        <v>43122</v>
      </c>
      <c r="D1119" s="362">
        <f t="shared" ca="1" si="35"/>
        <v>129406991.82142572</v>
      </c>
    </row>
    <row r="1120" spans="1:4">
      <c r="A1120" s="348">
        <f t="shared" si="36"/>
        <v>1119</v>
      </c>
      <c r="B1120" s="360">
        <f>DATE('Profit Calculation'!J$6,A$2,A$2+A1120-1)</f>
        <v>43123</v>
      </c>
      <c r="D1120" s="362">
        <f t="shared" ca="1" si="35"/>
        <v>129456552.46706659</v>
      </c>
    </row>
    <row r="1121" spans="1:4">
      <c r="A1121" s="348">
        <f t="shared" si="36"/>
        <v>1120</v>
      </c>
      <c r="B1121" s="360">
        <f>DATE('Profit Calculation'!J$6,A$2,A$2+A1121-1)</f>
        <v>43124</v>
      </c>
      <c r="D1121" s="362">
        <f t="shared" ca="1" si="35"/>
        <v>129506132.09357983</v>
      </c>
    </row>
    <row r="1122" spans="1:4">
      <c r="A1122" s="348">
        <f t="shared" si="36"/>
        <v>1121</v>
      </c>
      <c r="B1122" s="360">
        <f>DATE('Profit Calculation'!J$6,A$2,A$2+A1122-1)</f>
        <v>43125</v>
      </c>
      <c r="D1122" s="362">
        <f t="shared" ca="1" si="35"/>
        <v>129555730.70823479</v>
      </c>
    </row>
    <row r="1123" spans="1:4">
      <c r="A1123" s="348">
        <f t="shared" si="36"/>
        <v>1122</v>
      </c>
      <c r="B1123" s="360">
        <f>DATE('Profit Calculation'!J$6,A$2,A$2+A1123-1)</f>
        <v>43126</v>
      </c>
      <c r="D1123" s="362">
        <f t="shared" ca="1" si="35"/>
        <v>129605348.3183036</v>
      </c>
    </row>
    <row r="1124" spans="1:4">
      <c r="A1124" s="348">
        <f t="shared" si="36"/>
        <v>1123</v>
      </c>
      <c r="B1124" s="360">
        <f>DATE('Profit Calculation'!J$6,A$2,A$2+A1124-1)</f>
        <v>43127</v>
      </c>
      <c r="D1124" s="362">
        <f t="shared" ca="1" si="35"/>
        <v>129654984.93106119</v>
      </c>
    </row>
    <row r="1125" spans="1:4">
      <c r="A1125" s="348">
        <f t="shared" si="36"/>
        <v>1124</v>
      </c>
      <c r="B1125" s="360">
        <f>DATE('Profit Calculation'!J$6,A$2,A$2+A1125-1)</f>
        <v>43128</v>
      </c>
      <c r="D1125" s="362">
        <f t="shared" ca="1" si="35"/>
        <v>129704640.55378525</v>
      </c>
    </row>
    <row r="1126" spans="1:4">
      <c r="A1126" s="348">
        <f t="shared" si="36"/>
        <v>1125</v>
      </c>
      <c r="B1126" s="360">
        <f>DATE('Profit Calculation'!J$6,A$2,A$2+A1126-1)</f>
        <v>43129</v>
      </c>
      <c r="D1126" s="362">
        <f t="shared" ca="1" si="35"/>
        <v>129754315.19375627</v>
      </c>
    </row>
    <row r="1127" spans="1:4">
      <c r="A1127" s="348">
        <f t="shared" si="36"/>
        <v>1126</v>
      </c>
      <c r="B1127" s="360">
        <f>DATE('Profit Calculation'!J$6,A$2,A$2+A1127-1)</f>
        <v>43130</v>
      </c>
      <c r="D1127" s="362">
        <f t="shared" ca="1" si="35"/>
        <v>129804008.85825752</v>
      </c>
    </row>
    <row r="1128" spans="1:4">
      <c r="A1128" s="348">
        <f t="shared" si="36"/>
        <v>1127</v>
      </c>
      <c r="B1128" s="360">
        <f>DATE('Profit Calculation'!J$6,A$2,A$2+A1128-1)</f>
        <v>43131</v>
      </c>
      <c r="D1128" s="362">
        <f t="shared" ca="1" si="35"/>
        <v>129853721.55457509</v>
      </c>
    </row>
    <row r="1129" spans="1:4">
      <c r="A1129" s="348">
        <f t="shared" si="36"/>
        <v>1128</v>
      </c>
      <c r="B1129" s="360">
        <f>DATE('Profit Calculation'!J$6,A$2,A$2+A1129-1)</f>
        <v>43132</v>
      </c>
      <c r="D1129" s="362">
        <f t="shared" ca="1" si="35"/>
        <v>129903453.28999782</v>
      </c>
    </row>
    <row r="1130" spans="1:4">
      <c r="A1130" s="348">
        <f t="shared" si="36"/>
        <v>1129</v>
      </c>
      <c r="B1130" s="360">
        <f>DATE('Profit Calculation'!J$6,A$2,A$2+A1130-1)</f>
        <v>43133</v>
      </c>
      <c r="D1130" s="362">
        <f t="shared" ca="1" si="35"/>
        <v>129953204.07181735</v>
      </c>
    </row>
    <row r="1131" spans="1:4">
      <c r="A1131" s="348">
        <f t="shared" si="36"/>
        <v>1130</v>
      </c>
      <c r="B1131" s="360">
        <f>DATE('Profit Calculation'!J$6,A$2,A$2+A1131-1)</f>
        <v>43134</v>
      </c>
      <c r="D1131" s="362">
        <f t="shared" ca="1" si="35"/>
        <v>130002973.90732814</v>
      </c>
    </row>
    <row r="1132" spans="1:4">
      <c r="A1132" s="348">
        <f t="shared" si="36"/>
        <v>1131</v>
      </c>
      <c r="B1132" s="360">
        <f>DATE('Profit Calculation'!J$6,A$2,A$2+A1132-1)</f>
        <v>43135</v>
      </c>
      <c r="D1132" s="362">
        <f t="shared" ca="1" si="35"/>
        <v>130052762.80382742</v>
      </c>
    </row>
    <row r="1133" spans="1:4">
      <c r="A1133" s="348">
        <f t="shared" si="36"/>
        <v>1132</v>
      </c>
      <c r="B1133" s="360">
        <f>DATE('Profit Calculation'!J$6,A$2,A$2+A1133-1)</f>
        <v>43136</v>
      </c>
      <c r="D1133" s="362">
        <f t="shared" ca="1" si="35"/>
        <v>130102570.76861522</v>
      </c>
    </row>
    <row r="1134" spans="1:4">
      <c r="A1134" s="348">
        <f t="shared" si="36"/>
        <v>1133</v>
      </c>
      <c r="B1134" s="360">
        <f>DATE('Profit Calculation'!J$6,A$2,A$2+A1134-1)</f>
        <v>43137</v>
      </c>
      <c r="D1134" s="362">
        <f t="shared" ca="1" si="35"/>
        <v>130152397.80899435</v>
      </c>
    </row>
    <row r="1135" spans="1:4">
      <c r="A1135" s="348">
        <f t="shared" si="36"/>
        <v>1134</v>
      </c>
      <c r="B1135" s="360">
        <f>DATE('Profit Calculation'!J$6,A$2,A$2+A1135-1)</f>
        <v>43138</v>
      </c>
      <c r="D1135" s="362">
        <f t="shared" ca="1" si="35"/>
        <v>130202243.93227045</v>
      </c>
    </row>
    <row r="1136" spans="1:4">
      <c r="A1136" s="348">
        <f t="shared" si="36"/>
        <v>1135</v>
      </c>
      <c r="B1136" s="360">
        <f>DATE('Profit Calculation'!J$6,A$2,A$2+A1136-1)</f>
        <v>43139</v>
      </c>
      <c r="D1136" s="362">
        <f t="shared" ca="1" si="35"/>
        <v>130252109.14575194</v>
      </c>
    </row>
    <row r="1137" spans="1:4">
      <c r="A1137" s="348">
        <f t="shared" si="36"/>
        <v>1136</v>
      </c>
      <c r="B1137" s="360">
        <f>DATE('Profit Calculation'!J$6,A$2,A$2+A1137-1)</f>
        <v>43140</v>
      </c>
      <c r="D1137" s="362">
        <f t="shared" ca="1" si="35"/>
        <v>130301993.45675004</v>
      </c>
    </row>
    <row r="1138" spans="1:4">
      <c r="A1138" s="348">
        <f t="shared" si="36"/>
        <v>1137</v>
      </c>
      <c r="B1138" s="360">
        <f>DATE('Profit Calculation'!J$6,A$2,A$2+A1138-1)</f>
        <v>43141</v>
      </c>
      <c r="D1138" s="362">
        <f t="shared" ca="1" si="35"/>
        <v>130351896.87257876</v>
      </c>
    </row>
    <row r="1139" spans="1:4">
      <c r="A1139" s="348">
        <f t="shared" si="36"/>
        <v>1138</v>
      </c>
      <c r="B1139" s="360">
        <f>DATE('Profit Calculation'!J$6,A$2,A$2+A1139-1)</f>
        <v>43142</v>
      </c>
      <c r="D1139" s="362">
        <f t="shared" ca="1" si="35"/>
        <v>130401819.40055493</v>
      </c>
    </row>
    <row r="1140" spans="1:4">
      <c r="A1140" s="348">
        <f t="shared" si="36"/>
        <v>1139</v>
      </c>
      <c r="B1140" s="360">
        <f>DATE('Profit Calculation'!J$6,A$2,A$2+A1140-1)</f>
        <v>43143</v>
      </c>
      <c r="D1140" s="362">
        <f t="shared" ca="1" si="35"/>
        <v>130451761.04799816</v>
      </c>
    </row>
    <row r="1141" spans="1:4">
      <c r="A1141" s="348">
        <f t="shared" si="36"/>
        <v>1140</v>
      </c>
      <c r="B1141" s="360">
        <f>DATE('Profit Calculation'!J$6,A$2,A$2+A1141-1)</f>
        <v>43144</v>
      </c>
      <c r="D1141" s="362">
        <f t="shared" ca="1" si="35"/>
        <v>130501721.82223089</v>
      </c>
    </row>
    <row r="1142" spans="1:4">
      <c r="A1142" s="348">
        <f t="shared" si="36"/>
        <v>1141</v>
      </c>
      <c r="B1142" s="360">
        <f>DATE('Profit Calculation'!J$6,A$2,A$2+A1142-1)</f>
        <v>43145</v>
      </c>
      <c r="D1142" s="362">
        <f t="shared" ca="1" si="35"/>
        <v>130551701.73057835</v>
      </c>
    </row>
    <row r="1143" spans="1:4">
      <c r="A1143" s="348">
        <f t="shared" si="36"/>
        <v>1142</v>
      </c>
      <c r="B1143" s="360">
        <f>DATE('Profit Calculation'!J$6,A$2,A$2+A1143-1)</f>
        <v>43146</v>
      </c>
      <c r="D1143" s="362">
        <f t="shared" ca="1" si="35"/>
        <v>130601700.78036857</v>
      </c>
    </row>
    <row r="1144" spans="1:4">
      <c r="A1144" s="348">
        <f t="shared" si="36"/>
        <v>1143</v>
      </c>
      <c r="B1144" s="360">
        <f>DATE('Profit Calculation'!J$6,A$2,A$2+A1144-1)</f>
        <v>43147</v>
      </c>
      <c r="D1144" s="362">
        <f t="shared" ca="1" si="35"/>
        <v>130651718.97893238</v>
      </c>
    </row>
    <row r="1145" spans="1:4">
      <c r="A1145" s="348">
        <f t="shared" si="36"/>
        <v>1144</v>
      </c>
      <c r="B1145" s="360">
        <f>DATE('Profit Calculation'!J$6,A$2,A$2+A1145-1)</f>
        <v>43148</v>
      </c>
      <c r="D1145" s="362">
        <f t="shared" ca="1" si="35"/>
        <v>130701756.33360344</v>
      </c>
    </row>
    <row r="1146" spans="1:4">
      <c r="A1146" s="348">
        <f t="shared" si="36"/>
        <v>1145</v>
      </c>
      <c r="B1146" s="360">
        <f>DATE('Profit Calculation'!J$6,A$2,A$2+A1146-1)</f>
        <v>43149</v>
      </c>
      <c r="D1146" s="362">
        <f t="shared" ca="1" si="35"/>
        <v>130751812.85171822</v>
      </c>
    </row>
    <row r="1147" spans="1:4">
      <c r="A1147" s="348">
        <f t="shared" si="36"/>
        <v>1146</v>
      </c>
      <c r="B1147" s="360">
        <f>DATE('Profit Calculation'!J$6,A$2,A$2+A1147-1)</f>
        <v>43150</v>
      </c>
      <c r="D1147" s="362">
        <f t="shared" ca="1" si="35"/>
        <v>130801888.54061598</v>
      </c>
    </row>
    <row r="1148" spans="1:4">
      <c r="A1148" s="348">
        <f t="shared" si="36"/>
        <v>1147</v>
      </c>
      <c r="B1148" s="360">
        <f>DATE('Profit Calculation'!J$6,A$2,A$2+A1148-1)</f>
        <v>43151</v>
      </c>
      <c r="D1148" s="362">
        <f t="shared" ca="1" si="35"/>
        <v>130851983.40763879</v>
      </c>
    </row>
    <row r="1149" spans="1:4">
      <c r="A1149" s="348">
        <f t="shared" si="36"/>
        <v>1148</v>
      </c>
      <c r="B1149" s="360">
        <f>DATE('Profit Calculation'!J$6,A$2,A$2+A1149-1)</f>
        <v>43152</v>
      </c>
      <c r="D1149" s="362">
        <f t="shared" ca="1" si="35"/>
        <v>130902097.46013156</v>
      </c>
    </row>
    <row r="1150" spans="1:4">
      <c r="A1150" s="348">
        <f t="shared" si="36"/>
        <v>1149</v>
      </c>
      <c r="B1150" s="360">
        <f>DATE('Profit Calculation'!J$6,A$2,A$2+A1150-1)</f>
        <v>43153</v>
      </c>
      <c r="D1150" s="362">
        <f t="shared" ca="1" si="35"/>
        <v>130952230.70544198</v>
      </c>
    </row>
    <row r="1151" spans="1:4">
      <c r="A1151" s="348">
        <f t="shared" si="36"/>
        <v>1150</v>
      </c>
      <c r="B1151" s="360">
        <f>DATE('Profit Calculation'!J$6,A$2,A$2+A1151-1)</f>
        <v>43154</v>
      </c>
      <c r="D1151" s="362">
        <f t="shared" ca="1" si="35"/>
        <v>131002383.15092058</v>
      </c>
    </row>
    <row r="1152" spans="1:4">
      <c r="A1152" s="348">
        <f t="shared" si="36"/>
        <v>1151</v>
      </c>
      <c r="B1152" s="360">
        <f>DATE('Profit Calculation'!J$6,A$2,A$2+A1152-1)</f>
        <v>43155</v>
      </c>
      <c r="D1152" s="362">
        <f t="shared" ca="1" si="35"/>
        <v>131052554.80392069</v>
      </c>
    </row>
    <row r="1153" spans="1:4">
      <c r="A1153" s="348">
        <f t="shared" si="36"/>
        <v>1152</v>
      </c>
      <c r="B1153" s="360">
        <f>DATE('Profit Calculation'!J$6,A$2,A$2+A1153-1)</f>
        <v>43156</v>
      </c>
      <c r="D1153" s="362">
        <f t="shared" ca="1" si="35"/>
        <v>131102745.67179844</v>
      </c>
    </row>
    <row r="1154" spans="1:4">
      <c r="A1154" s="348">
        <f t="shared" si="36"/>
        <v>1153</v>
      </c>
      <c r="B1154" s="360">
        <f>DATE('Profit Calculation'!J$6,A$2,A$2+A1154-1)</f>
        <v>43157</v>
      </c>
      <c r="D1154" s="362">
        <f t="shared" ca="1" si="35"/>
        <v>131152955.76191282</v>
      </c>
    </row>
    <row r="1155" spans="1:4">
      <c r="A1155" s="348">
        <f t="shared" si="36"/>
        <v>1154</v>
      </c>
      <c r="B1155" s="360">
        <f>DATE('Profit Calculation'!J$6,A$2,A$2+A1155-1)</f>
        <v>43158</v>
      </c>
      <c r="D1155" s="362">
        <f t="shared" ca="1" si="35"/>
        <v>131203185.08162561</v>
      </c>
    </row>
    <row r="1156" spans="1:4">
      <c r="A1156" s="348">
        <f t="shared" si="36"/>
        <v>1155</v>
      </c>
      <c r="B1156" s="360">
        <f>DATE('Profit Calculation'!J$6,A$2,A$2+A1156-1)</f>
        <v>43159</v>
      </c>
      <c r="D1156" s="362">
        <f t="shared" ref="D1156:D1219" ca="1" si="37">IF(OR(LOOKUP(B1156,W$1:W$35,W$1:W$35) = B1156, LOOKUP(B1156,X$1:X$35,X$1:X$35) = B1156),LOOKUP(B1156,F:F,G:G),D1155*(1+((IF($Q$18&lt;6,$R$14,IF($Q$18&lt;11,$R$15,$R$16)))))^(1/365))</f>
        <v>131253433.6383014</v>
      </c>
    </row>
    <row r="1157" spans="1:4">
      <c r="A1157" s="348">
        <f t="shared" ref="A1157:A1220" si="38">A1156+1</f>
        <v>1156</v>
      </c>
      <c r="B1157" s="360">
        <f>DATE('Profit Calculation'!J$6,A$2,A$2+A1157-1)</f>
        <v>43160</v>
      </c>
      <c r="D1157" s="362">
        <f t="shared" ca="1" si="37"/>
        <v>131303701.43930763</v>
      </c>
    </row>
    <row r="1158" spans="1:4">
      <c r="A1158" s="348">
        <f t="shared" si="38"/>
        <v>1157</v>
      </c>
      <c r="B1158" s="360">
        <f>DATE('Profit Calculation'!J$6,A$2,A$2+A1158-1)</f>
        <v>43161</v>
      </c>
      <c r="D1158" s="362">
        <f t="shared" ca="1" si="37"/>
        <v>131353988.49201454</v>
      </c>
    </row>
    <row r="1159" spans="1:4">
      <c r="A1159" s="348">
        <f t="shared" si="38"/>
        <v>1158</v>
      </c>
      <c r="B1159" s="360">
        <f>DATE('Profit Calculation'!J$6,A$2,A$2+A1159-1)</f>
        <v>43162</v>
      </c>
      <c r="D1159" s="362">
        <f t="shared" ca="1" si="37"/>
        <v>131404294.8037952</v>
      </c>
    </row>
    <row r="1160" spans="1:4">
      <c r="A1160" s="348">
        <f t="shared" si="38"/>
        <v>1159</v>
      </c>
      <c r="B1160" s="360">
        <f>DATE('Profit Calculation'!J$6,A$2,A$2+A1160-1)</f>
        <v>43163</v>
      </c>
      <c r="D1160" s="362">
        <f t="shared" ca="1" si="37"/>
        <v>131454620.38202551</v>
      </c>
    </row>
    <row r="1161" spans="1:4">
      <c r="A1161" s="348">
        <f t="shared" si="38"/>
        <v>1160</v>
      </c>
      <c r="B1161" s="360">
        <f>DATE('Profit Calculation'!J$6,A$2,A$2+A1161-1)</f>
        <v>43164</v>
      </c>
      <c r="D1161" s="362">
        <f t="shared" ca="1" si="37"/>
        <v>131504965.23408419</v>
      </c>
    </row>
    <row r="1162" spans="1:4">
      <c r="A1162" s="348">
        <f t="shared" si="38"/>
        <v>1161</v>
      </c>
      <c r="B1162" s="360">
        <f>DATE('Profit Calculation'!J$6,A$2,A$2+A1162-1)</f>
        <v>43165</v>
      </c>
      <c r="D1162" s="362">
        <f t="shared" ca="1" si="37"/>
        <v>131555329.36735277</v>
      </c>
    </row>
    <row r="1163" spans="1:4">
      <c r="A1163" s="348">
        <f t="shared" si="38"/>
        <v>1162</v>
      </c>
      <c r="B1163" s="360">
        <f>DATE('Profit Calculation'!J$6,A$2,A$2+A1163-1)</f>
        <v>43166</v>
      </c>
      <c r="D1163" s="362">
        <f t="shared" ca="1" si="37"/>
        <v>131605712.78921562</v>
      </c>
    </row>
    <row r="1164" spans="1:4">
      <c r="A1164" s="348">
        <f t="shared" si="38"/>
        <v>1163</v>
      </c>
      <c r="B1164" s="360">
        <f>DATE('Profit Calculation'!J$6,A$2,A$2+A1164-1)</f>
        <v>43167</v>
      </c>
      <c r="D1164" s="362">
        <f t="shared" ca="1" si="37"/>
        <v>131656115.50705996</v>
      </c>
    </row>
    <row r="1165" spans="1:4">
      <c r="A1165" s="348">
        <f t="shared" si="38"/>
        <v>1164</v>
      </c>
      <c r="B1165" s="360">
        <f>DATE('Profit Calculation'!J$6,A$2,A$2+A1165-1)</f>
        <v>43168</v>
      </c>
      <c r="D1165" s="362">
        <f t="shared" ca="1" si="37"/>
        <v>131706537.5282758</v>
      </c>
    </row>
    <row r="1166" spans="1:4">
      <c r="A1166" s="348">
        <f t="shared" si="38"/>
        <v>1165</v>
      </c>
      <c r="B1166" s="360">
        <f>DATE('Profit Calculation'!J$6,A$2,A$2+A1166-1)</f>
        <v>43169</v>
      </c>
      <c r="D1166" s="362">
        <f t="shared" ca="1" si="37"/>
        <v>131756978.860256</v>
      </c>
    </row>
    <row r="1167" spans="1:4">
      <c r="A1167" s="348">
        <f t="shared" si="38"/>
        <v>1166</v>
      </c>
      <c r="B1167" s="360">
        <f>DATE('Profit Calculation'!J$6,A$2,A$2+A1167-1)</f>
        <v>43170</v>
      </c>
      <c r="D1167" s="362">
        <f t="shared" ca="1" si="37"/>
        <v>131807439.51039626</v>
      </c>
    </row>
    <row r="1168" spans="1:4">
      <c r="A1168" s="348">
        <f t="shared" si="38"/>
        <v>1167</v>
      </c>
      <c r="B1168" s="360">
        <f>DATE('Profit Calculation'!J$6,A$2,A$2+A1168-1)</f>
        <v>43171</v>
      </c>
      <c r="D1168" s="362">
        <f t="shared" ca="1" si="37"/>
        <v>131857919.48609509</v>
      </c>
    </row>
    <row r="1169" spans="1:4">
      <c r="A1169" s="348">
        <f t="shared" si="38"/>
        <v>1168</v>
      </c>
      <c r="B1169" s="360">
        <f>DATE('Profit Calculation'!J$6,A$2,A$2+A1169-1)</f>
        <v>43172</v>
      </c>
      <c r="D1169" s="362">
        <f t="shared" ca="1" si="37"/>
        <v>131908418.79475385</v>
      </c>
    </row>
    <row r="1170" spans="1:4">
      <c r="A1170" s="348">
        <f t="shared" si="38"/>
        <v>1169</v>
      </c>
      <c r="B1170" s="360">
        <f>DATE('Profit Calculation'!J$6,A$2,A$2+A1170-1)</f>
        <v>43173</v>
      </c>
      <c r="D1170" s="362">
        <f t="shared" ca="1" si="37"/>
        <v>131958937.44377673</v>
      </c>
    </row>
    <row r="1171" spans="1:4">
      <c r="A1171" s="348">
        <f t="shared" si="38"/>
        <v>1170</v>
      </c>
      <c r="B1171" s="360">
        <f>DATE('Profit Calculation'!J$6,A$2,A$2+A1171-1)</f>
        <v>43174</v>
      </c>
      <c r="D1171" s="362">
        <f t="shared" ca="1" si="37"/>
        <v>132009475.44057076</v>
      </c>
    </row>
    <row r="1172" spans="1:4">
      <c r="A1172" s="348">
        <f t="shared" si="38"/>
        <v>1171</v>
      </c>
      <c r="B1172" s="360">
        <f>DATE('Profit Calculation'!J$6,A$2,A$2+A1172-1)</f>
        <v>43175</v>
      </c>
      <c r="D1172" s="362">
        <f t="shared" ca="1" si="37"/>
        <v>132060032.7925458</v>
      </c>
    </row>
    <row r="1173" spans="1:4">
      <c r="A1173" s="348">
        <f t="shared" si="38"/>
        <v>1172</v>
      </c>
      <c r="B1173" s="360">
        <f>DATE('Profit Calculation'!J$6,A$2,A$2+A1173-1)</f>
        <v>43176</v>
      </c>
      <c r="D1173" s="362">
        <f t="shared" ca="1" si="37"/>
        <v>132110609.50711454</v>
      </c>
    </row>
    <row r="1174" spans="1:4">
      <c r="A1174" s="348">
        <f t="shared" si="38"/>
        <v>1173</v>
      </c>
      <c r="B1174" s="360">
        <f>DATE('Profit Calculation'!J$6,A$2,A$2+A1174-1)</f>
        <v>43177</v>
      </c>
      <c r="D1174" s="362">
        <f t="shared" ca="1" si="37"/>
        <v>132161205.59169254</v>
      </c>
    </row>
    <row r="1175" spans="1:4">
      <c r="A1175" s="348">
        <f t="shared" si="38"/>
        <v>1174</v>
      </c>
      <c r="B1175" s="360">
        <f>DATE('Profit Calculation'!J$6,A$2,A$2+A1175-1)</f>
        <v>43178</v>
      </c>
      <c r="D1175" s="362">
        <f t="shared" ca="1" si="37"/>
        <v>132211821.05369817</v>
      </c>
    </row>
    <row r="1176" spans="1:4">
      <c r="A1176" s="348">
        <f t="shared" si="38"/>
        <v>1175</v>
      </c>
      <c r="B1176" s="360">
        <f>DATE('Profit Calculation'!J$6,A$2,A$2+A1176-1)</f>
        <v>43179</v>
      </c>
      <c r="D1176" s="362">
        <f t="shared" ca="1" si="37"/>
        <v>132262455.90055265</v>
      </c>
    </row>
    <row r="1177" spans="1:4">
      <c r="A1177" s="348">
        <f t="shared" si="38"/>
        <v>1176</v>
      </c>
      <c r="B1177" s="360">
        <f>DATE('Profit Calculation'!J$6,A$2,A$2+A1177-1)</f>
        <v>43180</v>
      </c>
      <c r="D1177" s="362">
        <f t="shared" ca="1" si="37"/>
        <v>132313110.13968003</v>
      </c>
    </row>
    <row r="1178" spans="1:4">
      <c r="A1178" s="348">
        <f t="shared" si="38"/>
        <v>1177</v>
      </c>
      <c r="B1178" s="360">
        <f>DATE('Profit Calculation'!J$6,A$2,A$2+A1178-1)</f>
        <v>43181</v>
      </c>
      <c r="D1178" s="362">
        <f t="shared" ca="1" si="37"/>
        <v>132363783.77850723</v>
      </c>
    </row>
    <row r="1179" spans="1:4">
      <c r="A1179" s="348">
        <f t="shared" si="38"/>
        <v>1178</v>
      </c>
      <c r="B1179" s="360">
        <f>DATE('Profit Calculation'!J$6,A$2,A$2+A1179-1)</f>
        <v>43182</v>
      </c>
      <c r="D1179" s="362">
        <f t="shared" ca="1" si="37"/>
        <v>132414476.82446399</v>
      </c>
    </row>
    <row r="1180" spans="1:4">
      <c r="A1180" s="348">
        <f t="shared" si="38"/>
        <v>1179</v>
      </c>
      <c r="B1180" s="360">
        <f>DATE('Profit Calculation'!J$6,A$2,A$2+A1180-1)</f>
        <v>43183</v>
      </c>
      <c r="D1180" s="362">
        <f t="shared" ca="1" si="37"/>
        <v>132465189.28498292</v>
      </c>
    </row>
    <row r="1181" spans="1:4">
      <c r="A1181" s="348">
        <f t="shared" si="38"/>
        <v>1180</v>
      </c>
      <c r="B1181" s="360">
        <f>DATE('Profit Calculation'!J$6,A$2,A$2+A1181-1)</f>
        <v>43184</v>
      </c>
      <c r="D1181" s="362">
        <f t="shared" ca="1" si="37"/>
        <v>132515921.16749945</v>
      </c>
    </row>
    <row r="1182" spans="1:4">
      <c r="A1182" s="348">
        <f t="shared" si="38"/>
        <v>1181</v>
      </c>
      <c r="B1182" s="360">
        <f>DATE('Profit Calculation'!J$6,A$2,A$2+A1182-1)</f>
        <v>43185</v>
      </c>
      <c r="D1182" s="362">
        <f t="shared" ca="1" si="37"/>
        <v>132566672.47945188</v>
      </c>
    </row>
    <row r="1183" spans="1:4">
      <c r="A1183" s="348">
        <f t="shared" si="38"/>
        <v>1182</v>
      </c>
      <c r="B1183" s="360">
        <f>DATE('Profit Calculation'!J$6,A$2,A$2+A1183-1)</f>
        <v>43186</v>
      </c>
      <c r="D1183" s="362">
        <f t="shared" ca="1" si="37"/>
        <v>132617443.22828135</v>
      </c>
    </row>
    <row r="1184" spans="1:4">
      <c r="A1184" s="348">
        <f t="shared" si="38"/>
        <v>1183</v>
      </c>
      <c r="B1184" s="360">
        <f>DATE('Profit Calculation'!J$6,A$2,A$2+A1184-1)</f>
        <v>43187</v>
      </c>
      <c r="D1184" s="362">
        <f t="shared" ca="1" si="37"/>
        <v>132668233.42143184</v>
      </c>
    </row>
    <row r="1185" spans="1:4">
      <c r="A1185" s="348">
        <f t="shared" si="38"/>
        <v>1184</v>
      </c>
      <c r="B1185" s="360">
        <f>DATE('Profit Calculation'!J$6,A$2,A$2+A1185-1)</f>
        <v>43188</v>
      </c>
      <c r="D1185" s="362">
        <f t="shared" ca="1" si="37"/>
        <v>132719043.06635019</v>
      </c>
    </row>
    <row r="1186" spans="1:4">
      <c r="A1186" s="348">
        <f t="shared" si="38"/>
        <v>1185</v>
      </c>
      <c r="B1186" s="360">
        <f>DATE('Profit Calculation'!J$6,A$2,A$2+A1186-1)</f>
        <v>43189</v>
      </c>
      <c r="D1186" s="362">
        <f t="shared" ca="1" si="37"/>
        <v>132769872.17048611</v>
      </c>
    </row>
    <row r="1187" spans="1:4">
      <c r="A1187" s="348">
        <f t="shared" si="38"/>
        <v>1186</v>
      </c>
      <c r="B1187" s="360">
        <f>DATE('Profit Calculation'!J$6,A$2,A$2+A1187-1)</f>
        <v>43190</v>
      </c>
      <c r="D1187" s="362">
        <f t="shared" ca="1" si="37"/>
        <v>132820720.74129212</v>
      </c>
    </row>
    <row r="1188" spans="1:4">
      <c r="A1188" s="348">
        <f t="shared" si="38"/>
        <v>1187</v>
      </c>
      <c r="B1188" s="360">
        <f>DATE('Profit Calculation'!J$6,A$2,A$2+A1188-1)</f>
        <v>43191</v>
      </c>
      <c r="D1188" s="362">
        <f t="shared" ca="1" si="37"/>
        <v>130767345</v>
      </c>
    </row>
    <row r="1189" spans="1:4">
      <c r="A1189" s="348">
        <f t="shared" si="38"/>
        <v>1188</v>
      </c>
      <c r="B1189" s="360">
        <f>DATE('Profit Calculation'!J$6,A$2,A$2+A1189-1)</f>
        <v>43192</v>
      </c>
      <c r="D1189" s="362">
        <f t="shared" ca="1" si="37"/>
        <v>130817426.63744263</v>
      </c>
    </row>
    <row r="1190" spans="1:4">
      <c r="A1190" s="348">
        <f t="shared" si="38"/>
        <v>1189</v>
      </c>
      <c r="B1190" s="360">
        <f>DATE('Profit Calculation'!J$6,A$2,A$2+A1190-1)</f>
        <v>43193</v>
      </c>
      <c r="D1190" s="362">
        <f t="shared" ca="1" si="37"/>
        <v>130867527.45528851</v>
      </c>
    </row>
    <row r="1191" spans="1:4">
      <c r="A1191" s="348">
        <f t="shared" si="38"/>
        <v>1190</v>
      </c>
      <c r="B1191" s="360">
        <f>DATE('Profit Calculation'!J$6,A$2,A$2+A1191-1)</f>
        <v>43194</v>
      </c>
      <c r="D1191" s="362">
        <f t="shared" ca="1" si="37"/>
        <v>130917647.46088341</v>
      </c>
    </row>
    <row r="1192" spans="1:4">
      <c r="A1192" s="348">
        <f t="shared" si="38"/>
        <v>1191</v>
      </c>
      <c r="B1192" s="360">
        <f>DATE('Profit Calculation'!J$6,A$2,A$2+A1192-1)</f>
        <v>43195</v>
      </c>
      <c r="D1192" s="362">
        <f t="shared" ca="1" si="37"/>
        <v>130967786.66157588</v>
      </c>
    </row>
    <row r="1193" spans="1:4">
      <c r="A1193" s="348">
        <f t="shared" si="38"/>
        <v>1192</v>
      </c>
      <c r="B1193" s="360">
        <f>DATE('Profit Calculation'!J$6,A$2,A$2+A1193-1)</f>
        <v>43196</v>
      </c>
      <c r="D1193" s="362">
        <f t="shared" ca="1" si="37"/>
        <v>131017945.06471734</v>
      </c>
    </row>
    <row r="1194" spans="1:4">
      <c r="A1194" s="348">
        <f t="shared" si="38"/>
        <v>1193</v>
      </c>
      <c r="B1194" s="360">
        <f>DATE('Profit Calculation'!J$6,A$2,A$2+A1194-1)</f>
        <v>43197</v>
      </c>
      <c r="D1194" s="362">
        <f t="shared" ca="1" si="37"/>
        <v>131068122.67766199</v>
      </c>
    </row>
    <row r="1195" spans="1:4">
      <c r="A1195" s="348">
        <f t="shared" si="38"/>
        <v>1194</v>
      </c>
      <c r="B1195" s="360">
        <f>DATE('Profit Calculation'!J$6,A$2,A$2+A1195-1)</f>
        <v>43198</v>
      </c>
      <c r="D1195" s="362">
        <f t="shared" ca="1" si="37"/>
        <v>131118319.50776684</v>
      </c>
    </row>
    <row r="1196" spans="1:4">
      <c r="A1196" s="348">
        <f t="shared" si="38"/>
        <v>1195</v>
      </c>
      <c r="B1196" s="360">
        <f>DATE('Profit Calculation'!J$6,A$2,A$2+A1196-1)</f>
        <v>43199</v>
      </c>
      <c r="D1196" s="362">
        <f t="shared" ca="1" si="37"/>
        <v>131168535.56239176</v>
      </c>
    </row>
    <row r="1197" spans="1:4">
      <c r="A1197" s="348">
        <f t="shared" si="38"/>
        <v>1196</v>
      </c>
      <c r="B1197" s="360">
        <f>DATE('Profit Calculation'!J$6,A$2,A$2+A1197-1)</f>
        <v>43200</v>
      </c>
      <c r="D1197" s="362">
        <f t="shared" ca="1" si="37"/>
        <v>131218770.84889938</v>
      </c>
    </row>
    <row r="1198" spans="1:4">
      <c r="A1198" s="348">
        <f t="shared" si="38"/>
        <v>1197</v>
      </c>
      <c r="B1198" s="360">
        <f>DATE('Profit Calculation'!J$6,A$2,A$2+A1198-1)</f>
        <v>43201</v>
      </c>
      <c r="D1198" s="362">
        <f t="shared" ca="1" si="37"/>
        <v>131269025.37465519</v>
      </c>
    </row>
    <row r="1199" spans="1:4">
      <c r="A1199" s="348">
        <f t="shared" si="38"/>
        <v>1198</v>
      </c>
      <c r="B1199" s="360">
        <f>DATE('Profit Calculation'!J$6,A$2,A$2+A1199-1)</f>
        <v>43202</v>
      </c>
      <c r="D1199" s="362">
        <f t="shared" ca="1" si="37"/>
        <v>131319299.14702749</v>
      </c>
    </row>
    <row r="1200" spans="1:4">
      <c r="A1200" s="348">
        <f t="shared" si="38"/>
        <v>1199</v>
      </c>
      <c r="B1200" s="360">
        <f>DATE('Profit Calculation'!J$6,A$2,A$2+A1200-1)</f>
        <v>43203</v>
      </c>
      <c r="D1200" s="362">
        <f t="shared" ca="1" si="37"/>
        <v>131369592.17338741</v>
      </c>
    </row>
    <row r="1201" spans="1:4">
      <c r="A1201" s="348">
        <f t="shared" si="38"/>
        <v>1200</v>
      </c>
      <c r="B1201" s="360">
        <f>DATE('Profit Calculation'!J$6,A$2,A$2+A1201-1)</f>
        <v>43204</v>
      </c>
      <c r="D1201" s="362">
        <f t="shared" ca="1" si="37"/>
        <v>131419904.46110888</v>
      </c>
    </row>
    <row r="1202" spans="1:4">
      <c r="A1202" s="348">
        <f t="shared" si="38"/>
        <v>1201</v>
      </c>
      <c r="B1202" s="360">
        <f>DATE('Profit Calculation'!J$6,A$2,A$2+A1202-1)</f>
        <v>43205</v>
      </c>
      <c r="D1202" s="362">
        <f t="shared" ca="1" si="37"/>
        <v>131470236.01756868</v>
      </c>
    </row>
    <row r="1203" spans="1:4">
      <c r="A1203" s="348">
        <f t="shared" si="38"/>
        <v>1202</v>
      </c>
      <c r="B1203" s="360">
        <f>DATE('Profit Calculation'!J$6,A$2,A$2+A1203-1)</f>
        <v>43206</v>
      </c>
      <c r="D1203" s="362">
        <f t="shared" ca="1" si="37"/>
        <v>131520586.8501464</v>
      </c>
    </row>
    <row r="1204" spans="1:4">
      <c r="A1204" s="348">
        <f t="shared" si="38"/>
        <v>1203</v>
      </c>
      <c r="B1204" s="360">
        <f>DATE('Profit Calculation'!J$6,A$2,A$2+A1204-1)</f>
        <v>43207</v>
      </c>
      <c r="D1204" s="362">
        <f t="shared" ca="1" si="37"/>
        <v>131570956.96622446</v>
      </c>
    </row>
    <row r="1205" spans="1:4">
      <c r="A1205" s="348">
        <f t="shared" si="38"/>
        <v>1204</v>
      </c>
      <c r="B1205" s="360">
        <f>DATE('Profit Calculation'!J$6,A$2,A$2+A1205-1)</f>
        <v>43208</v>
      </c>
      <c r="D1205" s="362">
        <f t="shared" ca="1" si="37"/>
        <v>131621346.37318812</v>
      </c>
    </row>
    <row r="1206" spans="1:4">
      <c r="A1206" s="348">
        <f t="shared" si="38"/>
        <v>1205</v>
      </c>
      <c r="B1206" s="360">
        <f>DATE('Profit Calculation'!J$6,A$2,A$2+A1206-1)</f>
        <v>43209</v>
      </c>
      <c r="D1206" s="362">
        <f t="shared" ca="1" si="37"/>
        <v>131671755.07842545</v>
      </c>
    </row>
    <row r="1207" spans="1:4">
      <c r="A1207" s="348">
        <f t="shared" si="38"/>
        <v>1206</v>
      </c>
      <c r="B1207" s="360">
        <f>DATE('Profit Calculation'!J$6,A$2,A$2+A1207-1)</f>
        <v>43210</v>
      </c>
      <c r="D1207" s="362">
        <f t="shared" ca="1" si="37"/>
        <v>131722183.08932735</v>
      </c>
    </row>
    <row r="1208" spans="1:4">
      <c r="A1208" s="348">
        <f t="shared" si="38"/>
        <v>1207</v>
      </c>
      <c r="B1208" s="360">
        <f>DATE('Profit Calculation'!J$6,A$2,A$2+A1208-1)</f>
        <v>43211</v>
      </c>
      <c r="D1208" s="362">
        <f t="shared" ca="1" si="37"/>
        <v>131772630.41328755</v>
      </c>
    </row>
    <row r="1209" spans="1:4">
      <c r="A1209" s="348">
        <f t="shared" si="38"/>
        <v>1208</v>
      </c>
      <c r="B1209" s="360">
        <f>DATE('Profit Calculation'!J$6,A$2,A$2+A1209-1)</f>
        <v>43212</v>
      </c>
      <c r="D1209" s="362">
        <f t="shared" ca="1" si="37"/>
        <v>131823097.05770263</v>
      </c>
    </row>
    <row r="1210" spans="1:4">
      <c r="A1210" s="348">
        <f t="shared" si="38"/>
        <v>1209</v>
      </c>
      <c r="B1210" s="360">
        <f>DATE('Profit Calculation'!J$6,A$2,A$2+A1210-1)</f>
        <v>43213</v>
      </c>
      <c r="D1210" s="362">
        <f t="shared" ca="1" si="37"/>
        <v>131873583.02997199</v>
      </c>
    </row>
    <row r="1211" spans="1:4">
      <c r="A1211" s="348">
        <f t="shared" si="38"/>
        <v>1210</v>
      </c>
      <c r="B1211" s="360">
        <f>DATE('Profit Calculation'!J$6,A$2,A$2+A1211-1)</f>
        <v>43214</v>
      </c>
      <c r="D1211" s="362">
        <f t="shared" ca="1" si="37"/>
        <v>131924088.33749786</v>
      </c>
    </row>
    <row r="1212" spans="1:4">
      <c r="A1212" s="348">
        <f t="shared" si="38"/>
        <v>1211</v>
      </c>
      <c r="B1212" s="360">
        <f>DATE('Profit Calculation'!J$6,A$2,A$2+A1212-1)</f>
        <v>43215</v>
      </c>
      <c r="D1212" s="362">
        <f t="shared" ca="1" si="37"/>
        <v>131974612.98768532</v>
      </c>
    </row>
    <row r="1213" spans="1:4">
      <c r="A1213" s="348">
        <f t="shared" si="38"/>
        <v>1212</v>
      </c>
      <c r="B1213" s="360">
        <f>DATE('Profit Calculation'!J$6,A$2,A$2+A1213-1)</f>
        <v>43216</v>
      </c>
      <c r="D1213" s="362">
        <f t="shared" ca="1" si="37"/>
        <v>132025156.98794226</v>
      </c>
    </row>
    <row r="1214" spans="1:4">
      <c r="A1214" s="348">
        <f t="shared" si="38"/>
        <v>1213</v>
      </c>
      <c r="B1214" s="360">
        <f>DATE('Profit Calculation'!J$6,A$2,A$2+A1214-1)</f>
        <v>43217</v>
      </c>
      <c r="D1214" s="362">
        <f t="shared" ca="1" si="37"/>
        <v>132075720.34567945</v>
      </c>
    </row>
    <row r="1215" spans="1:4">
      <c r="A1215" s="348">
        <f t="shared" si="38"/>
        <v>1214</v>
      </c>
      <c r="B1215" s="360">
        <f>DATE('Profit Calculation'!J$6,A$2,A$2+A1215-1)</f>
        <v>43218</v>
      </c>
      <c r="D1215" s="362">
        <f t="shared" ca="1" si="37"/>
        <v>132126303.06831044</v>
      </c>
    </row>
    <row r="1216" spans="1:4">
      <c r="A1216" s="348">
        <f t="shared" si="38"/>
        <v>1215</v>
      </c>
      <c r="B1216" s="360">
        <f>DATE('Profit Calculation'!J$6,A$2,A$2+A1216-1)</f>
        <v>43219</v>
      </c>
      <c r="D1216" s="362">
        <f t="shared" ca="1" si="37"/>
        <v>132176905.16325167</v>
      </c>
    </row>
    <row r="1217" spans="1:4">
      <c r="A1217" s="348">
        <f t="shared" si="38"/>
        <v>1216</v>
      </c>
      <c r="B1217" s="360">
        <f>DATE('Profit Calculation'!J$6,A$2,A$2+A1217-1)</f>
        <v>43220</v>
      </c>
      <c r="D1217" s="362">
        <f t="shared" ca="1" si="37"/>
        <v>132227526.63792239</v>
      </c>
    </row>
    <row r="1218" spans="1:4">
      <c r="A1218" s="348">
        <f t="shared" si="38"/>
        <v>1217</v>
      </c>
      <c r="B1218" s="360">
        <f>DATE('Profit Calculation'!J$6,A$2,A$2+A1218-1)</f>
        <v>43221</v>
      </c>
      <c r="D1218" s="362">
        <f t="shared" ca="1" si="37"/>
        <v>132278167.4997447</v>
      </c>
    </row>
    <row r="1219" spans="1:4">
      <c r="A1219" s="348">
        <f t="shared" si="38"/>
        <v>1218</v>
      </c>
      <c r="B1219" s="360">
        <f>DATE('Profit Calculation'!J$6,A$2,A$2+A1219-1)</f>
        <v>43222</v>
      </c>
      <c r="D1219" s="362">
        <f t="shared" ca="1" si="37"/>
        <v>132328827.75614356</v>
      </c>
    </row>
    <row r="1220" spans="1:4">
      <c r="A1220" s="348">
        <f t="shared" si="38"/>
        <v>1219</v>
      </c>
      <c r="B1220" s="360">
        <f>DATE('Profit Calculation'!J$6,A$2,A$2+A1220-1)</f>
        <v>43223</v>
      </c>
      <c r="D1220" s="362">
        <f t="shared" ref="D1220:D1283" ca="1" si="39">IF(OR(LOOKUP(B1220,W$1:W$35,W$1:W$35) = B1220, LOOKUP(B1220,X$1:X$35,X$1:X$35) = B1220),LOOKUP(B1220,F:F,G:G),D1219*(1+((IF($Q$18&lt;6,$R$14,IF($Q$18&lt;11,$R$15,$R$16)))))^(1/365))</f>
        <v>132379507.41454674</v>
      </c>
    </row>
    <row r="1221" spans="1:4">
      <c r="A1221" s="348">
        <f t="shared" ref="A1221:A1284" si="40">A1220+1</f>
        <v>1220</v>
      </c>
      <c r="B1221" s="360">
        <f>DATE('Profit Calculation'!J$6,A$2,A$2+A1221-1)</f>
        <v>43224</v>
      </c>
      <c r="D1221" s="362">
        <f t="shared" ca="1" si="39"/>
        <v>132430206.48238489</v>
      </c>
    </row>
    <row r="1222" spans="1:4">
      <c r="A1222" s="348">
        <f t="shared" si="40"/>
        <v>1221</v>
      </c>
      <c r="B1222" s="360">
        <f>DATE('Profit Calculation'!J$6,A$2,A$2+A1222-1)</f>
        <v>43225</v>
      </c>
      <c r="D1222" s="362">
        <f t="shared" ca="1" si="39"/>
        <v>132480924.96709147</v>
      </c>
    </row>
    <row r="1223" spans="1:4">
      <c r="A1223" s="348">
        <f t="shared" si="40"/>
        <v>1222</v>
      </c>
      <c r="B1223" s="360">
        <f>DATE('Profit Calculation'!J$6,A$2,A$2+A1223-1)</f>
        <v>43226</v>
      </c>
      <c r="D1223" s="362">
        <f t="shared" ca="1" si="39"/>
        <v>132531662.87610282</v>
      </c>
    </row>
    <row r="1224" spans="1:4">
      <c r="A1224" s="348">
        <f t="shared" si="40"/>
        <v>1223</v>
      </c>
      <c r="B1224" s="360">
        <f>DATE('Profit Calculation'!J$6,A$2,A$2+A1224-1)</f>
        <v>43227</v>
      </c>
      <c r="D1224" s="362">
        <f t="shared" ca="1" si="39"/>
        <v>132582420.2168581</v>
      </c>
    </row>
    <row r="1225" spans="1:4">
      <c r="A1225" s="348">
        <f t="shared" si="40"/>
        <v>1224</v>
      </c>
      <c r="B1225" s="360">
        <f>DATE('Profit Calculation'!J$6,A$2,A$2+A1225-1)</f>
        <v>43228</v>
      </c>
      <c r="D1225" s="362">
        <f t="shared" ca="1" si="39"/>
        <v>132633196.99679935</v>
      </c>
    </row>
    <row r="1226" spans="1:4">
      <c r="A1226" s="348">
        <f t="shared" si="40"/>
        <v>1225</v>
      </c>
      <c r="B1226" s="360">
        <f>DATE('Profit Calculation'!J$6,A$2,A$2+A1226-1)</f>
        <v>43229</v>
      </c>
      <c r="D1226" s="362">
        <f t="shared" ca="1" si="39"/>
        <v>132683993.22337143</v>
      </c>
    </row>
    <row r="1227" spans="1:4">
      <c r="A1227" s="348">
        <f t="shared" si="40"/>
        <v>1226</v>
      </c>
      <c r="B1227" s="360">
        <f>DATE('Profit Calculation'!J$6,A$2,A$2+A1227-1)</f>
        <v>43230</v>
      </c>
      <c r="D1227" s="362">
        <f t="shared" ca="1" si="39"/>
        <v>132734808.90402208</v>
      </c>
    </row>
    <row r="1228" spans="1:4">
      <c r="A1228" s="348">
        <f t="shared" si="40"/>
        <v>1227</v>
      </c>
      <c r="B1228" s="360">
        <f>DATE('Profit Calculation'!J$6,A$2,A$2+A1228-1)</f>
        <v>43231</v>
      </c>
      <c r="D1228" s="362">
        <f t="shared" ca="1" si="39"/>
        <v>132785644.04620187</v>
      </c>
    </row>
    <row r="1229" spans="1:4">
      <c r="A1229" s="348">
        <f t="shared" si="40"/>
        <v>1228</v>
      </c>
      <c r="B1229" s="360">
        <f>DATE('Profit Calculation'!J$6,A$2,A$2+A1229-1)</f>
        <v>43232</v>
      </c>
      <c r="D1229" s="362">
        <f t="shared" ca="1" si="39"/>
        <v>132836498.65736422</v>
      </c>
    </row>
    <row r="1230" spans="1:4">
      <c r="A1230" s="348">
        <f t="shared" si="40"/>
        <v>1229</v>
      </c>
      <c r="B1230" s="360">
        <f>DATE('Profit Calculation'!J$6,A$2,A$2+A1230-1)</f>
        <v>43233</v>
      </c>
      <c r="D1230" s="362">
        <f t="shared" ca="1" si="39"/>
        <v>132887372.74496542</v>
      </c>
    </row>
    <row r="1231" spans="1:4">
      <c r="A1231" s="348">
        <f t="shared" si="40"/>
        <v>1230</v>
      </c>
      <c r="B1231" s="360">
        <f>DATE('Profit Calculation'!J$6,A$2,A$2+A1231-1)</f>
        <v>43234</v>
      </c>
      <c r="D1231" s="362">
        <f t="shared" ca="1" si="39"/>
        <v>132938266.3164646</v>
      </c>
    </row>
    <row r="1232" spans="1:4">
      <c r="A1232" s="348">
        <f t="shared" si="40"/>
        <v>1231</v>
      </c>
      <c r="B1232" s="360">
        <f>DATE('Profit Calculation'!J$6,A$2,A$2+A1232-1)</f>
        <v>43235</v>
      </c>
      <c r="D1232" s="362">
        <f t="shared" ca="1" si="39"/>
        <v>132989179.37932378</v>
      </c>
    </row>
    <row r="1233" spans="1:4">
      <c r="A1233" s="348">
        <f t="shared" si="40"/>
        <v>1232</v>
      </c>
      <c r="B1233" s="360">
        <f>DATE('Profit Calculation'!J$6,A$2,A$2+A1233-1)</f>
        <v>43236</v>
      </c>
      <c r="D1233" s="362">
        <f t="shared" ca="1" si="39"/>
        <v>133040111.94100779</v>
      </c>
    </row>
    <row r="1234" spans="1:4">
      <c r="A1234" s="348">
        <f t="shared" si="40"/>
        <v>1233</v>
      </c>
      <c r="B1234" s="360">
        <f>DATE('Profit Calculation'!J$6,A$2,A$2+A1234-1)</f>
        <v>43237</v>
      </c>
      <c r="D1234" s="362">
        <f t="shared" ca="1" si="39"/>
        <v>133091064.00898437</v>
      </c>
    </row>
    <row r="1235" spans="1:4">
      <c r="A1235" s="348">
        <f t="shared" si="40"/>
        <v>1234</v>
      </c>
      <c r="B1235" s="360">
        <f>DATE('Profit Calculation'!J$6,A$2,A$2+A1235-1)</f>
        <v>43238</v>
      </c>
      <c r="D1235" s="362">
        <f t="shared" ca="1" si="39"/>
        <v>133142035.59072408</v>
      </c>
    </row>
    <row r="1236" spans="1:4">
      <c r="A1236" s="348">
        <f t="shared" si="40"/>
        <v>1235</v>
      </c>
      <c r="B1236" s="360">
        <f>DATE('Profit Calculation'!J$6,A$2,A$2+A1236-1)</f>
        <v>43239</v>
      </c>
      <c r="D1236" s="362">
        <f t="shared" ca="1" si="39"/>
        <v>133193026.69370034</v>
      </c>
    </row>
    <row r="1237" spans="1:4">
      <c r="A1237" s="348">
        <f t="shared" si="40"/>
        <v>1236</v>
      </c>
      <c r="B1237" s="360">
        <f>DATE('Profit Calculation'!J$6,A$2,A$2+A1237-1)</f>
        <v>43240</v>
      </c>
      <c r="D1237" s="362">
        <f t="shared" ca="1" si="39"/>
        <v>133244037.32538947</v>
      </c>
    </row>
    <row r="1238" spans="1:4">
      <c r="A1238" s="348">
        <f t="shared" si="40"/>
        <v>1237</v>
      </c>
      <c r="B1238" s="360">
        <f>DATE('Profit Calculation'!J$6,A$2,A$2+A1238-1)</f>
        <v>43241</v>
      </c>
      <c r="D1238" s="362">
        <f t="shared" ca="1" si="39"/>
        <v>133295067.49327062</v>
      </c>
    </row>
    <row r="1239" spans="1:4">
      <c r="A1239" s="348">
        <f t="shared" si="40"/>
        <v>1238</v>
      </c>
      <c r="B1239" s="360">
        <f>DATE('Profit Calculation'!J$6,A$2,A$2+A1239-1)</f>
        <v>43242</v>
      </c>
      <c r="D1239" s="362">
        <f t="shared" ca="1" si="39"/>
        <v>133346117.20482582</v>
      </c>
    </row>
    <row r="1240" spans="1:4">
      <c r="A1240" s="348">
        <f t="shared" si="40"/>
        <v>1239</v>
      </c>
      <c r="B1240" s="360">
        <f>DATE('Profit Calculation'!J$6,A$2,A$2+A1240-1)</f>
        <v>43243</v>
      </c>
      <c r="D1240" s="362">
        <f t="shared" ca="1" si="39"/>
        <v>133397186.46753995</v>
      </c>
    </row>
    <row r="1241" spans="1:4">
      <c r="A1241" s="348">
        <f t="shared" si="40"/>
        <v>1240</v>
      </c>
      <c r="B1241" s="360">
        <f>DATE('Profit Calculation'!J$6,A$2,A$2+A1241-1)</f>
        <v>43244</v>
      </c>
      <c r="D1241" s="362">
        <f t="shared" ca="1" si="39"/>
        <v>133448275.28890078</v>
      </c>
    </row>
    <row r="1242" spans="1:4">
      <c r="A1242" s="348">
        <f t="shared" si="40"/>
        <v>1241</v>
      </c>
      <c r="B1242" s="360">
        <f>DATE('Profit Calculation'!J$6,A$2,A$2+A1242-1)</f>
        <v>43245</v>
      </c>
      <c r="D1242" s="362">
        <f t="shared" ca="1" si="39"/>
        <v>133499383.67639892</v>
      </c>
    </row>
    <row r="1243" spans="1:4">
      <c r="A1243" s="348">
        <f t="shared" si="40"/>
        <v>1242</v>
      </c>
      <c r="B1243" s="360">
        <f>DATE('Profit Calculation'!J$6,A$2,A$2+A1243-1)</f>
        <v>43246</v>
      </c>
      <c r="D1243" s="362">
        <f t="shared" ca="1" si="39"/>
        <v>133550511.63752787</v>
      </c>
    </row>
    <row r="1244" spans="1:4">
      <c r="A1244" s="348">
        <f t="shared" si="40"/>
        <v>1243</v>
      </c>
      <c r="B1244" s="360">
        <f>DATE('Profit Calculation'!J$6,A$2,A$2+A1244-1)</f>
        <v>43247</v>
      </c>
      <c r="D1244" s="362">
        <f t="shared" ca="1" si="39"/>
        <v>133601659.17978399</v>
      </c>
    </row>
    <row r="1245" spans="1:4">
      <c r="A1245" s="348">
        <f t="shared" si="40"/>
        <v>1244</v>
      </c>
      <c r="B1245" s="360">
        <f>DATE('Profit Calculation'!J$6,A$2,A$2+A1245-1)</f>
        <v>43248</v>
      </c>
      <c r="D1245" s="362">
        <f t="shared" ca="1" si="39"/>
        <v>133652826.31066652</v>
      </c>
    </row>
    <row r="1246" spans="1:4">
      <c r="A1246" s="348">
        <f t="shared" si="40"/>
        <v>1245</v>
      </c>
      <c r="B1246" s="360">
        <f>DATE('Profit Calculation'!J$6,A$2,A$2+A1246-1)</f>
        <v>43249</v>
      </c>
      <c r="D1246" s="362">
        <f t="shared" ca="1" si="39"/>
        <v>133704013.03767756</v>
      </c>
    </row>
    <row r="1247" spans="1:4">
      <c r="A1247" s="348">
        <f t="shared" si="40"/>
        <v>1246</v>
      </c>
      <c r="B1247" s="360">
        <f>DATE('Profit Calculation'!J$6,A$2,A$2+A1247-1)</f>
        <v>43250</v>
      </c>
      <c r="D1247" s="362">
        <f t="shared" ca="1" si="39"/>
        <v>133755219.36832209</v>
      </c>
    </row>
    <row r="1248" spans="1:4">
      <c r="A1248" s="348">
        <f t="shared" si="40"/>
        <v>1247</v>
      </c>
      <c r="B1248" s="360">
        <f>DATE('Profit Calculation'!J$6,A$2,A$2+A1248-1)</f>
        <v>43251</v>
      </c>
      <c r="D1248" s="362">
        <f t="shared" ca="1" si="39"/>
        <v>133806445.31010796</v>
      </c>
    </row>
    <row r="1249" spans="1:4">
      <c r="A1249" s="348">
        <f t="shared" si="40"/>
        <v>1248</v>
      </c>
      <c r="B1249" s="360">
        <f>DATE('Profit Calculation'!J$6,A$2,A$2+A1249-1)</f>
        <v>43252</v>
      </c>
      <c r="D1249" s="362">
        <f t="shared" ca="1" si="39"/>
        <v>133857690.87054591</v>
      </c>
    </row>
    <row r="1250" spans="1:4">
      <c r="A1250" s="348">
        <f t="shared" si="40"/>
        <v>1249</v>
      </c>
      <c r="B1250" s="360">
        <f>DATE('Profit Calculation'!J$6,A$2,A$2+A1250-1)</f>
        <v>43253</v>
      </c>
      <c r="D1250" s="362">
        <f t="shared" ca="1" si="39"/>
        <v>133908956.05714953</v>
      </c>
    </row>
    <row r="1251" spans="1:4">
      <c r="A1251" s="348">
        <f t="shared" si="40"/>
        <v>1250</v>
      </c>
      <c r="B1251" s="360">
        <f>DATE('Profit Calculation'!J$6,A$2,A$2+A1251-1)</f>
        <v>43254</v>
      </c>
      <c r="D1251" s="362">
        <f t="shared" ca="1" si="39"/>
        <v>133960240.87743533</v>
      </c>
    </row>
    <row r="1252" spans="1:4">
      <c r="A1252" s="348">
        <f t="shared" si="40"/>
        <v>1251</v>
      </c>
      <c r="B1252" s="360">
        <f>DATE('Profit Calculation'!J$6,A$2,A$2+A1252-1)</f>
        <v>43255</v>
      </c>
      <c r="D1252" s="362">
        <f t="shared" ca="1" si="39"/>
        <v>134011545.33892263</v>
      </c>
    </row>
    <row r="1253" spans="1:4">
      <c r="A1253" s="348">
        <f t="shared" si="40"/>
        <v>1252</v>
      </c>
      <c r="B1253" s="360">
        <f>DATE('Profit Calculation'!J$6,A$2,A$2+A1253-1)</f>
        <v>43256</v>
      </c>
      <c r="D1253" s="362">
        <f t="shared" ca="1" si="39"/>
        <v>134062869.44913371</v>
      </c>
    </row>
    <row r="1254" spans="1:4">
      <c r="A1254" s="348">
        <f t="shared" si="40"/>
        <v>1253</v>
      </c>
      <c r="B1254" s="360">
        <f>DATE('Profit Calculation'!J$6,A$2,A$2+A1254-1)</f>
        <v>43257</v>
      </c>
      <c r="D1254" s="362">
        <f t="shared" ca="1" si="39"/>
        <v>134114213.21559368</v>
      </c>
    </row>
    <row r="1255" spans="1:4">
      <c r="A1255" s="348">
        <f t="shared" si="40"/>
        <v>1254</v>
      </c>
      <c r="B1255" s="360">
        <f>DATE('Profit Calculation'!J$6,A$2,A$2+A1255-1)</f>
        <v>43258</v>
      </c>
      <c r="D1255" s="362">
        <f t="shared" ca="1" si="39"/>
        <v>134165576.64583054</v>
      </c>
    </row>
    <row r="1256" spans="1:4">
      <c r="A1256" s="348">
        <f t="shared" si="40"/>
        <v>1255</v>
      </c>
      <c r="B1256" s="360">
        <f>DATE('Profit Calculation'!J$6,A$2,A$2+A1256-1)</f>
        <v>43259</v>
      </c>
      <c r="D1256" s="362">
        <f t="shared" ca="1" si="39"/>
        <v>134216959.74737518</v>
      </c>
    </row>
    <row r="1257" spans="1:4">
      <c r="A1257" s="348">
        <f t="shared" si="40"/>
        <v>1256</v>
      </c>
      <c r="B1257" s="360">
        <f>DATE('Profit Calculation'!J$6,A$2,A$2+A1257-1)</f>
        <v>43260</v>
      </c>
      <c r="D1257" s="362">
        <f t="shared" ca="1" si="39"/>
        <v>134268362.52776137</v>
      </c>
    </row>
    <row r="1258" spans="1:4">
      <c r="A1258" s="348">
        <f t="shared" si="40"/>
        <v>1257</v>
      </c>
      <c r="B1258" s="360">
        <f>DATE('Profit Calculation'!J$6,A$2,A$2+A1258-1)</f>
        <v>43261</v>
      </c>
      <c r="D1258" s="362">
        <f t="shared" ca="1" si="39"/>
        <v>134319784.99452576</v>
      </c>
    </row>
    <row r="1259" spans="1:4">
      <c r="A1259" s="348">
        <f t="shared" si="40"/>
        <v>1258</v>
      </c>
      <c r="B1259" s="360">
        <f>DATE('Profit Calculation'!J$6,A$2,A$2+A1259-1)</f>
        <v>43262</v>
      </c>
      <c r="D1259" s="362">
        <f t="shared" ca="1" si="39"/>
        <v>134371227.1552079</v>
      </c>
    </row>
    <row r="1260" spans="1:4">
      <c r="A1260" s="348">
        <f t="shared" si="40"/>
        <v>1259</v>
      </c>
      <c r="B1260" s="360">
        <f>DATE('Profit Calculation'!J$6,A$2,A$2+A1260-1)</f>
        <v>43263</v>
      </c>
      <c r="D1260" s="362">
        <f t="shared" ca="1" si="39"/>
        <v>134422689.01735023</v>
      </c>
    </row>
    <row r="1261" spans="1:4">
      <c r="A1261" s="348">
        <f t="shared" si="40"/>
        <v>1260</v>
      </c>
      <c r="B1261" s="360">
        <f>DATE('Profit Calculation'!J$6,A$2,A$2+A1261-1)</f>
        <v>43264</v>
      </c>
      <c r="D1261" s="362">
        <f t="shared" ca="1" si="39"/>
        <v>134474170.58849806</v>
      </c>
    </row>
    <row r="1262" spans="1:4">
      <c r="A1262" s="348">
        <f t="shared" si="40"/>
        <v>1261</v>
      </c>
      <c r="B1262" s="360">
        <f>DATE('Profit Calculation'!J$6,A$2,A$2+A1262-1)</f>
        <v>43265</v>
      </c>
      <c r="D1262" s="362">
        <f t="shared" ca="1" si="39"/>
        <v>134525671.8761996</v>
      </c>
    </row>
    <row r="1263" spans="1:4">
      <c r="A1263" s="348">
        <f t="shared" si="40"/>
        <v>1262</v>
      </c>
      <c r="B1263" s="360">
        <f>DATE('Profit Calculation'!J$6,A$2,A$2+A1263-1)</f>
        <v>43266</v>
      </c>
      <c r="D1263" s="362">
        <f t="shared" ca="1" si="39"/>
        <v>134577192.88800594</v>
      </c>
    </row>
    <row r="1264" spans="1:4">
      <c r="A1264" s="348">
        <f t="shared" si="40"/>
        <v>1263</v>
      </c>
      <c r="B1264" s="360">
        <f>DATE('Profit Calculation'!J$6,A$2,A$2+A1264-1)</f>
        <v>43267</v>
      </c>
      <c r="D1264" s="362">
        <f t="shared" ca="1" si="39"/>
        <v>134628733.6314711</v>
      </c>
    </row>
    <row r="1265" spans="1:4">
      <c r="A1265" s="348">
        <f t="shared" si="40"/>
        <v>1264</v>
      </c>
      <c r="B1265" s="360">
        <f>DATE('Profit Calculation'!J$6,A$2,A$2+A1265-1)</f>
        <v>43268</v>
      </c>
      <c r="D1265" s="362">
        <f t="shared" ca="1" si="39"/>
        <v>134680294.11415192</v>
      </c>
    </row>
    <row r="1266" spans="1:4">
      <c r="A1266" s="348">
        <f t="shared" si="40"/>
        <v>1265</v>
      </c>
      <c r="B1266" s="360">
        <f>DATE('Profit Calculation'!J$6,A$2,A$2+A1266-1)</f>
        <v>43269</v>
      </c>
      <c r="D1266" s="362">
        <f t="shared" ca="1" si="39"/>
        <v>134731874.34360823</v>
      </c>
    </row>
    <row r="1267" spans="1:4">
      <c r="A1267" s="348">
        <f t="shared" si="40"/>
        <v>1266</v>
      </c>
      <c r="B1267" s="360">
        <f>DATE('Profit Calculation'!J$6,A$2,A$2+A1267-1)</f>
        <v>43270</v>
      </c>
      <c r="D1267" s="362">
        <f t="shared" ca="1" si="39"/>
        <v>134783474.32740268</v>
      </c>
    </row>
    <row r="1268" spans="1:4">
      <c r="A1268" s="348">
        <f t="shared" si="40"/>
        <v>1267</v>
      </c>
      <c r="B1268" s="360">
        <f>DATE('Profit Calculation'!J$6,A$2,A$2+A1268-1)</f>
        <v>43271</v>
      </c>
      <c r="D1268" s="362">
        <f t="shared" ca="1" si="39"/>
        <v>134835094.07310084</v>
      </c>
    </row>
    <row r="1269" spans="1:4">
      <c r="A1269" s="348">
        <f t="shared" si="40"/>
        <v>1268</v>
      </c>
      <c r="B1269" s="360">
        <f>DATE('Profit Calculation'!J$6,A$2,A$2+A1269-1)</f>
        <v>43272</v>
      </c>
      <c r="D1269" s="362">
        <f t="shared" ca="1" si="39"/>
        <v>134886733.58827117</v>
      </c>
    </row>
    <row r="1270" spans="1:4">
      <c r="A1270" s="348">
        <f t="shared" si="40"/>
        <v>1269</v>
      </c>
      <c r="B1270" s="360">
        <f>DATE('Profit Calculation'!J$6,A$2,A$2+A1270-1)</f>
        <v>43273</v>
      </c>
      <c r="D1270" s="362">
        <f t="shared" ca="1" si="39"/>
        <v>134938392.88048506</v>
      </c>
    </row>
    <row r="1271" spans="1:4">
      <c r="A1271" s="348">
        <f t="shared" si="40"/>
        <v>1270</v>
      </c>
      <c r="B1271" s="360">
        <f>DATE('Profit Calculation'!J$6,A$2,A$2+A1271-1)</f>
        <v>43274</v>
      </c>
      <c r="D1271" s="362">
        <f t="shared" ca="1" si="39"/>
        <v>134990071.95731676</v>
      </c>
    </row>
    <row r="1272" spans="1:4">
      <c r="A1272" s="348">
        <f t="shared" si="40"/>
        <v>1271</v>
      </c>
      <c r="B1272" s="360">
        <f>DATE('Profit Calculation'!J$6,A$2,A$2+A1272-1)</f>
        <v>43275</v>
      </c>
      <c r="D1272" s="362">
        <f t="shared" ca="1" si="39"/>
        <v>135041770.82634342</v>
      </c>
    </row>
    <row r="1273" spans="1:4">
      <c r="A1273" s="348">
        <f t="shared" si="40"/>
        <v>1272</v>
      </c>
      <c r="B1273" s="360">
        <f>DATE('Profit Calculation'!J$6,A$2,A$2+A1273-1)</f>
        <v>43276</v>
      </c>
      <c r="D1273" s="362">
        <f t="shared" ca="1" si="39"/>
        <v>135093489.49514514</v>
      </c>
    </row>
    <row r="1274" spans="1:4">
      <c r="A1274" s="348">
        <f t="shared" si="40"/>
        <v>1273</v>
      </c>
      <c r="B1274" s="360">
        <f>DATE('Profit Calculation'!J$6,A$2,A$2+A1274-1)</f>
        <v>43277</v>
      </c>
      <c r="D1274" s="362">
        <f t="shared" ca="1" si="39"/>
        <v>135145227.97130489</v>
      </c>
    </row>
    <row r="1275" spans="1:4">
      <c r="A1275" s="348">
        <f t="shared" si="40"/>
        <v>1274</v>
      </c>
      <c r="B1275" s="360">
        <f>DATE('Profit Calculation'!J$6,A$2,A$2+A1275-1)</f>
        <v>43278</v>
      </c>
      <c r="D1275" s="362">
        <f t="shared" ca="1" si="39"/>
        <v>135196986.26240852</v>
      </c>
    </row>
    <row r="1276" spans="1:4">
      <c r="A1276" s="348">
        <f t="shared" si="40"/>
        <v>1275</v>
      </c>
      <c r="B1276" s="360">
        <f>DATE('Profit Calculation'!J$6,A$2,A$2+A1276-1)</f>
        <v>43279</v>
      </c>
      <c r="D1276" s="362">
        <f t="shared" ca="1" si="39"/>
        <v>135248764.37604484</v>
      </c>
    </row>
    <row r="1277" spans="1:4">
      <c r="A1277" s="348">
        <f t="shared" si="40"/>
        <v>1276</v>
      </c>
      <c r="B1277" s="360">
        <f>DATE('Profit Calculation'!J$6,A$2,A$2+A1277-1)</f>
        <v>43280</v>
      </c>
      <c r="D1277" s="362">
        <f t="shared" ca="1" si="39"/>
        <v>135300562.31980553</v>
      </c>
    </row>
    <row r="1278" spans="1:4">
      <c r="A1278" s="348">
        <f t="shared" si="40"/>
        <v>1277</v>
      </c>
      <c r="B1278" s="360">
        <f>DATE('Profit Calculation'!J$6,A$2,A$2+A1278-1)</f>
        <v>43281</v>
      </c>
      <c r="D1278" s="362">
        <f t="shared" ca="1" si="39"/>
        <v>135352380.10128519</v>
      </c>
    </row>
    <row r="1279" spans="1:4">
      <c r="A1279" s="348">
        <f t="shared" si="40"/>
        <v>1278</v>
      </c>
      <c r="B1279" s="360">
        <f>DATE('Profit Calculation'!J$6,A$2,A$2+A1279-1)</f>
        <v>43282</v>
      </c>
      <c r="D1279" s="362">
        <f t="shared" ca="1" si="39"/>
        <v>135404217.72808132</v>
      </c>
    </row>
    <row r="1280" spans="1:4">
      <c r="A1280" s="348">
        <f t="shared" si="40"/>
        <v>1279</v>
      </c>
      <c r="B1280" s="360">
        <f>DATE('Profit Calculation'!J$6,A$2,A$2+A1280-1)</f>
        <v>43283</v>
      </c>
      <c r="D1280" s="362">
        <f t="shared" ca="1" si="39"/>
        <v>135456075.20779431</v>
      </c>
    </row>
    <row r="1281" spans="1:4">
      <c r="A1281" s="348">
        <f t="shared" si="40"/>
        <v>1280</v>
      </c>
      <c r="B1281" s="360">
        <f>DATE('Profit Calculation'!J$6,A$2,A$2+A1281-1)</f>
        <v>43284</v>
      </c>
      <c r="D1281" s="362">
        <f t="shared" ca="1" si="39"/>
        <v>135507952.54802752</v>
      </c>
    </row>
    <row r="1282" spans="1:4">
      <c r="A1282" s="348">
        <f t="shared" si="40"/>
        <v>1281</v>
      </c>
      <c r="B1282" s="360">
        <f>DATE('Profit Calculation'!J$6,A$2,A$2+A1282-1)</f>
        <v>43285</v>
      </c>
      <c r="D1282" s="362">
        <f t="shared" ca="1" si="39"/>
        <v>135559849.75638717</v>
      </c>
    </row>
    <row r="1283" spans="1:4">
      <c r="A1283" s="348">
        <f t="shared" si="40"/>
        <v>1282</v>
      </c>
      <c r="B1283" s="360">
        <f>DATE('Profit Calculation'!J$6,A$2,A$2+A1283-1)</f>
        <v>43286</v>
      </c>
      <c r="D1283" s="362">
        <f t="shared" ca="1" si="39"/>
        <v>135611766.84048241</v>
      </c>
    </row>
    <row r="1284" spans="1:4">
      <c r="A1284" s="348">
        <f t="shared" si="40"/>
        <v>1283</v>
      </c>
      <c r="B1284" s="360">
        <f>DATE('Profit Calculation'!J$6,A$2,A$2+A1284-1)</f>
        <v>43287</v>
      </c>
      <c r="D1284" s="362">
        <f t="shared" ref="D1284:D1347" ca="1" si="41">IF(OR(LOOKUP(B1284,W$1:W$35,W$1:W$35) = B1284, LOOKUP(B1284,X$1:X$35,X$1:X$35) = B1284),LOOKUP(B1284,F:F,G:G),D1283*(1+((IF($Q$18&lt;6,$R$14,IF($Q$18&lt;11,$R$15,$R$16)))))^(1/365))</f>
        <v>135663703.80792531</v>
      </c>
    </row>
    <row r="1285" spans="1:4">
      <c r="A1285" s="348">
        <f t="shared" ref="A1285:A1348" si="42">A1284+1</f>
        <v>1284</v>
      </c>
      <c r="B1285" s="360">
        <f>DATE('Profit Calculation'!J$6,A$2,A$2+A1285-1)</f>
        <v>43288</v>
      </c>
      <c r="D1285" s="362">
        <f t="shared" ca="1" si="41"/>
        <v>135715660.66633084</v>
      </c>
    </row>
    <row r="1286" spans="1:4">
      <c r="A1286" s="348">
        <f t="shared" si="42"/>
        <v>1285</v>
      </c>
      <c r="B1286" s="360">
        <f>DATE('Profit Calculation'!J$6,A$2,A$2+A1286-1)</f>
        <v>43289</v>
      </c>
      <c r="D1286" s="362">
        <f t="shared" ca="1" si="41"/>
        <v>135767637.4233169</v>
      </c>
    </row>
    <row r="1287" spans="1:4">
      <c r="A1287" s="348">
        <f t="shared" si="42"/>
        <v>1286</v>
      </c>
      <c r="B1287" s="360">
        <f>DATE('Profit Calculation'!J$6,A$2,A$2+A1287-1)</f>
        <v>43290</v>
      </c>
      <c r="D1287" s="362">
        <f t="shared" ca="1" si="41"/>
        <v>135819634.08650431</v>
      </c>
    </row>
    <row r="1288" spans="1:4">
      <c r="A1288" s="348">
        <f t="shared" si="42"/>
        <v>1287</v>
      </c>
      <c r="B1288" s="360">
        <f>DATE('Profit Calculation'!J$6,A$2,A$2+A1288-1)</f>
        <v>43291</v>
      </c>
      <c r="D1288" s="362">
        <f t="shared" ca="1" si="41"/>
        <v>135871650.66351679</v>
      </c>
    </row>
    <row r="1289" spans="1:4">
      <c r="A1289" s="348">
        <f t="shared" si="42"/>
        <v>1288</v>
      </c>
      <c r="B1289" s="360">
        <f>DATE('Profit Calculation'!J$6,A$2,A$2+A1289-1)</f>
        <v>43292</v>
      </c>
      <c r="D1289" s="362">
        <f t="shared" ca="1" si="41"/>
        <v>135923687.16198102</v>
      </c>
    </row>
    <row r="1290" spans="1:4">
      <c r="A1290" s="348">
        <f t="shared" si="42"/>
        <v>1289</v>
      </c>
      <c r="B1290" s="360">
        <f>DATE('Profit Calculation'!J$6,A$2,A$2+A1290-1)</f>
        <v>43293</v>
      </c>
      <c r="D1290" s="362">
        <f t="shared" ca="1" si="41"/>
        <v>135975743.58952653</v>
      </c>
    </row>
    <row r="1291" spans="1:4">
      <c r="A1291" s="348">
        <f t="shared" si="42"/>
        <v>1290</v>
      </c>
      <c r="B1291" s="360">
        <f>DATE('Profit Calculation'!J$6,A$2,A$2+A1291-1)</f>
        <v>43294</v>
      </c>
      <c r="D1291" s="362">
        <f t="shared" ca="1" si="41"/>
        <v>136027819.95378584</v>
      </c>
    </row>
    <row r="1292" spans="1:4">
      <c r="A1292" s="348">
        <f t="shared" si="42"/>
        <v>1291</v>
      </c>
      <c r="B1292" s="360">
        <f>DATE('Profit Calculation'!J$6,A$2,A$2+A1292-1)</f>
        <v>43295</v>
      </c>
      <c r="D1292" s="362">
        <f t="shared" ca="1" si="41"/>
        <v>136079916.26239437</v>
      </c>
    </row>
    <row r="1293" spans="1:4">
      <c r="A1293" s="348">
        <f t="shared" si="42"/>
        <v>1292</v>
      </c>
      <c r="B1293" s="360">
        <f>DATE('Profit Calculation'!J$6,A$2,A$2+A1293-1)</f>
        <v>43296</v>
      </c>
      <c r="D1293" s="362">
        <f t="shared" ca="1" si="41"/>
        <v>136132032.52299044</v>
      </c>
    </row>
    <row r="1294" spans="1:4">
      <c r="A1294" s="348">
        <f t="shared" si="42"/>
        <v>1293</v>
      </c>
      <c r="B1294" s="360">
        <f>DATE('Profit Calculation'!J$6,A$2,A$2+A1294-1)</f>
        <v>43297</v>
      </c>
      <c r="D1294" s="362">
        <f t="shared" ca="1" si="41"/>
        <v>136184168.74321532</v>
      </c>
    </row>
    <row r="1295" spans="1:4">
      <c r="A1295" s="348">
        <f t="shared" si="42"/>
        <v>1294</v>
      </c>
      <c r="B1295" s="360">
        <f>DATE('Profit Calculation'!J$6,A$2,A$2+A1295-1)</f>
        <v>43298</v>
      </c>
      <c r="D1295" s="362">
        <f t="shared" ca="1" si="41"/>
        <v>136236324.93071324</v>
      </c>
    </row>
    <row r="1296" spans="1:4">
      <c r="A1296" s="348">
        <f t="shared" si="42"/>
        <v>1295</v>
      </c>
      <c r="B1296" s="360">
        <f>DATE('Profit Calculation'!J$6,A$2,A$2+A1296-1)</f>
        <v>43299</v>
      </c>
      <c r="D1296" s="362">
        <f t="shared" ca="1" si="41"/>
        <v>136288501.09313127</v>
      </c>
    </row>
    <row r="1297" spans="1:4">
      <c r="A1297" s="348">
        <f t="shared" si="42"/>
        <v>1296</v>
      </c>
      <c r="B1297" s="360">
        <f>DATE('Profit Calculation'!J$6,A$2,A$2+A1297-1)</f>
        <v>43300</v>
      </c>
      <c r="D1297" s="362">
        <f t="shared" ca="1" si="41"/>
        <v>136340697.23811951</v>
      </c>
    </row>
    <row r="1298" spans="1:4">
      <c r="A1298" s="348">
        <f t="shared" si="42"/>
        <v>1297</v>
      </c>
      <c r="B1298" s="360">
        <f>DATE('Profit Calculation'!J$6,A$2,A$2+A1298-1)</f>
        <v>43301</v>
      </c>
      <c r="D1298" s="362">
        <f t="shared" ca="1" si="41"/>
        <v>136392913.37333089</v>
      </c>
    </row>
    <row r="1299" spans="1:4">
      <c r="A1299" s="348">
        <f t="shared" si="42"/>
        <v>1298</v>
      </c>
      <c r="B1299" s="360">
        <f>DATE('Profit Calculation'!J$6,A$2,A$2+A1299-1)</f>
        <v>43302</v>
      </c>
      <c r="D1299" s="362">
        <f t="shared" ca="1" si="41"/>
        <v>136445149.50642136</v>
      </c>
    </row>
    <row r="1300" spans="1:4">
      <c r="A1300" s="348">
        <f t="shared" si="42"/>
        <v>1299</v>
      </c>
      <c r="B1300" s="360">
        <f>DATE('Profit Calculation'!J$6,A$2,A$2+A1300-1)</f>
        <v>43303</v>
      </c>
      <c r="D1300" s="362">
        <f t="shared" ca="1" si="41"/>
        <v>136497405.64504975</v>
      </c>
    </row>
    <row r="1301" spans="1:4">
      <c r="A1301" s="348">
        <f t="shared" si="42"/>
        <v>1300</v>
      </c>
      <c r="B1301" s="360">
        <f>DATE('Profit Calculation'!J$6,A$2,A$2+A1301-1)</f>
        <v>43304</v>
      </c>
      <c r="D1301" s="362">
        <f t="shared" ca="1" si="41"/>
        <v>136549681.79687783</v>
      </c>
    </row>
    <row r="1302" spans="1:4">
      <c r="A1302" s="348">
        <f t="shared" si="42"/>
        <v>1301</v>
      </c>
      <c r="B1302" s="360">
        <f>DATE('Profit Calculation'!J$6,A$2,A$2+A1302-1)</f>
        <v>43305</v>
      </c>
      <c r="D1302" s="362">
        <f t="shared" ca="1" si="41"/>
        <v>136601977.96957031</v>
      </c>
    </row>
    <row r="1303" spans="1:4">
      <c r="A1303" s="348">
        <f t="shared" si="42"/>
        <v>1302</v>
      </c>
      <c r="B1303" s="360">
        <f>DATE('Profit Calculation'!J$6,A$2,A$2+A1303-1)</f>
        <v>43306</v>
      </c>
      <c r="D1303" s="362">
        <f t="shared" ca="1" si="41"/>
        <v>136654294.17079484</v>
      </c>
    </row>
    <row r="1304" spans="1:4">
      <c r="A1304" s="348">
        <f t="shared" si="42"/>
        <v>1303</v>
      </c>
      <c r="B1304" s="360">
        <f>DATE('Profit Calculation'!J$6,A$2,A$2+A1304-1)</f>
        <v>43307</v>
      </c>
      <c r="D1304" s="362">
        <f t="shared" ca="1" si="41"/>
        <v>136706630.40822202</v>
      </c>
    </row>
    <row r="1305" spans="1:4">
      <c r="A1305" s="348">
        <f t="shared" si="42"/>
        <v>1304</v>
      </c>
      <c r="B1305" s="360">
        <f>DATE('Profit Calculation'!J$6,A$2,A$2+A1305-1)</f>
        <v>43308</v>
      </c>
      <c r="D1305" s="362">
        <f t="shared" ca="1" si="41"/>
        <v>136758986.68952534</v>
      </c>
    </row>
    <row r="1306" spans="1:4">
      <c r="A1306" s="348">
        <f t="shared" si="42"/>
        <v>1305</v>
      </c>
      <c r="B1306" s="360">
        <f>DATE('Profit Calculation'!J$6,A$2,A$2+A1306-1)</f>
        <v>43309</v>
      </c>
      <c r="D1306" s="362">
        <f t="shared" ca="1" si="41"/>
        <v>136811363.02238128</v>
      </c>
    </row>
    <row r="1307" spans="1:4">
      <c r="A1307" s="348">
        <f t="shared" si="42"/>
        <v>1306</v>
      </c>
      <c r="B1307" s="360">
        <f>DATE('Profit Calculation'!J$6,A$2,A$2+A1307-1)</f>
        <v>43310</v>
      </c>
      <c r="D1307" s="362">
        <f t="shared" ca="1" si="41"/>
        <v>136863759.41446921</v>
      </c>
    </row>
    <row r="1308" spans="1:4">
      <c r="A1308" s="348">
        <f t="shared" si="42"/>
        <v>1307</v>
      </c>
      <c r="B1308" s="360">
        <f>DATE('Profit Calculation'!J$6,A$2,A$2+A1308-1)</f>
        <v>43311</v>
      </c>
      <c r="D1308" s="362">
        <f t="shared" ca="1" si="41"/>
        <v>136916175.8734715</v>
      </c>
    </row>
    <row r="1309" spans="1:4">
      <c r="A1309" s="348">
        <f t="shared" si="42"/>
        <v>1308</v>
      </c>
      <c r="B1309" s="360">
        <f>DATE('Profit Calculation'!J$6,A$2,A$2+A1309-1)</f>
        <v>43312</v>
      </c>
      <c r="D1309" s="362">
        <f t="shared" ca="1" si="41"/>
        <v>136968612.40707341</v>
      </c>
    </row>
    <row r="1310" spans="1:4">
      <c r="A1310" s="348">
        <f t="shared" si="42"/>
        <v>1309</v>
      </c>
      <c r="B1310" s="360">
        <f>DATE('Profit Calculation'!J$6,A$2,A$2+A1310-1)</f>
        <v>43313</v>
      </c>
      <c r="D1310" s="362">
        <f t="shared" ca="1" si="41"/>
        <v>137021069.0229632</v>
      </c>
    </row>
    <row r="1311" spans="1:4">
      <c r="A1311" s="348">
        <f t="shared" si="42"/>
        <v>1310</v>
      </c>
      <c r="B1311" s="360">
        <f>DATE('Profit Calculation'!J$6,A$2,A$2+A1311-1)</f>
        <v>43314</v>
      </c>
      <c r="D1311" s="362">
        <f t="shared" ca="1" si="41"/>
        <v>137073545.72883201</v>
      </c>
    </row>
    <row r="1312" spans="1:4">
      <c r="A1312" s="348">
        <f t="shared" si="42"/>
        <v>1311</v>
      </c>
      <c r="B1312" s="360">
        <f>DATE('Profit Calculation'!J$6,A$2,A$2+A1312-1)</f>
        <v>43315</v>
      </c>
      <c r="D1312" s="362">
        <f t="shared" ca="1" si="41"/>
        <v>137126042.53237396</v>
      </c>
    </row>
    <row r="1313" spans="1:4">
      <c r="A1313" s="348">
        <f t="shared" si="42"/>
        <v>1312</v>
      </c>
      <c r="B1313" s="360">
        <f>DATE('Profit Calculation'!J$6,A$2,A$2+A1313-1)</f>
        <v>43316</v>
      </c>
      <c r="D1313" s="362">
        <f t="shared" ca="1" si="41"/>
        <v>137178559.44128612</v>
      </c>
    </row>
    <row r="1314" spans="1:4">
      <c r="A1314" s="348">
        <f t="shared" si="42"/>
        <v>1313</v>
      </c>
      <c r="B1314" s="360">
        <f>DATE('Profit Calculation'!J$6,A$2,A$2+A1314-1)</f>
        <v>43317</v>
      </c>
      <c r="D1314" s="362">
        <f t="shared" ca="1" si="41"/>
        <v>137231096.46326849</v>
      </c>
    </row>
    <row r="1315" spans="1:4">
      <c r="A1315" s="348">
        <f t="shared" si="42"/>
        <v>1314</v>
      </c>
      <c r="B1315" s="360">
        <f>DATE('Profit Calculation'!J$6,A$2,A$2+A1315-1)</f>
        <v>43318</v>
      </c>
      <c r="D1315" s="362">
        <f t="shared" ca="1" si="41"/>
        <v>137283653.60602403</v>
      </c>
    </row>
    <row r="1316" spans="1:4">
      <c r="A1316" s="348">
        <f t="shared" si="42"/>
        <v>1315</v>
      </c>
      <c r="B1316" s="360">
        <f>DATE('Profit Calculation'!J$6,A$2,A$2+A1316-1)</f>
        <v>43319</v>
      </c>
      <c r="D1316" s="362">
        <f t="shared" ca="1" si="41"/>
        <v>137336230.87725866</v>
      </c>
    </row>
    <row r="1317" spans="1:4">
      <c r="A1317" s="348">
        <f t="shared" si="42"/>
        <v>1316</v>
      </c>
      <c r="B1317" s="360">
        <f>DATE('Profit Calculation'!J$6,A$2,A$2+A1317-1)</f>
        <v>43320</v>
      </c>
      <c r="D1317" s="362">
        <f t="shared" ca="1" si="41"/>
        <v>137388828.28468123</v>
      </c>
    </row>
    <row r="1318" spans="1:4">
      <c r="A1318" s="348">
        <f t="shared" si="42"/>
        <v>1317</v>
      </c>
      <c r="B1318" s="360">
        <f>DATE('Profit Calculation'!J$6,A$2,A$2+A1318-1)</f>
        <v>43321</v>
      </c>
      <c r="D1318" s="362">
        <f t="shared" ca="1" si="41"/>
        <v>137441445.83600354</v>
      </c>
    </row>
    <row r="1319" spans="1:4">
      <c r="A1319" s="348">
        <f t="shared" si="42"/>
        <v>1318</v>
      </c>
      <c r="B1319" s="360">
        <f>DATE('Profit Calculation'!J$6,A$2,A$2+A1319-1)</f>
        <v>43322</v>
      </c>
      <c r="D1319" s="362">
        <f t="shared" ca="1" si="41"/>
        <v>137494083.53894037</v>
      </c>
    </row>
    <row r="1320" spans="1:4">
      <c r="A1320" s="348">
        <f t="shared" si="42"/>
        <v>1319</v>
      </c>
      <c r="B1320" s="360">
        <f>DATE('Profit Calculation'!J$6,A$2,A$2+A1320-1)</f>
        <v>43323</v>
      </c>
      <c r="D1320" s="362">
        <f t="shared" ca="1" si="41"/>
        <v>137546741.40120944</v>
      </c>
    </row>
    <row r="1321" spans="1:4">
      <c r="A1321" s="348">
        <f t="shared" si="42"/>
        <v>1320</v>
      </c>
      <c r="B1321" s="360">
        <f>DATE('Profit Calculation'!J$6,A$2,A$2+A1321-1)</f>
        <v>43324</v>
      </c>
      <c r="D1321" s="362">
        <f t="shared" ca="1" si="41"/>
        <v>137599419.43053144</v>
      </c>
    </row>
    <row r="1322" spans="1:4">
      <c r="A1322" s="348">
        <f t="shared" si="42"/>
        <v>1321</v>
      </c>
      <c r="B1322" s="360">
        <f>DATE('Profit Calculation'!J$6,A$2,A$2+A1322-1)</f>
        <v>43325</v>
      </c>
      <c r="D1322" s="362">
        <f t="shared" ca="1" si="41"/>
        <v>137652117.63462999</v>
      </c>
    </row>
    <row r="1323" spans="1:4">
      <c r="A1323" s="348">
        <f t="shared" si="42"/>
        <v>1322</v>
      </c>
      <c r="B1323" s="360">
        <f>DATE('Profit Calculation'!J$6,A$2,A$2+A1323-1)</f>
        <v>43326</v>
      </c>
      <c r="D1323" s="362">
        <f t="shared" ca="1" si="41"/>
        <v>137704836.02123168</v>
      </c>
    </row>
    <row r="1324" spans="1:4">
      <c r="A1324" s="348">
        <f t="shared" si="42"/>
        <v>1323</v>
      </c>
      <c r="B1324" s="360">
        <f>DATE('Profit Calculation'!J$6,A$2,A$2+A1324-1)</f>
        <v>43327</v>
      </c>
      <c r="D1324" s="362">
        <f t="shared" ca="1" si="41"/>
        <v>137757574.59806606</v>
      </c>
    </row>
    <row r="1325" spans="1:4">
      <c r="A1325" s="348">
        <f t="shared" si="42"/>
        <v>1324</v>
      </c>
      <c r="B1325" s="360">
        <f>DATE('Profit Calculation'!J$6,A$2,A$2+A1325-1)</f>
        <v>43328</v>
      </c>
      <c r="D1325" s="362">
        <f t="shared" ca="1" si="41"/>
        <v>137810333.37286565</v>
      </c>
    </row>
    <row r="1326" spans="1:4">
      <c r="A1326" s="348">
        <f t="shared" si="42"/>
        <v>1325</v>
      </c>
      <c r="B1326" s="360">
        <f>DATE('Profit Calculation'!J$6,A$2,A$2+A1326-1)</f>
        <v>43329</v>
      </c>
      <c r="D1326" s="362">
        <f t="shared" ca="1" si="41"/>
        <v>137863112.35336593</v>
      </c>
    </row>
    <row r="1327" spans="1:4">
      <c r="A1327" s="348">
        <f t="shared" si="42"/>
        <v>1326</v>
      </c>
      <c r="B1327" s="360">
        <f>DATE('Profit Calculation'!J$6,A$2,A$2+A1327-1)</f>
        <v>43330</v>
      </c>
      <c r="D1327" s="362">
        <f t="shared" ca="1" si="41"/>
        <v>137915911.54730532</v>
      </c>
    </row>
    <row r="1328" spans="1:4">
      <c r="A1328" s="348">
        <f t="shared" si="42"/>
        <v>1327</v>
      </c>
      <c r="B1328" s="360">
        <f>DATE('Profit Calculation'!J$6,A$2,A$2+A1328-1)</f>
        <v>43331</v>
      </c>
      <c r="D1328" s="362">
        <f t="shared" ca="1" si="41"/>
        <v>137968730.9624252</v>
      </c>
    </row>
    <row r="1329" spans="1:4">
      <c r="A1329" s="348">
        <f t="shared" si="42"/>
        <v>1328</v>
      </c>
      <c r="B1329" s="360">
        <f>DATE('Profit Calculation'!J$6,A$2,A$2+A1329-1)</f>
        <v>43332</v>
      </c>
      <c r="D1329" s="362">
        <f t="shared" ca="1" si="41"/>
        <v>138021570.60646996</v>
      </c>
    </row>
    <row r="1330" spans="1:4">
      <c r="A1330" s="348">
        <f t="shared" si="42"/>
        <v>1329</v>
      </c>
      <c r="B1330" s="360">
        <f>DATE('Profit Calculation'!J$6,A$2,A$2+A1330-1)</f>
        <v>43333</v>
      </c>
      <c r="D1330" s="362">
        <f t="shared" ca="1" si="41"/>
        <v>138074430.48718694</v>
      </c>
    </row>
    <row r="1331" spans="1:4">
      <c r="A1331" s="348">
        <f t="shared" si="42"/>
        <v>1330</v>
      </c>
      <c r="B1331" s="360">
        <f>DATE('Profit Calculation'!J$6,A$2,A$2+A1331-1)</f>
        <v>43334</v>
      </c>
      <c r="D1331" s="362">
        <f t="shared" ca="1" si="41"/>
        <v>138127310.61232641</v>
      </c>
    </row>
    <row r="1332" spans="1:4">
      <c r="A1332" s="348">
        <f t="shared" si="42"/>
        <v>1331</v>
      </c>
      <c r="B1332" s="360">
        <f>DATE('Profit Calculation'!J$6,A$2,A$2+A1332-1)</f>
        <v>43335</v>
      </c>
      <c r="D1332" s="362">
        <f t="shared" ca="1" si="41"/>
        <v>138180210.98964164</v>
      </c>
    </row>
    <row r="1333" spans="1:4">
      <c r="A1333" s="348">
        <f t="shared" si="42"/>
        <v>1332</v>
      </c>
      <c r="B1333" s="360">
        <f>DATE('Profit Calculation'!J$6,A$2,A$2+A1333-1)</f>
        <v>43336</v>
      </c>
      <c r="D1333" s="362">
        <f t="shared" ca="1" si="41"/>
        <v>138233131.62688887</v>
      </c>
    </row>
    <row r="1334" spans="1:4">
      <c r="A1334" s="348">
        <f t="shared" si="42"/>
        <v>1333</v>
      </c>
      <c r="B1334" s="360">
        <f>DATE('Profit Calculation'!J$6,A$2,A$2+A1334-1)</f>
        <v>43337</v>
      </c>
      <c r="D1334" s="362">
        <f t="shared" ca="1" si="41"/>
        <v>138286072.5318273</v>
      </c>
    </row>
    <row r="1335" spans="1:4">
      <c r="A1335" s="348">
        <f t="shared" si="42"/>
        <v>1334</v>
      </c>
      <c r="B1335" s="360">
        <f>DATE('Profit Calculation'!J$6,A$2,A$2+A1335-1)</f>
        <v>43338</v>
      </c>
      <c r="D1335" s="362">
        <f t="shared" ca="1" si="41"/>
        <v>138339033.71221912</v>
      </c>
    </row>
    <row r="1336" spans="1:4">
      <c r="A1336" s="348">
        <f t="shared" si="42"/>
        <v>1335</v>
      </c>
      <c r="B1336" s="360">
        <f>DATE('Profit Calculation'!J$6,A$2,A$2+A1336-1)</f>
        <v>43339</v>
      </c>
      <c r="D1336" s="362">
        <f t="shared" ca="1" si="41"/>
        <v>138392015.17582947</v>
      </c>
    </row>
    <row r="1337" spans="1:4">
      <c r="A1337" s="348">
        <f t="shared" si="42"/>
        <v>1336</v>
      </c>
      <c r="B1337" s="360">
        <f>DATE('Profit Calculation'!J$6,A$2,A$2+A1337-1)</f>
        <v>43340</v>
      </c>
      <c r="D1337" s="362">
        <f t="shared" ca="1" si="41"/>
        <v>138445016.93042648</v>
      </c>
    </row>
    <row r="1338" spans="1:4">
      <c r="A1338" s="348">
        <f t="shared" si="42"/>
        <v>1337</v>
      </c>
      <c r="B1338" s="360">
        <f>DATE('Profit Calculation'!J$6,A$2,A$2+A1338-1)</f>
        <v>43341</v>
      </c>
      <c r="D1338" s="362">
        <f t="shared" ca="1" si="41"/>
        <v>138498038.98378122</v>
      </c>
    </row>
    <row r="1339" spans="1:4">
      <c r="A1339" s="348">
        <f t="shared" si="42"/>
        <v>1338</v>
      </c>
      <c r="B1339" s="360">
        <f>DATE('Profit Calculation'!J$6,A$2,A$2+A1339-1)</f>
        <v>43342</v>
      </c>
      <c r="D1339" s="362">
        <f t="shared" ca="1" si="41"/>
        <v>138551081.34366778</v>
      </c>
    </row>
    <row r="1340" spans="1:4">
      <c r="A1340" s="348">
        <f t="shared" si="42"/>
        <v>1339</v>
      </c>
      <c r="B1340" s="360">
        <f>DATE('Profit Calculation'!J$6,A$2,A$2+A1340-1)</f>
        <v>43343</v>
      </c>
      <c r="D1340" s="362">
        <f t="shared" ca="1" si="41"/>
        <v>138604144.01786321</v>
      </c>
    </row>
    <row r="1341" spans="1:4">
      <c r="A1341" s="348">
        <f t="shared" si="42"/>
        <v>1340</v>
      </c>
      <c r="B1341" s="360">
        <f>DATE('Profit Calculation'!J$6,A$2,A$2+A1341-1)</f>
        <v>43344</v>
      </c>
      <c r="D1341" s="362">
        <f t="shared" ca="1" si="41"/>
        <v>138657227.01414755</v>
      </c>
    </row>
    <row r="1342" spans="1:4">
      <c r="A1342" s="348">
        <f t="shared" si="42"/>
        <v>1341</v>
      </c>
      <c r="B1342" s="360">
        <f>DATE('Profit Calculation'!J$6,A$2,A$2+A1342-1)</f>
        <v>43345</v>
      </c>
      <c r="D1342" s="362">
        <f t="shared" ca="1" si="41"/>
        <v>138710330.34030381</v>
      </c>
    </row>
    <row r="1343" spans="1:4">
      <c r="A1343" s="348">
        <f t="shared" si="42"/>
        <v>1342</v>
      </c>
      <c r="B1343" s="360">
        <f>DATE('Profit Calculation'!J$6,A$2,A$2+A1343-1)</f>
        <v>43346</v>
      </c>
      <c r="D1343" s="362">
        <f t="shared" ca="1" si="41"/>
        <v>138763454.00411797</v>
      </c>
    </row>
    <row r="1344" spans="1:4">
      <c r="A1344" s="348">
        <f t="shared" si="42"/>
        <v>1343</v>
      </c>
      <c r="B1344" s="360">
        <f>DATE('Profit Calculation'!J$6,A$2,A$2+A1344-1)</f>
        <v>43347</v>
      </c>
      <c r="D1344" s="362">
        <f t="shared" ca="1" si="41"/>
        <v>138816598.01337901</v>
      </c>
    </row>
    <row r="1345" spans="1:4">
      <c r="A1345" s="348">
        <f t="shared" si="42"/>
        <v>1344</v>
      </c>
      <c r="B1345" s="360">
        <f>DATE('Profit Calculation'!J$6,A$2,A$2+A1345-1)</f>
        <v>43348</v>
      </c>
      <c r="D1345" s="362">
        <f t="shared" ca="1" si="41"/>
        <v>138869762.37587887</v>
      </c>
    </row>
    <row r="1346" spans="1:4">
      <c r="A1346" s="348">
        <f t="shared" si="42"/>
        <v>1345</v>
      </c>
      <c r="B1346" s="360">
        <f>DATE('Profit Calculation'!J$6,A$2,A$2+A1346-1)</f>
        <v>43349</v>
      </c>
      <c r="D1346" s="362">
        <f t="shared" ca="1" si="41"/>
        <v>138922947.0994125</v>
      </c>
    </row>
    <row r="1347" spans="1:4">
      <c r="A1347" s="348">
        <f t="shared" si="42"/>
        <v>1346</v>
      </c>
      <c r="B1347" s="360">
        <f>DATE('Profit Calculation'!J$6,A$2,A$2+A1347-1)</f>
        <v>43350</v>
      </c>
      <c r="D1347" s="362">
        <f t="shared" ca="1" si="41"/>
        <v>138976152.19177783</v>
      </c>
    </row>
    <row r="1348" spans="1:4">
      <c r="A1348" s="348">
        <f t="shared" si="42"/>
        <v>1347</v>
      </c>
      <c r="B1348" s="360">
        <f>DATE('Profit Calculation'!J$6,A$2,A$2+A1348-1)</f>
        <v>43351</v>
      </c>
      <c r="D1348" s="362">
        <f t="shared" ref="D1348:D1411" ca="1" si="43">IF(OR(LOOKUP(B1348,W$1:W$35,W$1:W$35) = B1348, LOOKUP(B1348,X$1:X$35,X$1:X$35) = B1348),LOOKUP(B1348,F:F,G:G),D1347*(1+((IF($Q$18&lt;6,$R$14,IF($Q$18&lt;11,$R$15,$R$16)))))^(1/365))</f>
        <v>139029377.66077575</v>
      </c>
    </row>
    <row r="1349" spans="1:4">
      <c r="A1349" s="348">
        <f t="shared" ref="A1349:A1412" si="44">A1348+1</f>
        <v>1348</v>
      </c>
      <c r="B1349" s="360">
        <f>DATE('Profit Calculation'!J$6,A$2,A$2+A1349-1)</f>
        <v>43352</v>
      </c>
      <c r="D1349" s="362">
        <f t="shared" ca="1" si="43"/>
        <v>139082623.51421019</v>
      </c>
    </row>
    <row r="1350" spans="1:4">
      <c r="A1350" s="348">
        <f t="shared" si="44"/>
        <v>1349</v>
      </c>
      <c r="B1350" s="360">
        <f>DATE('Profit Calculation'!J$6,A$2,A$2+A1350-1)</f>
        <v>43353</v>
      </c>
      <c r="D1350" s="362">
        <f t="shared" ca="1" si="43"/>
        <v>139135889.75988802</v>
      </c>
    </row>
    <row r="1351" spans="1:4">
      <c r="A1351" s="348">
        <f t="shared" si="44"/>
        <v>1350</v>
      </c>
      <c r="B1351" s="360">
        <f>DATE('Profit Calculation'!J$6,A$2,A$2+A1351-1)</f>
        <v>43354</v>
      </c>
      <c r="D1351" s="362">
        <f t="shared" ca="1" si="43"/>
        <v>139189176.40561911</v>
      </c>
    </row>
    <row r="1352" spans="1:4">
      <c r="A1352" s="348">
        <f t="shared" si="44"/>
        <v>1351</v>
      </c>
      <c r="B1352" s="360">
        <f>DATE('Profit Calculation'!J$6,A$2,A$2+A1352-1)</f>
        <v>43355</v>
      </c>
      <c r="D1352" s="362">
        <f t="shared" ca="1" si="43"/>
        <v>139242483.45921636</v>
      </c>
    </row>
    <row r="1353" spans="1:4">
      <c r="A1353" s="348">
        <f t="shared" si="44"/>
        <v>1352</v>
      </c>
      <c r="B1353" s="360">
        <f>DATE('Profit Calculation'!J$6,A$2,A$2+A1353-1)</f>
        <v>43356</v>
      </c>
      <c r="D1353" s="362">
        <f t="shared" ca="1" si="43"/>
        <v>139295810.92849559</v>
      </c>
    </row>
    <row r="1354" spans="1:4">
      <c r="A1354" s="348">
        <f t="shared" si="44"/>
        <v>1353</v>
      </c>
      <c r="B1354" s="360">
        <f>DATE('Profit Calculation'!J$6,A$2,A$2+A1354-1)</f>
        <v>43357</v>
      </c>
      <c r="D1354" s="362">
        <f t="shared" ca="1" si="43"/>
        <v>139349158.82127568</v>
      </c>
    </row>
    <row r="1355" spans="1:4">
      <c r="A1355" s="348">
        <f t="shared" si="44"/>
        <v>1354</v>
      </c>
      <c r="B1355" s="360">
        <f>DATE('Profit Calculation'!J$6,A$2,A$2+A1355-1)</f>
        <v>43358</v>
      </c>
      <c r="D1355" s="362">
        <f t="shared" ca="1" si="43"/>
        <v>139402527.14537847</v>
      </c>
    </row>
    <row r="1356" spans="1:4">
      <c r="A1356" s="348">
        <f t="shared" si="44"/>
        <v>1355</v>
      </c>
      <c r="B1356" s="360">
        <f>DATE('Profit Calculation'!J$6,A$2,A$2+A1356-1)</f>
        <v>43359</v>
      </c>
      <c r="D1356" s="362">
        <f t="shared" ca="1" si="43"/>
        <v>139455915.90862882</v>
      </c>
    </row>
    <row r="1357" spans="1:4">
      <c r="A1357" s="348">
        <f t="shared" si="44"/>
        <v>1356</v>
      </c>
      <c r="B1357" s="360">
        <f>DATE('Profit Calculation'!J$6,A$2,A$2+A1357-1)</f>
        <v>43360</v>
      </c>
      <c r="D1357" s="362">
        <f t="shared" ca="1" si="43"/>
        <v>139509325.11885455</v>
      </c>
    </row>
    <row r="1358" spans="1:4">
      <c r="A1358" s="348">
        <f t="shared" si="44"/>
        <v>1357</v>
      </c>
      <c r="B1358" s="360">
        <f>DATE('Profit Calculation'!J$6,A$2,A$2+A1358-1)</f>
        <v>43361</v>
      </c>
      <c r="D1358" s="362">
        <f t="shared" ca="1" si="43"/>
        <v>139562754.78388652</v>
      </c>
    </row>
    <row r="1359" spans="1:4">
      <c r="A1359" s="348">
        <f t="shared" si="44"/>
        <v>1358</v>
      </c>
      <c r="B1359" s="360">
        <f>DATE('Profit Calculation'!J$6,A$2,A$2+A1359-1)</f>
        <v>43362</v>
      </c>
      <c r="D1359" s="362">
        <f t="shared" ca="1" si="43"/>
        <v>139616204.91155854</v>
      </c>
    </row>
    <row r="1360" spans="1:4">
      <c r="A1360" s="348">
        <f t="shared" si="44"/>
        <v>1359</v>
      </c>
      <c r="B1360" s="360">
        <f>DATE('Profit Calculation'!J$6,A$2,A$2+A1360-1)</f>
        <v>43363</v>
      </c>
      <c r="D1360" s="362">
        <f t="shared" ca="1" si="43"/>
        <v>139669675.50970745</v>
      </c>
    </row>
    <row r="1361" spans="1:4">
      <c r="A1361" s="348">
        <f t="shared" si="44"/>
        <v>1360</v>
      </c>
      <c r="B1361" s="360">
        <f>DATE('Profit Calculation'!J$6,A$2,A$2+A1361-1)</f>
        <v>43364</v>
      </c>
      <c r="D1361" s="362">
        <f t="shared" ca="1" si="43"/>
        <v>139723166.58617312</v>
      </c>
    </row>
    <row r="1362" spans="1:4">
      <c r="A1362" s="348">
        <f t="shared" si="44"/>
        <v>1361</v>
      </c>
      <c r="B1362" s="360">
        <f>DATE('Profit Calculation'!J$6,A$2,A$2+A1362-1)</f>
        <v>43365</v>
      </c>
      <c r="D1362" s="362">
        <f t="shared" ca="1" si="43"/>
        <v>139776678.14879838</v>
      </c>
    </row>
    <row r="1363" spans="1:4">
      <c r="A1363" s="348">
        <f t="shared" si="44"/>
        <v>1362</v>
      </c>
      <c r="B1363" s="360">
        <f>DATE('Profit Calculation'!J$6,A$2,A$2+A1363-1)</f>
        <v>43366</v>
      </c>
      <c r="D1363" s="362">
        <f t="shared" ca="1" si="43"/>
        <v>139830210.20542905</v>
      </c>
    </row>
    <row r="1364" spans="1:4">
      <c r="A1364" s="348">
        <f t="shared" si="44"/>
        <v>1363</v>
      </c>
      <c r="B1364" s="360">
        <f>DATE('Profit Calculation'!J$6,A$2,A$2+A1364-1)</f>
        <v>43367</v>
      </c>
      <c r="D1364" s="362">
        <f t="shared" ca="1" si="43"/>
        <v>139883762.76391399</v>
      </c>
    </row>
    <row r="1365" spans="1:4">
      <c r="A1365" s="348">
        <f t="shared" si="44"/>
        <v>1364</v>
      </c>
      <c r="B1365" s="360">
        <f>DATE('Profit Calculation'!J$6,A$2,A$2+A1365-1)</f>
        <v>43368</v>
      </c>
      <c r="D1365" s="362">
        <f t="shared" ca="1" si="43"/>
        <v>139937335.83210507</v>
      </c>
    </row>
    <row r="1366" spans="1:4">
      <c r="A1366" s="348">
        <f t="shared" si="44"/>
        <v>1365</v>
      </c>
      <c r="B1366" s="360">
        <f>DATE('Profit Calculation'!J$6,A$2,A$2+A1366-1)</f>
        <v>43369</v>
      </c>
      <c r="D1366" s="362">
        <f t="shared" ca="1" si="43"/>
        <v>139990929.41785717</v>
      </c>
    </row>
    <row r="1367" spans="1:4">
      <c r="A1367" s="348">
        <f t="shared" si="44"/>
        <v>1366</v>
      </c>
      <c r="B1367" s="360">
        <f>DATE('Profit Calculation'!J$6,A$2,A$2+A1367-1)</f>
        <v>43370</v>
      </c>
      <c r="D1367" s="362">
        <f t="shared" ca="1" si="43"/>
        <v>140044543.52902812</v>
      </c>
    </row>
    <row r="1368" spans="1:4">
      <c r="A1368" s="348">
        <f t="shared" si="44"/>
        <v>1367</v>
      </c>
      <c r="B1368" s="360">
        <f>DATE('Profit Calculation'!J$6,A$2,A$2+A1368-1)</f>
        <v>43371</v>
      </c>
      <c r="D1368" s="362">
        <f t="shared" ca="1" si="43"/>
        <v>140098178.17347884</v>
      </c>
    </row>
    <row r="1369" spans="1:4">
      <c r="A1369" s="348">
        <f t="shared" si="44"/>
        <v>1368</v>
      </c>
      <c r="B1369" s="360">
        <f>DATE('Profit Calculation'!J$6,A$2,A$2+A1369-1)</f>
        <v>43372</v>
      </c>
      <c r="D1369" s="362">
        <f t="shared" ca="1" si="43"/>
        <v>140151833.35907319</v>
      </c>
    </row>
    <row r="1370" spans="1:4">
      <c r="A1370" s="348">
        <f t="shared" si="44"/>
        <v>1369</v>
      </c>
      <c r="B1370" s="360">
        <f>DATE('Profit Calculation'!J$6,A$2,A$2+A1370-1)</f>
        <v>43373</v>
      </c>
      <c r="D1370" s="362">
        <f t="shared" ca="1" si="43"/>
        <v>140205509.09367809</v>
      </c>
    </row>
    <row r="1371" spans="1:4">
      <c r="A1371" s="348">
        <f t="shared" si="44"/>
        <v>1370</v>
      </c>
      <c r="B1371" s="360">
        <f>DATE('Profit Calculation'!J$6,A$2,A$2+A1371-1)</f>
        <v>43374</v>
      </c>
      <c r="D1371" s="362">
        <f t="shared" ca="1" si="43"/>
        <v>140259205.38516346</v>
      </c>
    </row>
    <row r="1372" spans="1:4">
      <c r="A1372" s="348">
        <f t="shared" si="44"/>
        <v>1371</v>
      </c>
      <c r="B1372" s="360">
        <f>DATE('Profit Calculation'!J$6,A$2,A$2+A1372-1)</f>
        <v>43375</v>
      </c>
      <c r="D1372" s="362">
        <f t="shared" ca="1" si="43"/>
        <v>140312922.24140224</v>
      </c>
    </row>
    <row r="1373" spans="1:4">
      <c r="A1373" s="348">
        <f t="shared" si="44"/>
        <v>1372</v>
      </c>
      <c r="B1373" s="360">
        <f>DATE('Profit Calculation'!J$6,A$2,A$2+A1373-1)</f>
        <v>43376</v>
      </c>
      <c r="D1373" s="362">
        <f t="shared" ca="1" si="43"/>
        <v>140366659.67027035</v>
      </c>
    </row>
    <row r="1374" spans="1:4">
      <c r="A1374" s="348">
        <f t="shared" si="44"/>
        <v>1373</v>
      </c>
      <c r="B1374" s="360">
        <f>DATE('Profit Calculation'!J$6,A$2,A$2+A1374-1)</f>
        <v>43377</v>
      </c>
      <c r="D1374" s="362">
        <f t="shared" ca="1" si="43"/>
        <v>140420417.67964676</v>
      </c>
    </row>
    <row r="1375" spans="1:4">
      <c r="A1375" s="348">
        <f t="shared" si="44"/>
        <v>1374</v>
      </c>
      <c r="B1375" s="360">
        <f>DATE('Profit Calculation'!J$6,A$2,A$2+A1375-1)</f>
        <v>43378</v>
      </c>
      <c r="D1375" s="362">
        <f t="shared" ca="1" si="43"/>
        <v>140474196.27741346</v>
      </c>
    </row>
    <row r="1376" spans="1:4">
      <c r="A1376" s="348">
        <f t="shared" si="44"/>
        <v>1375</v>
      </c>
      <c r="B1376" s="360">
        <f>DATE('Profit Calculation'!J$6,A$2,A$2+A1376-1)</f>
        <v>43379</v>
      </c>
      <c r="D1376" s="362">
        <f t="shared" ca="1" si="43"/>
        <v>140527995.47145545</v>
      </c>
    </row>
    <row r="1377" spans="1:4">
      <c r="A1377" s="348">
        <f t="shared" si="44"/>
        <v>1376</v>
      </c>
      <c r="B1377" s="360">
        <f>DATE('Profit Calculation'!J$6,A$2,A$2+A1377-1)</f>
        <v>43380</v>
      </c>
      <c r="D1377" s="362">
        <f t="shared" ca="1" si="43"/>
        <v>140581815.26966074</v>
      </c>
    </row>
    <row r="1378" spans="1:4">
      <c r="A1378" s="348">
        <f t="shared" si="44"/>
        <v>1377</v>
      </c>
      <c r="B1378" s="360">
        <f>DATE('Profit Calculation'!J$6,A$2,A$2+A1378-1)</f>
        <v>43381</v>
      </c>
      <c r="D1378" s="362">
        <f t="shared" ca="1" si="43"/>
        <v>140635655.67992038</v>
      </c>
    </row>
    <row r="1379" spans="1:4">
      <c r="A1379" s="348">
        <f t="shared" si="44"/>
        <v>1378</v>
      </c>
      <c r="B1379" s="360">
        <f>DATE('Profit Calculation'!J$6,A$2,A$2+A1379-1)</f>
        <v>43382</v>
      </c>
      <c r="D1379" s="362">
        <f t="shared" ca="1" si="43"/>
        <v>140689516.7101284</v>
      </c>
    </row>
    <row r="1380" spans="1:4">
      <c r="A1380" s="348">
        <f t="shared" si="44"/>
        <v>1379</v>
      </c>
      <c r="B1380" s="360">
        <f>DATE('Profit Calculation'!J$6,A$2,A$2+A1380-1)</f>
        <v>43383</v>
      </c>
      <c r="D1380" s="362">
        <f t="shared" ca="1" si="43"/>
        <v>140743398.36818191</v>
      </c>
    </row>
    <row r="1381" spans="1:4">
      <c r="A1381" s="348">
        <f t="shared" si="44"/>
        <v>1380</v>
      </c>
      <c r="B1381" s="360">
        <f>DATE('Profit Calculation'!J$6,A$2,A$2+A1381-1)</f>
        <v>43384</v>
      </c>
      <c r="D1381" s="362">
        <f t="shared" ca="1" si="43"/>
        <v>140797300.66198102</v>
      </c>
    </row>
    <row r="1382" spans="1:4">
      <c r="A1382" s="348">
        <f t="shared" si="44"/>
        <v>1381</v>
      </c>
      <c r="B1382" s="360">
        <f>DATE('Profit Calculation'!J$6,A$2,A$2+A1382-1)</f>
        <v>43385</v>
      </c>
      <c r="D1382" s="362">
        <f t="shared" ca="1" si="43"/>
        <v>140851223.59942886</v>
      </c>
    </row>
    <row r="1383" spans="1:4">
      <c r="A1383" s="348">
        <f t="shared" si="44"/>
        <v>1382</v>
      </c>
      <c r="B1383" s="360">
        <f>DATE('Profit Calculation'!J$6,A$2,A$2+A1383-1)</f>
        <v>43386</v>
      </c>
      <c r="D1383" s="362">
        <f t="shared" ca="1" si="43"/>
        <v>140905167.18843159</v>
      </c>
    </row>
    <row r="1384" spans="1:4">
      <c r="A1384" s="348">
        <f t="shared" si="44"/>
        <v>1383</v>
      </c>
      <c r="B1384" s="360">
        <f>DATE('Profit Calculation'!J$6,A$2,A$2+A1384-1)</f>
        <v>43387</v>
      </c>
      <c r="D1384" s="362">
        <f t="shared" ca="1" si="43"/>
        <v>140959131.43689838</v>
      </c>
    </row>
    <row r="1385" spans="1:4">
      <c r="A1385" s="348">
        <f t="shared" si="44"/>
        <v>1384</v>
      </c>
      <c r="B1385" s="360">
        <f>DATE('Profit Calculation'!J$6,A$2,A$2+A1385-1)</f>
        <v>43388</v>
      </c>
      <c r="D1385" s="362">
        <f t="shared" ca="1" si="43"/>
        <v>141013116.35274148</v>
      </c>
    </row>
    <row r="1386" spans="1:4">
      <c r="A1386" s="348">
        <f t="shared" si="44"/>
        <v>1385</v>
      </c>
      <c r="B1386" s="360">
        <f>DATE('Profit Calculation'!J$6,A$2,A$2+A1386-1)</f>
        <v>43389</v>
      </c>
      <c r="D1386" s="362">
        <f t="shared" ca="1" si="43"/>
        <v>141067121.94387612</v>
      </c>
    </row>
    <row r="1387" spans="1:4">
      <c r="A1387" s="348">
        <f t="shared" si="44"/>
        <v>1386</v>
      </c>
      <c r="B1387" s="360">
        <f>DATE('Profit Calculation'!J$6,A$2,A$2+A1387-1)</f>
        <v>43390</v>
      </c>
      <c r="D1387" s="362">
        <f t="shared" ca="1" si="43"/>
        <v>141121148.21822059</v>
      </c>
    </row>
    <row r="1388" spans="1:4">
      <c r="A1388" s="348">
        <f t="shared" si="44"/>
        <v>1387</v>
      </c>
      <c r="B1388" s="360">
        <f>DATE('Profit Calculation'!J$6,A$2,A$2+A1388-1)</f>
        <v>43391</v>
      </c>
      <c r="D1388" s="362">
        <f t="shared" ca="1" si="43"/>
        <v>141175195.18369621</v>
      </c>
    </row>
    <row r="1389" spans="1:4">
      <c r="A1389" s="348">
        <f t="shared" si="44"/>
        <v>1388</v>
      </c>
      <c r="B1389" s="360">
        <f>DATE('Profit Calculation'!J$6,A$2,A$2+A1389-1)</f>
        <v>43392</v>
      </c>
      <c r="D1389" s="362">
        <f t="shared" ca="1" si="43"/>
        <v>141229262.84822729</v>
      </c>
    </row>
    <row r="1390" spans="1:4">
      <c r="A1390" s="348">
        <f t="shared" si="44"/>
        <v>1389</v>
      </c>
      <c r="B1390" s="360">
        <f>DATE('Profit Calculation'!J$6,A$2,A$2+A1390-1)</f>
        <v>43393</v>
      </c>
      <c r="D1390" s="362">
        <f t="shared" ca="1" si="43"/>
        <v>141283351.21974126</v>
      </c>
    </row>
    <row r="1391" spans="1:4">
      <c r="A1391" s="348">
        <f t="shared" si="44"/>
        <v>1390</v>
      </c>
      <c r="B1391" s="360">
        <f>DATE('Profit Calculation'!J$6,A$2,A$2+A1391-1)</f>
        <v>43394</v>
      </c>
      <c r="D1391" s="362">
        <f t="shared" ca="1" si="43"/>
        <v>141337460.3061685</v>
      </c>
    </row>
    <row r="1392" spans="1:4">
      <c r="A1392" s="348">
        <f t="shared" si="44"/>
        <v>1391</v>
      </c>
      <c r="B1392" s="360">
        <f>DATE('Profit Calculation'!J$6,A$2,A$2+A1392-1)</f>
        <v>43395</v>
      </c>
      <c r="D1392" s="362">
        <f t="shared" ca="1" si="43"/>
        <v>141391590.11544248</v>
      </c>
    </row>
    <row r="1393" spans="1:4">
      <c r="A1393" s="348">
        <f t="shared" si="44"/>
        <v>1392</v>
      </c>
      <c r="B1393" s="360">
        <f>DATE('Profit Calculation'!J$6,A$2,A$2+A1393-1)</f>
        <v>43396</v>
      </c>
      <c r="D1393" s="362">
        <f t="shared" ca="1" si="43"/>
        <v>141445740.6554997</v>
      </c>
    </row>
    <row r="1394" spans="1:4">
      <c r="A1394" s="348">
        <f t="shared" si="44"/>
        <v>1393</v>
      </c>
      <c r="B1394" s="360">
        <f>DATE('Profit Calculation'!J$6,A$2,A$2+A1394-1)</f>
        <v>43397</v>
      </c>
      <c r="D1394" s="362">
        <f t="shared" ca="1" si="43"/>
        <v>141499911.93427968</v>
      </c>
    </row>
    <row r="1395" spans="1:4">
      <c r="A1395" s="348">
        <f t="shared" si="44"/>
        <v>1394</v>
      </c>
      <c r="B1395" s="360">
        <f>DATE('Profit Calculation'!J$6,A$2,A$2+A1395-1)</f>
        <v>43398</v>
      </c>
      <c r="D1395" s="362">
        <f t="shared" ca="1" si="43"/>
        <v>141554103.95972499</v>
      </c>
    </row>
    <row r="1396" spans="1:4">
      <c r="A1396" s="348">
        <f t="shared" si="44"/>
        <v>1395</v>
      </c>
      <c r="B1396" s="360">
        <f>DATE('Profit Calculation'!J$6,A$2,A$2+A1396-1)</f>
        <v>43399</v>
      </c>
      <c r="D1396" s="362">
        <f t="shared" ca="1" si="43"/>
        <v>141608316.73978126</v>
      </c>
    </row>
    <row r="1397" spans="1:4">
      <c r="A1397" s="348">
        <f t="shared" si="44"/>
        <v>1396</v>
      </c>
      <c r="B1397" s="360">
        <f>DATE('Profit Calculation'!J$6,A$2,A$2+A1397-1)</f>
        <v>43400</v>
      </c>
      <c r="D1397" s="362">
        <f t="shared" ca="1" si="43"/>
        <v>141662550.28239715</v>
      </c>
    </row>
    <row r="1398" spans="1:4">
      <c r="A1398" s="348">
        <f t="shared" si="44"/>
        <v>1397</v>
      </c>
      <c r="B1398" s="360">
        <f>DATE('Profit Calculation'!J$6,A$2,A$2+A1398-1)</f>
        <v>43401</v>
      </c>
      <c r="D1398" s="362">
        <f t="shared" ca="1" si="43"/>
        <v>141716804.59552434</v>
      </c>
    </row>
    <row r="1399" spans="1:4">
      <c r="A1399" s="348">
        <f t="shared" si="44"/>
        <v>1398</v>
      </c>
      <c r="B1399" s="360">
        <f>DATE('Profit Calculation'!J$6,A$2,A$2+A1399-1)</f>
        <v>43402</v>
      </c>
      <c r="D1399" s="362">
        <f t="shared" ca="1" si="43"/>
        <v>141771079.68711758</v>
      </c>
    </row>
    <row r="1400" spans="1:4">
      <c r="A1400" s="348">
        <f t="shared" si="44"/>
        <v>1399</v>
      </c>
      <c r="B1400" s="360">
        <f>DATE('Profit Calculation'!J$6,A$2,A$2+A1400-1)</f>
        <v>43403</v>
      </c>
      <c r="D1400" s="362">
        <f t="shared" ca="1" si="43"/>
        <v>141825375.56513467</v>
      </c>
    </row>
    <row r="1401" spans="1:4">
      <c r="A1401" s="348">
        <f t="shared" si="44"/>
        <v>1400</v>
      </c>
      <c r="B1401" s="360">
        <f>DATE('Profit Calculation'!J$6,A$2,A$2+A1401-1)</f>
        <v>43404</v>
      </c>
      <c r="D1401" s="362">
        <f t="shared" ca="1" si="43"/>
        <v>141879692.23753646</v>
      </c>
    </row>
    <row r="1402" spans="1:4">
      <c r="A1402" s="348">
        <f t="shared" si="44"/>
        <v>1401</v>
      </c>
      <c r="B1402" s="360">
        <f>DATE('Profit Calculation'!J$6,A$2,A$2+A1402-1)</f>
        <v>43405</v>
      </c>
      <c r="D1402" s="362">
        <f t="shared" ca="1" si="43"/>
        <v>141934029.71228683</v>
      </c>
    </row>
    <row r="1403" spans="1:4">
      <c r="A1403" s="348">
        <f t="shared" si="44"/>
        <v>1402</v>
      </c>
      <c r="B1403" s="360">
        <f>DATE('Profit Calculation'!J$6,A$2,A$2+A1403-1)</f>
        <v>43406</v>
      </c>
      <c r="D1403" s="362">
        <f t="shared" ca="1" si="43"/>
        <v>141988387.99735275</v>
      </c>
    </row>
    <row r="1404" spans="1:4">
      <c r="A1404" s="348">
        <f t="shared" si="44"/>
        <v>1403</v>
      </c>
      <c r="B1404" s="360">
        <f>DATE('Profit Calculation'!J$6,A$2,A$2+A1404-1)</f>
        <v>43407</v>
      </c>
      <c r="D1404" s="362">
        <f t="shared" ca="1" si="43"/>
        <v>142042767.10070416</v>
      </c>
    </row>
    <row r="1405" spans="1:4">
      <c r="A1405" s="348">
        <f t="shared" si="44"/>
        <v>1404</v>
      </c>
      <c r="B1405" s="360">
        <f>DATE('Profit Calculation'!J$6,A$2,A$2+A1405-1)</f>
        <v>43408</v>
      </c>
      <c r="D1405" s="362">
        <f t="shared" ca="1" si="43"/>
        <v>142097167.03031415</v>
      </c>
    </row>
    <row r="1406" spans="1:4">
      <c r="A1406" s="348">
        <f t="shared" si="44"/>
        <v>1405</v>
      </c>
      <c r="B1406" s="360">
        <f>DATE('Profit Calculation'!J$6,A$2,A$2+A1406-1)</f>
        <v>43409</v>
      </c>
      <c r="D1406" s="362">
        <f t="shared" ca="1" si="43"/>
        <v>142151587.79415879</v>
      </c>
    </row>
    <row r="1407" spans="1:4">
      <c r="A1407" s="348">
        <f t="shared" si="44"/>
        <v>1406</v>
      </c>
      <c r="B1407" s="360">
        <f>DATE('Profit Calculation'!J$6,A$2,A$2+A1407-1)</f>
        <v>43410</v>
      </c>
      <c r="D1407" s="362">
        <f t="shared" ca="1" si="43"/>
        <v>142206029.40021724</v>
      </c>
    </row>
    <row r="1408" spans="1:4">
      <c r="A1408" s="348">
        <f t="shared" si="44"/>
        <v>1407</v>
      </c>
      <c r="B1408" s="360">
        <f>DATE('Profit Calculation'!J$6,A$2,A$2+A1408-1)</f>
        <v>43411</v>
      </c>
      <c r="D1408" s="362">
        <f t="shared" ca="1" si="43"/>
        <v>142260491.85647172</v>
      </c>
    </row>
    <row r="1409" spans="1:4">
      <c r="A1409" s="348">
        <f t="shared" si="44"/>
        <v>1408</v>
      </c>
      <c r="B1409" s="360">
        <f>DATE('Profit Calculation'!J$6,A$2,A$2+A1409-1)</f>
        <v>43412</v>
      </c>
      <c r="D1409" s="362">
        <f t="shared" ca="1" si="43"/>
        <v>142314975.1709075</v>
      </c>
    </row>
    <row r="1410" spans="1:4">
      <c r="A1410" s="348">
        <f t="shared" si="44"/>
        <v>1409</v>
      </c>
      <c r="B1410" s="360">
        <f>DATE('Profit Calculation'!J$6,A$2,A$2+A1410-1)</f>
        <v>43413</v>
      </c>
      <c r="D1410" s="362">
        <f t="shared" ca="1" si="43"/>
        <v>142369479.35151288</v>
      </c>
    </row>
    <row r="1411" spans="1:4">
      <c r="A1411" s="348">
        <f t="shared" si="44"/>
        <v>1410</v>
      </c>
      <c r="B1411" s="360">
        <f>DATE('Profit Calculation'!J$6,A$2,A$2+A1411-1)</f>
        <v>43414</v>
      </c>
      <c r="D1411" s="362">
        <f t="shared" ca="1" si="43"/>
        <v>142424004.40627927</v>
      </c>
    </row>
    <row r="1412" spans="1:4">
      <c r="A1412" s="348">
        <f t="shared" si="44"/>
        <v>1411</v>
      </c>
      <c r="B1412" s="360">
        <f>DATE('Profit Calculation'!J$6,A$2,A$2+A1412-1)</f>
        <v>43415</v>
      </c>
      <c r="D1412" s="362">
        <f t="shared" ref="D1412:D1475" ca="1" si="45">IF(OR(LOOKUP(B1412,W$1:W$35,W$1:W$35) = B1412, LOOKUP(B1412,X$1:X$35,X$1:X$35) = B1412),LOOKUP(B1412,F:F,G:G),D1411*(1+((IF($Q$18&lt;6,$R$14,IF($Q$18&lt;11,$R$15,$R$16)))))^(1/365))</f>
        <v>142478550.34320107</v>
      </c>
    </row>
    <row r="1413" spans="1:4">
      <c r="A1413" s="348">
        <f t="shared" ref="A1413:A1476" si="46">A1412+1</f>
        <v>1412</v>
      </c>
      <c r="B1413" s="360">
        <f>DATE('Profit Calculation'!J$6,A$2,A$2+A1413-1)</f>
        <v>43416</v>
      </c>
      <c r="D1413" s="362">
        <f t="shared" ca="1" si="45"/>
        <v>142533117.17027584</v>
      </c>
    </row>
    <row r="1414" spans="1:4">
      <c r="A1414" s="348">
        <f t="shared" si="46"/>
        <v>1413</v>
      </c>
      <c r="B1414" s="360">
        <f>DATE('Profit Calculation'!J$6,A$2,A$2+A1414-1)</f>
        <v>43417</v>
      </c>
      <c r="D1414" s="362">
        <f t="shared" ca="1" si="45"/>
        <v>142587704.89550409</v>
      </c>
    </row>
    <row r="1415" spans="1:4">
      <c r="A1415" s="348">
        <f t="shared" si="46"/>
        <v>1414</v>
      </c>
      <c r="B1415" s="360">
        <f>DATE('Profit Calculation'!J$6,A$2,A$2+A1415-1)</f>
        <v>43418</v>
      </c>
      <c r="D1415" s="362">
        <f t="shared" ca="1" si="45"/>
        <v>142642313.5268895</v>
      </c>
    </row>
    <row r="1416" spans="1:4">
      <c r="A1416" s="348">
        <f t="shared" si="46"/>
        <v>1415</v>
      </c>
      <c r="B1416" s="360">
        <f>DATE('Profit Calculation'!J$6,A$2,A$2+A1416-1)</f>
        <v>43419</v>
      </c>
      <c r="D1416" s="362">
        <f t="shared" ca="1" si="45"/>
        <v>142696943.07243875</v>
      </c>
    </row>
    <row r="1417" spans="1:4">
      <c r="A1417" s="348">
        <f t="shared" si="46"/>
        <v>1416</v>
      </c>
      <c r="B1417" s="360">
        <f>DATE('Profit Calculation'!J$6,A$2,A$2+A1417-1)</f>
        <v>43420</v>
      </c>
      <c r="D1417" s="362">
        <f t="shared" ca="1" si="45"/>
        <v>142751593.54016161</v>
      </c>
    </row>
    <row r="1418" spans="1:4">
      <c r="A1418" s="348">
        <f t="shared" si="46"/>
        <v>1417</v>
      </c>
      <c r="B1418" s="360">
        <f>DATE('Profit Calculation'!J$6,A$2,A$2+A1418-1)</f>
        <v>43421</v>
      </c>
      <c r="D1418" s="362">
        <f t="shared" ca="1" si="45"/>
        <v>142806264.93807089</v>
      </c>
    </row>
    <row r="1419" spans="1:4">
      <c r="A1419" s="348">
        <f t="shared" si="46"/>
        <v>1418</v>
      </c>
      <c r="B1419" s="360">
        <f>DATE('Profit Calculation'!J$6,A$2,A$2+A1419-1)</f>
        <v>43422</v>
      </c>
      <c r="D1419" s="362">
        <f t="shared" ca="1" si="45"/>
        <v>142860957.27418253</v>
      </c>
    </row>
    <row r="1420" spans="1:4">
      <c r="A1420" s="348">
        <f t="shared" si="46"/>
        <v>1419</v>
      </c>
      <c r="B1420" s="360">
        <f>DATE('Profit Calculation'!J$6,A$2,A$2+A1420-1)</f>
        <v>43423</v>
      </c>
      <c r="D1420" s="362">
        <f t="shared" ca="1" si="45"/>
        <v>142915670.55651546</v>
      </c>
    </row>
    <row r="1421" spans="1:4">
      <c r="A1421" s="348">
        <f t="shared" si="46"/>
        <v>1420</v>
      </c>
      <c r="B1421" s="360">
        <f>DATE('Profit Calculation'!J$6,A$2,A$2+A1421-1)</f>
        <v>43424</v>
      </c>
      <c r="D1421" s="362">
        <f t="shared" ca="1" si="45"/>
        <v>142970404.79309174</v>
      </c>
    </row>
    <row r="1422" spans="1:4">
      <c r="A1422" s="348">
        <f t="shared" si="46"/>
        <v>1421</v>
      </c>
      <c r="B1422" s="360">
        <f>DATE('Profit Calculation'!J$6,A$2,A$2+A1422-1)</f>
        <v>43425</v>
      </c>
      <c r="D1422" s="362">
        <f t="shared" ca="1" si="45"/>
        <v>143025159.99193648</v>
      </c>
    </row>
    <row r="1423" spans="1:4">
      <c r="A1423" s="348">
        <f t="shared" si="46"/>
        <v>1422</v>
      </c>
      <c r="B1423" s="360">
        <f>DATE('Profit Calculation'!J$6,A$2,A$2+A1423-1)</f>
        <v>43426</v>
      </c>
      <c r="D1423" s="362">
        <f t="shared" ca="1" si="45"/>
        <v>143079936.16107786</v>
      </c>
    </row>
    <row r="1424" spans="1:4">
      <c r="A1424" s="348">
        <f t="shared" si="46"/>
        <v>1423</v>
      </c>
      <c r="B1424" s="360">
        <f>DATE('Profit Calculation'!J$6,A$2,A$2+A1424-1)</f>
        <v>43427</v>
      </c>
      <c r="D1424" s="362">
        <f t="shared" ca="1" si="45"/>
        <v>143134733.30854714</v>
      </c>
    </row>
    <row r="1425" spans="1:4">
      <c r="A1425" s="348">
        <f t="shared" si="46"/>
        <v>1424</v>
      </c>
      <c r="B1425" s="360">
        <f>DATE('Profit Calculation'!J$6,A$2,A$2+A1425-1)</f>
        <v>43428</v>
      </c>
      <c r="D1425" s="362">
        <f t="shared" ca="1" si="45"/>
        <v>143189551.44237867</v>
      </c>
    </row>
    <row r="1426" spans="1:4">
      <c r="A1426" s="348">
        <f t="shared" si="46"/>
        <v>1425</v>
      </c>
      <c r="B1426" s="360">
        <f>DATE('Profit Calculation'!J$6,A$2,A$2+A1426-1)</f>
        <v>43429</v>
      </c>
      <c r="D1426" s="362">
        <f t="shared" ca="1" si="45"/>
        <v>143244390.57060987</v>
      </c>
    </row>
    <row r="1427" spans="1:4">
      <c r="A1427" s="348">
        <f t="shared" si="46"/>
        <v>1426</v>
      </c>
      <c r="B1427" s="360">
        <f>DATE('Profit Calculation'!J$6,A$2,A$2+A1427-1)</f>
        <v>43430</v>
      </c>
      <c r="D1427" s="362">
        <f t="shared" ca="1" si="45"/>
        <v>143299250.70128122</v>
      </c>
    </row>
    <row r="1428" spans="1:4">
      <c r="A1428" s="348">
        <f t="shared" si="46"/>
        <v>1427</v>
      </c>
      <c r="B1428" s="360">
        <f>DATE('Profit Calculation'!J$6,A$2,A$2+A1428-1)</f>
        <v>43431</v>
      </c>
      <c r="D1428" s="362">
        <f t="shared" ca="1" si="45"/>
        <v>143354131.84243631</v>
      </c>
    </row>
    <row r="1429" spans="1:4">
      <c r="A1429" s="348">
        <f t="shared" si="46"/>
        <v>1428</v>
      </c>
      <c r="B1429" s="360">
        <f>DATE('Profit Calculation'!J$6,A$2,A$2+A1429-1)</f>
        <v>43432</v>
      </c>
      <c r="D1429" s="362">
        <f t="shared" ca="1" si="45"/>
        <v>143409034.00212178</v>
      </c>
    </row>
    <row r="1430" spans="1:4">
      <c r="A1430" s="348">
        <f t="shared" si="46"/>
        <v>1429</v>
      </c>
      <c r="B1430" s="360">
        <f>DATE('Profit Calculation'!J$6,A$2,A$2+A1430-1)</f>
        <v>43433</v>
      </c>
      <c r="D1430" s="362">
        <f t="shared" ca="1" si="45"/>
        <v>143463957.18838736</v>
      </c>
    </row>
    <row r="1431" spans="1:4">
      <c r="A1431" s="348">
        <f t="shared" si="46"/>
        <v>1430</v>
      </c>
      <c r="B1431" s="360">
        <f>DATE('Profit Calculation'!J$6,A$2,A$2+A1431-1)</f>
        <v>43434</v>
      </c>
      <c r="D1431" s="362">
        <f t="shared" ca="1" si="45"/>
        <v>143518901.40928587</v>
      </c>
    </row>
    <row r="1432" spans="1:4">
      <c r="A1432" s="348">
        <f t="shared" si="46"/>
        <v>1431</v>
      </c>
      <c r="B1432" s="360">
        <f>DATE('Profit Calculation'!J$6,A$2,A$2+A1432-1)</f>
        <v>43435</v>
      </c>
      <c r="D1432" s="362">
        <f t="shared" ca="1" si="45"/>
        <v>143573866.67287323</v>
      </c>
    </row>
    <row r="1433" spans="1:4">
      <c r="A1433" s="348">
        <f t="shared" si="46"/>
        <v>1432</v>
      </c>
      <c r="B1433" s="360">
        <f>DATE('Profit Calculation'!J$6,A$2,A$2+A1433-1)</f>
        <v>43436</v>
      </c>
      <c r="D1433" s="362">
        <f t="shared" ca="1" si="45"/>
        <v>143628852.9872084</v>
      </c>
    </row>
    <row r="1434" spans="1:4">
      <c r="A1434" s="348">
        <f t="shared" si="46"/>
        <v>1433</v>
      </c>
      <c r="B1434" s="360">
        <f>DATE('Profit Calculation'!J$6,A$2,A$2+A1434-1)</f>
        <v>43437</v>
      </c>
      <c r="D1434" s="362">
        <f t="shared" ca="1" si="45"/>
        <v>143683860.36035347</v>
      </c>
    </row>
    <row r="1435" spans="1:4">
      <c r="A1435" s="348">
        <f t="shared" si="46"/>
        <v>1434</v>
      </c>
      <c r="B1435" s="360">
        <f>DATE('Profit Calculation'!J$6,A$2,A$2+A1435-1)</f>
        <v>43438</v>
      </c>
      <c r="D1435" s="362">
        <f t="shared" ca="1" si="45"/>
        <v>143738888.80037361</v>
      </c>
    </row>
    <row r="1436" spans="1:4">
      <c r="A1436" s="348">
        <f t="shared" si="46"/>
        <v>1435</v>
      </c>
      <c r="B1436" s="360">
        <f>DATE('Profit Calculation'!J$6,A$2,A$2+A1436-1)</f>
        <v>43439</v>
      </c>
      <c r="D1436" s="362">
        <f t="shared" ca="1" si="45"/>
        <v>143793938.31533706</v>
      </c>
    </row>
    <row r="1437" spans="1:4">
      <c r="A1437" s="348">
        <f t="shared" si="46"/>
        <v>1436</v>
      </c>
      <c r="B1437" s="360">
        <f>DATE('Profit Calculation'!J$6,A$2,A$2+A1437-1)</f>
        <v>43440</v>
      </c>
      <c r="D1437" s="362">
        <f t="shared" ca="1" si="45"/>
        <v>143849008.91331515</v>
      </c>
    </row>
    <row r="1438" spans="1:4">
      <c r="A1438" s="348">
        <f t="shared" si="46"/>
        <v>1437</v>
      </c>
      <c r="B1438" s="360">
        <f>DATE('Profit Calculation'!J$6,A$2,A$2+A1438-1)</f>
        <v>43441</v>
      </c>
      <c r="D1438" s="362">
        <f t="shared" ca="1" si="45"/>
        <v>143904100.6023823</v>
      </c>
    </row>
    <row r="1439" spans="1:4">
      <c r="A1439" s="348">
        <f t="shared" si="46"/>
        <v>1438</v>
      </c>
      <c r="B1439" s="360">
        <f>DATE('Profit Calculation'!J$6,A$2,A$2+A1439-1)</f>
        <v>43442</v>
      </c>
      <c r="D1439" s="362">
        <f t="shared" ca="1" si="45"/>
        <v>143959213.39061606</v>
      </c>
    </row>
    <row r="1440" spans="1:4">
      <c r="A1440" s="348">
        <f t="shared" si="46"/>
        <v>1439</v>
      </c>
      <c r="B1440" s="360">
        <f>DATE('Profit Calculation'!J$6,A$2,A$2+A1440-1)</f>
        <v>43443</v>
      </c>
      <c r="D1440" s="362">
        <f t="shared" ca="1" si="45"/>
        <v>144014347.28609705</v>
      </c>
    </row>
    <row r="1441" spans="1:4">
      <c r="A1441" s="348">
        <f t="shared" si="46"/>
        <v>1440</v>
      </c>
      <c r="B1441" s="360">
        <f>DATE('Profit Calculation'!J$6,A$2,A$2+A1441-1)</f>
        <v>43444</v>
      </c>
      <c r="D1441" s="362">
        <f t="shared" ca="1" si="45"/>
        <v>144069502.29690894</v>
      </c>
    </row>
    <row r="1442" spans="1:4">
      <c r="A1442" s="348">
        <f t="shared" si="46"/>
        <v>1441</v>
      </c>
      <c r="B1442" s="360">
        <f>DATE('Profit Calculation'!J$6,A$2,A$2+A1442-1)</f>
        <v>43445</v>
      </c>
      <c r="D1442" s="362">
        <f t="shared" ca="1" si="45"/>
        <v>144124678.43113858</v>
      </c>
    </row>
    <row r="1443" spans="1:4">
      <c r="A1443" s="348">
        <f t="shared" si="46"/>
        <v>1442</v>
      </c>
      <c r="B1443" s="360">
        <f>DATE('Profit Calculation'!J$6,A$2,A$2+A1443-1)</f>
        <v>43446</v>
      </c>
      <c r="D1443" s="362">
        <f t="shared" ca="1" si="45"/>
        <v>144179875.69687584</v>
      </c>
    </row>
    <row r="1444" spans="1:4">
      <c r="A1444" s="348">
        <f t="shared" si="46"/>
        <v>1443</v>
      </c>
      <c r="B1444" s="360">
        <f>DATE('Profit Calculation'!J$6,A$2,A$2+A1444-1)</f>
        <v>43447</v>
      </c>
      <c r="D1444" s="362">
        <f t="shared" ca="1" si="45"/>
        <v>144235094.10221377</v>
      </c>
    </row>
    <row r="1445" spans="1:4">
      <c r="A1445" s="348">
        <f t="shared" si="46"/>
        <v>1444</v>
      </c>
      <c r="B1445" s="360">
        <f>DATE('Profit Calculation'!J$6,A$2,A$2+A1445-1)</f>
        <v>43448</v>
      </c>
      <c r="D1445" s="362">
        <f t="shared" ca="1" si="45"/>
        <v>144290333.65524843</v>
      </c>
    </row>
    <row r="1446" spans="1:4">
      <c r="A1446" s="348">
        <f t="shared" si="46"/>
        <v>1445</v>
      </c>
      <c r="B1446" s="360">
        <f>DATE('Profit Calculation'!J$6,A$2,A$2+A1446-1)</f>
        <v>43449</v>
      </c>
      <c r="D1446" s="362">
        <f t="shared" ca="1" si="45"/>
        <v>144345594.36407906</v>
      </c>
    </row>
    <row r="1447" spans="1:4">
      <c r="A1447" s="348">
        <f t="shared" si="46"/>
        <v>1446</v>
      </c>
      <c r="B1447" s="360">
        <f>DATE('Profit Calculation'!J$6,A$2,A$2+A1447-1)</f>
        <v>43450</v>
      </c>
      <c r="D1447" s="362">
        <f t="shared" ca="1" si="45"/>
        <v>144400876.23680794</v>
      </c>
    </row>
    <row r="1448" spans="1:4">
      <c r="A1448" s="348">
        <f t="shared" si="46"/>
        <v>1447</v>
      </c>
      <c r="B1448" s="360">
        <f>DATE('Profit Calculation'!J$6,A$2,A$2+A1448-1)</f>
        <v>43451</v>
      </c>
      <c r="D1448" s="362">
        <f t="shared" ca="1" si="45"/>
        <v>144456179.28154048</v>
      </c>
    </row>
    <row r="1449" spans="1:4">
      <c r="A1449" s="348">
        <f t="shared" si="46"/>
        <v>1448</v>
      </c>
      <c r="B1449" s="360">
        <f>DATE('Profit Calculation'!J$6,A$2,A$2+A1449-1)</f>
        <v>43452</v>
      </c>
      <c r="D1449" s="362">
        <f t="shared" ca="1" si="45"/>
        <v>144511503.50638518</v>
      </c>
    </row>
    <row r="1450" spans="1:4">
      <c r="A1450" s="348">
        <f t="shared" si="46"/>
        <v>1449</v>
      </c>
      <c r="B1450" s="360">
        <f>DATE('Profit Calculation'!J$6,A$2,A$2+A1450-1)</f>
        <v>43453</v>
      </c>
      <c r="D1450" s="362">
        <f t="shared" ca="1" si="45"/>
        <v>144566848.91945368</v>
      </c>
    </row>
    <row r="1451" spans="1:4">
      <c r="A1451" s="348">
        <f t="shared" si="46"/>
        <v>1450</v>
      </c>
      <c r="B1451" s="360">
        <f>DATE('Profit Calculation'!J$6,A$2,A$2+A1451-1)</f>
        <v>43454</v>
      </c>
      <c r="D1451" s="362">
        <f t="shared" ca="1" si="45"/>
        <v>144622215.52886069</v>
      </c>
    </row>
    <row r="1452" spans="1:4">
      <c r="A1452" s="348">
        <f t="shared" si="46"/>
        <v>1451</v>
      </c>
      <c r="B1452" s="360">
        <f>DATE('Profit Calculation'!J$6,A$2,A$2+A1452-1)</f>
        <v>43455</v>
      </c>
      <c r="D1452" s="362">
        <f t="shared" ca="1" si="45"/>
        <v>144677603.34272406</v>
      </c>
    </row>
    <row r="1453" spans="1:4">
      <c r="A1453" s="348">
        <f t="shared" si="46"/>
        <v>1452</v>
      </c>
      <c r="B1453" s="360">
        <f>DATE('Profit Calculation'!J$6,A$2,A$2+A1453-1)</f>
        <v>43456</v>
      </c>
      <c r="D1453" s="362">
        <f t="shared" ca="1" si="45"/>
        <v>144733012.36916471</v>
      </c>
    </row>
    <row r="1454" spans="1:4">
      <c r="A1454" s="348">
        <f t="shared" si="46"/>
        <v>1453</v>
      </c>
      <c r="B1454" s="360">
        <f>DATE('Profit Calculation'!J$6,A$2,A$2+A1454-1)</f>
        <v>43457</v>
      </c>
      <c r="D1454" s="362">
        <f t="shared" ca="1" si="45"/>
        <v>144788442.61630669</v>
      </c>
    </row>
    <row r="1455" spans="1:4">
      <c r="A1455" s="348">
        <f t="shared" si="46"/>
        <v>1454</v>
      </c>
      <c r="B1455" s="360">
        <f>DATE('Profit Calculation'!J$6,A$2,A$2+A1455-1)</f>
        <v>43458</v>
      </c>
      <c r="D1455" s="362">
        <f t="shared" ca="1" si="45"/>
        <v>144843894.0922772</v>
      </c>
    </row>
    <row r="1456" spans="1:4">
      <c r="A1456" s="348">
        <f t="shared" si="46"/>
        <v>1455</v>
      </c>
      <c r="B1456" s="360">
        <f>DATE('Profit Calculation'!J$6,A$2,A$2+A1456-1)</f>
        <v>43459</v>
      </c>
      <c r="D1456" s="362">
        <f t="shared" ca="1" si="45"/>
        <v>144899366.80520648</v>
      </c>
    </row>
    <row r="1457" spans="1:4">
      <c r="A1457" s="348">
        <f t="shared" si="46"/>
        <v>1456</v>
      </c>
      <c r="B1457" s="360">
        <f>DATE('Profit Calculation'!J$6,A$2,A$2+A1457-1)</f>
        <v>43460</v>
      </c>
      <c r="D1457" s="362">
        <f t="shared" ca="1" si="45"/>
        <v>144954860.76322791</v>
      </c>
    </row>
    <row r="1458" spans="1:4">
      <c r="A1458" s="348">
        <f t="shared" si="46"/>
        <v>1457</v>
      </c>
      <c r="B1458" s="360">
        <f>DATE('Profit Calculation'!J$6,A$2,A$2+A1458-1)</f>
        <v>43461</v>
      </c>
      <c r="D1458" s="362">
        <f t="shared" ca="1" si="45"/>
        <v>145010375.97447801</v>
      </c>
    </row>
    <row r="1459" spans="1:4">
      <c r="A1459" s="348">
        <f t="shared" si="46"/>
        <v>1458</v>
      </c>
      <c r="B1459" s="360">
        <f>DATE('Profit Calculation'!J$6,A$2,A$2+A1459-1)</f>
        <v>43462</v>
      </c>
      <c r="D1459" s="362">
        <f t="shared" ca="1" si="45"/>
        <v>145065912.44709641</v>
      </c>
    </row>
    <row r="1460" spans="1:4">
      <c r="A1460" s="348">
        <f t="shared" si="46"/>
        <v>1459</v>
      </c>
      <c r="B1460" s="360">
        <f>DATE('Profit Calculation'!J$6,A$2,A$2+A1460-1)</f>
        <v>43463</v>
      </c>
      <c r="D1460" s="362">
        <f t="shared" ca="1" si="45"/>
        <v>145121470.18922582</v>
      </c>
    </row>
    <row r="1461" spans="1:4">
      <c r="A1461" s="348">
        <f t="shared" si="46"/>
        <v>1460</v>
      </c>
      <c r="B1461" s="360">
        <f>DATE('Profit Calculation'!J$6,A$2,A$2+A1461-1)</f>
        <v>43464</v>
      </c>
      <c r="D1461" s="362">
        <f t="shared" ca="1" si="45"/>
        <v>145177049.20901212</v>
      </c>
    </row>
    <row r="1462" spans="1:4">
      <c r="A1462" s="348">
        <f t="shared" si="46"/>
        <v>1461</v>
      </c>
      <c r="B1462" s="360">
        <f>DATE('Profit Calculation'!J$6,A$2,A$2+A1462-1)</f>
        <v>43465</v>
      </c>
      <c r="D1462" s="362">
        <f t="shared" ca="1" si="45"/>
        <v>145232649.5146043</v>
      </c>
    </row>
    <row r="1463" spans="1:4">
      <c r="A1463" s="348">
        <f t="shared" si="46"/>
        <v>1462</v>
      </c>
      <c r="B1463" s="360">
        <f>DATE('Profit Calculation'!J$6,A$2,A$2+A1463-1)</f>
        <v>43466</v>
      </c>
      <c r="C1463" s="354"/>
      <c r="D1463" s="355">
        <f t="shared" ca="1" si="45"/>
        <v>145218747</v>
      </c>
    </row>
    <row r="1464" spans="1:4">
      <c r="A1464" s="348">
        <f t="shared" si="46"/>
        <v>1463</v>
      </c>
      <c r="B1464" s="360">
        <f>DATE('Profit Calculation'!J$6,A$2,A$2+A1464-1)</f>
        <v>43467</v>
      </c>
      <c r="D1464" s="362">
        <f t="shared" ca="1" si="45"/>
        <v>145274363.27512684</v>
      </c>
    </row>
    <row r="1465" spans="1:4">
      <c r="A1465" s="348">
        <f t="shared" si="46"/>
        <v>1464</v>
      </c>
      <c r="B1465" s="360">
        <f>DATE('Profit Calculation'!J$6,A$2,A$2+A1465-1)</f>
        <v>43468</v>
      </c>
      <c r="D1465" s="362">
        <f t="shared" ca="1" si="45"/>
        <v>145330000.8503277</v>
      </c>
    </row>
    <row r="1466" spans="1:4">
      <c r="A1466" s="348">
        <f t="shared" si="46"/>
        <v>1465</v>
      </c>
      <c r="B1466" s="360">
        <f>DATE('Profit Calculation'!J$6,A$2,A$2+A1466-1)</f>
        <v>43469</v>
      </c>
      <c r="D1466" s="362">
        <f t="shared" ca="1" si="45"/>
        <v>145385659.73376012</v>
      </c>
    </row>
    <row r="1467" spans="1:4">
      <c r="A1467" s="348">
        <f t="shared" si="46"/>
        <v>1466</v>
      </c>
      <c r="B1467" s="360">
        <f>DATE('Profit Calculation'!J$6,A$2,A$2+A1467-1)</f>
        <v>43470</v>
      </c>
      <c r="D1467" s="362">
        <f t="shared" ca="1" si="45"/>
        <v>145441339.93358481</v>
      </c>
    </row>
    <row r="1468" spans="1:4">
      <c r="A1468" s="348">
        <f t="shared" si="46"/>
        <v>1467</v>
      </c>
      <c r="B1468" s="360">
        <f>DATE('Profit Calculation'!J$6,A$2,A$2+A1468-1)</f>
        <v>43471</v>
      </c>
      <c r="D1468" s="362">
        <f t="shared" ca="1" si="45"/>
        <v>145497041.45796555</v>
      </c>
    </row>
    <row r="1469" spans="1:4">
      <c r="A1469" s="348">
        <f t="shared" si="46"/>
        <v>1468</v>
      </c>
      <c r="B1469" s="360">
        <f>DATE('Profit Calculation'!J$6,A$2,A$2+A1469-1)</f>
        <v>43472</v>
      </c>
      <c r="D1469" s="362">
        <f t="shared" ca="1" si="45"/>
        <v>145552764.31506932</v>
      </c>
    </row>
    <row r="1470" spans="1:4">
      <c r="A1470" s="348">
        <f t="shared" si="46"/>
        <v>1469</v>
      </c>
      <c r="B1470" s="360">
        <f>DATE('Profit Calculation'!J$6,A$2,A$2+A1470-1)</f>
        <v>43473</v>
      </c>
      <c r="D1470" s="362">
        <f t="shared" ca="1" si="45"/>
        <v>145608508.51306614</v>
      </c>
    </row>
    <row r="1471" spans="1:4">
      <c r="A1471" s="348">
        <f t="shared" si="46"/>
        <v>1470</v>
      </c>
      <c r="B1471" s="360">
        <f>DATE('Profit Calculation'!J$6,A$2,A$2+A1471-1)</f>
        <v>43474</v>
      </c>
      <c r="D1471" s="362">
        <f t="shared" ca="1" si="45"/>
        <v>145664274.06012923</v>
      </c>
    </row>
    <row r="1472" spans="1:4">
      <c r="A1472" s="348">
        <f t="shared" si="46"/>
        <v>1471</v>
      </c>
      <c r="B1472" s="360">
        <f>DATE('Profit Calculation'!J$6,A$2,A$2+A1472-1)</f>
        <v>43475</v>
      </c>
      <c r="D1472" s="362">
        <f t="shared" ca="1" si="45"/>
        <v>145720060.96443489</v>
      </c>
    </row>
    <row r="1473" spans="1:4">
      <c r="A1473" s="348">
        <f t="shared" si="46"/>
        <v>1472</v>
      </c>
      <c r="B1473" s="360">
        <f>DATE('Profit Calculation'!J$6,A$2,A$2+A1473-1)</f>
        <v>43476</v>
      </c>
      <c r="D1473" s="362">
        <f t="shared" ca="1" si="45"/>
        <v>145775869.23416263</v>
      </c>
    </row>
    <row r="1474" spans="1:4">
      <c r="A1474" s="348">
        <f t="shared" si="46"/>
        <v>1473</v>
      </c>
      <c r="B1474" s="360">
        <f>DATE('Profit Calculation'!J$6,A$2,A$2+A1474-1)</f>
        <v>43477</v>
      </c>
      <c r="D1474" s="362">
        <f t="shared" ca="1" si="45"/>
        <v>145831698.87749499</v>
      </c>
    </row>
    <row r="1475" spans="1:4">
      <c r="A1475" s="348">
        <f t="shared" si="46"/>
        <v>1474</v>
      </c>
      <c r="B1475" s="360">
        <f>DATE('Profit Calculation'!J$6,A$2,A$2+A1475-1)</f>
        <v>43478</v>
      </c>
      <c r="D1475" s="362">
        <f t="shared" ca="1" si="45"/>
        <v>145887549.90261769</v>
      </c>
    </row>
    <row r="1476" spans="1:4">
      <c r="A1476" s="348">
        <f t="shared" si="46"/>
        <v>1475</v>
      </c>
      <c r="B1476" s="360">
        <f>DATE('Profit Calculation'!J$6,A$2,A$2+A1476-1)</f>
        <v>43479</v>
      </c>
      <c r="D1476" s="362">
        <f t="shared" ref="D1476:D1539" ca="1" si="47">IF(OR(LOOKUP(B1476,W$1:W$35,W$1:W$35) = B1476, LOOKUP(B1476,X$1:X$35,X$1:X$35) = B1476),LOOKUP(B1476,F:F,G:G),D1475*(1+((IF($Q$18&lt;6,$R$14,IF($Q$18&lt;11,$R$15,$R$16)))))^(1/365))</f>
        <v>145943422.31771961</v>
      </c>
    </row>
    <row r="1477" spans="1:4">
      <c r="A1477" s="348">
        <f t="shared" ref="A1477:A1540" si="48">A1476+1</f>
        <v>1476</v>
      </c>
      <c r="B1477" s="360">
        <f>DATE('Profit Calculation'!J$6,A$2,A$2+A1477-1)</f>
        <v>43480</v>
      </c>
      <c r="D1477" s="362">
        <f t="shared" ca="1" si="47"/>
        <v>145999316.13099274</v>
      </c>
    </row>
    <row r="1478" spans="1:4">
      <c r="A1478" s="348">
        <f t="shared" si="48"/>
        <v>1477</v>
      </c>
      <c r="B1478" s="360">
        <f>DATE('Profit Calculation'!J$6,A$2,A$2+A1478-1)</f>
        <v>43481</v>
      </c>
      <c r="D1478" s="362">
        <f t="shared" ca="1" si="47"/>
        <v>146055231.35063219</v>
      </c>
    </row>
    <row r="1479" spans="1:4">
      <c r="A1479" s="348">
        <f t="shared" si="48"/>
        <v>1478</v>
      </c>
      <c r="B1479" s="360">
        <f>DATE('Profit Calculation'!J$6,A$2,A$2+A1479-1)</f>
        <v>43482</v>
      </c>
      <c r="D1479" s="362">
        <f t="shared" ca="1" si="47"/>
        <v>146111167.98483625</v>
      </c>
    </row>
    <row r="1480" spans="1:4">
      <c r="A1480" s="348">
        <f t="shared" si="48"/>
        <v>1479</v>
      </c>
      <c r="B1480" s="360">
        <f>DATE('Profit Calculation'!J$6,A$2,A$2+A1480-1)</f>
        <v>43483</v>
      </c>
      <c r="D1480" s="362">
        <f t="shared" ca="1" si="47"/>
        <v>146167126.04180631</v>
      </c>
    </row>
    <row r="1481" spans="1:4">
      <c r="A1481" s="348">
        <f t="shared" si="48"/>
        <v>1480</v>
      </c>
      <c r="B1481" s="360">
        <f>DATE('Profit Calculation'!J$6,A$2,A$2+A1481-1)</f>
        <v>43484</v>
      </c>
      <c r="D1481" s="362">
        <f t="shared" ca="1" si="47"/>
        <v>146223105.52974695</v>
      </c>
    </row>
    <row r="1482" spans="1:4">
      <c r="A1482" s="348">
        <f t="shared" si="48"/>
        <v>1481</v>
      </c>
      <c r="B1482" s="360">
        <f>DATE('Profit Calculation'!J$6,A$2,A$2+A1482-1)</f>
        <v>43485</v>
      </c>
      <c r="D1482" s="362">
        <f t="shared" ca="1" si="47"/>
        <v>146279106.45686585</v>
      </c>
    </row>
    <row r="1483" spans="1:4">
      <c r="A1483" s="348">
        <f t="shared" si="48"/>
        <v>1482</v>
      </c>
      <c r="B1483" s="360">
        <f>DATE('Profit Calculation'!J$6,A$2,A$2+A1483-1)</f>
        <v>43486</v>
      </c>
      <c r="D1483" s="362">
        <f t="shared" ca="1" si="47"/>
        <v>146335128.83137384</v>
      </c>
    </row>
    <row r="1484" spans="1:4">
      <c r="A1484" s="348">
        <f t="shared" si="48"/>
        <v>1483</v>
      </c>
      <c r="B1484" s="360">
        <f>DATE('Profit Calculation'!J$6,A$2,A$2+A1484-1)</f>
        <v>43487</v>
      </c>
      <c r="D1484" s="362">
        <f t="shared" ca="1" si="47"/>
        <v>146391172.6614849</v>
      </c>
    </row>
    <row r="1485" spans="1:4">
      <c r="A1485" s="348">
        <f t="shared" si="48"/>
        <v>1484</v>
      </c>
      <c r="B1485" s="360">
        <f>DATE('Profit Calculation'!J$6,A$2,A$2+A1485-1)</f>
        <v>43488</v>
      </c>
      <c r="D1485" s="362">
        <f t="shared" ca="1" si="47"/>
        <v>146447237.95541614</v>
      </c>
    </row>
    <row r="1486" spans="1:4">
      <c r="A1486" s="348">
        <f t="shared" si="48"/>
        <v>1485</v>
      </c>
      <c r="B1486" s="360">
        <f>DATE('Profit Calculation'!J$6,A$2,A$2+A1486-1)</f>
        <v>43489</v>
      </c>
      <c r="D1486" s="362">
        <f t="shared" ca="1" si="47"/>
        <v>146503324.72138786</v>
      </c>
    </row>
    <row r="1487" spans="1:4">
      <c r="A1487" s="348">
        <f t="shared" si="48"/>
        <v>1486</v>
      </c>
      <c r="B1487" s="360">
        <f>DATE('Profit Calculation'!J$6,A$2,A$2+A1487-1)</f>
        <v>43490</v>
      </c>
      <c r="D1487" s="362">
        <f t="shared" ca="1" si="47"/>
        <v>146559432.96762347</v>
      </c>
    </row>
    <row r="1488" spans="1:4">
      <c r="A1488" s="348">
        <f t="shared" si="48"/>
        <v>1487</v>
      </c>
      <c r="B1488" s="360">
        <f>DATE('Profit Calculation'!J$6,A$2,A$2+A1488-1)</f>
        <v>43491</v>
      </c>
      <c r="D1488" s="362">
        <f t="shared" ca="1" si="47"/>
        <v>146615562.70234954</v>
      </c>
    </row>
    <row r="1489" spans="1:4">
      <c r="A1489" s="348">
        <f t="shared" si="48"/>
        <v>1488</v>
      </c>
      <c r="B1489" s="360">
        <f>DATE('Profit Calculation'!J$6,A$2,A$2+A1489-1)</f>
        <v>43492</v>
      </c>
      <c r="D1489" s="362">
        <f t="shared" ca="1" si="47"/>
        <v>146671713.93379578</v>
      </c>
    </row>
    <row r="1490" spans="1:4">
      <c r="A1490" s="348">
        <f t="shared" si="48"/>
        <v>1489</v>
      </c>
      <c r="B1490" s="360">
        <f>DATE('Profit Calculation'!J$6,A$2,A$2+A1490-1)</f>
        <v>43493</v>
      </c>
      <c r="D1490" s="362">
        <f t="shared" ca="1" si="47"/>
        <v>146727886.67019507</v>
      </c>
    </row>
    <row r="1491" spans="1:4">
      <c r="A1491" s="348">
        <f t="shared" si="48"/>
        <v>1490</v>
      </c>
      <c r="B1491" s="360">
        <f>DATE('Profit Calculation'!J$6,A$2,A$2+A1491-1)</f>
        <v>43494</v>
      </c>
      <c r="D1491" s="362">
        <f t="shared" ca="1" si="47"/>
        <v>146784080.91978344</v>
      </c>
    </row>
    <row r="1492" spans="1:4">
      <c r="A1492" s="348">
        <f t="shared" si="48"/>
        <v>1491</v>
      </c>
      <c r="B1492" s="360">
        <f>DATE('Profit Calculation'!J$6,A$2,A$2+A1492-1)</f>
        <v>43495</v>
      </c>
      <c r="D1492" s="362">
        <f t="shared" ca="1" si="47"/>
        <v>146840296.69080007</v>
      </c>
    </row>
    <row r="1493" spans="1:4">
      <c r="A1493" s="348">
        <f t="shared" si="48"/>
        <v>1492</v>
      </c>
      <c r="B1493" s="360">
        <f>DATE('Profit Calculation'!J$6,A$2,A$2+A1493-1)</f>
        <v>43496</v>
      </c>
      <c r="D1493" s="362">
        <f t="shared" ca="1" si="47"/>
        <v>146896533.99148729</v>
      </c>
    </row>
    <row r="1494" spans="1:4">
      <c r="A1494" s="348">
        <f t="shared" si="48"/>
        <v>1493</v>
      </c>
      <c r="B1494" s="360">
        <f>DATE('Profit Calculation'!J$6,A$2,A$2+A1494-1)</f>
        <v>43497</v>
      </c>
      <c r="D1494" s="362">
        <f t="shared" ca="1" si="47"/>
        <v>146952792.83009061</v>
      </c>
    </row>
    <row r="1495" spans="1:4">
      <c r="A1495" s="348">
        <f t="shared" si="48"/>
        <v>1494</v>
      </c>
      <c r="B1495" s="360">
        <f>DATE('Profit Calculation'!J$6,A$2,A$2+A1495-1)</f>
        <v>43498</v>
      </c>
      <c r="D1495" s="362">
        <f t="shared" ca="1" si="47"/>
        <v>147009073.21485868</v>
      </c>
    </row>
    <row r="1496" spans="1:4">
      <c r="A1496" s="348">
        <f t="shared" si="48"/>
        <v>1495</v>
      </c>
      <c r="B1496" s="360">
        <f>DATE('Profit Calculation'!J$6,A$2,A$2+A1496-1)</f>
        <v>43499</v>
      </c>
      <c r="D1496" s="362">
        <f t="shared" ca="1" si="47"/>
        <v>147065375.15404329</v>
      </c>
    </row>
    <row r="1497" spans="1:4">
      <c r="A1497" s="348">
        <f t="shared" si="48"/>
        <v>1496</v>
      </c>
      <c r="B1497" s="360">
        <f>DATE('Profit Calculation'!J$6,A$2,A$2+A1497-1)</f>
        <v>43500</v>
      </c>
      <c r="D1497" s="362">
        <f t="shared" ca="1" si="47"/>
        <v>147121698.65589941</v>
      </c>
    </row>
    <row r="1498" spans="1:4">
      <c r="A1498" s="348">
        <f t="shared" si="48"/>
        <v>1497</v>
      </c>
      <c r="B1498" s="360">
        <f>DATE('Profit Calculation'!J$6,A$2,A$2+A1498-1)</f>
        <v>43501</v>
      </c>
      <c r="D1498" s="362">
        <f t="shared" ca="1" si="47"/>
        <v>147178043.7286852</v>
      </c>
    </row>
    <row r="1499" spans="1:4">
      <c r="A1499" s="348">
        <f t="shared" si="48"/>
        <v>1498</v>
      </c>
      <c r="B1499" s="360">
        <f>DATE('Profit Calculation'!J$6,A$2,A$2+A1499-1)</f>
        <v>43502</v>
      </c>
      <c r="D1499" s="362">
        <f t="shared" ca="1" si="47"/>
        <v>147234410.38066193</v>
      </c>
    </row>
    <row r="1500" spans="1:4">
      <c r="A1500" s="348">
        <f t="shared" si="48"/>
        <v>1499</v>
      </c>
      <c r="B1500" s="360">
        <f>DATE('Profit Calculation'!J$6,A$2,A$2+A1500-1)</f>
        <v>43503</v>
      </c>
      <c r="D1500" s="362">
        <f t="shared" ca="1" si="47"/>
        <v>147290798.62009406</v>
      </c>
    </row>
    <row r="1501" spans="1:4">
      <c r="A1501" s="348">
        <f t="shared" si="48"/>
        <v>1500</v>
      </c>
      <c r="B1501" s="360">
        <f>DATE('Profit Calculation'!J$6,A$2,A$2+A1501-1)</f>
        <v>43504</v>
      </c>
      <c r="D1501" s="362">
        <f t="shared" ca="1" si="47"/>
        <v>147347208.45524922</v>
      </c>
    </row>
    <row r="1502" spans="1:4">
      <c r="A1502" s="348">
        <f t="shared" si="48"/>
        <v>1501</v>
      </c>
      <c r="B1502" s="360">
        <f>DATE('Profit Calculation'!J$6,A$2,A$2+A1502-1)</f>
        <v>43505</v>
      </c>
      <c r="D1502" s="362">
        <f t="shared" ca="1" si="47"/>
        <v>147403639.89439818</v>
      </c>
    </row>
    <row r="1503" spans="1:4">
      <c r="A1503" s="348">
        <f t="shared" si="48"/>
        <v>1502</v>
      </c>
      <c r="B1503" s="360">
        <f>DATE('Profit Calculation'!J$6,A$2,A$2+A1503-1)</f>
        <v>43506</v>
      </c>
      <c r="D1503" s="362">
        <f t="shared" ca="1" si="47"/>
        <v>147460092.94581491</v>
      </c>
    </row>
    <row r="1504" spans="1:4">
      <c r="A1504" s="348">
        <f t="shared" si="48"/>
        <v>1503</v>
      </c>
      <c r="B1504" s="360">
        <f>DATE('Profit Calculation'!J$6,A$2,A$2+A1504-1)</f>
        <v>43507</v>
      </c>
      <c r="D1504" s="362">
        <f t="shared" ca="1" si="47"/>
        <v>147516567.61777654</v>
      </c>
    </row>
    <row r="1505" spans="1:4">
      <c r="A1505" s="348">
        <f t="shared" si="48"/>
        <v>1504</v>
      </c>
      <c r="B1505" s="360">
        <f>DATE('Profit Calculation'!J$6,A$2,A$2+A1505-1)</f>
        <v>43508</v>
      </c>
      <c r="D1505" s="362">
        <f t="shared" ca="1" si="47"/>
        <v>147573063.91856337</v>
      </c>
    </row>
    <row r="1506" spans="1:4">
      <c r="A1506" s="348">
        <f t="shared" si="48"/>
        <v>1505</v>
      </c>
      <c r="B1506" s="360">
        <f>DATE('Profit Calculation'!J$6,A$2,A$2+A1506-1)</f>
        <v>43509</v>
      </c>
      <c r="D1506" s="362">
        <f t="shared" ca="1" si="47"/>
        <v>147629581.85645884</v>
      </c>
    </row>
    <row r="1507" spans="1:4">
      <c r="A1507" s="348">
        <f t="shared" si="48"/>
        <v>1506</v>
      </c>
      <c r="B1507" s="360">
        <f>DATE('Profit Calculation'!J$6,A$2,A$2+A1507-1)</f>
        <v>43510</v>
      </c>
      <c r="D1507" s="362">
        <f t="shared" ca="1" si="47"/>
        <v>147686121.43974963</v>
      </c>
    </row>
    <row r="1508" spans="1:4">
      <c r="A1508" s="348">
        <f t="shared" si="48"/>
        <v>1507</v>
      </c>
      <c r="B1508" s="360">
        <f>DATE('Profit Calculation'!J$6,A$2,A$2+A1508-1)</f>
        <v>43511</v>
      </c>
      <c r="D1508" s="362">
        <f t="shared" ca="1" si="47"/>
        <v>147742682.67672551</v>
      </c>
    </row>
    <row r="1509" spans="1:4">
      <c r="A1509" s="348">
        <f t="shared" si="48"/>
        <v>1508</v>
      </c>
      <c r="B1509" s="360">
        <f>DATE('Profit Calculation'!J$6,A$2,A$2+A1509-1)</f>
        <v>43512</v>
      </c>
      <c r="D1509" s="362">
        <f t="shared" ca="1" si="47"/>
        <v>147799265.57567951</v>
      </c>
    </row>
    <row r="1510" spans="1:4">
      <c r="A1510" s="348">
        <f t="shared" si="48"/>
        <v>1509</v>
      </c>
      <c r="B1510" s="360">
        <f>DATE('Profit Calculation'!J$6,A$2,A$2+A1510-1)</f>
        <v>43513</v>
      </c>
      <c r="D1510" s="362">
        <f t="shared" ca="1" si="47"/>
        <v>147855870.14490777</v>
      </c>
    </row>
    <row r="1511" spans="1:4">
      <c r="A1511" s="348">
        <f t="shared" si="48"/>
        <v>1510</v>
      </c>
      <c r="B1511" s="360">
        <f>DATE('Profit Calculation'!J$6,A$2,A$2+A1511-1)</f>
        <v>43514</v>
      </c>
      <c r="D1511" s="362">
        <f t="shared" ca="1" si="47"/>
        <v>147912496.39270964</v>
      </c>
    </row>
    <row r="1512" spans="1:4">
      <c r="A1512" s="348">
        <f t="shared" si="48"/>
        <v>1511</v>
      </c>
      <c r="B1512" s="360">
        <f>DATE('Profit Calculation'!J$6,A$2,A$2+A1512-1)</f>
        <v>43515</v>
      </c>
      <c r="D1512" s="362">
        <f t="shared" ca="1" si="47"/>
        <v>147969144.32738763</v>
      </c>
    </row>
    <row r="1513" spans="1:4">
      <c r="A1513" s="348">
        <f t="shared" si="48"/>
        <v>1512</v>
      </c>
      <c r="B1513" s="360">
        <f>DATE('Profit Calculation'!J$6,A$2,A$2+A1513-1)</f>
        <v>43516</v>
      </c>
      <c r="D1513" s="362">
        <f t="shared" ca="1" si="47"/>
        <v>148025813.95724744</v>
      </c>
    </row>
    <row r="1514" spans="1:4">
      <c r="A1514" s="348">
        <f t="shared" si="48"/>
        <v>1513</v>
      </c>
      <c r="B1514" s="360">
        <f>DATE('Profit Calculation'!J$6,A$2,A$2+A1514-1)</f>
        <v>43517</v>
      </c>
      <c r="D1514" s="362">
        <f t="shared" ca="1" si="47"/>
        <v>148082505.29059795</v>
      </c>
    </row>
    <row r="1515" spans="1:4">
      <c r="A1515" s="348">
        <f t="shared" si="48"/>
        <v>1514</v>
      </c>
      <c r="B1515" s="360">
        <f>DATE('Profit Calculation'!J$6,A$2,A$2+A1515-1)</f>
        <v>43518</v>
      </c>
      <c r="D1515" s="362">
        <f t="shared" ca="1" si="47"/>
        <v>148139218.33575124</v>
      </c>
    </row>
    <row r="1516" spans="1:4">
      <c r="A1516" s="348">
        <f t="shared" si="48"/>
        <v>1515</v>
      </c>
      <c r="B1516" s="360">
        <f>DATE('Profit Calculation'!J$6,A$2,A$2+A1516-1)</f>
        <v>43519</v>
      </c>
      <c r="D1516" s="362">
        <f t="shared" ca="1" si="47"/>
        <v>148195953.10102254</v>
      </c>
    </row>
    <row r="1517" spans="1:4">
      <c r="A1517" s="348">
        <f t="shared" si="48"/>
        <v>1516</v>
      </c>
      <c r="B1517" s="360">
        <f>DATE('Profit Calculation'!J$6,A$2,A$2+A1517-1)</f>
        <v>43520</v>
      </c>
      <c r="D1517" s="362">
        <f t="shared" ca="1" si="47"/>
        <v>148252709.59473029</v>
      </c>
    </row>
    <row r="1518" spans="1:4">
      <c r="A1518" s="348">
        <f t="shared" si="48"/>
        <v>1517</v>
      </c>
      <c r="B1518" s="360">
        <f>DATE('Profit Calculation'!J$6,A$2,A$2+A1518-1)</f>
        <v>43521</v>
      </c>
      <c r="D1518" s="362">
        <f t="shared" ca="1" si="47"/>
        <v>148309487.82519609</v>
      </c>
    </row>
    <row r="1519" spans="1:4">
      <c r="A1519" s="348">
        <f t="shared" si="48"/>
        <v>1518</v>
      </c>
      <c r="B1519" s="360">
        <f>DATE('Profit Calculation'!J$6,A$2,A$2+A1519-1)</f>
        <v>43522</v>
      </c>
      <c r="D1519" s="362">
        <f t="shared" ca="1" si="47"/>
        <v>148366287.80074474</v>
      </c>
    </row>
    <row r="1520" spans="1:4">
      <c r="A1520" s="348">
        <f t="shared" si="48"/>
        <v>1519</v>
      </c>
      <c r="B1520" s="360">
        <f>DATE('Profit Calculation'!J$6,A$2,A$2+A1520-1)</f>
        <v>43523</v>
      </c>
      <c r="D1520" s="362">
        <f t="shared" ca="1" si="47"/>
        <v>148423109.52970424</v>
      </c>
    </row>
    <row r="1521" spans="1:4">
      <c r="A1521" s="348">
        <f t="shared" si="48"/>
        <v>1520</v>
      </c>
      <c r="B1521" s="360">
        <f>DATE('Profit Calculation'!J$6,A$2,A$2+A1521-1)</f>
        <v>43524</v>
      </c>
      <c r="D1521" s="362">
        <f t="shared" ca="1" si="47"/>
        <v>148479953.0204058</v>
      </c>
    </row>
    <row r="1522" spans="1:4">
      <c r="A1522" s="348">
        <f t="shared" si="48"/>
        <v>1521</v>
      </c>
      <c r="B1522" s="360">
        <f>DATE('Profit Calculation'!J$6,A$2,A$2+A1522-1)</f>
        <v>43525</v>
      </c>
      <c r="D1522" s="362">
        <f t="shared" ca="1" si="47"/>
        <v>148536818.28118375</v>
      </c>
    </row>
    <row r="1523" spans="1:4">
      <c r="A1523" s="348">
        <f t="shared" si="48"/>
        <v>1522</v>
      </c>
      <c r="B1523" s="360">
        <f>DATE('Profit Calculation'!J$6,A$2,A$2+A1523-1)</f>
        <v>43526</v>
      </c>
      <c r="D1523" s="362">
        <f t="shared" ca="1" si="47"/>
        <v>148593705.32037568</v>
      </c>
    </row>
    <row r="1524" spans="1:4">
      <c r="A1524" s="348">
        <f t="shared" si="48"/>
        <v>1523</v>
      </c>
      <c r="B1524" s="360">
        <f>DATE('Profit Calculation'!J$6,A$2,A$2+A1524-1)</f>
        <v>43527</v>
      </c>
      <c r="D1524" s="362">
        <f t="shared" ca="1" si="47"/>
        <v>148650614.14632234</v>
      </c>
    </row>
    <row r="1525" spans="1:4">
      <c r="A1525" s="348">
        <f t="shared" si="48"/>
        <v>1524</v>
      </c>
      <c r="B1525" s="360">
        <f>DATE('Profit Calculation'!J$6,A$2,A$2+A1525-1)</f>
        <v>43528</v>
      </c>
      <c r="D1525" s="362">
        <f t="shared" ca="1" si="47"/>
        <v>148707544.76736769</v>
      </c>
    </row>
    <row r="1526" spans="1:4">
      <c r="A1526" s="348">
        <f t="shared" si="48"/>
        <v>1525</v>
      </c>
      <c r="B1526" s="360">
        <f>DATE('Profit Calculation'!J$6,A$2,A$2+A1526-1)</f>
        <v>43529</v>
      </c>
      <c r="D1526" s="362">
        <f t="shared" ca="1" si="47"/>
        <v>148764497.19185886</v>
      </c>
    </row>
    <row r="1527" spans="1:4">
      <c r="A1527" s="348">
        <f t="shared" si="48"/>
        <v>1526</v>
      </c>
      <c r="B1527" s="360">
        <f>DATE('Profit Calculation'!J$6,A$2,A$2+A1527-1)</f>
        <v>43530</v>
      </c>
      <c r="D1527" s="362">
        <f t="shared" ca="1" si="47"/>
        <v>148821471.42814618</v>
      </c>
    </row>
    <row r="1528" spans="1:4">
      <c r="A1528" s="348">
        <f t="shared" si="48"/>
        <v>1527</v>
      </c>
      <c r="B1528" s="360">
        <f>DATE('Profit Calculation'!J$6,A$2,A$2+A1528-1)</f>
        <v>43531</v>
      </c>
      <c r="D1528" s="362">
        <f t="shared" ca="1" si="47"/>
        <v>148878467.48458323</v>
      </c>
    </row>
    <row r="1529" spans="1:4">
      <c r="A1529" s="348">
        <f t="shared" si="48"/>
        <v>1528</v>
      </c>
      <c r="B1529" s="360">
        <f>DATE('Profit Calculation'!J$6,A$2,A$2+A1529-1)</f>
        <v>43532</v>
      </c>
      <c r="D1529" s="362">
        <f t="shared" ca="1" si="47"/>
        <v>148935485.36952671</v>
      </c>
    </row>
    <row r="1530" spans="1:4">
      <c r="A1530" s="348">
        <f t="shared" si="48"/>
        <v>1529</v>
      </c>
      <c r="B1530" s="360">
        <f>DATE('Profit Calculation'!J$6,A$2,A$2+A1530-1)</f>
        <v>43533</v>
      </c>
      <c r="D1530" s="362">
        <f t="shared" ca="1" si="47"/>
        <v>148992525.09133661</v>
      </c>
    </row>
    <row r="1531" spans="1:4">
      <c r="A1531" s="348">
        <f t="shared" si="48"/>
        <v>1530</v>
      </c>
      <c r="B1531" s="360">
        <f>DATE('Profit Calculation'!J$6,A$2,A$2+A1531-1)</f>
        <v>43534</v>
      </c>
      <c r="D1531" s="362">
        <f t="shared" ca="1" si="47"/>
        <v>149049586.65837604</v>
      </c>
    </row>
    <row r="1532" spans="1:4">
      <c r="A1532" s="348">
        <f t="shared" si="48"/>
        <v>1531</v>
      </c>
      <c r="B1532" s="360">
        <f>DATE('Profit Calculation'!J$6,A$2,A$2+A1532-1)</f>
        <v>43535</v>
      </c>
      <c r="D1532" s="362">
        <f t="shared" ca="1" si="47"/>
        <v>149106670.07901135</v>
      </c>
    </row>
    <row r="1533" spans="1:4">
      <c r="A1533" s="348">
        <f t="shared" si="48"/>
        <v>1532</v>
      </c>
      <c r="B1533" s="360">
        <f>DATE('Profit Calculation'!J$6,A$2,A$2+A1533-1)</f>
        <v>43536</v>
      </c>
      <c r="D1533" s="362">
        <f t="shared" ca="1" si="47"/>
        <v>149163775.36161211</v>
      </c>
    </row>
    <row r="1534" spans="1:4">
      <c r="A1534" s="348">
        <f t="shared" si="48"/>
        <v>1533</v>
      </c>
      <c r="B1534" s="360">
        <f>DATE('Profit Calculation'!J$6,A$2,A$2+A1534-1)</f>
        <v>43537</v>
      </c>
      <c r="D1534" s="362">
        <f t="shared" ca="1" si="47"/>
        <v>149220902.51455104</v>
      </c>
    </row>
    <row r="1535" spans="1:4">
      <c r="A1535" s="348">
        <f t="shared" si="48"/>
        <v>1534</v>
      </c>
      <c r="B1535" s="360">
        <f>DATE('Profit Calculation'!J$6,A$2,A$2+A1535-1)</f>
        <v>43538</v>
      </c>
      <c r="D1535" s="362">
        <f t="shared" ca="1" si="47"/>
        <v>149278051.54620412</v>
      </c>
    </row>
    <row r="1536" spans="1:4">
      <c r="A1536" s="348">
        <f t="shared" si="48"/>
        <v>1535</v>
      </c>
      <c r="B1536" s="360">
        <f>DATE('Profit Calculation'!J$6,A$2,A$2+A1536-1)</f>
        <v>43539</v>
      </c>
      <c r="D1536" s="362">
        <f t="shared" ca="1" si="47"/>
        <v>149335222.46495053</v>
      </c>
    </row>
    <row r="1537" spans="1:4">
      <c r="A1537" s="348">
        <f t="shared" si="48"/>
        <v>1536</v>
      </c>
      <c r="B1537" s="360">
        <f>DATE('Profit Calculation'!J$6,A$2,A$2+A1537-1)</f>
        <v>43540</v>
      </c>
      <c r="D1537" s="362">
        <f t="shared" ca="1" si="47"/>
        <v>149392415.27917263</v>
      </c>
    </row>
    <row r="1538" spans="1:4">
      <c r="A1538" s="348">
        <f t="shared" si="48"/>
        <v>1537</v>
      </c>
      <c r="B1538" s="360">
        <f>DATE('Profit Calculation'!J$6,A$2,A$2+A1538-1)</f>
        <v>43541</v>
      </c>
      <c r="D1538" s="362">
        <f t="shared" ca="1" si="47"/>
        <v>149449629.99725604</v>
      </c>
    </row>
    <row r="1539" spans="1:4">
      <c r="A1539" s="348">
        <f t="shared" si="48"/>
        <v>1538</v>
      </c>
      <c r="B1539" s="360">
        <f>DATE('Profit Calculation'!J$6,A$2,A$2+A1539-1)</f>
        <v>43542</v>
      </c>
      <c r="D1539" s="362">
        <f t="shared" ca="1" si="47"/>
        <v>149506866.62758952</v>
      </c>
    </row>
    <row r="1540" spans="1:4">
      <c r="A1540" s="348">
        <f t="shared" si="48"/>
        <v>1539</v>
      </c>
      <c r="B1540" s="360">
        <f>DATE('Profit Calculation'!J$6,A$2,A$2+A1540-1)</f>
        <v>43543</v>
      </c>
      <c r="D1540" s="362">
        <f t="shared" ref="D1540:D1603" ca="1" si="49">IF(OR(LOOKUP(B1540,W$1:W$35,W$1:W$35) = B1540, LOOKUP(B1540,X$1:X$35,X$1:X$35) = B1540),LOOKUP(B1540,F:F,G:G),D1539*(1+((IF($Q$18&lt;6,$R$14,IF($Q$18&lt;11,$R$15,$R$16)))))^(1/365))</f>
        <v>149564125.17856511</v>
      </c>
    </row>
    <row r="1541" spans="1:4">
      <c r="A1541" s="348">
        <f t="shared" ref="A1541:A1604" si="50">A1540+1</f>
        <v>1540</v>
      </c>
      <c r="B1541" s="360">
        <f>DATE('Profit Calculation'!J$6,A$2,A$2+A1541-1)</f>
        <v>43544</v>
      </c>
      <c r="D1541" s="362">
        <f t="shared" ca="1" si="49"/>
        <v>149621405.65857804</v>
      </c>
    </row>
    <row r="1542" spans="1:4">
      <c r="A1542" s="348">
        <f t="shared" si="50"/>
        <v>1541</v>
      </c>
      <c r="B1542" s="360">
        <f>DATE('Profit Calculation'!J$6,A$2,A$2+A1542-1)</f>
        <v>43545</v>
      </c>
      <c r="D1542" s="362">
        <f t="shared" ca="1" si="49"/>
        <v>149678708.07602674</v>
      </c>
    </row>
    <row r="1543" spans="1:4">
      <c r="A1543" s="348">
        <f t="shared" si="50"/>
        <v>1542</v>
      </c>
      <c r="B1543" s="360">
        <f>DATE('Profit Calculation'!J$6,A$2,A$2+A1543-1)</f>
        <v>43546</v>
      </c>
      <c r="D1543" s="362">
        <f t="shared" ca="1" si="49"/>
        <v>149736032.43931288</v>
      </c>
    </row>
    <row r="1544" spans="1:4">
      <c r="A1544" s="348">
        <f t="shared" si="50"/>
        <v>1543</v>
      </c>
      <c r="B1544" s="360">
        <f>DATE('Profit Calculation'!J$6,A$2,A$2+A1544-1)</f>
        <v>43547</v>
      </c>
      <c r="D1544" s="362">
        <f t="shared" ca="1" si="49"/>
        <v>149793378.75684133</v>
      </c>
    </row>
    <row r="1545" spans="1:4">
      <c r="A1545" s="348">
        <f t="shared" si="50"/>
        <v>1544</v>
      </c>
      <c r="B1545" s="360">
        <f>DATE('Profit Calculation'!J$6,A$2,A$2+A1545-1)</f>
        <v>43548</v>
      </c>
      <c r="D1545" s="362">
        <f t="shared" ca="1" si="49"/>
        <v>149850747.03702021</v>
      </c>
    </row>
    <row r="1546" spans="1:4">
      <c r="A1546" s="348">
        <f t="shared" si="50"/>
        <v>1545</v>
      </c>
      <c r="B1546" s="360">
        <f>DATE('Profit Calculation'!J$6,A$2,A$2+A1546-1)</f>
        <v>43549</v>
      </c>
      <c r="D1546" s="362">
        <f t="shared" ca="1" si="49"/>
        <v>149908137.28826079</v>
      </c>
    </row>
    <row r="1547" spans="1:4">
      <c r="A1547" s="348">
        <f t="shared" si="50"/>
        <v>1546</v>
      </c>
      <c r="B1547" s="360">
        <f>DATE('Profit Calculation'!J$6,A$2,A$2+A1547-1)</f>
        <v>43550</v>
      </c>
      <c r="D1547" s="362">
        <f t="shared" ca="1" si="49"/>
        <v>149965549.51897764</v>
      </c>
    </row>
    <row r="1548" spans="1:4">
      <c r="A1548" s="348">
        <f t="shared" si="50"/>
        <v>1547</v>
      </c>
      <c r="B1548" s="360">
        <f>DATE('Profit Calculation'!J$6,A$2,A$2+A1548-1)</f>
        <v>43551</v>
      </c>
      <c r="D1548" s="362">
        <f t="shared" ca="1" si="49"/>
        <v>150022983.73758852</v>
      </c>
    </row>
    <row r="1549" spans="1:4">
      <c r="A1549" s="348">
        <f t="shared" si="50"/>
        <v>1548</v>
      </c>
      <c r="B1549" s="360">
        <f>DATE('Profit Calculation'!J$6,A$2,A$2+A1549-1)</f>
        <v>43552</v>
      </c>
      <c r="D1549" s="362">
        <f t="shared" ca="1" si="49"/>
        <v>150080439.95251441</v>
      </c>
    </row>
    <row r="1550" spans="1:4">
      <c r="A1550" s="348">
        <f t="shared" si="50"/>
        <v>1549</v>
      </c>
      <c r="B1550" s="360">
        <f>DATE('Profit Calculation'!J$6,A$2,A$2+A1550-1)</f>
        <v>43553</v>
      </c>
      <c r="D1550" s="362">
        <f t="shared" ca="1" si="49"/>
        <v>150137918.17217952</v>
      </c>
    </row>
    <row r="1551" spans="1:4">
      <c r="A1551" s="348">
        <f t="shared" si="50"/>
        <v>1550</v>
      </c>
      <c r="B1551" s="360">
        <f>DATE('Profit Calculation'!J$6,A$2,A$2+A1551-1)</f>
        <v>43554</v>
      </c>
      <c r="D1551" s="362">
        <f t="shared" ca="1" si="49"/>
        <v>150195418.40501127</v>
      </c>
    </row>
    <row r="1552" spans="1:4">
      <c r="A1552" s="348">
        <f t="shared" si="50"/>
        <v>1551</v>
      </c>
      <c r="B1552" s="360">
        <f>DATE('Profit Calculation'!J$6,A$2,A$2+A1552-1)</f>
        <v>43555</v>
      </c>
      <c r="D1552" s="362">
        <f t="shared" ca="1" si="49"/>
        <v>150252940.65944034</v>
      </c>
    </row>
    <row r="1553" spans="1:4">
      <c r="A1553" s="348">
        <f t="shared" si="50"/>
        <v>1552</v>
      </c>
      <c r="B1553" s="360">
        <f>DATE('Profit Calculation'!J$6,A$2,A$2+A1553-1)</f>
        <v>43556</v>
      </c>
      <c r="D1553" s="362">
        <f t="shared" ca="1" si="49"/>
        <v>147996875</v>
      </c>
    </row>
    <row r="1554" spans="1:4">
      <c r="A1554" s="348">
        <f t="shared" si="50"/>
        <v>1553</v>
      </c>
      <c r="B1554" s="360">
        <f>DATE('Profit Calculation'!J$6,A$2,A$2+A1554-1)</f>
        <v>43557</v>
      </c>
      <c r="D1554" s="362">
        <f t="shared" ca="1" si="49"/>
        <v>148053555.25022909</v>
      </c>
    </row>
    <row r="1555" spans="1:4">
      <c r="A1555" s="348">
        <f t="shared" si="50"/>
        <v>1554</v>
      </c>
      <c r="B1555" s="360">
        <f>DATE('Profit Calculation'!J$6,A$2,A$2+A1555-1)</f>
        <v>43558</v>
      </c>
      <c r="D1555" s="362">
        <f t="shared" ca="1" si="49"/>
        <v>148110257.20801628</v>
      </c>
    </row>
    <row r="1556" spans="1:4">
      <c r="A1556" s="348">
        <f t="shared" si="50"/>
        <v>1555</v>
      </c>
      <c r="B1556" s="360">
        <f>DATE('Profit Calculation'!J$6,A$2,A$2+A1556-1)</f>
        <v>43559</v>
      </c>
      <c r="D1556" s="362">
        <f t="shared" ca="1" si="49"/>
        <v>148166980.88167521</v>
      </c>
    </row>
    <row r="1557" spans="1:4">
      <c r="A1557" s="348">
        <f t="shared" si="50"/>
        <v>1556</v>
      </c>
      <c r="B1557" s="360">
        <f>DATE('Profit Calculation'!J$6,A$2,A$2+A1557-1)</f>
        <v>43560</v>
      </c>
      <c r="D1557" s="362">
        <f t="shared" ca="1" si="49"/>
        <v>148223726.27952269</v>
      </c>
    </row>
    <row r="1558" spans="1:4">
      <c r="A1558" s="348">
        <f t="shared" si="50"/>
        <v>1557</v>
      </c>
      <c r="B1558" s="360">
        <f>DATE('Profit Calculation'!J$6,A$2,A$2+A1558-1)</f>
        <v>43561</v>
      </c>
      <c r="D1558" s="362">
        <f t="shared" ca="1" si="49"/>
        <v>148280493.4098787</v>
      </c>
    </row>
    <row r="1559" spans="1:4">
      <c r="A1559" s="348">
        <f t="shared" si="50"/>
        <v>1558</v>
      </c>
      <c r="B1559" s="360">
        <f>DATE('Profit Calculation'!J$6,A$2,A$2+A1559-1)</f>
        <v>43562</v>
      </c>
      <c r="D1559" s="362">
        <f t="shared" ca="1" si="49"/>
        <v>148337282.28106645</v>
      </c>
    </row>
    <row r="1560" spans="1:4">
      <c r="A1560" s="348">
        <f t="shared" si="50"/>
        <v>1559</v>
      </c>
      <c r="B1560" s="360">
        <f>DATE('Profit Calculation'!J$6,A$2,A$2+A1560-1)</f>
        <v>43563</v>
      </c>
      <c r="D1560" s="362">
        <f t="shared" ca="1" si="49"/>
        <v>148394092.90141225</v>
      </c>
    </row>
    <row r="1561" spans="1:4">
      <c r="A1561" s="348">
        <f t="shared" si="50"/>
        <v>1560</v>
      </c>
      <c r="B1561" s="360">
        <f>DATE('Profit Calculation'!J$6,A$2,A$2+A1561-1)</f>
        <v>43564</v>
      </c>
      <c r="D1561" s="362">
        <f t="shared" ca="1" si="49"/>
        <v>148450925.2792457</v>
      </c>
    </row>
    <row r="1562" spans="1:4">
      <c r="A1562" s="348">
        <f t="shared" si="50"/>
        <v>1561</v>
      </c>
      <c r="B1562" s="360">
        <f>DATE('Profit Calculation'!J$6,A$2,A$2+A1562-1)</f>
        <v>43565</v>
      </c>
      <c r="D1562" s="362">
        <f t="shared" ca="1" si="49"/>
        <v>148507779.42289951</v>
      </c>
    </row>
    <row r="1563" spans="1:4">
      <c r="A1563" s="348">
        <f t="shared" si="50"/>
        <v>1562</v>
      </c>
      <c r="B1563" s="360">
        <f>DATE('Profit Calculation'!J$6,A$2,A$2+A1563-1)</f>
        <v>43566</v>
      </c>
      <c r="D1563" s="362">
        <f t="shared" ca="1" si="49"/>
        <v>148564655.34070963</v>
      </c>
    </row>
    <row r="1564" spans="1:4">
      <c r="A1564" s="348">
        <f t="shared" si="50"/>
        <v>1563</v>
      </c>
      <c r="B1564" s="360">
        <f>DATE('Profit Calculation'!J$6,A$2,A$2+A1564-1)</f>
        <v>43567</v>
      </c>
      <c r="D1564" s="362">
        <f t="shared" ca="1" si="49"/>
        <v>148621553.04101518</v>
      </c>
    </row>
    <row r="1565" spans="1:4">
      <c r="A1565" s="348">
        <f t="shared" si="50"/>
        <v>1564</v>
      </c>
      <c r="B1565" s="360">
        <f>DATE('Profit Calculation'!J$6,A$2,A$2+A1565-1)</f>
        <v>43568</v>
      </c>
      <c r="D1565" s="362">
        <f t="shared" ca="1" si="49"/>
        <v>148678472.53215846</v>
      </c>
    </row>
    <row r="1566" spans="1:4">
      <c r="A1566" s="348">
        <f t="shared" si="50"/>
        <v>1565</v>
      </c>
      <c r="B1566" s="360">
        <f>DATE('Profit Calculation'!J$6,A$2,A$2+A1566-1)</f>
        <v>43569</v>
      </c>
      <c r="D1566" s="362">
        <f t="shared" ca="1" si="49"/>
        <v>148735413.82248503</v>
      </c>
    </row>
    <row r="1567" spans="1:4">
      <c r="A1567" s="348">
        <f t="shared" si="50"/>
        <v>1566</v>
      </c>
      <c r="B1567" s="360">
        <f>DATE('Profit Calculation'!J$6,A$2,A$2+A1567-1)</f>
        <v>43570</v>
      </c>
      <c r="D1567" s="362">
        <f t="shared" ca="1" si="49"/>
        <v>148792376.92034358</v>
      </c>
    </row>
    <row r="1568" spans="1:4">
      <c r="A1568" s="348">
        <f t="shared" si="50"/>
        <v>1567</v>
      </c>
      <c r="B1568" s="360">
        <f>DATE('Profit Calculation'!J$6,A$2,A$2+A1568-1)</f>
        <v>43571</v>
      </c>
      <c r="D1568" s="362">
        <f t="shared" ca="1" si="49"/>
        <v>148849361.834086</v>
      </c>
    </row>
    <row r="1569" spans="1:4">
      <c r="A1569" s="348">
        <f t="shared" si="50"/>
        <v>1568</v>
      </c>
      <c r="B1569" s="360">
        <f>DATE('Profit Calculation'!J$6,A$2,A$2+A1569-1)</f>
        <v>43572</v>
      </c>
      <c r="D1569" s="362">
        <f t="shared" ca="1" si="49"/>
        <v>148906368.57206741</v>
      </c>
    </row>
    <row r="1570" spans="1:4">
      <c r="A1570" s="348">
        <f t="shared" si="50"/>
        <v>1569</v>
      </c>
      <c r="B1570" s="360">
        <f>DATE('Profit Calculation'!J$6,A$2,A$2+A1570-1)</f>
        <v>43573</v>
      </c>
      <c r="D1570" s="362">
        <f t="shared" ca="1" si="49"/>
        <v>148963397.14264613</v>
      </c>
    </row>
    <row r="1571" spans="1:4">
      <c r="A1571" s="348">
        <f t="shared" si="50"/>
        <v>1570</v>
      </c>
      <c r="B1571" s="360">
        <f>DATE('Profit Calculation'!J$6,A$2,A$2+A1571-1)</f>
        <v>43574</v>
      </c>
      <c r="D1571" s="362">
        <f t="shared" ca="1" si="49"/>
        <v>149020447.55418366</v>
      </c>
    </row>
    <row r="1572" spans="1:4">
      <c r="A1572" s="348">
        <f t="shared" si="50"/>
        <v>1571</v>
      </c>
      <c r="B1572" s="360">
        <f>DATE('Profit Calculation'!J$6,A$2,A$2+A1572-1)</f>
        <v>43575</v>
      </c>
      <c r="D1572" s="362">
        <f t="shared" ca="1" si="49"/>
        <v>149077519.8150447</v>
      </c>
    </row>
    <row r="1573" spans="1:4">
      <c r="A1573" s="348">
        <f t="shared" si="50"/>
        <v>1572</v>
      </c>
      <c r="B1573" s="360">
        <f>DATE('Profit Calculation'!J$6,A$2,A$2+A1573-1)</f>
        <v>43576</v>
      </c>
      <c r="D1573" s="362">
        <f t="shared" ca="1" si="49"/>
        <v>149134613.93359718</v>
      </c>
    </row>
    <row r="1574" spans="1:4">
      <c r="A1574" s="348">
        <f t="shared" si="50"/>
        <v>1573</v>
      </c>
      <c r="B1574" s="360">
        <f>DATE('Profit Calculation'!J$6,A$2,A$2+A1574-1)</f>
        <v>43577</v>
      </c>
      <c r="D1574" s="362">
        <f t="shared" ca="1" si="49"/>
        <v>149191729.91821221</v>
      </c>
    </row>
    <row r="1575" spans="1:4">
      <c r="A1575" s="348">
        <f t="shared" si="50"/>
        <v>1574</v>
      </c>
      <c r="B1575" s="360">
        <f>DATE('Profit Calculation'!J$6,A$2,A$2+A1575-1)</f>
        <v>43578</v>
      </c>
      <c r="D1575" s="362">
        <f t="shared" ca="1" si="49"/>
        <v>149248867.77726412</v>
      </c>
    </row>
    <row r="1576" spans="1:4">
      <c r="A1576" s="348">
        <f t="shared" si="50"/>
        <v>1575</v>
      </c>
      <c r="B1576" s="360">
        <f>DATE('Profit Calculation'!J$6,A$2,A$2+A1576-1)</f>
        <v>43579</v>
      </c>
      <c r="D1576" s="362">
        <f t="shared" ca="1" si="49"/>
        <v>149306027.51913044</v>
      </c>
    </row>
    <row r="1577" spans="1:4">
      <c r="A1577" s="348">
        <f t="shared" si="50"/>
        <v>1576</v>
      </c>
      <c r="B1577" s="360">
        <f>DATE('Profit Calculation'!J$6,A$2,A$2+A1577-1)</f>
        <v>43580</v>
      </c>
      <c r="D1577" s="362">
        <f t="shared" ca="1" si="49"/>
        <v>149363209.15219191</v>
      </c>
    </row>
    <row r="1578" spans="1:4">
      <c r="A1578" s="348">
        <f t="shared" si="50"/>
        <v>1577</v>
      </c>
      <c r="B1578" s="360">
        <f>DATE('Profit Calculation'!J$6,A$2,A$2+A1578-1)</f>
        <v>43581</v>
      </c>
      <c r="D1578" s="362">
        <f t="shared" ca="1" si="49"/>
        <v>149420412.68483248</v>
      </c>
    </row>
    <row r="1579" spans="1:4">
      <c r="A1579" s="348">
        <f t="shared" si="50"/>
        <v>1578</v>
      </c>
      <c r="B1579" s="360">
        <f>DATE('Profit Calculation'!J$6,A$2,A$2+A1579-1)</f>
        <v>43582</v>
      </c>
      <c r="D1579" s="362">
        <f t="shared" ca="1" si="49"/>
        <v>149477638.12543932</v>
      </c>
    </row>
    <row r="1580" spans="1:4">
      <c r="A1580" s="348">
        <f t="shared" si="50"/>
        <v>1579</v>
      </c>
      <c r="B1580" s="360">
        <f>DATE('Profit Calculation'!J$6,A$2,A$2+A1580-1)</f>
        <v>43583</v>
      </c>
      <c r="D1580" s="362">
        <f t="shared" ca="1" si="49"/>
        <v>149534885.48240277</v>
      </c>
    </row>
    <row r="1581" spans="1:4">
      <c r="A1581" s="348">
        <f t="shared" si="50"/>
        <v>1580</v>
      </c>
      <c r="B1581" s="360">
        <f>DATE('Profit Calculation'!J$6,A$2,A$2+A1581-1)</f>
        <v>43584</v>
      </c>
      <c r="D1581" s="362">
        <f t="shared" ca="1" si="49"/>
        <v>149592154.76411644</v>
      </c>
    </row>
    <row r="1582" spans="1:4">
      <c r="A1582" s="348">
        <f t="shared" si="50"/>
        <v>1581</v>
      </c>
      <c r="B1582" s="360">
        <f>DATE('Profit Calculation'!J$6,A$2,A$2+A1582-1)</f>
        <v>43585</v>
      </c>
      <c r="D1582" s="362">
        <f t="shared" ca="1" si="49"/>
        <v>149649445.97897714</v>
      </c>
    </row>
    <row r="1583" spans="1:4">
      <c r="A1583" s="348">
        <f t="shared" si="50"/>
        <v>1582</v>
      </c>
      <c r="B1583" s="360">
        <f>DATE('Profit Calculation'!J$6,A$2,A$2+A1583-1)</f>
        <v>43586</v>
      </c>
      <c r="D1583" s="362">
        <f t="shared" ca="1" si="49"/>
        <v>149706759.13538489</v>
      </c>
    </row>
    <row r="1584" spans="1:4">
      <c r="A1584" s="348">
        <f t="shared" si="50"/>
        <v>1583</v>
      </c>
      <c r="B1584" s="360">
        <f>DATE('Profit Calculation'!J$6,A$2,A$2+A1584-1)</f>
        <v>43587</v>
      </c>
      <c r="D1584" s="362">
        <f t="shared" ca="1" si="49"/>
        <v>149764094.24174288</v>
      </c>
    </row>
    <row r="1585" spans="1:4">
      <c r="A1585" s="348">
        <f t="shared" si="50"/>
        <v>1584</v>
      </c>
      <c r="B1585" s="360">
        <f>DATE('Profit Calculation'!J$6,A$2,A$2+A1585-1)</f>
        <v>43588</v>
      </c>
      <c r="D1585" s="362">
        <f t="shared" ca="1" si="49"/>
        <v>149821451.30645761</v>
      </c>
    </row>
    <row r="1586" spans="1:4">
      <c r="A1586" s="348">
        <f t="shared" si="50"/>
        <v>1585</v>
      </c>
      <c r="B1586" s="360">
        <f>DATE('Profit Calculation'!J$6,A$2,A$2+A1586-1)</f>
        <v>43589</v>
      </c>
      <c r="D1586" s="362">
        <f t="shared" ca="1" si="49"/>
        <v>149878830.33793873</v>
      </c>
    </row>
    <row r="1587" spans="1:4">
      <c r="A1587" s="348">
        <f t="shared" si="50"/>
        <v>1586</v>
      </c>
      <c r="B1587" s="360">
        <f>DATE('Profit Calculation'!J$6,A$2,A$2+A1587-1)</f>
        <v>43590</v>
      </c>
      <c r="D1587" s="362">
        <f t="shared" ca="1" si="49"/>
        <v>149936231.34459913</v>
      </c>
    </row>
    <row r="1588" spans="1:4">
      <c r="A1588" s="348">
        <f t="shared" si="50"/>
        <v>1587</v>
      </c>
      <c r="B1588" s="360">
        <f>DATE('Profit Calculation'!J$6,A$2,A$2+A1588-1)</f>
        <v>43591</v>
      </c>
      <c r="D1588" s="362">
        <f t="shared" ca="1" si="49"/>
        <v>149993654.33485493</v>
      </c>
    </row>
    <row r="1589" spans="1:4">
      <c r="A1589" s="348">
        <f t="shared" si="50"/>
        <v>1588</v>
      </c>
      <c r="B1589" s="360">
        <f>DATE('Profit Calculation'!J$6,A$2,A$2+A1589-1)</f>
        <v>43592</v>
      </c>
      <c r="D1589" s="362">
        <f t="shared" ca="1" si="49"/>
        <v>150051099.3171255</v>
      </c>
    </row>
    <row r="1590" spans="1:4">
      <c r="A1590" s="348">
        <f t="shared" si="50"/>
        <v>1589</v>
      </c>
      <c r="B1590" s="360">
        <f>DATE('Profit Calculation'!J$6,A$2,A$2+A1590-1)</f>
        <v>43593</v>
      </c>
      <c r="D1590" s="362">
        <f t="shared" ca="1" si="49"/>
        <v>150108566.29983336</v>
      </c>
    </row>
    <row r="1591" spans="1:4">
      <c r="A1591" s="348">
        <f t="shared" si="50"/>
        <v>1590</v>
      </c>
      <c r="B1591" s="360">
        <f>DATE('Profit Calculation'!J$6,A$2,A$2+A1591-1)</f>
        <v>43594</v>
      </c>
      <c r="D1591" s="362">
        <f t="shared" ca="1" si="49"/>
        <v>150166055.29140431</v>
      </c>
    </row>
    <row r="1592" spans="1:4">
      <c r="A1592" s="348">
        <f t="shared" si="50"/>
        <v>1591</v>
      </c>
      <c r="B1592" s="360">
        <f>DATE('Profit Calculation'!J$6,A$2,A$2+A1592-1)</f>
        <v>43595</v>
      </c>
      <c r="D1592" s="362">
        <f t="shared" ca="1" si="49"/>
        <v>150223566.30026737</v>
      </c>
    </row>
    <row r="1593" spans="1:4">
      <c r="A1593" s="348">
        <f t="shared" si="50"/>
        <v>1592</v>
      </c>
      <c r="B1593" s="360">
        <f>DATE('Profit Calculation'!J$6,A$2,A$2+A1593-1)</f>
        <v>43596</v>
      </c>
      <c r="D1593" s="362">
        <f t="shared" ca="1" si="49"/>
        <v>150281099.33485478</v>
      </c>
    </row>
    <row r="1594" spans="1:4">
      <c r="A1594" s="348">
        <f t="shared" si="50"/>
        <v>1593</v>
      </c>
      <c r="B1594" s="360">
        <f>DATE('Profit Calculation'!J$6,A$2,A$2+A1594-1)</f>
        <v>43597</v>
      </c>
      <c r="D1594" s="362">
        <f t="shared" ca="1" si="49"/>
        <v>150338654.403602</v>
      </c>
    </row>
    <row r="1595" spans="1:4">
      <c r="A1595" s="348">
        <f t="shared" si="50"/>
        <v>1594</v>
      </c>
      <c r="B1595" s="360">
        <f>DATE('Profit Calculation'!J$6,A$2,A$2+A1595-1)</f>
        <v>43598</v>
      </c>
      <c r="D1595" s="362">
        <f t="shared" ca="1" si="49"/>
        <v>150396231.51494777</v>
      </c>
    </row>
    <row r="1596" spans="1:4">
      <c r="A1596" s="348">
        <f t="shared" si="50"/>
        <v>1595</v>
      </c>
      <c r="B1596" s="360">
        <f>DATE('Profit Calculation'!J$6,A$2,A$2+A1596-1)</f>
        <v>43599</v>
      </c>
      <c r="D1596" s="362">
        <f t="shared" ca="1" si="49"/>
        <v>150453830.67733398</v>
      </c>
    </row>
    <row r="1597" spans="1:4">
      <c r="A1597" s="348">
        <f t="shared" si="50"/>
        <v>1596</v>
      </c>
      <c r="B1597" s="360">
        <f>DATE('Profit Calculation'!J$6,A$2,A$2+A1597-1)</f>
        <v>43600</v>
      </c>
      <c r="D1597" s="362">
        <f t="shared" ca="1" si="49"/>
        <v>150511451.89920583</v>
      </c>
    </row>
    <row r="1598" spans="1:4">
      <c r="A1598" s="348">
        <f t="shared" si="50"/>
        <v>1597</v>
      </c>
      <c r="B1598" s="360">
        <f>DATE('Profit Calculation'!J$6,A$2,A$2+A1598-1)</f>
        <v>43601</v>
      </c>
      <c r="D1598" s="362">
        <f t="shared" ca="1" si="49"/>
        <v>150569095.18901169</v>
      </c>
    </row>
    <row r="1599" spans="1:4">
      <c r="A1599" s="348">
        <f t="shared" si="50"/>
        <v>1598</v>
      </c>
      <c r="B1599" s="360">
        <f>DATE('Profit Calculation'!J$6,A$2,A$2+A1599-1)</f>
        <v>43602</v>
      </c>
      <c r="D1599" s="362">
        <f t="shared" ca="1" si="49"/>
        <v>150626760.55520323</v>
      </c>
    </row>
    <row r="1600" spans="1:4">
      <c r="A1600" s="348">
        <f t="shared" si="50"/>
        <v>1599</v>
      </c>
      <c r="B1600" s="360">
        <f>DATE('Profit Calculation'!J$6,A$2,A$2+A1600-1)</f>
        <v>43603</v>
      </c>
      <c r="D1600" s="362">
        <f t="shared" ca="1" si="49"/>
        <v>150684448.0062353</v>
      </c>
    </row>
    <row r="1601" spans="1:4">
      <c r="A1601" s="348">
        <f t="shared" si="50"/>
        <v>1600</v>
      </c>
      <c r="B1601" s="360">
        <f>DATE('Profit Calculation'!J$6,A$2,A$2+A1601-1)</f>
        <v>43604</v>
      </c>
      <c r="D1601" s="362">
        <f t="shared" ca="1" si="49"/>
        <v>150742157.55056605</v>
      </c>
    </row>
    <row r="1602" spans="1:4">
      <c r="A1602" s="348">
        <f t="shared" si="50"/>
        <v>1601</v>
      </c>
      <c r="B1602" s="360">
        <f>DATE('Profit Calculation'!J$6,A$2,A$2+A1602-1)</f>
        <v>43605</v>
      </c>
      <c r="D1602" s="362">
        <f t="shared" ca="1" si="49"/>
        <v>150799889.19665679</v>
      </c>
    </row>
    <row r="1603" spans="1:4">
      <c r="A1603" s="348">
        <f t="shared" si="50"/>
        <v>1602</v>
      </c>
      <c r="B1603" s="360">
        <f>DATE('Profit Calculation'!J$6,A$2,A$2+A1603-1)</f>
        <v>43606</v>
      </c>
      <c r="D1603" s="362">
        <f t="shared" ca="1" si="49"/>
        <v>150857642.95297214</v>
      </c>
    </row>
    <row r="1604" spans="1:4">
      <c r="A1604" s="348">
        <f t="shared" si="50"/>
        <v>1603</v>
      </c>
      <c r="B1604" s="360">
        <f>DATE('Profit Calculation'!J$6,A$2,A$2+A1604-1)</f>
        <v>43607</v>
      </c>
      <c r="D1604" s="362">
        <f t="shared" ref="D1604:D1667" ca="1" si="51">IF(OR(LOOKUP(B1604,W$1:W$35,W$1:W$35) = B1604, LOOKUP(B1604,X$1:X$35,X$1:X$35) = B1604),LOOKUP(B1604,F:F,G:G),D1603*(1+((IF($Q$18&lt;6,$R$14,IF($Q$18&lt;11,$R$15,$R$16)))))^(1/365))</f>
        <v>150915418.82797992</v>
      </c>
    </row>
    <row r="1605" spans="1:4">
      <c r="A1605" s="348">
        <f t="shared" ref="A1605:A1668" si="52">A1604+1</f>
        <v>1604</v>
      </c>
      <c r="B1605" s="360">
        <f>DATE('Profit Calculation'!J$6,A$2,A$2+A1605-1)</f>
        <v>43608</v>
      </c>
      <c r="D1605" s="362">
        <f t="shared" ca="1" si="51"/>
        <v>150973216.83015123</v>
      </c>
    </row>
    <row r="1606" spans="1:4">
      <c r="A1606" s="348">
        <f t="shared" si="52"/>
        <v>1605</v>
      </c>
      <c r="B1606" s="360">
        <f>DATE('Profit Calculation'!J$6,A$2,A$2+A1606-1)</f>
        <v>43609</v>
      </c>
      <c r="D1606" s="362">
        <f t="shared" ca="1" si="51"/>
        <v>151031036.96796036</v>
      </c>
    </row>
    <row r="1607" spans="1:4">
      <c r="A1607" s="348">
        <f t="shared" si="52"/>
        <v>1606</v>
      </c>
      <c r="B1607" s="360">
        <f>DATE('Profit Calculation'!J$6,A$2,A$2+A1607-1)</f>
        <v>43610</v>
      </c>
      <c r="D1607" s="362">
        <f t="shared" ca="1" si="51"/>
        <v>151088879.2498849</v>
      </c>
    </row>
    <row r="1608" spans="1:4">
      <c r="A1608" s="348">
        <f t="shared" si="52"/>
        <v>1607</v>
      </c>
      <c r="B1608" s="360">
        <f>DATE('Profit Calculation'!J$6,A$2,A$2+A1608-1)</f>
        <v>43611</v>
      </c>
      <c r="D1608" s="362">
        <f t="shared" ca="1" si="51"/>
        <v>151146743.68440565</v>
      </c>
    </row>
    <row r="1609" spans="1:4">
      <c r="A1609" s="348">
        <f t="shared" si="52"/>
        <v>1608</v>
      </c>
      <c r="B1609" s="360">
        <f>DATE('Profit Calculation'!J$6,A$2,A$2+A1609-1)</f>
        <v>43612</v>
      </c>
      <c r="D1609" s="362">
        <f t="shared" ca="1" si="51"/>
        <v>151204630.28000668</v>
      </c>
    </row>
    <row r="1610" spans="1:4">
      <c r="A1610" s="348">
        <f t="shared" si="52"/>
        <v>1609</v>
      </c>
      <c r="B1610" s="360">
        <f>DATE('Profit Calculation'!J$6,A$2,A$2+A1610-1)</f>
        <v>43613</v>
      </c>
      <c r="D1610" s="362">
        <f t="shared" ca="1" si="51"/>
        <v>151262539.04517531</v>
      </c>
    </row>
    <row r="1611" spans="1:4">
      <c r="A1611" s="348">
        <f t="shared" si="52"/>
        <v>1610</v>
      </c>
      <c r="B1611" s="360">
        <f>DATE('Profit Calculation'!J$6,A$2,A$2+A1611-1)</f>
        <v>43614</v>
      </c>
      <c r="D1611" s="362">
        <f t="shared" ca="1" si="51"/>
        <v>151320469.9884021</v>
      </c>
    </row>
    <row r="1612" spans="1:4">
      <c r="A1612" s="348">
        <f t="shared" si="52"/>
        <v>1611</v>
      </c>
      <c r="B1612" s="360">
        <f>DATE('Profit Calculation'!J$6,A$2,A$2+A1612-1)</f>
        <v>43615</v>
      </c>
      <c r="D1612" s="362">
        <f t="shared" ca="1" si="51"/>
        <v>151378423.11818084</v>
      </c>
    </row>
    <row r="1613" spans="1:4">
      <c r="A1613" s="348">
        <f t="shared" si="52"/>
        <v>1612</v>
      </c>
      <c r="B1613" s="360">
        <f>DATE('Profit Calculation'!J$6,A$2,A$2+A1613-1)</f>
        <v>43616</v>
      </c>
      <c r="D1613" s="362">
        <f t="shared" ca="1" si="51"/>
        <v>151436398.44300863</v>
      </c>
    </row>
    <row r="1614" spans="1:4">
      <c r="A1614" s="348">
        <f t="shared" si="52"/>
        <v>1613</v>
      </c>
      <c r="B1614" s="360">
        <f>DATE('Profit Calculation'!J$6,A$2,A$2+A1614-1)</f>
        <v>43617</v>
      </c>
      <c r="D1614" s="362">
        <f t="shared" ca="1" si="51"/>
        <v>151494395.97138578</v>
      </c>
    </row>
    <row r="1615" spans="1:4">
      <c r="A1615" s="348">
        <f t="shared" si="52"/>
        <v>1614</v>
      </c>
      <c r="B1615" s="360">
        <f>DATE('Profit Calculation'!J$6,A$2,A$2+A1615-1)</f>
        <v>43618</v>
      </c>
      <c r="D1615" s="362">
        <f t="shared" ca="1" si="51"/>
        <v>151552415.71181583</v>
      </c>
    </row>
    <row r="1616" spans="1:4">
      <c r="A1616" s="348">
        <f t="shared" si="52"/>
        <v>1615</v>
      </c>
      <c r="B1616" s="360">
        <f>DATE('Profit Calculation'!J$6,A$2,A$2+A1616-1)</f>
        <v>43619</v>
      </c>
      <c r="D1616" s="362">
        <f t="shared" ca="1" si="51"/>
        <v>151610457.67280567</v>
      </c>
    </row>
    <row r="1617" spans="1:4">
      <c r="A1617" s="348">
        <f t="shared" si="52"/>
        <v>1616</v>
      </c>
      <c r="B1617" s="360">
        <f>DATE('Profit Calculation'!J$6,A$2,A$2+A1617-1)</f>
        <v>43620</v>
      </c>
      <c r="D1617" s="362">
        <f t="shared" ca="1" si="51"/>
        <v>151668521.86286536</v>
      </c>
    </row>
    <row r="1618" spans="1:4">
      <c r="A1618" s="348">
        <f t="shared" si="52"/>
        <v>1617</v>
      </c>
      <c r="B1618" s="360">
        <f>DATE('Profit Calculation'!J$6,A$2,A$2+A1618-1)</f>
        <v>43621</v>
      </c>
      <c r="D1618" s="362">
        <f t="shared" ca="1" si="51"/>
        <v>151726608.29050824</v>
      </c>
    </row>
    <row r="1619" spans="1:4">
      <c r="A1619" s="348">
        <f t="shared" si="52"/>
        <v>1618</v>
      </c>
      <c r="B1619" s="360">
        <f>DATE('Profit Calculation'!J$6,A$2,A$2+A1619-1)</f>
        <v>43622</v>
      </c>
      <c r="D1619" s="362">
        <f t="shared" ca="1" si="51"/>
        <v>151784716.96425095</v>
      </c>
    </row>
    <row r="1620" spans="1:4">
      <c r="A1620" s="348">
        <f t="shared" si="52"/>
        <v>1619</v>
      </c>
      <c r="B1620" s="360">
        <f>DATE('Profit Calculation'!J$6,A$2,A$2+A1620-1)</f>
        <v>43623</v>
      </c>
      <c r="D1620" s="362">
        <f t="shared" ca="1" si="51"/>
        <v>151842847.89261335</v>
      </c>
    </row>
    <row r="1621" spans="1:4">
      <c r="A1621" s="348">
        <f t="shared" si="52"/>
        <v>1620</v>
      </c>
      <c r="B1621" s="360">
        <f>DATE('Profit Calculation'!J$6,A$2,A$2+A1621-1)</f>
        <v>43624</v>
      </c>
      <c r="D1621" s="362">
        <f t="shared" ca="1" si="51"/>
        <v>151901001.08411857</v>
      </c>
    </row>
    <row r="1622" spans="1:4">
      <c r="A1622" s="348">
        <f t="shared" si="52"/>
        <v>1621</v>
      </c>
      <c r="B1622" s="360">
        <f>DATE('Profit Calculation'!J$6,A$2,A$2+A1622-1)</f>
        <v>43625</v>
      </c>
      <c r="D1622" s="362">
        <f t="shared" ca="1" si="51"/>
        <v>151959176.54729301</v>
      </c>
    </row>
    <row r="1623" spans="1:4">
      <c r="A1623" s="348">
        <f t="shared" si="52"/>
        <v>1622</v>
      </c>
      <c r="B1623" s="360">
        <f>DATE('Profit Calculation'!J$6,A$2,A$2+A1623-1)</f>
        <v>43626</v>
      </c>
      <c r="D1623" s="362">
        <f t="shared" ca="1" si="51"/>
        <v>152017374.29066634</v>
      </c>
    </row>
    <row r="1624" spans="1:4">
      <c r="A1624" s="348">
        <f t="shared" si="52"/>
        <v>1623</v>
      </c>
      <c r="B1624" s="360">
        <f>DATE('Profit Calculation'!J$6,A$2,A$2+A1624-1)</f>
        <v>43627</v>
      </c>
      <c r="D1624" s="362">
        <f t="shared" ca="1" si="51"/>
        <v>152075594.32277149</v>
      </c>
    </row>
    <row r="1625" spans="1:4">
      <c r="A1625" s="348">
        <f t="shared" si="52"/>
        <v>1624</v>
      </c>
      <c r="B1625" s="360">
        <f>DATE('Profit Calculation'!J$6,A$2,A$2+A1625-1)</f>
        <v>43628</v>
      </c>
      <c r="D1625" s="362">
        <f t="shared" ca="1" si="51"/>
        <v>152133836.65214467</v>
      </c>
    </row>
    <row r="1626" spans="1:4">
      <c r="A1626" s="348">
        <f t="shared" si="52"/>
        <v>1625</v>
      </c>
      <c r="B1626" s="360">
        <f>DATE('Profit Calculation'!J$6,A$2,A$2+A1626-1)</f>
        <v>43629</v>
      </c>
      <c r="D1626" s="362">
        <f t="shared" ca="1" si="51"/>
        <v>152192101.28732532</v>
      </c>
    </row>
    <row r="1627" spans="1:4">
      <c r="A1627" s="348">
        <f t="shared" si="52"/>
        <v>1626</v>
      </c>
      <c r="B1627" s="360">
        <f>DATE('Profit Calculation'!J$6,A$2,A$2+A1627-1)</f>
        <v>43630</v>
      </c>
      <c r="D1627" s="362">
        <f t="shared" ca="1" si="51"/>
        <v>152250388.23685622</v>
      </c>
    </row>
    <row r="1628" spans="1:4">
      <c r="A1628" s="348">
        <f t="shared" si="52"/>
        <v>1627</v>
      </c>
      <c r="B1628" s="360">
        <f>DATE('Profit Calculation'!J$6,A$2,A$2+A1628-1)</f>
        <v>43631</v>
      </c>
      <c r="D1628" s="362">
        <f t="shared" ca="1" si="51"/>
        <v>152308697.50928336</v>
      </c>
    </row>
    <row r="1629" spans="1:4">
      <c r="A1629" s="348">
        <f t="shared" si="52"/>
        <v>1628</v>
      </c>
      <c r="B1629" s="360">
        <f>DATE('Profit Calculation'!J$6,A$2,A$2+A1629-1)</f>
        <v>43632</v>
      </c>
      <c r="D1629" s="362">
        <f t="shared" ca="1" si="51"/>
        <v>152367029.11315602</v>
      </c>
    </row>
    <row r="1630" spans="1:4">
      <c r="A1630" s="348">
        <f t="shared" si="52"/>
        <v>1629</v>
      </c>
      <c r="B1630" s="360">
        <f>DATE('Profit Calculation'!J$6,A$2,A$2+A1630-1)</f>
        <v>43633</v>
      </c>
      <c r="D1630" s="362">
        <f t="shared" ca="1" si="51"/>
        <v>152425383.05702674</v>
      </c>
    </row>
    <row r="1631" spans="1:4">
      <c r="A1631" s="348">
        <f t="shared" si="52"/>
        <v>1630</v>
      </c>
      <c r="B1631" s="360">
        <f>DATE('Profit Calculation'!J$6,A$2,A$2+A1631-1)</f>
        <v>43634</v>
      </c>
      <c r="D1631" s="362">
        <f t="shared" ca="1" si="51"/>
        <v>152483759.34945139</v>
      </c>
    </row>
    <row r="1632" spans="1:4">
      <c r="A1632" s="348">
        <f t="shared" si="52"/>
        <v>1631</v>
      </c>
      <c r="B1632" s="360">
        <f>DATE('Profit Calculation'!J$6,A$2,A$2+A1632-1)</f>
        <v>43635</v>
      </c>
      <c r="D1632" s="362">
        <f t="shared" ca="1" si="51"/>
        <v>152542157.99898908</v>
      </c>
    </row>
    <row r="1633" spans="1:4">
      <c r="A1633" s="348">
        <f t="shared" si="52"/>
        <v>1632</v>
      </c>
      <c r="B1633" s="360">
        <f>DATE('Profit Calculation'!J$6,A$2,A$2+A1633-1)</f>
        <v>43636</v>
      </c>
      <c r="D1633" s="362">
        <f t="shared" ca="1" si="51"/>
        <v>152600579.01420218</v>
      </c>
    </row>
    <row r="1634" spans="1:4">
      <c r="A1634" s="348">
        <f t="shared" si="52"/>
        <v>1633</v>
      </c>
      <c r="B1634" s="360">
        <f>DATE('Profit Calculation'!J$6,A$2,A$2+A1634-1)</f>
        <v>43637</v>
      </c>
      <c r="D1634" s="362">
        <f t="shared" ca="1" si="51"/>
        <v>152659022.40365636</v>
      </c>
    </row>
    <row r="1635" spans="1:4">
      <c r="A1635" s="348">
        <f t="shared" si="52"/>
        <v>1634</v>
      </c>
      <c r="B1635" s="360">
        <f>DATE('Profit Calculation'!J$6,A$2,A$2+A1635-1)</f>
        <v>43638</v>
      </c>
      <c r="D1635" s="362">
        <f t="shared" ca="1" si="51"/>
        <v>152717488.17592058</v>
      </c>
    </row>
    <row r="1636" spans="1:4">
      <c r="A1636" s="348">
        <f t="shared" si="52"/>
        <v>1635</v>
      </c>
      <c r="B1636" s="360">
        <f>DATE('Profit Calculation'!J$6,A$2,A$2+A1636-1)</f>
        <v>43639</v>
      </c>
      <c r="D1636" s="362">
        <f t="shared" ca="1" si="51"/>
        <v>152775976.33956707</v>
      </c>
    </row>
    <row r="1637" spans="1:4">
      <c r="A1637" s="348">
        <f t="shared" si="52"/>
        <v>1636</v>
      </c>
      <c r="B1637" s="360">
        <f>DATE('Profit Calculation'!J$6,A$2,A$2+A1637-1)</f>
        <v>43640</v>
      </c>
      <c r="D1637" s="362">
        <f t="shared" ca="1" si="51"/>
        <v>152834486.90317133</v>
      </c>
    </row>
    <row r="1638" spans="1:4">
      <c r="A1638" s="348">
        <f t="shared" si="52"/>
        <v>1637</v>
      </c>
      <c r="B1638" s="360">
        <f>DATE('Profit Calculation'!J$6,A$2,A$2+A1638-1)</f>
        <v>43641</v>
      </c>
      <c r="D1638" s="362">
        <f t="shared" ca="1" si="51"/>
        <v>152893019.87531215</v>
      </c>
    </row>
    <row r="1639" spans="1:4">
      <c r="A1639" s="348">
        <f t="shared" si="52"/>
        <v>1638</v>
      </c>
      <c r="B1639" s="360">
        <f>DATE('Profit Calculation'!J$6,A$2,A$2+A1639-1)</f>
        <v>43642</v>
      </c>
      <c r="D1639" s="362">
        <f t="shared" ca="1" si="51"/>
        <v>152951575.26457164</v>
      </c>
    </row>
    <row r="1640" spans="1:4">
      <c r="A1640" s="348">
        <f t="shared" si="52"/>
        <v>1639</v>
      </c>
      <c r="B1640" s="360">
        <f>DATE('Profit Calculation'!J$6,A$2,A$2+A1640-1)</f>
        <v>43643</v>
      </c>
      <c r="D1640" s="362">
        <f t="shared" ca="1" si="51"/>
        <v>153010153.07953516</v>
      </c>
    </row>
    <row r="1641" spans="1:4">
      <c r="A1641" s="348">
        <f t="shared" si="52"/>
        <v>1640</v>
      </c>
      <c r="B1641" s="360">
        <f>DATE('Profit Calculation'!J$6,A$2,A$2+A1641-1)</f>
        <v>43644</v>
      </c>
      <c r="D1641" s="362">
        <f t="shared" ca="1" si="51"/>
        <v>153068753.32879135</v>
      </c>
    </row>
    <row r="1642" spans="1:4">
      <c r="A1642" s="348">
        <f t="shared" si="52"/>
        <v>1641</v>
      </c>
      <c r="B1642" s="360">
        <f>DATE('Profit Calculation'!J$6,A$2,A$2+A1642-1)</f>
        <v>43645</v>
      </c>
      <c r="D1642" s="362">
        <f t="shared" ca="1" si="51"/>
        <v>153127376.02093217</v>
      </c>
    </row>
    <row r="1643" spans="1:4">
      <c r="A1643" s="348">
        <f t="shared" si="52"/>
        <v>1642</v>
      </c>
      <c r="B1643" s="360">
        <f>DATE('Profit Calculation'!J$6,A$2,A$2+A1643-1)</f>
        <v>43646</v>
      </c>
      <c r="D1643" s="362">
        <f t="shared" ca="1" si="51"/>
        <v>153186021.16455287</v>
      </c>
    </row>
    <row r="1644" spans="1:4">
      <c r="A1644" s="348">
        <f t="shared" si="52"/>
        <v>1643</v>
      </c>
      <c r="B1644" s="360">
        <f>DATE('Profit Calculation'!J$6,A$2,A$2+A1644-1)</f>
        <v>43647</v>
      </c>
      <c r="D1644" s="362">
        <f t="shared" ca="1" si="51"/>
        <v>153244688.76825196</v>
      </c>
    </row>
    <row r="1645" spans="1:4">
      <c r="A1645" s="348">
        <f t="shared" si="52"/>
        <v>1644</v>
      </c>
      <c r="B1645" s="360">
        <f>DATE('Profit Calculation'!J$6,A$2,A$2+A1645-1)</f>
        <v>43648</v>
      </c>
      <c r="D1645" s="362">
        <f t="shared" ca="1" si="51"/>
        <v>153303378.84063128</v>
      </c>
    </row>
    <row r="1646" spans="1:4">
      <c r="A1646" s="348">
        <f t="shared" si="52"/>
        <v>1645</v>
      </c>
      <c r="B1646" s="360">
        <f>DATE('Profit Calculation'!J$6,A$2,A$2+A1646-1)</f>
        <v>43649</v>
      </c>
      <c r="D1646" s="362">
        <f t="shared" ca="1" si="51"/>
        <v>153362091.39029592</v>
      </c>
    </row>
    <row r="1647" spans="1:4">
      <c r="A1647" s="348">
        <f t="shared" si="52"/>
        <v>1646</v>
      </c>
      <c r="B1647" s="360">
        <f>DATE('Profit Calculation'!J$6,A$2,A$2+A1647-1)</f>
        <v>43650</v>
      </c>
      <c r="D1647" s="362">
        <f t="shared" ca="1" si="51"/>
        <v>153420826.42585433</v>
      </c>
    </row>
    <row r="1648" spans="1:4">
      <c r="A1648" s="348">
        <f t="shared" si="52"/>
        <v>1647</v>
      </c>
      <c r="B1648" s="360">
        <f>DATE('Profit Calculation'!J$6,A$2,A$2+A1648-1)</f>
        <v>43651</v>
      </c>
      <c r="D1648" s="362">
        <f t="shared" ca="1" si="51"/>
        <v>153479583.95591819</v>
      </c>
    </row>
    <row r="1649" spans="1:4">
      <c r="A1649" s="348">
        <f t="shared" si="52"/>
        <v>1648</v>
      </c>
      <c r="B1649" s="360">
        <f>DATE('Profit Calculation'!J$6,A$2,A$2+A1649-1)</f>
        <v>43652</v>
      </c>
      <c r="D1649" s="362">
        <f t="shared" ca="1" si="51"/>
        <v>153538363.98910251</v>
      </c>
    </row>
    <row r="1650" spans="1:4">
      <c r="A1650" s="348">
        <f t="shared" si="52"/>
        <v>1649</v>
      </c>
      <c r="B1650" s="360">
        <f>DATE('Profit Calculation'!J$6,A$2,A$2+A1650-1)</f>
        <v>43653</v>
      </c>
      <c r="D1650" s="362">
        <f t="shared" ca="1" si="51"/>
        <v>153597166.53402561</v>
      </c>
    </row>
    <row r="1651" spans="1:4">
      <c r="A1651" s="348">
        <f t="shared" si="52"/>
        <v>1650</v>
      </c>
      <c r="B1651" s="360">
        <f>DATE('Profit Calculation'!J$6,A$2,A$2+A1651-1)</f>
        <v>43654</v>
      </c>
      <c r="D1651" s="362">
        <f t="shared" ca="1" si="51"/>
        <v>153655991.59930909</v>
      </c>
    </row>
    <row r="1652" spans="1:4">
      <c r="A1652" s="348">
        <f t="shared" si="52"/>
        <v>1651</v>
      </c>
      <c r="B1652" s="360">
        <f>DATE('Profit Calculation'!J$6,A$2,A$2+A1652-1)</f>
        <v>43655</v>
      </c>
      <c r="D1652" s="362">
        <f t="shared" ca="1" si="51"/>
        <v>153714839.19357786</v>
      </c>
    </row>
    <row r="1653" spans="1:4">
      <c r="A1653" s="348">
        <f t="shared" si="52"/>
        <v>1652</v>
      </c>
      <c r="B1653" s="360">
        <f>DATE('Profit Calculation'!J$6,A$2,A$2+A1653-1)</f>
        <v>43656</v>
      </c>
      <c r="D1653" s="362">
        <f t="shared" ca="1" si="51"/>
        <v>153773709.32546014</v>
      </c>
    </row>
    <row r="1654" spans="1:4">
      <c r="A1654" s="348">
        <f t="shared" si="52"/>
        <v>1653</v>
      </c>
      <c r="B1654" s="360">
        <f>DATE('Profit Calculation'!J$6,A$2,A$2+A1654-1)</f>
        <v>43657</v>
      </c>
      <c r="D1654" s="362">
        <f t="shared" ca="1" si="51"/>
        <v>153832602.00358742</v>
      </c>
    </row>
    <row r="1655" spans="1:4">
      <c r="A1655" s="348">
        <f t="shared" si="52"/>
        <v>1654</v>
      </c>
      <c r="B1655" s="360">
        <f>DATE('Profit Calculation'!J$6,A$2,A$2+A1655-1)</f>
        <v>43658</v>
      </c>
      <c r="D1655" s="362">
        <f t="shared" ca="1" si="51"/>
        <v>153891517.23659456</v>
      </c>
    </row>
    <row r="1656" spans="1:4">
      <c r="A1656" s="348">
        <f t="shared" si="52"/>
        <v>1655</v>
      </c>
      <c r="B1656" s="360">
        <f>DATE('Profit Calculation'!J$6,A$2,A$2+A1656-1)</f>
        <v>43659</v>
      </c>
      <c r="D1656" s="362">
        <f t="shared" ca="1" si="51"/>
        <v>153950455.03311968</v>
      </c>
    </row>
    <row r="1657" spans="1:4">
      <c r="A1657" s="348">
        <f t="shared" si="52"/>
        <v>1656</v>
      </c>
      <c r="B1657" s="360">
        <f>DATE('Profit Calculation'!J$6,A$2,A$2+A1657-1)</f>
        <v>43660</v>
      </c>
      <c r="D1657" s="362">
        <f t="shared" ca="1" si="51"/>
        <v>154009415.40180421</v>
      </c>
    </row>
    <row r="1658" spans="1:4">
      <c r="A1658" s="348">
        <f t="shared" si="52"/>
        <v>1657</v>
      </c>
      <c r="B1658" s="360">
        <f>DATE('Profit Calculation'!J$6,A$2,A$2+A1658-1)</f>
        <v>43661</v>
      </c>
      <c r="D1658" s="362">
        <f t="shared" ca="1" si="51"/>
        <v>154068398.35129288</v>
      </c>
    </row>
    <row r="1659" spans="1:4">
      <c r="A1659" s="348">
        <f t="shared" si="52"/>
        <v>1658</v>
      </c>
      <c r="B1659" s="360">
        <f>DATE('Profit Calculation'!J$6,A$2,A$2+A1659-1)</f>
        <v>43662</v>
      </c>
      <c r="D1659" s="362">
        <f t="shared" ca="1" si="51"/>
        <v>154127403.89023378</v>
      </c>
    </row>
    <row r="1660" spans="1:4">
      <c r="A1660" s="348">
        <f t="shared" si="52"/>
        <v>1659</v>
      </c>
      <c r="B1660" s="360">
        <f>DATE('Profit Calculation'!J$6,A$2,A$2+A1660-1)</f>
        <v>43663</v>
      </c>
      <c r="D1660" s="362">
        <f t="shared" ca="1" si="51"/>
        <v>154186432.02727827</v>
      </c>
    </row>
    <row r="1661" spans="1:4">
      <c r="A1661" s="348">
        <f t="shared" si="52"/>
        <v>1660</v>
      </c>
      <c r="B1661" s="360">
        <f>DATE('Profit Calculation'!J$6,A$2,A$2+A1661-1)</f>
        <v>43664</v>
      </c>
      <c r="D1661" s="362">
        <f t="shared" ca="1" si="51"/>
        <v>154245482.77108103</v>
      </c>
    </row>
    <row r="1662" spans="1:4">
      <c r="A1662" s="348">
        <f t="shared" si="52"/>
        <v>1661</v>
      </c>
      <c r="B1662" s="360">
        <f>DATE('Profit Calculation'!J$6,A$2,A$2+A1662-1)</f>
        <v>43665</v>
      </c>
      <c r="D1662" s="362">
        <f t="shared" ca="1" si="51"/>
        <v>154304556.13030007</v>
      </c>
    </row>
    <row r="1663" spans="1:4">
      <c r="A1663" s="348">
        <f t="shared" si="52"/>
        <v>1662</v>
      </c>
      <c r="B1663" s="360">
        <f>DATE('Profit Calculation'!J$6,A$2,A$2+A1663-1)</f>
        <v>43666</v>
      </c>
      <c r="D1663" s="362">
        <f t="shared" ca="1" si="51"/>
        <v>154363652.11359671</v>
      </c>
    </row>
    <row r="1664" spans="1:4">
      <c r="A1664" s="348">
        <f t="shared" si="52"/>
        <v>1663</v>
      </c>
      <c r="B1664" s="360">
        <f>DATE('Profit Calculation'!J$6,A$2,A$2+A1664-1)</f>
        <v>43667</v>
      </c>
      <c r="D1664" s="362">
        <f t="shared" ca="1" si="51"/>
        <v>154422770.72963554</v>
      </c>
    </row>
    <row r="1665" spans="1:4">
      <c r="A1665" s="348">
        <f t="shared" si="52"/>
        <v>1664</v>
      </c>
      <c r="B1665" s="360">
        <f>DATE('Profit Calculation'!J$6,A$2,A$2+A1665-1)</f>
        <v>43668</v>
      </c>
      <c r="D1665" s="362">
        <f t="shared" ca="1" si="51"/>
        <v>154481911.98708454</v>
      </c>
    </row>
    <row r="1666" spans="1:4">
      <c r="A1666" s="348">
        <f t="shared" si="52"/>
        <v>1665</v>
      </c>
      <c r="B1666" s="360">
        <f>DATE('Profit Calculation'!J$6,A$2,A$2+A1666-1)</f>
        <v>43669</v>
      </c>
      <c r="D1666" s="362">
        <f t="shared" ca="1" si="51"/>
        <v>154541075.89461496</v>
      </c>
    </row>
    <row r="1667" spans="1:4">
      <c r="A1667" s="348">
        <f t="shared" si="52"/>
        <v>1666</v>
      </c>
      <c r="B1667" s="360">
        <f>DATE('Profit Calculation'!J$6,A$2,A$2+A1667-1)</f>
        <v>43670</v>
      </c>
      <c r="D1667" s="362">
        <f t="shared" ca="1" si="51"/>
        <v>154600262.46090144</v>
      </c>
    </row>
    <row r="1668" spans="1:4">
      <c r="A1668" s="348">
        <f t="shared" si="52"/>
        <v>1667</v>
      </c>
      <c r="B1668" s="360">
        <f>DATE('Profit Calculation'!J$6,A$2,A$2+A1668-1)</f>
        <v>43671</v>
      </c>
      <c r="D1668" s="362">
        <f t="shared" ref="D1668:D1731" ca="1" si="53">IF(OR(LOOKUP(B1668,W$1:W$35,W$1:W$35) = B1668, LOOKUP(B1668,X$1:X$35,X$1:X$35) = B1668),LOOKUP(B1668,F:F,G:G),D1667*(1+((IF($Q$18&lt;6,$R$14,IF($Q$18&lt;11,$R$15,$R$16)))))^(1/365))</f>
        <v>154659471.69462183</v>
      </c>
    </row>
    <row r="1669" spans="1:4">
      <c r="A1669" s="348">
        <f t="shared" ref="A1669:A1732" si="54">A1668+1</f>
        <v>1668</v>
      </c>
      <c r="B1669" s="360">
        <f>DATE('Profit Calculation'!J$6,A$2,A$2+A1669-1)</f>
        <v>43672</v>
      </c>
      <c r="D1669" s="362">
        <f t="shared" ca="1" si="53"/>
        <v>154718703.60445741</v>
      </c>
    </row>
    <row r="1670" spans="1:4">
      <c r="A1670" s="348">
        <f t="shared" si="54"/>
        <v>1669</v>
      </c>
      <c r="B1670" s="360">
        <f>DATE('Profit Calculation'!J$6,A$2,A$2+A1670-1)</f>
        <v>43673</v>
      </c>
      <c r="D1670" s="362">
        <f t="shared" ca="1" si="53"/>
        <v>154777958.19909272</v>
      </c>
    </row>
    <row r="1671" spans="1:4">
      <c r="A1671" s="348">
        <f t="shared" si="54"/>
        <v>1670</v>
      </c>
      <c r="B1671" s="360">
        <f>DATE('Profit Calculation'!J$6,A$2,A$2+A1671-1)</f>
        <v>43674</v>
      </c>
      <c r="D1671" s="362">
        <f t="shared" ca="1" si="53"/>
        <v>154837235.48721567</v>
      </c>
    </row>
    <row r="1672" spans="1:4">
      <c r="A1672" s="348">
        <f t="shared" si="54"/>
        <v>1671</v>
      </c>
      <c r="B1672" s="360">
        <f>DATE('Profit Calculation'!J$6,A$2,A$2+A1672-1)</f>
        <v>43675</v>
      </c>
      <c r="D1672" s="362">
        <f t="shared" ca="1" si="53"/>
        <v>154896535.47751746</v>
      </c>
    </row>
    <row r="1673" spans="1:4">
      <c r="A1673" s="348">
        <f t="shared" si="54"/>
        <v>1672</v>
      </c>
      <c r="B1673" s="360">
        <f>DATE('Profit Calculation'!J$6,A$2,A$2+A1673-1)</f>
        <v>43676</v>
      </c>
      <c r="D1673" s="362">
        <f t="shared" ca="1" si="53"/>
        <v>154955858.17869261</v>
      </c>
    </row>
    <row r="1674" spans="1:4">
      <c r="A1674" s="348">
        <f t="shared" si="54"/>
        <v>1673</v>
      </c>
      <c r="B1674" s="360">
        <f>DATE('Profit Calculation'!J$6,A$2,A$2+A1674-1)</f>
        <v>43677</v>
      </c>
      <c r="D1674" s="362">
        <f t="shared" ca="1" si="53"/>
        <v>155015203.59943902</v>
      </c>
    </row>
    <row r="1675" spans="1:4">
      <c r="A1675" s="348">
        <f t="shared" si="54"/>
        <v>1674</v>
      </c>
      <c r="B1675" s="360">
        <f>DATE('Profit Calculation'!J$6,A$2,A$2+A1675-1)</f>
        <v>43678</v>
      </c>
      <c r="D1675" s="362">
        <f t="shared" ca="1" si="53"/>
        <v>155074571.74845791</v>
      </c>
    </row>
    <row r="1676" spans="1:4">
      <c r="A1676" s="348">
        <f t="shared" si="54"/>
        <v>1675</v>
      </c>
      <c r="B1676" s="360">
        <f>DATE('Profit Calculation'!J$6,A$2,A$2+A1676-1)</f>
        <v>43679</v>
      </c>
      <c r="D1676" s="362">
        <f t="shared" ca="1" si="53"/>
        <v>155133962.63445377</v>
      </c>
    </row>
    <row r="1677" spans="1:4">
      <c r="A1677" s="348">
        <f t="shared" si="54"/>
        <v>1676</v>
      </c>
      <c r="B1677" s="360">
        <f>DATE('Profit Calculation'!J$6,A$2,A$2+A1677-1)</f>
        <v>43680</v>
      </c>
      <c r="D1677" s="362">
        <f t="shared" ca="1" si="53"/>
        <v>155193376.2661345</v>
      </c>
    </row>
    <row r="1678" spans="1:4">
      <c r="A1678" s="348">
        <f t="shared" si="54"/>
        <v>1677</v>
      </c>
      <c r="B1678" s="360">
        <f>DATE('Profit Calculation'!J$6,A$2,A$2+A1678-1)</f>
        <v>43681</v>
      </c>
      <c r="D1678" s="362">
        <f t="shared" ca="1" si="53"/>
        <v>155252812.65221131</v>
      </c>
    </row>
    <row r="1679" spans="1:4">
      <c r="A1679" s="348">
        <f t="shared" si="54"/>
        <v>1678</v>
      </c>
      <c r="B1679" s="360">
        <f>DATE('Profit Calculation'!J$6,A$2,A$2+A1679-1)</f>
        <v>43682</v>
      </c>
      <c r="D1679" s="362">
        <f t="shared" ca="1" si="53"/>
        <v>155312271.80139872</v>
      </c>
    </row>
    <row r="1680" spans="1:4">
      <c r="A1680" s="348">
        <f t="shared" si="54"/>
        <v>1679</v>
      </c>
      <c r="B1680" s="360">
        <f>DATE('Profit Calculation'!J$6,A$2,A$2+A1680-1)</f>
        <v>43683</v>
      </c>
      <c r="D1680" s="362">
        <f t="shared" ca="1" si="53"/>
        <v>155371753.72241461</v>
      </c>
    </row>
    <row r="1681" spans="1:4">
      <c r="A1681" s="348">
        <f t="shared" si="54"/>
        <v>1680</v>
      </c>
      <c r="B1681" s="360">
        <f>DATE('Profit Calculation'!J$6,A$2,A$2+A1681-1)</f>
        <v>43684</v>
      </c>
      <c r="D1681" s="362">
        <f t="shared" ca="1" si="53"/>
        <v>155431258.42398021</v>
      </c>
    </row>
    <row r="1682" spans="1:4">
      <c r="A1682" s="348">
        <f t="shared" si="54"/>
        <v>1681</v>
      </c>
      <c r="B1682" s="360">
        <f>DATE('Profit Calculation'!J$6,A$2,A$2+A1682-1)</f>
        <v>43685</v>
      </c>
      <c r="D1682" s="362">
        <f t="shared" ca="1" si="53"/>
        <v>155490785.91482008</v>
      </c>
    </row>
    <row r="1683" spans="1:4">
      <c r="A1683" s="348">
        <f t="shared" si="54"/>
        <v>1682</v>
      </c>
      <c r="B1683" s="360">
        <f>DATE('Profit Calculation'!J$6,A$2,A$2+A1683-1)</f>
        <v>43686</v>
      </c>
      <c r="D1683" s="362">
        <f t="shared" ca="1" si="53"/>
        <v>155550336.2036621</v>
      </c>
    </row>
    <row r="1684" spans="1:4">
      <c r="A1684" s="348">
        <f t="shared" si="54"/>
        <v>1683</v>
      </c>
      <c r="B1684" s="360">
        <f>DATE('Profit Calculation'!J$6,A$2,A$2+A1684-1)</f>
        <v>43687</v>
      </c>
      <c r="D1684" s="362">
        <f t="shared" ca="1" si="53"/>
        <v>155609909.29923752</v>
      </c>
    </row>
    <row r="1685" spans="1:4">
      <c r="A1685" s="348">
        <f t="shared" si="54"/>
        <v>1684</v>
      </c>
      <c r="B1685" s="360">
        <f>DATE('Profit Calculation'!J$6,A$2,A$2+A1685-1)</f>
        <v>43688</v>
      </c>
      <c r="D1685" s="362">
        <f t="shared" ca="1" si="53"/>
        <v>155669505.21028095</v>
      </c>
    </row>
    <row r="1686" spans="1:4">
      <c r="A1686" s="348">
        <f t="shared" si="54"/>
        <v>1685</v>
      </c>
      <c r="B1686" s="360">
        <f>DATE('Profit Calculation'!J$6,A$2,A$2+A1686-1)</f>
        <v>43689</v>
      </c>
      <c r="D1686" s="362">
        <f t="shared" ca="1" si="53"/>
        <v>155729123.9455303</v>
      </c>
    </row>
    <row r="1687" spans="1:4">
      <c r="A1687" s="348">
        <f t="shared" si="54"/>
        <v>1686</v>
      </c>
      <c r="B1687" s="360">
        <f>DATE('Profit Calculation'!J$6,A$2,A$2+A1687-1)</f>
        <v>43690</v>
      </c>
      <c r="D1687" s="362">
        <f t="shared" ca="1" si="53"/>
        <v>155788765.51372683</v>
      </c>
    </row>
    <row r="1688" spans="1:4">
      <c r="A1688" s="348">
        <f t="shared" si="54"/>
        <v>1687</v>
      </c>
      <c r="B1688" s="360">
        <f>DATE('Profit Calculation'!J$6,A$2,A$2+A1688-1)</f>
        <v>43691</v>
      </c>
      <c r="D1688" s="362">
        <f t="shared" ca="1" si="53"/>
        <v>155848429.92361519</v>
      </c>
    </row>
    <row r="1689" spans="1:4">
      <c r="A1689" s="348">
        <f t="shared" si="54"/>
        <v>1688</v>
      </c>
      <c r="B1689" s="360">
        <f>DATE('Profit Calculation'!J$6,A$2,A$2+A1689-1)</f>
        <v>43692</v>
      </c>
      <c r="D1689" s="362">
        <f t="shared" ca="1" si="53"/>
        <v>155908117.18394336</v>
      </c>
    </row>
    <row r="1690" spans="1:4">
      <c r="A1690" s="348">
        <f t="shared" si="54"/>
        <v>1689</v>
      </c>
      <c r="B1690" s="360">
        <f>DATE('Profit Calculation'!J$6,A$2,A$2+A1690-1)</f>
        <v>43693</v>
      </c>
      <c r="D1690" s="362">
        <f t="shared" ca="1" si="53"/>
        <v>155967827.30346265</v>
      </c>
    </row>
    <row r="1691" spans="1:4">
      <c r="A1691" s="348">
        <f t="shared" si="54"/>
        <v>1690</v>
      </c>
      <c r="B1691" s="360">
        <f>DATE('Profit Calculation'!J$6,A$2,A$2+A1691-1)</f>
        <v>43694</v>
      </c>
      <c r="D1691" s="362">
        <f t="shared" ca="1" si="53"/>
        <v>156027560.29092774</v>
      </c>
    </row>
    <row r="1692" spans="1:4">
      <c r="A1692" s="348">
        <f t="shared" si="54"/>
        <v>1691</v>
      </c>
      <c r="B1692" s="360">
        <f>DATE('Profit Calculation'!J$6,A$2,A$2+A1692-1)</f>
        <v>43695</v>
      </c>
      <c r="D1692" s="362">
        <f t="shared" ca="1" si="53"/>
        <v>156087316.15509665</v>
      </c>
    </row>
    <row r="1693" spans="1:4">
      <c r="A1693" s="348">
        <f t="shared" si="54"/>
        <v>1692</v>
      </c>
      <c r="B1693" s="360">
        <f>DATE('Profit Calculation'!J$6,A$2,A$2+A1693-1)</f>
        <v>43696</v>
      </c>
      <c r="D1693" s="362">
        <f t="shared" ca="1" si="53"/>
        <v>156147094.90473077</v>
      </c>
    </row>
    <row r="1694" spans="1:4">
      <c r="A1694" s="348">
        <f t="shared" si="54"/>
        <v>1693</v>
      </c>
      <c r="B1694" s="360">
        <f>DATE('Profit Calculation'!J$6,A$2,A$2+A1694-1)</f>
        <v>43697</v>
      </c>
      <c r="D1694" s="362">
        <f t="shared" ca="1" si="53"/>
        <v>156206896.54859483</v>
      </c>
    </row>
    <row r="1695" spans="1:4">
      <c r="A1695" s="348">
        <f t="shared" si="54"/>
        <v>1694</v>
      </c>
      <c r="B1695" s="360">
        <f>DATE('Profit Calculation'!J$6,A$2,A$2+A1695-1)</f>
        <v>43698</v>
      </c>
      <c r="D1695" s="362">
        <f t="shared" ca="1" si="53"/>
        <v>156266721.09545693</v>
      </c>
    </row>
    <row r="1696" spans="1:4">
      <c r="A1696" s="348">
        <f t="shared" si="54"/>
        <v>1695</v>
      </c>
      <c r="B1696" s="360">
        <f>DATE('Profit Calculation'!J$6,A$2,A$2+A1696-1)</f>
        <v>43699</v>
      </c>
      <c r="D1696" s="362">
        <f t="shared" ca="1" si="53"/>
        <v>156326568.55408853</v>
      </c>
    </row>
    <row r="1697" spans="1:4">
      <c r="A1697" s="348">
        <f t="shared" si="54"/>
        <v>1696</v>
      </c>
      <c r="B1697" s="360">
        <f>DATE('Profit Calculation'!J$6,A$2,A$2+A1697-1)</f>
        <v>43700</v>
      </c>
      <c r="D1697" s="362">
        <f t="shared" ca="1" si="53"/>
        <v>156386438.93326443</v>
      </c>
    </row>
    <row r="1698" spans="1:4">
      <c r="A1698" s="348">
        <f t="shared" si="54"/>
        <v>1697</v>
      </c>
      <c r="B1698" s="360">
        <f>DATE('Profit Calculation'!J$6,A$2,A$2+A1698-1)</f>
        <v>43701</v>
      </c>
      <c r="D1698" s="362">
        <f t="shared" ca="1" si="53"/>
        <v>156446332.24176282</v>
      </c>
    </row>
    <row r="1699" spans="1:4">
      <c r="A1699" s="348">
        <f t="shared" si="54"/>
        <v>1698</v>
      </c>
      <c r="B1699" s="360">
        <f>DATE('Profit Calculation'!J$6,A$2,A$2+A1699-1)</f>
        <v>43702</v>
      </c>
      <c r="D1699" s="362">
        <f t="shared" ca="1" si="53"/>
        <v>156506248.4883652</v>
      </c>
    </row>
    <row r="1700" spans="1:4">
      <c r="A1700" s="348">
        <f t="shared" si="54"/>
        <v>1699</v>
      </c>
      <c r="B1700" s="360">
        <f>DATE('Profit Calculation'!J$6,A$2,A$2+A1700-1)</f>
        <v>43703</v>
      </c>
      <c r="D1700" s="362">
        <f t="shared" ca="1" si="53"/>
        <v>156566187.68185651</v>
      </c>
    </row>
    <row r="1701" spans="1:4">
      <c r="A1701" s="348">
        <f t="shared" si="54"/>
        <v>1700</v>
      </c>
      <c r="B1701" s="360">
        <f>DATE('Profit Calculation'!J$6,A$2,A$2+A1701-1)</f>
        <v>43704</v>
      </c>
      <c r="D1701" s="362">
        <f t="shared" ca="1" si="53"/>
        <v>156626149.831025</v>
      </c>
    </row>
    <row r="1702" spans="1:4">
      <c r="A1702" s="348">
        <f t="shared" si="54"/>
        <v>1701</v>
      </c>
      <c r="B1702" s="360">
        <f>DATE('Profit Calculation'!J$6,A$2,A$2+A1702-1)</f>
        <v>43705</v>
      </c>
      <c r="D1702" s="362">
        <f t="shared" ca="1" si="53"/>
        <v>156686134.9446623</v>
      </c>
    </row>
    <row r="1703" spans="1:4">
      <c r="A1703" s="348">
        <f t="shared" si="54"/>
        <v>1702</v>
      </c>
      <c r="B1703" s="360">
        <f>DATE('Profit Calculation'!J$6,A$2,A$2+A1703-1)</f>
        <v>43706</v>
      </c>
      <c r="D1703" s="362">
        <f t="shared" ca="1" si="53"/>
        <v>156746143.0315634</v>
      </c>
    </row>
    <row r="1704" spans="1:4">
      <c r="A1704" s="348">
        <f t="shared" si="54"/>
        <v>1703</v>
      </c>
      <c r="B1704" s="360">
        <f>DATE('Profit Calculation'!J$6,A$2,A$2+A1704-1)</f>
        <v>43707</v>
      </c>
      <c r="D1704" s="362">
        <f t="shared" ca="1" si="53"/>
        <v>156806174.10052666</v>
      </c>
    </row>
    <row r="1705" spans="1:4">
      <c r="A1705" s="348">
        <f t="shared" si="54"/>
        <v>1704</v>
      </c>
      <c r="B1705" s="360">
        <f>DATE('Profit Calculation'!J$6,A$2,A$2+A1705-1)</f>
        <v>43708</v>
      </c>
      <c r="D1705" s="362">
        <f t="shared" ca="1" si="53"/>
        <v>156866228.16035381</v>
      </c>
    </row>
    <row r="1706" spans="1:4">
      <c r="A1706" s="348">
        <f t="shared" si="54"/>
        <v>1705</v>
      </c>
      <c r="B1706" s="360">
        <f>DATE('Profit Calculation'!J$6,A$2,A$2+A1706-1)</f>
        <v>43709</v>
      </c>
      <c r="D1706" s="362">
        <f t="shared" ca="1" si="53"/>
        <v>156926305.21984997</v>
      </c>
    </row>
    <row r="1707" spans="1:4">
      <c r="A1707" s="348">
        <f t="shared" si="54"/>
        <v>1706</v>
      </c>
      <c r="B1707" s="360">
        <f>DATE('Profit Calculation'!J$6,A$2,A$2+A1707-1)</f>
        <v>43710</v>
      </c>
      <c r="D1707" s="362">
        <f t="shared" ca="1" si="53"/>
        <v>156986405.28782362</v>
      </c>
    </row>
    <row r="1708" spans="1:4">
      <c r="A1708" s="348">
        <f t="shared" si="54"/>
        <v>1707</v>
      </c>
      <c r="B1708" s="360">
        <f>DATE('Profit Calculation'!J$6,A$2,A$2+A1708-1)</f>
        <v>43711</v>
      </c>
      <c r="D1708" s="362">
        <f t="shared" ca="1" si="53"/>
        <v>157046528.37308657</v>
      </c>
    </row>
    <row r="1709" spans="1:4">
      <c r="A1709" s="348">
        <f t="shared" si="54"/>
        <v>1708</v>
      </c>
      <c r="B1709" s="360">
        <f>DATE('Profit Calculation'!J$6,A$2,A$2+A1709-1)</f>
        <v>43712</v>
      </c>
      <c r="D1709" s="362">
        <f t="shared" ca="1" si="53"/>
        <v>157106674.4844541</v>
      </c>
    </row>
    <row r="1710" spans="1:4">
      <c r="A1710" s="348">
        <f t="shared" si="54"/>
        <v>1709</v>
      </c>
      <c r="B1710" s="360">
        <f>DATE('Profit Calculation'!J$6,A$2,A$2+A1710-1)</f>
        <v>43713</v>
      </c>
      <c r="D1710" s="362">
        <f t="shared" ca="1" si="53"/>
        <v>157166843.63074476</v>
      </c>
    </row>
    <row r="1711" spans="1:4">
      <c r="A1711" s="348">
        <f t="shared" si="54"/>
        <v>1710</v>
      </c>
      <c r="B1711" s="360">
        <f>DATE('Profit Calculation'!J$6,A$2,A$2+A1711-1)</f>
        <v>43714</v>
      </c>
      <c r="D1711" s="362">
        <f t="shared" ca="1" si="53"/>
        <v>157227035.82078055</v>
      </c>
    </row>
    <row r="1712" spans="1:4">
      <c r="A1712" s="348">
        <f t="shared" si="54"/>
        <v>1711</v>
      </c>
      <c r="B1712" s="360">
        <f>DATE('Profit Calculation'!J$6,A$2,A$2+A1712-1)</f>
        <v>43715</v>
      </c>
      <c r="D1712" s="362">
        <f t="shared" ca="1" si="53"/>
        <v>157287251.06338683</v>
      </c>
    </row>
    <row r="1713" spans="1:4">
      <c r="A1713" s="348">
        <f t="shared" si="54"/>
        <v>1712</v>
      </c>
      <c r="B1713" s="360">
        <f>DATE('Profit Calculation'!J$6,A$2,A$2+A1713-1)</f>
        <v>43716</v>
      </c>
      <c r="D1713" s="362">
        <f t="shared" ca="1" si="53"/>
        <v>157347489.36739233</v>
      </c>
    </row>
    <row r="1714" spans="1:4">
      <c r="A1714" s="348">
        <f t="shared" si="54"/>
        <v>1713</v>
      </c>
      <c r="B1714" s="360">
        <f>DATE('Profit Calculation'!J$6,A$2,A$2+A1714-1)</f>
        <v>43717</v>
      </c>
      <c r="D1714" s="362">
        <f t="shared" ca="1" si="53"/>
        <v>157407750.74162918</v>
      </c>
    </row>
    <row r="1715" spans="1:4">
      <c r="A1715" s="348">
        <f t="shared" si="54"/>
        <v>1714</v>
      </c>
      <c r="B1715" s="360">
        <f>DATE('Profit Calculation'!J$6,A$2,A$2+A1715-1)</f>
        <v>43718</v>
      </c>
      <c r="D1715" s="362">
        <f t="shared" ca="1" si="53"/>
        <v>157468035.19493288</v>
      </c>
    </row>
    <row r="1716" spans="1:4">
      <c r="A1716" s="348">
        <f t="shared" si="54"/>
        <v>1715</v>
      </c>
      <c r="B1716" s="360">
        <f>DATE('Profit Calculation'!J$6,A$2,A$2+A1716-1)</f>
        <v>43719</v>
      </c>
      <c r="D1716" s="362">
        <f t="shared" ca="1" si="53"/>
        <v>157528342.73614231</v>
      </c>
    </row>
    <row r="1717" spans="1:4">
      <c r="A1717" s="348">
        <f t="shared" si="54"/>
        <v>1716</v>
      </c>
      <c r="B1717" s="360">
        <f>DATE('Profit Calculation'!J$6,A$2,A$2+A1717-1)</f>
        <v>43720</v>
      </c>
      <c r="D1717" s="362">
        <f t="shared" ca="1" si="53"/>
        <v>157588673.37409973</v>
      </c>
    </row>
    <row r="1718" spans="1:4">
      <c r="A1718" s="348">
        <f t="shared" si="54"/>
        <v>1717</v>
      </c>
      <c r="B1718" s="360">
        <f>DATE('Profit Calculation'!J$6,A$2,A$2+A1718-1)</f>
        <v>43721</v>
      </c>
      <c r="D1718" s="362">
        <f t="shared" ca="1" si="53"/>
        <v>157649027.11765081</v>
      </c>
    </row>
    <row r="1719" spans="1:4">
      <c r="A1719" s="348">
        <f t="shared" si="54"/>
        <v>1718</v>
      </c>
      <c r="B1719" s="360">
        <f>DATE('Profit Calculation'!J$6,A$2,A$2+A1719-1)</f>
        <v>43722</v>
      </c>
      <c r="D1719" s="362">
        <f t="shared" ca="1" si="53"/>
        <v>157709403.97564459</v>
      </c>
    </row>
    <row r="1720" spans="1:4">
      <c r="A1720" s="348">
        <f t="shared" si="54"/>
        <v>1719</v>
      </c>
      <c r="B1720" s="360">
        <f>DATE('Profit Calculation'!J$6,A$2,A$2+A1720-1)</f>
        <v>43723</v>
      </c>
      <c r="D1720" s="362">
        <f t="shared" ca="1" si="53"/>
        <v>157769803.9569335</v>
      </c>
    </row>
    <row r="1721" spans="1:4">
      <c r="A1721" s="348">
        <f t="shared" si="54"/>
        <v>1720</v>
      </c>
      <c r="B1721" s="360">
        <f>DATE('Profit Calculation'!J$6,A$2,A$2+A1721-1)</f>
        <v>43724</v>
      </c>
      <c r="D1721" s="362">
        <f t="shared" ca="1" si="53"/>
        <v>157830227.07037336</v>
      </c>
    </row>
    <row r="1722" spans="1:4">
      <c r="A1722" s="348">
        <f t="shared" si="54"/>
        <v>1721</v>
      </c>
      <c r="B1722" s="360">
        <f>DATE('Profit Calculation'!J$6,A$2,A$2+A1722-1)</f>
        <v>43725</v>
      </c>
      <c r="D1722" s="362">
        <f t="shared" ca="1" si="53"/>
        <v>157890673.32482341</v>
      </c>
    </row>
    <row r="1723" spans="1:4">
      <c r="A1723" s="348">
        <f t="shared" si="54"/>
        <v>1722</v>
      </c>
      <c r="B1723" s="360">
        <f>DATE('Profit Calculation'!J$6,A$2,A$2+A1723-1)</f>
        <v>43726</v>
      </c>
      <c r="D1723" s="362">
        <f t="shared" ca="1" si="53"/>
        <v>157951142.72914621</v>
      </c>
    </row>
    <row r="1724" spans="1:4">
      <c r="A1724" s="348">
        <f t="shared" si="54"/>
        <v>1723</v>
      </c>
      <c r="B1724" s="360">
        <f>DATE('Profit Calculation'!J$6,A$2,A$2+A1724-1)</f>
        <v>43727</v>
      </c>
      <c r="D1724" s="362">
        <f t="shared" ca="1" si="53"/>
        <v>158011635.29220781</v>
      </c>
    </row>
    <row r="1725" spans="1:4">
      <c r="A1725" s="348">
        <f t="shared" si="54"/>
        <v>1724</v>
      </c>
      <c r="B1725" s="360">
        <f>DATE('Profit Calculation'!J$6,A$2,A$2+A1725-1)</f>
        <v>43728</v>
      </c>
      <c r="D1725" s="362">
        <f t="shared" ca="1" si="53"/>
        <v>158072151.02287757</v>
      </c>
    </row>
    <row r="1726" spans="1:4">
      <c r="A1726" s="348">
        <f t="shared" si="54"/>
        <v>1725</v>
      </c>
      <c r="B1726" s="360">
        <f>DATE('Profit Calculation'!J$6,A$2,A$2+A1726-1)</f>
        <v>43729</v>
      </c>
      <c r="D1726" s="362">
        <f t="shared" ca="1" si="53"/>
        <v>158132689.93002832</v>
      </c>
    </row>
    <row r="1727" spans="1:4">
      <c r="A1727" s="348">
        <f t="shared" si="54"/>
        <v>1726</v>
      </c>
      <c r="B1727" s="360">
        <f>DATE('Profit Calculation'!J$6,A$2,A$2+A1727-1)</f>
        <v>43730</v>
      </c>
      <c r="D1727" s="362">
        <f t="shared" ca="1" si="53"/>
        <v>158193252.02253622</v>
      </c>
    </row>
    <row r="1728" spans="1:4">
      <c r="A1728" s="348">
        <f t="shared" si="54"/>
        <v>1727</v>
      </c>
      <c r="B1728" s="360">
        <f>DATE('Profit Calculation'!J$6,A$2,A$2+A1728-1)</f>
        <v>43731</v>
      </c>
      <c r="D1728" s="362">
        <f t="shared" ca="1" si="53"/>
        <v>158253837.30928087</v>
      </c>
    </row>
    <row r="1729" spans="1:4">
      <c r="A1729" s="348">
        <f t="shared" si="54"/>
        <v>1728</v>
      </c>
      <c r="B1729" s="360">
        <f>DATE('Profit Calculation'!J$6,A$2,A$2+A1729-1)</f>
        <v>43732</v>
      </c>
      <c r="D1729" s="362">
        <f t="shared" ca="1" si="53"/>
        <v>158314445.79914528</v>
      </c>
    </row>
    <row r="1730" spans="1:4">
      <c r="A1730" s="348">
        <f t="shared" si="54"/>
        <v>1729</v>
      </c>
      <c r="B1730" s="360">
        <f>DATE('Profit Calculation'!J$6,A$2,A$2+A1730-1)</f>
        <v>43733</v>
      </c>
      <c r="D1730" s="362">
        <f t="shared" ca="1" si="53"/>
        <v>158375077.50101584</v>
      </c>
    </row>
    <row r="1731" spans="1:4">
      <c r="A1731" s="348">
        <f t="shared" si="54"/>
        <v>1730</v>
      </c>
      <c r="B1731" s="360">
        <f>DATE('Profit Calculation'!J$6,A$2,A$2+A1731-1)</f>
        <v>43734</v>
      </c>
      <c r="D1731" s="362">
        <f t="shared" ca="1" si="53"/>
        <v>158435732.42378232</v>
      </c>
    </row>
    <row r="1732" spans="1:4">
      <c r="A1732" s="348">
        <f t="shared" si="54"/>
        <v>1731</v>
      </c>
      <c r="B1732" s="360">
        <f>DATE('Profit Calculation'!J$6,A$2,A$2+A1732-1)</f>
        <v>43735</v>
      </c>
      <c r="D1732" s="362">
        <f t="shared" ref="D1732:D1795" ca="1" si="55">IF(OR(LOOKUP(B1732,W$1:W$35,W$1:W$35) = B1732, LOOKUP(B1732,X$1:X$35,X$1:X$35) = B1732),LOOKUP(B1732,F:F,G:G),D1731*(1+((IF($Q$18&lt;6,$R$14,IF($Q$18&lt;11,$R$15,$R$16)))))^(1/365))</f>
        <v>158496410.57633796</v>
      </c>
    </row>
    <row r="1733" spans="1:4">
      <c r="A1733" s="348">
        <f t="shared" ref="A1733:A1796" si="56">A1732+1</f>
        <v>1732</v>
      </c>
      <c r="B1733" s="360">
        <f>DATE('Profit Calculation'!J$6,A$2,A$2+A1733-1)</f>
        <v>43736</v>
      </c>
      <c r="D1733" s="362">
        <f t="shared" ca="1" si="55"/>
        <v>158557111.96757933</v>
      </c>
    </row>
    <row r="1734" spans="1:4">
      <c r="A1734" s="348">
        <f t="shared" si="56"/>
        <v>1733</v>
      </c>
      <c r="B1734" s="360">
        <f>DATE('Profit Calculation'!J$6,A$2,A$2+A1734-1)</f>
        <v>43737</v>
      </c>
      <c r="D1734" s="362">
        <f t="shared" ca="1" si="55"/>
        <v>158617836.60640648</v>
      </c>
    </row>
    <row r="1735" spans="1:4">
      <c r="A1735" s="348">
        <f t="shared" si="56"/>
        <v>1734</v>
      </c>
      <c r="B1735" s="360">
        <f>DATE('Profit Calculation'!J$6,A$2,A$2+A1735-1)</f>
        <v>43738</v>
      </c>
      <c r="D1735" s="362">
        <f t="shared" ca="1" si="55"/>
        <v>158678584.50172281</v>
      </c>
    </row>
    <row r="1736" spans="1:4">
      <c r="A1736" s="348">
        <f t="shared" si="56"/>
        <v>1735</v>
      </c>
      <c r="B1736" s="360">
        <f>DATE('Profit Calculation'!J$6,A$2,A$2+A1736-1)</f>
        <v>43739</v>
      </c>
      <c r="D1736" s="362">
        <f t="shared" ca="1" si="55"/>
        <v>158739355.66243517</v>
      </c>
    </row>
    <row r="1737" spans="1:4">
      <c r="A1737" s="348">
        <f t="shared" si="56"/>
        <v>1736</v>
      </c>
      <c r="B1737" s="360">
        <f>DATE('Profit Calculation'!J$6,A$2,A$2+A1737-1)</f>
        <v>43740</v>
      </c>
      <c r="D1737" s="362">
        <f t="shared" ca="1" si="55"/>
        <v>158800150.0974538</v>
      </c>
    </row>
    <row r="1738" spans="1:4">
      <c r="A1738" s="348">
        <f t="shared" si="56"/>
        <v>1737</v>
      </c>
      <c r="B1738" s="360">
        <f>DATE('Profit Calculation'!J$6,A$2,A$2+A1738-1)</f>
        <v>43741</v>
      </c>
      <c r="D1738" s="362">
        <f t="shared" ca="1" si="55"/>
        <v>158860967.81569237</v>
      </c>
    </row>
    <row r="1739" spans="1:4">
      <c r="A1739" s="348">
        <f t="shared" si="56"/>
        <v>1738</v>
      </c>
      <c r="B1739" s="360">
        <f>DATE('Profit Calculation'!J$6,A$2,A$2+A1739-1)</f>
        <v>43742</v>
      </c>
      <c r="D1739" s="362">
        <f t="shared" ca="1" si="55"/>
        <v>158921808.82606792</v>
      </c>
    </row>
    <row r="1740" spans="1:4">
      <c r="A1740" s="348">
        <f t="shared" si="56"/>
        <v>1739</v>
      </c>
      <c r="B1740" s="360">
        <f>DATE('Profit Calculation'!J$6,A$2,A$2+A1740-1)</f>
        <v>43743</v>
      </c>
      <c r="D1740" s="362">
        <f t="shared" ca="1" si="55"/>
        <v>158982673.13750097</v>
      </c>
    </row>
    <row r="1741" spans="1:4">
      <c r="A1741" s="348">
        <f t="shared" si="56"/>
        <v>1740</v>
      </c>
      <c r="B1741" s="360">
        <f>DATE('Profit Calculation'!J$6,A$2,A$2+A1741-1)</f>
        <v>43744</v>
      </c>
      <c r="D1741" s="362">
        <f t="shared" ca="1" si="55"/>
        <v>159043560.75891542</v>
      </c>
    </row>
    <row r="1742" spans="1:4">
      <c r="A1742" s="348">
        <f t="shared" si="56"/>
        <v>1741</v>
      </c>
      <c r="B1742" s="360">
        <f>DATE('Profit Calculation'!J$6,A$2,A$2+A1742-1)</f>
        <v>43745</v>
      </c>
      <c r="D1742" s="362">
        <f t="shared" ca="1" si="55"/>
        <v>159104471.69923857</v>
      </c>
    </row>
    <row r="1743" spans="1:4">
      <c r="A1743" s="348">
        <f t="shared" si="56"/>
        <v>1742</v>
      </c>
      <c r="B1743" s="360">
        <f>DATE('Profit Calculation'!J$6,A$2,A$2+A1743-1)</f>
        <v>43746</v>
      </c>
      <c r="D1743" s="362">
        <f t="shared" ca="1" si="55"/>
        <v>159165405.96740118</v>
      </c>
    </row>
    <row r="1744" spans="1:4">
      <c r="A1744" s="348">
        <f t="shared" si="56"/>
        <v>1743</v>
      </c>
      <c r="B1744" s="360">
        <f>DATE('Profit Calculation'!J$6,A$2,A$2+A1744-1)</f>
        <v>43747</v>
      </c>
      <c r="D1744" s="362">
        <f t="shared" ca="1" si="55"/>
        <v>159226363.57233739</v>
      </c>
    </row>
    <row r="1745" spans="1:4">
      <c r="A1745" s="348">
        <f t="shared" si="56"/>
        <v>1744</v>
      </c>
      <c r="B1745" s="360">
        <f>DATE('Profit Calculation'!J$6,A$2,A$2+A1745-1)</f>
        <v>43748</v>
      </c>
      <c r="D1745" s="362">
        <f t="shared" ca="1" si="55"/>
        <v>159287344.5229848</v>
      </c>
    </row>
    <row r="1746" spans="1:4">
      <c r="A1746" s="348">
        <f t="shared" si="56"/>
        <v>1745</v>
      </c>
      <c r="B1746" s="360">
        <f>DATE('Profit Calculation'!J$6,A$2,A$2+A1746-1)</f>
        <v>43749</v>
      </c>
      <c r="D1746" s="362">
        <f t="shared" ca="1" si="55"/>
        <v>159348348.82828441</v>
      </c>
    </row>
    <row r="1747" spans="1:4">
      <c r="A1747" s="348">
        <f t="shared" si="56"/>
        <v>1746</v>
      </c>
      <c r="B1747" s="360">
        <f>DATE('Profit Calculation'!J$6,A$2,A$2+A1747-1)</f>
        <v>43750</v>
      </c>
      <c r="D1747" s="362">
        <f t="shared" ca="1" si="55"/>
        <v>159409376.49718064</v>
      </c>
    </row>
    <row r="1748" spans="1:4">
      <c r="A1748" s="348">
        <f t="shared" si="56"/>
        <v>1747</v>
      </c>
      <c r="B1748" s="360">
        <f>DATE('Profit Calculation'!J$6,A$2,A$2+A1748-1)</f>
        <v>43751</v>
      </c>
      <c r="D1748" s="362">
        <f t="shared" ca="1" si="55"/>
        <v>159470427.53862137</v>
      </c>
    </row>
    <row r="1749" spans="1:4">
      <c r="A1749" s="348">
        <f t="shared" si="56"/>
        <v>1748</v>
      </c>
      <c r="B1749" s="360">
        <f>DATE('Profit Calculation'!J$6,A$2,A$2+A1749-1)</f>
        <v>43752</v>
      </c>
      <c r="D1749" s="362">
        <f t="shared" ca="1" si="55"/>
        <v>159531501.96155784</v>
      </c>
    </row>
    <row r="1750" spans="1:4">
      <c r="A1750" s="348">
        <f t="shared" si="56"/>
        <v>1749</v>
      </c>
      <c r="B1750" s="360">
        <f>DATE('Profit Calculation'!J$6,A$2,A$2+A1750-1)</f>
        <v>43753</v>
      </c>
      <c r="D1750" s="362">
        <f t="shared" ca="1" si="55"/>
        <v>159592599.77494478</v>
      </c>
    </row>
    <row r="1751" spans="1:4">
      <c r="A1751" s="348">
        <f t="shared" si="56"/>
        <v>1750</v>
      </c>
      <c r="B1751" s="360">
        <f>DATE('Profit Calculation'!J$6,A$2,A$2+A1751-1)</f>
        <v>43754</v>
      </c>
      <c r="D1751" s="362">
        <f t="shared" ca="1" si="55"/>
        <v>159653720.98774034</v>
      </c>
    </row>
    <row r="1752" spans="1:4">
      <c r="A1752" s="348">
        <f t="shared" si="56"/>
        <v>1751</v>
      </c>
      <c r="B1752" s="360">
        <f>DATE('Profit Calculation'!J$6,A$2,A$2+A1752-1)</f>
        <v>43755</v>
      </c>
      <c r="D1752" s="362">
        <f t="shared" ca="1" si="55"/>
        <v>159714865.60890609</v>
      </c>
    </row>
    <row r="1753" spans="1:4">
      <c r="A1753" s="348">
        <f t="shared" si="56"/>
        <v>1752</v>
      </c>
      <c r="B1753" s="360">
        <f>DATE('Profit Calculation'!J$6,A$2,A$2+A1753-1)</f>
        <v>43756</v>
      </c>
      <c r="D1753" s="362">
        <f t="shared" ca="1" si="55"/>
        <v>159776033.64740703</v>
      </c>
    </row>
    <row r="1754" spans="1:4">
      <c r="A1754" s="348">
        <f t="shared" si="56"/>
        <v>1753</v>
      </c>
      <c r="B1754" s="360">
        <f>DATE('Profit Calculation'!J$6,A$2,A$2+A1754-1)</f>
        <v>43757</v>
      </c>
      <c r="D1754" s="362">
        <f t="shared" ca="1" si="55"/>
        <v>159837225.11221156</v>
      </c>
    </row>
    <row r="1755" spans="1:4">
      <c r="A1755" s="348">
        <f t="shared" si="56"/>
        <v>1754</v>
      </c>
      <c r="B1755" s="360">
        <f>DATE('Profit Calculation'!J$6,A$2,A$2+A1755-1)</f>
        <v>43758</v>
      </c>
      <c r="D1755" s="362">
        <f t="shared" ca="1" si="55"/>
        <v>159898440.01229158</v>
      </c>
    </row>
    <row r="1756" spans="1:4">
      <c r="A1756" s="348">
        <f t="shared" si="56"/>
        <v>1755</v>
      </c>
      <c r="B1756" s="360">
        <f>DATE('Profit Calculation'!J$6,A$2,A$2+A1756-1)</f>
        <v>43759</v>
      </c>
      <c r="D1756" s="362">
        <f t="shared" ca="1" si="55"/>
        <v>159959678.3566224</v>
      </c>
    </row>
    <row r="1757" spans="1:4">
      <c r="A1757" s="348">
        <f t="shared" si="56"/>
        <v>1756</v>
      </c>
      <c r="B1757" s="360">
        <f>DATE('Profit Calculation'!J$6,A$2,A$2+A1757-1)</f>
        <v>43760</v>
      </c>
      <c r="D1757" s="362">
        <f t="shared" ca="1" si="55"/>
        <v>160020940.15418276</v>
      </c>
    </row>
    <row r="1758" spans="1:4">
      <c r="A1758" s="348">
        <f t="shared" si="56"/>
        <v>1757</v>
      </c>
      <c r="B1758" s="360">
        <f>DATE('Profit Calculation'!J$6,A$2,A$2+A1758-1)</f>
        <v>43761</v>
      </c>
      <c r="D1758" s="362">
        <f t="shared" ca="1" si="55"/>
        <v>160082225.41395485</v>
      </c>
    </row>
    <row r="1759" spans="1:4">
      <c r="A1759" s="348">
        <f t="shared" si="56"/>
        <v>1758</v>
      </c>
      <c r="B1759" s="360">
        <f>DATE('Profit Calculation'!J$6,A$2,A$2+A1759-1)</f>
        <v>43762</v>
      </c>
      <c r="D1759" s="362">
        <f t="shared" ca="1" si="55"/>
        <v>160143534.14492428</v>
      </c>
    </row>
    <row r="1760" spans="1:4">
      <c r="A1760" s="348">
        <f t="shared" si="56"/>
        <v>1759</v>
      </c>
      <c r="B1760" s="360">
        <f>DATE('Profit Calculation'!J$6,A$2,A$2+A1760-1)</f>
        <v>43763</v>
      </c>
      <c r="D1760" s="362">
        <f t="shared" ca="1" si="55"/>
        <v>160204866.35608011</v>
      </c>
    </row>
    <row r="1761" spans="1:4">
      <c r="A1761" s="348">
        <f t="shared" si="56"/>
        <v>1760</v>
      </c>
      <c r="B1761" s="360">
        <f>DATE('Profit Calculation'!J$6,A$2,A$2+A1761-1)</f>
        <v>43764</v>
      </c>
      <c r="D1761" s="362">
        <f t="shared" ca="1" si="55"/>
        <v>160266222.05641484</v>
      </c>
    </row>
    <row r="1762" spans="1:4">
      <c r="A1762" s="348">
        <f t="shared" si="56"/>
        <v>1761</v>
      </c>
      <c r="B1762" s="360">
        <f>DATE('Profit Calculation'!J$6,A$2,A$2+A1762-1)</f>
        <v>43765</v>
      </c>
      <c r="D1762" s="362">
        <f t="shared" ca="1" si="55"/>
        <v>160327601.25492445</v>
      </c>
    </row>
    <row r="1763" spans="1:4">
      <c r="A1763" s="348">
        <f t="shared" si="56"/>
        <v>1762</v>
      </c>
      <c r="B1763" s="360">
        <f>DATE('Profit Calculation'!J$6,A$2,A$2+A1763-1)</f>
        <v>43766</v>
      </c>
      <c r="D1763" s="362">
        <f t="shared" ca="1" si="55"/>
        <v>160389003.9606083</v>
      </c>
    </row>
    <row r="1764" spans="1:4">
      <c r="A1764" s="348">
        <f t="shared" si="56"/>
        <v>1763</v>
      </c>
      <c r="B1764" s="360">
        <f>DATE('Profit Calculation'!J$6,A$2,A$2+A1764-1)</f>
        <v>43767</v>
      </c>
      <c r="D1764" s="362">
        <f t="shared" ca="1" si="55"/>
        <v>160450430.18246928</v>
      </c>
    </row>
    <row r="1765" spans="1:4">
      <c r="A1765" s="348">
        <f t="shared" si="56"/>
        <v>1764</v>
      </c>
      <c r="B1765" s="360">
        <f>DATE('Profit Calculation'!J$6,A$2,A$2+A1765-1)</f>
        <v>43768</v>
      </c>
      <c r="D1765" s="362">
        <f t="shared" ca="1" si="55"/>
        <v>160511879.92951363</v>
      </c>
    </row>
    <row r="1766" spans="1:4">
      <c r="A1766" s="348">
        <f t="shared" si="56"/>
        <v>1765</v>
      </c>
      <c r="B1766" s="360">
        <f>DATE('Profit Calculation'!J$6,A$2,A$2+A1766-1)</f>
        <v>43769</v>
      </c>
      <c r="D1766" s="362">
        <f t="shared" ca="1" si="55"/>
        <v>160573353.21075112</v>
      </c>
    </row>
    <row r="1767" spans="1:4">
      <c r="A1767" s="348">
        <f t="shared" si="56"/>
        <v>1766</v>
      </c>
      <c r="B1767" s="360">
        <f>DATE('Profit Calculation'!J$6,A$2,A$2+A1767-1)</f>
        <v>43770</v>
      </c>
      <c r="D1767" s="362">
        <f t="shared" ca="1" si="55"/>
        <v>160634850.03519493</v>
      </c>
    </row>
    <row r="1768" spans="1:4">
      <c r="A1768" s="348">
        <f t="shared" si="56"/>
        <v>1767</v>
      </c>
      <c r="B1768" s="360">
        <f>DATE('Profit Calculation'!J$6,A$2,A$2+A1768-1)</f>
        <v>43771</v>
      </c>
      <c r="D1768" s="362">
        <f t="shared" ca="1" si="55"/>
        <v>160696370.41186172</v>
      </c>
    </row>
    <row r="1769" spans="1:4">
      <c r="A1769" s="348">
        <f t="shared" si="56"/>
        <v>1768</v>
      </c>
      <c r="B1769" s="360">
        <f>DATE('Profit Calculation'!J$6,A$2,A$2+A1769-1)</f>
        <v>43772</v>
      </c>
      <c r="D1769" s="362">
        <f t="shared" ca="1" si="55"/>
        <v>160757914.34977156</v>
      </c>
    </row>
    <row r="1770" spans="1:4">
      <c r="A1770" s="348">
        <f t="shared" si="56"/>
        <v>1769</v>
      </c>
      <c r="B1770" s="360">
        <f>DATE('Profit Calculation'!J$6,A$2,A$2+A1770-1)</f>
        <v>43773</v>
      </c>
      <c r="D1770" s="362">
        <f t="shared" ca="1" si="55"/>
        <v>160819481.85794801</v>
      </c>
    </row>
    <row r="1771" spans="1:4">
      <c r="A1771" s="348">
        <f t="shared" si="56"/>
        <v>1770</v>
      </c>
      <c r="B1771" s="360">
        <f>DATE('Profit Calculation'!J$6,A$2,A$2+A1771-1)</f>
        <v>43774</v>
      </c>
      <c r="D1771" s="362">
        <f t="shared" ca="1" si="55"/>
        <v>160881072.94541806</v>
      </c>
    </row>
    <row r="1772" spans="1:4">
      <c r="A1772" s="348">
        <f t="shared" si="56"/>
        <v>1771</v>
      </c>
      <c r="B1772" s="360">
        <f>DATE('Profit Calculation'!J$6,A$2,A$2+A1772-1)</f>
        <v>43775</v>
      </c>
      <c r="D1772" s="362">
        <f t="shared" ca="1" si="55"/>
        <v>160942687.62121218</v>
      </c>
    </row>
    <row r="1773" spans="1:4">
      <c r="A1773" s="348">
        <f t="shared" si="56"/>
        <v>1772</v>
      </c>
      <c r="B1773" s="360">
        <f>DATE('Profit Calculation'!J$6,A$2,A$2+A1773-1)</f>
        <v>43776</v>
      </c>
      <c r="D1773" s="362">
        <f t="shared" ca="1" si="55"/>
        <v>161004325.8943643</v>
      </c>
    </row>
    <row r="1774" spans="1:4">
      <c r="A1774" s="348">
        <f t="shared" si="56"/>
        <v>1773</v>
      </c>
      <c r="B1774" s="360">
        <f>DATE('Profit Calculation'!J$6,A$2,A$2+A1774-1)</f>
        <v>43777</v>
      </c>
      <c r="D1774" s="362">
        <f t="shared" ca="1" si="55"/>
        <v>161065987.7739118</v>
      </c>
    </row>
    <row r="1775" spans="1:4">
      <c r="A1775" s="348">
        <f t="shared" si="56"/>
        <v>1774</v>
      </c>
      <c r="B1775" s="360">
        <f>DATE('Profit Calculation'!J$6,A$2,A$2+A1775-1)</f>
        <v>43778</v>
      </c>
      <c r="D1775" s="362">
        <f t="shared" ca="1" si="55"/>
        <v>161127673.26889554</v>
      </c>
    </row>
    <row r="1776" spans="1:4">
      <c r="A1776" s="348">
        <f t="shared" si="56"/>
        <v>1775</v>
      </c>
      <c r="B1776" s="360">
        <f>DATE('Profit Calculation'!J$6,A$2,A$2+A1776-1)</f>
        <v>43779</v>
      </c>
      <c r="D1776" s="362">
        <f t="shared" ca="1" si="55"/>
        <v>161189382.38835979</v>
      </c>
    </row>
    <row r="1777" spans="1:4">
      <c r="A1777" s="348">
        <f t="shared" si="56"/>
        <v>1776</v>
      </c>
      <c r="B1777" s="360">
        <f>DATE('Profit Calculation'!J$6,A$2,A$2+A1777-1)</f>
        <v>43780</v>
      </c>
      <c r="D1777" s="362">
        <f t="shared" ca="1" si="55"/>
        <v>161251115.14135233</v>
      </c>
    </row>
    <row r="1778" spans="1:4">
      <c r="A1778" s="348">
        <f t="shared" si="56"/>
        <v>1777</v>
      </c>
      <c r="B1778" s="360">
        <f>DATE('Profit Calculation'!J$6,A$2,A$2+A1778-1)</f>
        <v>43781</v>
      </c>
      <c r="D1778" s="362">
        <f t="shared" ca="1" si="55"/>
        <v>161312871.53692439</v>
      </c>
    </row>
    <row r="1779" spans="1:4">
      <c r="A1779" s="348">
        <f t="shared" si="56"/>
        <v>1778</v>
      </c>
      <c r="B1779" s="360">
        <f>DATE('Profit Calculation'!J$6,A$2,A$2+A1779-1)</f>
        <v>43782</v>
      </c>
      <c r="D1779" s="362">
        <f t="shared" ca="1" si="55"/>
        <v>161374651.58413067</v>
      </c>
    </row>
    <row r="1780" spans="1:4">
      <c r="A1780" s="348">
        <f t="shared" si="56"/>
        <v>1779</v>
      </c>
      <c r="B1780" s="360">
        <f>DATE('Profit Calculation'!J$6,A$2,A$2+A1780-1)</f>
        <v>43783</v>
      </c>
      <c r="D1780" s="362">
        <f t="shared" ca="1" si="55"/>
        <v>161436455.29202935</v>
      </c>
    </row>
    <row r="1781" spans="1:4">
      <c r="A1781" s="348">
        <f t="shared" si="56"/>
        <v>1780</v>
      </c>
      <c r="B1781" s="360">
        <f>DATE('Profit Calculation'!J$6,A$2,A$2+A1781-1)</f>
        <v>43784</v>
      </c>
      <c r="D1781" s="362">
        <f t="shared" ca="1" si="55"/>
        <v>161498282.66968206</v>
      </c>
    </row>
    <row r="1782" spans="1:4">
      <c r="A1782" s="348">
        <f t="shared" si="56"/>
        <v>1781</v>
      </c>
      <c r="B1782" s="360">
        <f>DATE('Profit Calculation'!J$6,A$2,A$2+A1782-1)</f>
        <v>43785</v>
      </c>
      <c r="D1782" s="362">
        <f t="shared" ca="1" si="55"/>
        <v>161560133.72615391</v>
      </c>
    </row>
    <row r="1783" spans="1:4">
      <c r="A1783" s="348">
        <f t="shared" si="56"/>
        <v>1782</v>
      </c>
      <c r="B1783" s="360">
        <f>DATE('Profit Calculation'!J$6,A$2,A$2+A1783-1)</f>
        <v>43786</v>
      </c>
      <c r="D1783" s="362">
        <f t="shared" ca="1" si="55"/>
        <v>161622008.47051349</v>
      </c>
    </row>
    <row r="1784" spans="1:4">
      <c r="A1784" s="348">
        <f t="shared" si="56"/>
        <v>1783</v>
      </c>
      <c r="B1784" s="360">
        <f>DATE('Profit Calculation'!J$6,A$2,A$2+A1784-1)</f>
        <v>43787</v>
      </c>
      <c r="D1784" s="362">
        <f t="shared" ca="1" si="55"/>
        <v>161683906.91183284</v>
      </c>
    </row>
    <row r="1785" spans="1:4">
      <c r="A1785" s="348">
        <f t="shared" si="56"/>
        <v>1784</v>
      </c>
      <c r="B1785" s="360">
        <f>DATE('Profit Calculation'!J$6,A$2,A$2+A1785-1)</f>
        <v>43788</v>
      </c>
      <c r="D1785" s="362">
        <f t="shared" ca="1" si="55"/>
        <v>161745829.05918747</v>
      </c>
    </row>
    <row r="1786" spans="1:4">
      <c r="A1786" s="348">
        <f t="shared" si="56"/>
        <v>1785</v>
      </c>
      <c r="B1786" s="360">
        <f>DATE('Profit Calculation'!J$6,A$2,A$2+A1786-1)</f>
        <v>43789</v>
      </c>
      <c r="D1786" s="362">
        <f t="shared" ca="1" si="55"/>
        <v>161807774.92165643</v>
      </c>
    </row>
    <row r="1787" spans="1:4">
      <c r="A1787" s="348">
        <f t="shared" si="56"/>
        <v>1786</v>
      </c>
      <c r="B1787" s="360">
        <f>DATE('Profit Calculation'!J$6,A$2,A$2+A1787-1)</f>
        <v>43790</v>
      </c>
      <c r="D1787" s="362">
        <f t="shared" ca="1" si="55"/>
        <v>161869744.50832215</v>
      </c>
    </row>
    <row r="1788" spans="1:4">
      <c r="A1788" s="348">
        <f t="shared" si="56"/>
        <v>1787</v>
      </c>
      <c r="B1788" s="360">
        <f>DATE('Profit Calculation'!J$6,A$2,A$2+A1788-1)</f>
        <v>43791</v>
      </c>
      <c r="D1788" s="362">
        <f t="shared" ca="1" si="55"/>
        <v>161931737.82827061</v>
      </c>
    </row>
    <row r="1789" spans="1:4">
      <c r="A1789" s="348">
        <f t="shared" si="56"/>
        <v>1788</v>
      </c>
      <c r="B1789" s="360">
        <f>DATE('Profit Calculation'!J$6,A$2,A$2+A1789-1)</f>
        <v>43792</v>
      </c>
      <c r="D1789" s="362">
        <f t="shared" ca="1" si="55"/>
        <v>161993754.89059126</v>
      </c>
    </row>
    <row r="1790" spans="1:4">
      <c r="A1790" s="348">
        <f t="shared" si="56"/>
        <v>1789</v>
      </c>
      <c r="B1790" s="360">
        <f>DATE('Profit Calculation'!J$6,A$2,A$2+A1790-1)</f>
        <v>43793</v>
      </c>
      <c r="D1790" s="362">
        <f t="shared" ca="1" si="55"/>
        <v>162055795.704377</v>
      </c>
    </row>
    <row r="1791" spans="1:4">
      <c r="A1791" s="348">
        <f t="shared" si="56"/>
        <v>1790</v>
      </c>
      <c r="B1791" s="360">
        <f>DATE('Profit Calculation'!J$6,A$2,A$2+A1791-1)</f>
        <v>43794</v>
      </c>
      <c r="D1791" s="362">
        <f t="shared" ca="1" si="55"/>
        <v>162117860.27872422</v>
      </c>
    </row>
    <row r="1792" spans="1:4">
      <c r="A1792" s="348">
        <f t="shared" si="56"/>
        <v>1791</v>
      </c>
      <c r="B1792" s="360">
        <f>DATE('Profit Calculation'!J$6,A$2,A$2+A1792-1)</f>
        <v>43795</v>
      </c>
      <c r="D1792" s="362">
        <f t="shared" ca="1" si="55"/>
        <v>162179948.62273285</v>
      </c>
    </row>
    <row r="1793" spans="1:4">
      <c r="A1793" s="348">
        <f t="shared" si="56"/>
        <v>1792</v>
      </c>
      <c r="B1793" s="360">
        <f>DATE('Profit Calculation'!J$6,A$2,A$2+A1793-1)</f>
        <v>43796</v>
      </c>
      <c r="D1793" s="362">
        <f t="shared" ca="1" si="55"/>
        <v>162242060.74550623</v>
      </c>
    </row>
    <row r="1794" spans="1:4">
      <c r="A1794" s="348">
        <f t="shared" si="56"/>
        <v>1793</v>
      </c>
      <c r="B1794" s="360">
        <f>DATE('Profit Calculation'!J$6,A$2,A$2+A1794-1)</f>
        <v>43797</v>
      </c>
      <c r="D1794" s="362">
        <f t="shared" ca="1" si="55"/>
        <v>162304196.65615121</v>
      </c>
    </row>
    <row r="1795" spans="1:4">
      <c r="A1795" s="348">
        <f t="shared" si="56"/>
        <v>1794</v>
      </c>
      <c r="B1795" s="360">
        <f>DATE('Profit Calculation'!J$6,A$2,A$2+A1795-1)</f>
        <v>43798</v>
      </c>
      <c r="D1795" s="362">
        <f t="shared" ca="1" si="55"/>
        <v>162366356.36377814</v>
      </c>
    </row>
    <row r="1796" spans="1:4">
      <c r="A1796" s="348">
        <f t="shared" si="56"/>
        <v>1795</v>
      </c>
      <c r="B1796" s="360">
        <f>DATE('Profit Calculation'!J$6,A$2,A$2+A1796-1)</f>
        <v>43799</v>
      </c>
      <c r="D1796" s="362">
        <f t="shared" ref="D1796:D1859" ca="1" si="57">IF(OR(LOOKUP(B1796,W$1:W$35,W$1:W$35) = B1796, LOOKUP(B1796,X$1:X$35,X$1:X$35) = B1796),LOOKUP(B1796,F:F,G:G),D1795*(1+((IF($Q$18&lt;6,$R$14,IF($Q$18&lt;11,$R$15,$R$16)))))^(1/365))</f>
        <v>162428539.87750086</v>
      </c>
    </row>
    <row r="1797" spans="1:4">
      <c r="A1797" s="348">
        <f t="shared" ref="A1797:A1860" si="58">A1796+1</f>
        <v>1796</v>
      </c>
      <c r="B1797" s="360">
        <f>DATE('Profit Calculation'!J$6,A$2,A$2+A1797-1)</f>
        <v>43800</v>
      </c>
      <c r="D1797" s="362">
        <f t="shared" ca="1" si="57"/>
        <v>162490747.20643669</v>
      </c>
    </row>
    <row r="1798" spans="1:4">
      <c r="A1798" s="348">
        <f t="shared" si="58"/>
        <v>1797</v>
      </c>
      <c r="B1798" s="360">
        <f>DATE('Profit Calculation'!J$6,A$2,A$2+A1798-1)</f>
        <v>43801</v>
      </c>
      <c r="D1798" s="362">
        <f t="shared" ca="1" si="57"/>
        <v>162552978.35970646</v>
      </c>
    </row>
    <row r="1799" spans="1:4">
      <c r="A1799" s="348">
        <f t="shared" si="58"/>
        <v>1798</v>
      </c>
      <c r="B1799" s="360">
        <f>DATE('Profit Calculation'!J$6,A$2,A$2+A1799-1)</f>
        <v>43802</v>
      </c>
      <c r="D1799" s="362">
        <f t="shared" ca="1" si="57"/>
        <v>162615233.34643444</v>
      </c>
    </row>
    <row r="1800" spans="1:4">
      <c r="A1800" s="348">
        <f t="shared" si="58"/>
        <v>1799</v>
      </c>
      <c r="B1800" s="360">
        <f>DATE('Profit Calculation'!J$6,A$2,A$2+A1800-1)</f>
        <v>43803</v>
      </c>
      <c r="D1800" s="362">
        <f t="shared" ca="1" si="57"/>
        <v>162677512.17574847</v>
      </c>
    </row>
    <row r="1801" spans="1:4">
      <c r="A1801" s="348">
        <f t="shared" si="58"/>
        <v>1800</v>
      </c>
      <c r="B1801" s="360">
        <f>DATE('Profit Calculation'!J$6,A$2,A$2+A1801-1)</f>
        <v>43804</v>
      </c>
      <c r="D1801" s="362">
        <f t="shared" ca="1" si="57"/>
        <v>162739814.85677984</v>
      </c>
    </row>
    <row r="1802" spans="1:4">
      <c r="A1802" s="348">
        <f t="shared" si="58"/>
        <v>1801</v>
      </c>
      <c r="B1802" s="360">
        <f>DATE('Profit Calculation'!J$6,A$2,A$2+A1802-1)</f>
        <v>43805</v>
      </c>
      <c r="D1802" s="362">
        <f t="shared" ca="1" si="57"/>
        <v>162802141.39866334</v>
      </c>
    </row>
    <row r="1803" spans="1:4">
      <c r="A1803" s="348">
        <f t="shared" si="58"/>
        <v>1802</v>
      </c>
      <c r="B1803" s="360">
        <f>DATE('Profit Calculation'!J$6,A$2,A$2+A1803-1)</f>
        <v>43806</v>
      </c>
      <c r="D1803" s="362">
        <f t="shared" ca="1" si="57"/>
        <v>162864491.81053728</v>
      </c>
    </row>
    <row r="1804" spans="1:4">
      <c r="A1804" s="348">
        <f t="shared" si="58"/>
        <v>1803</v>
      </c>
      <c r="B1804" s="360">
        <f>DATE('Profit Calculation'!J$6,A$2,A$2+A1804-1)</f>
        <v>43807</v>
      </c>
      <c r="D1804" s="362">
        <f t="shared" ca="1" si="57"/>
        <v>162926866.10154343</v>
      </c>
    </row>
    <row r="1805" spans="1:4">
      <c r="A1805" s="348">
        <f t="shared" si="58"/>
        <v>1804</v>
      </c>
      <c r="B1805" s="360">
        <f>DATE('Profit Calculation'!J$6,A$2,A$2+A1805-1)</f>
        <v>43808</v>
      </c>
      <c r="D1805" s="362">
        <f t="shared" ca="1" si="57"/>
        <v>162989264.28082711</v>
      </c>
    </row>
    <row r="1806" spans="1:4">
      <c r="A1806" s="348">
        <f t="shared" si="58"/>
        <v>1805</v>
      </c>
      <c r="B1806" s="360">
        <f>DATE('Profit Calculation'!J$6,A$2,A$2+A1806-1)</f>
        <v>43809</v>
      </c>
      <c r="D1806" s="362">
        <f t="shared" ca="1" si="57"/>
        <v>163051686.35753709</v>
      </c>
    </row>
    <row r="1807" spans="1:4">
      <c r="A1807" s="348">
        <f t="shared" si="58"/>
        <v>1806</v>
      </c>
      <c r="B1807" s="360">
        <f>DATE('Profit Calculation'!J$6,A$2,A$2+A1807-1)</f>
        <v>43810</v>
      </c>
      <c r="D1807" s="362">
        <f t="shared" ca="1" si="57"/>
        <v>163114132.34082571</v>
      </c>
    </row>
    <row r="1808" spans="1:4">
      <c r="A1808" s="348">
        <f t="shared" si="58"/>
        <v>1807</v>
      </c>
      <c r="B1808" s="360">
        <f>DATE('Profit Calculation'!J$6,A$2,A$2+A1808-1)</f>
        <v>43811</v>
      </c>
      <c r="D1808" s="362">
        <f t="shared" ca="1" si="57"/>
        <v>163176602.23984876</v>
      </c>
    </row>
    <row r="1809" spans="1:4">
      <c r="A1809" s="348">
        <f t="shared" si="58"/>
        <v>1808</v>
      </c>
      <c r="B1809" s="360">
        <f>DATE('Profit Calculation'!J$6,A$2,A$2+A1809-1)</f>
        <v>43812</v>
      </c>
      <c r="D1809" s="362">
        <f t="shared" ca="1" si="57"/>
        <v>163239096.06376556</v>
      </c>
    </row>
    <row r="1810" spans="1:4">
      <c r="A1810" s="348">
        <f t="shared" si="58"/>
        <v>1809</v>
      </c>
      <c r="B1810" s="360">
        <f>DATE('Profit Calculation'!J$6,A$2,A$2+A1810-1)</f>
        <v>43813</v>
      </c>
      <c r="D1810" s="362">
        <f t="shared" ca="1" si="57"/>
        <v>163301613.8217389</v>
      </c>
    </row>
    <row r="1811" spans="1:4">
      <c r="A1811" s="348">
        <f t="shared" si="58"/>
        <v>1810</v>
      </c>
      <c r="B1811" s="360">
        <f>DATE('Profit Calculation'!J$6,A$2,A$2+A1811-1)</f>
        <v>43814</v>
      </c>
      <c r="D1811" s="362">
        <f t="shared" ca="1" si="57"/>
        <v>163364155.52293515</v>
      </c>
    </row>
    <row r="1812" spans="1:4">
      <c r="A1812" s="348">
        <f t="shared" si="58"/>
        <v>1811</v>
      </c>
      <c r="B1812" s="360">
        <f>DATE('Profit Calculation'!J$6,A$2,A$2+A1812-1)</f>
        <v>43815</v>
      </c>
      <c r="D1812" s="362">
        <f t="shared" ca="1" si="57"/>
        <v>163426721.17652413</v>
      </c>
    </row>
    <row r="1813" spans="1:4">
      <c r="A1813" s="348">
        <f t="shared" si="58"/>
        <v>1812</v>
      </c>
      <c r="B1813" s="360">
        <f>DATE('Profit Calculation'!J$6,A$2,A$2+A1813-1)</f>
        <v>43816</v>
      </c>
      <c r="D1813" s="362">
        <f t="shared" ca="1" si="57"/>
        <v>163489310.7916792</v>
      </c>
    </row>
    <row r="1814" spans="1:4">
      <c r="A1814" s="348">
        <f t="shared" si="58"/>
        <v>1813</v>
      </c>
      <c r="B1814" s="360">
        <f>DATE('Profit Calculation'!J$6,A$2,A$2+A1814-1)</f>
        <v>43817</v>
      </c>
      <c r="D1814" s="362">
        <f t="shared" ca="1" si="57"/>
        <v>163551924.37757722</v>
      </c>
    </row>
    <row r="1815" spans="1:4">
      <c r="A1815" s="348">
        <f t="shared" si="58"/>
        <v>1814</v>
      </c>
      <c r="B1815" s="360">
        <f>DATE('Profit Calculation'!J$6,A$2,A$2+A1815-1)</f>
        <v>43818</v>
      </c>
      <c r="D1815" s="362">
        <f t="shared" ca="1" si="57"/>
        <v>163614561.94339857</v>
      </c>
    </row>
    <row r="1816" spans="1:4">
      <c r="A1816" s="348">
        <f t="shared" si="58"/>
        <v>1815</v>
      </c>
      <c r="B1816" s="360">
        <f>DATE('Profit Calculation'!J$6,A$2,A$2+A1816-1)</f>
        <v>43819</v>
      </c>
      <c r="D1816" s="362">
        <f t="shared" ca="1" si="57"/>
        <v>163677223.49832717</v>
      </c>
    </row>
    <row r="1817" spans="1:4">
      <c r="A1817" s="348">
        <f t="shared" si="58"/>
        <v>1816</v>
      </c>
      <c r="B1817" s="360">
        <f>DATE('Profit Calculation'!J$6,A$2,A$2+A1817-1)</f>
        <v>43820</v>
      </c>
      <c r="D1817" s="362">
        <f t="shared" ca="1" si="57"/>
        <v>163739909.05155042</v>
      </c>
    </row>
    <row r="1818" spans="1:4">
      <c r="A1818" s="348">
        <f t="shared" si="58"/>
        <v>1817</v>
      </c>
      <c r="B1818" s="360">
        <f>DATE('Profit Calculation'!J$6,A$2,A$2+A1818-1)</f>
        <v>43821</v>
      </c>
      <c r="D1818" s="362">
        <f t="shared" ca="1" si="57"/>
        <v>163802618.61225924</v>
      </c>
    </row>
    <row r="1819" spans="1:4">
      <c r="A1819" s="348">
        <f t="shared" si="58"/>
        <v>1818</v>
      </c>
      <c r="B1819" s="360">
        <f>DATE('Profit Calculation'!J$6,A$2,A$2+A1819-1)</f>
        <v>43822</v>
      </c>
      <c r="D1819" s="362">
        <f t="shared" ca="1" si="57"/>
        <v>163865352.18964809</v>
      </c>
    </row>
    <row r="1820" spans="1:4">
      <c r="A1820" s="348">
        <f t="shared" si="58"/>
        <v>1819</v>
      </c>
      <c r="B1820" s="360">
        <f>DATE('Profit Calculation'!J$6,A$2,A$2+A1820-1)</f>
        <v>43823</v>
      </c>
      <c r="D1820" s="362">
        <f t="shared" ca="1" si="57"/>
        <v>163928109.79291496</v>
      </c>
    </row>
    <row r="1821" spans="1:4">
      <c r="A1821" s="348">
        <f t="shared" si="58"/>
        <v>1820</v>
      </c>
      <c r="B1821" s="360">
        <f>DATE('Profit Calculation'!J$6,A$2,A$2+A1821-1)</f>
        <v>43824</v>
      </c>
      <c r="D1821" s="362">
        <f t="shared" ca="1" si="57"/>
        <v>163990891.43126133</v>
      </c>
    </row>
    <row r="1822" spans="1:4">
      <c r="A1822" s="348">
        <f t="shared" si="58"/>
        <v>1821</v>
      </c>
      <c r="B1822" s="360">
        <f>DATE('Profit Calculation'!J$6,A$2,A$2+A1822-1)</f>
        <v>43825</v>
      </c>
      <c r="D1822" s="362">
        <f t="shared" ca="1" si="57"/>
        <v>164053697.11389223</v>
      </c>
    </row>
    <row r="1823" spans="1:4">
      <c r="A1823" s="348">
        <f t="shared" si="58"/>
        <v>1822</v>
      </c>
      <c r="B1823" s="360">
        <f>DATE('Profit Calculation'!J$6,A$2,A$2+A1823-1)</f>
        <v>43826</v>
      </c>
      <c r="D1823" s="362">
        <f t="shared" ca="1" si="57"/>
        <v>164116526.85001618</v>
      </c>
    </row>
    <row r="1824" spans="1:4">
      <c r="A1824" s="348">
        <f t="shared" si="58"/>
        <v>1823</v>
      </c>
      <c r="B1824" s="360">
        <f>DATE('Profit Calculation'!J$6,A$2,A$2+A1824-1)</f>
        <v>43827</v>
      </c>
      <c r="D1824" s="362">
        <f t="shared" ca="1" si="57"/>
        <v>164179380.64884529</v>
      </c>
    </row>
    <row r="1825" spans="1:4">
      <c r="A1825" s="348">
        <f t="shared" si="58"/>
        <v>1824</v>
      </c>
      <c r="B1825" s="360">
        <f>DATE('Profit Calculation'!J$6,A$2,A$2+A1825-1)</f>
        <v>43828</v>
      </c>
      <c r="D1825" s="362">
        <f t="shared" ca="1" si="57"/>
        <v>164242258.51959515</v>
      </c>
    </row>
    <row r="1826" spans="1:4">
      <c r="A1826" s="348">
        <f t="shared" si="58"/>
        <v>1825</v>
      </c>
      <c r="B1826" s="360">
        <f>DATE('Profit Calculation'!J$6,A$2,A$2+A1826-1)</f>
        <v>43829</v>
      </c>
      <c r="D1826" s="362">
        <f t="shared" ca="1" si="57"/>
        <v>164305160.47148487</v>
      </c>
    </row>
    <row r="1827" spans="1:4">
      <c r="A1827" s="348">
        <f t="shared" si="58"/>
        <v>1826</v>
      </c>
      <c r="B1827" s="360">
        <f>DATE('Profit Calculation'!J$6,A$2,A$2+A1827-1)</f>
        <v>43830</v>
      </c>
      <c r="D1827" s="362">
        <f t="shared" ca="1" si="57"/>
        <v>164368086.51373714</v>
      </c>
    </row>
    <row r="1828" spans="1:4">
      <c r="A1828" s="348">
        <f t="shared" si="58"/>
        <v>1827</v>
      </c>
      <c r="B1828" s="360">
        <f>DATE('Profit Calculation'!J$6,A$2,A$2+A1828-1)</f>
        <v>43831</v>
      </c>
      <c r="C1828" s="354"/>
      <c r="D1828" s="355">
        <f t="shared" ca="1" si="57"/>
        <v>164352353</v>
      </c>
    </row>
    <row r="1829" spans="1:4">
      <c r="A1829" s="348">
        <f t="shared" si="58"/>
        <v>1828</v>
      </c>
      <c r="B1829" s="360">
        <f>DATE('Profit Calculation'!J$6,A$2,A$2+A1829-1)</f>
        <v>43832</v>
      </c>
      <c r="D1829" s="362">
        <f t="shared" ca="1" si="57"/>
        <v>164415297.11617664</v>
      </c>
    </row>
    <row r="1830" spans="1:4">
      <c r="A1830" s="348">
        <f t="shared" si="58"/>
        <v>1829</v>
      </c>
      <c r="B1830" s="360">
        <f>DATE('Profit Calculation'!J$6,A$2,A$2+A1830-1)</f>
        <v>43833</v>
      </c>
      <c r="D1830" s="362">
        <f t="shared" ca="1" si="57"/>
        <v>164478265.338864</v>
      </c>
    </row>
    <row r="1831" spans="1:4">
      <c r="A1831" s="348">
        <f t="shared" si="58"/>
        <v>1830</v>
      </c>
      <c r="B1831" s="360">
        <f>DATE('Profit Calculation'!J$6,A$2,A$2+A1831-1)</f>
        <v>43834</v>
      </c>
      <c r="D1831" s="362">
        <f t="shared" ca="1" si="57"/>
        <v>164541257.67729446</v>
      </c>
    </row>
    <row r="1832" spans="1:4">
      <c r="A1832" s="348">
        <f t="shared" si="58"/>
        <v>1831</v>
      </c>
      <c r="B1832" s="360">
        <f>DATE('Profit Calculation'!J$6,A$2,A$2+A1832-1)</f>
        <v>43835</v>
      </c>
      <c r="D1832" s="362">
        <f t="shared" ca="1" si="57"/>
        <v>164604274.14070395</v>
      </c>
    </row>
    <row r="1833" spans="1:4">
      <c r="A1833" s="348">
        <f t="shared" si="58"/>
        <v>1832</v>
      </c>
      <c r="B1833" s="360">
        <f>DATE('Profit Calculation'!J$6,A$2,A$2+A1833-1)</f>
        <v>43836</v>
      </c>
      <c r="D1833" s="362">
        <f t="shared" ca="1" si="57"/>
        <v>164667314.73833191</v>
      </c>
    </row>
    <row r="1834" spans="1:4">
      <c r="A1834" s="348">
        <f t="shared" si="58"/>
        <v>1833</v>
      </c>
      <c r="B1834" s="360">
        <f>DATE('Profit Calculation'!J$6,A$2,A$2+A1834-1)</f>
        <v>43837</v>
      </c>
      <c r="D1834" s="362">
        <f t="shared" ca="1" si="57"/>
        <v>164730379.47942135</v>
      </c>
    </row>
    <row r="1835" spans="1:4">
      <c r="A1835" s="348">
        <f t="shared" si="58"/>
        <v>1834</v>
      </c>
      <c r="B1835" s="360">
        <f>DATE('Profit Calculation'!J$6,A$2,A$2+A1835-1)</f>
        <v>43838</v>
      </c>
      <c r="D1835" s="362">
        <f t="shared" ca="1" si="57"/>
        <v>164793468.37321877</v>
      </c>
    </row>
    <row r="1836" spans="1:4">
      <c r="A1836" s="348">
        <f t="shared" si="58"/>
        <v>1835</v>
      </c>
      <c r="B1836" s="360">
        <f>DATE('Profit Calculation'!J$6,A$2,A$2+A1836-1)</f>
        <v>43839</v>
      </c>
      <c r="D1836" s="362">
        <f t="shared" ca="1" si="57"/>
        <v>164856581.42897424</v>
      </c>
    </row>
    <row r="1837" spans="1:4">
      <c r="A1837" s="348">
        <f t="shared" si="58"/>
        <v>1836</v>
      </c>
      <c r="B1837" s="360">
        <f>DATE('Profit Calculation'!J$6,A$2,A$2+A1837-1)</f>
        <v>43840</v>
      </c>
      <c r="D1837" s="362">
        <f t="shared" ca="1" si="57"/>
        <v>164919718.6559414</v>
      </c>
    </row>
    <row r="1838" spans="1:4">
      <c r="A1838" s="348">
        <f t="shared" si="58"/>
        <v>1837</v>
      </c>
      <c r="B1838" s="360">
        <f>DATE('Profit Calculation'!J$6,A$2,A$2+A1838-1)</f>
        <v>43841</v>
      </c>
      <c r="D1838" s="362">
        <f t="shared" ca="1" si="57"/>
        <v>164982880.06337738</v>
      </c>
    </row>
    <row r="1839" spans="1:4">
      <c r="A1839" s="348">
        <f t="shared" si="58"/>
        <v>1838</v>
      </c>
      <c r="B1839" s="360">
        <f>DATE('Profit Calculation'!J$6,A$2,A$2+A1839-1)</f>
        <v>43842</v>
      </c>
      <c r="D1839" s="362">
        <f t="shared" ca="1" si="57"/>
        <v>165046065.66054291</v>
      </c>
    </row>
    <row r="1840" spans="1:4">
      <c r="A1840" s="348">
        <f t="shared" si="58"/>
        <v>1839</v>
      </c>
      <c r="B1840" s="360">
        <f>DATE('Profit Calculation'!J$6,A$2,A$2+A1840-1)</f>
        <v>43843</v>
      </c>
      <c r="D1840" s="362">
        <f t="shared" ca="1" si="57"/>
        <v>165109275.4567022</v>
      </c>
    </row>
    <row r="1841" spans="1:4">
      <c r="A1841" s="348">
        <f t="shared" si="58"/>
        <v>1840</v>
      </c>
      <c r="B1841" s="360">
        <f>DATE('Profit Calculation'!J$6,A$2,A$2+A1841-1)</f>
        <v>43844</v>
      </c>
      <c r="D1841" s="362">
        <f t="shared" ca="1" si="57"/>
        <v>165172509.46112308</v>
      </c>
    </row>
    <row r="1842" spans="1:4">
      <c r="A1842" s="348">
        <f t="shared" si="58"/>
        <v>1841</v>
      </c>
      <c r="B1842" s="360">
        <f>DATE('Profit Calculation'!J$6,A$2,A$2+A1842-1)</f>
        <v>43845</v>
      </c>
      <c r="D1842" s="362">
        <f t="shared" ca="1" si="57"/>
        <v>165235767.68307689</v>
      </c>
    </row>
    <row r="1843" spans="1:4">
      <c r="A1843" s="348">
        <f t="shared" si="58"/>
        <v>1842</v>
      </c>
      <c r="B1843" s="360">
        <f>DATE('Profit Calculation'!J$6,A$2,A$2+A1843-1)</f>
        <v>43846</v>
      </c>
      <c r="D1843" s="362">
        <f t="shared" ca="1" si="57"/>
        <v>165299050.13183853</v>
      </c>
    </row>
    <row r="1844" spans="1:4">
      <c r="A1844" s="348">
        <f t="shared" si="58"/>
        <v>1843</v>
      </c>
      <c r="B1844" s="360">
        <f>DATE('Profit Calculation'!J$6,A$2,A$2+A1844-1)</f>
        <v>43847</v>
      </c>
      <c r="D1844" s="362">
        <f t="shared" ca="1" si="57"/>
        <v>165362356.81668645</v>
      </c>
    </row>
    <row r="1845" spans="1:4">
      <c r="A1845" s="348">
        <f t="shared" si="58"/>
        <v>1844</v>
      </c>
      <c r="B1845" s="360">
        <f>DATE('Profit Calculation'!J$6,A$2,A$2+A1845-1)</f>
        <v>43848</v>
      </c>
      <c r="D1845" s="362">
        <f t="shared" ca="1" si="57"/>
        <v>165425687.74690264</v>
      </c>
    </row>
    <row r="1846" spans="1:4">
      <c r="A1846" s="348">
        <f t="shared" si="58"/>
        <v>1845</v>
      </c>
      <c r="B1846" s="360">
        <f>DATE('Profit Calculation'!J$6,A$2,A$2+A1846-1)</f>
        <v>43849</v>
      </c>
      <c r="D1846" s="362">
        <f t="shared" ca="1" si="57"/>
        <v>165489042.93177268</v>
      </c>
    </row>
    <row r="1847" spans="1:4">
      <c r="A1847" s="348">
        <f t="shared" si="58"/>
        <v>1846</v>
      </c>
      <c r="B1847" s="360">
        <f>DATE('Profit Calculation'!J$6,A$2,A$2+A1847-1)</f>
        <v>43850</v>
      </c>
      <c r="D1847" s="362">
        <f t="shared" ca="1" si="57"/>
        <v>165552422.38058567</v>
      </c>
    </row>
    <row r="1848" spans="1:4">
      <c r="A1848" s="348">
        <f t="shared" si="58"/>
        <v>1847</v>
      </c>
      <c r="B1848" s="360">
        <f>DATE('Profit Calculation'!J$6,A$2,A$2+A1848-1)</f>
        <v>43851</v>
      </c>
      <c r="D1848" s="362">
        <f t="shared" ca="1" si="57"/>
        <v>165615826.10263428</v>
      </c>
    </row>
    <row r="1849" spans="1:4">
      <c r="A1849" s="348">
        <f t="shared" si="58"/>
        <v>1848</v>
      </c>
      <c r="B1849" s="360">
        <f>DATE('Profit Calculation'!J$6,A$2,A$2+A1849-1)</f>
        <v>43852</v>
      </c>
      <c r="D1849" s="362">
        <f t="shared" ca="1" si="57"/>
        <v>165679254.10721472</v>
      </c>
    </row>
    <row r="1850" spans="1:4">
      <c r="A1850" s="348">
        <f t="shared" si="58"/>
        <v>1849</v>
      </c>
      <c r="B1850" s="360">
        <f>DATE('Profit Calculation'!J$6,A$2,A$2+A1850-1)</f>
        <v>43853</v>
      </c>
      <c r="D1850" s="362">
        <f t="shared" ca="1" si="57"/>
        <v>165742706.4036268</v>
      </c>
    </row>
    <row r="1851" spans="1:4">
      <c r="A1851" s="348">
        <f t="shared" si="58"/>
        <v>1850</v>
      </c>
      <c r="B1851" s="360">
        <f>DATE('Profit Calculation'!J$6,A$2,A$2+A1851-1)</f>
        <v>43854</v>
      </c>
      <c r="D1851" s="362">
        <f t="shared" ca="1" si="57"/>
        <v>165806183.00117388</v>
      </c>
    </row>
    <row r="1852" spans="1:4">
      <c r="A1852" s="348">
        <f t="shared" si="58"/>
        <v>1851</v>
      </c>
      <c r="B1852" s="360">
        <f>DATE('Profit Calculation'!J$6,A$2,A$2+A1852-1)</f>
        <v>43855</v>
      </c>
      <c r="D1852" s="362">
        <f t="shared" ca="1" si="57"/>
        <v>165869683.90916288</v>
      </c>
    </row>
    <row r="1853" spans="1:4">
      <c r="A1853" s="348">
        <f t="shared" si="58"/>
        <v>1852</v>
      </c>
      <c r="B1853" s="360">
        <f>DATE('Profit Calculation'!J$6,A$2,A$2+A1853-1)</f>
        <v>43856</v>
      </c>
      <c r="D1853" s="362">
        <f t="shared" ca="1" si="57"/>
        <v>165933209.13690427</v>
      </c>
    </row>
    <row r="1854" spans="1:4">
      <c r="A1854" s="348">
        <f t="shared" si="58"/>
        <v>1853</v>
      </c>
      <c r="B1854" s="360">
        <f>DATE('Profit Calculation'!J$6,A$2,A$2+A1854-1)</f>
        <v>43857</v>
      </c>
      <c r="D1854" s="362">
        <f t="shared" ca="1" si="57"/>
        <v>165996758.69371209</v>
      </c>
    </row>
    <row r="1855" spans="1:4">
      <c r="A1855" s="348">
        <f t="shared" si="58"/>
        <v>1854</v>
      </c>
      <c r="B1855" s="360">
        <f>DATE('Profit Calculation'!J$6,A$2,A$2+A1855-1)</f>
        <v>43858</v>
      </c>
      <c r="D1855" s="362">
        <f t="shared" ca="1" si="57"/>
        <v>166060332.58890396</v>
      </c>
    </row>
    <row r="1856" spans="1:4">
      <c r="A1856" s="348">
        <f t="shared" si="58"/>
        <v>1855</v>
      </c>
      <c r="B1856" s="360">
        <f>DATE('Profit Calculation'!J$6,A$2,A$2+A1856-1)</f>
        <v>43859</v>
      </c>
      <c r="D1856" s="362">
        <f t="shared" ca="1" si="57"/>
        <v>166123930.83180106</v>
      </c>
    </row>
    <row r="1857" spans="1:4">
      <c r="A1857" s="348">
        <f t="shared" si="58"/>
        <v>1856</v>
      </c>
      <c r="B1857" s="360">
        <f>DATE('Profit Calculation'!J$6,A$2,A$2+A1857-1)</f>
        <v>43860</v>
      </c>
      <c r="D1857" s="362">
        <f t="shared" ca="1" si="57"/>
        <v>166187553.43172815</v>
      </c>
    </row>
    <row r="1858" spans="1:4">
      <c r="A1858" s="348">
        <f t="shared" si="58"/>
        <v>1857</v>
      </c>
      <c r="B1858" s="360">
        <f>DATE('Profit Calculation'!J$6,A$2,A$2+A1858-1)</f>
        <v>43861</v>
      </c>
      <c r="D1858" s="362">
        <f t="shared" ca="1" si="57"/>
        <v>166251200.39801353</v>
      </c>
    </row>
    <row r="1859" spans="1:4">
      <c r="A1859" s="348">
        <f t="shared" si="58"/>
        <v>1858</v>
      </c>
      <c r="B1859" s="360">
        <f>DATE('Profit Calculation'!J$6,A$2,A$2+A1859-1)</f>
        <v>43862</v>
      </c>
      <c r="D1859" s="362">
        <f t="shared" ca="1" si="57"/>
        <v>166314871.73998913</v>
      </c>
    </row>
    <row r="1860" spans="1:4">
      <c r="A1860" s="348">
        <f t="shared" si="58"/>
        <v>1859</v>
      </c>
      <c r="B1860" s="360">
        <f>DATE('Profit Calculation'!J$6,A$2,A$2+A1860-1)</f>
        <v>43863</v>
      </c>
      <c r="D1860" s="362">
        <f t="shared" ref="D1860:D1923" ca="1" si="59">IF(OR(LOOKUP(B1860,W$1:W$35,W$1:W$35) = B1860, LOOKUP(B1860,X$1:X$35,X$1:X$35) = B1860),LOOKUP(B1860,F:F,G:G),D1859*(1+((IF($Q$18&lt;6,$R$14,IF($Q$18&lt;11,$R$15,$R$16)))))^(1/365))</f>
        <v>166378567.46699038</v>
      </c>
    </row>
    <row r="1861" spans="1:4">
      <c r="A1861" s="348">
        <f t="shared" ref="A1861:A1924" si="60">A1860+1</f>
        <v>1860</v>
      </c>
      <c r="B1861" s="360">
        <f>DATE('Profit Calculation'!J$6,A$2,A$2+A1861-1)</f>
        <v>43864</v>
      </c>
      <c r="D1861" s="362">
        <f t="shared" ca="1" si="59"/>
        <v>166442287.58835635</v>
      </c>
    </row>
    <row r="1862" spans="1:4">
      <c r="A1862" s="348">
        <f t="shared" si="60"/>
        <v>1861</v>
      </c>
      <c r="B1862" s="360">
        <f>DATE('Profit Calculation'!J$6,A$2,A$2+A1862-1)</f>
        <v>43865</v>
      </c>
      <c r="D1862" s="362">
        <f t="shared" ca="1" si="59"/>
        <v>166506032.11342964</v>
      </c>
    </row>
    <row r="1863" spans="1:4">
      <c r="A1863" s="348">
        <f t="shared" si="60"/>
        <v>1862</v>
      </c>
      <c r="B1863" s="360">
        <f>DATE('Profit Calculation'!J$6,A$2,A$2+A1863-1)</f>
        <v>43866</v>
      </c>
      <c r="D1863" s="362">
        <f t="shared" ca="1" si="59"/>
        <v>166569801.05155647</v>
      </c>
    </row>
    <row r="1864" spans="1:4">
      <c r="A1864" s="348">
        <f t="shared" si="60"/>
        <v>1863</v>
      </c>
      <c r="B1864" s="360">
        <f>DATE('Profit Calculation'!J$6,A$2,A$2+A1864-1)</f>
        <v>43867</v>
      </c>
      <c r="D1864" s="362">
        <f t="shared" ca="1" si="59"/>
        <v>166633594.41208661</v>
      </c>
    </row>
    <row r="1865" spans="1:4">
      <c r="A1865" s="348">
        <f t="shared" si="60"/>
        <v>1864</v>
      </c>
      <c r="B1865" s="360">
        <f>DATE('Profit Calculation'!J$6,A$2,A$2+A1865-1)</f>
        <v>43868</v>
      </c>
      <c r="D1865" s="362">
        <f t="shared" ca="1" si="59"/>
        <v>166697412.20437342</v>
      </c>
    </row>
    <row r="1866" spans="1:4">
      <c r="A1866" s="348">
        <f t="shared" si="60"/>
        <v>1865</v>
      </c>
      <c r="B1866" s="360">
        <f>DATE('Profit Calculation'!J$6,A$2,A$2+A1866-1)</f>
        <v>43869</v>
      </c>
      <c r="D1866" s="362">
        <f t="shared" ca="1" si="59"/>
        <v>166761254.43777385</v>
      </c>
    </row>
    <row r="1867" spans="1:4">
      <c r="A1867" s="348">
        <f t="shared" si="60"/>
        <v>1866</v>
      </c>
      <c r="B1867" s="360">
        <f>DATE('Profit Calculation'!J$6,A$2,A$2+A1867-1)</f>
        <v>43870</v>
      </c>
      <c r="D1867" s="362">
        <f t="shared" ca="1" si="59"/>
        <v>166825121.1216484</v>
      </c>
    </row>
    <row r="1868" spans="1:4">
      <c r="A1868" s="348">
        <f t="shared" si="60"/>
        <v>1867</v>
      </c>
      <c r="B1868" s="360">
        <f>DATE('Profit Calculation'!J$6,A$2,A$2+A1868-1)</f>
        <v>43871</v>
      </c>
      <c r="D1868" s="362">
        <f t="shared" ca="1" si="59"/>
        <v>166889012.26536122</v>
      </c>
    </row>
    <row r="1869" spans="1:4">
      <c r="A1869" s="348">
        <f t="shared" si="60"/>
        <v>1868</v>
      </c>
      <c r="B1869" s="360">
        <f>DATE('Profit Calculation'!J$6,A$2,A$2+A1869-1)</f>
        <v>43872</v>
      </c>
      <c r="D1869" s="362">
        <f t="shared" ca="1" si="59"/>
        <v>166952927.87827995</v>
      </c>
    </row>
    <row r="1870" spans="1:4">
      <c r="A1870" s="348">
        <f t="shared" si="60"/>
        <v>1869</v>
      </c>
      <c r="B1870" s="360">
        <f>DATE('Profit Calculation'!J$6,A$2,A$2+A1870-1)</f>
        <v>43873</v>
      </c>
      <c r="D1870" s="362">
        <f t="shared" ca="1" si="59"/>
        <v>167016867.96977592</v>
      </c>
    </row>
    <row r="1871" spans="1:4">
      <c r="A1871" s="348">
        <f t="shared" si="60"/>
        <v>1870</v>
      </c>
      <c r="B1871" s="360">
        <f>DATE('Profit Calculation'!J$6,A$2,A$2+A1871-1)</f>
        <v>43874</v>
      </c>
      <c r="D1871" s="362">
        <f t="shared" ca="1" si="59"/>
        <v>167080832.54922399</v>
      </c>
    </row>
    <row r="1872" spans="1:4">
      <c r="A1872" s="348">
        <f t="shared" si="60"/>
        <v>1871</v>
      </c>
      <c r="B1872" s="360">
        <f>DATE('Profit Calculation'!J$6,A$2,A$2+A1872-1)</f>
        <v>43875</v>
      </c>
      <c r="D1872" s="362">
        <f t="shared" ca="1" si="59"/>
        <v>167144821.62600261</v>
      </c>
    </row>
    <row r="1873" spans="1:4">
      <c r="A1873" s="348">
        <f t="shared" si="60"/>
        <v>1872</v>
      </c>
      <c r="B1873" s="360">
        <f>DATE('Profit Calculation'!J$6,A$2,A$2+A1873-1)</f>
        <v>43876</v>
      </c>
      <c r="D1873" s="362">
        <f t="shared" ca="1" si="59"/>
        <v>167208835.20949385</v>
      </c>
    </row>
    <row r="1874" spans="1:4">
      <c r="A1874" s="348">
        <f t="shared" si="60"/>
        <v>1873</v>
      </c>
      <c r="B1874" s="360">
        <f>DATE('Profit Calculation'!J$6,A$2,A$2+A1874-1)</f>
        <v>43877</v>
      </c>
      <c r="D1874" s="362">
        <f t="shared" ca="1" si="59"/>
        <v>167272873.30908334</v>
      </c>
    </row>
    <row r="1875" spans="1:4">
      <c r="A1875" s="348">
        <f t="shared" si="60"/>
        <v>1874</v>
      </c>
      <c r="B1875" s="360">
        <f>DATE('Profit Calculation'!J$6,A$2,A$2+A1875-1)</f>
        <v>43878</v>
      </c>
      <c r="D1875" s="362">
        <f t="shared" ca="1" si="59"/>
        <v>167336935.93416035</v>
      </c>
    </row>
    <row r="1876" spans="1:4">
      <c r="A1876" s="348">
        <f t="shared" si="60"/>
        <v>1875</v>
      </c>
      <c r="B1876" s="360">
        <f>DATE('Profit Calculation'!J$6,A$2,A$2+A1876-1)</f>
        <v>43879</v>
      </c>
      <c r="D1876" s="362">
        <f t="shared" ca="1" si="59"/>
        <v>167401023.0941177</v>
      </c>
    </row>
    <row r="1877" spans="1:4">
      <c r="A1877" s="348">
        <f t="shared" si="60"/>
        <v>1876</v>
      </c>
      <c r="B1877" s="360">
        <f>DATE('Profit Calculation'!J$6,A$2,A$2+A1877-1)</f>
        <v>43880</v>
      </c>
      <c r="D1877" s="362">
        <f t="shared" ca="1" si="59"/>
        <v>167465134.79835185</v>
      </c>
    </row>
    <row r="1878" spans="1:4">
      <c r="A1878" s="348">
        <f t="shared" si="60"/>
        <v>1877</v>
      </c>
      <c r="B1878" s="360">
        <f>DATE('Profit Calculation'!J$6,A$2,A$2+A1878-1)</f>
        <v>43881</v>
      </c>
      <c r="D1878" s="362">
        <f t="shared" ca="1" si="59"/>
        <v>167529271.05626282</v>
      </c>
    </row>
    <row r="1879" spans="1:4">
      <c r="A1879" s="348">
        <f t="shared" si="60"/>
        <v>1878</v>
      </c>
      <c r="B1879" s="360">
        <f>DATE('Profit Calculation'!J$6,A$2,A$2+A1879-1)</f>
        <v>43882</v>
      </c>
      <c r="D1879" s="362">
        <f t="shared" ca="1" si="59"/>
        <v>167593431.87725425</v>
      </c>
    </row>
    <row r="1880" spans="1:4">
      <c r="A1880" s="348">
        <f t="shared" si="60"/>
        <v>1879</v>
      </c>
      <c r="B1880" s="360">
        <f>DATE('Profit Calculation'!J$6,A$2,A$2+A1880-1)</f>
        <v>43883</v>
      </c>
      <c r="D1880" s="362">
        <f t="shared" ca="1" si="59"/>
        <v>167657617.27073336</v>
      </c>
    </row>
    <row r="1881" spans="1:4">
      <c r="A1881" s="348">
        <f t="shared" si="60"/>
        <v>1880</v>
      </c>
      <c r="B1881" s="360">
        <f>DATE('Profit Calculation'!J$6,A$2,A$2+A1881-1)</f>
        <v>43884</v>
      </c>
      <c r="D1881" s="362">
        <f t="shared" ca="1" si="59"/>
        <v>167721827.24611098</v>
      </c>
    </row>
    <row r="1882" spans="1:4">
      <c r="A1882" s="348">
        <f t="shared" si="60"/>
        <v>1881</v>
      </c>
      <c r="B1882" s="360">
        <f>DATE('Profit Calculation'!J$6,A$2,A$2+A1882-1)</f>
        <v>43885</v>
      </c>
      <c r="D1882" s="362">
        <f t="shared" ca="1" si="59"/>
        <v>167786061.81280157</v>
      </c>
    </row>
    <row r="1883" spans="1:4">
      <c r="A1883" s="348">
        <f t="shared" si="60"/>
        <v>1882</v>
      </c>
      <c r="B1883" s="360">
        <f>DATE('Profit Calculation'!J$6,A$2,A$2+A1883-1)</f>
        <v>43886</v>
      </c>
      <c r="D1883" s="362">
        <f t="shared" ca="1" si="59"/>
        <v>167850320.98022318</v>
      </c>
    </row>
    <row r="1884" spans="1:4">
      <c r="A1884" s="348">
        <f t="shared" si="60"/>
        <v>1883</v>
      </c>
      <c r="B1884" s="360">
        <f>DATE('Profit Calculation'!J$6,A$2,A$2+A1884-1)</f>
        <v>43887</v>
      </c>
      <c r="D1884" s="362">
        <f t="shared" ca="1" si="59"/>
        <v>167914604.75779748</v>
      </c>
    </row>
    <row r="1885" spans="1:4">
      <c r="A1885" s="348">
        <f t="shared" si="60"/>
        <v>1884</v>
      </c>
      <c r="B1885" s="360">
        <f>DATE('Profit Calculation'!J$6,A$2,A$2+A1885-1)</f>
        <v>43888</v>
      </c>
      <c r="D1885" s="362">
        <f t="shared" ca="1" si="59"/>
        <v>167978913.15494969</v>
      </c>
    </row>
    <row r="1886" spans="1:4">
      <c r="A1886" s="348">
        <f t="shared" si="60"/>
        <v>1885</v>
      </c>
      <c r="B1886" s="360">
        <f>DATE('Profit Calculation'!J$6,A$2,A$2+A1886-1)</f>
        <v>43889</v>
      </c>
      <c r="D1886" s="362">
        <f t="shared" ca="1" si="59"/>
        <v>168043246.18110874</v>
      </c>
    </row>
    <row r="1887" spans="1:4">
      <c r="A1887" s="348">
        <f t="shared" si="60"/>
        <v>1886</v>
      </c>
      <c r="B1887" s="360">
        <f>DATE('Profit Calculation'!J$6,A$2,A$2+A1887-1)</f>
        <v>43890</v>
      </c>
      <c r="D1887" s="362">
        <f t="shared" ca="1" si="59"/>
        <v>168107603.84570709</v>
      </c>
    </row>
    <row r="1888" spans="1:4">
      <c r="A1888" s="348">
        <f t="shared" si="60"/>
        <v>1887</v>
      </c>
      <c r="B1888" s="360">
        <f>DATE('Profit Calculation'!J$6,A$2,A$2+A1888-1)</f>
        <v>43891</v>
      </c>
      <c r="D1888" s="362">
        <f t="shared" ca="1" si="59"/>
        <v>168171986.1581808</v>
      </c>
    </row>
    <row r="1889" spans="1:4">
      <c r="A1889" s="348">
        <f t="shared" si="60"/>
        <v>1888</v>
      </c>
      <c r="B1889" s="360">
        <f>DATE('Profit Calculation'!J$6,A$2,A$2+A1889-1)</f>
        <v>43892</v>
      </c>
      <c r="D1889" s="362">
        <f t="shared" ca="1" si="59"/>
        <v>168236393.12796962</v>
      </c>
    </row>
    <row r="1890" spans="1:4">
      <c r="A1890" s="348">
        <f t="shared" si="60"/>
        <v>1889</v>
      </c>
      <c r="B1890" s="360">
        <f>DATE('Profit Calculation'!J$6,A$2,A$2+A1890-1)</f>
        <v>43893</v>
      </c>
      <c r="D1890" s="362">
        <f t="shared" ca="1" si="59"/>
        <v>168300824.76451689</v>
      </c>
    </row>
    <row r="1891" spans="1:4">
      <c r="A1891" s="348">
        <f t="shared" si="60"/>
        <v>1890</v>
      </c>
      <c r="B1891" s="360">
        <f>DATE('Profit Calculation'!J$6,A$2,A$2+A1891-1)</f>
        <v>43894</v>
      </c>
      <c r="D1891" s="362">
        <f t="shared" ca="1" si="59"/>
        <v>168365281.07726952</v>
      </c>
    </row>
    <row r="1892" spans="1:4">
      <c r="A1892" s="348">
        <f t="shared" si="60"/>
        <v>1891</v>
      </c>
      <c r="B1892" s="360">
        <f>DATE('Profit Calculation'!J$6,A$2,A$2+A1892-1)</f>
        <v>43895</v>
      </c>
      <c r="D1892" s="362">
        <f t="shared" ca="1" si="59"/>
        <v>168429762.07567808</v>
      </c>
    </row>
    <row r="1893" spans="1:4">
      <c r="A1893" s="348">
        <f t="shared" si="60"/>
        <v>1892</v>
      </c>
      <c r="B1893" s="360">
        <f>DATE('Profit Calculation'!J$6,A$2,A$2+A1893-1)</f>
        <v>43896</v>
      </c>
      <c r="D1893" s="362">
        <f t="shared" ca="1" si="59"/>
        <v>168494267.76919678</v>
      </c>
    </row>
    <row r="1894" spans="1:4">
      <c r="A1894" s="348">
        <f t="shared" si="60"/>
        <v>1893</v>
      </c>
      <c r="B1894" s="360">
        <f>DATE('Profit Calculation'!J$6,A$2,A$2+A1894-1)</f>
        <v>43897</v>
      </c>
      <c r="D1894" s="362">
        <f t="shared" ca="1" si="59"/>
        <v>168558798.16728339</v>
      </c>
    </row>
    <row r="1895" spans="1:4">
      <c r="A1895" s="348">
        <f t="shared" si="60"/>
        <v>1894</v>
      </c>
      <c r="B1895" s="360">
        <f>DATE('Profit Calculation'!J$6,A$2,A$2+A1895-1)</f>
        <v>43898</v>
      </c>
      <c r="D1895" s="362">
        <f t="shared" ca="1" si="59"/>
        <v>168623353.27939934</v>
      </c>
    </row>
    <row r="1896" spans="1:4">
      <c r="A1896" s="348">
        <f t="shared" si="60"/>
        <v>1895</v>
      </c>
      <c r="B1896" s="360">
        <f>DATE('Profit Calculation'!J$6,A$2,A$2+A1896-1)</f>
        <v>43899</v>
      </c>
      <c r="D1896" s="362">
        <f t="shared" ca="1" si="59"/>
        <v>168687933.11500967</v>
      </c>
    </row>
    <row r="1897" spans="1:4">
      <c r="A1897" s="348">
        <f t="shared" si="60"/>
        <v>1896</v>
      </c>
      <c r="B1897" s="360">
        <f>DATE('Profit Calculation'!J$6,A$2,A$2+A1897-1)</f>
        <v>43900</v>
      </c>
      <c r="D1897" s="362">
        <f t="shared" ca="1" si="59"/>
        <v>168752537.68358305</v>
      </c>
    </row>
    <row r="1898" spans="1:4">
      <c r="A1898" s="348">
        <f t="shared" si="60"/>
        <v>1897</v>
      </c>
      <c r="B1898" s="360">
        <f>DATE('Profit Calculation'!J$6,A$2,A$2+A1898-1)</f>
        <v>43901</v>
      </c>
      <c r="D1898" s="362">
        <f t="shared" ca="1" si="59"/>
        <v>168817166.9945918</v>
      </c>
    </row>
    <row r="1899" spans="1:4">
      <c r="A1899" s="348">
        <f t="shared" si="60"/>
        <v>1898</v>
      </c>
      <c r="B1899" s="360">
        <f>DATE('Profit Calculation'!J$6,A$2,A$2+A1899-1)</f>
        <v>43902</v>
      </c>
      <c r="D1899" s="362">
        <f t="shared" ca="1" si="59"/>
        <v>168881821.05751184</v>
      </c>
    </row>
    <row r="1900" spans="1:4">
      <c r="A1900" s="348">
        <f t="shared" si="60"/>
        <v>1899</v>
      </c>
      <c r="B1900" s="360">
        <f>DATE('Profit Calculation'!J$6,A$2,A$2+A1900-1)</f>
        <v>43903</v>
      </c>
      <c r="D1900" s="362">
        <f t="shared" ca="1" si="59"/>
        <v>168946499.88182271</v>
      </c>
    </row>
    <row r="1901" spans="1:4">
      <c r="A1901" s="348">
        <f t="shared" si="60"/>
        <v>1900</v>
      </c>
      <c r="B1901" s="360">
        <f>DATE('Profit Calculation'!J$6,A$2,A$2+A1901-1)</f>
        <v>43904</v>
      </c>
      <c r="D1901" s="362">
        <f t="shared" ca="1" si="59"/>
        <v>169011203.4770076</v>
      </c>
    </row>
    <row r="1902" spans="1:4">
      <c r="A1902" s="348">
        <f t="shared" si="60"/>
        <v>1901</v>
      </c>
      <c r="B1902" s="360">
        <f>DATE('Profit Calculation'!J$6,A$2,A$2+A1902-1)</f>
        <v>43905</v>
      </c>
      <c r="D1902" s="362">
        <f t="shared" ca="1" si="59"/>
        <v>169075931.85255334</v>
      </c>
    </row>
    <row r="1903" spans="1:4">
      <c r="A1903" s="348">
        <f t="shared" si="60"/>
        <v>1902</v>
      </c>
      <c r="B1903" s="360">
        <f>DATE('Profit Calculation'!J$6,A$2,A$2+A1903-1)</f>
        <v>43906</v>
      </c>
      <c r="D1903" s="362">
        <f t="shared" ca="1" si="59"/>
        <v>169140685.01795036</v>
      </c>
    </row>
    <row r="1904" spans="1:4">
      <c r="A1904" s="348">
        <f t="shared" si="60"/>
        <v>1903</v>
      </c>
      <c r="B1904" s="360">
        <f>DATE('Profit Calculation'!J$6,A$2,A$2+A1904-1)</f>
        <v>43907</v>
      </c>
      <c r="D1904" s="362">
        <f t="shared" ca="1" si="59"/>
        <v>169205462.98269275</v>
      </c>
    </row>
    <row r="1905" spans="1:4">
      <c r="A1905" s="348">
        <f t="shared" si="60"/>
        <v>1904</v>
      </c>
      <c r="B1905" s="360">
        <f>DATE('Profit Calculation'!J$6,A$2,A$2+A1905-1)</f>
        <v>43908</v>
      </c>
      <c r="D1905" s="362">
        <f t="shared" ca="1" si="59"/>
        <v>169270265.75627825</v>
      </c>
    </row>
    <row r="1906" spans="1:4">
      <c r="A1906" s="348">
        <f t="shared" si="60"/>
        <v>1905</v>
      </c>
      <c r="B1906" s="360">
        <f>DATE('Profit Calculation'!J$6,A$2,A$2+A1906-1)</f>
        <v>43909</v>
      </c>
      <c r="D1906" s="362">
        <f t="shared" ca="1" si="59"/>
        <v>169335093.34820819</v>
      </c>
    </row>
    <row r="1907" spans="1:4">
      <c r="A1907" s="348">
        <f t="shared" si="60"/>
        <v>1906</v>
      </c>
      <c r="B1907" s="360">
        <f>DATE('Profit Calculation'!J$6,A$2,A$2+A1907-1)</f>
        <v>43910</v>
      </c>
      <c r="D1907" s="362">
        <f t="shared" ca="1" si="59"/>
        <v>169399945.76798761</v>
      </c>
    </row>
    <row r="1908" spans="1:4">
      <c r="A1908" s="348">
        <f t="shared" si="60"/>
        <v>1907</v>
      </c>
      <c r="B1908" s="360">
        <f>DATE('Profit Calculation'!J$6,A$2,A$2+A1908-1)</f>
        <v>43911</v>
      </c>
      <c r="D1908" s="362">
        <f t="shared" ca="1" si="59"/>
        <v>169464823.02512512</v>
      </c>
    </row>
    <row r="1909" spans="1:4">
      <c r="A1909" s="348">
        <f t="shared" si="60"/>
        <v>1908</v>
      </c>
      <c r="B1909" s="360">
        <f>DATE('Profit Calculation'!J$6,A$2,A$2+A1909-1)</f>
        <v>43912</v>
      </c>
      <c r="D1909" s="362">
        <f t="shared" ca="1" si="59"/>
        <v>169529725.12913299</v>
      </c>
    </row>
    <row r="1910" spans="1:4">
      <c r="A1910" s="348">
        <f t="shared" si="60"/>
        <v>1909</v>
      </c>
      <c r="B1910" s="360">
        <f>DATE('Profit Calculation'!J$6,A$2,A$2+A1910-1)</f>
        <v>43913</v>
      </c>
      <c r="D1910" s="362">
        <f t="shared" ca="1" si="59"/>
        <v>169594652.08952716</v>
      </c>
    </row>
    <row r="1911" spans="1:4">
      <c r="A1911" s="348">
        <f t="shared" si="60"/>
        <v>1910</v>
      </c>
      <c r="B1911" s="360">
        <f>DATE('Profit Calculation'!J$6,A$2,A$2+A1911-1)</f>
        <v>43914</v>
      </c>
      <c r="D1911" s="362">
        <f t="shared" ca="1" si="59"/>
        <v>169659603.91582718</v>
      </c>
    </row>
    <row r="1912" spans="1:4">
      <c r="A1912" s="348">
        <f t="shared" si="60"/>
        <v>1911</v>
      </c>
      <c r="B1912" s="360">
        <f>DATE('Profit Calculation'!J$6,A$2,A$2+A1912-1)</f>
        <v>43915</v>
      </c>
      <c r="D1912" s="362">
        <f t="shared" ca="1" si="59"/>
        <v>169724580.6175563</v>
      </c>
    </row>
    <row r="1913" spans="1:4">
      <c r="A1913" s="348">
        <f t="shared" si="60"/>
        <v>1912</v>
      </c>
      <c r="B1913" s="360">
        <f>DATE('Profit Calculation'!J$6,A$2,A$2+A1913-1)</f>
        <v>43916</v>
      </c>
      <c r="D1913" s="362">
        <f t="shared" ca="1" si="59"/>
        <v>169789582.20424134</v>
      </c>
    </row>
    <row r="1914" spans="1:4">
      <c r="A1914" s="348">
        <f t="shared" si="60"/>
        <v>1913</v>
      </c>
      <c r="B1914" s="360">
        <f>DATE('Profit Calculation'!J$6,A$2,A$2+A1914-1)</f>
        <v>43917</v>
      </c>
      <c r="D1914" s="362">
        <f t="shared" ca="1" si="59"/>
        <v>169854608.68541282</v>
      </c>
    </row>
    <row r="1915" spans="1:4">
      <c r="A1915" s="348">
        <f t="shared" si="60"/>
        <v>1914</v>
      </c>
      <c r="B1915" s="360">
        <f>DATE('Profit Calculation'!J$6,A$2,A$2+A1915-1)</f>
        <v>43918</v>
      </c>
      <c r="D1915" s="362">
        <f t="shared" ca="1" si="59"/>
        <v>169919660.07060492</v>
      </c>
    </row>
    <row r="1916" spans="1:4">
      <c r="A1916" s="348">
        <f t="shared" si="60"/>
        <v>1915</v>
      </c>
      <c r="B1916" s="360">
        <f>DATE('Profit Calculation'!J$6,A$2,A$2+A1916-1)</f>
        <v>43919</v>
      </c>
      <c r="D1916" s="362">
        <f t="shared" ca="1" si="59"/>
        <v>169984736.36935544</v>
      </c>
    </row>
    <row r="1917" spans="1:4">
      <c r="A1917" s="348">
        <f t="shared" si="60"/>
        <v>1916</v>
      </c>
      <c r="B1917" s="360">
        <f>DATE('Profit Calculation'!J$6,A$2,A$2+A1917-1)</f>
        <v>43920</v>
      </c>
      <c r="D1917" s="362">
        <f t="shared" ca="1" si="59"/>
        <v>170049837.59120584</v>
      </c>
    </row>
    <row r="1918" spans="1:4">
      <c r="A1918" s="348">
        <f t="shared" si="60"/>
        <v>1917</v>
      </c>
      <c r="B1918" s="360">
        <f>DATE('Profit Calculation'!J$6,A$2,A$2+A1918-1)</f>
        <v>43921</v>
      </c>
      <c r="D1918" s="362">
        <f t="shared" ca="1" si="59"/>
        <v>170114963.74570122</v>
      </c>
    </row>
    <row r="1919" spans="1:4">
      <c r="A1919" s="348">
        <f t="shared" si="60"/>
        <v>1918</v>
      </c>
      <c r="B1919" s="360">
        <f>DATE('Profit Calculation'!J$6,A$2,A$2+A1919-1)</f>
        <v>43922</v>
      </c>
      <c r="D1919" s="362">
        <f t="shared" ca="1" si="59"/>
        <v>167271072</v>
      </c>
    </row>
    <row r="1920" spans="1:4">
      <c r="A1920" s="348">
        <f t="shared" si="60"/>
        <v>1919</v>
      </c>
      <c r="B1920" s="360">
        <f>DATE('Profit Calculation'!J$6,A$2,A$2+A1920-1)</f>
        <v>43923</v>
      </c>
      <c r="D1920" s="362">
        <f t="shared" ca="1" si="59"/>
        <v>167335133.93520671</v>
      </c>
    </row>
    <row r="1921" spans="1:4">
      <c r="A1921" s="348">
        <f t="shared" si="60"/>
        <v>1920</v>
      </c>
      <c r="B1921" s="360">
        <f>DATE('Profit Calculation'!J$6,A$2,A$2+A1921-1)</f>
        <v>43924</v>
      </c>
      <c r="D1921" s="362">
        <f t="shared" ca="1" si="59"/>
        <v>167399220.40502957</v>
      </c>
    </row>
    <row r="1922" spans="1:4">
      <c r="A1922" s="348">
        <f t="shared" si="60"/>
        <v>1921</v>
      </c>
      <c r="B1922" s="360">
        <f>DATE('Profit Calculation'!J$6,A$2,A$2+A1922-1)</f>
        <v>43925</v>
      </c>
      <c r="D1922" s="362">
        <f t="shared" ca="1" si="59"/>
        <v>167463331.41886488</v>
      </c>
    </row>
    <row r="1923" spans="1:4">
      <c r="A1923" s="348">
        <f t="shared" si="60"/>
        <v>1922</v>
      </c>
      <c r="B1923" s="360">
        <f>DATE('Profit Calculation'!J$6,A$2,A$2+A1923-1)</f>
        <v>43926</v>
      </c>
      <c r="D1923" s="362">
        <f t="shared" ca="1" si="59"/>
        <v>167527466.98611259</v>
      </c>
    </row>
    <row r="1924" spans="1:4">
      <c r="A1924" s="348">
        <f t="shared" si="60"/>
        <v>1923</v>
      </c>
      <c r="B1924" s="360">
        <f>DATE('Profit Calculation'!J$6,A$2,A$2+A1924-1)</f>
        <v>43927</v>
      </c>
      <c r="D1924" s="362">
        <f t="shared" ref="D1924:D1987" ca="1" si="61">IF(OR(LOOKUP(B1924,W$1:W$35,W$1:W$35) = B1924, LOOKUP(B1924,X$1:X$35,X$1:X$35) = B1924),LOOKUP(B1924,F:F,G:G),D1923*(1+((IF($Q$18&lt;6,$R$14,IF($Q$18&lt;11,$R$15,$R$16)))))^(1/365))</f>
        <v>167591627.11617625</v>
      </c>
    </row>
    <row r="1925" spans="1:4">
      <c r="A1925" s="348">
        <f t="shared" ref="A1925:A1988" si="62">A1924+1</f>
        <v>1924</v>
      </c>
      <c r="B1925" s="360">
        <f>DATE('Profit Calculation'!J$6,A$2,A$2+A1925-1)</f>
        <v>43928</v>
      </c>
      <c r="D1925" s="362">
        <f t="shared" ca="1" si="61"/>
        <v>167655811.818463</v>
      </c>
    </row>
    <row r="1926" spans="1:4">
      <c r="A1926" s="348">
        <f t="shared" si="62"/>
        <v>1925</v>
      </c>
      <c r="B1926" s="360">
        <f>DATE('Profit Calculation'!J$6,A$2,A$2+A1926-1)</f>
        <v>43929</v>
      </c>
      <c r="D1926" s="362">
        <f t="shared" ca="1" si="61"/>
        <v>167720021.10238355</v>
      </c>
    </row>
    <row r="1927" spans="1:4">
      <c r="A1927" s="348">
        <f t="shared" si="62"/>
        <v>1926</v>
      </c>
      <c r="B1927" s="360">
        <f>DATE('Profit Calculation'!J$6,A$2,A$2+A1927-1)</f>
        <v>43930</v>
      </c>
      <c r="D1927" s="362">
        <f t="shared" ca="1" si="61"/>
        <v>167784254.97735226</v>
      </c>
    </row>
    <row r="1928" spans="1:4">
      <c r="A1928" s="348">
        <f t="shared" si="62"/>
        <v>1927</v>
      </c>
      <c r="B1928" s="360">
        <f>DATE('Profit Calculation'!J$6,A$2,A$2+A1928-1)</f>
        <v>43931</v>
      </c>
      <c r="D1928" s="362">
        <f t="shared" ca="1" si="61"/>
        <v>167848513.45278707</v>
      </c>
    </row>
    <row r="1929" spans="1:4">
      <c r="A1929" s="348">
        <f t="shared" si="62"/>
        <v>1928</v>
      </c>
      <c r="B1929" s="360">
        <f>DATE('Profit Calculation'!J$6,A$2,A$2+A1929-1)</f>
        <v>43932</v>
      </c>
      <c r="D1929" s="362">
        <f t="shared" ca="1" si="61"/>
        <v>167912796.53810954</v>
      </c>
    </row>
    <row r="1930" spans="1:4">
      <c r="A1930" s="348">
        <f t="shared" si="62"/>
        <v>1929</v>
      </c>
      <c r="B1930" s="360">
        <f>DATE('Profit Calculation'!J$6,A$2,A$2+A1930-1)</f>
        <v>43933</v>
      </c>
      <c r="D1930" s="362">
        <f t="shared" ca="1" si="61"/>
        <v>167977104.2427448</v>
      </c>
    </row>
    <row r="1931" spans="1:4">
      <c r="A1931" s="348">
        <f t="shared" si="62"/>
        <v>1930</v>
      </c>
      <c r="B1931" s="360">
        <f>DATE('Profit Calculation'!J$6,A$2,A$2+A1931-1)</f>
        <v>43934</v>
      </c>
      <c r="D1931" s="362">
        <f t="shared" ca="1" si="61"/>
        <v>168041436.57612166</v>
      </c>
    </row>
    <row r="1932" spans="1:4">
      <c r="A1932" s="348">
        <f t="shared" si="62"/>
        <v>1931</v>
      </c>
      <c r="B1932" s="360">
        <f>DATE('Profit Calculation'!J$6,A$2,A$2+A1932-1)</f>
        <v>43935</v>
      </c>
      <c r="D1932" s="362">
        <f t="shared" ca="1" si="61"/>
        <v>168105793.54767251</v>
      </c>
    </row>
    <row r="1933" spans="1:4">
      <c r="A1933" s="348">
        <f t="shared" si="62"/>
        <v>1932</v>
      </c>
      <c r="B1933" s="360">
        <f>DATE('Profit Calculation'!J$6,A$2,A$2+A1933-1)</f>
        <v>43936</v>
      </c>
      <c r="D1933" s="362">
        <f t="shared" ca="1" si="61"/>
        <v>168170175.16683331</v>
      </c>
    </row>
    <row r="1934" spans="1:4">
      <c r="A1934" s="348">
        <f t="shared" si="62"/>
        <v>1933</v>
      </c>
      <c r="B1934" s="360">
        <f>DATE('Profit Calculation'!J$6,A$2,A$2+A1934-1)</f>
        <v>43937</v>
      </c>
      <c r="D1934" s="362">
        <f t="shared" ca="1" si="61"/>
        <v>168234581.44304371</v>
      </c>
    </row>
    <row r="1935" spans="1:4">
      <c r="A1935" s="348">
        <f t="shared" si="62"/>
        <v>1934</v>
      </c>
      <c r="B1935" s="360">
        <f>DATE('Profit Calculation'!J$6,A$2,A$2+A1935-1)</f>
        <v>43938</v>
      </c>
      <c r="D1935" s="362">
        <f t="shared" ca="1" si="61"/>
        <v>168299012.3857469</v>
      </c>
    </row>
    <row r="1936" spans="1:4">
      <c r="A1936" s="348">
        <f t="shared" si="62"/>
        <v>1935</v>
      </c>
      <c r="B1936" s="360">
        <f>DATE('Profit Calculation'!J$6,A$2,A$2+A1936-1)</f>
        <v>43939</v>
      </c>
      <c r="D1936" s="362">
        <f t="shared" ca="1" si="61"/>
        <v>168363468.00438973</v>
      </c>
    </row>
    <row r="1937" spans="1:4">
      <c r="A1937" s="348">
        <f t="shared" si="62"/>
        <v>1936</v>
      </c>
      <c r="B1937" s="360">
        <f>DATE('Profit Calculation'!J$6,A$2,A$2+A1937-1)</f>
        <v>43940</v>
      </c>
      <c r="D1937" s="362">
        <f t="shared" ca="1" si="61"/>
        <v>168427948.30842265</v>
      </c>
    </row>
    <row r="1938" spans="1:4">
      <c r="A1938" s="348">
        <f t="shared" si="62"/>
        <v>1937</v>
      </c>
      <c r="B1938" s="360">
        <f>DATE('Profit Calculation'!J$6,A$2,A$2+A1938-1)</f>
        <v>43941</v>
      </c>
      <c r="D1938" s="362">
        <f t="shared" ca="1" si="61"/>
        <v>168492453.30729976</v>
      </c>
    </row>
    <row r="1939" spans="1:4">
      <c r="A1939" s="348">
        <f t="shared" si="62"/>
        <v>1938</v>
      </c>
      <c r="B1939" s="360">
        <f>DATE('Profit Calculation'!J$6,A$2,A$2+A1939-1)</f>
        <v>43942</v>
      </c>
      <c r="D1939" s="362">
        <f t="shared" ca="1" si="61"/>
        <v>168556983.01047876</v>
      </c>
    </row>
    <row r="1940" spans="1:4">
      <c r="A1940" s="348">
        <f t="shared" si="62"/>
        <v>1939</v>
      </c>
      <c r="B1940" s="360">
        <f>DATE('Profit Calculation'!J$6,A$2,A$2+A1940-1)</f>
        <v>43943</v>
      </c>
      <c r="D1940" s="362">
        <f t="shared" ca="1" si="61"/>
        <v>168621537.42742097</v>
      </c>
    </row>
    <row r="1941" spans="1:4">
      <c r="A1941" s="348">
        <f t="shared" si="62"/>
        <v>1940</v>
      </c>
      <c r="B1941" s="360">
        <f>DATE('Profit Calculation'!J$6,A$2,A$2+A1941-1)</f>
        <v>43944</v>
      </c>
      <c r="D1941" s="362">
        <f t="shared" ca="1" si="61"/>
        <v>168686116.56759131</v>
      </c>
    </row>
    <row r="1942" spans="1:4">
      <c r="A1942" s="348">
        <f t="shared" si="62"/>
        <v>1941</v>
      </c>
      <c r="B1942" s="360">
        <f>DATE('Profit Calculation'!J$6,A$2,A$2+A1942-1)</f>
        <v>43945</v>
      </c>
      <c r="D1942" s="362">
        <f t="shared" ca="1" si="61"/>
        <v>168750720.44045836</v>
      </c>
    </row>
    <row r="1943" spans="1:4">
      <c r="A1943" s="348">
        <f t="shared" si="62"/>
        <v>1942</v>
      </c>
      <c r="B1943" s="360">
        <f>DATE('Profit Calculation'!J$6,A$2,A$2+A1943-1)</f>
        <v>43946</v>
      </c>
      <c r="D1943" s="362">
        <f t="shared" ca="1" si="61"/>
        <v>168815349.05549434</v>
      </c>
    </row>
    <row r="1944" spans="1:4">
      <c r="A1944" s="348">
        <f t="shared" si="62"/>
        <v>1943</v>
      </c>
      <c r="B1944" s="360">
        <f>DATE('Profit Calculation'!J$6,A$2,A$2+A1944-1)</f>
        <v>43947</v>
      </c>
      <c r="D1944" s="362">
        <f t="shared" ca="1" si="61"/>
        <v>168880002.42217505</v>
      </c>
    </row>
    <row r="1945" spans="1:4">
      <c r="A1945" s="348">
        <f t="shared" si="62"/>
        <v>1944</v>
      </c>
      <c r="B1945" s="360">
        <f>DATE('Profit Calculation'!J$6,A$2,A$2+A1945-1)</f>
        <v>43948</v>
      </c>
      <c r="D1945" s="362">
        <f t="shared" ca="1" si="61"/>
        <v>168944680.54997995</v>
      </c>
    </row>
    <row r="1946" spans="1:4">
      <c r="A1946" s="348">
        <f t="shared" si="62"/>
        <v>1945</v>
      </c>
      <c r="B1946" s="360">
        <f>DATE('Profit Calculation'!J$6,A$2,A$2+A1946-1)</f>
        <v>43949</v>
      </c>
      <c r="D1946" s="362">
        <f t="shared" ca="1" si="61"/>
        <v>169009383.44839212</v>
      </c>
    </row>
    <row r="1947" spans="1:4">
      <c r="A1947" s="348">
        <f t="shared" si="62"/>
        <v>1946</v>
      </c>
      <c r="B1947" s="360">
        <f>DATE('Profit Calculation'!J$6,A$2,A$2+A1947-1)</f>
        <v>43950</v>
      </c>
      <c r="D1947" s="362">
        <f t="shared" ca="1" si="61"/>
        <v>169074111.12689829</v>
      </c>
    </row>
    <row r="1948" spans="1:4">
      <c r="A1948" s="348">
        <f t="shared" si="62"/>
        <v>1947</v>
      </c>
      <c r="B1948" s="360">
        <f>DATE('Profit Calculation'!J$6,A$2,A$2+A1948-1)</f>
        <v>43951</v>
      </c>
      <c r="D1948" s="362">
        <f t="shared" ca="1" si="61"/>
        <v>169138863.59498879</v>
      </c>
    </row>
    <row r="1949" spans="1:4">
      <c r="A1949" s="348">
        <f t="shared" si="62"/>
        <v>1948</v>
      </c>
      <c r="B1949" s="360">
        <f>DATE('Profit Calculation'!J$6,A$2,A$2+A1949-1)</f>
        <v>43952</v>
      </c>
      <c r="D1949" s="362">
        <f t="shared" ca="1" si="61"/>
        <v>169203640.86215761</v>
      </c>
    </row>
    <row r="1950" spans="1:4">
      <c r="A1950" s="348">
        <f t="shared" si="62"/>
        <v>1949</v>
      </c>
      <c r="B1950" s="360">
        <f>DATE('Profit Calculation'!J$6,A$2,A$2+A1950-1)</f>
        <v>43953</v>
      </c>
      <c r="D1950" s="362">
        <f t="shared" ca="1" si="61"/>
        <v>169268442.93790236</v>
      </c>
    </row>
    <row r="1951" spans="1:4">
      <c r="A1951" s="348">
        <f t="shared" si="62"/>
        <v>1950</v>
      </c>
      <c r="B1951" s="360">
        <f>DATE('Profit Calculation'!J$6,A$2,A$2+A1951-1)</f>
        <v>43954</v>
      </c>
      <c r="D1951" s="362">
        <f t="shared" ca="1" si="61"/>
        <v>169333269.83172432</v>
      </c>
    </row>
    <row r="1952" spans="1:4">
      <c r="A1952" s="348">
        <f t="shared" si="62"/>
        <v>1951</v>
      </c>
      <c r="B1952" s="360">
        <f>DATE('Profit Calculation'!J$6,A$2,A$2+A1952-1)</f>
        <v>43955</v>
      </c>
      <c r="D1952" s="362">
        <f t="shared" ca="1" si="61"/>
        <v>169398121.55312836</v>
      </c>
    </row>
    <row r="1953" spans="1:4">
      <c r="A1953" s="348">
        <f t="shared" si="62"/>
        <v>1952</v>
      </c>
      <c r="B1953" s="360">
        <f>DATE('Profit Calculation'!J$6,A$2,A$2+A1953-1)</f>
        <v>43956</v>
      </c>
      <c r="D1953" s="362">
        <f t="shared" ca="1" si="61"/>
        <v>169462998.11162305</v>
      </c>
    </row>
    <row r="1954" spans="1:4">
      <c r="A1954" s="348">
        <f t="shared" si="62"/>
        <v>1953</v>
      </c>
      <c r="B1954" s="360">
        <f>DATE('Profit Calculation'!J$6,A$2,A$2+A1954-1)</f>
        <v>43957</v>
      </c>
      <c r="D1954" s="362">
        <f t="shared" ca="1" si="61"/>
        <v>169527899.51672053</v>
      </c>
    </row>
    <row r="1955" spans="1:4">
      <c r="A1955" s="348">
        <f t="shared" si="62"/>
        <v>1954</v>
      </c>
      <c r="B1955" s="360">
        <f>DATE('Profit Calculation'!J$6,A$2,A$2+A1955-1)</f>
        <v>43958</v>
      </c>
      <c r="D1955" s="362">
        <f t="shared" ca="1" si="61"/>
        <v>169592825.77793664</v>
      </c>
    </row>
    <row r="1956" spans="1:4">
      <c r="A1956" s="348">
        <f t="shared" si="62"/>
        <v>1955</v>
      </c>
      <c r="B1956" s="360">
        <f>DATE('Profit Calculation'!J$6,A$2,A$2+A1956-1)</f>
        <v>43959</v>
      </c>
      <c r="D1956" s="362">
        <f t="shared" ca="1" si="61"/>
        <v>169657776.90479082</v>
      </c>
    </row>
    <row r="1957" spans="1:4">
      <c r="A1957" s="348">
        <f t="shared" si="62"/>
        <v>1956</v>
      </c>
      <c r="B1957" s="360">
        <f>DATE('Profit Calculation'!J$6,A$2,A$2+A1957-1)</f>
        <v>43960</v>
      </c>
      <c r="D1957" s="362">
        <f t="shared" ca="1" si="61"/>
        <v>169722752.9068062</v>
      </c>
    </row>
    <row r="1958" spans="1:4">
      <c r="A1958" s="348">
        <f t="shared" si="62"/>
        <v>1957</v>
      </c>
      <c r="B1958" s="360">
        <f>DATE('Profit Calculation'!J$6,A$2,A$2+A1958-1)</f>
        <v>43961</v>
      </c>
      <c r="D1958" s="362">
        <f t="shared" ca="1" si="61"/>
        <v>169787753.79350954</v>
      </c>
    </row>
    <row r="1959" spans="1:4">
      <c r="A1959" s="348">
        <f t="shared" si="62"/>
        <v>1958</v>
      </c>
      <c r="B1959" s="360">
        <f>DATE('Profit Calculation'!J$6,A$2,A$2+A1959-1)</f>
        <v>43962</v>
      </c>
      <c r="D1959" s="362">
        <f t="shared" ca="1" si="61"/>
        <v>169852779.57443127</v>
      </c>
    </row>
    <row r="1960" spans="1:4">
      <c r="A1960" s="348">
        <f t="shared" si="62"/>
        <v>1959</v>
      </c>
      <c r="B1960" s="360">
        <f>DATE('Profit Calculation'!J$6,A$2,A$2+A1960-1)</f>
        <v>43963</v>
      </c>
      <c r="D1960" s="362">
        <f t="shared" ca="1" si="61"/>
        <v>169917830.25910541</v>
      </c>
    </row>
    <row r="1961" spans="1:4">
      <c r="A1961" s="348">
        <f t="shared" si="62"/>
        <v>1960</v>
      </c>
      <c r="B1961" s="360">
        <f>DATE('Profit Calculation'!J$6,A$2,A$2+A1961-1)</f>
        <v>43964</v>
      </c>
      <c r="D1961" s="362">
        <f t="shared" ca="1" si="61"/>
        <v>169982905.85706967</v>
      </c>
    </row>
    <row r="1962" spans="1:4">
      <c r="A1962" s="348">
        <f t="shared" si="62"/>
        <v>1961</v>
      </c>
      <c r="B1962" s="360">
        <f>DATE('Profit Calculation'!J$6,A$2,A$2+A1962-1)</f>
        <v>43965</v>
      </c>
      <c r="D1962" s="362">
        <f t="shared" ca="1" si="61"/>
        <v>170048006.37786543</v>
      </c>
    </row>
    <row r="1963" spans="1:4">
      <c r="A1963" s="348">
        <f t="shared" si="62"/>
        <v>1962</v>
      </c>
      <c r="B1963" s="360">
        <f>DATE('Profit Calculation'!J$6,A$2,A$2+A1963-1)</f>
        <v>43966</v>
      </c>
      <c r="D1963" s="362">
        <f t="shared" ca="1" si="61"/>
        <v>170113131.8310377</v>
      </c>
    </row>
    <row r="1964" spans="1:4">
      <c r="A1964" s="348">
        <f t="shared" si="62"/>
        <v>1963</v>
      </c>
      <c r="B1964" s="360">
        <f>DATE('Profit Calculation'!J$6,A$2,A$2+A1964-1)</f>
        <v>43967</v>
      </c>
      <c r="D1964" s="362">
        <f t="shared" ca="1" si="61"/>
        <v>170178282.22613513</v>
      </c>
    </row>
    <row r="1965" spans="1:4">
      <c r="A1965" s="348">
        <f t="shared" si="62"/>
        <v>1964</v>
      </c>
      <c r="B1965" s="360">
        <f>DATE('Profit Calculation'!J$6,A$2,A$2+A1965-1)</f>
        <v>43968</v>
      </c>
      <c r="D1965" s="362">
        <f t="shared" ca="1" si="61"/>
        <v>170243457.57271007</v>
      </c>
    </row>
    <row r="1966" spans="1:4">
      <c r="A1966" s="348">
        <f t="shared" si="62"/>
        <v>1965</v>
      </c>
      <c r="B1966" s="360">
        <f>DATE('Profit Calculation'!J$6,A$2,A$2+A1966-1)</f>
        <v>43969</v>
      </c>
      <c r="D1966" s="362">
        <f t="shared" ca="1" si="61"/>
        <v>170308657.88031849</v>
      </c>
    </row>
    <row r="1967" spans="1:4">
      <c r="A1967" s="348">
        <f t="shared" si="62"/>
        <v>1966</v>
      </c>
      <c r="B1967" s="360">
        <f>DATE('Profit Calculation'!J$6,A$2,A$2+A1967-1)</f>
        <v>43970</v>
      </c>
      <c r="D1967" s="362">
        <f t="shared" ca="1" si="61"/>
        <v>170373883.15852004</v>
      </c>
    </row>
    <row r="1968" spans="1:4">
      <c r="A1968" s="348">
        <f t="shared" si="62"/>
        <v>1967</v>
      </c>
      <c r="B1968" s="360">
        <f>DATE('Profit Calculation'!J$6,A$2,A$2+A1968-1)</f>
        <v>43971</v>
      </c>
      <c r="D1968" s="362">
        <f t="shared" ca="1" si="61"/>
        <v>170439133.41687801</v>
      </c>
    </row>
    <row r="1969" spans="1:4">
      <c r="A1969" s="348">
        <f t="shared" si="62"/>
        <v>1968</v>
      </c>
      <c r="B1969" s="360">
        <f>DATE('Profit Calculation'!J$6,A$2,A$2+A1969-1)</f>
        <v>43972</v>
      </c>
      <c r="D1969" s="362">
        <f t="shared" ca="1" si="61"/>
        <v>170504408.6649594</v>
      </c>
    </row>
    <row r="1970" spans="1:4">
      <c r="A1970" s="348">
        <f t="shared" si="62"/>
        <v>1969</v>
      </c>
      <c r="B1970" s="360">
        <f>DATE('Profit Calculation'!J$6,A$2,A$2+A1970-1)</f>
        <v>43973</v>
      </c>
      <c r="D1970" s="362">
        <f t="shared" ca="1" si="61"/>
        <v>170569708.91233483</v>
      </c>
    </row>
    <row r="1971" spans="1:4">
      <c r="A1971" s="348">
        <f t="shared" si="62"/>
        <v>1970</v>
      </c>
      <c r="B1971" s="360">
        <f>DATE('Profit Calculation'!J$6,A$2,A$2+A1971-1)</f>
        <v>43974</v>
      </c>
      <c r="D1971" s="362">
        <f t="shared" ca="1" si="61"/>
        <v>170635034.16857859</v>
      </c>
    </row>
    <row r="1972" spans="1:4">
      <c r="A1972" s="348">
        <f t="shared" si="62"/>
        <v>1971</v>
      </c>
      <c r="B1972" s="360">
        <f>DATE('Profit Calculation'!J$6,A$2,A$2+A1972-1)</f>
        <v>43975</v>
      </c>
      <c r="D1972" s="362">
        <f t="shared" ca="1" si="61"/>
        <v>170700384.44326866</v>
      </c>
    </row>
    <row r="1973" spans="1:4">
      <c r="A1973" s="348">
        <f t="shared" si="62"/>
        <v>1972</v>
      </c>
      <c r="B1973" s="360">
        <f>DATE('Profit Calculation'!J$6,A$2,A$2+A1973-1)</f>
        <v>43976</v>
      </c>
      <c r="D1973" s="362">
        <f t="shared" ca="1" si="61"/>
        <v>170765759.74598667</v>
      </c>
    </row>
    <row r="1974" spans="1:4">
      <c r="A1974" s="348">
        <f t="shared" si="62"/>
        <v>1973</v>
      </c>
      <c r="B1974" s="360">
        <f>DATE('Profit Calculation'!J$6,A$2,A$2+A1974-1)</f>
        <v>43977</v>
      </c>
      <c r="D1974" s="362">
        <f t="shared" ca="1" si="61"/>
        <v>170831160.08631793</v>
      </c>
    </row>
    <row r="1975" spans="1:4">
      <c r="A1975" s="348">
        <f t="shared" si="62"/>
        <v>1974</v>
      </c>
      <c r="B1975" s="360">
        <f>DATE('Profit Calculation'!J$6,A$2,A$2+A1975-1)</f>
        <v>43978</v>
      </c>
      <c r="D1975" s="362">
        <f t="shared" ca="1" si="61"/>
        <v>170896585.47385138</v>
      </c>
    </row>
    <row r="1976" spans="1:4">
      <c r="A1976" s="348">
        <f t="shared" si="62"/>
        <v>1975</v>
      </c>
      <c r="B1976" s="360">
        <f>DATE('Profit Calculation'!J$6,A$2,A$2+A1976-1)</f>
        <v>43979</v>
      </c>
      <c r="D1976" s="362">
        <f t="shared" ca="1" si="61"/>
        <v>170962035.91817969</v>
      </c>
    </row>
    <row r="1977" spans="1:4">
      <c r="A1977" s="348">
        <f t="shared" si="62"/>
        <v>1976</v>
      </c>
      <c r="B1977" s="360">
        <f>DATE('Profit Calculation'!J$6,A$2,A$2+A1977-1)</f>
        <v>43980</v>
      </c>
      <c r="D1977" s="362">
        <f t="shared" ca="1" si="61"/>
        <v>171027511.4288992</v>
      </c>
    </row>
    <row r="1978" spans="1:4">
      <c r="A1978" s="348">
        <f t="shared" si="62"/>
        <v>1977</v>
      </c>
      <c r="B1978" s="360">
        <f>DATE('Profit Calculation'!J$6,A$2,A$2+A1978-1)</f>
        <v>43981</v>
      </c>
      <c r="D1978" s="362">
        <f t="shared" ca="1" si="61"/>
        <v>171093012.01560986</v>
      </c>
    </row>
    <row r="1979" spans="1:4">
      <c r="A1979" s="348">
        <f t="shared" si="62"/>
        <v>1978</v>
      </c>
      <c r="B1979" s="360">
        <f>DATE('Profit Calculation'!J$6,A$2,A$2+A1979-1)</f>
        <v>43982</v>
      </c>
      <c r="D1979" s="362">
        <f t="shared" ca="1" si="61"/>
        <v>171158537.68791538</v>
      </c>
    </row>
    <row r="1980" spans="1:4">
      <c r="A1980" s="348">
        <f t="shared" si="62"/>
        <v>1979</v>
      </c>
      <c r="B1980" s="360">
        <f>DATE('Profit Calculation'!J$6,A$2,A$2+A1980-1)</f>
        <v>43983</v>
      </c>
      <c r="D1980" s="362">
        <f t="shared" ca="1" si="61"/>
        <v>171224088.45542312</v>
      </c>
    </row>
    <row r="1981" spans="1:4">
      <c r="A1981" s="348">
        <f t="shared" si="62"/>
        <v>1980</v>
      </c>
      <c r="B1981" s="360">
        <f>DATE('Profit Calculation'!J$6,A$2,A$2+A1981-1)</f>
        <v>43984</v>
      </c>
      <c r="D1981" s="362">
        <f t="shared" ca="1" si="61"/>
        <v>171289664.32774407</v>
      </c>
    </row>
    <row r="1982" spans="1:4">
      <c r="A1982" s="348">
        <f t="shared" si="62"/>
        <v>1981</v>
      </c>
      <c r="B1982" s="360">
        <f>DATE('Profit Calculation'!J$6,A$2,A$2+A1982-1)</f>
        <v>43985</v>
      </c>
      <c r="D1982" s="362">
        <f t="shared" ca="1" si="61"/>
        <v>171355265.31449294</v>
      </c>
    </row>
    <row r="1983" spans="1:4">
      <c r="A1983" s="348">
        <f t="shared" si="62"/>
        <v>1982</v>
      </c>
      <c r="B1983" s="360">
        <f>DATE('Profit Calculation'!J$6,A$2,A$2+A1983-1)</f>
        <v>43986</v>
      </c>
      <c r="D1983" s="362">
        <f t="shared" ca="1" si="61"/>
        <v>171420891.42528814</v>
      </c>
    </row>
    <row r="1984" spans="1:4">
      <c r="A1984" s="348">
        <f t="shared" si="62"/>
        <v>1983</v>
      </c>
      <c r="B1984" s="360">
        <f>DATE('Profit Calculation'!J$6,A$2,A$2+A1984-1)</f>
        <v>43987</v>
      </c>
      <c r="D1984" s="362">
        <f t="shared" ca="1" si="61"/>
        <v>171486542.66975176</v>
      </c>
    </row>
    <row r="1985" spans="1:4">
      <c r="A1985" s="348">
        <f t="shared" si="62"/>
        <v>1984</v>
      </c>
      <c r="B1985" s="360">
        <f>DATE('Profit Calculation'!J$6,A$2,A$2+A1985-1)</f>
        <v>43988</v>
      </c>
      <c r="D1985" s="362">
        <f t="shared" ca="1" si="61"/>
        <v>171552219.05750954</v>
      </c>
    </row>
    <row r="1986" spans="1:4">
      <c r="A1986" s="348">
        <f t="shared" si="62"/>
        <v>1985</v>
      </c>
      <c r="B1986" s="360">
        <f>DATE('Profit Calculation'!J$6,A$2,A$2+A1986-1)</f>
        <v>43989</v>
      </c>
      <c r="D1986" s="362">
        <f t="shared" ca="1" si="61"/>
        <v>171617920.59819093</v>
      </c>
    </row>
    <row r="1987" spans="1:4">
      <c r="A1987" s="348">
        <f t="shared" si="62"/>
        <v>1986</v>
      </c>
      <c r="B1987" s="360">
        <f>DATE('Profit Calculation'!J$6,A$2,A$2+A1987-1)</f>
        <v>43990</v>
      </c>
      <c r="D1987" s="362">
        <f t="shared" ca="1" si="61"/>
        <v>171683647.30142909</v>
      </c>
    </row>
    <row r="1988" spans="1:4">
      <c r="A1988" s="348">
        <f t="shared" si="62"/>
        <v>1987</v>
      </c>
      <c r="B1988" s="360">
        <f>DATE('Profit Calculation'!J$6,A$2,A$2+A1988-1)</f>
        <v>43991</v>
      </c>
      <c r="D1988" s="362">
        <f t="shared" ref="D1988:D2051" ca="1" si="63">IF(OR(LOOKUP(B1988,W$1:W$35,W$1:W$35) = B1988, LOOKUP(B1988,X$1:X$35,X$1:X$35) = B1988),LOOKUP(B1988,F:F,G:G),D1987*(1+((IF($Q$18&lt;6,$R$14,IF($Q$18&lt;11,$R$15,$R$16)))))^(1/365))</f>
        <v>171749399.17686081</v>
      </c>
    </row>
    <row r="1989" spans="1:4">
      <c r="A1989" s="348">
        <f t="shared" ref="A1989:A2052" si="64">A1988+1</f>
        <v>1988</v>
      </c>
      <c r="B1989" s="360">
        <f>DATE('Profit Calculation'!J$6,A$2,A$2+A1989-1)</f>
        <v>43992</v>
      </c>
      <c r="D1989" s="362">
        <f t="shared" ca="1" si="63"/>
        <v>171815176.23412663</v>
      </c>
    </row>
    <row r="1990" spans="1:4">
      <c r="A1990" s="348">
        <f t="shared" si="64"/>
        <v>1989</v>
      </c>
      <c r="B1990" s="360">
        <f>DATE('Profit Calculation'!J$6,A$2,A$2+A1990-1)</f>
        <v>43993</v>
      </c>
      <c r="D1990" s="362">
        <f t="shared" ca="1" si="63"/>
        <v>171880978.48287076</v>
      </c>
    </row>
    <row r="1991" spans="1:4">
      <c r="A1991" s="348">
        <f t="shared" si="64"/>
        <v>1990</v>
      </c>
      <c r="B1991" s="360">
        <f>DATE('Profit Calculation'!J$6,A$2,A$2+A1991-1)</f>
        <v>43994</v>
      </c>
      <c r="D1991" s="362">
        <f t="shared" ca="1" si="63"/>
        <v>171946805.93274108</v>
      </c>
    </row>
    <row r="1992" spans="1:4">
      <c r="A1992" s="348">
        <f t="shared" si="64"/>
        <v>1991</v>
      </c>
      <c r="B1992" s="360">
        <f>DATE('Profit Calculation'!J$6,A$2,A$2+A1992-1)</f>
        <v>43995</v>
      </c>
      <c r="D1992" s="362">
        <f t="shared" ca="1" si="63"/>
        <v>172012658.59338921</v>
      </c>
    </row>
    <row r="1993" spans="1:4">
      <c r="A1993" s="348">
        <f t="shared" si="64"/>
        <v>1992</v>
      </c>
      <c r="B1993" s="360">
        <f>DATE('Profit Calculation'!J$6,A$2,A$2+A1993-1)</f>
        <v>43996</v>
      </c>
      <c r="D1993" s="362">
        <f t="shared" ca="1" si="63"/>
        <v>172078536.47447044</v>
      </c>
    </row>
    <row r="1994" spans="1:4">
      <c r="A1994" s="348">
        <f t="shared" si="64"/>
        <v>1993</v>
      </c>
      <c r="B1994" s="360">
        <f>DATE('Profit Calculation'!J$6,A$2,A$2+A1994-1)</f>
        <v>43997</v>
      </c>
      <c r="D1994" s="362">
        <f t="shared" ca="1" si="63"/>
        <v>172144439.58564374</v>
      </c>
    </row>
    <row r="1995" spans="1:4">
      <c r="A1995" s="348">
        <f t="shared" si="64"/>
        <v>1994</v>
      </c>
      <c r="B1995" s="360">
        <f>DATE('Profit Calculation'!J$6,A$2,A$2+A1995-1)</f>
        <v>43998</v>
      </c>
      <c r="D1995" s="362">
        <f t="shared" ca="1" si="63"/>
        <v>172210367.93657181</v>
      </c>
    </row>
    <row r="1996" spans="1:4">
      <c r="A1996" s="348">
        <f t="shared" si="64"/>
        <v>1995</v>
      </c>
      <c r="B1996" s="360">
        <f>DATE('Profit Calculation'!J$6,A$2,A$2+A1996-1)</f>
        <v>43999</v>
      </c>
      <c r="D1996" s="362">
        <f t="shared" ca="1" si="63"/>
        <v>172276321.53692105</v>
      </c>
    </row>
    <row r="1997" spans="1:4">
      <c r="A1997" s="348">
        <f t="shared" si="64"/>
        <v>1996</v>
      </c>
      <c r="B1997" s="360">
        <f>DATE('Profit Calculation'!J$6,A$2,A$2+A1997-1)</f>
        <v>44000</v>
      </c>
      <c r="D1997" s="362">
        <f t="shared" ca="1" si="63"/>
        <v>172342300.39636156</v>
      </c>
    </row>
    <row r="1998" spans="1:4">
      <c r="A1998" s="348">
        <f t="shared" si="64"/>
        <v>1997</v>
      </c>
      <c r="B1998" s="360">
        <f>DATE('Profit Calculation'!J$6,A$2,A$2+A1998-1)</f>
        <v>44001</v>
      </c>
      <c r="D1998" s="362">
        <f t="shared" ca="1" si="63"/>
        <v>172408304.5245671</v>
      </c>
    </row>
    <row r="1999" spans="1:4">
      <c r="A1999" s="348">
        <f t="shared" si="64"/>
        <v>1998</v>
      </c>
      <c r="B1999" s="360">
        <f>DATE('Profit Calculation'!J$6,A$2,A$2+A1999-1)</f>
        <v>44002</v>
      </c>
      <c r="D1999" s="362">
        <f t="shared" ca="1" si="63"/>
        <v>172474333.9312152</v>
      </c>
    </row>
    <row r="2000" spans="1:4">
      <c r="A2000" s="348">
        <f t="shared" si="64"/>
        <v>1999</v>
      </c>
      <c r="B2000" s="360">
        <f>DATE('Profit Calculation'!J$6,A$2,A$2+A2000-1)</f>
        <v>44003</v>
      </c>
      <c r="D2000" s="362">
        <f t="shared" ca="1" si="63"/>
        <v>172540388.62598705</v>
      </c>
    </row>
    <row r="2001" spans="1:4">
      <c r="A2001" s="348">
        <f t="shared" si="64"/>
        <v>2000</v>
      </c>
      <c r="B2001" s="360">
        <f>DATE('Profit Calculation'!J$6,A$2,A$2+A2001-1)</f>
        <v>44004</v>
      </c>
      <c r="D2001" s="362">
        <f t="shared" ca="1" si="63"/>
        <v>172606468.61856759</v>
      </c>
    </row>
    <row r="2002" spans="1:4">
      <c r="A2002" s="348">
        <f t="shared" si="64"/>
        <v>2001</v>
      </c>
      <c r="B2002" s="360">
        <f>DATE('Profit Calculation'!J$6,A$2,A$2+A2002-1)</f>
        <v>44005</v>
      </c>
      <c r="D2002" s="362">
        <f t="shared" ca="1" si="63"/>
        <v>172672573.91864541</v>
      </c>
    </row>
    <row r="2003" spans="1:4">
      <c r="A2003" s="348">
        <f t="shared" si="64"/>
        <v>2002</v>
      </c>
      <c r="B2003" s="360">
        <f>DATE('Profit Calculation'!J$6,A$2,A$2+A2003-1)</f>
        <v>44006</v>
      </c>
      <c r="D2003" s="362">
        <f t="shared" ca="1" si="63"/>
        <v>172738704.5359129</v>
      </c>
    </row>
    <row r="2004" spans="1:4">
      <c r="A2004" s="348">
        <f t="shared" si="64"/>
        <v>2003</v>
      </c>
      <c r="B2004" s="360">
        <f>DATE('Profit Calculation'!J$6,A$2,A$2+A2004-1)</f>
        <v>44007</v>
      </c>
      <c r="D2004" s="362">
        <f t="shared" ca="1" si="63"/>
        <v>172804860.48006606</v>
      </c>
    </row>
    <row r="2005" spans="1:4">
      <c r="A2005" s="348">
        <f t="shared" si="64"/>
        <v>2004</v>
      </c>
      <c r="B2005" s="360">
        <f>DATE('Profit Calculation'!J$6,A$2,A$2+A2005-1)</f>
        <v>44008</v>
      </c>
      <c r="D2005" s="362">
        <f t="shared" ca="1" si="63"/>
        <v>172871041.76080465</v>
      </c>
    </row>
    <row r="2006" spans="1:4">
      <c r="A2006" s="348">
        <f t="shared" si="64"/>
        <v>2005</v>
      </c>
      <c r="B2006" s="360">
        <f>DATE('Profit Calculation'!J$6,A$2,A$2+A2006-1)</f>
        <v>44009</v>
      </c>
      <c r="D2006" s="362">
        <f t="shared" ca="1" si="63"/>
        <v>172937248.38783216</v>
      </c>
    </row>
    <row r="2007" spans="1:4">
      <c r="A2007" s="348">
        <f t="shared" si="64"/>
        <v>2006</v>
      </c>
      <c r="B2007" s="360">
        <f>DATE('Profit Calculation'!J$6,A$2,A$2+A2007-1)</f>
        <v>44010</v>
      </c>
      <c r="D2007" s="362">
        <f t="shared" ca="1" si="63"/>
        <v>173003480.37085581</v>
      </c>
    </row>
    <row r="2008" spans="1:4">
      <c r="A2008" s="348">
        <f t="shared" si="64"/>
        <v>2007</v>
      </c>
      <c r="B2008" s="360">
        <f>DATE('Profit Calculation'!J$6,A$2,A$2+A2008-1)</f>
        <v>44011</v>
      </c>
      <c r="D2008" s="362">
        <f t="shared" ca="1" si="63"/>
        <v>173069737.71958646</v>
      </c>
    </row>
    <row r="2009" spans="1:4">
      <c r="A2009" s="348">
        <f t="shared" si="64"/>
        <v>2008</v>
      </c>
      <c r="B2009" s="360">
        <f>DATE('Profit Calculation'!J$6,A$2,A$2+A2009-1)</f>
        <v>44012</v>
      </c>
      <c r="D2009" s="362">
        <f t="shared" ca="1" si="63"/>
        <v>173136020.44373876</v>
      </c>
    </row>
    <row r="2010" spans="1:4">
      <c r="A2010" s="348">
        <f t="shared" si="64"/>
        <v>2009</v>
      </c>
      <c r="B2010" s="360">
        <f>DATE('Profit Calculation'!J$6,A$2,A$2+A2010-1)</f>
        <v>44013</v>
      </c>
      <c r="D2010" s="362">
        <f t="shared" ca="1" si="63"/>
        <v>173202328.55303106</v>
      </c>
    </row>
    <row r="2011" spans="1:4">
      <c r="A2011" s="348">
        <f t="shared" si="64"/>
        <v>2010</v>
      </c>
      <c r="B2011" s="360">
        <f>DATE('Profit Calculation'!J$6,A$2,A$2+A2011-1)</f>
        <v>44014</v>
      </c>
      <c r="D2011" s="362">
        <f t="shared" ca="1" si="63"/>
        <v>173268662.05718541</v>
      </c>
    </row>
    <row r="2012" spans="1:4">
      <c r="A2012" s="348">
        <f t="shared" si="64"/>
        <v>2011</v>
      </c>
      <c r="B2012" s="360">
        <f>DATE('Profit Calculation'!J$6,A$2,A$2+A2012-1)</f>
        <v>44015</v>
      </c>
      <c r="D2012" s="362">
        <f t="shared" ca="1" si="63"/>
        <v>173335020.96592763</v>
      </c>
    </row>
    <row r="2013" spans="1:4">
      <c r="A2013" s="348">
        <f t="shared" si="64"/>
        <v>2012</v>
      </c>
      <c r="B2013" s="360">
        <f>DATE('Profit Calculation'!J$6,A$2,A$2+A2013-1)</f>
        <v>44016</v>
      </c>
      <c r="D2013" s="362">
        <f t="shared" ca="1" si="63"/>
        <v>173401405.28898722</v>
      </c>
    </row>
    <row r="2014" spans="1:4">
      <c r="A2014" s="348">
        <f t="shared" si="64"/>
        <v>2013</v>
      </c>
      <c r="B2014" s="360">
        <f>DATE('Profit Calculation'!J$6,A$2,A$2+A2014-1)</f>
        <v>44017</v>
      </c>
      <c r="D2014" s="362">
        <f t="shared" ca="1" si="63"/>
        <v>173467815.03609744</v>
      </c>
    </row>
    <row r="2015" spans="1:4">
      <c r="A2015" s="348">
        <f t="shared" si="64"/>
        <v>2014</v>
      </c>
      <c r="B2015" s="360">
        <f>DATE('Profit Calculation'!J$6,A$2,A$2+A2015-1)</f>
        <v>44018</v>
      </c>
      <c r="D2015" s="362">
        <f t="shared" ca="1" si="63"/>
        <v>173534250.21699527</v>
      </c>
    </row>
    <row r="2016" spans="1:4">
      <c r="A2016" s="348">
        <f t="shared" si="64"/>
        <v>2015</v>
      </c>
      <c r="B2016" s="360">
        <f>DATE('Profit Calculation'!J$6,A$2,A$2+A2016-1)</f>
        <v>44019</v>
      </c>
      <c r="D2016" s="362">
        <f t="shared" ca="1" si="63"/>
        <v>173600710.8414214</v>
      </c>
    </row>
    <row r="2017" spans="1:4">
      <c r="A2017" s="348">
        <f t="shared" si="64"/>
        <v>2016</v>
      </c>
      <c r="B2017" s="360">
        <f>DATE('Profit Calculation'!J$6,A$2,A$2+A2017-1)</f>
        <v>44020</v>
      </c>
      <c r="D2017" s="362">
        <f t="shared" ca="1" si="63"/>
        <v>173667196.91912025</v>
      </c>
    </row>
    <row r="2018" spans="1:4">
      <c r="A2018" s="348">
        <f t="shared" si="64"/>
        <v>2017</v>
      </c>
      <c r="B2018" s="360">
        <f>DATE('Profit Calculation'!J$6,A$2,A$2+A2018-1)</f>
        <v>44021</v>
      </c>
      <c r="D2018" s="362">
        <f t="shared" ca="1" si="63"/>
        <v>173733708.45984</v>
      </c>
    </row>
    <row r="2019" spans="1:4">
      <c r="A2019" s="348">
        <f t="shared" si="64"/>
        <v>2018</v>
      </c>
      <c r="B2019" s="360">
        <f>DATE('Profit Calculation'!J$6,A$2,A$2+A2019-1)</f>
        <v>44022</v>
      </c>
      <c r="D2019" s="362">
        <f t="shared" ca="1" si="63"/>
        <v>173800245.47333255</v>
      </c>
    </row>
    <row r="2020" spans="1:4">
      <c r="A2020" s="348">
        <f t="shared" si="64"/>
        <v>2019</v>
      </c>
      <c r="B2020" s="360">
        <f>DATE('Profit Calculation'!J$6,A$2,A$2+A2020-1)</f>
        <v>44023</v>
      </c>
      <c r="D2020" s="362">
        <f t="shared" ca="1" si="63"/>
        <v>173866807.96935353</v>
      </c>
    </row>
    <row r="2021" spans="1:4">
      <c r="A2021" s="348">
        <f t="shared" si="64"/>
        <v>2020</v>
      </c>
      <c r="B2021" s="360">
        <f>DATE('Profit Calculation'!J$6,A$2,A$2+A2021-1)</f>
        <v>44024</v>
      </c>
      <c r="D2021" s="362">
        <f t="shared" ca="1" si="63"/>
        <v>173933395.95766228</v>
      </c>
    </row>
    <row r="2022" spans="1:4">
      <c r="A2022" s="348">
        <f t="shared" si="64"/>
        <v>2021</v>
      </c>
      <c r="B2022" s="360">
        <f>DATE('Profit Calculation'!J$6,A$2,A$2+A2022-1)</f>
        <v>44025</v>
      </c>
      <c r="D2022" s="362">
        <f t="shared" ca="1" si="63"/>
        <v>174000009.44802195</v>
      </c>
    </row>
    <row r="2023" spans="1:4">
      <c r="A2023" s="348">
        <f t="shared" si="64"/>
        <v>2022</v>
      </c>
      <c r="B2023" s="360">
        <f>DATE('Profit Calculation'!J$6,A$2,A$2+A2023-1)</f>
        <v>44026</v>
      </c>
      <c r="D2023" s="362">
        <f t="shared" ca="1" si="63"/>
        <v>174066648.45019937</v>
      </c>
    </row>
    <row r="2024" spans="1:4">
      <c r="A2024" s="348">
        <f t="shared" si="64"/>
        <v>2023</v>
      </c>
      <c r="B2024" s="360">
        <f>DATE('Profit Calculation'!J$6,A$2,A$2+A2024-1)</f>
        <v>44027</v>
      </c>
      <c r="D2024" s="362">
        <f t="shared" ca="1" si="63"/>
        <v>174133312.97396511</v>
      </c>
    </row>
    <row r="2025" spans="1:4">
      <c r="A2025" s="348">
        <f t="shared" si="64"/>
        <v>2024</v>
      </c>
      <c r="B2025" s="360">
        <f>DATE('Profit Calculation'!J$6,A$2,A$2+A2025-1)</f>
        <v>44028</v>
      </c>
      <c r="D2025" s="362">
        <f t="shared" ca="1" si="63"/>
        <v>174200003.0290935</v>
      </c>
    </row>
    <row r="2026" spans="1:4">
      <c r="A2026" s="348">
        <f t="shared" si="64"/>
        <v>2025</v>
      </c>
      <c r="B2026" s="360">
        <f>DATE('Profit Calculation'!J$6,A$2,A$2+A2026-1)</f>
        <v>44029</v>
      </c>
      <c r="D2026" s="362">
        <f t="shared" ca="1" si="63"/>
        <v>174266718.62536263</v>
      </c>
    </row>
    <row r="2027" spans="1:4">
      <c r="A2027" s="348">
        <f t="shared" si="64"/>
        <v>2026</v>
      </c>
      <c r="B2027" s="360">
        <f>DATE('Profit Calculation'!J$6,A$2,A$2+A2027-1)</f>
        <v>44030</v>
      </c>
      <c r="D2027" s="362">
        <f t="shared" ca="1" si="63"/>
        <v>174333459.77255434</v>
      </c>
    </row>
    <row r="2028" spans="1:4">
      <c r="A2028" s="348">
        <f t="shared" si="64"/>
        <v>2027</v>
      </c>
      <c r="B2028" s="360">
        <f>DATE('Profit Calculation'!J$6,A$2,A$2+A2028-1)</f>
        <v>44031</v>
      </c>
      <c r="D2028" s="362">
        <f t="shared" ca="1" si="63"/>
        <v>174400226.48045415</v>
      </c>
    </row>
    <row r="2029" spans="1:4">
      <c r="A2029" s="348">
        <f t="shared" si="64"/>
        <v>2028</v>
      </c>
      <c r="B2029" s="360">
        <f>DATE('Profit Calculation'!J$6,A$2,A$2+A2029-1)</f>
        <v>44032</v>
      </c>
      <c r="D2029" s="362">
        <f t="shared" ca="1" si="63"/>
        <v>174467018.75885138</v>
      </c>
    </row>
    <row r="2030" spans="1:4">
      <c r="A2030" s="348">
        <f t="shared" si="64"/>
        <v>2029</v>
      </c>
      <c r="B2030" s="360">
        <f>DATE('Profit Calculation'!J$6,A$2,A$2+A2030-1)</f>
        <v>44033</v>
      </c>
      <c r="D2030" s="362">
        <f t="shared" ca="1" si="63"/>
        <v>174533836.61753908</v>
      </c>
    </row>
    <row r="2031" spans="1:4">
      <c r="A2031" s="348">
        <f t="shared" si="64"/>
        <v>2030</v>
      </c>
      <c r="B2031" s="360">
        <f>DATE('Profit Calculation'!J$6,A$2,A$2+A2031-1)</f>
        <v>44034</v>
      </c>
      <c r="D2031" s="362">
        <f t="shared" ca="1" si="63"/>
        <v>174600680.06631407</v>
      </c>
    </row>
    <row r="2032" spans="1:4">
      <c r="A2032" s="348">
        <f t="shared" si="64"/>
        <v>2031</v>
      </c>
      <c r="B2032" s="360">
        <f>DATE('Profit Calculation'!J$6,A$2,A$2+A2032-1)</f>
        <v>44035</v>
      </c>
      <c r="D2032" s="362">
        <f t="shared" ca="1" si="63"/>
        <v>174667549.11497691</v>
      </c>
    </row>
    <row r="2033" spans="1:4">
      <c r="A2033" s="348">
        <f t="shared" si="64"/>
        <v>2032</v>
      </c>
      <c r="B2033" s="360">
        <f>DATE('Profit Calculation'!J$6,A$2,A$2+A2033-1)</f>
        <v>44036</v>
      </c>
      <c r="D2033" s="362">
        <f t="shared" ca="1" si="63"/>
        <v>174734443.77333194</v>
      </c>
    </row>
    <row r="2034" spans="1:4">
      <c r="A2034" s="348">
        <f t="shared" si="64"/>
        <v>2033</v>
      </c>
      <c r="B2034" s="360">
        <f>DATE('Profit Calculation'!J$6,A$2,A$2+A2034-1)</f>
        <v>44037</v>
      </c>
      <c r="D2034" s="362">
        <f t="shared" ca="1" si="63"/>
        <v>174801364.05118722</v>
      </c>
    </row>
    <row r="2035" spans="1:4">
      <c r="A2035" s="348">
        <f t="shared" si="64"/>
        <v>2034</v>
      </c>
      <c r="B2035" s="360">
        <f>DATE('Profit Calculation'!J$6,A$2,A$2+A2035-1)</f>
        <v>44038</v>
      </c>
      <c r="D2035" s="362">
        <f t="shared" ca="1" si="63"/>
        <v>174868309.95835456</v>
      </c>
    </row>
    <row r="2036" spans="1:4">
      <c r="A2036" s="348">
        <f t="shared" si="64"/>
        <v>2035</v>
      </c>
      <c r="B2036" s="360">
        <f>DATE('Profit Calculation'!J$6,A$2,A$2+A2036-1)</f>
        <v>44039</v>
      </c>
      <c r="D2036" s="362">
        <f t="shared" ca="1" si="63"/>
        <v>174935281.50464955</v>
      </c>
    </row>
    <row r="2037" spans="1:4">
      <c r="A2037" s="348">
        <f t="shared" si="64"/>
        <v>2036</v>
      </c>
      <c r="B2037" s="360">
        <f>DATE('Profit Calculation'!J$6,A$2,A$2+A2037-1)</f>
        <v>44040</v>
      </c>
      <c r="D2037" s="362">
        <f t="shared" ca="1" si="63"/>
        <v>175002278.69989154</v>
      </c>
    </row>
    <row r="2038" spans="1:4">
      <c r="A2038" s="348">
        <f t="shared" si="64"/>
        <v>2037</v>
      </c>
      <c r="B2038" s="360">
        <f>DATE('Profit Calculation'!J$6,A$2,A$2+A2038-1)</f>
        <v>44041</v>
      </c>
      <c r="D2038" s="362">
        <f t="shared" ca="1" si="63"/>
        <v>175069301.55390361</v>
      </c>
    </row>
    <row r="2039" spans="1:4">
      <c r="A2039" s="348">
        <f t="shared" si="64"/>
        <v>2038</v>
      </c>
      <c r="B2039" s="360">
        <f>DATE('Profit Calculation'!J$6,A$2,A$2+A2039-1)</f>
        <v>44042</v>
      </c>
      <c r="D2039" s="362">
        <f t="shared" ca="1" si="63"/>
        <v>175136350.07651263</v>
      </c>
    </row>
    <row r="2040" spans="1:4">
      <c r="A2040" s="348">
        <f t="shared" si="64"/>
        <v>2039</v>
      </c>
      <c r="B2040" s="360">
        <f>DATE('Profit Calculation'!J$6,A$2,A$2+A2040-1)</f>
        <v>44043</v>
      </c>
      <c r="D2040" s="362">
        <f t="shared" ca="1" si="63"/>
        <v>175203424.27754927</v>
      </c>
    </row>
    <row r="2041" spans="1:4">
      <c r="A2041" s="348">
        <f t="shared" si="64"/>
        <v>2040</v>
      </c>
      <c r="B2041" s="360">
        <f>DATE('Profit Calculation'!J$6,A$2,A$2+A2041-1)</f>
        <v>44044</v>
      </c>
      <c r="D2041" s="362">
        <f t="shared" ca="1" si="63"/>
        <v>175270524.16684788</v>
      </c>
    </row>
    <row r="2042" spans="1:4">
      <c r="A2042" s="348">
        <f t="shared" si="64"/>
        <v>2041</v>
      </c>
      <c r="B2042" s="360">
        <f>DATE('Profit Calculation'!J$6,A$2,A$2+A2042-1)</f>
        <v>44045</v>
      </c>
      <c r="D2042" s="362">
        <f t="shared" ca="1" si="63"/>
        <v>175337649.75424665</v>
      </c>
    </row>
    <row r="2043" spans="1:4">
      <c r="A2043" s="348">
        <f t="shared" si="64"/>
        <v>2042</v>
      </c>
      <c r="B2043" s="360">
        <f>DATE('Profit Calculation'!J$6,A$2,A$2+A2043-1)</f>
        <v>44046</v>
      </c>
      <c r="D2043" s="362">
        <f t="shared" ca="1" si="63"/>
        <v>175404801.04958752</v>
      </c>
    </row>
    <row r="2044" spans="1:4">
      <c r="A2044" s="348">
        <f t="shared" si="64"/>
        <v>2043</v>
      </c>
      <c r="B2044" s="360">
        <f>DATE('Profit Calculation'!J$6,A$2,A$2+A2044-1)</f>
        <v>44047</v>
      </c>
      <c r="D2044" s="362">
        <f t="shared" ca="1" si="63"/>
        <v>175471978.06271616</v>
      </c>
    </row>
    <row r="2045" spans="1:4">
      <c r="A2045" s="348">
        <f t="shared" si="64"/>
        <v>2044</v>
      </c>
      <c r="B2045" s="360">
        <f>DATE('Profit Calculation'!J$6,A$2,A$2+A2045-1)</f>
        <v>44048</v>
      </c>
      <c r="D2045" s="362">
        <f t="shared" ca="1" si="63"/>
        <v>175539180.80348203</v>
      </c>
    </row>
    <row r="2046" spans="1:4">
      <c r="A2046" s="348">
        <f t="shared" si="64"/>
        <v>2045</v>
      </c>
      <c r="B2046" s="360">
        <f>DATE('Profit Calculation'!J$6,A$2,A$2+A2046-1)</f>
        <v>44049</v>
      </c>
      <c r="D2046" s="362">
        <f t="shared" ca="1" si="63"/>
        <v>175606409.2817384</v>
      </c>
    </row>
    <row r="2047" spans="1:4">
      <c r="A2047" s="348">
        <f t="shared" si="64"/>
        <v>2046</v>
      </c>
      <c r="B2047" s="360">
        <f>DATE('Profit Calculation'!J$6,A$2,A$2+A2047-1)</f>
        <v>44050</v>
      </c>
      <c r="D2047" s="362">
        <f t="shared" ca="1" si="63"/>
        <v>175673663.50734228</v>
      </c>
    </row>
    <row r="2048" spans="1:4">
      <c r="A2048" s="348">
        <f t="shared" si="64"/>
        <v>2047</v>
      </c>
      <c r="B2048" s="360">
        <f>DATE('Profit Calculation'!J$6,A$2,A$2+A2048-1)</f>
        <v>44051</v>
      </c>
      <c r="D2048" s="362">
        <f t="shared" ca="1" si="63"/>
        <v>175740943.49015445</v>
      </c>
    </row>
    <row r="2049" spans="1:4">
      <c r="A2049" s="348">
        <f t="shared" si="64"/>
        <v>2048</v>
      </c>
      <c r="B2049" s="360">
        <f>DATE('Profit Calculation'!J$6,A$2,A$2+A2049-1)</f>
        <v>44052</v>
      </c>
      <c r="D2049" s="362">
        <f t="shared" ca="1" si="63"/>
        <v>175808249.24003947</v>
      </c>
    </row>
    <row r="2050" spans="1:4">
      <c r="A2050" s="348">
        <f t="shared" si="64"/>
        <v>2049</v>
      </c>
      <c r="B2050" s="360">
        <f>DATE('Profit Calculation'!J$6,A$2,A$2+A2050-1)</f>
        <v>44053</v>
      </c>
      <c r="D2050" s="362">
        <f t="shared" ca="1" si="63"/>
        <v>175875580.7668657</v>
      </c>
    </row>
    <row r="2051" spans="1:4">
      <c r="A2051" s="348">
        <f t="shared" si="64"/>
        <v>2050</v>
      </c>
      <c r="B2051" s="360">
        <f>DATE('Profit Calculation'!J$6,A$2,A$2+A2051-1)</f>
        <v>44054</v>
      </c>
      <c r="D2051" s="362">
        <f t="shared" ca="1" si="63"/>
        <v>175942938.08050525</v>
      </c>
    </row>
    <row r="2052" spans="1:4">
      <c r="A2052" s="348">
        <f t="shared" si="64"/>
        <v>2051</v>
      </c>
      <c r="B2052" s="360">
        <f>DATE('Profit Calculation'!J$6,A$2,A$2+A2052-1)</f>
        <v>44055</v>
      </c>
      <c r="D2052" s="362">
        <f t="shared" ref="D2052:D2115" ca="1" si="65">IF(OR(LOOKUP(B2052,W$1:W$35,W$1:W$35) = B2052, LOOKUP(B2052,X$1:X$35,X$1:X$35) = B2052),LOOKUP(B2052,F:F,G:G),D2051*(1+((IF($Q$18&lt;6,$R$14,IF($Q$18&lt;11,$R$15,$R$16)))))^(1/365))</f>
        <v>176010321.19083405</v>
      </c>
    </row>
    <row r="2053" spans="1:4">
      <c r="A2053" s="348">
        <f t="shared" ref="A2053:A2116" si="66">A2052+1</f>
        <v>2052</v>
      </c>
      <c r="B2053" s="360">
        <f>DATE('Profit Calculation'!J$6,A$2,A$2+A2053-1)</f>
        <v>44056</v>
      </c>
      <c r="D2053" s="362">
        <f t="shared" ca="1" si="65"/>
        <v>176077730.10773176</v>
      </c>
    </row>
    <row r="2054" spans="1:4">
      <c r="A2054" s="348">
        <f t="shared" si="66"/>
        <v>2053</v>
      </c>
      <c r="B2054" s="360">
        <f>DATE('Profit Calculation'!J$6,A$2,A$2+A2054-1)</f>
        <v>44057</v>
      </c>
      <c r="D2054" s="362">
        <f t="shared" ca="1" si="65"/>
        <v>176145164.84108186</v>
      </c>
    </row>
    <row r="2055" spans="1:4">
      <c r="A2055" s="348">
        <f t="shared" si="66"/>
        <v>2054</v>
      </c>
      <c r="B2055" s="360">
        <f>DATE('Profit Calculation'!J$6,A$2,A$2+A2055-1)</f>
        <v>44058</v>
      </c>
      <c r="D2055" s="362">
        <f t="shared" ca="1" si="65"/>
        <v>176212625.40077162</v>
      </c>
    </row>
    <row r="2056" spans="1:4">
      <c r="A2056" s="348">
        <f t="shared" si="66"/>
        <v>2055</v>
      </c>
      <c r="B2056" s="360">
        <f>DATE('Profit Calculation'!J$6,A$2,A$2+A2056-1)</f>
        <v>44059</v>
      </c>
      <c r="D2056" s="362">
        <f t="shared" ca="1" si="65"/>
        <v>176280111.79669207</v>
      </c>
    </row>
    <row r="2057" spans="1:4">
      <c r="A2057" s="348">
        <f t="shared" si="66"/>
        <v>2056</v>
      </c>
      <c r="B2057" s="360">
        <f>DATE('Profit Calculation'!J$6,A$2,A$2+A2057-1)</f>
        <v>44060</v>
      </c>
      <c r="D2057" s="362">
        <f t="shared" ca="1" si="65"/>
        <v>176347624.03873804</v>
      </c>
    </row>
    <row r="2058" spans="1:4">
      <c r="A2058" s="348">
        <f t="shared" si="66"/>
        <v>2057</v>
      </c>
      <c r="B2058" s="360">
        <f>DATE('Profit Calculation'!J$6,A$2,A$2+A2058-1)</f>
        <v>44061</v>
      </c>
      <c r="D2058" s="362">
        <f t="shared" ca="1" si="65"/>
        <v>176415162.13680816</v>
      </c>
    </row>
    <row r="2059" spans="1:4">
      <c r="A2059" s="348">
        <f t="shared" si="66"/>
        <v>2058</v>
      </c>
      <c r="B2059" s="360">
        <f>DATE('Profit Calculation'!J$6,A$2,A$2+A2059-1)</f>
        <v>44062</v>
      </c>
      <c r="D2059" s="362">
        <f t="shared" ca="1" si="65"/>
        <v>176482726.10080481</v>
      </c>
    </row>
    <row r="2060" spans="1:4">
      <c r="A2060" s="348">
        <f t="shared" si="66"/>
        <v>2059</v>
      </c>
      <c r="B2060" s="360">
        <f>DATE('Profit Calculation'!J$6,A$2,A$2+A2060-1)</f>
        <v>44063</v>
      </c>
      <c r="D2060" s="362">
        <f t="shared" ca="1" si="65"/>
        <v>176550315.94063422</v>
      </c>
    </row>
    <row r="2061" spans="1:4">
      <c r="A2061" s="348">
        <f t="shared" si="66"/>
        <v>2060</v>
      </c>
      <c r="B2061" s="360">
        <f>DATE('Profit Calculation'!J$6,A$2,A$2+A2061-1)</f>
        <v>44064</v>
      </c>
      <c r="D2061" s="362">
        <f t="shared" ca="1" si="65"/>
        <v>176617931.66620639</v>
      </c>
    </row>
    <row r="2062" spans="1:4">
      <c r="A2062" s="348">
        <f t="shared" si="66"/>
        <v>2061</v>
      </c>
      <c r="B2062" s="360">
        <f>DATE('Profit Calculation'!J$6,A$2,A$2+A2062-1)</f>
        <v>44065</v>
      </c>
      <c r="D2062" s="362">
        <f t="shared" ca="1" si="65"/>
        <v>176685573.28743508</v>
      </c>
    </row>
    <row r="2063" spans="1:4">
      <c r="A2063" s="348">
        <f t="shared" si="66"/>
        <v>2062</v>
      </c>
      <c r="B2063" s="360">
        <f>DATE('Profit Calculation'!J$6,A$2,A$2+A2063-1)</f>
        <v>44066</v>
      </c>
      <c r="D2063" s="362">
        <f t="shared" ca="1" si="65"/>
        <v>176753240.81423792</v>
      </c>
    </row>
    <row r="2064" spans="1:4">
      <c r="A2064" s="348">
        <f t="shared" si="66"/>
        <v>2063</v>
      </c>
      <c r="B2064" s="360">
        <f>DATE('Profit Calculation'!J$6,A$2,A$2+A2064-1)</f>
        <v>44067</v>
      </c>
      <c r="D2064" s="362">
        <f t="shared" ca="1" si="65"/>
        <v>176820934.25653628</v>
      </c>
    </row>
    <row r="2065" spans="1:4">
      <c r="A2065" s="348">
        <f t="shared" si="66"/>
        <v>2064</v>
      </c>
      <c r="B2065" s="360">
        <f>DATE('Profit Calculation'!J$6,A$2,A$2+A2065-1)</f>
        <v>44068</v>
      </c>
      <c r="D2065" s="362">
        <f t="shared" ca="1" si="65"/>
        <v>176888653.62425536</v>
      </c>
    </row>
    <row r="2066" spans="1:4">
      <c r="A2066" s="348">
        <f t="shared" si="66"/>
        <v>2065</v>
      </c>
      <c r="B2066" s="360">
        <f>DATE('Profit Calculation'!J$6,A$2,A$2+A2066-1)</f>
        <v>44069</v>
      </c>
      <c r="D2066" s="362">
        <f t="shared" ca="1" si="65"/>
        <v>176956398.92732415</v>
      </c>
    </row>
    <row r="2067" spans="1:4">
      <c r="A2067" s="348">
        <f t="shared" si="66"/>
        <v>2066</v>
      </c>
      <c r="B2067" s="360">
        <f>DATE('Profit Calculation'!J$6,A$2,A$2+A2067-1)</f>
        <v>44070</v>
      </c>
      <c r="D2067" s="362">
        <f t="shared" ca="1" si="65"/>
        <v>177024170.17567542</v>
      </c>
    </row>
    <row r="2068" spans="1:4">
      <c r="A2068" s="348">
        <f t="shared" si="66"/>
        <v>2067</v>
      </c>
      <c r="B2068" s="360">
        <f>DATE('Profit Calculation'!J$6,A$2,A$2+A2068-1)</f>
        <v>44071</v>
      </c>
      <c r="D2068" s="362">
        <f t="shared" ca="1" si="65"/>
        <v>177091967.37924579</v>
      </c>
    </row>
    <row r="2069" spans="1:4">
      <c r="A2069" s="348">
        <f t="shared" si="66"/>
        <v>2068</v>
      </c>
      <c r="B2069" s="360">
        <f>DATE('Profit Calculation'!J$6,A$2,A$2+A2069-1)</f>
        <v>44072</v>
      </c>
      <c r="D2069" s="362">
        <f t="shared" ca="1" si="65"/>
        <v>177159790.54797563</v>
      </c>
    </row>
    <row r="2070" spans="1:4">
      <c r="A2070" s="348">
        <f t="shared" si="66"/>
        <v>2069</v>
      </c>
      <c r="B2070" s="360">
        <f>DATE('Profit Calculation'!J$6,A$2,A$2+A2070-1)</f>
        <v>44073</v>
      </c>
      <c r="D2070" s="362">
        <f t="shared" ca="1" si="65"/>
        <v>177227639.69180918</v>
      </c>
    </row>
    <row r="2071" spans="1:4">
      <c r="A2071" s="348">
        <f t="shared" si="66"/>
        <v>2070</v>
      </c>
      <c r="B2071" s="360">
        <f>DATE('Profit Calculation'!J$6,A$2,A$2+A2071-1)</f>
        <v>44074</v>
      </c>
      <c r="D2071" s="362">
        <f t="shared" ca="1" si="65"/>
        <v>177295514.82069445</v>
      </c>
    </row>
    <row r="2072" spans="1:4">
      <c r="A2072" s="348">
        <f t="shared" si="66"/>
        <v>2071</v>
      </c>
      <c r="B2072" s="360">
        <f>DATE('Profit Calculation'!J$6,A$2,A$2+A2072-1)</f>
        <v>44075</v>
      </c>
      <c r="D2072" s="362">
        <f t="shared" ca="1" si="65"/>
        <v>177363415.94458324</v>
      </c>
    </row>
    <row r="2073" spans="1:4">
      <c r="A2073" s="348">
        <f t="shared" si="66"/>
        <v>2072</v>
      </c>
      <c r="B2073" s="360">
        <f>DATE('Profit Calculation'!J$6,A$2,A$2+A2073-1)</f>
        <v>44076</v>
      </c>
      <c r="D2073" s="362">
        <f t="shared" ca="1" si="65"/>
        <v>177431343.07343122</v>
      </c>
    </row>
    <row r="2074" spans="1:4">
      <c r="A2074" s="348">
        <f t="shared" si="66"/>
        <v>2073</v>
      </c>
      <c r="B2074" s="360">
        <f>DATE('Profit Calculation'!J$6,A$2,A$2+A2074-1)</f>
        <v>44077</v>
      </c>
      <c r="D2074" s="362">
        <f t="shared" ca="1" si="65"/>
        <v>177499296.21719784</v>
      </c>
    </row>
    <row r="2075" spans="1:4">
      <c r="A2075" s="348">
        <f t="shared" si="66"/>
        <v>2074</v>
      </c>
      <c r="B2075" s="360">
        <f>DATE('Profit Calculation'!J$6,A$2,A$2+A2075-1)</f>
        <v>44078</v>
      </c>
      <c r="D2075" s="362">
        <f t="shared" ca="1" si="65"/>
        <v>177567275.38584635</v>
      </c>
    </row>
    <row r="2076" spans="1:4">
      <c r="A2076" s="348">
        <f t="shared" si="66"/>
        <v>2075</v>
      </c>
      <c r="B2076" s="360">
        <f>DATE('Profit Calculation'!J$6,A$2,A$2+A2076-1)</f>
        <v>44079</v>
      </c>
      <c r="D2076" s="362">
        <f t="shared" ca="1" si="65"/>
        <v>177635280.58934382</v>
      </c>
    </row>
    <row r="2077" spans="1:4">
      <c r="A2077" s="348">
        <f t="shared" si="66"/>
        <v>2076</v>
      </c>
      <c r="B2077" s="360">
        <f>DATE('Profit Calculation'!J$6,A$2,A$2+A2077-1)</f>
        <v>44080</v>
      </c>
      <c r="D2077" s="362">
        <f t="shared" ca="1" si="65"/>
        <v>177703311.83766115</v>
      </c>
    </row>
    <row r="2078" spans="1:4">
      <c r="A2078" s="348">
        <f t="shared" si="66"/>
        <v>2077</v>
      </c>
      <c r="B2078" s="360">
        <f>DATE('Profit Calculation'!J$6,A$2,A$2+A2078-1)</f>
        <v>44081</v>
      </c>
      <c r="D2078" s="362">
        <f t="shared" ca="1" si="65"/>
        <v>177771369.14077309</v>
      </c>
    </row>
    <row r="2079" spans="1:4">
      <c r="A2079" s="348">
        <f t="shared" si="66"/>
        <v>2078</v>
      </c>
      <c r="B2079" s="360">
        <f>DATE('Profit Calculation'!J$6,A$2,A$2+A2079-1)</f>
        <v>44082</v>
      </c>
      <c r="D2079" s="362">
        <f t="shared" ca="1" si="65"/>
        <v>177839452.50865814</v>
      </c>
    </row>
    <row r="2080" spans="1:4">
      <c r="A2080" s="348">
        <f t="shared" si="66"/>
        <v>2079</v>
      </c>
      <c r="B2080" s="360">
        <f>DATE('Profit Calculation'!J$6,A$2,A$2+A2080-1)</f>
        <v>44083</v>
      </c>
      <c r="D2080" s="362">
        <f t="shared" ca="1" si="65"/>
        <v>177907561.95129868</v>
      </c>
    </row>
    <row r="2081" spans="1:4">
      <c r="A2081" s="348">
        <f t="shared" si="66"/>
        <v>2080</v>
      </c>
      <c r="B2081" s="360">
        <f>DATE('Profit Calculation'!J$6,A$2,A$2+A2081-1)</f>
        <v>44084</v>
      </c>
      <c r="D2081" s="362">
        <f t="shared" ca="1" si="65"/>
        <v>177975697.47868091</v>
      </c>
    </row>
    <row r="2082" spans="1:4">
      <c r="A2082" s="348">
        <f t="shared" si="66"/>
        <v>2081</v>
      </c>
      <c r="B2082" s="360">
        <f>DATE('Profit Calculation'!J$6,A$2,A$2+A2082-1)</f>
        <v>44085</v>
      </c>
      <c r="D2082" s="362">
        <f t="shared" ca="1" si="65"/>
        <v>178043859.10079479</v>
      </c>
    </row>
    <row r="2083" spans="1:4">
      <c r="A2083" s="348">
        <f t="shared" si="66"/>
        <v>2082</v>
      </c>
      <c r="B2083" s="360">
        <f>DATE('Profit Calculation'!J$6,A$2,A$2+A2083-1)</f>
        <v>44086</v>
      </c>
      <c r="D2083" s="362">
        <f t="shared" ca="1" si="65"/>
        <v>178112046.82763419</v>
      </c>
    </row>
    <row r="2084" spans="1:4">
      <c r="A2084" s="348">
        <f t="shared" si="66"/>
        <v>2083</v>
      </c>
      <c r="B2084" s="360">
        <f>DATE('Profit Calculation'!J$6,A$2,A$2+A2084-1)</f>
        <v>44087</v>
      </c>
      <c r="D2084" s="362">
        <f t="shared" ca="1" si="65"/>
        <v>178180260.66919672</v>
      </c>
    </row>
    <row r="2085" spans="1:4">
      <c r="A2085" s="348">
        <f t="shared" si="66"/>
        <v>2084</v>
      </c>
      <c r="B2085" s="360">
        <f>DATE('Profit Calculation'!J$6,A$2,A$2+A2085-1)</f>
        <v>44088</v>
      </c>
      <c r="D2085" s="362">
        <f t="shared" ca="1" si="65"/>
        <v>178248500.63548392</v>
      </c>
    </row>
    <row r="2086" spans="1:4">
      <c r="A2086" s="348">
        <f t="shared" si="66"/>
        <v>2085</v>
      </c>
      <c r="B2086" s="360">
        <f>DATE('Profit Calculation'!J$6,A$2,A$2+A2086-1)</f>
        <v>44089</v>
      </c>
      <c r="D2086" s="362">
        <f t="shared" ca="1" si="65"/>
        <v>178316766.7365011</v>
      </c>
    </row>
    <row r="2087" spans="1:4">
      <c r="A2087" s="348">
        <f t="shared" si="66"/>
        <v>2086</v>
      </c>
      <c r="B2087" s="360">
        <f>DATE('Profit Calculation'!J$6,A$2,A$2+A2087-1)</f>
        <v>44090</v>
      </c>
      <c r="D2087" s="362">
        <f t="shared" ca="1" si="65"/>
        <v>178385058.9822574</v>
      </c>
    </row>
    <row r="2088" spans="1:4">
      <c r="A2088" s="348">
        <f t="shared" si="66"/>
        <v>2087</v>
      </c>
      <c r="B2088" s="360">
        <f>DATE('Profit Calculation'!J$6,A$2,A$2+A2088-1)</f>
        <v>44091</v>
      </c>
      <c r="D2088" s="362">
        <f t="shared" ca="1" si="65"/>
        <v>178453377.3827658</v>
      </c>
    </row>
    <row r="2089" spans="1:4">
      <c r="A2089" s="348">
        <f t="shared" si="66"/>
        <v>2088</v>
      </c>
      <c r="B2089" s="360">
        <f>DATE('Profit Calculation'!J$6,A$2,A$2+A2089-1)</f>
        <v>44092</v>
      </c>
      <c r="D2089" s="362">
        <f t="shared" ca="1" si="65"/>
        <v>178521721.94804314</v>
      </c>
    </row>
    <row r="2090" spans="1:4">
      <c r="A2090" s="348">
        <f t="shared" si="66"/>
        <v>2089</v>
      </c>
      <c r="B2090" s="360">
        <f>DATE('Profit Calculation'!J$6,A$2,A$2+A2090-1)</f>
        <v>44093</v>
      </c>
      <c r="D2090" s="362">
        <f t="shared" ca="1" si="65"/>
        <v>178590092.68811005</v>
      </c>
    </row>
    <row r="2091" spans="1:4">
      <c r="A2091" s="348">
        <f t="shared" si="66"/>
        <v>2090</v>
      </c>
      <c r="B2091" s="360">
        <f>DATE('Profit Calculation'!J$6,A$2,A$2+A2091-1)</f>
        <v>44094</v>
      </c>
      <c r="D2091" s="362">
        <f t="shared" ca="1" si="65"/>
        <v>178658489.61299103</v>
      </c>
    </row>
    <row r="2092" spans="1:4">
      <c r="A2092" s="348">
        <f t="shared" si="66"/>
        <v>2091</v>
      </c>
      <c r="B2092" s="360">
        <f>DATE('Profit Calculation'!J$6,A$2,A$2+A2092-1)</f>
        <v>44095</v>
      </c>
      <c r="D2092" s="362">
        <f t="shared" ca="1" si="65"/>
        <v>178726912.73271441</v>
      </c>
    </row>
    <row r="2093" spans="1:4">
      <c r="A2093" s="348">
        <f t="shared" si="66"/>
        <v>2092</v>
      </c>
      <c r="B2093" s="360">
        <f>DATE('Profit Calculation'!J$6,A$2,A$2+A2093-1)</f>
        <v>44096</v>
      </c>
      <c r="D2093" s="362">
        <f t="shared" ca="1" si="65"/>
        <v>178795362.0573124</v>
      </c>
    </row>
    <row r="2094" spans="1:4">
      <c r="A2094" s="348">
        <f t="shared" si="66"/>
        <v>2093</v>
      </c>
      <c r="B2094" s="360">
        <f>DATE('Profit Calculation'!J$6,A$2,A$2+A2094-1)</f>
        <v>44097</v>
      </c>
      <c r="D2094" s="362">
        <f t="shared" ca="1" si="65"/>
        <v>178863837.59682095</v>
      </c>
    </row>
    <row r="2095" spans="1:4">
      <c r="A2095" s="348">
        <f t="shared" si="66"/>
        <v>2094</v>
      </c>
      <c r="B2095" s="360">
        <f>DATE('Profit Calculation'!J$6,A$2,A$2+A2095-1)</f>
        <v>44098</v>
      </c>
      <c r="D2095" s="362">
        <f t="shared" ca="1" si="65"/>
        <v>178932339.36127996</v>
      </c>
    </row>
    <row r="2096" spans="1:4">
      <c r="A2096" s="348">
        <f t="shared" si="66"/>
        <v>2095</v>
      </c>
      <c r="B2096" s="360">
        <f>DATE('Profit Calculation'!J$6,A$2,A$2+A2096-1)</f>
        <v>44099</v>
      </c>
      <c r="D2096" s="362">
        <f t="shared" ca="1" si="65"/>
        <v>179000867.36073315</v>
      </c>
    </row>
    <row r="2097" spans="1:4">
      <c r="A2097" s="348">
        <f t="shared" si="66"/>
        <v>2096</v>
      </c>
      <c r="B2097" s="360">
        <f>DATE('Profit Calculation'!J$6,A$2,A$2+A2097-1)</f>
        <v>44100</v>
      </c>
      <c r="D2097" s="362">
        <f t="shared" ca="1" si="65"/>
        <v>179069421.60522804</v>
      </c>
    </row>
    <row r="2098" spans="1:4">
      <c r="A2098" s="348">
        <f t="shared" si="66"/>
        <v>2097</v>
      </c>
      <c r="B2098" s="360">
        <f>DATE('Profit Calculation'!J$6,A$2,A$2+A2098-1)</f>
        <v>44101</v>
      </c>
      <c r="D2098" s="362">
        <f t="shared" ca="1" si="65"/>
        <v>179138002.10481602</v>
      </c>
    </row>
    <row r="2099" spans="1:4">
      <c r="A2099" s="348">
        <f t="shared" si="66"/>
        <v>2098</v>
      </c>
      <c r="B2099" s="360">
        <f>DATE('Profit Calculation'!J$6,A$2,A$2+A2099-1)</f>
        <v>44102</v>
      </c>
      <c r="D2099" s="362">
        <f t="shared" ca="1" si="65"/>
        <v>179206608.86955234</v>
      </c>
    </row>
    <row r="2100" spans="1:4">
      <c r="A2100" s="348">
        <f t="shared" si="66"/>
        <v>2099</v>
      </c>
      <c r="B2100" s="360">
        <f>DATE('Profit Calculation'!J$6,A$2,A$2+A2100-1)</f>
        <v>44103</v>
      </c>
      <c r="D2100" s="362">
        <f t="shared" ca="1" si="65"/>
        <v>179275241.90949613</v>
      </c>
    </row>
    <row r="2101" spans="1:4">
      <c r="A2101" s="348">
        <f t="shared" si="66"/>
        <v>2100</v>
      </c>
      <c r="B2101" s="360">
        <f>DATE('Profit Calculation'!J$6,A$2,A$2+A2101-1)</f>
        <v>44104</v>
      </c>
      <c r="D2101" s="362">
        <f t="shared" ca="1" si="65"/>
        <v>179343901.23471031</v>
      </c>
    </row>
    <row r="2102" spans="1:4">
      <c r="A2102" s="348">
        <f t="shared" si="66"/>
        <v>2101</v>
      </c>
      <c r="B2102" s="360">
        <f>DATE('Profit Calculation'!J$6,A$2,A$2+A2102-1)</f>
        <v>44105</v>
      </c>
      <c r="D2102" s="362">
        <f t="shared" ca="1" si="65"/>
        <v>179412586.85526171</v>
      </c>
    </row>
    <row r="2103" spans="1:4">
      <c r="A2103" s="348">
        <f t="shared" si="66"/>
        <v>2102</v>
      </c>
      <c r="B2103" s="360">
        <f>DATE('Profit Calculation'!J$6,A$2,A$2+A2103-1)</f>
        <v>44106</v>
      </c>
      <c r="D2103" s="362">
        <f t="shared" ca="1" si="65"/>
        <v>179481298.78122097</v>
      </c>
    </row>
    <row r="2104" spans="1:4">
      <c r="A2104" s="348">
        <f t="shared" si="66"/>
        <v>2103</v>
      </c>
      <c r="B2104" s="360">
        <f>DATE('Profit Calculation'!J$6,A$2,A$2+A2104-1)</f>
        <v>44107</v>
      </c>
      <c r="D2104" s="362">
        <f t="shared" ca="1" si="65"/>
        <v>179550037.02266261</v>
      </c>
    </row>
    <row r="2105" spans="1:4">
      <c r="A2105" s="348">
        <f t="shared" si="66"/>
        <v>2104</v>
      </c>
      <c r="B2105" s="360">
        <f>DATE('Profit Calculation'!J$6,A$2,A$2+A2105-1)</f>
        <v>44108</v>
      </c>
      <c r="D2105" s="362">
        <f t="shared" ca="1" si="65"/>
        <v>179618801.58966503</v>
      </c>
    </row>
    <row r="2106" spans="1:4">
      <c r="A2106" s="348">
        <f t="shared" si="66"/>
        <v>2105</v>
      </c>
      <c r="B2106" s="360">
        <f>DATE('Profit Calculation'!J$6,A$2,A$2+A2106-1)</f>
        <v>44109</v>
      </c>
      <c r="D2106" s="362">
        <f t="shared" ca="1" si="65"/>
        <v>179687592.49231043</v>
      </c>
    </row>
    <row r="2107" spans="1:4">
      <c r="A2107" s="348">
        <f t="shared" si="66"/>
        <v>2106</v>
      </c>
      <c r="B2107" s="360">
        <f>DATE('Profit Calculation'!J$6,A$2,A$2+A2107-1)</f>
        <v>44110</v>
      </c>
      <c r="D2107" s="362">
        <f t="shared" ca="1" si="65"/>
        <v>179756409.74068493</v>
      </c>
    </row>
    <row r="2108" spans="1:4">
      <c r="A2108" s="348">
        <f t="shared" si="66"/>
        <v>2107</v>
      </c>
      <c r="B2108" s="360">
        <f>DATE('Profit Calculation'!J$6,A$2,A$2+A2108-1)</f>
        <v>44111</v>
      </c>
      <c r="D2108" s="362">
        <f t="shared" ca="1" si="65"/>
        <v>179825253.34487846</v>
      </c>
    </row>
    <row r="2109" spans="1:4">
      <c r="A2109" s="348">
        <f t="shared" si="66"/>
        <v>2108</v>
      </c>
      <c r="B2109" s="360">
        <f>DATE('Profit Calculation'!J$6,A$2,A$2+A2109-1)</f>
        <v>44112</v>
      </c>
      <c r="D2109" s="362">
        <f t="shared" ca="1" si="65"/>
        <v>179894123.31498489</v>
      </c>
    </row>
    <row r="2110" spans="1:4">
      <c r="A2110" s="348">
        <f t="shared" si="66"/>
        <v>2109</v>
      </c>
      <c r="B2110" s="360">
        <f>DATE('Profit Calculation'!J$6,A$2,A$2+A2110-1)</f>
        <v>44113</v>
      </c>
      <c r="D2110" s="362">
        <f t="shared" ca="1" si="65"/>
        <v>179963019.66110188</v>
      </c>
    </row>
    <row r="2111" spans="1:4">
      <c r="A2111" s="348">
        <f t="shared" si="66"/>
        <v>2110</v>
      </c>
      <c r="B2111" s="360">
        <f>DATE('Profit Calculation'!J$6,A$2,A$2+A2111-1)</f>
        <v>44114</v>
      </c>
      <c r="D2111" s="362">
        <f t="shared" ca="1" si="65"/>
        <v>180031942.39333099</v>
      </c>
    </row>
    <row r="2112" spans="1:4">
      <c r="A2112" s="348">
        <f t="shared" si="66"/>
        <v>2111</v>
      </c>
      <c r="B2112" s="360">
        <f>DATE('Profit Calculation'!J$6,A$2,A$2+A2112-1)</f>
        <v>44115</v>
      </c>
      <c r="D2112" s="362">
        <f t="shared" ca="1" si="65"/>
        <v>180100891.52177766</v>
      </c>
    </row>
    <row r="2113" spans="1:4">
      <c r="A2113" s="348">
        <f t="shared" si="66"/>
        <v>2112</v>
      </c>
      <c r="B2113" s="360">
        <f>DATE('Profit Calculation'!J$6,A$2,A$2+A2113-1)</f>
        <v>44116</v>
      </c>
      <c r="D2113" s="362">
        <f t="shared" ca="1" si="65"/>
        <v>180169867.05655119</v>
      </c>
    </row>
    <row r="2114" spans="1:4">
      <c r="A2114" s="348">
        <f t="shared" si="66"/>
        <v>2113</v>
      </c>
      <c r="B2114" s="360">
        <f>DATE('Profit Calculation'!J$6,A$2,A$2+A2114-1)</f>
        <v>44117</v>
      </c>
      <c r="D2114" s="362">
        <f t="shared" ca="1" si="65"/>
        <v>180238869.00776473</v>
      </c>
    </row>
    <row r="2115" spans="1:4">
      <c r="A2115" s="348">
        <f t="shared" si="66"/>
        <v>2114</v>
      </c>
      <c r="B2115" s="360">
        <f>DATE('Profit Calculation'!J$6,A$2,A$2+A2115-1)</f>
        <v>44118</v>
      </c>
      <c r="D2115" s="362">
        <f t="shared" ca="1" si="65"/>
        <v>180307897.3855353</v>
      </c>
    </row>
    <row r="2116" spans="1:4">
      <c r="A2116" s="348">
        <f t="shared" si="66"/>
        <v>2115</v>
      </c>
      <c r="B2116" s="360">
        <f>DATE('Profit Calculation'!J$6,A$2,A$2+A2116-1)</f>
        <v>44119</v>
      </c>
      <c r="D2116" s="362">
        <f t="shared" ref="D2116:D2179" ca="1" si="67">IF(OR(LOOKUP(B2116,W$1:W$35,W$1:W$35) = B2116, LOOKUP(B2116,X$1:X$35,X$1:X$35) = B2116),LOOKUP(B2116,F:F,G:G),D2115*(1+((IF($Q$18&lt;6,$R$14,IF($Q$18&lt;11,$R$15,$R$16)))))^(1/365))</f>
        <v>180376952.19998387</v>
      </c>
    </row>
    <row r="2117" spans="1:4">
      <c r="A2117" s="348">
        <f t="shared" ref="A2117:A2180" si="68">A2116+1</f>
        <v>2116</v>
      </c>
      <c r="B2117" s="360">
        <f>DATE('Profit Calculation'!J$6,A$2,A$2+A2117-1)</f>
        <v>44120</v>
      </c>
      <c r="D2117" s="362">
        <f t="shared" ca="1" si="67"/>
        <v>180446033.46123517</v>
      </c>
    </row>
    <row r="2118" spans="1:4">
      <c r="A2118" s="348">
        <f t="shared" si="68"/>
        <v>2117</v>
      </c>
      <c r="B2118" s="360">
        <f>DATE('Profit Calculation'!J$6,A$2,A$2+A2118-1)</f>
        <v>44121</v>
      </c>
      <c r="D2118" s="362">
        <f t="shared" ca="1" si="67"/>
        <v>180515141.17941791</v>
      </c>
    </row>
    <row r="2119" spans="1:4">
      <c r="A2119" s="348">
        <f t="shared" si="68"/>
        <v>2118</v>
      </c>
      <c r="B2119" s="360">
        <f>DATE('Profit Calculation'!J$6,A$2,A$2+A2119-1)</f>
        <v>44122</v>
      </c>
      <c r="D2119" s="362">
        <f t="shared" ca="1" si="67"/>
        <v>180584275.36466464</v>
      </c>
    </row>
    <row r="2120" spans="1:4">
      <c r="A2120" s="348">
        <f t="shared" si="68"/>
        <v>2119</v>
      </c>
      <c r="B2120" s="360">
        <f>DATE('Profit Calculation'!J$6,A$2,A$2+A2120-1)</f>
        <v>44123</v>
      </c>
      <c r="D2120" s="362">
        <f t="shared" ca="1" si="67"/>
        <v>180653436.02711177</v>
      </c>
    </row>
    <row r="2121" spans="1:4">
      <c r="A2121" s="348">
        <f t="shared" si="68"/>
        <v>2120</v>
      </c>
      <c r="B2121" s="360">
        <f>DATE('Profit Calculation'!J$6,A$2,A$2+A2121-1)</f>
        <v>44124</v>
      </c>
      <c r="D2121" s="362">
        <f t="shared" ca="1" si="67"/>
        <v>180722623.17689961</v>
      </c>
    </row>
    <row r="2122" spans="1:4">
      <c r="A2122" s="348">
        <f t="shared" si="68"/>
        <v>2121</v>
      </c>
      <c r="B2122" s="360">
        <f>DATE('Profit Calculation'!J$6,A$2,A$2+A2122-1)</f>
        <v>44125</v>
      </c>
      <c r="D2122" s="362">
        <f t="shared" ca="1" si="67"/>
        <v>180791836.82417238</v>
      </c>
    </row>
    <row r="2123" spans="1:4">
      <c r="A2123" s="348">
        <f t="shared" si="68"/>
        <v>2122</v>
      </c>
      <c r="B2123" s="360">
        <f>DATE('Profit Calculation'!J$6,A$2,A$2+A2123-1)</f>
        <v>44126</v>
      </c>
      <c r="D2123" s="362">
        <f t="shared" ca="1" si="67"/>
        <v>180861076.97907814</v>
      </c>
    </row>
    <row r="2124" spans="1:4">
      <c r="A2124" s="348">
        <f t="shared" si="68"/>
        <v>2123</v>
      </c>
      <c r="B2124" s="360">
        <f>DATE('Profit Calculation'!J$6,A$2,A$2+A2124-1)</f>
        <v>44127</v>
      </c>
      <c r="D2124" s="362">
        <f t="shared" ca="1" si="67"/>
        <v>180930343.65176886</v>
      </c>
    </row>
    <row r="2125" spans="1:4">
      <c r="A2125" s="348">
        <f t="shared" si="68"/>
        <v>2124</v>
      </c>
      <c r="B2125" s="360">
        <f>DATE('Profit Calculation'!J$6,A$2,A$2+A2125-1)</f>
        <v>44128</v>
      </c>
      <c r="D2125" s="362">
        <f t="shared" ca="1" si="67"/>
        <v>180999636.85240039</v>
      </c>
    </row>
    <row r="2126" spans="1:4">
      <c r="A2126" s="348">
        <f t="shared" si="68"/>
        <v>2125</v>
      </c>
      <c r="B2126" s="360">
        <f>DATE('Profit Calculation'!J$6,A$2,A$2+A2126-1)</f>
        <v>44129</v>
      </c>
      <c r="D2126" s="362">
        <f t="shared" ca="1" si="67"/>
        <v>181068956.59113249</v>
      </c>
    </row>
    <row r="2127" spans="1:4">
      <c r="A2127" s="348">
        <f t="shared" si="68"/>
        <v>2126</v>
      </c>
      <c r="B2127" s="360">
        <f>DATE('Profit Calculation'!J$6,A$2,A$2+A2127-1)</f>
        <v>44130</v>
      </c>
      <c r="D2127" s="362">
        <f t="shared" ca="1" si="67"/>
        <v>181138302.87812877</v>
      </c>
    </row>
    <row r="2128" spans="1:4">
      <c r="A2128" s="348">
        <f t="shared" si="68"/>
        <v>2127</v>
      </c>
      <c r="B2128" s="360">
        <f>DATE('Profit Calculation'!J$6,A$2,A$2+A2128-1)</f>
        <v>44131</v>
      </c>
      <c r="D2128" s="362">
        <f t="shared" ca="1" si="67"/>
        <v>181207675.72355676</v>
      </c>
    </row>
    <row r="2129" spans="1:4">
      <c r="A2129" s="348">
        <f t="shared" si="68"/>
        <v>2128</v>
      </c>
      <c r="B2129" s="360">
        <f>DATE('Profit Calculation'!J$6,A$2,A$2+A2129-1)</f>
        <v>44132</v>
      </c>
      <c r="D2129" s="362">
        <f t="shared" ca="1" si="67"/>
        <v>181277075.1375879</v>
      </c>
    </row>
    <row r="2130" spans="1:4">
      <c r="A2130" s="348">
        <f t="shared" si="68"/>
        <v>2129</v>
      </c>
      <c r="B2130" s="360">
        <f>DATE('Profit Calculation'!J$6,A$2,A$2+A2130-1)</f>
        <v>44133</v>
      </c>
      <c r="D2130" s="362">
        <f t="shared" ca="1" si="67"/>
        <v>181346501.1303975</v>
      </c>
    </row>
    <row r="2131" spans="1:4">
      <c r="A2131" s="348">
        <f t="shared" si="68"/>
        <v>2130</v>
      </c>
      <c r="B2131" s="360">
        <f>DATE('Profit Calculation'!J$6,A$2,A$2+A2131-1)</f>
        <v>44134</v>
      </c>
      <c r="D2131" s="362">
        <f t="shared" ca="1" si="67"/>
        <v>181415953.71216476</v>
      </c>
    </row>
    <row r="2132" spans="1:4">
      <c r="A2132" s="348">
        <f t="shared" si="68"/>
        <v>2131</v>
      </c>
      <c r="B2132" s="360">
        <f>DATE('Profit Calculation'!J$6,A$2,A$2+A2132-1)</f>
        <v>44135</v>
      </c>
      <c r="D2132" s="362">
        <f t="shared" ca="1" si="67"/>
        <v>181485432.89307281</v>
      </c>
    </row>
    <row r="2133" spans="1:4">
      <c r="A2133" s="348">
        <f t="shared" si="68"/>
        <v>2132</v>
      </c>
      <c r="B2133" s="360">
        <f>DATE('Profit Calculation'!J$6,A$2,A$2+A2133-1)</f>
        <v>44136</v>
      </c>
      <c r="D2133" s="362">
        <f t="shared" ca="1" si="67"/>
        <v>181554938.68330866</v>
      </c>
    </row>
    <row r="2134" spans="1:4">
      <c r="A2134" s="348">
        <f t="shared" si="68"/>
        <v>2133</v>
      </c>
      <c r="B2134" s="360">
        <f>DATE('Profit Calculation'!J$6,A$2,A$2+A2134-1)</f>
        <v>44137</v>
      </c>
      <c r="D2134" s="362">
        <f t="shared" ca="1" si="67"/>
        <v>181624471.09306324</v>
      </c>
    </row>
    <row r="2135" spans="1:4">
      <c r="A2135" s="348">
        <f t="shared" si="68"/>
        <v>2134</v>
      </c>
      <c r="B2135" s="360">
        <f>DATE('Profit Calculation'!J$6,A$2,A$2+A2135-1)</f>
        <v>44138</v>
      </c>
      <c r="D2135" s="362">
        <f t="shared" ca="1" si="67"/>
        <v>181694030.13253132</v>
      </c>
    </row>
    <row r="2136" spans="1:4">
      <c r="A2136" s="348">
        <f t="shared" si="68"/>
        <v>2135</v>
      </c>
      <c r="B2136" s="360">
        <f>DATE('Profit Calculation'!J$6,A$2,A$2+A2136-1)</f>
        <v>44139</v>
      </c>
      <c r="D2136" s="362">
        <f t="shared" ca="1" si="67"/>
        <v>181763615.81191164</v>
      </c>
    </row>
    <row r="2137" spans="1:4">
      <c r="A2137" s="348">
        <f t="shared" si="68"/>
        <v>2136</v>
      </c>
      <c r="B2137" s="360">
        <f>DATE('Profit Calculation'!J$6,A$2,A$2+A2137-1)</f>
        <v>44140</v>
      </c>
      <c r="D2137" s="362">
        <f t="shared" ca="1" si="67"/>
        <v>181833228.14140683</v>
      </c>
    </row>
    <row r="2138" spans="1:4">
      <c r="A2138" s="348">
        <f t="shared" si="68"/>
        <v>2137</v>
      </c>
      <c r="B2138" s="360">
        <f>DATE('Profit Calculation'!J$6,A$2,A$2+A2138-1)</f>
        <v>44141</v>
      </c>
      <c r="D2138" s="362">
        <f t="shared" ca="1" si="67"/>
        <v>181902867.13122344</v>
      </c>
    </row>
    <row r="2139" spans="1:4">
      <c r="A2139" s="348">
        <f t="shared" si="68"/>
        <v>2138</v>
      </c>
      <c r="B2139" s="360">
        <f>DATE('Profit Calculation'!J$6,A$2,A$2+A2139-1)</f>
        <v>44142</v>
      </c>
      <c r="D2139" s="362">
        <f t="shared" ca="1" si="67"/>
        <v>181972532.79157192</v>
      </c>
    </row>
    <row r="2140" spans="1:4">
      <c r="A2140" s="348">
        <f t="shared" si="68"/>
        <v>2139</v>
      </c>
      <c r="B2140" s="360">
        <f>DATE('Profit Calculation'!J$6,A$2,A$2+A2140-1)</f>
        <v>44143</v>
      </c>
      <c r="D2140" s="362">
        <f t="shared" ca="1" si="67"/>
        <v>182042225.13266659</v>
      </c>
    </row>
    <row r="2141" spans="1:4">
      <c r="A2141" s="348">
        <f t="shared" si="68"/>
        <v>2140</v>
      </c>
      <c r="B2141" s="360">
        <f>DATE('Profit Calculation'!J$6,A$2,A$2+A2141-1)</f>
        <v>44144</v>
      </c>
      <c r="D2141" s="362">
        <f t="shared" ca="1" si="67"/>
        <v>182111944.16472572</v>
      </c>
    </row>
    <row r="2142" spans="1:4">
      <c r="A2142" s="348">
        <f t="shared" si="68"/>
        <v>2141</v>
      </c>
      <c r="B2142" s="360">
        <f>DATE('Profit Calculation'!J$6,A$2,A$2+A2142-1)</f>
        <v>44145</v>
      </c>
      <c r="D2142" s="362">
        <f t="shared" ca="1" si="67"/>
        <v>182181689.89797151</v>
      </c>
    </row>
    <row r="2143" spans="1:4">
      <c r="A2143" s="348">
        <f t="shared" si="68"/>
        <v>2142</v>
      </c>
      <c r="B2143" s="360">
        <f>DATE('Profit Calculation'!J$6,A$2,A$2+A2143-1)</f>
        <v>44146</v>
      </c>
      <c r="D2143" s="362">
        <f t="shared" ca="1" si="67"/>
        <v>182251462.34263003</v>
      </c>
    </row>
    <row r="2144" spans="1:4">
      <c r="A2144" s="348">
        <f t="shared" si="68"/>
        <v>2143</v>
      </c>
      <c r="B2144" s="360">
        <f>DATE('Profit Calculation'!J$6,A$2,A$2+A2144-1)</f>
        <v>44147</v>
      </c>
      <c r="D2144" s="362">
        <f t="shared" ca="1" si="67"/>
        <v>182321261.50893131</v>
      </c>
    </row>
    <row r="2145" spans="1:4">
      <c r="A2145" s="348">
        <f t="shared" si="68"/>
        <v>2144</v>
      </c>
      <c r="B2145" s="360">
        <f>DATE('Profit Calculation'!J$6,A$2,A$2+A2145-1)</f>
        <v>44148</v>
      </c>
      <c r="D2145" s="362">
        <f t="shared" ca="1" si="67"/>
        <v>182391087.40710926</v>
      </c>
    </row>
    <row r="2146" spans="1:4">
      <c r="A2146" s="348">
        <f t="shared" si="68"/>
        <v>2145</v>
      </c>
      <c r="B2146" s="360">
        <f>DATE('Profit Calculation'!J$6,A$2,A$2+A2146-1)</f>
        <v>44149</v>
      </c>
      <c r="D2146" s="362">
        <f t="shared" ca="1" si="67"/>
        <v>182460940.04740176</v>
      </c>
    </row>
    <row r="2147" spans="1:4">
      <c r="A2147" s="348">
        <f t="shared" si="68"/>
        <v>2146</v>
      </c>
      <c r="B2147" s="360">
        <f>DATE('Profit Calculation'!J$6,A$2,A$2+A2147-1)</f>
        <v>44150</v>
      </c>
      <c r="D2147" s="362">
        <f t="shared" ca="1" si="67"/>
        <v>182530819.44005054</v>
      </c>
    </row>
    <row r="2148" spans="1:4">
      <c r="A2148" s="348">
        <f t="shared" si="68"/>
        <v>2147</v>
      </c>
      <c r="B2148" s="360">
        <f>DATE('Profit Calculation'!J$6,A$2,A$2+A2148-1)</f>
        <v>44151</v>
      </c>
      <c r="D2148" s="362">
        <f t="shared" ca="1" si="67"/>
        <v>182600725.59530133</v>
      </c>
    </row>
    <row r="2149" spans="1:4">
      <c r="A2149" s="348">
        <f t="shared" si="68"/>
        <v>2148</v>
      </c>
      <c r="B2149" s="360">
        <f>DATE('Profit Calculation'!J$6,A$2,A$2+A2149-1)</f>
        <v>44152</v>
      </c>
      <c r="D2149" s="362">
        <f t="shared" ca="1" si="67"/>
        <v>182670658.5234037</v>
      </c>
    </row>
    <row r="2150" spans="1:4">
      <c r="A2150" s="348">
        <f t="shared" si="68"/>
        <v>2149</v>
      </c>
      <c r="B2150" s="360">
        <f>DATE('Profit Calculation'!J$6,A$2,A$2+A2150-1)</f>
        <v>44153</v>
      </c>
      <c r="D2150" s="362">
        <f t="shared" ca="1" si="67"/>
        <v>182740618.23461124</v>
      </c>
    </row>
    <row r="2151" spans="1:4">
      <c r="A2151" s="348">
        <f t="shared" si="68"/>
        <v>2150</v>
      </c>
      <c r="B2151" s="360">
        <f>DATE('Profit Calculation'!J$6,A$2,A$2+A2151-1)</f>
        <v>44154</v>
      </c>
      <c r="D2151" s="362">
        <f t="shared" ca="1" si="67"/>
        <v>182810604.73918137</v>
      </c>
    </row>
    <row r="2152" spans="1:4">
      <c r="A2152" s="348">
        <f t="shared" si="68"/>
        <v>2151</v>
      </c>
      <c r="B2152" s="360">
        <f>DATE('Profit Calculation'!J$6,A$2,A$2+A2152-1)</f>
        <v>44155</v>
      </c>
      <c r="D2152" s="362">
        <f t="shared" ca="1" si="67"/>
        <v>182880618.0473755</v>
      </c>
    </row>
    <row r="2153" spans="1:4">
      <c r="A2153" s="348">
        <f t="shared" si="68"/>
        <v>2152</v>
      </c>
      <c r="B2153" s="360">
        <f>DATE('Profit Calculation'!J$6,A$2,A$2+A2153-1)</f>
        <v>44156</v>
      </c>
      <c r="D2153" s="362">
        <f t="shared" ca="1" si="67"/>
        <v>182950658.16945899</v>
      </c>
    </row>
    <row r="2154" spans="1:4">
      <c r="A2154" s="348">
        <f t="shared" si="68"/>
        <v>2153</v>
      </c>
      <c r="B2154" s="360">
        <f>DATE('Profit Calculation'!J$6,A$2,A$2+A2154-1)</f>
        <v>44157</v>
      </c>
      <c r="D2154" s="362">
        <f t="shared" ca="1" si="67"/>
        <v>183020725.11570105</v>
      </c>
    </row>
    <row r="2155" spans="1:4">
      <c r="A2155" s="348">
        <f t="shared" si="68"/>
        <v>2154</v>
      </c>
      <c r="B2155" s="360">
        <f>DATE('Profit Calculation'!J$6,A$2,A$2+A2155-1)</f>
        <v>44158</v>
      </c>
      <c r="D2155" s="362">
        <f t="shared" ca="1" si="67"/>
        <v>183090818.89637491</v>
      </c>
    </row>
    <row r="2156" spans="1:4">
      <c r="A2156" s="348">
        <f t="shared" si="68"/>
        <v>2155</v>
      </c>
      <c r="B2156" s="360">
        <f>DATE('Profit Calculation'!J$6,A$2,A$2+A2156-1)</f>
        <v>44159</v>
      </c>
      <c r="D2156" s="362">
        <f t="shared" ca="1" si="67"/>
        <v>183160939.52175766</v>
      </c>
    </row>
    <row r="2157" spans="1:4">
      <c r="A2157" s="348">
        <f t="shared" si="68"/>
        <v>2156</v>
      </c>
      <c r="B2157" s="360">
        <f>DATE('Profit Calculation'!J$6,A$2,A$2+A2157-1)</f>
        <v>44160</v>
      </c>
      <c r="D2157" s="362">
        <f t="shared" ca="1" si="67"/>
        <v>183231087.00213039</v>
      </c>
    </row>
    <row r="2158" spans="1:4">
      <c r="A2158" s="348">
        <f t="shared" si="68"/>
        <v>2157</v>
      </c>
      <c r="B2158" s="360">
        <f>DATE('Profit Calculation'!J$6,A$2,A$2+A2158-1)</f>
        <v>44161</v>
      </c>
      <c r="D2158" s="362">
        <f t="shared" ca="1" si="67"/>
        <v>183301261.34777808</v>
      </c>
    </row>
    <row r="2159" spans="1:4">
      <c r="A2159" s="348">
        <f t="shared" si="68"/>
        <v>2158</v>
      </c>
      <c r="B2159" s="360">
        <f>DATE('Profit Calculation'!J$6,A$2,A$2+A2159-1)</f>
        <v>44162</v>
      </c>
      <c r="D2159" s="362">
        <f t="shared" ca="1" si="67"/>
        <v>183371462.56898966</v>
      </c>
    </row>
    <row r="2160" spans="1:4">
      <c r="A2160" s="348">
        <f t="shared" si="68"/>
        <v>2159</v>
      </c>
      <c r="B2160" s="360">
        <f>DATE('Profit Calculation'!J$6,A$2,A$2+A2160-1)</f>
        <v>44163</v>
      </c>
      <c r="D2160" s="362">
        <f t="shared" ca="1" si="67"/>
        <v>183441690.67605802</v>
      </c>
    </row>
    <row r="2161" spans="1:4">
      <c r="A2161" s="348">
        <f t="shared" si="68"/>
        <v>2160</v>
      </c>
      <c r="B2161" s="360">
        <f>DATE('Profit Calculation'!J$6,A$2,A$2+A2161-1)</f>
        <v>44164</v>
      </c>
      <c r="D2161" s="362">
        <f t="shared" ca="1" si="67"/>
        <v>183511945.67927998</v>
      </c>
    </row>
    <row r="2162" spans="1:4">
      <c r="A2162" s="348">
        <f t="shared" si="68"/>
        <v>2161</v>
      </c>
      <c r="B2162" s="360">
        <f>DATE('Profit Calculation'!J$6,A$2,A$2+A2162-1)</f>
        <v>44165</v>
      </c>
      <c r="D2162" s="362">
        <f t="shared" ca="1" si="67"/>
        <v>183582227.5889563</v>
      </c>
    </row>
    <row r="2163" spans="1:4">
      <c r="A2163" s="348">
        <f t="shared" si="68"/>
        <v>2162</v>
      </c>
      <c r="B2163" s="360">
        <f>DATE('Profit Calculation'!J$6,A$2,A$2+A2163-1)</f>
        <v>44166</v>
      </c>
      <c r="D2163" s="362">
        <f t="shared" ca="1" si="67"/>
        <v>183652536.41539168</v>
      </c>
    </row>
    <row r="2164" spans="1:4">
      <c r="A2164" s="348">
        <f t="shared" si="68"/>
        <v>2163</v>
      </c>
      <c r="B2164" s="360">
        <f>DATE('Profit Calculation'!J$6,A$2,A$2+A2164-1)</f>
        <v>44167</v>
      </c>
      <c r="D2164" s="362">
        <f t="shared" ca="1" si="67"/>
        <v>183722872.16889477</v>
      </c>
    </row>
    <row r="2165" spans="1:4">
      <c r="A2165" s="348">
        <f t="shared" si="68"/>
        <v>2164</v>
      </c>
      <c r="B2165" s="360">
        <f>DATE('Profit Calculation'!J$6,A$2,A$2+A2165-1)</f>
        <v>44168</v>
      </c>
      <c r="D2165" s="362">
        <f t="shared" ca="1" si="67"/>
        <v>183793234.8597782</v>
      </c>
    </row>
    <row r="2166" spans="1:4">
      <c r="A2166" s="348">
        <f t="shared" si="68"/>
        <v>2165</v>
      </c>
      <c r="B2166" s="360">
        <f>DATE('Profit Calculation'!J$6,A$2,A$2+A2166-1)</f>
        <v>44169</v>
      </c>
      <c r="D2166" s="362">
        <f t="shared" ca="1" si="67"/>
        <v>183863624.49835849</v>
      </c>
    </row>
    <row r="2167" spans="1:4">
      <c r="A2167" s="348">
        <f t="shared" si="68"/>
        <v>2166</v>
      </c>
      <c r="B2167" s="360">
        <f>DATE('Profit Calculation'!J$6,A$2,A$2+A2167-1)</f>
        <v>44170</v>
      </c>
      <c r="D2167" s="362">
        <f t="shared" ca="1" si="67"/>
        <v>183934041.09495616</v>
      </c>
    </row>
    <row r="2168" spans="1:4">
      <c r="A2168" s="348">
        <f t="shared" si="68"/>
        <v>2167</v>
      </c>
      <c r="B2168" s="360">
        <f>DATE('Profit Calculation'!J$6,A$2,A$2+A2168-1)</f>
        <v>44171</v>
      </c>
      <c r="D2168" s="362">
        <f t="shared" ca="1" si="67"/>
        <v>184004484.65989566</v>
      </c>
    </row>
    <row r="2169" spans="1:4">
      <c r="A2169" s="348">
        <f t="shared" si="68"/>
        <v>2168</v>
      </c>
      <c r="B2169" s="360">
        <f>DATE('Profit Calculation'!J$6,A$2,A$2+A2169-1)</f>
        <v>44172</v>
      </c>
      <c r="D2169" s="362">
        <f t="shared" ca="1" si="67"/>
        <v>184074955.20350543</v>
      </c>
    </row>
    <row r="2170" spans="1:4">
      <c r="A2170" s="348">
        <f t="shared" si="68"/>
        <v>2169</v>
      </c>
      <c r="B2170" s="360">
        <f>DATE('Profit Calculation'!J$6,A$2,A$2+A2170-1)</f>
        <v>44173</v>
      </c>
      <c r="D2170" s="362">
        <f t="shared" ca="1" si="67"/>
        <v>184145452.73611778</v>
      </c>
    </row>
    <row r="2171" spans="1:4">
      <c r="A2171" s="348">
        <f t="shared" si="68"/>
        <v>2170</v>
      </c>
      <c r="B2171" s="360">
        <f>DATE('Profit Calculation'!J$6,A$2,A$2+A2171-1)</f>
        <v>44174</v>
      </c>
      <c r="D2171" s="362">
        <f t="shared" ca="1" si="67"/>
        <v>184215977.26806909</v>
      </c>
    </row>
    <row r="2172" spans="1:4">
      <c r="A2172" s="348">
        <f t="shared" si="68"/>
        <v>2171</v>
      </c>
      <c r="B2172" s="360">
        <f>DATE('Profit Calculation'!J$6,A$2,A$2+A2172-1)</f>
        <v>44175</v>
      </c>
      <c r="D2172" s="362">
        <f t="shared" ca="1" si="67"/>
        <v>184286528.80969959</v>
      </c>
    </row>
    <row r="2173" spans="1:4">
      <c r="A2173" s="348">
        <f t="shared" si="68"/>
        <v>2172</v>
      </c>
      <c r="B2173" s="360">
        <f>DATE('Profit Calculation'!J$6,A$2,A$2+A2173-1)</f>
        <v>44176</v>
      </c>
      <c r="D2173" s="362">
        <f t="shared" ca="1" si="67"/>
        <v>184357107.37135357</v>
      </c>
    </row>
    <row r="2174" spans="1:4">
      <c r="A2174" s="348">
        <f t="shared" si="68"/>
        <v>2173</v>
      </c>
      <c r="B2174" s="360">
        <f>DATE('Profit Calculation'!J$6,A$2,A$2+A2174-1)</f>
        <v>44177</v>
      </c>
      <c r="D2174" s="362">
        <f t="shared" ca="1" si="67"/>
        <v>184427712.96337917</v>
      </c>
    </row>
    <row r="2175" spans="1:4">
      <c r="A2175" s="348">
        <f t="shared" si="68"/>
        <v>2174</v>
      </c>
      <c r="B2175" s="360">
        <f>DATE('Profit Calculation'!J$6,A$2,A$2+A2175-1)</f>
        <v>44178</v>
      </c>
      <c r="D2175" s="362">
        <f t="shared" ca="1" si="67"/>
        <v>184498345.59612861</v>
      </c>
    </row>
    <row r="2176" spans="1:4">
      <c r="A2176" s="348">
        <f t="shared" si="68"/>
        <v>2175</v>
      </c>
      <c r="B2176" s="360">
        <f>DATE('Profit Calculation'!J$6,A$2,A$2+A2176-1)</f>
        <v>44179</v>
      </c>
      <c r="D2176" s="362">
        <f t="shared" ca="1" si="67"/>
        <v>184569005.27995801</v>
      </c>
    </row>
    <row r="2177" spans="1:4">
      <c r="A2177" s="348">
        <f t="shared" si="68"/>
        <v>2176</v>
      </c>
      <c r="B2177" s="360">
        <f>DATE('Profit Calculation'!J$6,A$2,A$2+A2177-1)</f>
        <v>44180</v>
      </c>
      <c r="D2177" s="362">
        <f t="shared" ca="1" si="67"/>
        <v>184639692.02522746</v>
      </c>
    </row>
    <row r="2178" spans="1:4">
      <c r="A2178" s="348">
        <f t="shared" si="68"/>
        <v>2177</v>
      </c>
      <c r="B2178" s="360">
        <f>DATE('Profit Calculation'!J$6,A$2,A$2+A2178-1)</f>
        <v>44181</v>
      </c>
      <c r="D2178" s="362">
        <f t="shared" ca="1" si="67"/>
        <v>184710405.84230101</v>
      </c>
    </row>
    <row r="2179" spans="1:4">
      <c r="A2179" s="348">
        <f t="shared" si="68"/>
        <v>2178</v>
      </c>
      <c r="B2179" s="360">
        <f>DATE('Profit Calculation'!J$6,A$2,A$2+A2179-1)</f>
        <v>44182</v>
      </c>
      <c r="D2179" s="362">
        <f t="shared" ca="1" si="67"/>
        <v>184781146.74154672</v>
      </c>
    </row>
    <row r="2180" spans="1:4">
      <c r="A2180" s="348">
        <f t="shared" si="68"/>
        <v>2179</v>
      </c>
      <c r="B2180" s="360">
        <f>DATE('Profit Calculation'!J$6,A$2,A$2+A2180-1)</f>
        <v>44183</v>
      </c>
      <c r="D2180" s="362">
        <f t="shared" ref="D2180:D2243" ca="1" si="69">IF(OR(LOOKUP(B2180,W$1:W$35,W$1:W$35) = B2180, LOOKUP(B2180,X$1:X$35,X$1:X$35) = B2180),LOOKUP(B2180,F:F,G:G),D2179*(1+((IF($Q$18&lt;6,$R$14,IF($Q$18&lt;11,$R$15,$R$16)))))^(1/365))</f>
        <v>184851914.7333366</v>
      </c>
    </row>
    <row r="2181" spans="1:4">
      <c r="A2181" s="348">
        <f t="shared" ref="A2181:A2244" si="70">A2180+1</f>
        <v>2180</v>
      </c>
      <c r="B2181" s="360">
        <f>DATE('Profit Calculation'!J$6,A$2,A$2+A2181-1)</f>
        <v>44184</v>
      </c>
      <c r="D2181" s="362">
        <f t="shared" ca="1" si="69"/>
        <v>184922709.82804659</v>
      </c>
    </row>
    <row r="2182" spans="1:4">
      <c r="A2182" s="348">
        <f t="shared" si="70"/>
        <v>2181</v>
      </c>
      <c r="B2182" s="360">
        <f>DATE('Profit Calculation'!J$6,A$2,A$2+A2182-1)</f>
        <v>44185</v>
      </c>
      <c r="D2182" s="362">
        <f t="shared" ca="1" si="69"/>
        <v>184993532.03605667</v>
      </c>
    </row>
    <row r="2183" spans="1:4">
      <c r="A2183" s="348">
        <f t="shared" si="70"/>
        <v>2182</v>
      </c>
      <c r="B2183" s="360">
        <f>DATE('Profit Calculation'!J$6,A$2,A$2+A2183-1)</f>
        <v>44186</v>
      </c>
      <c r="D2183" s="362">
        <f t="shared" ca="1" si="69"/>
        <v>185064381.36775076</v>
      </c>
    </row>
    <row r="2184" spans="1:4">
      <c r="A2184" s="348">
        <f t="shared" si="70"/>
        <v>2183</v>
      </c>
      <c r="B2184" s="360">
        <f>DATE('Profit Calculation'!J$6,A$2,A$2+A2184-1)</f>
        <v>44187</v>
      </c>
      <c r="D2184" s="362">
        <f t="shared" ca="1" si="69"/>
        <v>185135257.83351678</v>
      </c>
    </row>
    <row r="2185" spans="1:4">
      <c r="A2185" s="348">
        <f t="shared" si="70"/>
        <v>2184</v>
      </c>
      <c r="B2185" s="360">
        <f>DATE('Profit Calculation'!J$6,A$2,A$2+A2185-1)</f>
        <v>44188</v>
      </c>
      <c r="D2185" s="362">
        <f t="shared" ca="1" si="69"/>
        <v>185206161.44374657</v>
      </c>
    </row>
    <row r="2186" spans="1:4">
      <c r="A2186" s="348">
        <f t="shared" si="70"/>
        <v>2185</v>
      </c>
      <c r="B2186" s="360">
        <f>DATE('Profit Calculation'!J$6,A$2,A$2+A2186-1)</f>
        <v>44189</v>
      </c>
      <c r="D2186" s="362">
        <f t="shared" ca="1" si="69"/>
        <v>185277092.20883602</v>
      </c>
    </row>
    <row r="2187" spans="1:4">
      <c r="A2187" s="348">
        <f t="shared" si="70"/>
        <v>2186</v>
      </c>
      <c r="B2187" s="360">
        <f>DATE('Profit Calculation'!J$6,A$2,A$2+A2187-1)</f>
        <v>44190</v>
      </c>
      <c r="D2187" s="362">
        <f t="shared" ca="1" si="69"/>
        <v>185348050.13918498</v>
      </c>
    </row>
    <row r="2188" spans="1:4">
      <c r="A2188" s="348">
        <f t="shared" si="70"/>
        <v>2187</v>
      </c>
      <c r="B2188" s="360">
        <f>DATE('Profit Calculation'!J$6,A$2,A$2+A2188-1)</f>
        <v>44191</v>
      </c>
      <c r="D2188" s="362">
        <f t="shared" ca="1" si="69"/>
        <v>185419035.24519727</v>
      </c>
    </row>
    <row r="2189" spans="1:4">
      <c r="A2189" s="348">
        <f t="shared" si="70"/>
        <v>2188</v>
      </c>
      <c r="B2189" s="360">
        <f>DATE('Profit Calculation'!J$6,A$2,A$2+A2189-1)</f>
        <v>44192</v>
      </c>
      <c r="D2189" s="362">
        <f t="shared" ca="1" si="69"/>
        <v>185490047.53728068</v>
      </c>
    </row>
    <row r="2190" spans="1:4">
      <c r="A2190" s="348">
        <f t="shared" si="70"/>
        <v>2189</v>
      </c>
      <c r="B2190" s="360">
        <f>DATE('Profit Calculation'!J$6,A$2,A$2+A2190-1)</f>
        <v>44193</v>
      </c>
      <c r="D2190" s="362">
        <f t="shared" ca="1" si="69"/>
        <v>185561087.02584702</v>
      </c>
    </row>
    <row r="2191" spans="1:4">
      <c r="A2191" s="348">
        <f t="shared" si="70"/>
        <v>2190</v>
      </c>
      <c r="B2191" s="360">
        <f>DATE('Profit Calculation'!J$6,A$2,A$2+A2191-1)</f>
        <v>44194</v>
      </c>
      <c r="D2191" s="362">
        <f t="shared" ca="1" si="69"/>
        <v>185632153.72131208</v>
      </c>
    </row>
    <row r="2192" spans="1:4">
      <c r="A2192" s="348">
        <f t="shared" si="70"/>
        <v>2191</v>
      </c>
      <c r="B2192" s="360">
        <f>DATE('Profit Calculation'!J$6,A$2,A$2+A2192-1)</f>
        <v>44195</v>
      </c>
      <c r="D2192" s="362">
        <f t="shared" ca="1" si="69"/>
        <v>185703247.63409561</v>
      </c>
    </row>
    <row r="2193" spans="1:9">
      <c r="A2193" s="348">
        <f t="shared" si="70"/>
        <v>2192</v>
      </c>
      <c r="B2193" s="360">
        <f>DATE('Profit Calculation'!J$6,A$2,A$2+A2193-1)</f>
        <v>44196</v>
      </c>
      <c r="D2193" s="362">
        <f t="shared" ca="1" si="69"/>
        <v>185774368.7746214</v>
      </c>
    </row>
    <row r="2194" spans="1:9">
      <c r="A2194" s="348">
        <f t="shared" si="70"/>
        <v>2193</v>
      </c>
      <c r="B2194" s="360">
        <f>DATE('Profit Calculation'!J$6,A$2,A$2+A2194-1)</f>
        <v>44197</v>
      </c>
      <c r="C2194" s="354"/>
      <c r="D2194" s="355">
        <f t="shared" ca="1" si="69"/>
        <v>185756586</v>
      </c>
      <c r="I2194" s="11">
        <f ca="1">D2194*(1.18^(1/365))</f>
        <v>185840839.06588432</v>
      </c>
    </row>
    <row r="2195" spans="1:9">
      <c r="A2195" s="348">
        <f t="shared" si="70"/>
        <v>2194</v>
      </c>
      <c r="B2195" s="360">
        <f>DATE('Profit Calculation'!J$6,A$2,A$2+A2195-1)</f>
        <v>44198</v>
      </c>
      <c r="D2195" s="362">
        <f t="shared" ca="1" si="69"/>
        <v>185827727.56819987</v>
      </c>
    </row>
    <row r="2196" spans="1:9">
      <c r="A2196" s="348">
        <f t="shared" si="70"/>
        <v>2195</v>
      </c>
      <c r="B2196" s="360">
        <f>DATE('Profit Calculation'!J$6,A$2,A$2+A2196-1)</f>
        <v>44199</v>
      </c>
      <c r="D2196" s="362">
        <f t="shared" ca="1" si="69"/>
        <v>185898896.38239318</v>
      </c>
    </row>
    <row r="2197" spans="1:9">
      <c r="A2197" s="348">
        <f t="shared" si="70"/>
        <v>2196</v>
      </c>
      <c r="B2197" s="360">
        <f>DATE('Profit Calculation'!J$6,A$2,A$2+A2197-1)</f>
        <v>44200</v>
      </c>
      <c r="D2197" s="362">
        <f t="shared" ca="1" si="69"/>
        <v>185970092.4530147</v>
      </c>
    </row>
    <row r="2198" spans="1:9">
      <c r="A2198" s="348">
        <f t="shared" si="70"/>
        <v>2197</v>
      </c>
      <c r="B2198" s="360">
        <f>DATE('Profit Calculation'!J$6,A$2,A$2+A2198-1)</f>
        <v>44201</v>
      </c>
      <c r="D2198" s="362">
        <f t="shared" ca="1" si="69"/>
        <v>186041315.79050314</v>
      </c>
    </row>
    <row r="2199" spans="1:9">
      <c r="A2199" s="348">
        <f t="shared" si="70"/>
        <v>2198</v>
      </c>
      <c r="B2199" s="360">
        <f>DATE('Profit Calculation'!J$6,A$2,A$2+A2199-1)</f>
        <v>44202</v>
      </c>
      <c r="D2199" s="362">
        <f t="shared" ca="1" si="69"/>
        <v>186112566.40530127</v>
      </c>
    </row>
    <row r="2200" spans="1:9">
      <c r="A2200" s="348">
        <f t="shared" si="70"/>
        <v>2199</v>
      </c>
      <c r="B2200" s="360">
        <f>DATE('Profit Calculation'!J$6,A$2,A$2+A2200-1)</f>
        <v>44203</v>
      </c>
      <c r="D2200" s="362">
        <f t="shared" ca="1" si="69"/>
        <v>186183844.30785581</v>
      </c>
    </row>
    <row r="2201" spans="1:9">
      <c r="A2201" s="348">
        <f t="shared" si="70"/>
        <v>2200</v>
      </c>
      <c r="B2201" s="360">
        <f>DATE('Profit Calculation'!J$6,A$2,A$2+A2201-1)</f>
        <v>44204</v>
      </c>
      <c r="D2201" s="362">
        <f t="shared" ca="1" si="69"/>
        <v>186255149.50861752</v>
      </c>
    </row>
    <row r="2202" spans="1:9">
      <c r="A2202" s="348">
        <f t="shared" si="70"/>
        <v>2201</v>
      </c>
      <c r="B2202" s="360">
        <f>DATE('Profit Calculation'!J$6,A$2,A$2+A2202-1)</f>
        <v>44205</v>
      </c>
      <c r="D2202" s="362">
        <f t="shared" ca="1" si="69"/>
        <v>186326482.01804113</v>
      </c>
    </row>
    <row r="2203" spans="1:9">
      <c r="A2203" s="348">
        <f t="shared" si="70"/>
        <v>2202</v>
      </c>
      <c r="B2203" s="360">
        <f>DATE('Profit Calculation'!J$6,A$2,A$2+A2203-1)</f>
        <v>44206</v>
      </c>
      <c r="D2203" s="362">
        <f t="shared" ca="1" si="69"/>
        <v>186397841.84658539</v>
      </c>
    </row>
    <row r="2204" spans="1:9">
      <c r="A2204" s="348">
        <f t="shared" si="70"/>
        <v>2203</v>
      </c>
      <c r="B2204" s="360">
        <f>DATE('Profit Calculation'!J$6,A$2,A$2+A2204-1)</f>
        <v>44207</v>
      </c>
      <c r="D2204" s="362">
        <f t="shared" ca="1" si="69"/>
        <v>186469229.00471306</v>
      </c>
    </row>
    <row r="2205" spans="1:9">
      <c r="A2205" s="348">
        <f t="shared" si="70"/>
        <v>2204</v>
      </c>
      <c r="B2205" s="360">
        <f>DATE('Profit Calculation'!J$6,A$2,A$2+A2205-1)</f>
        <v>44208</v>
      </c>
      <c r="D2205" s="362">
        <f t="shared" ca="1" si="69"/>
        <v>186540643.50289088</v>
      </c>
    </row>
    <row r="2206" spans="1:9">
      <c r="A2206" s="348">
        <f t="shared" si="70"/>
        <v>2205</v>
      </c>
      <c r="B2206" s="360">
        <f>DATE('Profit Calculation'!J$6,A$2,A$2+A2206-1)</f>
        <v>44209</v>
      </c>
      <c r="D2206" s="362">
        <f t="shared" ca="1" si="69"/>
        <v>186612085.35158962</v>
      </c>
    </row>
    <row r="2207" spans="1:9">
      <c r="A2207" s="348">
        <f t="shared" si="70"/>
        <v>2206</v>
      </c>
      <c r="B2207" s="360">
        <f>DATE('Profit Calculation'!J$6,A$2,A$2+A2207-1)</f>
        <v>44210</v>
      </c>
      <c r="D2207" s="362">
        <f t="shared" ca="1" si="69"/>
        <v>186683554.56128407</v>
      </c>
    </row>
    <row r="2208" spans="1:9">
      <c r="A2208" s="348">
        <f t="shared" si="70"/>
        <v>2207</v>
      </c>
      <c r="B2208" s="360">
        <f>DATE('Profit Calculation'!J$6,A$2,A$2+A2208-1)</f>
        <v>44211</v>
      </c>
      <c r="D2208" s="362">
        <f t="shared" ca="1" si="69"/>
        <v>186755051.14245301</v>
      </c>
    </row>
    <row r="2209" spans="1:4">
      <c r="A2209" s="348">
        <f t="shared" si="70"/>
        <v>2208</v>
      </c>
      <c r="B2209" s="360">
        <f>DATE('Profit Calculation'!J$6,A$2,A$2+A2209-1)</f>
        <v>44212</v>
      </c>
      <c r="D2209" s="362">
        <f t="shared" ca="1" si="69"/>
        <v>186826575.10557926</v>
      </c>
    </row>
    <row r="2210" spans="1:4">
      <c r="A2210" s="348">
        <f t="shared" si="70"/>
        <v>2209</v>
      </c>
      <c r="B2210" s="360">
        <f>DATE('Profit Calculation'!J$6,A$2,A$2+A2210-1)</f>
        <v>44213</v>
      </c>
      <c r="D2210" s="362">
        <f t="shared" ca="1" si="69"/>
        <v>186898126.4611496</v>
      </c>
    </row>
    <row r="2211" spans="1:4">
      <c r="A2211" s="348">
        <f t="shared" si="70"/>
        <v>2210</v>
      </c>
      <c r="B2211" s="360">
        <f>DATE('Profit Calculation'!J$6,A$2,A$2+A2211-1)</f>
        <v>44214</v>
      </c>
      <c r="D2211" s="362">
        <f t="shared" ca="1" si="69"/>
        <v>186969705.21965489</v>
      </c>
    </row>
    <row r="2212" spans="1:4">
      <c r="A2212" s="348">
        <f t="shared" si="70"/>
        <v>2211</v>
      </c>
      <c r="B2212" s="360">
        <f>DATE('Profit Calculation'!J$6,A$2,A$2+A2212-1)</f>
        <v>44215</v>
      </c>
      <c r="D2212" s="362">
        <f t="shared" ca="1" si="69"/>
        <v>187041311.39158997</v>
      </c>
    </row>
    <row r="2213" spans="1:4">
      <c r="A2213" s="348">
        <f t="shared" si="70"/>
        <v>2212</v>
      </c>
      <c r="B2213" s="360">
        <f>DATE('Profit Calculation'!J$6,A$2,A$2+A2213-1)</f>
        <v>44216</v>
      </c>
      <c r="D2213" s="362">
        <f t="shared" ca="1" si="69"/>
        <v>187112944.98745373</v>
      </c>
    </row>
    <row r="2214" spans="1:4">
      <c r="A2214" s="348">
        <f t="shared" si="70"/>
        <v>2213</v>
      </c>
      <c r="B2214" s="360">
        <f>DATE('Profit Calculation'!J$6,A$2,A$2+A2214-1)</f>
        <v>44217</v>
      </c>
      <c r="D2214" s="362">
        <f t="shared" ca="1" si="69"/>
        <v>187184606.01774904</v>
      </c>
    </row>
    <row r="2215" spans="1:4">
      <c r="A2215" s="348">
        <f t="shared" si="70"/>
        <v>2214</v>
      </c>
      <c r="B2215" s="360">
        <f>DATE('Profit Calculation'!J$6,A$2,A$2+A2215-1)</f>
        <v>44218</v>
      </c>
      <c r="D2215" s="362">
        <f t="shared" ca="1" si="69"/>
        <v>187256294.49298283</v>
      </c>
    </row>
    <row r="2216" spans="1:4">
      <c r="A2216" s="348">
        <f t="shared" si="70"/>
        <v>2215</v>
      </c>
      <c r="B2216" s="360">
        <f>DATE('Profit Calculation'!J$6,A$2,A$2+A2216-1)</f>
        <v>44219</v>
      </c>
      <c r="D2216" s="362">
        <f t="shared" ca="1" si="69"/>
        <v>187328010.42366603</v>
      </c>
    </row>
    <row r="2217" spans="1:4">
      <c r="A2217" s="348">
        <f t="shared" si="70"/>
        <v>2216</v>
      </c>
      <c r="B2217" s="360">
        <f>DATE('Profit Calculation'!J$6,A$2,A$2+A2217-1)</f>
        <v>44220</v>
      </c>
      <c r="D2217" s="362">
        <f t="shared" ca="1" si="69"/>
        <v>187399753.8203136</v>
      </c>
    </row>
    <row r="2218" spans="1:4">
      <c r="A2218" s="348">
        <f t="shared" si="70"/>
        <v>2217</v>
      </c>
      <c r="B2218" s="360">
        <f>DATE('Profit Calculation'!J$6,A$2,A$2+A2218-1)</f>
        <v>44221</v>
      </c>
      <c r="D2218" s="362">
        <f t="shared" ca="1" si="69"/>
        <v>187471524.69344455</v>
      </c>
    </row>
    <row r="2219" spans="1:4">
      <c r="A2219" s="348">
        <f t="shared" si="70"/>
        <v>2218</v>
      </c>
      <c r="B2219" s="360">
        <f>DATE('Profit Calculation'!J$6,A$2,A$2+A2219-1)</f>
        <v>44222</v>
      </c>
      <c r="D2219" s="362">
        <f t="shared" ca="1" si="69"/>
        <v>187543323.05358189</v>
      </c>
    </row>
    <row r="2220" spans="1:4">
      <c r="A2220" s="348">
        <f t="shared" si="70"/>
        <v>2219</v>
      </c>
      <c r="B2220" s="360">
        <f>DATE('Profit Calculation'!J$6,A$2,A$2+A2220-1)</f>
        <v>44223</v>
      </c>
      <c r="D2220" s="362">
        <f t="shared" ca="1" si="69"/>
        <v>187615148.91125268</v>
      </c>
    </row>
    <row r="2221" spans="1:4">
      <c r="A2221" s="348">
        <f t="shared" si="70"/>
        <v>2220</v>
      </c>
      <c r="B2221" s="360">
        <f>DATE('Profit Calculation'!J$6,A$2,A$2+A2221-1)</f>
        <v>44224</v>
      </c>
      <c r="D2221" s="362">
        <f t="shared" ca="1" si="69"/>
        <v>187687002.27698797</v>
      </c>
    </row>
    <row r="2222" spans="1:4">
      <c r="A2222" s="348">
        <f t="shared" si="70"/>
        <v>2221</v>
      </c>
      <c r="B2222" s="360">
        <f>DATE('Profit Calculation'!J$6,A$2,A$2+A2222-1)</f>
        <v>44225</v>
      </c>
      <c r="D2222" s="362">
        <f t="shared" ca="1" si="69"/>
        <v>187758883.16132289</v>
      </c>
    </row>
    <row r="2223" spans="1:4">
      <c r="A2223" s="348">
        <f t="shared" si="70"/>
        <v>2222</v>
      </c>
      <c r="B2223" s="360">
        <f>DATE('Profit Calculation'!J$6,A$2,A$2+A2223-1)</f>
        <v>44226</v>
      </c>
      <c r="D2223" s="362">
        <f t="shared" ca="1" si="69"/>
        <v>187830791.57479659</v>
      </c>
    </row>
    <row r="2224" spans="1:4">
      <c r="A2224" s="348">
        <f t="shared" si="70"/>
        <v>2223</v>
      </c>
      <c r="B2224" s="360">
        <f>DATE('Profit Calculation'!J$6,A$2,A$2+A2224-1)</f>
        <v>44227</v>
      </c>
      <c r="D2224" s="362">
        <f t="shared" ca="1" si="69"/>
        <v>187902727.52795225</v>
      </c>
    </row>
    <row r="2225" spans="1:4">
      <c r="A2225" s="348">
        <f t="shared" si="70"/>
        <v>2224</v>
      </c>
      <c r="B2225" s="360">
        <f>DATE('Profit Calculation'!J$6,A$2,A$2+A2225-1)</f>
        <v>44228</v>
      </c>
      <c r="D2225" s="362">
        <f t="shared" ca="1" si="69"/>
        <v>187974691.03133711</v>
      </c>
    </row>
    <row r="2226" spans="1:4">
      <c r="A2226" s="348">
        <f t="shared" si="70"/>
        <v>2225</v>
      </c>
      <c r="B2226" s="360">
        <f>DATE('Profit Calculation'!J$6,A$2,A$2+A2226-1)</f>
        <v>44229</v>
      </c>
      <c r="D2226" s="362">
        <f t="shared" ca="1" si="69"/>
        <v>188046682.09550241</v>
      </c>
    </row>
    <row r="2227" spans="1:4">
      <c r="A2227" s="348">
        <f t="shared" si="70"/>
        <v>2226</v>
      </c>
      <c r="B2227" s="360">
        <f>DATE('Profit Calculation'!J$6,A$2,A$2+A2227-1)</f>
        <v>44230</v>
      </c>
      <c r="D2227" s="362">
        <f t="shared" ca="1" si="69"/>
        <v>188118700.73100346</v>
      </c>
    </row>
    <row r="2228" spans="1:4">
      <c r="A2228" s="348">
        <f t="shared" si="70"/>
        <v>2227</v>
      </c>
      <c r="B2228" s="360">
        <f>DATE('Profit Calculation'!J$6,A$2,A$2+A2228-1)</f>
        <v>44231</v>
      </c>
      <c r="D2228" s="362">
        <f t="shared" ca="1" si="69"/>
        <v>188190746.94839963</v>
      </c>
    </row>
    <row r="2229" spans="1:4">
      <c r="A2229" s="348">
        <f t="shared" si="70"/>
        <v>2228</v>
      </c>
      <c r="B2229" s="360">
        <f>DATE('Profit Calculation'!J$6,A$2,A$2+A2229-1)</f>
        <v>44232</v>
      </c>
      <c r="D2229" s="362">
        <f t="shared" ca="1" si="69"/>
        <v>188262820.75825429</v>
      </c>
    </row>
    <row r="2230" spans="1:4">
      <c r="A2230" s="348">
        <f t="shared" si="70"/>
        <v>2229</v>
      </c>
      <c r="B2230" s="360">
        <f>DATE('Profit Calculation'!J$6,A$2,A$2+A2230-1)</f>
        <v>44233</v>
      </c>
      <c r="D2230" s="362">
        <f t="shared" ca="1" si="69"/>
        <v>188334922.17113486</v>
      </c>
    </row>
    <row r="2231" spans="1:4">
      <c r="A2231" s="348">
        <f t="shared" si="70"/>
        <v>2230</v>
      </c>
      <c r="B2231" s="360">
        <f>DATE('Profit Calculation'!J$6,A$2,A$2+A2231-1)</f>
        <v>44234</v>
      </c>
      <c r="D2231" s="362">
        <f t="shared" ca="1" si="69"/>
        <v>188407051.19761285</v>
      </c>
    </row>
    <row r="2232" spans="1:4">
      <c r="A2232" s="348">
        <f t="shared" si="70"/>
        <v>2231</v>
      </c>
      <c r="B2232" s="360">
        <f>DATE('Profit Calculation'!J$6,A$2,A$2+A2232-1)</f>
        <v>44235</v>
      </c>
      <c r="D2232" s="362">
        <f t="shared" ca="1" si="69"/>
        <v>188479207.84826377</v>
      </c>
    </row>
    <row r="2233" spans="1:4">
      <c r="A2233" s="348">
        <f t="shared" si="70"/>
        <v>2232</v>
      </c>
      <c r="B2233" s="360">
        <f>DATE('Profit Calculation'!J$6,A$2,A$2+A2233-1)</f>
        <v>44236</v>
      </c>
      <c r="D2233" s="362">
        <f t="shared" ca="1" si="69"/>
        <v>188551392.1336672</v>
      </c>
    </row>
    <row r="2234" spans="1:4">
      <c r="A2234" s="348">
        <f t="shared" si="70"/>
        <v>2233</v>
      </c>
      <c r="B2234" s="360">
        <f>DATE('Profit Calculation'!J$6,A$2,A$2+A2234-1)</f>
        <v>44237</v>
      </c>
      <c r="D2234" s="362">
        <f t="shared" ca="1" si="69"/>
        <v>188623604.06440681</v>
      </c>
    </row>
    <row r="2235" spans="1:4">
      <c r="A2235" s="348">
        <f t="shared" si="70"/>
        <v>2234</v>
      </c>
      <c r="B2235" s="360">
        <f>DATE('Profit Calculation'!J$6,A$2,A$2+A2235-1)</f>
        <v>44238</v>
      </c>
      <c r="D2235" s="362">
        <f t="shared" ca="1" si="69"/>
        <v>188695843.65107024</v>
      </c>
    </row>
    <row r="2236" spans="1:4">
      <c r="A2236" s="348">
        <f t="shared" si="70"/>
        <v>2235</v>
      </c>
      <c r="B2236" s="360">
        <f>DATE('Profit Calculation'!J$6,A$2,A$2+A2236-1)</f>
        <v>44239</v>
      </c>
      <c r="D2236" s="362">
        <f t="shared" ca="1" si="69"/>
        <v>188768110.90424925</v>
      </c>
    </row>
    <row r="2237" spans="1:4">
      <c r="A2237" s="348">
        <f t="shared" si="70"/>
        <v>2236</v>
      </c>
      <c r="B2237" s="360">
        <f>DATE('Profit Calculation'!J$6,A$2,A$2+A2237-1)</f>
        <v>44240</v>
      </c>
      <c r="D2237" s="362">
        <f t="shared" ca="1" si="69"/>
        <v>188840405.83453965</v>
      </c>
    </row>
    <row r="2238" spans="1:4">
      <c r="A2238" s="348">
        <f t="shared" si="70"/>
        <v>2237</v>
      </c>
      <c r="B2238" s="360">
        <f>DATE('Profit Calculation'!J$6,A$2,A$2+A2238-1)</f>
        <v>44241</v>
      </c>
      <c r="D2238" s="362">
        <f t="shared" ca="1" si="69"/>
        <v>188912728.45254129</v>
      </c>
    </row>
    <row r="2239" spans="1:4">
      <c r="A2239" s="348">
        <f t="shared" si="70"/>
        <v>2238</v>
      </c>
      <c r="B2239" s="360">
        <f>DATE('Profit Calculation'!J$6,A$2,A$2+A2239-1)</f>
        <v>44242</v>
      </c>
      <c r="D2239" s="362">
        <f t="shared" ca="1" si="69"/>
        <v>188985078.76885808</v>
      </c>
    </row>
    <row r="2240" spans="1:4">
      <c r="A2240" s="348">
        <f t="shared" si="70"/>
        <v>2239</v>
      </c>
      <c r="B2240" s="360">
        <f>DATE('Profit Calculation'!J$6,A$2,A$2+A2240-1)</f>
        <v>44243</v>
      </c>
      <c r="D2240" s="362">
        <f t="shared" ca="1" si="69"/>
        <v>189057456.79409799</v>
      </c>
    </row>
    <row r="2241" spans="1:4">
      <c r="A2241" s="348">
        <f t="shared" si="70"/>
        <v>2240</v>
      </c>
      <c r="B2241" s="360">
        <f>DATE('Profit Calculation'!J$6,A$2,A$2+A2241-1)</f>
        <v>44244</v>
      </c>
      <c r="D2241" s="362">
        <f t="shared" ca="1" si="69"/>
        <v>189129862.53887308</v>
      </c>
    </row>
    <row r="2242" spans="1:4">
      <c r="A2242" s="348">
        <f t="shared" si="70"/>
        <v>2241</v>
      </c>
      <c r="B2242" s="360">
        <f>DATE('Profit Calculation'!J$6,A$2,A$2+A2242-1)</f>
        <v>44245</v>
      </c>
      <c r="D2242" s="362">
        <f t="shared" ca="1" si="69"/>
        <v>189202296.01379946</v>
      </c>
    </row>
    <row r="2243" spans="1:4">
      <c r="A2243" s="348">
        <f t="shared" si="70"/>
        <v>2242</v>
      </c>
      <c r="B2243" s="360">
        <f>DATE('Profit Calculation'!J$6,A$2,A$2+A2243-1)</f>
        <v>44246</v>
      </c>
      <c r="D2243" s="362">
        <f t="shared" ca="1" si="69"/>
        <v>189274757.22949728</v>
      </c>
    </row>
    <row r="2244" spans="1:4">
      <c r="A2244" s="348">
        <f t="shared" si="70"/>
        <v>2243</v>
      </c>
      <c r="B2244" s="360">
        <f>DATE('Profit Calculation'!J$6,A$2,A$2+A2244-1)</f>
        <v>44247</v>
      </c>
      <c r="D2244" s="362">
        <f t="shared" ref="D2244:D2307" ca="1" si="71">IF(OR(LOOKUP(B2244,W$1:W$35,W$1:W$35) = B2244, LOOKUP(B2244,X$1:X$35,X$1:X$35) = B2244),LOOKUP(B2244,F:F,G:G),D2243*(1+((IF($Q$18&lt;6,$R$14,IF($Q$18&lt;11,$R$15,$R$16)))))^(1/365))</f>
        <v>189347246.19659078</v>
      </c>
    </row>
    <row r="2245" spans="1:4">
      <c r="A2245" s="348">
        <f t="shared" ref="A2245:A2308" si="72">A2244+1</f>
        <v>2244</v>
      </c>
      <c r="B2245" s="360">
        <f>DATE('Profit Calculation'!J$6,A$2,A$2+A2245-1)</f>
        <v>44248</v>
      </c>
      <c r="D2245" s="362">
        <f t="shared" ca="1" si="71"/>
        <v>189419762.92570826</v>
      </c>
    </row>
    <row r="2246" spans="1:4">
      <c r="A2246" s="348">
        <f t="shared" si="72"/>
        <v>2245</v>
      </c>
      <c r="B2246" s="360">
        <f>DATE('Profit Calculation'!J$6,A$2,A$2+A2246-1)</f>
        <v>44249</v>
      </c>
      <c r="D2246" s="362">
        <f t="shared" ca="1" si="71"/>
        <v>189492307.4274821</v>
      </c>
    </row>
    <row r="2247" spans="1:4">
      <c r="A2247" s="348">
        <f t="shared" si="72"/>
        <v>2246</v>
      </c>
      <c r="B2247" s="360">
        <f>DATE('Profit Calculation'!J$6,A$2,A$2+A2247-1)</f>
        <v>44250</v>
      </c>
      <c r="D2247" s="362">
        <f t="shared" ca="1" si="71"/>
        <v>189564879.71254876</v>
      </c>
    </row>
    <row r="2248" spans="1:4">
      <c r="A2248" s="348">
        <f t="shared" si="72"/>
        <v>2247</v>
      </c>
      <c r="B2248" s="360">
        <f>DATE('Profit Calculation'!J$6,A$2,A$2+A2248-1)</f>
        <v>44251</v>
      </c>
      <c r="D2248" s="362">
        <f t="shared" ca="1" si="71"/>
        <v>189637479.79154876</v>
      </c>
    </row>
    <row r="2249" spans="1:4">
      <c r="A2249" s="348">
        <f t="shared" si="72"/>
        <v>2248</v>
      </c>
      <c r="B2249" s="360">
        <f>DATE('Profit Calculation'!J$6,A$2,A$2+A2249-1)</f>
        <v>44252</v>
      </c>
      <c r="D2249" s="362">
        <f t="shared" ca="1" si="71"/>
        <v>189710107.67512667</v>
      </c>
    </row>
    <row r="2250" spans="1:4">
      <c r="A2250" s="348">
        <f t="shared" si="72"/>
        <v>2249</v>
      </c>
      <c r="B2250" s="360">
        <f>DATE('Profit Calculation'!J$6,A$2,A$2+A2250-1)</f>
        <v>44253</v>
      </c>
      <c r="D2250" s="362">
        <f t="shared" ca="1" si="71"/>
        <v>189782763.3739312</v>
      </c>
    </row>
    <row r="2251" spans="1:4">
      <c r="A2251" s="348">
        <f t="shared" si="72"/>
        <v>2250</v>
      </c>
      <c r="B2251" s="360">
        <f>DATE('Profit Calculation'!J$6,A$2,A$2+A2251-1)</f>
        <v>44254</v>
      </c>
      <c r="D2251" s="362">
        <f t="shared" ca="1" si="71"/>
        <v>189855446.89861509</v>
      </c>
    </row>
    <row r="2252" spans="1:4">
      <c r="A2252" s="348">
        <f t="shared" si="72"/>
        <v>2251</v>
      </c>
      <c r="B2252" s="360">
        <f>DATE('Profit Calculation'!J$6,A$2,A$2+A2252-1)</f>
        <v>44255</v>
      </c>
      <c r="D2252" s="362">
        <f t="shared" ca="1" si="71"/>
        <v>189928158.25983515</v>
      </c>
    </row>
    <row r="2253" spans="1:4">
      <c r="A2253" s="348">
        <f t="shared" si="72"/>
        <v>2252</v>
      </c>
      <c r="B2253" s="360">
        <f>DATE('Profit Calculation'!J$6,A$2,A$2+A2253-1)</f>
        <v>44256</v>
      </c>
      <c r="D2253" s="362">
        <f t="shared" ca="1" si="71"/>
        <v>190000897.46825233</v>
      </c>
    </row>
    <row r="2254" spans="1:4">
      <c r="A2254" s="348">
        <f t="shared" si="72"/>
        <v>2253</v>
      </c>
      <c r="B2254" s="360">
        <f>DATE('Profit Calculation'!J$6,A$2,A$2+A2254-1)</f>
        <v>44257</v>
      </c>
      <c r="D2254" s="362">
        <f t="shared" ca="1" si="71"/>
        <v>190073664.53453159</v>
      </c>
    </row>
    <row r="2255" spans="1:4">
      <c r="A2255" s="348">
        <f t="shared" si="72"/>
        <v>2254</v>
      </c>
      <c r="B2255" s="360">
        <f>DATE('Profit Calculation'!J$6,A$2,A$2+A2255-1)</f>
        <v>44258</v>
      </c>
      <c r="D2255" s="362">
        <f t="shared" ca="1" si="71"/>
        <v>190146459.46934205</v>
      </c>
    </row>
    <row r="2256" spans="1:4">
      <c r="A2256" s="348">
        <f t="shared" si="72"/>
        <v>2255</v>
      </c>
      <c r="B2256" s="360">
        <f>DATE('Profit Calculation'!J$6,A$2,A$2+A2256-1)</f>
        <v>44259</v>
      </c>
      <c r="D2256" s="362">
        <f t="shared" ca="1" si="71"/>
        <v>190219282.28335685</v>
      </c>
    </row>
    <row r="2257" spans="1:4">
      <c r="A2257" s="348">
        <f t="shared" si="72"/>
        <v>2256</v>
      </c>
      <c r="B2257" s="360">
        <f>DATE('Profit Calculation'!J$6,A$2,A$2+A2257-1)</f>
        <v>44260</v>
      </c>
      <c r="D2257" s="362">
        <f t="shared" ca="1" si="71"/>
        <v>190292132.98725325</v>
      </c>
    </row>
    <row r="2258" spans="1:4">
      <c r="A2258" s="348">
        <f t="shared" si="72"/>
        <v>2257</v>
      </c>
      <c r="B2258" s="360">
        <f>DATE('Profit Calculation'!J$6,A$2,A$2+A2258-1)</f>
        <v>44261</v>
      </c>
      <c r="D2258" s="362">
        <f t="shared" ca="1" si="71"/>
        <v>190365011.59171259</v>
      </c>
    </row>
    <row r="2259" spans="1:4">
      <c r="A2259" s="348">
        <f t="shared" si="72"/>
        <v>2258</v>
      </c>
      <c r="B2259" s="360">
        <f>DATE('Profit Calculation'!J$6,A$2,A$2+A2259-1)</f>
        <v>44262</v>
      </c>
      <c r="D2259" s="362">
        <f t="shared" ca="1" si="71"/>
        <v>190437918.1074203</v>
      </c>
    </row>
    <row r="2260" spans="1:4">
      <c r="A2260" s="348">
        <f t="shared" si="72"/>
        <v>2259</v>
      </c>
      <c r="B2260" s="360">
        <f>DATE('Profit Calculation'!J$6,A$2,A$2+A2260-1)</f>
        <v>44263</v>
      </c>
      <c r="D2260" s="362">
        <f t="shared" ca="1" si="71"/>
        <v>190510852.54506591</v>
      </c>
    </row>
    <row r="2261" spans="1:4">
      <c r="A2261" s="348">
        <f t="shared" si="72"/>
        <v>2260</v>
      </c>
      <c r="B2261" s="360">
        <f>DATE('Profit Calculation'!J$6,A$2,A$2+A2261-1)</f>
        <v>44264</v>
      </c>
      <c r="D2261" s="362">
        <f t="shared" ca="1" si="71"/>
        <v>190583814.91534305</v>
      </c>
    </row>
    <row r="2262" spans="1:4">
      <c r="A2262" s="348">
        <f t="shared" si="72"/>
        <v>2261</v>
      </c>
      <c r="B2262" s="360">
        <f>DATE('Profit Calculation'!J$6,A$2,A$2+A2262-1)</f>
        <v>44265</v>
      </c>
      <c r="D2262" s="362">
        <f t="shared" ca="1" si="71"/>
        <v>190656805.22894943</v>
      </c>
    </row>
    <row r="2263" spans="1:4">
      <c r="A2263" s="348">
        <f t="shared" si="72"/>
        <v>2262</v>
      </c>
      <c r="B2263" s="360">
        <f>DATE('Profit Calculation'!J$6,A$2,A$2+A2263-1)</f>
        <v>44266</v>
      </c>
      <c r="D2263" s="362">
        <f t="shared" ca="1" si="71"/>
        <v>190729823.49658686</v>
      </c>
    </row>
    <row r="2264" spans="1:4">
      <c r="A2264" s="348">
        <f t="shared" si="72"/>
        <v>2263</v>
      </c>
      <c r="B2264" s="360">
        <f>DATE('Profit Calculation'!J$6,A$2,A$2+A2264-1)</f>
        <v>44267</v>
      </c>
      <c r="D2264" s="362">
        <f t="shared" ca="1" si="71"/>
        <v>190802869.72896126</v>
      </c>
    </row>
    <row r="2265" spans="1:4">
      <c r="A2265" s="348">
        <f t="shared" si="72"/>
        <v>2264</v>
      </c>
      <c r="B2265" s="360">
        <f>DATE('Profit Calculation'!J$6,A$2,A$2+A2265-1)</f>
        <v>44268</v>
      </c>
      <c r="D2265" s="362">
        <f t="shared" ca="1" si="71"/>
        <v>190875943.93678263</v>
      </c>
    </row>
    <row r="2266" spans="1:4">
      <c r="A2266" s="348">
        <f t="shared" si="72"/>
        <v>2265</v>
      </c>
      <c r="B2266" s="360">
        <f>DATE('Profit Calculation'!J$6,A$2,A$2+A2266-1)</f>
        <v>44269</v>
      </c>
      <c r="D2266" s="362">
        <f t="shared" ca="1" si="71"/>
        <v>190949046.13076508</v>
      </c>
    </row>
    <row r="2267" spans="1:4">
      <c r="A2267" s="348">
        <f t="shared" si="72"/>
        <v>2266</v>
      </c>
      <c r="B2267" s="360">
        <f>DATE('Profit Calculation'!J$6,A$2,A$2+A2267-1)</f>
        <v>44270</v>
      </c>
      <c r="D2267" s="362">
        <f t="shared" ca="1" si="71"/>
        <v>191022176.32162684</v>
      </c>
    </row>
    <row r="2268" spans="1:4">
      <c r="A2268" s="348">
        <f t="shared" si="72"/>
        <v>2267</v>
      </c>
      <c r="B2268" s="360">
        <f>DATE('Profit Calculation'!J$6,A$2,A$2+A2268-1)</f>
        <v>44271</v>
      </c>
      <c r="D2268" s="362">
        <f t="shared" ca="1" si="71"/>
        <v>191095334.52009025</v>
      </c>
    </row>
    <row r="2269" spans="1:4">
      <c r="A2269" s="348">
        <f t="shared" si="72"/>
        <v>2268</v>
      </c>
      <c r="B2269" s="360">
        <f>DATE('Profit Calculation'!J$6,A$2,A$2+A2269-1)</f>
        <v>44272</v>
      </c>
      <c r="D2269" s="362">
        <f t="shared" ca="1" si="71"/>
        <v>191168520.7368817</v>
      </c>
    </row>
    <row r="2270" spans="1:4">
      <c r="A2270" s="348">
        <f t="shared" si="72"/>
        <v>2269</v>
      </c>
      <c r="B2270" s="360">
        <f>DATE('Profit Calculation'!J$6,A$2,A$2+A2270-1)</f>
        <v>44273</v>
      </c>
      <c r="D2270" s="362">
        <f t="shared" ca="1" si="71"/>
        <v>191241734.98273176</v>
      </c>
    </row>
    <row r="2271" spans="1:4">
      <c r="A2271" s="348">
        <f t="shared" si="72"/>
        <v>2270</v>
      </c>
      <c r="B2271" s="360">
        <f>DATE('Profit Calculation'!J$6,A$2,A$2+A2271-1)</f>
        <v>44274</v>
      </c>
      <c r="D2271" s="362">
        <f t="shared" ca="1" si="71"/>
        <v>191314977.26837504</v>
      </c>
    </row>
    <row r="2272" spans="1:4">
      <c r="A2272" s="348">
        <f t="shared" si="72"/>
        <v>2271</v>
      </c>
      <c r="B2272" s="360">
        <f>DATE('Profit Calculation'!J$6,A$2,A$2+A2272-1)</f>
        <v>44275</v>
      </c>
      <c r="D2272" s="362">
        <f t="shared" ca="1" si="71"/>
        <v>191388247.60455033</v>
      </c>
    </row>
    <row r="2273" spans="1:4">
      <c r="A2273" s="348">
        <f t="shared" si="72"/>
        <v>2272</v>
      </c>
      <c r="B2273" s="360">
        <f>DATE('Profit Calculation'!J$6,A$2,A$2+A2273-1)</f>
        <v>44276</v>
      </c>
      <c r="D2273" s="362">
        <f t="shared" ca="1" si="71"/>
        <v>191461546.00200048</v>
      </c>
    </row>
    <row r="2274" spans="1:4">
      <c r="A2274" s="348">
        <f t="shared" si="72"/>
        <v>2273</v>
      </c>
      <c r="B2274" s="360">
        <f>DATE('Profit Calculation'!J$6,A$2,A$2+A2274-1)</f>
        <v>44277</v>
      </c>
      <c r="D2274" s="362">
        <f t="shared" ca="1" si="71"/>
        <v>191534872.47147247</v>
      </c>
    </row>
    <row r="2275" spans="1:4">
      <c r="A2275" s="348">
        <f t="shared" si="72"/>
        <v>2274</v>
      </c>
      <c r="B2275" s="360">
        <f>DATE('Profit Calculation'!J$6,A$2,A$2+A2275-1)</f>
        <v>44278</v>
      </c>
      <c r="D2275" s="362">
        <f t="shared" ca="1" si="71"/>
        <v>191608227.02371743</v>
      </c>
    </row>
    <row r="2276" spans="1:4">
      <c r="A2276" s="348">
        <f t="shared" si="72"/>
        <v>2275</v>
      </c>
      <c r="B2276" s="360">
        <f>DATE('Profit Calculation'!J$6,A$2,A$2+A2276-1)</f>
        <v>44279</v>
      </c>
      <c r="D2276" s="362">
        <f t="shared" ca="1" si="71"/>
        <v>191681609.66949055</v>
      </c>
    </row>
    <row r="2277" spans="1:4">
      <c r="A2277" s="348">
        <f t="shared" si="72"/>
        <v>2276</v>
      </c>
      <c r="B2277" s="360">
        <f>DATE('Profit Calculation'!J$6,A$2,A$2+A2277-1)</f>
        <v>44280</v>
      </c>
      <c r="D2277" s="362">
        <f t="shared" ca="1" si="71"/>
        <v>191755020.41955116</v>
      </c>
    </row>
    <row r="2278" spans="1:4">
      <c r="A2278" s="348">
        <f t="shared" si="72"/>
        <v>2277</v>
      </c>
      <c r="B2278" s="360">
        <f>DATE('Profit Calculation'!J$6,A$2,A$2+A2278-1)</f>
        <v>44281</v>
      </c>
      <c r="D2278" s="362">
        <f t="shared" ca="1" si="71"/>
        <v>191828459.28466275</v>
      </c>
    </row>
    <row r="2279" spans="1:4">
      <c r="A2279" s="348">
        <f t="shared" si="72"/>
        <v>2278</v>
      </c>
      <c r="B2279" s="360">
        <f>DATE('Profit Calculation'!J$6,A$2,A$2+A2279-1)</f>
        <v>44282</v>
      </c>
      <c r="D2279" s="362">
        <f t="shared" ca="1" si="71"/>
        <v>191901926.27559289</v>
      </c>
    </row>
    <row r="2280" spans="1:4">
      <c r="A2280" s="348">
        <f t="shared" si="72"/>
        <v>2279</v>
      </c>
      <c r="B2280" s="360">
        <f>DATE('Profit Calculation'!J$6,A$2,A$2+A2280-1)</f>
        <v>44283</v>
      </c>
      <c r="D2280" s="362">
        <f t="shared" ca="1" si="71"/>
        <v>191975421.40311328</v>
      </c>
    </row>
    <row r="2281" spans="1:4">
      <c r="A2281" s="348">
        <f t="shared" si="72"/>
        <v>2280</v>
      </c>
      <c r="B2281" s="360">
        <f>DATE('Profit Calculation'!J$6,A$2,A$2+A2281-1)</f>
        <v>44284</v>
      </c>
      <c r="D2281" s="362">
        <f t="shared" ca="1" si="71"/>
        <v>192048944.67799973</v>
      </c>
    </row>
    <row r="2282" spans="1:4">
      <c r="A2282" s="348">
        <f t="shared" si="72"/>
        <v>2281</v>
      </c>
      <c r="B2282" s="360">
        <f>DATE('Profit Calculation'!J$6,A$2,A$2+A2282-1)</f>
        <v>44285</v>
      </c>
      <c r="D2282" s="362">
        <f t="shared" ca="1" si="71"/>
        <v>192122496.11103222</v>
      </c>
    </row>
    <row r="2283" spans="1:4">
      <c r="A2283" s="348">
        <f t="shared" si="72"/>
        <v>2282</v>
      </c>
      <c r="B2283" s="360">
        <f>DATE('Profit Calculation'!J$6,A$2,A$2+A2283-1)</f>
        <v>44286</v>
      </c>
      <c r="D2283" s="362">
        <f t="shared" ca="1" si="71"/>
        <v>192196075.71299481</v>
      </c>
    </row>
    <row r="2284" spans="1:4">
      <c r="A2284" s="348">
        <f t="shared" si="72"/>
        <v>2283</v>
      </c>
      <c r="B2284" s="360">
        <f>DATE('Profit Calculation'!J$6,A$2,A$2+A2284-1)</f>
        <v>44287</v>
      </c>
      <c r="D2284" s="362">
        <f t="shared" ca="1" si="71"/>
        <v>184711855</v>
      </c>
    </row>
    <row r="2285" spans="1:4">
      <c r="A2285" s="348">
        <f t="shared" si="72"/>
        <v>2284</v>
      </c>
      <c r="B2285" s="360">
        <f>DATE('Profit Calculation'!J$6,A$2,A$2+A2285-1)</f>
        <v>44288</v>
      </c>
      <c r="D2285" s="362">
        <f t="shared" ca="1" si="71"/>
        <v>184782596.45424813</v>
      </c>
    </row>
    <row r="2286" spans="1:4">
      <c r="A2286" s="348">
        <f t="shared" si="72"/>
        <v>2285</v>
      </c>
      <c r="B2286" s="360">
        <f>DATE('Profit Calculation'!J$6,A$2,A$2+A2286-1)</f>
        <v>44289</v>
      </c>
      <c r="D2286" s="362">
        <f t="shared" ca="1" si="71"/>
        <v>184853365.00125295</v>
      </c>
    </row>
    <row r="2287" spans="1:4">
      <c r="A2287" s="348">
        <f t="shared" si="72"/>
        <v>2286</v>
      </c>
      <c r="B2287" s="360">
        <f>DATE('Profit Calculation'!J$6,A$2,A$2+A2287-1)</f>
        <v>44290</v>
      </c>
      <c r="D2287" s="362">
        <f t="shared" ca="1" si="71"/>
        <v>184924160.65139055</v>
      </c>
    </row>
    <row r="2288" spans="1:4">
      <c r="A2288" s="348">
        <f t="shared" si="72"/>
        <v>2287</v>
      </c>
      <c r="B2288" s="360">
        <f>DATE('Profit Calculation'!J$6,A$2,A$2+A2288-1)</f>
        <v>44291</v>
      </c>
      <c r="D2288" s="362">
        <f t="shared" ca="1" si="71"/>
        <v>184994983.41504094</v>
      </c>
    </row>
    <row r="2289" spans="1:4">
      <c r="A2289" s="348">
        <f t="shared" si="72"/>
        <v>2288</v>
      </c>
      <c r="B2289" s="360">
        <f>DATE('Profit Calculation'!J$6,A$2,A$2+A2289-1)</f>
        <v>44292</v>
      </c>
      <c r="D2289" s="362">
        <f t="shared" ca="1" si="71"/>
        <v>185065833.30258814</v>
      </c>
    </row>
    <row r="2290" spans="1:4">
      <c r="A2290" s="348">
        <f t="shared" si="72"/>
        <v>2289</v>
      </c>
      <c r="B2290" s="360">
        <f>DATE('Profit Calculation'!J$6,A$2,A$2+A2290-1)</f>
        <v>44293</v>
      </c>
      <c r="D2290" s="362">
        <f t="shared" ca="1" si="71"/>
        <v>185136710.32442012</v>
      </c>
    </row>
    <row r="2291" spans="1:4">
      <c r="A2291" s="348">
        <f t="shared" si="72"/>
        <v>2290</v>
      </c>
      <c r="B2291" s="360">
        <f>DATE('Profit Calculation'!J$6,A$2,A$2+A2291-1)</f>
        <v>44294</v>
      </c>
      <c r="D2291" s="362">
        <f t="shared" ca="1" si="71"/>
        <v>185207614.49092889</v>
      </c>
    </row>
    <row r="2292" spans="1:4">
      <c r="A2292" s="348">
        <f t="shared" si="72"/>
        <v>2291</v>
      </c>
      <c r="B2292" s="360">
        <f>DATE('Profit Calculation'!J$6,A$2,A$2+A2292-1)</f>
        <v>44295</v>
      </c>
      <c r="D2292" s="362">
        <f t="shared" ca="1" si="71"/>
        <v>185278545.81251034</v>
      </c>
    </row>
    <row r="2293" spans="1:4">
      <c r="A2293" s="348">
        <f t="shared" si="72"/>
        <v>2292</v>
      </c>
      <c r="B2293" s="360">
        <f>DATE('Profit Calculation'!J$6,A$2,A$2+A2293-1)</f>
        <v>44296</v>
      </c>
      <c r="D2293" s="362">
        <f t="shared" ca="1" si="71"/>
        <v>185349504.29956442</v>
      </c>
    </row>
    <row r="2294" spans="1:4">
      <c r="A2294" s="348">
        <f t="shared" si="72"/>
        <v>2293</v>
      </c>
      <c r="B2294" s="360">
        <f>DATE('Profit Calculation'!J$6,A$2,A$2+A2294-1)</f>
        <v>44297</v>
      </c>
      <c r="D2294" s="362">
        <f t="shared" ca="1" si="71"/>
        <v>185420489.96249503</v>
      </c>
    </row>
    <row r="2295" spans="1:4">
      <c r="A2295" s="348">
        <f t="shared" si="72"/>
        <v>2294</v>
      </c>
      <c r="B2295" s="360">
        <f>DATE('Profit Calculation'!J$6,A$2,A$2+A2295-1)</f>
        <v>44298</v>
      </c>
      <c r="D2295" s="362">
        <f t="shared" ca="1" si="71"/>
        <v>185491502.81171006</v>
      </c>
    </row>
    <row r="2296" spans="1:4">
      <c r="A2296" s="348">
        <f t="shared" si="72"/>
        <v>2295</v>
      </c>
      <c r="B2296" s="360">
        <f>DATE('Profit Calculation'!J$6,A$2,A$2+A2296-1)</f>
        <v>44299</v>
      </c>
      <c r="D2296" s="362">
        <f t="shared" ca="1" si="71"/>
        <v>185562542.8576214</v>
      </c>
    </row>
    <row r="2297" spans="1:4">
      <c r="A2297" s="348">
        <f t="shared" si="72"/>
        <v>2296</v>
      </c>
      <c r="B2297" s="360">
        <f>DATE('Profit Calculation'!J$6,A$2,A$2+A2297-1)</f>
        <v>44300</v>
      </c>
      <c r="D2297" s="362">
        <f t="shared" ca="1" si="71"/>
        <v>185633610.11064491</v>
      </c>
    </row>
    <row r="2298" spans="1:4">
      <c r="A2298" s="348">
        <f t="shared" si="72"/>
        <v>2297</v>
      </c>
      <c r="B2298" s="360">
        <f>DATE('Profit Calculation'!J$6,A$2,A$2+A2298-1)</f>
        <v>44301</v>
      </c>
      <c r="D2298" s="362">
        <f t="shared" ca="1" si="71"/>
        <v>185704704.58120045</v>
      </c>
    </row>
    <row r="2299" spans="1:4">
      <c r="A2299" s="348">
        <f t="shared" si="72"/>
        <v>2298</v>
      </c>
      <c r="B2299" s="360">
        <f>DATE('Profit Calculation'!J$6,A$2,A$2+A2299-1)</f>
        <v>44302</v>
      </c>
      <c r="D2299" s="362">
        <f t="shared" ca="1" si="71"/>
        <v>185775826.27971184</v>
      </c>
    </row>
    <row r="2300" spans="1:4">
      <c r="A2300" s="348">
        <f t="shared" si="72"/>
        <v>2299</v>
      </c>
      <c r="B2300" s="360">
        <f>DATE('Profit Calculation'!J$6,A$2,A$2+A2300-1)</f>
        <v>44303</v>
      </c>
      <c r="D2300" s="362">
        <f t="shared" ca="1" si="71"/>
        <v>185846975.21660694</v>
      </c>
    </row>
    <row r="2301" spans="1:4">
      <c r="A2301" s="348">
        <f t="shared" si="72"/>
        <v>2300</v>
      </c>
      <c r="B2301" s="360">
        <f>DATE('Profit Calculation'!J$6,A$2,A$2+A2301-1)</f>
        <v>44304</v>
      </c>
      <c r="D2301" s="362">
        <f t="shared" ca="1" si="71"/>
        <v>185918151.40231758</v>
      </c>
    </row>
    <row r="2302" spans="1:4">
      <c r="A2302" s="348">
        <f t="shared" si="72"/>
        <v>2301</v>
      </c>
      <c r="B2302" s="360">
        <f>DATE('Profit Calculation'!J$6,A$2,A$2+A2302-1)</f>
        <v>44305</v>
      </c>
      <c r="D2302" s="362">
        <f t="shared" ca="1" si="71"/>
        <v>185989354.84727958</v>
      </c>
    </row>
    <row r="2303" spans="1:4">
      <c r="A2303" s="348">
        <f t="shared" si="72"/>
        <v>2302</v>
      </c>
      <c r="B2303" s="360">
        <f>DATE('Profit Calculation'!J$6,A$2,A$2+A2303-1)</f>
        <v>44306</v>
      </c>
      <c r="D2303" s="362">
        <f t="shared" ca="1" si="71"/>
        <v>186060585.56193277</v>
      </c>
    </row>
    <row r="2304" spans="1:4">
      <c r="A2304" s="348">
        <f t="shared" si="72"/>
        <v>2303</v>
      </c>
      <c r="B2304" s="360">
        <f>DATE('Profit Calculation'!J$6,A$2,A$2+A2304-1)</f>
        <v>44307</v>
      </c>
      <c r="D2304" s="362">
        <f t="shared" ca="1" si="71"/>
        <v>186131843.55672097</v>
      </c>
    </row>
    <row r="2305" spans="1:4">
      <c r="A2305" s="348">
        <f t="shared" si="72"/>
        <v>2304</v>
      </c>
      <c r="B2305" s="360">
        <f>DATE('Profit Calculation'!J$6,A$2,A$2+A2305-1)</f>
        <v>44308</v>
      </c>
      <c r="D2305" s="362">
        <f t="shared" ca="1" si="71"/>
        <v>186203128.84209198</v>
      </c>
    </row>
    <row r="2306" spans="1:4">
      <c r="A2306" s="348">
        <f t="shared" si="72"/>
        <v>2305</v>
      </c>
      <c r="B2306" s="360">
        <f>DATE('Profit Calculation'!J$6,A$2,A$2+A2306-1)</f>
        <v>44309</v>
      </c>
      <c r="D2306" s="362">
        <f t="shared" ca="1" si="71"/>
        <v>186274441.42849764</v>
      </c>
    </row>
    <row r="2307" spans="1:4">
      <c r="A2307" s="348">
        <f t="shared" si="72"/>
        <v>2306</v>
      </c>
      <c r="B2307" s="360">
        <f>DATE('Profit Calculation'!J$6,A$2,A$2+A2307-1)</f>
        <v>44310</v>
      </c>
      <c r="D2307" s="362">
        <f t="shared" ca="1" si="71"/>
        <v>186345781.32639378</v>
      </c>
    </row>
    <row r="2308" spans="1:4">
      <c r="A2308" s="348">
        <f t="shared" si="72"/>
        <v>2307</v>
      </c>
      <c r="B2308" s="360">
        <f>DATE('Profit Calculation'!J$6,A$2,A$2+A2308-1)</f>
        <v>44311</v>
      </c>
      <c r="D2308" s="362">
        <f t="shared" ref="D2308:D2371" ca="1" si="73">IF(OR(LOOKUP(B2308,W$1:W$35,W$1:W$35) = B2308, LOOKUP(B2308,X$1:X$35,X$1:X$35) = B2308),LOOKUP(B2308,F:F,G:G),D2307*(1+((IF($Q$18&lt;6,$R$14,IF($Q$18&lt;11,$R$15,$R$16)))))^(1/365))</f>
        <v>186417148.54624024</v>
      </c>
    </row>
    <row r="2309" spans="1:4">
      <c r="A2309" s="348">
        <f t="shared" ref="A2309:A2372" si="74">A2308+1</f>
        <v>2308</v>
      </c>
      <c r="B2309" s="360">
        <f>DATE('Profit Calculation'!J$6,A$2,A$2+A2309-1)</f>
        <v>44312</v>
      </c>
      <c r="D2309" s="362">
        <f t="shared" ca="1" si="73"/>
        <v>186488543.09850082</v>
      </c>
    </row>
    <row r="2310" spans="1:4">
      <c r="A2310" s="348">
        <f t="shared" si="74"/>
        <v>2309</v>
      </c>
      <c r="B2310" s="360">
        <f>DATE('Profit Calculation'!J$6,A$2,A$2+A2310-1)</f>
        <v>44313</v>
      </c>
      <c r="D2310" s="362">
        <f t="shared" ca="1" si="73"/>
        <v>186559964.9936434</v>
      </c>
    </row>
    <row r="2311" spans="1:4">
      <c r="A2311" s="348">
        <f t="shared" si="74"/>
        <v>2310</v>
      </c>
      <c r="B2311" s="360">
        <f>DATE('Profit Calculation'!J$6,A$2,A$2+A2311-1)</f>
        <v>44314</v>
      </c>
      <c r="D2311" s="362">
        <f t="shared" ca="1" si="73"/>
        <v>186631414.24213982</v>
      </c>
    </row>
    <row r="2312" spans="1:4">
      <c r="A2312" s="348">
        <f t="shared" si="74"/>
        <v>2311</v>
      </c>
      <c r="B2312" s="360">
        <f>DATE('Profit Calculation'!J$6,A$2,A$2+A2312-1)</f>
        <v>44315</v>
      </c>
      <c r="D2312" s="362">
        <f t="shared" ca="1" si="73"/>
        <v>186702890.85446593</v>
      </c>
    </row>
    <row r="2313" spans="1:4">
      <c r="A2313" s="348">
        <f t="shared" si="74"/>
        <v>2312</v>
      </c>
      <c r="B2313" s="360">
        <f>DATE('Profit Calculation'!J$6,A$2,A$2+A2313-1)</f>
        <v>44316</v>
      </c>
      <c r="D2313" s="362">
        <f t="shared" ca="1" si="73"/>
        <v>186774394.84110162</v>
      </c>
    </row>
    <row r="2314" spans="1:4">
      <c r="A2314" s="348">
        <f t="shared" si="74"/>
        <v>2313</v>
      </c>
      <c r="B2314" s="360">
        <f>DATE('Profit Calculation'!J$6,A$2,A$2+A2314-1)</f>
        <v>44317</v>
      </c>
      <c r="D2314" s="362">
        <f t="shared" ca="1" si="73"/>
        <v>186845926.21253076</v>
      </c>
    </row>
    <row r="2315" spans="1:4">
      <c r="A2315" s="348">
        <f t="shared" si="74"/>
        <v>2314</v>
      </c>
      <c r="B2315" s="360">
        <f>DATE('Profit Calculation'!J$6,A$2,A$2+A2315-1)</f>
        <v>44318</v>
      </c>
      <c r="D2315" s="362">
        <f t="shared" ca="1" si="73"/>
        <v>186917484.97924128</v>
      </c>
    </row>
    <row r="2316" spans="1:4">
      <c r="A2316" s="348">
        <f t="shared" si="74"/>
        <v>2315</v>
      </c>
      <c r="B2316" s="360">
        <f>DATE('Profit Calculation'!J$6,A$2,A$2+A2316-1)</f>
        <v>44319</v>
      </c>
      <c r="D2316" s="362">
        <f t="shared" ca="1" si="73"/>
        <v>186989071.15172508</v>
      </c>
    </row>
    <row r="2317" spans="1:4">
      <c r="A2317" s="348">
        <f t="shared" si="74"/>
        <v>2316</v>
      </c>
      <c r="B2317" s="360">
        <f>DATE('Profit Calculation'!J$6,A$2,A$2+A2317-1)</f>
        <v>44320</v>
      </c>
      <c r="D2317" s="362">
        <f t="shared" ca="1" si="73"/>
        <v>187060684.7404781</v>
      </c>
    </row>
    <row r="2318" spans="1:4">
      <c r="A2318" s="348">
        <f t="shared" si="74"/>
        <v>2317</v>
      </c>
      <c r="B2318" s="360">
        <f>DATE('Profit Calculation'!J$6,A$2,A$2+A2318-1)</f>
        <v>44321</v>
      </c>
      <c r="D2318" s="362">
        <f t="shared" ca="1" si="73"/>
        <v>187132325.75600031</v>
      </c>
    </row>
    <row r="2319" spans="1:4">
      <c r="A2319" s="348">
        <f t="shared" si="74"/>
        <v>2318</v>
      </c>
      <c r="B2319" s="360">
        <f>DATE('Profit Calculation'!J$6,A$2,A$2+A2319-1)</f>
        <v>44322</v>
      </c>
      <c r="D2319" s="362">
        <f t="shared" ca="1" si="73"/>
        <v>187203994.20879567</v>
      </c>
    </row>
    <row r="2320" spans="1:4">
      <c r="A2320" s="348">
        <f t="shared" si="74"/>
        <v>2319</v>
      </c>
      <c r="B2320" s="360">
        <f>DATE('Profit Calculation'!J$6,A$2,A$2+A2320-1)</f>
        <v>44323</v>
      </c>
      <c r="D2320" s="362">
        <f t="shared" ca="1" si="73"/>
        <v>187275690.1093722</v>
      </c>
    </row>
    <row r="2321" spans="1:4">
      <c r="A2321" s="348">
        <f t="shared" si="74"/>
        <v>2320</v>
      </c>
      <c r="B2321" s="360">
        <f>DATE('Profit Calculation'!J$6,A$2,A$2+A2321-1)</f>
        <v>44324</v>
      </c>
      <c r="D2321" s="362">
        <f t="shared" ca="1" si="73"/>
        <v>187347413.46824193</v>
      </c>
    </row>
    <row r="2322" spans="1:4">
      <c r="A2322" s="348">
        <f t="shared" si="74"/>
        <v>2321</v>
      </c>
      <c r="B2322" s="360">
        <f>DATE('Profit Calculation'!J$6,A$2,A$2+A2322-1)</f>
        <v>44325</v>
      </c>
      <c r="D2322" s="362">
        <f t="shared" ca="1" si="73"/>
        <v>187419164.29592088</v>
      </c>
    </row>
    <row r="2323" spans="1:4">
      <c r="A2323" s="348">
        <f t="shared" si="74"/>
        <v>2322</v>
      </c>
      <c r="B2323" s="360">
        <f>DATE('Profit Calculation'!J$6,A$2,A$2+A2323-1)</f>
        <v>44326</v>
      </c>
      <c r="D2323" s="362">
        <f t="shared" ca="1" si="73"/>
        <v>187490942.60292917</v>
      </c>
    </row>
    <row r="2324" spans="1:4">
      <c r="A2324" s="348">
        <f t="shared" si="74"/>
        <v>2323</v>
      </c>
      <c r="B2324" s="360">
        <f>DATE('Profit Calculation'!J$6,A$2,A$2+A2324-1)</f>
        <v>44327</v>
      </c>
      <c r="D2324" s="362">
        <f t="shared" ca="1" si="73"/>
        <v>187562748.39979088</v>
      </c>
    </row>
    <row r="2325" spans="1:4">
      <c r="A2325" s="348">
        <f t="shared" si="74"/>
        <v>2324</v>
      </c>
      <c r="B2325" s="360">
        <f>DATE('Profit Calculation'!J$6,A$2,A$2+A2325-1)</f>
        <v>44328</v>
      </c>
      <c r="D2325" s="362">
        <f t="shared" ca="1" si="73"/>
        <v>187634581.69703418</v>
      </c>
    </row>
    <row r="2326" spans="1:4">
      <c r="A2326" s="348">
        <f t="shared" si="74"/>
        <v>2325</v>
      </c>
      <c r="B2326" s="360">
        <f>DATE('Profit Calculation'!J$6,A$2,A$2+A2326-1)</f>
        <v>44329</v>
      </c>
      <c r="D2326" s="362">
        <f t="shared" ca="1" si="73"/>
        <v>187706442.50519121</v>
      </c>
    </row>
    <row r="2327" spans="1:4">
      <c r="A2327" s="348">
        <f t="shared" si="74"/>
        <v>2326</v>
      </c>
      <c r="B2327" s="360">
        <f>DATE('Profit Calculation'!J$6,A$2,A$2+A2327-1)</f>
        <v>44330</v>
      </c>
      <c r="D2327" s="362">
        <f t="shared" ca="1" si="73"/>
        <v>187778330.83479819</v>
      </c>
    </row>
    <row r="2328" spans="1:4">
      <c r="A2328" s="348">
        <f t="shared" si="74"/>
        <v>2327</v>
      </c>
      <c r="B2328" s="360">
        <f>DATE('Profit Calculation'!J$6,A$2,A$2+A2328-1)</f>
        <v>44331</v>
      </c>
      <c r="D2328" s="362">
        <f t="shared" ca="1" si="73"/>
        <v>187850246.69639537</v>
      </c>
    </row>
    <row r="2329" spans="1:4">
      <c r="A2329" s="348">
        <f t="shared" si="74"/>
        <v>2328</v>
      </c>
      <c r="B2329" s="360">
        <f>DATE('Profit Calculation'!J$6,A$2,A$2+A2329-1)</f>
        <v>44332</v>
      </c>
      <c r="D2329" s="362">
        <f t="shared" ca="1" si="73"/>
        <v>187922190.10052702</v>
      </c>
    </row>
    <row r="2330" spans="1:4">
      <c r="A2330" s="348">
        <f t="shared" si="74"/>
        <v>2329</v>
      </c>
      <c r="B2330" s="360">
        <f>DATE('Profit Calculation'!J$6,A$2,A$2+A2330-1)</f>
        <v>44333</v>
      </c>
      <c r="D2330" s="362">
        <f t="shared" ca="1" si="73"/>
        <v>187994161.05774143</v>
      </c>
    </row>
    <row r="2331" spans="1:4">
      <c r="A2331" s="348">
        <f t="shared" si="74"/>
        <v>2330</v>
      </c>
      <c r="B2331" s="360">
        <f>DATE('Profit Calculation'!J$6,A$2,A$2+A2331-1)</f>
        <v>44334</v>
      </c>
      <c r="D2331" s="362">
        <f t="shared" ca="1" si="73"/>
        <v>188066159.57859099</v>
      </c>
    </row>
    <row r="2332" spans="1:4">
      <c r="A2332" s="348">
        <f t="shared" si="74"/>
        <v>2331</v>
      </c>
      <c r="B2332" s="360">
        <f>DATE('Profit Calculation'!J$6,A$2,A$2+A2332-1)</f>
        <v>44335</v>
      </c>
      <c r="D2332" s="362">
        <f t="shared" ca="1" si="73"/>
        <v>188138185.67363209</v>
      </c>
    </row>
    <row r="2333" spans="1:4">
      <c r="A2333" s="348">
        <f t="shared" si="74"/>
        <v>2332</v>
      </c>
      <c r="B2333" s="360">
        <f>DATE('Profit Calculation'!J$6,A$2,A$2+A2333-1)</f>
        <v>44336</v>
      </c>
      <c r="D2333" s="362">
        <f t="shared" ca="1" si="73"/>
        <v>188210239.35342517</v>
      </c>
    </row>
    <row r="2334" spans="1:4">
      <c r="A2334" s="348">
        <f t="shared" si="74"/>
        <v>2333</v>
      </c>
      <c r="B2334" s="360">
        <f>DATE('Profit Calculation'!J$6,A$2,A$2+A2334-1)</f>
        <v>44337</v>
      </c>
      <c r="D2334" s="362">
        <f t="shared" ca="1" si="73"/>
        <v>188282320.6285347</v>
      </c>
    </row>
    <row r="2335" spans="1:4">
      <c r="A2335" s="348">
        <f t="shared" si="74"/>
        <v>2334</v>
      </c>
      <c r="B2335" s="360">
        <f>DATE('Profit Calculation'!J$6,A$2,A$2+A2335-1)</f>
        <v>44338</v>
      </c>
      <c r="D2335" s="362">
        <f t="shared" ca="1" si="73"/>
        <v>188354429.50952923</v>
      </c>
    </row>
    <row r="2336" spans="1:4">
      <c r="A2336" s="348">
        <f t="shared" si="74"/>
        <v>2335</v>
      </c>
      <c r="B2336" s="360">
        <f>DATE('Profit Calculation'!J$6,A$2,A$2+A2336-1)</f>
        <v>44339</v>
      </c>
      <c r="D2336" s="362">
        <f t="shared" ca="1" si="73"/>
        <v>188426566.00698131</v>
      </c>
    </row>
    <row r="2337" spans="1:4">
      <c r="A2337" s="348">
        <f t="shared" si="74"/>
        <v>2336</v>
      </c>
      <c r="B2337" s="360">
        <f>DATE('Profit Calculation'!J$6,A$2,A$2+A2337-1)</f>
        <v>44340</v>
      </c>
      <c r="D2337" s="362">
        <f t="shared" ca="1" si="73"/>
        <v>188498730.13146761</v>
      </c>
    </row>
    <row r="2338" spans="1:4">
      <c r="A2338" s="348">
        <f t="shared" si="74"/>
        <v>2337</v>
      </c>
      <c r="B2338" s="360">
        <f>DATE('Profit Calculation'!J$6,A$2,A$2+A2338-1)</f>
        <v>44341</v>
      </c>
      <c r="D2338" s="362">
        <f t="shared" ca="1" si="73"/>
        <v>188570921.89356875</v>
      </c>
    </row>
    <row r="2339" spans="1:4">
      <c r="A2339" s="348">
        <f t="shared" si="74"/>
        <v>2338</v>
      </c>
      <c r="B2339" s="360">
        <f>DATE('Profit Calculation'!J$6,A$2,A$2+A2339-1)</f>
        <v>44342</v>
      </c>
      <c r="D2339" s="362">
        <f t="shared" ca="1" si="73"/>
        <v>188643141.30386952</v>
      </c>
    </row>
    <row r="2340" spans="1:4">
      <c r="A2340" s="348">
        <f t="shared" si="74"/>
        <v>2339</v>
      </c>
      <c r="B2340" s="360">
        <f>DATE('Profit Calculation'!J$6,A$2,A$2+A2340-1)</f>
        <v>44343</v>
      </c>
      <c r="D2340" s="362">
        <f t="shared" ca="1" si="73"/>
        <v>188715388.37295866</v>
      </c>
    </row>
    <row r="2341" spans="1:4">
      <c r="A2341" s="348">
        <f t="shared" si="74"/>
        <v>2340</v>
      </c>
      <c r="B2341" s="360">
        <f>DATE('Profit Calculation'!J$6,A$2,A$2+A2341-1)</f>
        <v>44344</v>
      </c>
      <c r="D2341" s="362">
        <f t="shared" ca="1" si="73"/>
        <v>188787663.11142904</v>
      </c>
    </row>
    <row r="2342" spans="1:4">
      <c r="A2342" s="348">
        <f t="shared" si="74"/>
        <v>2341</v>
      </c>
      <c r="B2342" s="360">
        <f>DATE('Profit Calculation'!J$6,A$2,A$2+A2342-1)</f>
        <v>44345</v>
      </c>
      <c r="D2342" s="362">
        <f t="shared" ca="1" si="73"/>
        <v>188859965.52987751</v>
      </c>
    </row>
    <row r="2343" spans="1:4">
      <c r="A2343" s="348">
        <f t="shared" si="74"/>
        <v>2342</v>
      </c>
      <c r="B2343" s="360">
        <f>DATE('Profit Calculation'!J$6,A$2,A$2+A2343-1)</f>
        <v>44346</v>
      </c>
      <c r="D2343" s="362">
        <f t="shared" ca="1" si="73"/>
        <v>188932295.63890508</v>
      </c>
    </row>
    <row r="2344" spans="1:4">
      <c r="A2344" s="348">
        <f t="shared" si="74"/>
        <v>2343</v>
      </c>
      <c r="B2344" s="360">
        <f>DATE('Profit Calculation'!J$6,A$2,A$2+A2344-1)</f>
        <v>44347</v>
      </c>
      <c r="D2344" s="362">
        <f t="shared" ca="1" si="73"/>
        <v>189004653.44911674</v>
      </c>
    </row>
    <row r="2345" spans="1:4">
      <c r="A2345" s="348">
        <f t="shared" si="74"/>
        <v>2344</v>
      </c>
      <c r="B2345" s="360">
        <f>DATE('Profit Calculation'!J$6,A$2,A$2+A2345-1)</f>
        <v>44348</v>
      </c>
      <c r="D2345" s="362">
        <f t="shared" ca="1" si="73"/>
        <v>189077038.97112155</v>
      </c>
    </row>
    <row r="2346" spans="1:4">
      <c r="A2346" s="348">
        <f t="shared" si="74"/>
        <v>2345</v>
      </c>
      <c r="B2346" s="360">
        <f>DATE('Profit Calculation'!J$6,A$2,A$2+A2346-1)</f>
        <v>44349</v>
      </c>
      <c r="D2346" s="362">
        <f t="shared" ca="1" si="73"/>
        <v>189149452.21553266</v>
      </c>
    </row>
    <row r="2347" spans="1:4">
      <c r="A2347" s="348">
        <f t="shared" si="74"/>
        <v>2346</v>
      </c>
      <c r="B2347" s="360">
        <f>DATE('Profit Calculation'!J$6,A$2,A$2+A2347-1)</f>
        <v>44350</v>
      </c>
      <c r="D2347" s="362">
        <f t="shared" ca="1" si="73"/>
        <v>189221893.19296727</v>
      </c>
    </row>
    <row r="2348" spans="1:4">
      <c r="A2348" s="348">
        <f t="shared" si="74"/>
        <v>2347</v>
      </c>
      <c r="B2348" s="360">
        <f>DATE('Profit Calculation'!J$6,A$2,A$2+A2348-1)</f>
        <v>44351</v>
      </c>
      <c r="D2348" s="362">
        <f t="shared" ca="1" si="73"/>
        <v>189294361.91404665</v>
      </c>
    </row>
    <row r="2349" spans="1:4">
      <c r="A2349" s="348">
        <f t="shared" si="74"/>
        <v>2348</v>
      </c>
      <c r="B2349" s="360">
        <f>DATE('Profit Calculation'!J$6,A$2,A$2+A2349-1)</f>
        <v>44352</v>
      </c>
      <c r="D2349" s="362">
        <f t="shared" ca="1" si="73"/>
        <v>189366858.38939616</v>
      </c>
    </row>
    <row r="2350" spans="1:4">
      <c r="A2350" s="348">
        <f t="shared" si="74"/>
        <v>2349</v>
      </c>
      <c r="B2350" s="360">
        <f>DATE('Profit Calculation'!J$6,A$2,A$2+A2350-1)</f>
        <v>44353</v>
      </c>
      <c r="D2350" s="362">
        <f t="shared" ca="1" si="73"/>
        <v>189439382.6296452</v>
      </c>
    </row>
    <row r="2351" spans="1:4">
      <c r="A2351" s="348">
        <f t="shared" si="74"/>
        <v>2350</v>
      </c>
      <c r="B2351" s="360">
        <f>DATE('Profit Calculation'!J$6,A$2,A$2+A2351-1)</f>
        <v>44354</v>
      </c>
      <c r="D2351" s="362">
        <f t="shared" ca="1" si="73"/>
        <v>189511934.64542723</v>
      </c>
    </row>
    <row r="2352" spans="1:4">
      <c r="A2352" s="348">
        <f t="shared" si="74"/>
        <v>2351</v>
      </c>
      <c r="B2352" s="360">
        <f>DATE('Profit Calculation'!J$6,A$2,A$2+A2352-1)</f>
        <v>44355</v>
      </c>
      <c r="D2352" s="362">
        <f t="shared" ca="1" si="73"/>
        <v>189584514.4473798</v>
      </c>
    </row>
    <row r="2353" spans="1:4">
      <c r="A2353" s="348">
        <f t="shared" si="74"/>
        <v>2352</v>
      </c>
      <c r="B2353" s="360">
        <f>DATE('Profit Calculation'!J$6,A$2,A$2+A2353-1)</f>
        <v>44356</v>
      </c>
      <c r="D2353" s="362">
        <f t="shared" ca="1" si="73"/>
        <v>189657122.04614455</v>
      </c>
    </row>
    <row r="2354" spans="1:4">
      <c r="A2354" s="348">
        <f t="shared" si="74"/>
        <v>2353</v>
      </c>
      <c r="B2354" s="360">
        <f>DATE('Profit Calculation'!J$6,A$2,A$2+A2354-1)</f>
        <v>44357</v>
      </c>
      <c r="D2354" s="362">
        <f t="shared" ca="1" si="73"/>
        <v>189729757.45236716</v>
      </c>
    </row>
    <row r="2355" spans="1:4">
      <c r="A2355" s="348">
        <f t="shared" si="74"/>
        <v>2354</v>
      </c>
      <c r="B2355" s="360">
        <f>DATE('Profit Calculation'!J$6,A$2,A$2+A2355-1)</f>
        <v>44358</v>
      </c>
      <c r="D2355" s="362">
        <f t="shared" ca="1" si="73"/>
        <v>189802420.6766974</v>
      </c>
    </row>
    <row r="2356" spans="1:4">
      <c r="A2356" s="348">
        <f t="shared" si="74"/>
        <v>2355</v>
      </c>
      <c r="B2356" s="360">
        <f>DATE('Profit Calculation'!J$6,A$2,A$2+A2356-1)</f>
        <v>44359</v>
      </c>
      <c r="D2356" s="362">
        <f t="shared" ca="1" si="73"/>
        <v>189875111.72978917</v>
      </c>
    </row>
    <row r="2357" spans="1:4">
      <c r="A2357" s="348">
        <f t="shared" si="74"/>
        <v>2356</v>
      </c>
      <c r="B2357" s="360">
        <f>DATE('Profit Calculation'!J$6,A$2,A$2+A2357-1)</f>
        <v>44360</v>
      </c>
      <c r="D2357" s="362">
        <f t="shared" ca="1" si="73"/>
        <v>189947830.62230036</v>
      </c>
    </row>
    <row r="2358" spans="1:4">
      <c r="A2358" s="348">
        <f t="shared" si="74"/>
        <v>2357</v>
      </c>
      <c r="B2358" s="360">
        <f>DATE('Profit Calculation'!J$6,A$2,A$2+A2358-1)</f>
        <v>44361</v>
      </c>
      <c r="D2358" s="362">
        <f t="shared" ca="1" si="73"/>
        <v>190020577.36489302</v>
      </c>
    </row>
    <row r="2359" spans="1:4">
      <c r="A2359" s="348">
        <f t="shared" si="74"/>
        <v>2358</v>
      </c>
      <c r="B2359" s="360">
        <f>DATE('Profit Calculation'!J$6,A$2,A$2+A2359-1)</f>
        <v>44362</v>
      </c>
      <c r="D2359" s="362">
        <f t="shared" ca="1" si="73"/>
        <v>190093351.96823323</v>
      </c>
    </row>
    <row r="2360" spans="1:4">
      <c r="A2360" s="348">
        <f t="shared" si="74"/>
        <v>2359</v>
      </c>
      <c r="B2360" s="360">
        <f>DATE('Profit Calculation'!J$6,A$2,A$2+A2360-1)</f>
        <v>44363</v>
      </c>
      <c r="D2360" s="362">
        <f t="shared" ca="1" si="73"/>
        <v>190166154.44299117</v>
      </c>
    </row>
    <row r="2361" spans="1:4">
      <c r="A2361" s="348">
        <f t="shared" si="74"/>
        <v>2360</v>
      </c>
      <c r="B2361" s="360">
        <f>DATE('Profit Calculation'!J$6,A$2,A$2+A2361-1)</f>
        <v>44364</v>
      </c>
      <c r="D2361" s="362">
        <f t="shared" ca="1" si="73"/>
        <v>190238984.79984114</v>
      </c>
    </row>
    <row r="2362" spans="1:4">
      <c r="A2362" s="348">
        <f t="shared" si="74"/>
        <v>2361</v>
      </c>
      <c r="B2362" s="360">
        <f>DATE('Profit Calculation'!J$6,A$2,A$2+A2362-1)</f>
        <v>44365</v>
      </c>
      <c r="D2362" s="362">
        <f t="shared" ca="1" si="73"/>
        <v>190311843.04946148</v>
      </c>
    </row>
    <row r="2363" spans="1:4">
      <c r="A2363" s="348">
        <f t="shared" si="74"/>
        <v>2362</v>
      </c>
      <c r="B2363" s="360">
        <f>DATE('Profit Calculation'!J$6,A$2,A$2+A2363-1)</f>
        <v>44366</v>
      </c>
      <c r="D2363" s="362">
        <f t="shared" ca="1" si="73"/>
        <v>190384729.20253465</v>
      </c>
    </row>
    <row r="2364" spans="1:4">
      <c r="A2364" s="348">
        <f t="shared" si="74"/>
        <v>2363</v>
      </c>
      <c r="B2364" s="360">
        <f>DATE('Profit Calculation'!J$6,A$2,A$2+A2364-1)</f>
        <v>44367</v>
      </c>
      <c r="D2364" s="362">
        <f t="shared" ca="1" si="73"/>
        <v>190457643.26974717</v>
      </c>
    </row>
    <row r="2365" spans="1:4">
      <c r="A2365" s="348">
        <f t="shared" si="74"/>
        <v>2364</v>
      </c>
      <c r="B2365" s="360">
        <f>DATE('Profit Calculation'!J$6,A$2,A$2+A2365-1)</f>
        <v>44368</v>
      </c>
      <c r="D2365" s="362">
        <f t="shared" ca="1" si="73"/>
        <v>190530585.26178971</v>
      </c>
    </row>
    <row r="2366" spans="1:4">
      <c r="A2366" s="348">
        <f t="shared" si="74"/>
        <v>2365</v>
      </c>
      <c r="B2366" s="360">
        <f>DATE('Profit Calculation'!J$6,A$2,A$2+A2366-1)</f>
        <v>44369</v>
      </c>
      <c r="D2366" s="362">
        <f t="shared" ca="1" si="73"/>
        <v>190603555.18935695</v>
      </c>
    </row>
    <row r="2367" spans="1:4">
      <c r="A2367" s="348">
        <f t="shared" si="74"/>
        <v>2366</v>
      </c>
      <c r="B2367" s="360">
        <f>DATE('Profit Calculation'!J$6,A$2,A$2+A2367-1)</f>
        <v>44370</v>
      </c>
      <c r="D2367" s="362">
        <f t="shared" ca="1" si="73"/>
        <v>190676553.06314775</v>
      </c>
    </row>
    <row r="2368" spans="1:4">
      <c r="A2368" s="348">
        <f t="shared" si="74"/>
        <v>2367</v>
      </c>
      <c r="B2368" s="360">
        <f>DATE('Profit Calculation'!J$6,A$2,A$2+A2368-1)</f>
        <v>44371</v>
      </c>
      <c r="D2368" s="362">
        <f t="shared" ca="1" si="73"/>
        <v>190749578.89386505</v>
      </c>
    </row>
    <row r="2369" spans="1:4">
      <c r="A2369" s="348">
        <f t="shared" si="74"/>
        <v>2368</v>
      </c>
      <c r="B2369" s="360">
        <f>DATE('Profit Calculation'!J$6,A$2,A$2+A2369-1)</f>
        <v>44372</v>
      </c>
      <c r="D2369" s="362">
        <f t="shared" ca="1" si="73"/>
        <v>190822632.69221583</v>
      </c>
    </row>
    <row r="2370" spans="1:4">
      <c r="A2370" s="348">
        <f t="shared" si="74"/>
        <v>2369</v>
      </c>
      <c r="B2370" s="360">
        <f>DATE('Profit Calculation'!J$6,A$2,A$2+A2370-1)</f>
        <v>44373</v>
      </c>
      <c r="D2370" s="362">
        <f t="shared" ca="1" si="73"/>
        <v>190895714.46891123</v>
      </c>
    </row>
    <row r="2371" spans="1:4">
      <c r="A2371" s="348">
        <f t="shared" si="74"/>
        <v>2370</v>
      </c>
      <c r="B2371" s="360">
        <f>DATE('Profit Calculation'!J$6,A$2,A$2+A2371-1)</f>
        <v>44374</v>
      </c>
      <c r="D2371" s="362">
        <f t="shared" ca="1" si="73"/>
        <v>190968824.23466647</v>
      </c>
    </row>
    <row r="2372" spans="1:4">
      <c r="A2372" s="348">
        <f t="shared" si="74"/>
        <v>2371</v>
      </c>
      <c r="B2372" s="360">
        <f>DATE('Profit Calculation'!J$6,A$2,A$2+A2372-1)</f>
        <v>44375</v>
      </c>
      <c r="D2372" s="362">
        <f t="shared" ref="D2372:D2435" ca="1" si="75">IF(OR(LOOKUP(B2372,W$1:W$35,W$1:W$35) = B2372, LOOKUP(B2372,X$1:X$35,X$1:X$35) = B2372),LOOKUP(B2372,F:F,G:G),D2371*(1+((IF($Q$18&lt;6,$R$14,IF($Q$18&lt;11,$R$15,$R$16)))))^(1/365))</f>
        <v>191041962.00020087</v>
      </c>
    </row>
    <row r="2373" spans="1:4">
      <c r="A2373" s="348">
        <f t="shared" ref="A2373:A2436" si="76">A2372+1</f>
        <v>2372</v>
      </c>
      <c r="B2373" s="360">
        <f>DATE('Profit Calculation'!J$6,A$2,A$2+A2373-1)</f>
        <v>44376</v>
      </c>
      <c r="D2373" s="362">
        <f t="shared" ca="1" si="75"/>
        <v>191115127.77623788</v>
      </c>
    </row>
    <row r="2374" spans="1:4">
      <c r="A2374" s="348">
        <f t="shared" si="76"/>
        <v>2373</v>
      </c>
      <c r="B2374" s="360">
        <f>DATE('Profit Calculation'!J$6,A$2,A$2+A2374-1)</f>
        <v>44377</v>
      </c>
      <c r="D2374" s="362">
        <f t="shared" ca="1" si="75"/>
        <v>191188321.57350501</v>
      </c>
    </row>
    <row r="2375" spans="1:4">
      <c r="A2375" s="348">
        <f t="shared" si="76"/>
        <v>2374</v>
      </c>
      <c r="B2375" s="360">
        <f>DATE('Profit Calculation'!J$6,A$2,A$2+A2375-1)</f>
        <v>44378</v>
      </c>
      <c r="D2375" s="362">
        <f t="shared" ca="1" si="75"/>
        <v>191261543.40273392</v>
      </c>
    </row>
    <row r="2376" spans="1:4">
      <c r="A2376" s="348">
        <f t="shared" si="76"/>
        <v>2375</v>
      </c>
      <c r="B2376" s="360">
        <f>DATE('Profit Calculation'!J$6,A$2,A$2+A2376-1)</f>
        <v>44379</v>
      </c>
      <c r="D2376" s="362">
        <f t="shared" ca="1" si="75"/>
        <v>191334793.27466038</v>
      </c>
    </row>
    <row r="2377" spans="1:4">
      <c r="A2377" s="348">
        <f t="shared" si="76"/>
        <v>2376</v>
      </c>
      <c r="B2377" s="360">
        <f>DATE('Profit Calculation'!J$6,A$2,A$2+A2377-1)</f>
        <v>44380</v>
      </c>
      <c r="D2377" s="362">
        <f t="shared" ca="1" si="75"/>
        <v>191408071.20002425</v>
      </c>
    </row>
    <row r="2378" spans="1:4">
      <c r="A2378" s="348">
        <f t="shared" si="76"/>
        <v>2377</v>
      </c>
      <c r="B2378" s="360">
        <f>DATE('Profit Calculation'!J$6,A$2,A$2+A2378-1)</f>
        <v>44381</v>
      </c>
      <c r="D2378" s="362">
        <f t="shared" ca="1" si="75"/>
        <v>191481377.1895695</v>
      </c>
    </row>
    <row r="2379" spans="1:4">
      <c r="A2379" s="348">
        <f t="shared" si="76"/>
        <v>2378</v>
      </c>
      <c r="B2379" s="360">
        <f>DATE('Profit Calculation'!J$6,A$2,A$2+A2379-1)</f>
        <v>44382</v>
      </c>
      <c r="D2379" s="362">
        <f t="shared" ca="1" si="75"/>
        <v>191554711.25404426</v>
      </c>
    </row>
    <row r="2380" spans="1:4">
      <c r="A2380" s="348">
        <f t="shared" si="76"/>
        <v>2379</v>
      </c>
      <c r="B2380" s="360">
        <f>DATE('Profit Calculation'!J$6,A$2,A$2+A2380-1)</f>
        <v>44383</v>
      </c>
      <c r="D2380" s="362">
        <f t="shared" ca="1" si="75"/>
        <v>191628073.40420073</v>
      </c>
    </row>
    <row r="2381" spans="1:4">
      <c r="A2381" s="348">
        <f t="shared" si="76"/>
        <v>2380</v>
      </c>
      <c r="B2381" s="360">
        <f>DATE('Profit Calculation'!J$6,A$2,A$2+A2381-1)</f>
        <v>44384</v>
      </c>
      <c r="D2381" s="362">
        <f t="shared" ca="1" si="75"/>
        <v>191701463.65079522</v>
      </c>
    </row>
    <row r="2382" spans="1:4">
      <c r="A2382" s="348">
        <f t="shared" si="76"/>
        <v>2381</v>
      </c>
      <c r="B2382" s="360">
        <f>DATE('Profit Calculation'!J$6,A$2,A$2+A2382-1)</f>
        <v>44385</v>
      </c>
      <c r="D2382" s="362">
        <f t="shared" ca="1" si="75"/>
        <v>191774882.00458822</v>
      </c>
    </row>
    <row r="2383" spans="1:4">
      <c r="A2383" s="348">
        <f t="shared" si="76"/>
        <v>2382</v>
      </c>
      <c r="B2383" s="360">
        <f>DATE('Profit Calculation'!J$6,A$2,A$2+A2383-1)</f>
        <v>44386</v>
      </c>
      <c r="D2383" s="362">
        <f t="shared" ca="1" si="75"/>
        <v>191848328.47634426</v>
      </c>
    </row>
    <row r="2384" spans="1:4">
      <c r="A2384" s="348">
        <f t="shared" si="76"/>
        <v>2383</v>
      </c>
      <c r="B2384" s="360">
        <f>DATE('Profit Calculation'!J$6,A$2,A$2+A2384-1)</f>
        <v>44387</v>
      </c>
      <c r="D2384" s="362">
        <f t="shared" ca="1" si="75"/>
        <v>191921803.07683206</v>
      </c>
    </row>
    <row r="2385" spans="1:4">
      <c r="A2385" s="348">
        <f t="shared" si="76"/>
        <v>2384</v>
      </c>
      <c r="B2385" s="360">
        <f>DATE('Profit Calculation'!J$6,A$2,A$2+A2385-1)</f>
        <v>44388</v>
      </c>
      <c r="D2385" s="362">
        <f t="shared" ca="1" si="75"/>
        <v>191995305.81682444</v>
      </c>
    </row>
    <row r="2386" spans="1:4">
      <c r="A2386" s="348">
        <f t="shared" si="76"/>
        <v>2385</v>
      </c>
      <c r="B2386" s="360">
        <f>DATE('Profit Calculation'!J$6,A$2,A$2+A2386-1)</f>
        <v>44389</v>
      </c>
      <c r="D2386" s="362">
        <f t="shared" ca="1" si="75"/>
        <v>192068836.70709834</v>
      </c>
    </row>
    <row r="2387" spans="1:4">
      <c r="A2387" s="348">
        <f t="shared" si="76"/>
        <v>2386</v>
      </c>
      <c r="B2387" s="360">
        <f>DATE('Profit Calculation'!J$6,A$2,A$2+A2387-1)</f>
        <v>44390</v>
      </c>
      <c r="D2387" s="362">
        <f t="shared" ca="1" si="75"/>
        <v>192142395.75843483</v>
      </c>
    </row>
    <row r="2388" spans="1:4">
      <c r="A2388" s="348">
        <f t="shared" si="76"/>
        <v>2387</v>
      </c>
      <c r="B2388" s="360">
        <f>DATE('Profit Calculation'!J$6,A$2,A$2+A2388-1)</f>
        <v>44391</v>
      </c>
      <c r="D2388" s="362">
        <f t="shared" ca="1" si="75"/>
        <v>192215982.98161912</v>
      </c>
    </row>
    <row r="2389" spans="1:4">
      <c r="A2389" s="348">
        <f t="shared" si="76"/>
        <v>2388</v>
      </c>
      <c r="B2389" s="360">
        <f>DATE('Profit Calculation'!J$6,A$2,A$2+A2389-1)</f>
        <v>44392</v>
      </c>
      <c r="D2389" s="362">
        <f t="shared" ca="1" si="75"/>
        <v>192289598.38744053</v>
      </c>
    </row>
    <row r="2390" spans="1:4">
      <c r="A2390" s="348">
        <f t="shared" si="76"/>
        <v>2389</v>
      </c>
      <c r="B2390" s="360">
        <f>DATE('Profit Calculation'!J$6,A$2,A$2+A2390-1)</f>
        <v>44393</v>
      </c>
      <c r="D2390" s="362">
        <f t="shared" ca="1" si="75"/>
        <v>192363241.98669255</v>
      </c>
    </row>
    <row r="2391" spans="1:4">
      <c r="A2391" s="348">
        <f t="shared" si="76"/>
        <v>2390</v>
      </c>
      <c r="B2391" s="360">
        <f>DATE('Profit Calculation'!J$6,A$2,A$2+A2391-1)</f>
        <v>44394</v>
      </c>
      <c r="D2391" s="362">
        <f t="shared" ca="1" si="75"/>
        <v>192436913.79017273</v>
      </c>
    </row>
    <row r="2392" spans="1:4">
      <c r="A2392" s="348">
        <f t="shared" si="76"/>
        <v>2391</v>
      </c>
      <c r="B2392" s="360">
        <f>DATE('Profit Calculation'!J$6,A$2,A$2+A2392-1)</f>
        <v>44395</v>
      </c>
      <c r="D2392" s="362">
        <f t="shared" ca="1" si="75"/>
        <v>192510613.80868283</v>
      </c>
    </row>
    <row r="2393" spans="1:4">
      <c r="A2393" s="348">
        <f t="shared" si="76"/>
        <v>2392</v>
      </c>
      <c r="B2393" s="360">
        <f>DATE('Profit Calculation'!J$6,A$2,A$2+A2393-1)</f>
        <v>44396</v>
      </c>
      <c r="D2393" s="362">
        <f t="shared" ca="1" si="75"/>
        <v>192584342.05302873</v>
      </c>
    </row>
    <row r="2394" spans="1:4">
      <c r="A2394" s="348">
        <f t="shared" si="76"/>
        <v>2393</v>
      </c>
      <c r="B2394" s="360">
        <f>DATE('Profit Calculation'!J$6,A$2,A$2+A2394-1)</f>
        <v>44397</v>
      </c>
      <c r="D2394" s="362">
        <f t="shared" ca="1" si="75"/>
        <v>192658098.53402042</v>
      </c>
    </row>
    <row r="2395" spans="1:4">
      <c r="A2395" s="348">
        <f t="shared" si="76"/>
        <v>2394</v>
      </c>
      <c r="B2395" s="360">
        <f>DATE('Profit Calculation'!J$6,A$2,A$2+A2395-1)</f>
        <v>44398</v>
      </c>
      <c r="D2395" s="362">
        <f t="shared" ca="1" si="75"/>
        <v>192731883.26247206</v>
      </c>
    </row>
    <row r="2396" spans="1:4">
      <c r="A2396" s="348">
        <f t="shared" si="76"/>
        <v>2395</v>
      </c>
      <c r="B2396" s="360">
        <f>DATE('Profit Calculation'!J$6,A$2,A$2+A2396-1)</f>
        <v>44399</v>
      </c>
      <c r="D2396" s="362">
        <f t="shared" ca="1" si="75"/>
        <v>192805696.24920192</v>
      </c>
    </row>
    <row r="2397" spans="1:4">
      <c r="A2397" s="348">
        <f t="shared" si="76"/>
        <v>2396</v>
      </c>
      <c r="B2397" s="360">
        <f>DATE('Profit Calculation'!J$6,A$2,A$2+A2397-1)</f>
        <v>44400</v>
      </c>
      <c r="D2397" s="362">
        <f t="shared" ca="1" si="75"/>
        <v>192879537.50503248</v>
      </c>
    </row>
    <row r="2398" spans="1:4">
      <c r="A2398" s="348">
        <f t="shared" si="76"/>
        <v>2397</v>
      </c>
      <c r="B2398" s="360">
        <f>DATE('Profit Calculation'!J$6,A$2,A$2+A2398-1)</f>
        <v>44401</v>
      </c>
      <c r="D2398" s="362">
        <f t="shared" ca="1" si="75"/>
        <v>192953407.04079026</v>
      </c>
    </row>
    <row r="2399" spans="1:4">
      <c r="A2399" s="348">
        <f t="shared" si="76"/>
        <v>2398</v>
      </c>
      <c r="B2399" s="360">
        <f>DATE('Profit Calculation'!J$6,A$2,A$2+A2399-1)</f>
        <v>44402</v>
      </c>
      <c r="D2399" s="362">
        <f t="shared" ca="1" si="75"/>
        <v>193027304.86730602</v>
      </c>
    </row>
    <row r="2400" spans="1:4">
      <c r="A2400" s="348">
        <f t="shared" si="76"/>
        <v>2399</v>
      </c>
      <c r="B2400" s="360">
        <f>DATE('Profit Calculation'!J$6,A$2,A$2+A2400-1)</f>
        <v>44403</v>
      </c>
      <c r="D2400" s="362">
        <f t="shared" ca="1" si="75"/>
        <v>193101230.99541461</v>
      </c>
    </row>
    <row r="2401" spans="1:4">
      <c r="A2401" s="348">
        <f t="shared" si="76"/>
        <v>2400</v>
      </c>
      <c r="B2401" s="360">
        <f>DATE('Profit Calculation'!J$6,A$2,A$2+A2401-1)</f>
        <v>44404</v>
      </c>
      <c r="D2401" s="362">
        <f t="shared" ca="1" si="75"/>
        <v>193175185.43595508</v>
      </c>
    </row>
    <row r="2402" spans="1:4">
      <c r="A2402" s="348">
        <f t="shared" si="76"/>
        <v>2401</v>
      </c>
      <c r="B2402" s="360">
        <f>DATE('Profit Calculation'!J$6,A$2,A$2+A2402-1)</f>
        <v>44405</v>
      </c>
      <c r="D2402" s="362">
        <f t="shared" ca="1" si="75"/>
        <v>193249168.19977057</v>
      </c>
    </row>
    <row r="2403" spans="1:4">
      <c r="A2403" s="348">
        <f t="shared" si="76"/>
        <v>2402</v>
      </c>
      <c r="B2403" s="360">
        <f>DATE('Profit Calculation'!J$6,A$2,A$2+A2403-1)</f>
        <v>44406</v>
      </c>
      <c r="D2403" s="362">
        <f t="shared" ca="1" si="75"/>
        <v>193323179.29770845</v>
      </c>
    </row>
    <row r="2404" spans="1:4">
      <c r="A2404" s="348">
        <f t="shared" si="76"/>
        <v>2403</v>
      </c>
      <c r="B2404" s="360">
        <f>DATE('Profit Calculation'!J$6,A$2,A$2+A2404-1)</f>
        <v>44407</v>
      </c>
      <c r="D2404" s="362">
        <f t="shared" ca="1" si="75"/>
        <v>193397218.74062017</v>
      </c>
    </row>
    <row r="2405" spans="1:4">
      <c r="A2405" s="348">
        <f t="shared" si="76"/>
        <v>2404</v>
      </c>
      <c r="B2405" s="360">
        <f>DATE('Profit Calculation'!J$6,A$2,A$2+A2405-1)</f>
        <v>44408</v>
      </c>
      <c r="D2405" s="362">
        <f t="shared" ca="1" si="75"/>
        <v>193471286.53936136</v>
      </c>
    </row>
    <row r="2406" spans="1:4">
      <c r="A2406" s="348">
        <f t="shared" si="76"/>
        <v>2405</v>
      </c>
      <c r="B2406" s="360">
        <f>DATE('Profit Calculation'!J$6,A$2,A$2+A2406-1)</f>
        <v>44409</v>
      </c>
      <c r="D2406" s="362">
        <f t="shared" ca="1" si="75"/>
        <v>193545382.70479181</v>
      </c>
    </row>
    <row r="2407" spans="1:4">
      <c r="A2407" s="348">
        <f t="shared" si="76"/>
        <v>2406</v>
      </c>
      <c r="B2407" s="360">
        <f>DATE('Profit Calculation'!J$6,A$2,A$2+A2407-1)</f>
        <v>44410</v>
      </c>
      <c r="D2407" s="362">
        <f t="shared" ca="1" si="75"/>
        <v>193619507.2477755</v>
      </c>
    </row>
    <row r="2408" spans="1:4">
      <c r="A2408" s="348">
        <f t="shared" si="76"/>
        <v>2407</v>
      </c>
      <c r="B2408" s="360">
        <f>DATE('Profit Calculation'!J$6,A$2,A$2+A2408-1)</f>
        <v>44411</v>
      </c>
      <c r="D2408" s="362">
        <f t="shared" ca="1" si="75"/>
        <v>193693660.17918053</v>
      </c>
    </row>
    <row r="2409" spans="1:4">
      <c r="A2409" s="348">
        <f t="shared" si="76"/>
        <v>2408</v>
      </c>
      <c r="B2409" s="360">
        <f>DATE('Profit Calculation'!J$6,A$2,A$2+A2409-1)</f>
        <v>44412</v>
      </c>
      <c r="D2409" s="362">
        <f t="shared" ca="1" si="75"/>
        <v>193767841.50987917</v>
      </c>
    </row>
    <row r="2410" spans="1:4">
      <c r="A2410" s="348">
        <f t="shared" si="76"/>
        <v>2409</v>
      </c>
      <c r="B2410" s="360">
        <f>DATE('Profit Calculation'!J$6,A$2,A$2+A2410-1)</f>
        <v>44413</v>
      </c>
      <c r="D2410" s="362">
        <f t="shared" ca="1" si="75"/>
        <v>193842051.25074789</v>
      </c>
    </row>
    <row r="2411" spans="1:4">
      <c r="A2411" s="348">
        <f t="shared" si="76"/>
        <v>2410</v>
      </c>
      <c r="B2411" s="360">
        <f>DATE('Profit Calculation'!J$6,A$2,A$2+A2411-1)</f>
        <v>44414</v>
      </c>
      <c r="D2411" s="362">
        <f t="shared" ca="1" si="75"/>
        <v>193916289.41266724</v>
      </c>
    </row>
    <row r="2412" spans="1:4">
      <c r="A2412" s="348">
        <f t="shared" si="76"/>
        <v>2411</v>
      </c>
      <c r="B2412" s="360">
        <f>DATE('Profit Calculation'!J$6,A$2,A$2+A2412-1)</f>
        <v>44415</v>
      </c>
      <c r="D2412" s="362">
        <f t="shared" ca="1" si="75"/>
        <v>193990556.00652203</v>
      </c>
    </row>
    <row r="2413" spans="1:4">
      <c r="A2413" s="348">
        <f t="shared" si="76"/>
        <v>2412</v>
      </c>
      <c r="B2413" s="360">
        <f>DATE('Profit Calculation'!J$6,A$2,A$2+A2413-1)</f>
        <v>44416</v>
      </c>
      <c r="D2413" s="362">
        <f t="shared" ca="1" si="75"/>
        <v>194064851.04320121</v>
      </c>
    </row>
    <row r="2414" spans="1:4">
      <c r="A2414" s="348">
        <f t="shared" si="76"/>
        <v>2413</v>
      </c>
      <c r="B2414" s="360">
        <f>DATE('Profit Calculation'!J$6,A$2,A$2+A2414-1)</f>
        <v>44417</v>
      </c>
      <c r="D2414" s="362">
        <f t="shared" ca="1" si="75"/>
        <v>194139174.53359786</v>
      </c>
    </row>
    <row r="2415" spans="1:4">
      <c r="A2415" s="348">
        <f t="shared" si="76"/>
        <v>2414</v>
      </c>
      <c r="B2415" s="360">
        <f>DATE('Profit Calculation'!J$6,A$2,A$2+A2415-1)</f>
        <v>44418</v>
      </c>
      <c r="D2415" s="362">
        <f t="shared" ca="1" si="75"/>
        <v>194213526.48860928</v>
      </c>
    </row>
    <row r="2416" spans="1:4">
      <c r="A2416" s="348">
        <f t="shared" si="76"/>
        <v>2415</v>
      </c>
      <c r="B2416" s="360">
        <f>DATE('Profit Calculation'!J$6,A$2,A$2+A2416-1)</f>
        <v>44419</v>
      </c>
      <c r="D2416" s="362">
        <f t="shared" ca="1" si="75"/>
        <v>194287906.91913691</v>
      </c>
    </row>
    <row r="2417" spans="1:4">
      <c r="A2417" s="348">
        <f t="shared" si="76"/>
        <v>2416</v>
      </c>
      <c r="B2417" s="360">
        <f>DATE('Profit Calculation'!J$6,A$2,A$2+A2417-1)</f>
        <v>44420</v>
      </c>
      <c r="D2417" s="362">
        <f t="shared" ca="1" si="75"/>
        <v>194362315.83608642</v>
      </c>
    </row>
    <row r="2418" spans="1:4">
      <c r="A2418" s="348">
        <f t="shared" si="76"/>
        <v>2417</v>
      </c>
      <c r="B2418" s="360">
        <f>DATE('Profit Calculation'!J$6,A$2,A$2+A2418-1)</f>
        <v>44421</v>
      </c>
      <c r="D2418" s="362">
        <f t="shared" ca="1" si="75"/>
        <v>194436753.25036758</v>
      </c>
    </row>
    <row r="2419" spans="1:4">
      <c r="A2419" s="348">
        <f t="shared" si="76"/>
        <v>2418</v>
      </c>
      <c r="B2419" s="360">
        <f>DATE('Profit Calculation'!J$6,A$2,A$2+A2419-1)</f>
        <v>44422</v>
      </c>
      <c r="D2419" s="362">
        <f t="shared" ca="1" si="75"/>
        <v>194511219.17289439</v>
      </c>
    </row>
    <row r="2420" spans="1:4">
      <c r="A2420" s="348">
        <f t="shared" si="76"/>
        <v>2419</v>
      </c>
      <c r="B2420" s="360">
        <f>DATE('Profit Calculation'!J$6,A$2,A$2+A2420-1)</f>
        <v>44423</v>
      </c>
      <c r="D2420" s="362">
        <f t="shared" ca="1" si="75"/>
        <v>194585713.61458501</v>
      </c>
    </row>
    <row r="2421" spans="1:4">
      <c r="A2421" s="348">
        <f t="shared" si="76"/>
        <v>2420</v>
      </c>
      <c r="B2421" s="360">
        <f>DATE('Profit Calculation'!J$6,A$2,A$2+A2421-1)</f>
        <v>44424</v>
      </c>
      <c r="D2421" s="362">
        <f t="shared" ca="1" si="75"/>
        <v>194660236.5863618</v>
      </c>
    </row>
    <row r="2422" spans="1:4">
      <c r="A2422" s="348">
        <f t="shared" si="76"/>
        <v>2421</v>
      </c>
      <c r="B2422" s="360">
        <f>DATE('Profit Calculation'!J$6,A$2,A$2+A2422-1)</f>
        <v>44425</v>
      </c>
      <c r="D2422" s="362">
        <f t="shared" ca="1" si="75"/>
        <v>194734788.09915128</v>
      </c>
    </row>
    <row r="2423" spans="1:4">
      <c r="A2423" s="348">
        <f t="shared" si="76"/>
        <v>2422</v>
      </c>
      <c r="B2423" s="360">
        <f>DATE('Profit Calculation'!J$6,A$2,A$2+A2423-1)</f>
        <v>44426</v>
      </c>
      <c r="D2423" s="362">
        <f t="shared" ca="1" si="75"/>
        <v>194809368.16388416</v>
      </c>
    </row>
    <row r="2424" spans="1:4">
      <c r="A2424" s="348">
        <f t="shared" si="76"/>
        <v>2423</v>
      </c>
      <c r="B2424" s="360">
        <f>DATE('Profit Calculation'!J$6,A$2,A$2+A2424-1)</f>
        <v>44427</v>
      </c>
      <c r="D2424" s="362">
        <f t="shared" ca="1" si="75"/>
        <v>194883976.79149538</v>
      </c>
    </row>
    <row r="2425" spans="1:4">
      <c r="A2425" s="348">
        <f t="shared" si="76"/>
        <v>2424</v>
      </c>
      <c r="B2425" s="360">
        <f>DATE('Profit Calculation'!J$6,A$2,A$2+A2425-1)</f>
        <v>44428</v>
      </c>
      <c r="D2425" s="362">
        <f t="shared" ca="1" si="75"/>
        <v>194958613.99292397</v>
      </c>
    </row>
    <row r="2426" spans="1:4">
      <c r="A2426" s="348">
        <f t="shared" si="76"/>
        <v>2425</v>
      </c>
      <c r="B2426" s="360">
        <f>DATE('Profit Calculation'!J$6,A$2,A$2+A2426-1)</f>
        <v>44429</v>
      </c>
      <c r="D2426" s="362">
        <f t="shared" ca="1" si="75"/>
        <v>195033279.77911326</v>
      </c>
    </row>
    <row r="2427" spans="1:4">
      <c r="A2427" s="348">
        <f t="shared" si="76"/>
        <v>2426</v>
      </c>
      <c r="B2427" s="360">
        <f>DATE('Profit Calculation'!J$6,A$2,A$2+A2427-1)</f>
        <v>44430</v>
      </c>
      <c r="D2427" s="362">
        <f t="shared" ca="1" si="75"/>
        <v>195107974.16101071</v>
      </c>
    </row>
    <row r="2428" spans="1:4">
      <c r="A2428" s="348">
        <f t="shared" si="76"/>
        <v>2427</v>
      </c>
      <c r="B2428" s="360">
        <f>DATE('Profit Calculation'!J$6,A$2,A$2+A2428-1)</f>
        <v>44431</v>
      </c>
      <c r="D2428" s="362">
        <f t="shared" ca="1" si="75"/>
        <v>195182697.14956796</v>
      </c>
    </row>
    <row r="2429" spans="1:4">
      <c r="A2429" s="348">
        <f t="shared" si="76"/>
        <v>2428</v>
      </c>
      <c r="B2429" s="360">
        <f>DATE('Profit Calculation'!J$6,A$2,A$2+A2429-1)</f>
        <v>44432</v>
      </c>
      <c r="D2429" s="362">
        <f t="shared" ca="1" si="75"/>
        <v>195257448.75574088</v>
      </c>
    </row>
    <row r="2430" spans="1:4">
      <c r="A2430" s="348">
        <f t="shared" si="76"/>
        <v>2429</v>
      </c>
      <c r="B2430" s="360">
        <f>DATE('Profit Calculation'!J$6,A$2,A$2+A2430-1)</f>
        <v>44433</v>
      </c>
      <c r="D2430" s="362">
        <f t="shared" ca="1" si="75"/>
        <v>195332228.99048954</v>
      </c>
    </row>
    <row r="2431" spans="1:4">
      <c r="A2431" s="348">
        <f t="shared" si="76"/>
        <v>2430</v>
      </c>
      <c r="B2431" s="360">
        <f>DATE('Profit Calculation'!J$6,A$2,A$2+A2431-1)</f>
        <v>44434</v>
      </c>
      <c r="D2431" s="362">
        <f t="shared" ca="1" si="75"/>
        <v>195407037.86477816</v>
      </c>
    </row>
    <row r="2432" spans="1:4">
      <c r="A2432" s="348">
        <f t="shared" si="76"/>
        <v>2431</v>
      </c>
      <c r="B2432" s="360">
        <f>DATE('Profit Calculation'!J$6,A$2,A$2+A2432-1)</f>
        <v>44435</v>
      </c>
      <c r="D2432" s="362">
        <f t="shared" ca="1" si="75"/>
        <v>195481875.38957521</v>
      </c>
    </row>
    <row r="2433" spans="1:4">
      <c r="A2433" s="348">
        <f t="shared" si="76"/>
        <v>2432</v>
      </c>
      <c r="B2433" s="360">
        <f>DATE('Profit Calculation'!J$6,A$2,A$2+A2433-1)</f>
        <v>44436</v>
      </c>
      <c r="D2433" s="362">
        <f t="shared" ca="1" si="75"/>
        <v>195556741.57585335</v>
      </c>
    </row>
    <row r="2434" spans="1:4">
      <c r="A2434" s="348">
        <f t="shared" si="76"/>
        <v>2433</v>
      </c>
      <c r="B2434" s="360">
        <f>DATE('Profit Calculation'!J$6,A$2,A$2+A2434-1)</f>
        <v>44437</v>
      </c>
      <c r="D2434" s="362">
        <f t="shared" ca="1" si="75"/>
        <v>195631636.43458939</v>
      </c>
    </row>
    <row r="2435" spans="1:4">
      <c r="A2435" s="348">
        <f t="shared" si="76"/>
        <v>2434</v>
      </c>
      <c r="B2435" s="360">
        <f>DATE('Profit Calculation'!J$6,A$2,A$2+A2435-1)</f>
        <v>44438</v>
      </c>
      <c r="D2435" s="362">
        <f t="shared" ca="1" si="75"/>
        <v>195706559.97676441</v>
      </c>
    </row>
    <row r="2436" spans="1:4">
      <c r="A2436" s="348">
        <f t="shared" si="76"/>
        <v>2435</v>
      </c>
      <c r="B2436" s="360">
        <f>DATE('Profit Calculation'!J$6,A$2,A$2+A2436-1)</f>
        <v>44439</v>
      </c>
      <c r="D2436" s="362">
        <f t="shared" ref="D2436:D2499" ca="1" si="77">IF(OR(LOOKUP(B2436,W$1:W$35,W$1:W$35) = B2436, LOOKUP(B2436,X$1:X$35,X$1:X$35) = B2436),LOOKUP(B2436,F:F,G:G),D2435*(1+((IF($Q$18&lt;6,$R$14,IF($Q$18&lt;11,$R$15,$R$16)))))^(1/365))</f>
        <v>195781512.21336371</v>
      </c>
    </row>
    <row r="2437" spans="1:4">
      <c r="A2437" s="348">
        <f t="shared" ref="A2437:A2500" si="78">A2436+1</f>
        <v>2436</v>
      </c>
      <c r="B2437" s="360">
        <f>DATE('Profit Calculation'!J$6,A$2,A$2+A2437-1)</f>
        <v>44440</v>
      </c>
      <c r="D2437" s="362">
        <f t="shared" ca="1" si="77"/>
        <v>195856493.1553767</v>
      </c>
    </row>
    <row r="2438" spans="1:4">
      <c r="A2438" s="348">
        <f t="shared" si="78"/>
        <v>2437</v>
      </c>
      <c r="B2438" s="360">
        <f>DATE('Profit Calculation'!J$6,A$2,A$2+A2438-1)</f>
        <v>44441</v>
      </c>
      <c r="D2438" s="362">
        <f t="shared" ca="1" si="77"/>
        <v>195931502.81379709</v>
      </c>
    </row>
    <row r="2439" spans="1:4">
      <c r="A2439" s="348">
        <f t="shared" si="78"/>
        <v>2438</v>
      </c>
      <c r="B2439" s="360">
        <f>DATE('Profit Calculation'!J$6,A$2,A$2+A2439-1)</f>
        <v>44442</v>
      </c>
      <c r="D2439" s="362">
        <f t="shared" ca="1" si="77"/>
        <v>196006541.19962278</v>
      </c>
    </row>
    <row r="2440" spans="1:4">
      <c r="A2440" s="348">
        <f t="shared" si="78"/>
        <v>2439</v>
      </c>
      <c r="B2440" s="360">
        <f>DATE('Profit Calculation'!J$6,A$2,A$2+A2440-1)</f>
        <v>44443</v>
      </c>
      <c r="D2440" s="362">
        <f t="shared" ca="1" si="77"/>
        <v>196081608.32385585</v>
      </c>
    </row>
    <row r="2441" spans="1:4">
      <c r="A2441" s="348">
        <f t="shared" si="78"/>
        <v>2440</v>
      </c>
      <c r="B2441" s="360">
        <f>DATE('Profit Calculation'!J$6,A$2,A$2+A2441-1)</f>
        <v>44444</v>
      </c>
      <c r="D2441" s="362">
        <f t="shared" ca="1" si="77"/>
        <v>196156704.19750261</v>
      </c>
    </row>
    <row r="2442" spans="1:4">
      <c r="A2442" s="348">
        <f t="shared" si="78"/>
        <v>2441</v>
      </c>
      <c r="B2442" s="360">
        <f>DATE('Profit Calculation'!J$6,A$2,A$2+A2442-1)</f>
        <v>44445</v>
      </c>
      <c r="D2442" s="362">
        <f t="shared" ca="1" si="77"/>
        <v>196231828.83157361</v>
      </c>
    </row>
    <row r="2443" spans="1:4">
      <c r="A2443" s="348">
        <f t="shared" si="78"/>
        <v>2442</v>
      </c>
      <c r="B2443" s="360">
        <f>DATE('Profit Calculation'!J$6,A$2,A$2+A2443-1)</f>
        <v>44446</v>
      </c>
      <c r="D2443" s="362">
        <f t="shared" ca="1" si="77"/>
        <v>196306982.23708358</v>
      </c>
    </row>
    <row r="2444" spans="1:4">
      <c r="A2444" s="348">
        <f t="shared" si="78"/>
        <v>2443</v>
      </c>
      <c r="B2444" s="360">
        <f>DATE('Profit Calculation'!J$6,A$2,A$2+A2444-1)</f>
        <v>44447</v>
      </c>
      <c r="D2444" s="362">
        <f t="shared" ca="1" si="77"/>
        <v>196382164.42505148</v>
      </c>
    </row>
    <row r="2445" spans="1:4">
      <c r="A2445" s="348">
        <f t="shared" si="78"/>
        <v>2444</v>
      </c>
      <c r="B2445" s="360">
        <f>DATE('Profit Calculation'!J$6,A$2,A$2+A2445-1)</f>
        <v>44448</v>
      </c>
      <c r="D2445" s="362">
        <f t="shared" ca="1" si="77"/>
        <v>196457375.40650052</v>
      </c>
    </row>
    <row r="2446" spans="1:4">
      <c r="A2446" s="348">
        <f t="shared" si="78"/>
        <v>2445</v>
      </c>
      <c r="B2446" s="360">
        <f>DATE('Profit Calculation'!J$6,A$2,A$2+A2446-1)</f>
        <v>44449</v>
      </c>
      <c r="D2446" s="362">
        <f t="shared" ca="1" si="77"/>
        <v>196532615.19245809</v>
      </c>
    </row>
    <row r="2447" spans="1:4">
      <c r="A2447" s="348">
        <f t="shared" si="78"/>
        <v>2446</v>
      </c>
      <c r="B2447" s="360">
        <f>DATE('Profit Calculation'!J$6,A$2,A$2+A2447-1)</f>
        <v>44450</v>
      </c>
      <c r="D2447" s="362">
        <f t="shared" ca="1" si="77"/>
        <v>196607883.7939558</v>
      </c>
    </row>
    <row r="2448" spans="1:4">
      <c r="A2448" s="348">
        <f t="shared" si="78"/>
        <v>2447</v>
      </c>
      <c r="B2448" s="360">
        <f>DATE('Profit Calculation'!J$6,A$2,A$2+A2448-1)</f>
        <v>44451</v>
      </c>
      <c r="D2448" s="362">
        <f t="shared" ca="1" si="77"/>
        <v>196683181.22202954</v>
      </c>
    </row>
    <row r="2449" spans="1:4">
      <c r="A2449" s="348">
        <f t="shared" si="78"/>
        <v>2448</v>
      </c>
      <c r="B2449" s="360">
        <f>DATE('Profit Calculation'!J$6,A$2,A$2+A2449-1)</f>
        <v>44452</v>
      </c>
      <c r="D2449" s="362">
        <f t="shared" ca="1" si="77"/>
        <v>196758507.48771936</v>
      </c>
    </row>
    <row r="2450" spans="1:4">
      <c r="A2450" s="348">
        <f t="shared" si="78"/>
        <v>2449</v>
      </c>
      <c r="B2450" s="360">
        <f>DATE('Profit Calculation'!J$6,A$2,A$2+A2450-1)</f>
        <v>44453</v>
      </c>
      <c r="D2450" s="362">
        <f t="shared" ca="1" si="77"/>
        <v>196833862.60206959</v>
      </c>
    </row>
    <row r="2451" spans="1:4">
      <c r="A2451" s="348">
        <f t="shared" si="78"/>
        <v>2450</v>
      </c>
      <c r="B2451" s="360">
        <f>DATE('Profit Calculation'!J$6,A$2,A$2+A2451-1)</f>
        <v>44454</v>
      </c>
      <c r="D2451" s="362">
        <f t="shared" ca="1" si="77"/>
        <v>196909246.57612878</v>
      </c>
    </row>
    <row r="2452" spans="1:4">
      <c r="A2452" s="348">
        <f t="shared" si="78"/>
        <v>2451</v>
      </c>
      <c r="B2452" s="360">
        <f>DATE('Profit Calculation'!J$6,A$2,A$2+A2452-1)</f>
        <v>44455</v>
      </c>
      <c r="D2452" s="362">
        <f t="shared" ca="1" si="77"/>
        <v>196984659.4209497</v>
      </c>
    </row>
    <row r="2453" spans="1:4">
      <c r="A2453" s="348">
        <f t="shared" si="78"/>
        <v>2452</v>
      </c>
      <c r="B2453" s="360">
        <f>DATE('Profit Calculation'!J$6,A$2,A$2+A2453-1)</f>
        <v>44456</v>
      </c>
      <c r="D2453" s="362">
        <f t="shared" ca="1" si="77"/>
        <v>197060101.14758933</v>
      </c>
    </row>
    <row r="2454" spans="1:4">
      <c r="A2454" s="348">
        <f t="shared" si="78"/>
        <v>2453</v>
      </c>
      <c r="B2454" s="360">
        <f>DATE('Profit Calculation'!J$6,A$2,A$2+A2454-1)</f>
        <v>44457</v>
      </c>
      <c r="D2454" s="362">
        <f t="shared" ca="1" si="77"/>
        <v>197135571.76710892</v>
      </c>
    </row>
    <row r="2455" spans="1:4">
      <c r="A2455" s="348">
        <f t="shared" si="78"/>
        <v>2454</v>
      </c>
      <c r="B2455" s="360">
        <f>DATE('Profit Calculation'!J$6,A$2,A$2+A2455-1)</f>
        <v>44458</v>
      </c>
      <c r="D2455" s="362">
        <f t="shared" ca="1" si="77"/>
        <v>197211071.29057392</v>
      </c>
    </row>
    <row r="2456" spans="1:4">
      <c r="A2456" s="348">
        <f t="shared" si="78"/>
        <v>2455</v>
      </c>
      <c r="B2456" s="360">
        <f>DATE('Profit Calculation'!J$6,A$2,A$2+A2456-1)</f>
        <v>44459</v>
      </c>
      <c r="D2456" s="362">
        <f t="shared" ca="1" si="77"/>
        <v>197286599.72905409</v>
      </c>
    </row>
    <row r="2457" spans="1:4">
      <c r="A2457" s="348">
        <f t="shared" si="78"/>
        <v>2456</v>
      </c>
      <c r="B2457" s="360">
        <f>DATE('Profit Calculation'!J$6,A$2,A$2+A2457-1)</f>
        <v>44460</v>
      </c>
      <c r="D2457" s="362">
        <f t="shared" ca="1" si="77"/>
        <v>197362157.09362334</v>
      </c>
    </row>
    <row r="2458" spans="1:4">
      <c r="A2458" s="348">
        <f t="shared" si="78"/>
        <v>2457</v>
      </c>
      <c r="B2458" s="360">
        <f>DATE('Profit Calculation'!J$6,A$2,A$2+A2458-1)</f>
        <v>44461</v>
      </c>
      <c r="D2458" s="362">
        <f t="shared" ca="1" si="77"/>
        <v>197437743.3953599</v>
      </c>
    </row>
    <row r="2459" spans="1:4">
      <c r="A2459" s="348">
        <f t="shared" si="78"/>
        <v>2458</v>
      </c>
      <c r="B2459" s="360">
        <f>DATE('Profit Calculation'!J$6,A$2,A$2+A2459-1)</f>
        <v>44462</v>
      </c>
      <c r="D2459" s="362">
        <f t="shared" ca="1" si="77"/>
        <v>197513358.64534619</v>
      </c>
    </row>
    <row r="2460" spans="1:4">
      <c r="A2460" s="348">
        <f t="shared" si="78"/>
        <v>2459</v>
      </c>
      <c r="B2460" s="360">
        <f>DATE('Profit Calculation'!J$6,A$2,A$2+A2460-1)</f>
        <v>44463</v>
      </c>
      <c r="D2460" s="362">
        <f t="shared" ca="1" si="77"/>
        <v>197589002.85466889</v>
      </c>
    </row>
    <row r="2461" spans="1:4">
      <c r="A2461" s="348">
        <f t="shared" si="78"/>
        <v>2460</v>
      </c>
      <c r="B2461" s="360">
        <f>DATE('Profit Calculation'!J$6,A$2,A$2+A2461-1)</f>
        <v>44464</v>
      </c>
      <c r="D2461" s="362">
        <f t="shared" ca="1" si="77"/>
        <v>197664676.03441891</v>
      </c>
    </row>
    <row r="2462" spans="1:4">
      <c r="A2462" s="348">
        <f t="shared" si="78"/>
        <v>2461</v>
      </c>
      <c r="B2462" s="360">
        <f>DATE('Profit Calculation'!J$6,A$2,A$2+A2462-1)</f>
        <v>44465</v>
      </c>
      <c r="D2462" s="362">
        <f t="shared" ca="1" si="77"/>
        <v>197740378.19569144</v>
      </c>
    </row>
    <row r="2463" spans="1:4">
      <c r="A2463" s="348">
        <f t="shared" si="78"/>
        <v>2462</v>
      </c>
      <c r="B2463" s="360">
        <f>DATE('Profit Calculation'!J$6,A$2,A$2+A2463-1)</f>
        <v>44466</v>
      </c>
      <c r="D2463" s="362">
        <f t="shared" ca="1" si="77"/>
        <v>197816109.34958589</v>
      </c>
    </row>
    <row r="2464" spans="1:4">
      <c r="A2464" s="348">
        <f t="shared" si="78"/>
        <v>2463</v>
      </c>
      <c r="B2464" s="360">
        <f>DATE('Profit Calculation'!J$6,A$2,A$2+A2464-1)</f>
        <v>44467</v>
      </c>
      <c r="D2464" s="362">
        <f t="shared" ca="1" si="77"/>
        <v>197891869.50720596</v>
      </c>
    </row>
    <row r="2465" spans="1:4">
      <c r="A2465" s="348">
        <f t="shared" si="78"/>
        <v>2464</v>
      </c>
      <c r="B2465" s="360">
        <f>DATE('Profit Calculation'!J$6,A$2,A$2+A2465-1)</f>
        <v>44468</v>
      </c>
      <c r="D2465" s="362">
        <f t="shared" ca="1" si="77"/>
        <v>197967658.67965955</v>
      </c>
    </row>
    <row r="2466" spans="1:4">
      <c r="A2466" s="348">
        <f t="shared" si="78"/>
        <v>2465</v>
      </c>
      <c r="B2466" s="360">
        <f>DATE('Profit Calculation'!J$6,A$2,A$2+A2466-1)</f>
        <v>44469</v>
      </c>
      <c r="D2466" s="362">
        <f t="shared" ca="1" si="77"/>
        <v>198043476.87805885</v>
      </c>
    </row>
    <row r="2467" spans="1:4">
      <c r="A2467" s="348">
        <f t="shared" si="78"/>
        <v>2466</v>
      </c>
      <c r="B2467" s="360">
        <f>DATE('Profit Calculation'!J$6,A$2,A$2+A2467-1)</f>
        <v>44470</v>
      </c>
      <c r="D2467" s="362">
        <f t="shared" ca="1" si="77"/>
        <v>198119324.11352029</v>
      </c>
    </row>
    <row r="2468" spans="1:4">
      <c r="A2468" s="348">
        <f t="shared" si="78"/>
        <v>2467</v>
      </c>
      <c r="B2468" s="360">
        <f>DATE('Profit Calculation'!J$6,A$2,A$2+A2468-1)</f>
        <v>44471</v>
      </c>
      <c r="D2468" s="362">
        <f t="shared" ca="1" si="77"/>
        <v>198195200.39716458</v>
      </c>
    </row>
    <row r="2469" spans="1:4">
      <c r="A2469" s="348">
        <f t="shared" si="78"/>
        <v>2468</v>
      </c>
      <c r="B2469" s="360">
        <f>DATE('Profit Calculation'!J$6,A$2,A$2+A2469-1)</f>
        <v>44472</v>
      </c>
      <c r="D2469" s="362">
        <f t="shared" ca="1" si="77"/>
        <v>198271105.74011669</v>
      </c>
    </row>
    <row r="2470" spans="1:4">
      <c r="A2470" s="348">
        <f t="shared" si="78"/>
        <v>2469</v>
      </c>
      <c r="B2470" s="360">
        <f>DATE('Profit Calculation'!J$6,A$2,A$2+A2470-1)</f>
        <v>44473</v>
      </c>
      <c r="D2470" s="362">
        <f t="shared" ca="1" si="77"/>
        <v>198347040.1535058</v>
      </c>
    </row>
    <row r="2471" spans="1:4">
      <c r="A2471" s="348">
        <f t="shared" si="78"/>
        <v>2470</v>
      </c>
      <c r="B2471" s="360">
        <f>DATE('Profit Calculation'!J$6,A$2,A$2+A2471-1)</f>
        <v>44474</v>
      </c>
      <c r="D2471" s="362">
        <f t="shared" ca="1" si="77"/>
        <v>198423003.64846539</v>
      </c>
    </row>
    <row r="2472" spans="1:4">
      <c r="A2472" s="348">
        <f t="shared" si="78"/>
        <v>2471</v>
      </c>
      <c r="B2472" s="360">
        <f>DATE('Profit Calculation'!J$6,A$2,A$2+A2472-1)</f>
        <v>44475</v>
      </c>
      <c r="D2472" s="362">
        <f t="shared" ca="1" si="77"/>
        <v>198498996.23613322</v>
      </c>
    </row>
    <row r="2473" spans="1:4">
      <c r="A2473" s="348">
        <f t="shared" si="78"/>
        <v>2472</v>
      </c>
      <c r="B2473" s="360">
        <f>DATE('Profit Calculation'!J$6,A$2,A$2+A2473-1)</f>
        <v>44476</v>
      </c>
      <c r="D2473" s="362">
        <f t="shared" ca="1" si="77"/>
        <v>198575017.92765126</v>
      </c>
    </row>
    <row r="2474" spans="1:4">
      <c r="A2474" s="348">
        <f t="shared" si="78"/>
        <v>2473</v>
      </c>
      <c r="B2474" s="360">
        <f>DATE('Profit Calculation'!J$6,A$2,A$2+A2474-1)</f>
        <v>44477</v>
      </c>
      <c r="D2474" s="362">
        <f t="shared" ca="1" si="77"/>
        <v>198651068.73416579</v>
      </c>
    </row>
    <row r="2475" spans="1:4">
      <c r="A2475" s="348">
        <f t="shared" si="78"/>
        <v>2474</v>
      </c>
      <c r="B2475" s="360">
        <f>DATE('Profit Calculation'!J$6,A$2,A$2+A2475-1)</f>
        <v>44478</v>
      </c>
      <c r="D2475" s="362">
        <f t="shared" ca="1" si="77"/>
        <v>198727148.66682738</v>
      </c>
    </row>
    <row r="2476" spans="1:4">
      <c r="A2476" s="348">
        <f t="shared" si="78"/>
        <v>2475</v>
      </c>
      <c r="B2476" s="360">
        <f>DATE('Profit Calculation'!J$6,A$2,A$2+A2476-1)</f>
        <v>44479</v>
      </c>
      <c r="D2476" s="362">
        <f t="shared" ca="1" si="77"/>
        <v>198803257.73679084</v>
      </c>
    </row>
    <row r="2477" spans="1:4">
      <c r="A2477" s="348">
        <f t="shared" si="78"/>
        <v>2476</v>
      </c>
      <c r="B2477" s="360">
        <f>DATE('Profit Calculation'!J$6,A$2,A$2+A2477-1)</f>
        <v>44480</v>
      </c>
      <c r="D2477" s="362">
        <f t="shared" ca="1" si="77"/>
        <v>198879395.95521522</v>
      </c>
    </row>
    <row r="2478" spans="1:4">
      <c r="A2478" s="348">
        <f t="shared" si="78"/>
        <v>2477</v>
      </c>
      <c r="B2478" s="360">
        <f>DATE('Profit Calculation'!J$6,A$2,A$2+A2478-1)</f>
        <v>44481</v>
      </c>
      <c r="D2478" s="362">
        <f t="shared" ca="1" si="77"/>
        <v>198955563.3332639</v>
      </c>
    </row>
    <row r="2479" spans="1:4">
      <c r="A2479" s="348">
        <f t="shared" si="78"/>
        <v>2478</v>
      </c>
      <c r="B2479" s="360">
        <f>DATE('Profit Calculation'!J$6,A$2,A$2+A2479-1)</f>
        <v>44482</v>
      </c>
      <c r="D2479" s="362">
        <f t="shared" ca="1" si="77"/>
        <v>199031759.88210452</v>
      </c>
    </row>
    <row r="2480" spans="1:4">
      <c r="A2480" s="348">
        <f t="shared" si="78"/>
        <v>2479</v>
      </c>
      <c r="B2480" s="360">
        <f>DATE('Profit Calculation'!J$6,A$2,A$2+A2480-1)</f>
        <v>44483</v>
      </c>
      <c r="D2480" s="362">
        <f t="shared" ca="1" si="77"/>
        <v>199107985.61290896</v>
      </c>
    </row>
    <row r="2481" spans="1:4">
      <c r="A2481" s="348">
        <f t="shared" si="78"/>
        <v>2480</v>
      </c>
      <c r="B2481" s="360">
        <f>DATE('Profit Calculation'!J$6,A$2,A$2+A2481-1)</f>
        <v>44484</v>
      </c>
      <c r="D2481" s="362">
        <f t="shared" ca="1" si="77"/>
        <v>199184240.53685343</v>
      </c>
    </row>
    <row r="2482" spans="1:4">
      <c r="A2482" s="348">
        <f t="shared" si="78"/>
        <v>2481</v>
      </c>
      <c r="B2482" s="360">
        <f>DATE('Profit Calculation'!J$6,A$2,A$2+A2482-1)</f>
        <v>44485</v>
      </c>
      <c r="D2482" s="362">
        <f t="shared" ca="1" si="77"/>
        <v>199260524.66511843</v>
      </c>
    </row>
    <row r="2483" spans="1:4">
      <c r="A2483" s="348">
        <f t="shared" si="78"/>
        <v>2482</v>
      </c>
      <c r="B2483" s="360">
        <f>DATE('Profit Calculation'!J$6,A$2,A$2+A2483-1)</f>
        <v>44486</v>
      </c>
      <c r="D2483" s="362">
        <f t="shared" ca="1" si="77"/>
        <v>199336838.00888866</v>
      </c>
    </row>
    <row r="2484" spans="1:4">
      <c r="A2484" s="348">
        <f t="shared" si="78"/>
        <v>2483</v>
      </c>
      <c r="B2484" s="360">
        <f>DATE('Profit Calculation'!J$6,A$2,A$2+A2484-1)</f>
        <v>44487</v>
      </c>
      <c r="D2484" s="362">
        <f t="shared" ca="1" si="77"/>
        <v>199413180.57935318</v>
      </c>
    </row>
    <row r="2485" spans="1:4">
      <c r="A2485" s="348">
        <f t="shared" si="78"/>
        <v>2484</v>
      </c>
      <c r="B2485" s="360">
        <f>DATE('Profit Calculation'!J$6,A$2,A$2+A2485-1)</f>
        <v>44488</v>
      </c>
      <c r="D2485" s="362">
        <f t="shared" ca="1" si="77"/>
        <v>199489552.3877053</v>
      </c>
    </row>
    <row r="2486" spans="1:4">
      <c r="A2486" s="348">
        <f t="shared" si="78"/>
        <v>2485</v>
      </c>
      <c r="B2486" s="360">
        <f>DATE('Profit Calculation'!J$6,A$2,A$2+A2486-1)</f>
        <v>44489</v>
      </c>
      <c r="D2486" s="362">
        <f t="shared" ca="1" si="77"/>
        <v>199565953.44514263</v>
      </c>
    </row>
    <row r="2487" spans="1:4">
      <c r="A2487" s="348">
        <f t="shared" si="78"/>
        <v>2486</v>
      </c>
      <c r="B2487" s="360">
        <f>DATE('Profit Calculation'!J$6,A$2,A$2+A2487-1)</f>
        <v>44490</v>
      </c>
      <c r="D2487" s="362">
        <f t="shared" ca="1" si="77"/>
        <v>199642383.76286706</v>
      </c>
    </row>
    <row r="2488" spans="1:4">
      <c r="A2488" s="348">
        <f t="shared" si="78"/>
        <v>2487</v>
      </c>
      <c r="B2488" s="360">
        <f>DATE('Profit Calculation'!J$6,A$2,A$2+A2488-1)</f>
        <v>44491</v>
      </c>
      <c r="D2488" s="362">
        <f t="shared" ca="1" si="77"/>
        <v>199718843.35208479</v>
      </c>
    </row>
    <row r="2489" spans="1:4">
      <c r="A2489" s="348">
        <f t="shared" si="78"/>
        <v>2488</v>
      </c>
      <c r="B2489" s="360">
        <f>DATE('Profit Calculation'!J$6,A$2,A$2+A2489-1)</f>
        <v>44492</v>
      </c>
      <c r="D2489" s="362">
        <f t="shared" ca="1" si="77"/>
        <v>199795332.2240063</v>
      </c>
    </row>
    <row r="2490" spans="1:4">
      <c r="A2490" s="348">
        <f t="shared" si="78"/>
        <v>2489</v>
      </c>
      <c r="B2490" s="360">
        <f>DATE('Profit Calculation'!J$6,A$2,A$2+A2490-1)</f>
        <v>44493</v>
      </c>
      <c r="D2490" s="362">
        <f t="shared" ca="1" si="77"/>
        <v>199871850.38984632</v>
      </c>
    </row>
    <row r="2491" spans="1:4">
      <c r="A2491" s="348">
        <f t="shared" si="78"/>
        <v>2490</v>
      </c>
      <c r="B2491" s="360">
        <f>DATE('Profit Calculation'!J$6,A$2,A$2+A2491-1)</f>
        <v>44494</v>
      </c>
      <c r="D2491" s="362">
        <f t="shared" ca="1" si="77"/>
        <v>199948397.86082396</v>
      </c>
    </row>
    <row r="2492" spans="1:4">
      <c r="A2492" s="348">
        <f t="shared" si="78"/>
        <v>2491</v>
      </c>
      <c r="B2492" s="360">
        <f>DATE('Profit Calculation'!J$6,A$2,A$2+A2492-1)</f>
        <v>44495</v>
      </c>
      <c r="D2492" s="362">
        <f t="shared" ca="1" si="77"/>
        <v>200024974.64816257</v>
      </c>
    </row>
    <row r="2493" spans="1:4">
      <c r="A2493" s="348">
        <f t="shared" si="78"/>
        <v>2492</v>
      </c>
      <c r="B2493" s="360">
        <f>DATE('Profit Calculation'!J$6,A$2,A$2+A2493-1)</f>
        <v>44496</v>
      </c>
      <c r="D2493" s="362">
        <f t="shared" ca="1" si="77"/>
        <v>200101580.76308981</v>
      </c>
    </row>
    <row r="2494" spans="1:4">
      <c r="A2494" s="348">
        <f t="shared" si="78"/>
        <v>2493</v>
      </c>
      <c r="B2494" s="360">
        <f>DATE('Profit Calculation'!J$6,A$2,A$2+A2494-1)</f>
        <v>44497</v>
      </c>
      <c r="D2494" s="362">
        <f t="shared" ca="1" si="77"/>
        <v>200178216.21683764</v>
      </c>
    </row>
    <row r="2495" spans="1:4">
      <c r="A2495" s="348">
        <f t="shared" si="78"/>
        <v>2494</v>
      </c>
      <c r="B2495" s="360">
        <f>DATE('Profit Calculation'!J$6,A$2,A$2+A2495-1)</f>
        <v>44498</v>
      </c>
      <c r="D2495" s="362">
        <f t="shared" ca="1" si="77"/>
        <v>200254881.02064231</v>
      </c>
    </row>
    <row r="2496" spans="1:4">
      <c r="A2496" s="348">
        <f t="shared" si="78"/>
        <v>2495</v>
      </c>
      <c r="B2496" s="360">
        <f>DATE('Profit Calculation'!J$6,A$2,A$2+A2496-1)</f>
        <v>44499</v>
      </c>
      <c r="D2496" s="362">
        <f t="shared" ca="1" si="77"/>
        <v>200331575.1857444</v>
      </c>
    </row>
    <row r="2497" spans="1:4">
      <c r="A2497" s="348">
        <f t="shared" si="78"/>
        <v>2496</v>
      </c>
      <c r="B2497" s="360">
        <f>DATE('Profit Calculation'!J$6,A$2,A$2+A2497-1)</f>
        <v>44500</v>
      </c>
      <c r="D2497" s="362">
        <f t="shared" ca="1" si="77"/>
        <v>200408298.72338879</v>
      </c>
    </row>
    <row r="2498" spans="1:4">
      <c r="A2498" s="348">
        <f t="shared" si="78"/>
        <v>2497</v>
      </c>
      <c r="B2498" s="360">
        <f>DATE('Profit Calculation'!J$6,A$2,A$2+A2498-1)</f>
        <v>44501</v>
      </c>
      <c r="D2498" s="362">
        <f t="shared" ca="1" si="77"/>
        <v>200485051.64482462</v>
      </c>
    </row>
    <row r="2499" spans="1:4">
      <c r="A2499" s="348">
        <f t="shared" si="78"/>
        <v>2498</v>
      </c>
      <c r="B2499" s="360">
        <f>DATE('Profit Calculation'!J$6,A$2,A$2+A2499-1)</f>
        <v>44502</v>
      </c>
      <c r="D2499" s="362">
        <f t="shared" ca="1" si="77"/>
        <v>200561833.96130541</v>
      </c>
    </row>
    <row r="2500" spans="1:4">
      <c r="A2500" s="348">
        <f t="shared" si="78"/>
        <v>2499</v>
      </c>
      <c r="B2500" s="360">
        <f>DATE('Profit Calculation'!J$6,A$2,A$2+A2500-1)</f>
        <v>44503</v>
      </c>
      <c r="D2500" s="362">
        <f t="shared" ref="D2500:D2563" ca="1" si="79">IF(OR(LOOKUP(B2500,W$1:W$35,W$1:W$35) = B2500, LOOKUP(B2500,X$1:X$35,X$1:X$35) = B2500),LOOKUP(B2500,F:F,G:G),D2499*(1+((IF($Q$18&lt;6,$R$14,IF($Q$18&lt;11,$R$15,$R$16)))))^(1/365))</f>
        <v>200638645.68408895</v>
      </c>
    </row>
    <row r="2501" spans="1:4">
      <c r="A2501" s="348">
        <f t="shared" ref="A2501:A2564" si="80">A2500+1</f>
        <v>2500</v>
      </c>
      <c r="B2501" s="360">
        <f>DATE('Profit Calculation'!J$6,A$2,A$2+A2501-1)</f>
        <v>44504</v>
      </c>
      <c r="D2501" s="362">
        <f t="shared" ca="1" si="79"/>
        <v>200715486.82443732</v>
      </c>
    </row>
    <row r="2502" spans="1:4">
      <c r="A2502" s="348">
        <f t="shared" si="80"/>
        <v>2501</v>
      </c>
      <c r="B2502" s="360">
        <f>DATE('Profit Calculation'!J$6,A$2,A$2+A2502-1)</f>
        <v>44505</v>
      </c>
      <c r="D2502" s="362">
        <f t="shared" ca="1" si="79"/>
        <v>200792357.39361697</v>
      </c>
    </row>
    <row r="2503" spans="1:4">
      <c r="A2503" s="348">
        <f t="shared" si="80"/>
        <v>2502</v>
      </c>
      <c r="B2503" s="360">
        <f>DATE('Profit Calculation'!J$6,A$2,A$2+A2503-1)</f>
        <v>44506</v>
      </c>
      <c r="D2503" s="362">
        <f t="shared" ca="1" si="79"/>
        <v>200869257.40289864</v>
      </c>
    </row>
    <row r="2504" spans="1:4">
      <c r="A2504" s="348">
        <f t="shared" si="80"/>
        <v>2503</v>
      </c>
      <c r="B2504" s="360">
        <f>DATE('Profit Calculation'!J$6,A$2,A$2+A2504-1)</f>
        <v>44507</v>
      </c>
      <c r="D2504" s="362">
        <f t="shared" ca="1" si="79"/>
        <v>200946186.86355734</v>
      </c>
    </row>
    <row r="2505" spans="1:4">
      <c r="A2505" s="348">
        <f t="shared" si="80"/>
        <v>2504</v>
      </c>
      <c r="B2505" s="360">
        <f>DATE('Profit Calculation'!J$6,A$2,A$2+A2505-1)</f>
        <v>44508</v>
      </c>
      <c r="D2505" s="362">
        <f t="shared" ca="1" si="79"/>
        <v>201023145.78687248</v>
      </c>
    </row>
    <row r="2506" spans="1:4">
      <c r="A2506" s="348">
        <f t="shared" si="80"/>
        <v>2505</v>
      </c>
      <c r="B2506" s="360">
        <f>DATE('Profit Calculation'!J$6,A$2,A$2+A2506-1)</f>
        <v>44509</v>
      </c>
      <c r="D2506" s="362">
        <f t="shared" ca="1" si="79"/>
        <v>201100134.18412772</v>
      </c>
    </row>
    <row r="2507" spans="1:4">
      <c r="A2507" s="348">
        <f t="shared" si="80"/>
        <v>2506</v>
      </c>
      <c r="B2507" s="360">
        <f>DATE('Profit Calculation'!J$6,A$2,A$2+A2507-1)</f>
        <v>44510</v>
      </c>
      <c r="D2507" s="362">
        <f t="shared" ca="1" si="79"/>
        <v>201177152.06661108</v>
      </c>
    </row>
    <row r="2508" spans="1:4">
      <c r="A2508" s="348">
        <f t="shared" si="80"/>
        <v>2507</v>
      </c>
      <c r="B2508" s="360">
        <f>DATE('Profit Calculation'!J$6,A$2,A$2+A2508-1)</f>
        <v>44511</v>
      </c>
      <c r="D2508" s="362">
        <f t="shared" ca="1" si="79"/>
        <v>201254199.4456149</v>
      </c>
    </row>
    <row r="2509" spans="1:4">
      <c r="A2509" s="348">
        <f t="shared" si="80"/>
        <v>2508</v>
      </c>
      <c r="B2509" s="360">
        <f>DATE('Profit Calculation'!J$6,A$2,A$2+A2509-1)</f>
        <v>44512</v>
      </c>
      <c r="D2509" s="362">
        <f t="shared" ca="1" si="79"/>
        <v>201331276.33243585</v>
      </c>
    </row>
    <row r="2510" spans="1:4">
      <c r="A2510" s="348">
        <f t="shared" si="80"/>
        <v>2509</v>
      </c>
      <c r="B2510" s="360">
        <f>DATE('Profit Calculation'!J$6,A$2,A$2+A2510-1)</f>
        <v>44513</v>
      </c>
      <c r="D2510" s="362">
        <f t="shared" ca="1" si="79"/>
        <v>201408382.73837489</v>
      </c>
    </row>
    <row r="2511" spans="1:4">
      <c r="A2511" s="348">
        <f t="shared" si="80"/>
        <v>2510</v>
      </c>
      <c r="B2511" s="360">
        <f>DATE('Profit Calculation'!J$6,A$2,A$2+A2511-1)</f>
        <v>44514</v>
      </c>
      <c r="D2511" s="362">
        <f t="shared" ca="1" si="79"/>
        <v>201485518.67473736</v>
      </c>
    </row>
    <row r="2512" spans="1:4">
      <c r="A2512" s="348">
        <f t="shared" si="80"/>
        <v>2511</v>
      </c>
      <c r="B2512" s="360">
        <f>DATE('Profit Calculation'!J$6,A$2,A$2+A2512-1)</f>
        <v>44515</v>
      </c>
      <c r="D2512" s="362">
        <f t="shared" ca="1" si="79"/>
        <v>201562684.1528329</v>
      </c>
    </row>
    <row r="2513" spans="1:4">
      <c r="A2513" s="348">
        <f t="shared" si="80"/>
        <v>2512</v>
      </c>
      <c r="B2513" s="360">
        <f>DATE('Profit Calculation'!J$6,A$2,A$2+A2513-1)</f>
        <v>44516</v>
      </c>
      <c r="D2513" s="362">
        <f t="shared" ca="1" si="79"/>
        <v>201639879.18397546</v>
      </c>
    </row>
    <row r="2514" spans="1:4">
      <c r="A2514" s="348">
        <f t="shared" si="80"/>
        <v>2513</v>
      </c>
      <c r="B2514" s="360">
        <f>DATE('Profit Calculation'!J$6,A$2,A$2+A2514-1)</f>
        <v>44517</v>
      </c>
      <c r="D2514" s="362">
        <f t="shared" ca="1" si="79"/>
        <v>201717103.77948335</v>
      </c>
    </row>
    <row r="2515" spans="1:4">
      <c r="A2515" s="348">
        <f t="shared" si="80"/>
        <v>2514</v>
      </c>
      <c r="B2515" s="360">
        <f>DATE('Profit Calculation'!J$6,A$2,A$2+A2515-1)</f>
        <v>44518</v>
      </c>
      <c r="D2515" s="362">
        <f t="shared" ca="1" si="79"/>
        <v>201794357.95067924</v>
      </c>
    </row>
    <row r="2516" spans="1:4">
      <c r="A2516" s="348">
        <f t="shared" si="80"/>
        <v>2515</v>
      </c>
      <c r="B2516" s="360">
        <f>DATE('Profit Calculation'!J$6,A$2,A$2+A2516-1)</f>
        <v>44519</v>
      </c>
      <c r="D2516" s="362">
        <f t="shared" ca="1" si="79"/>
        <v>201871641.70889008</v>
      </c>
    </row>
    <row r="2517" spans="1:4">
      <c r="A2517" s="348">
        <f t="shared" si="80"/>
        <v>2516</v>
      </c>
      <c r="B2517" s="360">
        <f>DATE('Profit Calculation'!J$6,A$2,A$2+A2517-1)</f>
        <v>44520</v>
      </c>
      <c r="D2517" s="362">
        <f t="shared" ca="1" si="79"/>
        <v>201948955.06544721</v>
      </c>
    </row>
    <row r="2518" spans="1:4">
      <c r="A2518" s="348">
        <f t="shared" si="80"/>
        <v>2517</v>
      </c>
      <c r="B2518" s="360">
        <f>DATE('Profit Calculation'!J$6,A$2,A$2+A2518-1)</f>
        <v>44521</v>
      </c>
      <c r="D2518" s="362">
        <f t="shared" ca="1" si="79"/>
        <v>202026298.03168625</v>
      </c>
    </row>
    <row r="2519" spans="1:4">
      <c r="A2519" s="348">
        <f t="shared" si="80"/>
        <v>2518</v>
      </c>
      <c r="B2519" s="360">
        <f>DATE('Profit Calculation'!J$6,A$2,A$2+A2519-1)</f>
        <v>44522</v>
      </c>
      <c r="D2519" s="362">
        <f t="shared" ca="1" si="79"/>
        <v>202103670.61894724</v>
      </c>
    </row>
    <row r="2520" spans="1:4">
      <c r="A2520" s="348">
        <f t="shared" si="80"/>
        <v>2519</v>
      </c>
      <c r="B2520" s="360">
        <f>DATE('Profit Calculation'!J$6,A$2,A$2+A2520-1)</f>
        <v>44523</v>
      </c>
      <c r="D2520" s="362">
        <f t="shared" ca="1" si="79"/>
        <v>202181072.8385745</v>
      </c>
    </row>
    <row r="2521" spans="1:4">
      <c r="A2521" s="348">
        <f t="shared" si="80"/>
        <v>2520</v>
      </c>
      <c r="B2521" s="360">
        <f>DATE('Profit Calculation'!J$6,A$2,A$2+A2521-1)</f>
        <v>44524</v>
      </c>
      <c r="D2521" s="362">
        <f t="shared" ca="1" si="79"/>
        <v>202258504.70191669</v>
      </c>
    </row>
    <row r="2522" spans="1:4">
      <c r="A2522" s="348">
        <f t="shared" si="80"/>
        <v>2521</v>
      </c>
      <c r="B2522" s="360">
        <f>DATE('Profit Calculation'!J$6,A$2,A$2+A2522-1)</f>
        <v>44525</v>
      </c>
      <c r="D2522" s="362">
        <f t="shared" ca="1" si="79"/>
        <v>202335966.2203269</v>
      </c>
    </row>
    <row r="2523" spans="1:4">
      <c r="A2523" s="348">
        <f t="shared" si="80"/>
        <v>2522</v>
      </c>
      <c r="B2523" s="360">
        <f>DATE('Profit Calculation'!J$6,A$2,A$2+A2523-1)</f>
        <v>44526</v>
      </c>
      <c r="D2523" s="362">
        <f t="shared" ca="1" si="79"/>
        <v>202413457.40516245</v>
      </c>
    </row>
    <row r="2524" spans="1:4">
      <c r="A2524" s="348">
        <f t="shared" si="80"/>
        <v>2523</v>
      </c>
      <c r="B2524" s="360">
        <f>DATE('Profit Calculation'!J$6,A$2,A$2+A2524-1)</f>
        <v>44527</v>
      </c>
      <c r="D2524" s="362">
        <f t="shared" ca="1" si="79"/>
        <v>202490978.2677851</v>
      </c>
    </row>
    <row r="2525" spans="1:4">
      <c r="A2525" s="348">
        <f t="shared" si="80"/>
        <v>2524</v>
      </c>
      <c r="B2525" s="360">
        <f>DATE('Profit Calculation'!J$6,A$2,A$2+A2525-1)</f>
        <v>44528</v>
      </c>
      <c r="D2525" s="362">
        <f t="shared" ca="1" si="79"/>
        <v>202568528.81956095</v>
      </c>
    </row>
    <row r="2526" spans="1:4">
      <c r="A2526" s="348">
        <f t="shared" si="80"/>
        <v>2525</v>
      </c>
      <c r="B2526" s="360">
        <f>DATE('Profit Calculation'!J$6,A$2,A$2+A2526-1)</f>
        <v>44529</v>
      </c>
      <c r="D2526" s="362">
        <f t="shared" ca="1" si="79"/>
        <v>202646109.07186037</v>
      </c>
    </row>
    <row r="2527" spans="1:4">
      <c r="A2527" s="348">
        <f t="shared" si="80"/>
        <v>2526</v>
      </c>
      <c r="B2527" s="360">
        <f>DATE('Profit Calculation'!J$6,A$2,A$2+A2527-1)</f>
        <v>44530</v>
      </c>
      <c r="D2527" s="362">
        <f t="shared" ca="1" si="79"/>
        <v>202723719.03605822</v>
      </c>
    </row>
    <row r="2528" spans="1:4">
      <c r="A2528" s="348">
        <f t="shared" si="80"/>
        <v>2527</v>
      </c>
      <c r="B2528" s="360">
        <f>DATE('Profit Calculation'!J$6,A$2,A$2+A2528-1)</f>
        <v>44531</v>
      </c>
      <c r="D2528" s="362">
        <f t="shared" ca="1" si="79"/>
        <v>202801358.7235336</v>
      </c>
    </row>
    <row r="2529" spans="1:4">
      <c r="A2529" s="348">
        <f t="shared" si="80"/>
        <v>2528</v>
      </c>
      <c r="B2529" s="360">
        <f>DATE('Profit Calculation'!J$6,A$2,A$2+A2529-1)</f>
        <v>44532</v>
      </c>
      <c r="D2529" s="362">
        <f t="shared" ca="1" si="79"/>
        <v>202879028.14567003</v>
      </c>
    </row>
    <row r="2530" spans="1:4">
      <c r="A2530" s="348">
        <f t="shared" si="80"/>
        <v>2529</v>
      </c>
      <c r="B2530" s="360">
        <f>DATE('Profit Calculation'!J$6,A$2,A$2+A2530-1)</f>
        <v>44533</v>
      </c>
      <c r="D2530" s="362">
        <f t="shared" ca="1" si="79"/>
        <v>202956727.31385535</v>
      </c>
    </row>
    <row r="2531" spans="1:4">
      <c r="A2531" s="348">
        <f t="shared" si="80"/>
        <v>2530</v>
      </c>
      <c r="B2531" s="360">
        <f>DATE('Profit Calculation'!J$6,A$2,A$2+A2531-1)</f>
        <v>44534</v>
      </c>
      <c r="D2531" s="362">
        <f t="shared" ca="1" si="79"/>
        <v>203034456.23948181</v>
      </c>
    </row>
    <row r="2532" spans="1:4">
      <c r="A2532" s="348">
        <f t="shared" si="80"/>
        <v>2531</v>
      </c>
      <c r="B2532" s="360">
        <f>DATE('Profit Calculation'!J$6,A$2,A$2+A2532-1)</f>
        <v>44535</v>
      </c>
      <c r="D2532" s="362">
        <f t="shared" ca="1" si="79"/>
        <v>203112214.93394598</v>
      </c>
    </row>
    <row r="2533" spans="1:4">
      <c r="A2533" s="348">
        <f t="shared" si="80"/>
        <v>2532</v>
      </c>
      <c r="B2533" s="360">
        <f>DATE('Profit Calculation'!J$6,A$2,A$2+A2533-1)</f>
        <v>44536</v>
      </c>
      <c r="D2533" s="362">
        <f t="shared" ca="1" si="79"/>
        <v>203190003.40864882</v>
      </c>
    </row>
    <row r="2534" spans="1:4">
      <c r="A2534" s="348">
        <f t="shared" si="80"/>
        <v>2533</v>
      </c>
      <c r="B2534" s="360">
        <f>DATE('Profit Calculation'!J$6,A$2,A$2+A2534-1)</f>
        <v>44537</v>
      </c>
      <c r="D2534" s="362">
        <f t="shared" ca="1" si="79"/>
        <v>203267821.67499566</v>
      </c>
    </row>
    <row r="2535" spans="1:4">
      <c r="A2535" s="348">
        <f t="shared" si="80"/>
        <v>2534</v>
      </c>
      <c r="B2535" s="360">
        <f>DATE('Profit Calculation'!J$6,A$2,A$2+A2535-1)</f>
        <v>44538</v>
      </c>
      <c r="D2535" s="362">
        <f t="shared" ca="1" si="79"/>
        <v>203345669.74439618</v>
      </c>
    </row>
    <row r="2536" spans="1:4">
      <c r="A2536" s="348">
        <f t="shared" si="80"/>
        <v>2535</v>
      </c>
      <c r="B2536" s="360">
        <f>DATE('Profit Calculation'!J$6,A$2,A$2+A2536-1)</f>
        <v>44539</v>
      </c>
      <c r="D2536" s="362">
        <f t="shared" ca="1" si="79"/>
        <v>203423547.62826443</v>
      </c>
    </row>
    <row r="2537" spans="1:4">
      <c r="A2537" s="348">
        <f t="shared" si="80"/>
        <v>2536</v>
      </c>
      <c r="B2537" s="360">
        <f>DATE('Profit Calculation'!J$6,A$2,A$2+A2537-1)</f>
        <v>44540</v>
      </c>
      <c r="D2537" s="362">
        <f t="shared" ca="1" si="79"/>
        <v>203501455.3380188</v>
      </c>
    </row>
    <row r="2538" spans="1:4">
      <c r="A2538" s="348">
        <f t="shared" si="80"/>
        <v>2537</v>
      </c>
      <c r="B2538" s="360">
        <f>DATE('Profit Calculation'!J$6,A$2,A$2+A2538-1)</f>
        <v>44541</v>
      </c>
      <c r="D2538" s="362">
        <f t="shared" ca="1" si="79"/>
        <v>203579392.88508216</v>
      </c>
    </row>
    <row r="2539" spans="1:4">
      <c r="A2539" s="348">
        <f t="shared" si="80"/>
        <v>2538</v>
      </c>
      <c r="B2539" s="360">
        <f>DATE('Profit Calculation'!J$6,A$2,A$2+A2539-1)</f>
        <v>44542</v>
      </c>
      <c r="D2539" s="362">
        <f t="shared" ca="1" si="79"/>
        <v>203657360.28088161</v>
      </c>
    </row>
    <row r="2540" spans="1:4">
      <c r="A2540" s="348">
        <f t="shared" si="80"/>
        <v>2539</v>
      </c>
      <c r="B2540" s="360">
        <f>DATE('Profit Calculation'!J$6,A$2,A$2+A2540-1)</f>
        <v>44543</v>
      </c>
      <c r="D2540" s="362">
        <f t="shared" ca="1" si="79"/>
        <v>203735357.53684875</v>
      </c>
    </row>
    <row r="2541" spans="1:4">
      <c r="A2541" s="348">
        <f t="shared" si="80"/>
        <v>2540</v>
      </c>
      <c r="B2541" s="360">
        <f>DATE('Profit Calculation'!J$6,A$2,A$2+A2541-1)</f>
        <v>44544</v>
      </c>
      <c r="D2541" s="362">
        <f t="shared" ca="1" si="79"/>
        <v>203813384.6644195</v>
      </c>
    </row>
    <row r="2542" spans="1:4">
      <c r="A2542" s="348">
        <f t="shared" si="80"/>
        <v>2541</v>
      </c>
      <c r="B2542" s="360">
        <f>DATE('Profit Calculation'!J$6,A$2,A$2+A2542-1)</f>
        <v>44545</v>
      </c>
      <c r="D2542" s="362">
        <f t="shared" ca="1" si="79"/>
        <v>203891441.67503417</v>
      </c>
    </row>
    <row r="2543" spans="1:4">
      <c r="A2543" s="348">
        <f t="shared" si="80"/>
        <v>2542</v>
      </c>
      <c r="B2543" s="360">
        <f>DATE('Profit Calculation'!J$6,A$2,A$2+A2543-1)</f>
        <v>44546</v>
      </c>
      <c r="D2543" s="362">
        <f t="shared" ca="1" si="79"/>
        <v>203969528.58013746</v>
      </c>
    </row>
    <row r="2544" spans="1:4">
      <c r="A2544" s="348">
        <f t="shared" si="80"/>
        <v>2543</v>
      </c>
      <c r="B2544" s="360">
        <f>DATE('Profit Calculation'!J$6,A$2,A$2+A2544-1)</f>
        <v>44547</v>
      </c>
      <c r="D2544" s="362">
        <f t="shared" ca="1" si="79"/>
        <v>204047645.39117843</v>
      </c>
    </row>
    <row r="2545" spans="1:4">
      <c r="A2545" s="348">
        <f t="shared" si="80"/>
        <v>2544</v>
      </c>
      <c r="B2545" s="360">
        <f>DATE('Profit Calculation'!J$6,A$2,A$2+A2545-1)</f>
        <v>44548</v>
      </c>
      <c r="D2545" s="362">
        <f t="shared" ca="1" si="79"/>
        <v>204125792.11961055</v>
      </c>
    </row>
    <row r="2546" spans="1:4">
      <c r="A2546" s="348">
        <f t="shared" si="80"/>
        <v>2545</v>
      </c>
      <c r="B2546" s="360">
        <f>DATE('Profit Calculation'!J$6,A$2,A$2+A2546-1)</f>
        <v>44549</v>
      </c>
      <c r="D2546" s="362">
        <f t="shared" ca="1" si="79"/>
        <v>204203968.77689165</v>
      </c>
    </row>
    <row r="2547" spans="1:4">
      <c r="A2547" s="348">
        <f t="shared" si="80"/>
        <v>2546</v>
      </c>
      <c r="B2547" s="360">
        <f>DATE('Profit Calculation'!J$6,A$2,A$2+A2547-1)</f>
        <v>44550</v>
      </c>
      <c r="D2547" s="362">
        <f t="shared" ca="1" si="79"/>
        <v>204282175.37448397</v>
      </c>
    </row>
    <row r="2548" spans="1:4">
      <c r="A2548" s="348">
        <f t="shared" si="80"/>
        <v>2547</v>
      </c>
      <c r="B2548" s="360">
        <f>DATE('Profit Calculation'!J$6,A$2,A$2+A2548-1)</f>
        <v>44551</v>
      </c>
      <c r="D2548" s="362">
        <f t="shared" ca="1" si="79"/>
        <v>204360411.92385411</v>
      </c>
    </row>
    <row r="2549" spans="1:4">
      <c r="A2549" s="348">
        <f t="shared" si="80"/>
        <v>2548</v>
      </c>
      <c r="B2549" s="360">
        <f>DATE('Profit Calculation'!J$6,A$2,A$2+A2549-1)</f>
        <v>44552</v>
      </c>
      <c r="D2549" s="362">
        <f t="shared" ca="1" si="79"/>
        <v>204438678.43647313</v>
      </c>
    </row>
    <row r="2550" spans="1:4">
      <c r="A2550" s="348">
        <f t="shared" si="80"/>
        <v>2549</v>
      </c>
      <c r="B2550" s="360">
        <f>DATE('Profit Calculation'!J$6,A$2,A$2+A2550-1)</f>
        <v>44553</v>
      </c>
      <c r="D2550" s="362">
        <f t="shared" ca="1" si="79"/>
        <v>204516974.92381641</v>
      </c>
    </row>
    <row r="2551" spans="1:4">
      <c r="A2551" s="348">
        <f t="shared" si="80"/>
        <v>2550</v>
      </c>
      <c r="B2551" s="360">
        <f>DATE('Profit Calculation'!J$6,A$2,A$2+A2551-1)</f>
        <v>44554</v>
      </c>
      <c r="D2551" s="362">
        <f t="shared" ca="1" si="79"/>
        <v>204595301.39736375</v>
      </c>
    </row>
    <row r="2552" spans="1:4">
      <c r="A2552" s="348">
        <f t="shared" si="80"/>
        <v>2551</v>
      </c>
      <c r="B2552" s="360">
        <f>DATE('Profit Calculation'!J$6,A$2,A$2+A2552-1)</f>
        <v>44555</v>
      </c>
      <c r="D2552" s="362">
        <f t="shared" ca="1" si="79"/>
        <v>204673657.86859936</v>
      </c>
    </row>
    <row r="2553" spans="1:4">
      <c r="A2553" s="348">
        <f t="shared" si="80"/>
        <v>2552</v>
      </c>
      <c r="B2553" s="360">
        <f>DATE('Profit Calculation'!J$6,A$2,A$2+A2553-1)</f>
        <v>44556</v>
      </c>
      <c r="D2553" s="362">
        <f t="shared" ca="1" si="79"/>
        <v>204752044.34901181</v>
      </c>
    </row>
    <row r="2554" spans="1:4">
      <c r="A2554" s="348">
        <f t="shared" si="80"/>
        <v>2553</v>
      </c>
      <c r="B2554" s="360">
        <f>DATE('Profit Calculation'!J$6,A$2,A$2+A2554-1)</f>
        <v>44557</v>
      </c>
      <c r="D2554" s="362">
        <f t="shared" ca="1" si="79"/>
        <v>204830460.85009411</v>
      </c>
    </row>
    <row r="2555" spans="1:4">
      <c r="A2555" s="348">
        <f t="shared" si="80"/>
        <v>2554</v>
      </c>
      <c r="B2555" s="360">
        <f>DATE('Profit Calculation'!J$6,A$2,A$2+A2555-1)</f>
        <v>44558</v>
      </c>
      <c r="D2555" s="362">
        <f t="shared" ca="1" si="79"/>
        <v>204908907.38334367</v>
      </c>
    </row>
    <row r="2556" spans="1:4">
      <c r="A2556" s="348">
        <f t="shared" si="80"/>
        <v>2555</v>
      </c>
      <c r="B2556" s="360">
        <f>DATE('Profit Calculation'!J$6,A$2,A$2+A2556-1)</f>
        <v>44559</v>
      </c>
      <c r="D2556" s="362">
        <f t="shared" ca="1" si="79"/>
        <v>204987383.9602623</v>
      </c>
    </row>
    <row r="2557" spans="1:4">
      <c r="A2557" s="348">
        <f t="shared" si="80"/>
        <v>2556</v>
      </c>
      <c r="B2557" s="360">
        <f>DATE('Profit Calculation'!J$6,A$2,A$2+A2557-1)</f>
        <v>44560</v>
      </c>
      <c r="D2557" s="362">
        <f t="shared" ca="1" si="79"/>
        <v>205065890.5923562</v>
      </c>
    </row>
    <row r="2558" spans="1:4">
      <c r="A2558" s="348">
        <f t="shared" si="80"/>
        <v>2557</v>
      </c>
      <c r="B2558" s="360">
        <f>DATE('Profit Calculation'!J$6,A$2,A$2+A2558-1)</f>
        <v>44561</v>
      </c>
      <c r="D2558" s="362">
        <f t="shared" ca="1" si="79"/>
        <v>205144427.29113597</v>
      </c>
    </row>
    <row r="2559" spans="1:4">
      <c r="A2559" s="348">
        <f t="shared" si="80"/>
        <v>2558</v>
      </c>
      <c r="B2559" s="360">
        <f>DATE('Profit Calculation'!J$6,A$2,A$2+A2559-1)</f>
        <v>44562</v>
      </c>
      <c r="C2559" s="354"/>
      <c r="D2559" s="355">
        <f t="shared" ca="1" si="79"/>
        <v>205124790</v>
      </c>
    </row>
    <row r="2560" spans="1:4">
      <c r="A2560" s="348">
        <f t="shared" si="80"/>
        <v>2559</v>
      </c>
      <c r="B2560" s="360">
        <f>DATE('Profit Calculation'!J$6,A$2,A$2+A2560-1)</f>
        <v>44563</v>
      </c>
      <c r="D2560" s="362">
        <f t="shared" ca="1" si="79"/>
        <v>205203349.25623691</v>
      </c>
    </row>
    <row r="2561" spans="1:4">
      <c r="A2561" s="348">
        <f t="shared" si="80"/>
        <v>2560</v>
      </c>
      <c r="B2561" s="360">
        <f>DATE('Profit Calculation'!J$6,A$2,A$2+A2561-1)</f>
        <v>44564</v>
      </c>
      <c r="D2561" s="362">
        <f t="shared" ca="1" si="79"/>
        <v>205281938.59931383</v>
      </c>
    </row>
    <row r="2562" spans="1:4">
      <c r="A2562" s="348">
        <f t="shared" si="80"/>
        <v>2561</v>
      </c>
      <c r="B2562" s="360">
        <f>DATE('Profit Calculation'!J$6,A$2,A$2+A2562-1)</f>
        <v>44565</v>
      </c>
      <c r="D2562" s="362">
        <f t="shared" ca="1" si="79"/>
        <v>205360558.04075351</v>
      </c>
    </row>
    <row r="2563" spans="1:4">
      <c r="A2563" s="348">
        <f t="shared" si="80"/>
        <v>2562</v>
      </c>
      <c r="B2563" s="360">
        <f>DATE('Profit Calculation'!J$6,A$2,A$2+A2563-1)</f>
        <v>44566</v>
      </c>
      <c r="D2563" s="362">
        <f t="shared" ca="1" si="79"/>
        <v>205439207.5920831</v>
      </c>
    </row>
    <row r="2564" spans="1:4">
      <c r="A2564" s="348">
        <f t="shared" si="80"/>
        <v>2563</v>
      </c>
      <c r="B2564" s="360">
        <f>DATE('Profit Calculation'!J$6,A$2,A$2+A2564-1)</f>
        <v>44567</v>
      </c>
      <c r="D2564" s="362">
        <f t="shared" ref="D2564:D2627" ca="1" si="81">IF(OR(LOOKUP(B2564,W$1:W$35,W$1:W$35) = B2564, LOOKUP(B2564,X$1:X$35,X$1:X$35) = B2564),LOOKUP(B2564,F:F,G:G),D2563*(1+((IF($Q$18&lt;6,$R$14,IF($Q$18&lt;11,$R$15,$R$16)))))^(1/365))</f>
        <v>205517887.26483417</v>
      </c>
    </row>
    <row r="2565" spans="1:4">
      <c r="A2565" s="348">
        <f t="shared" ref="A2565:A2628" si="82">A2564+1</f>
        <v>2564</v>
      </c>
      <c r="B2565" s="360">
        <f>DATE('Profit Calculation'!J$6,A$2,A$2+A2565-1)</f>
        <v>44568</v>
      </c>
      <c r="D2565" s="362">
        <f t="shared" ca="1" si="81"/>
        <v>205596597.07054272</v>
      </c>
    </row>
    <row r="2566" spans="1:4">
      <c r="A2566" s="348">
        <f t="shared" si="82"/>
        <v>2565</v>
      </c>
      <c r="B2566" s="360">
        <f>DATE('Profit Calculation'!J$6,A$2,A$2+A2566-1)</f>
        <v>44569</v>
      </c>
      <c r="D2566" s="362">
        <f t="shared" ca="1" si="81"/>
        <v>205675337.02074912</v>
      </c>
    </row>
    <row r="2567" spans="1:4">
      <c r="A2567" s="348">
        <f t="shared" si="82"/>
        <v>2566</v>
      </c>
      <c r="B2567" s="360">
        <f>DATE('Profit Calculation'!J$6,A$2,A$2+A2567-1)</f>
        <v>44570</v>
      </c>
      <c r="D2567" s="362">
        <f t="shared" ca="1" si="81"/>
        <v>205754107.12699822</v>
      </c>
    </row>
    <row r="2568" spans="1:4">
      <c r="A2568" s="348">
        <f t="shared" si="82"/>
        <v>2567</v>
      </c>
      <c r="B2568" s="360">
        <f>DATE('Profit Calculation'!J$6,A$2,A$2+A2568-1)</f>
        <v>44571</v>
      </c>
      <c r="D2568" s="362">
        <f t="shared" ca="1" si="81"/>
        <v>205832907.40083927</v>
      </c>
    </row>
    <row r="2569" spans="1:4">
      <c r="A2569" s="348">
        <f t="shared" si="82"/>
        <v>2568</v>
      </c>
      <c r="B2569" s="360">
        <f>DATE('Profit Calculation'!J$6,A$2,A$2+A2569-1)</f>
        <v>44572</v>
      </c>
      <c r="D2569" s="362">
        <f t="shared" ca="1" si="81"/>
        <v>205911737.85382593</v>
      </c>
    </row>
    <row r="2570" spans="1:4">
      <c r="A2570" s="348">
        <f t="shared" si="82"/>
        <v>2569</v>
      </c>
      <c r="B2570" s="360">
        <f>DATE('Profit Calculation'!J$6,A$2,A$2+A2570-1)</f>
        <v>44573</v>
      </c>
      <c r="D2570" s="362">
        <f t="shared" ca="1" si="81"/>
        <v>205990598.49751627</v>
      </c>
    </row>
    <row r="2571" spans="1:4">
      <c r="A2571" s="348">
        <f t="shared" si="82"/>
        <v>2570</v>
      </c>
      <c r="B2571" s="360">
        <f>DATE('Profit Calculation'!J$6,A$2,A$2+A2571-1)</f>
        <v>44574</v>
      </c>
      <c r="D2571" s="362">
        <f t="shared" ca="1" si="81"/>
        <v>206069489.34347284</v>
      </c>
    </row>
    <row r="2572" spans="1:4">
      <c r="A2572" s="348">
        <f t="shared" si="82"/>
        <v>2571</v>
      </c>
      <c r="B2572" s="360">
        <f>DATE('Profit Calculation'!J$6,A$2,A$2+A2572-1)</f>
        <v>44575</v>
      </c>
      <c r="D2572" s="362">
        <f t="shared" ca="1" si="81"/>
        <v>206148410.40326256</v>
      </c>
    </row>
    <row r="2573" spans="1:4">
      <c r="A2573" s="348">
        <f t="shared" si="82"/>
        <v>2572</v>
      </c>
      <c r="B2573" s="360">
        <f>DATE('Profit Calculation'!J$6,A$2,A$2+A2573-1)</f>
        <v>44576</v>
      </c>
      <c r="D2573" s="362">
        <f t="shared" ca="1" si="81"/>
        <v>206227361.6884568</v>
      </c>
    </row>
    <row r="2574" spans="1:4">
      <c r="A2574" s="348">
        <f t="shared" si="82"/>
        <v>2573</v>
      </c>
      <c r="B2574" s="360">
        <f>DATE('Profit Calculation'!J$6,A$2,A$2+A2574-1)</f>
        <v>44577</v>
      </c>
      <c r="D2574" s="362">
        <f t="shared" ca="1" si="81"/>
        <v>206306343.2106314</v>
      </c>
    </row>
    <row r="2575" spans="1:4">
      <c r="A2575" s="348">
        <f t="shared" si="82"/>
        <v>2574</v>
      </c>
      <c r="B2575" s="360">
        <f>DATE('Profit Calculation'!J$6,A$2,A$2+A2575-1)</f>
        <v>44578</v>
      </c>
      <c r="D2575" s="362">
        <f t="shared" ca="1" si="81"/>
        <v>206385354.98136657</v>
      </c>
    </row>
    <row r="2576" spans="1:4">
      <c r="A2576" s="348">
        <f t="shared" si="82"/>
        <v>2575</v>
      </c>
      <c r="B2576" s="360">
        <f>DATE('Profit Calculation'!J$6,A$2,A$2+A2576-1)</f>
        <v>44579</v>
      </c>
      <c r="D2576" s="362">
        <f t="shared" ca="1" si="81"/>
        <v>206464397.01224703</v>
      </c>
    </row>
    <row r="2577" spans="1:4">
      <c r="A2577" s="348">
        <f t="shared" si="82"/>
        <v>2576</v>
      </c>
      <c r="B2577" s="360">
        <f>DATE('Profit Calculation'!J$6,A$2,A$2+A2577-1)</f>
        <v>44580</v>
      </c>
      <c r="D2577" s="362">
        <f t="shared" ca="1" si="81"/>
        <v>206543469.31486186</v>
      </c>
    </row>
    <row r="2578" spans="1:4">
      <c r="A2578" s="348">
        <f t="shared" si="82"/>
        <v>2577</v>
      </c>
      <c r="B2578" s="360">
        <f>DATE('Profit Calculation'!J$6,A$2,A$2+A2578-1)</f>
        <v>44581</v>
      </c>
      <c r="D2578" s="362">
        <f t="shared" ca="1" si="81"/>
        <v>206622571.90080464</v>
      </c>
    </row>
    <row r="2579" spans="1:4">
      <c r="A2579" s="348">
        <f t="shared" si="82"/>
        <v>2578</v>
      </c>
      <c r="B2579" s="360">
        <f>DATE('Profit Calculation'!J$6,A$2,A$2+A2579-1)</f>
        <v>44582</v>
      </c>
      <c r="D2579" s="362">
        <f t="shared" ca="1" si="81"/>
        <v>206701704.78167331</v>
      </c>
    </row>
    <row r="2580" spans="1:4">
      <c r="A2580" s="348">
        <f t="shared" si="82"/>
        <v>2579</v>
      </c>
      <c r="B2580" s="360">
        <f>DATE('Profit Calculation'!J$6,A$2,A$2+A2580-1)</f>
        <v>44583</v>
      </c>
      <c r="D2580" s="362">
        <f t="shared" ca="1" si="81"/>
        <v>206780867.96907035</v>
      </c>
    </row>
    <row r="2581" spans="1:4">
      <c r="A2581" s="348">
        <f t="shared" si="82"/>
        <v>2580</v>
      </c>
      <c r="B2581" s="360">
        <f>DATE('Profit Calculation'!J$6,A$2,A$2+A2581-1)</f>
        <v>44584</v>
      </c>
      <c r="D2581" s="362">
        <f t="shared" ca="1" si="81"/>
        <v>206860061.47460261</v>
      </c>
    </row>
    <row r="2582" spans="1:4">
      <c r="A2582" s="348">
        <f t="shared" si="82"/>
        <v>2581</v>
      </c>
      <c r="B2582" s="360">
        <f>DATE('Profit Calculation'!J$6,A$2,A$2+A2582-1)</f>
        <v>44585</v>
      </c>
      <c r="D2582" s="362">
        <f t="shared" ca="1" si="81"/>
        <v>206939285.30988145</v>
      </c>
    </row>
    <row r="2583" spans="1:4">
      <c r="A2583" s="348">
        <f t="shared" si="82"/>
        <v>2582</v>
      </c>
      <c r="B2583" s="360">
        <f>DATE('Profit Calculation'!J$6,A$2,A$2+A2583-1)</f>
        <v>44586</v>
      </c>
      <c r="D2583" s="362">
        <f t="shared" ca="1" si="81"/>
        <v>207018539.48652261</v>
      </c>
    </row>
    <row r="2584" spans="1:4">
      <c r="A2584" s="348">
        <f t="shared" si="82"/>
        <v>2583</v>
      </c>
      <c r="B2584" s="360">
        <f>DATE('Profit Calculation'!J$6,A$2,A$2+A2584-1)</f>
        <v>44587</v>
      </c>
      <c r="D2584" s="362">
        <f t="shared" ca="1" si="81"/>
        <v>207097824.01614633</v>
      </c>
    </row>
    <row r="2585" spans="1:4">
      <c r="A2585" s="348">
        <f t="shared" si="82"/>
        <v>2584</v>
      </c>
      <c r="B2585" s="360">
        <f>DATE('Profit Calculation'!J$6,A$2,A$2+A2585-1)</f>
        <v>44588</v>
      </c>
      <c r="D2585" s="362">
        <f t="shared" ca="1" si="81"/>
        <v>207177138.91037726</v>
      </c>
    </row>
    <row r="2586" spans="1:4">
      <c r="A2586" s="348">
        <f t="shared" si="82"/>
        <v>2585</v>
      </c>
      <c r="B2586" s="360">
        <f>DATE('Profit Calculation'!J$6,A$2,A$2+A2586-1)</f>
        <v>44589</v>
      </c>
      <c r="D2586" s="362">
        <f t="shared" ca="1" si="81"/>
        <v>207256484.18084452</v>
      </c>
    </row>
    <row r="2587" spans="1:4">
      <c r="A2587" s="348">
        <f t="shared" si="82"/>
        <v>2586</v>
      </c>
      <c r="B2587" s="360">
        <f>DATE('Profit Calculation'!J$6,A$2,A$2+A2587-1)</f>
        <v>44590</v>
      </c>
      <c r="D2587" s="362">
        <f t="shared" ca="1" si="81"/>
        <v>207335859.83918169</v>
      </c>
    </row>
    <row r="2588" spans="1:4">
      <c r="A2588" s="348">
        <f t="shared" si="82"/>
        <v>2587</v>
      </c>
      <c r="B2588" s="360">
        <f>DATE('Profit Calculation'!J$6,A$2,A$2+A2588-1)</f>
        <v>44591</v>
      </c>
      <c r="D2588" s="362">
        <f t="shared" ca="1" si="81"/>
        <v>207415265.89702681</v>
      </c>
    </row>
    <row r="2589" spans="1:4">
      <c r="A2589" s="348">
        <f t="shared" si="82"/>
        <v>2588</v>
      </c>
      <c r="B2589" s="360">
        <f>DATE('Profit Calculation'!J$6,A$2,A$2+A2589-1)</f>
        <v>44592</v>
      </c>
      <c r="D2589" s="362">
        <f t="shared" ca="1" si="81"/>
        <v>207494702.36602235</v>
      </c>
    </row>
    <row r="2590" spans="1:4">
      <c r="A2590" s="348">
        <f t="shared" si="82"/>
        <v>2589</v>
      </c>
      <c r="B2590" s="360">
        <f>DATE('Profit Calculation'!J$6,A$2,A$2+A2590-1)</f>
        <v>44593</v>
      </c>
      <c r="D2590" s="362">
        <f t="shared" ca="1" si="81"/>
        <v>207574169.25781527</v>
      </c>
    </row>
    <row r="2591" spans="1:4">
      <c r="A2591" s="348">
        <f t="shared" si="82"/>
        <v>2590</v>
      </c>
      <c r="B2591" s="360">
        <f>DATE('Profit Calculation'!J$6,A$2,A$2+A2591-1)</f>
        <v>44594</v>
      </c>
      <c r="D2591" s="362">
        <f t="shared" ca="1" si="81"/>
        <v>207653666.58405697</v>
      </c>
    </row>
    <row r="2592" spans="1:4">
      <c r="A2592" s="348">
        <f t="shared" si="82"/>
        <v>2591</v>
      </c>
      <c r="B2592" s="360">
        <f>DATE('Profit Calculation'!J$6,A$2,A$2+A2592-1)</f>
        <v>44595</v>
      </c>
      <c r="D2592" s="362">
        <f t="shared" ca="1" si="81"/>
        <v>207733194.35640332</v>
      </c>
    </row>
    <row r="2593" spans="1:4">
      <c r="A2593" s="348">
        <f t="shared" si="82"/>
        <v>2592</v>
      </c>
      <c r="B2593" s="360">
        <f>DATE('Profit Calculation'!J$6,A$2,A$2+A2593-1)</f>
        <v>44596</v>
      </c>
      <c r="D2593" s="362">
        <f t="shared" ca="1" si="81"/>
        <v>207812752.58651465</v>
      </c>
    </row>
    <row r="2594" spans="1:4">
      <c r="A2594" s="348">
        <f t="shared" si="82"/>
        <v>2593</v>
      </c>
      <c r="B2594" s="360">
        <f>DATE('Profit Calculation'!J$6,A$2,A$2+A2594-1)</f>
        <v>44597</v>
      </c>
      <c r="D2594" s="362">
        <f t="shared" ca="1" si="81"/>
        <v>207892341.28605574</v>
      </c>
    </row>
    <row r="2595" spans="1:4">
      <c r="A2595" s="348">
        <f t="shared" si="82"/>
        <v>2594</v>
      </c>
      <c r="B2595" s="360">
        <f>DATE('Profit Calculation'!J$6,A$2,A$2+A2595-1)</f>
        <v>44598</v>
      </c>
      <c r="D2595" s="362">
        <f t="shared" ca="1" si="81"/>
        <v>207971960.46669587</v>
      </c>
    </row>
    <row r="2596" spans="1:4">
      <c r="A2596" s="348">
        <f t="shared" si="82"/>
        <v>2595</v>
      </c>
      <c r="B2596" s="360">
        <f>DATE('Profit Calculation'!J$6,A$2,A$2+A2596-1)</f>
        <v>44599</v>
      </c>
      <c r="D2596" s="362">
        <f t="shared" ca="1" si="81"/>
        <v>208051610.14010879</v>
      </c>
    </row>
    <row r="2597" spans="1:4">
      <c r="A2597" s="348">
        <f t="shared" si="82"/>
        <v>2596</v>
      </c>
      <c r="B2597" s="360">
        <f>DATE('Profit Calculation'!J$6,A$2,A$2+A2597-1)</f>
        <v>44600</v>
      </c>
      <c r="D2597" s="362">
        <f t="shared" ca="1" si="81"/>
        <v>208131290.31797272</v>
      </c>
    </row>
    <row r="2598" spans="1:4">
      <c r="A2598" s="348">
        <f t="shared" si="82"/>
        <v>2597</v>
      </c>
      <c r="B2598" s="360">
        <f>DATE('Profit Calculation'!J$6,A$2,A$2+A2598-1)</f>
        <v>44601</v>
      </c>
      <c r="D2598" s="362">
        <f t="shared" ca="1" si="81"/>
        <v>208211001.01197031</v>
      </c>
    </row>
    <row r="2599" spans="1:4">
      <c r="A2599" s="348">
        <f t="shared" si="82"/>
        <v>2598</v>
      </c>
      <c r="B2599" s="360">
        <f>DATE('Profit Calculation'!J$6,A$2,A$2+A2599-1)</f>
        <v>44602</v>
      </c>
      <c r="D2599" s="362">
        <f t="shared" ca="1" si="81"/>
        <v>208290742.2337887</v>
      </c>
    </row>
    <row r="2600" spans="1:4">
      <c r="A2600" s="348">
        <f t="shared" si="82"/>
        <v>2599</v>
      </c>
      <c r="B2600" s="360">
        <f>DATE('Profit Calculation'!J$6,A$2,A$2+A2600-1)</f>
        <v>44603</v>
      </c>
      <c r="D2600" s="362">
        <f t="shared" ca="1" si="81"/>
        <v>208370513.99511954</v>
      </c>
    </row>
    <row r="2601" spans="1:4">
      <c r="A2601" s="348">
        <f t="shared" si="82"/>
        <v>2600</v>
      </c>
      <c r="B2601" s="360">
        <f>DATE('Profit Calculation'!J$6,A$2,A$2+A2601-1)</f>
        <v>44604</v>
      </c>
      <c r="D2601" s="362">
        <f t="shared" ca="1" si="81"/>
        <v>208450316.30765894</v>
      </c>
    </row>
    <row r="2602" spans="1:4">
      <c r="A2602" s="348">
        <f t="shared" si="82"/>
        <v>2601</v>
      </c>
      <c r="B2602" s="360">
        <f>DATE('Profit Calculation'!J$6,A$2,A$2+A2602-1)</f>
        <v>44605</v>
      </c>
      <c r="D2602" s="362">
        <f t="shared" ca="1" si="81"/>
        <v>208530149.18310747</v>
      </c>
    </row>
    <row r="2603" spans="1:4">
      <c r="A2603" s="348">
        <f t="shared" si="82"/>
        <v>2602</v>
      </c>
      <c r="B2603" s="360">
        <f>DATE('Profit Calculation'!J$6,A$2,A$2+A2603-1)</f>
        <v>44606</v>
      </c>
      <c r="D2603" s="362">
        <f t="shared" ca="1" si="81"/>
        <v>208610012.63317022</v>
      </c>
    </row>
    <row r="2604" spans="1:4">
      <c r="A2604" s="348">
        <f t="shared" si="82"/>
        <v>2603</v>
      </c>
      <c r="B2604" s="360">
        <f>DATE('Profit Calculation'!J$6,A$2,A$2+A2604-1)</f>
        <v>44607</v>
      </c>
      <c r="D2604" s="362">
        <f t="shared" ca="1" si="81"/>
        <v>208689906.66955671</v>
      </c>
    </row>
    <row r="2605" spans="1:4">
      <c r="A2605" s="348">
        <f t="shared" si="82"/>
        <v>2604</v>
      </c>
      <c r="B2605" s="360">
        <f>DATE('Profit Calculation'!J$6,A$2,A$2+A2605-1)</f>
        <v>44608</v>
      </c>
      <c r="D2605" s="362">
        <f t="shared" ca="1" si="81"/>
        <v>208769831.30398101</v>
      </c>
    </row>
    <row r="2606" spans="1:4">
      <c r="A2606" s="348">
        <f t="shared" si="82"/>
        <v>2605</v>
      </c>
      <c r="B2606" s="360">
        <f>DATE('Profit Calculation'!J$6,A$2,A$2+A2606-1)</f>
        <v>44609</v>
      </c>
      <c r="D2606" s="362">
        <f t="shared" ca="1" si="81"/>
        <v>208849786.54816163</v>
      </c>
    </row>
    <row r="2607" spans="1:4">
      <c r="A2607" s="348">
        <f t="shared" si="82"/>
        <v>2606</v>
      </c>
      <c r="B2607" s="360">
        <f>DATE('Profit Calculation'!J$6,A$2,A$2+A2607-1)</f>
        <v>44610</v>
      </c>
      <c r="D2607" s="362">
        <f t="shared" ca="1" si="81"/>
        <v>208929772.41382155</v>
      </c>
    </row>
    <row r="2608" spans="1:4">
      <c r="A2608" s="348">
        <f t="shared" si="82"/>
        <v>2607</v>
      </c>
      <c r="B2608" s="360">
        <f>DATE('Profit Calculation'!J$6,A$2,A$2+A2608-1)</f>
        <v>44611</v>
      </c>
      <c r="D2608" s="362">
        <f t="shared" ca="1" si="81"/>
        <v>209009788.91268829</v>
      </c>
    </row>
    <row r="2609" spans="1:4">
      <c r="A2609" s="348">
        <f t="shared" si="82"/>
        <v>2608</v>
      </c>
      <c r="B2609" s="360">
        <f>DATE('Profit Calculation'!J$6,A$2,A$2+A2609-1)</f>
        <v>44612</v>
      </c>
      <c r="D2609" s="362">
        <f t="shared" ca="1" si="81"/>
        <v>209089836.05649385</v>
      </c>
    </row>
    <row r="2610" spans="1:4">
      <c r="A2610" s="348">
        <f t="shared" si="82"/>
        <v>2609</v>
      </c>
      <c r="B2610" s="360">
        <f>DATE('Profit Calculation'!J$6,A$2,A$2+A2610-1)</f>
        <v>44613</v>
      </c>
      <c r="D2610" s="362">
        <f t="shared" ca="1" si="81"/>
        <v>209169913.85697469</v>
      </c>
    </row>
    <row r="2611" spans="1:4">
      <c r="A2611" s="348">
        <f t="shared" si="82"/>
        <v>2610</v>
      </c>
      <c r="B2611" s="360">
        <f>DATE('Profit Calculation'!J$6,A$2,A$2+A2611-1)</f>
        <v>44614</v>
      </c>
      <c r="D2611" s="362">
        <f t="shared" ca="1" si="81"/>
        <v>209250022.3258718</v>
      </c>
    </row>
    <row r="2612" spans="1:4">
      <c r="A2612" s="348">
        <f t="shared" si="82"/>
        <v>2611</v>
      </c>
      <c r="B2612" s="360">
        <f>DATE('Profit Calculation'!J$6,A$2,A$2+A2612-1)</f>
        <v>44615</v>
      </c>
      <c r="D2612" s="362">
        <f t="shared" ca="1" si="81"/>
        <v>209330161.47493064</v>
      </c>
    </row>
    <row r="2613" spans="1:4">
      <c r="A2613" s="348">
        <f t="shared" si="82"/>
        <v>2612</v>
      </c>
      <c r="B2613" s="360">
        <f>DATE('Profit Calculation'!J$6,A$2,A$2+A2613-1)</f>
        <v>44616</v>
      </c>
      <c r="D2613" s="362">
        <f t="shared" ca="1" si="81"/>
        <v>209410331.31590122</v>
      </c>
    </row>
    <row r="2614" spans="1:4">
      <c r="A2614" s="348">
        <f t="shared" si="82"/>
        <v>2613</v>
      </c>
      <c r="B2614" s="360">
        <f>DATE('Profit Calculation'!J$6,A$2,A$2+A2614-1)</f>
        <v>44617</v>
      </c>
      <c r="D2614" s="362">
        <f t="shared" ca="1" si="81"/>
        <v>209490531.86053798</v>
      </c>
    </row>
    <row r="2615" spans="1:4">
      <c r="A2615" s="348">
        <f t="shared" si="82"/>
        <v>2614</v>
      </c>
      <c r="B2615" s="360">
        <f>DATE('Profit Calculation'!J$6,A$2,A$2+A2615-1)</f>
        <v>44618</v>
      </c>
      <c r="D2615" s="362">
        <f t="shared" ca="1" si="81"/>
        <v>209570763.1205999</v>
      </c>
    </row>
    <row r="2616" spans="1:4">
      <c r="A2616" s="348">
        <f t="shared" si="82"/>
        <v>2615</v>
      </c>
      <c r="B2616" s="360">
        <f>DATE('Profit Calculation'!J$6,A$2,A$2+A2616-1)</f>
        <v>44619</v>
      </c>
      <c r="D2616" s="362">
        <f t="shared" ca="1" si="81"/>
        <v>209651025.10785046</v>
      </c>
    </row>
    <row r="2617" spans="1:4">
      <c r="A2617" s="348">
        <f t="shared" si="82"/>
        <v>2616</v>
      </c>
      <c r="B2617" s="360">
        <f>DATE('Profit Calculation'!J$6,A$2,A$2+A2617-1)</f>
        <v>44620</v>
      </c>
      <c r="D2617" s="362">
        <f t="shared" ca="1" si="81"/>
        <v>209731317.83405766</v>
      </c>
    </row>
    <row r="2618" spans="1:4">
      <c r="A2618" s="348">
        <f t="shared" si="82"/>
        <v>2617</v>
      </c>
      <c r="B2618" s="360">
        <f>DATE('Profit Calculation'!J$6,A$2,A$2+A2618-1)</f>
        <v>44621</v>
      </c>
      <c r="D2618" s="362">
        <f t="shared" ca="1" si="81"/>
        <v>209811641.31099397</v>
      </c>
    </row>
    <row r="2619" spans="1:4">
      <c r="A2619" s="348">
        <f t="shared" si="82"/>
        <v>2618</v>
      </c>
      <c r="B2619" s="360">
        <f>DATE('Profit Calculation'!J$6,A$2,A$2+A2619-1)</f>
        <v>44622</v>
      </c>
      <c r="D2619" s="362">
        <f t="shared" ca="1" si="81"/>
        <v>209891995.55043638</v>
      </c>
    </row>
    <row r="2620" spans="1:4">
      <c r="A2620" s="348">
        <f t="shared" si="82"/>
        <v>2619</v>
      </c>
      <c r="B2620" s="360">
        <f>DATE('Profit Calculation'!J$6,A$2,A$2+A2620-1)</f>
        <v>44623</v>
      </c>
      <c r="D2620" s="362">
        <f t="shared" ca="1" si="81"/>
        <v>209972380.56416643</v>
      </c>
    </row>
    <row r="2621" spans="1:4">
      <c r="A2621" s="348">
        <f t="shared" si="82"/>
        <v>2620</v>
      </c>
      <c r="B2621" s="360">
        <f>DATE('Profit Calculation'!J$6,A$2,A$2+A2621-1)</f>
        <v>44624</v>
      </c>
      <c r="D2621" s="362">
        <f t="shared" ca="1" si="81"/>
        <v>210052796.36397013</v>
      </c>
    </row>
    <row r="2622" spans="1:4">
      <c r="A2622" s="348">
        <f t="shared" si="82"/>
        <v>2621</v>
      </c>
      <c r="B2622" s="360">
        <f>DATE('Profit Calculation'!J$6,A$2,A$2+A2622-1)</f>
        <v>44625</v>
      </c>
      <c r="D2622" s="362">
        <f t="shared" ca="1" si="81"/>
        <v>210133242.961638</v>
      </c>
    </row>
    <row r="2623" spans="1:4">
      <c r="A2623" s="348">
        <f t="shared" si="82"/>
        <v>2622</v>
      </c>
      <c r="B2623" s="360">
        <f>DATE('Profit Calculation'!J$6,A$2,A$2+A2623-1)</f>
        <v>44626</v>
      </c>
      <c r="D2623" s="362">
        <f t="shared" ca="1" si="81"/>
        <v>210213720.36896509</v>
      </c>
    </row>
    <row r="2624" spans="1:4">
      <c r="A2624" s="348">
        <f t="shared" si="82"/>
        <v>2623</v>
      </c>
      <c r="B2624" s="360">
        <f>DATE('Profit Calculation'!J$6,A$2,A$2+A2624-1)</f>
        <v>44627</v>
      </c>
      <c r="D2624" s="362">
        <f t="shared" ca="1" si="81"/>
        <v>210294228.59775099</v>
      </c>
    </row>
    <row r="2625" spans="1:4">
      <c r="A2625" s="348">
        <f t="shared" si="82"/>
        <v>2624</v>
      </c>
      <c r="B2625" s="360">
        <f>DATE('Profit Calculation'!J$6,A$2,A$2+A2625-1)</f>
        <v>44628</v>
      </c>
      <c r="D2625" s="362">
        <f t="shared" ca="1" si="81"/>
        <v>210374767.65979978</v>
      </c>
    </row>
    <row r="2626" spans="1:4">
      <c r="A2626" s="348">
        <f t="shared" si="82"/>
        <v>2625</v>
      </c>
      <c r="B2626" s="360">
        <f>DATE('Profit Calculation'!J$6,A$2,A$2+A2626-1)</f>
        <v>44629</v>
      </c>
      <c r="D2626" s="362">
        <f t="shared" ca="1" si="81"/>
        <v>210455337.56692007</v>
      </c>
    </row>
    <row r="2627" spans="1:4">
      <c r="A2627" s="348">
        <f t="shared" si="82"/>
        <v>2626</v>
      </c>
      <c r="B2627" s="360">
        <f>DATE('Profit Calculation'!J$6,A$2,A$2+A2627-1)</f>
        <v>44630</v>
      </c>
      <c r="D2627" s="362">
        <f t="shared" ca="1" si="81"/>
        <v>210535938.33092496</v>
      </c>
    </row>
    <row r="2628" spans="1:4">
      <c r="A2628" s="348">
        <f t="shared" si="82"/>
        <v>2627</v>
      </c>
      <c r="B2628" s="360">
        <f>DATE('Profit Calculation'!J$6,A$2,A$2+A2628-1)</f>
        <v>44631</v>
      </c>
      <c r="D2628" s="362">
        <f t="shared" ref="D2628:D2691" ca="1" si="83">IF(OR(LOOKUP(B2628,W$1:W$35,W$1:W$35) = B2628, LOOKUP(B2628,X$1:X$35,X$1:X$35) = B2628),LOOKUP(B2628,F:F,G:G),D2627*(1+((IF($Q$18&lt;6,$R$14,IF($Q$18&lt;11,$R$15,$R$16)))))^(1/365))</f>
        <v>210616569.96363214</v>
      </c>
    </row>
    <row r="2629" spans="1:4">
      <c r="A2629" s="348">
        <f t="shared" ref="A2629:A2692" si="84">A2628+1</f>
        <v>2628</v>
      </c>
      <c r="B2629" s="360">
        <f>DATE('Profit Calculation'!J$6,A$2,A$2+A2629-1)</f>
        <v>44632</v>
      </c>
      <c r="D2629" s="362">
        <f t="shared" ca="1" si="83"/>
        <v>210697232.47686377</v>
      </c>
    </row>
    <row r="2630" spans="1:4">
      <c r="A2630" s="348">
        <f t="shared" si="84"/>
        <v>2629</v>
      </c>
      <c r="B2630" s="360">
        <f>DATE('Profit Calculation'!J$6,A$2,A$2+A2630-1)</f>
        <v>44633</v>
      </c>
      <c r="D2630" s="362">
        <f t="shared" ca="1" si="83"/>
        <v>210777925.88244659</v>
      </c>
    </row>
    <row r="2631" spans="1:4">
      <c r="A2631" s="348">
        <f t="shared" si="84"/>
        <v>2630</v>
      </c>
      <c r="B2631" s="360">
        <f>DATE('Profit Calculation'!J$6,A$2,A$2+A2631-1)</f>
        <v>44634</v>
      </c>
      <c r="D2631" s="362">
        <f t="shared" ca="1" si="83"/>
        <v>210858650.19221181</v>
      </c>
    </row>
    <row r="2632" spans="1:4">
      <c r="A2632" s="348">
        <f t="shared" si="84"/>
        <v>2631</v>
      </c>
      <c r="B2632" s="360">
        <f>DATE('Profit Calculation'!J$6,A$2,A$2+A2632-1)</f>
        <v>44635</v>
      </c>
      <c r="D2632" s="362">
        <f t="shared" ca="1" si="83"/>
        <v>210939405.41799518</v>
      </c>
    </row>
    <row r="2633" spans="1:4">
      <c r="A2633" s="348">
        <f t="shared" si="84"/>
        <v>2632</v>
      </c>
      <c r="B2633" s="360">
        <f>DATE('Profit Calculation'!J$6,A$2,A$2+A2633-1)</f>
        <v>44636</v>
      </c>
      <c r="D2633" s="362">
        <f t="shared" ca="1" si="83"/>
        <v>211020191.57163703</v>
      </c>
    </row>
    <row r="2634" spans="1:4">
      <c r="A2634" s="348">
        <f t="shared" si="84"/>
        <v>2633</v>
      </c>
      <c r="B2634" s="360">
        <f>DATE('Profit Calculation'!J$6,A$2,A$2+A2634-1)</f>
        <v>44637</v>
      </c>
      <c r="D2634" s="362">
        <f t="shared" ca="1" si="83"/>
        <v>211101008.6649822</v>
      </c>
    </row>
    <row r="2635" spans="1:4">
      <c r="A2635" s="348">
        <f t="shared" si="84"/>
        <v>2634</v>
      </c>
      <c r="B2635" s="360">
        <f>DATE('Profit Calculation'!J$6,A$2,A$2+A2635-1)</f>
        <v>44638</v>
      </c>
      <c r="D2635" s="362">
        <f t="shared" ca="1" si="83"/>
        <v>211181856.70988005</v>
      </c>
    </row>
    <row r="2636" spans="1:4">
      <c r="A2636" s="348">
        <f t="shared" si="84"/>
        <v>2635</v>
      </c>
      <c r="B2636" s="360">
        <f>DATE('Profit Calculation'!J$6,A$2,A$2+A2636-1)</f>
        <v>44639</v>
      </c>
      <c r="D2636" s="362">
        <f t="shared" ca="1" si="83"/>
        <v>211262735.7181845</v>
      </c>
    </row>
    <row r="2637" spans="1:4">
      <c r="A2637" s="348">
        <f t="shared" si="84"/>
        <v>2636</v>
      </c>
      <c r="B2637" s="360">
        <f>DATE('Profit Calculation'!J$6,A$2,A$2+A2637-1)</f>
        <v>44640</v>
      </c>
      <c r="D2637" s="362">
        <f t="shared" ca="1" si="83"/>
        <v>211343645.701754</v>
      </c>
    </row>
    <row r="2638" spans="1:4">
      <c r="A2638" s="348">
        <f t="shared" si="84"/>
        <v>2637</v>
      </c>
      <c r="B2638" s="360">
        <f>DATE('Profit Calculation'!J$6,A$2,A$2+A2638-1)</f>
        <v>44641</v>
      </c>
      <c r="D2638" s="362">
        <f t="shared" ca="1" si="83"/>
        <v>211424586.67245153</v>
      </c>
    </row>
    <row r="2639" spans="1:4">
      <c r="A2639" s="348">
        <f t="shared" si="84"/>
        <v>2638</v>
      </c>
      <c r="B2639" s="360">
        <f>DATE('Profit Calculation'!J$6,A$2,A$2+A2639-1)</f>
        <v>44642</v>
      </c>
      <c r="D2639" s="362">
        <f t="shared" ca="1" si="83"/>
        <v>211505558.64214462</v>
      </c>
    </row>
    <row r="2640" spans="1:4">
      <c r="A2640" s="348">
        <f t="shared" si="84"/>
        <v>2639</v>
      </c>
      <c r="B2640" s="360">
        <f>DATE('Profit Calculation'!J$6,A$2,A$2+A2640-1)</f>
        <v>44643</v>
      </c>
      <c r="D2640" s="362">
        <f t="shared" ca="1" si="83"/>
        <v>211586561.62270537</v>
      </c>
    </row>
    <row r="2641" spans="1:4">
      <c r="A2641" s="348">
        <f t="shared" si="84"/>
        <v>2640</v>
      </c>
      <c r="B2641" s="360">
        <f>DATE('Profit Calculation'!J$6,A$2,A$2+A2641-1)</f>
        <v>44644</v>
      </c>
      <c r="D2641" s="362">
        <f t="shared" ca="1" si="83"/>
        <v>211667595.62601042</v>
      </c>
    </row>
    <row r="2642" spans="1:4">
      <c r="A2642" s="348">
        <f t="shared" si="84"/>
        <v>2641</v>
      </c>
      <c r="B2642" s="360">
        <f>DATE('Profit Calculation'!J$6,A$2,A$2+A2642-1)</f>
        <v>44645</v>
      </c>
      <c r="D2642" s="362">
        <f t="shared" ca="1" si="83"/>
        <v>211748660.66394091</v>
      </c>
    </row>
    <row r="2643" spans="1:4">
      <c r="A2643" s="348">
        <f t="shared" si="84"/>
        <v>2642</v>
      </c>
      <c r="B2643" s="360">
        <f>DATE('Profit Calculation'!J$6,A$2,A$2+A2643-1)</f>
        <v>44646</v>
      </c>
      <c r="D2643" s="362">
        <f t="shared" ca="1" si="83"/>
        <v>211829756.74838257</v>
      </c>
    </row>
    <row r="2644" spans="1:4">
      <c r="A2644" s="348">
        <f t="shared" si="84"/>
        <v>2643</v>
      </c>
      <c r="B2644" s="360">
        <f>DATE('Profit Calculation'!J$6,A$2,A$2+A2644-1)</f>
        <v>44647</v>
      </c>
      <c r="D2644" s="362">
        <f t="shared" ca="1" si="83"/>
        <v>211910883.8912257</v>
      </c>
    </row>
    <row r="2645" spans="1:4">
      <c r="A2645" s="348">
        <f t="shared" si="84"/>
        <v>2644</v>
      </c>
      <c r="B2645" s="360">
        <f>DATE('Profit Calculation'!J$6,A$2,A$2+A2645-1)</f>
        <v>44648</v>
      </c>
      <c r="D2645" s="362">
        <f t="shared" ca="1" si="83"/>
        <v>211992042.10436511</v>
      </c>
    </row>
    <row r="2646" spans="1:4">
      <c r="A2646" s="348">
        <f t="shared" si="84"/>
        <v>2645</v>
      </c>
      <c r="B2646" s="360">
        <f>DATE('Profit Calculation'!J$6,A$2,A$2+A2646-1)</f>
        <v>44649</v>
      </c>
      <c r="D2646" s="362">
        <f t="shared" ca="1" si="83"/>
        <v>212073231.39970022</v>
      </c>
    </row>
    <row r="2647" spans="1:4">
      <c r="A2647" s="348">
        <f t="shared" si="84"/>
        <v>2646</v>
      </c>
      <c r="B2647" s="360">
        <f>DATE('Profit Calculation'!J$6,A$2,A$2+A2647-1)</f>
        <v>44650</v>
      </c>
      <c r="D2647" s="362">
        <f t="shared" ca="1" si="83"/>
        <v>212154451.78913495</v>
      </c>
    </row>
    <row r="2648" spans="1:4">
      <c r="A2648" s="348">
        <f t="shared" si="84"/>
        <v>2647</v>
      </c>
      <c r="B2648" s="360">
        <f>DATE('Profit Calculation'!J$6,A$2,A$2+A2648-1)</f>
        <v>44651</v>
      </c>
      <c r="D2648" s="362">
        <f t="shared" ca="1" si="83"/>
        <v>212235703.28457782</v>
      </c>
    </row>
    <row r="2649" spans="1:4">
      <c r="A2649" s="348">
        <f t="shared" si="84"/>
        <v>2648</v>
      </c>
      <c r="B2649" s="360">
        <f>DATE('Profit Calculation'!J$6,A$2,A$2+A2649-1)</f>
        <v>44652</v>
      </c>
      <c r="D2649" s="362">
        <f t="shared" ca="1" si="83"/>
        <v>204540925</v>
      </c>
    </row>
    <row r="2650" spans="1:4">
      <c r="A2650" s="348">
        <f t="shared" si="84"/>
        <v>2649</v>
      </c>
      <c r="B2650" s="360">
        <f>DATE('Profit Calculation'!J$6,A$2,A$2+A2650-1)</f>
        <v>44653</v>
      </c>
      <c r="D2650" s="362">
        <f t="shared" ca="1" si="83"/>
        <v>204619260.64601338</v>
      </c>
    </row>
    <row r="2651" spans="1:4">
      <c r="A2651" s="348">
        <f t="shared" si="84"/>
        <v>2650</v>
      </c>
      <c r="B2651" s="360">
        <f>DATE('Profit Calculation'!J$6,A$2,A$2+A2651-1)</f>
        <v>44654</v>
      </c>
      <c r="D2651" s="362">
        <f t="shared" ca="1" si="83"/>
        <v>204697626.29322791</v>
      </c>
    </row>
    <row r="2652" spans="1:4">
      <c r="A2652" s="348">
        <f t="shared" si="84"/>
        <v>2651</v>
      </c>
      <c r="B2652" s="360">
        <f>DATE('Profit Calculation'!J$6,A$2,A$2+A2652-1)</f>
        <v>44655</v>
      </c>
      <c r="D2652" s="362">
        <f t="shared" ca="1" si="83"/>
        <v>204776021.95313355</v>
      </c>
    </row>
    <row r="2653" spans="1:4">
      <c r="A2653" s="348">
        <f t="shared" si="84"/>
        <v>2652</v>
      </c>
      <c r="B2653" s="360">
        <f>DATE('Profit Calculation'!J$6,A$2,A$2+A2653-1)</f>
        <v>44656</v>
      </c>
      <c r="D2653" s="362">
        <f t="shared" ca="1" si="83"/>
        <v>204854447.63722464</v>
      </c>
    </row>
    <row r="2654" spans="1:4">
      <c r="A2654" s="348">
        <f t="shared" si="84"/>
        <v>2653</v>
      </c>
      <c r="B2654" s="360">
        <f>DATE('Profit Calculation'!J$6,A$2,A$2+A2654-1)</f>
        <v>44657</v>
      </c>
      <c r="D2654" s="362">
        <f t="shared" ca="1" si="83"/>
        <v>204932903.35699993</v>
      </c>
    </row>
    <row r="2655" spans="1:4">
      <c r="A2655" s="348">
        <f t="shared" si="84"/>
        <v>2654</v>
      </c>
      <c r="B2655" s="360">
        <f>DATE('Profit Calculation'!J$6,A$2,A$2+A2655-1)</f>
        <v>44658</v>
      </c>
      <c r="D2655" s="362">
        <f t="shared" ca="1" si="83"/>
        <v>205011389.12396255</v>
      </c>
    </row>
    <row r="2656" spans="1:4">
      <c r="A2656" s="348">
        <f t="shared" si="84"/>
        <v>2655</v>
      </c>
      <c r="B2656" s="360">
        <f>DATE('Profit Calculation'!J$6,A$2,A$2+A2656-1)</f>
        <v>44659</v>
      </c>
      <c r="D2656" s="362">
        <f t="shared" ca="1" si="83"/>
        <v>205089904.94962007</v>
      </c>
    </row>
    <row r="2657" spans="1:4">
      <c r="A2657" s="348">
        <f t="shared" si="84"/>
        <v>2656</v>
      </c>
      <c r="B2657" s="360">
        <f>DATE('Profit Calculation'!J$6,A$2,A$2+A2657-1)</f>
        <v>44660</v>
      </c>
      <c r="D2657" s="362">
        <f t="shared" ca="1" si="83"/>
        <v>205168450.84548444</v>
      </c>
    </row>
    <row r="2658" spans="1:4">
      <c r="A2658" s="348">
        <f t="shared" si="84"/>
        <v>2657</v>
      </c>
      <c r="B2658" s="360">
        <f>DATE('Profit Calculation'!J$6,A$2,A$2+A2658-1)</f>
        <v>44661</v>
      </c>
      <c r="D2658" s="362">
        <f t="shared" ca="1" si="83"/>
        <v>205247026.82307202</v>
      </c>
    </row>
    <row r="2659" spans="1:4">
      <c r="A2659" s="348">
        <f t="shared" si="84"/>
        <v>2658</v>
      </c>
      <c r="B2659" s="360">
        <f>DATE('Profit Calculation'!J$6,A$2,A$2+A2659-1)</f>
        <v>44662</v>
      </c>
      <c r="D2659" s="362">
        <f t="shared" ca="1" si="83"/>
        <v>205325632.89390361</v>
      </c>
    </row>
    <row r="2660" spans="1:4">
      <c r="A2660" s="348">
        <f t="shared" si="84"/>
        <v>2659</v>
      </c>
      <c r="B2660" s="360">
        <f>DATE('Profit Calculation'!J$6,A$2,A$2+A2660-1)</f>
        <v>44663</v>
      </c>
      <c r="D2660" s="362">
        <f t="shared" ca="1" si="83"/>
        <v>205404269.06950441</v>
      </c>
    </row>
    <row r="2661" spans="1:4">
      <c r="A2661" s="348">
        <f t="shared" si="84"/>
        <v>2660</v>
      </c>
      <c r="B2661" s="360">
        <f>DATE('Profit Calculation'!J$6,A$2,A$2+A2661-1)</f>
        <v>44664</v>
      </c>
      <c r="D2661" s="362">
        <f t="shared" ca="1" si="83"/>
        <v>205482935.36140403</v>
      </c>
    </row>
    <row r="2662" spans="1:4">
      <c r="A2662" s="348">
        <f t="shared" si="84"/>
        <v>2661</v>
      </c>
      <c r="B2662" s="360">
        <f>DATE('Profit Calculation'!J$6,A$2,A$2+A2662-1)</f>
        <v>44665</v>
      </c>
      <c r="D2662" s="362">
        <f t="shared" ca="1" si="83"/>
        <v>205561631.78113648</v>
      </c>
    </row>
    <row r="2663" spans="1:4">
      <c r="A2663" s="348">
        <f t="shared" si="84"/>
        <v>2662</v>
      </c>
      <c r="B2663" s="360">
        <f>DATE('Profit Calculation'!J$6,A$2,A$2+A2663-1)</f>
        <v>44666</v>
      </c>
      <c r="D2663" s="362">
        <f t="shared" ca="1" si="83"/>
        <v>205640358.34024018</v>
      </c>
    </row>
    <row r="2664" spans="1:4">
      <c r="A2664" s="348">
        <f t="shared" si="84"/>
        <v>2663</v>
      </c>
      <c r="B2664" s="360">
        <f>DATE('Profit Calculation'!J$6,A$2,A$2+A2664-1)</f>
        <v>44667</v>
      </c>
      <c r="D2664" s="362">
        <f t="shared" ca="1" si="83"/>
        <v>205719115.05025801</v>
      </c>
    </row>
    <row r="2665" spans="1:4">
      <c r="A2665" s="348">
        <f t="shared" si="84"/>
        <v>2664</v>
      </c>
      <c r="B2665" s="360">
        <f>DATE('Profit Calculation'!J$6,A$2,A$2+A2665-1)</f>
        <v>44668</v>
      </c>
      <c r="D2665" s="362">
        <f t="shared" ca="1" si="83"/>
        <v>205797901.92273727</v>
      </c>
    </row>
    <row r="2666" spans="1:4">
      <c r="A2666" s="348">
        <f t="shared" si="84"/>
        <v>2665</v>
      </c>
      <c r="B2666" s="360">
        <f>DATE('Profit Calculation'!J$6,A$2,A$2+A2666-1)</f>
        <v>44669</v>
      </c>
      <c r="D2666" s="362">
        <f t="shared" ca="1" si="83"/>
        <v>205876718.96922964</v>
      </c>
    </row>
    <row r="2667" spans="1:4">
      <c r="A2667" s="348">
        <f t="shared" si="84"/>
        <v>2666</v>
      </c>
      <c r="B2667" s="360">
        <f>DATE('Profit Calculation'!J$6,A$2,A$2+A2667-1)</f>
        <v>44670</v>
      </c>
      <c r="D2667" s="362">
        <f t="shared" ca="1" si="83"/>
        <v>205955566.20129123</v>
      </c>
    </row>
    <row r="2668" spans="1:4">
      <c r="A2668" s="348">
        <f t="shared" si="84"/>
        <v>2667</v>
      </c>
      <c r="B2668" s="360">
        <f>DATE('Profit Calculation'!J$6,A$2,A$2+A2668-1)</f>
        <v>44671</v>
      </c>
      <c r="D2668" s="362">
        <f t="shared" ca="1" si="83"/>
        <v>206034443.63048261</v>
      </c>
    </row>
    <row r="2669" spans="1:4">
      <c r="A2669" s="348">
        <f t="shared" si="84"/>
        <v>2668</v>
      </c>
      <c r="B2669" s="360">
        <f>DATE('Profit Calculation'!J$6,A$2,A$2+A2669-1)</f>
        <v>44672</v>
      </c>
      <c r="D2669" s="362">
        <f t="shared" ca="1" si="83"/>
        <v>206113351.26836878</v>
      </c>
    </row>
    <row r="2670" spans="1:4">
      <c r="A2670" s="348">
        <f t="shared" si="84"/>
        <v>2669</v>
      </c>
      <c r="B2670" s="360">
        <f>DATE('Profit Calculation'!J$6,A$2,A$2+A2670-1)</f>
        <v>44673</v>
      </c>
      <c r="D2670" s="362">
        <f t="shared" ca="1" si="83"/>
        <v>206192289.12651911</v>
      </c>
    </row>
    <row r="2671" spans="1:4">
      <c r="A2671" s="348">
        <f t="shared" si="84"/>
        <v>2670</v>
      </c>
      <c r="B2671" s="360">
        <f>DATE('Profit Calculation'!J$6,A$2,A$2+A2671-1)</f>
        <v>44674</v>
      </c>
      <c r="D2671" s="362">
        <f t="shared" ca="1" si="83"/>
        <v>206271257.21650749</v>
      </c>
    </row>
    <row r="2672" spans="1:4">
      <c r="A2672" s="348">
        <f t="shared" si="84"/>
        <v>2671</v>
      </c>
      <c r="B2672" s="360">
        <f>DATE('Profit Calculation'!J$6,A$2,A$2+A2672-1)</f>
        <v>44675</v>
      </c>
      <c r="D2672" s="362">
        <f t="shared" ca="1" si="83"/>
        <v>206350255.54991215</v>
      </c>
    </row>
    <row r="2673" spans="1:4">
      <c r="A2673" s="348">
        <f t="shared" si="84"/>
        <v>2672</v>
      </c>
      <c r="B2673" s="360">
        <f>DATE('Profit Calculation'!J$6,A$2,A$2+A2673-1)</f>
        <v>44676</v>
      </c>
      <c r="D2673" s="362">
        <f t="shared" ca="1" si="83"/>
        <v>206429284.13831583</v>
      </c>
    </row>
    <row r="2674" spans="1:4">
      <c r="A2674" s="348">
        <f t="shared" si="84"/>
        <v>2673</v>
      </c>
      <c r="B2674" s="360">
        <f>DATE('Profit Calculation'!J$6,A$2,A$2+A2674-1)</f>
        <v>44677</v>
      </c>
      <c r="D2674" s="362">
        <f t="shared" ca="1" si="83"/>
        <v>206508342.99330562</v>
      </c>
    </row>
    <row r="2675" spans="1:4">
      <c r="A2675" s="348">
        <f t="shared" si="84"/>
        <v>2674</v>
      </c>
      <c r="B2675" s="360">
        <f>DATE('Profit Calculation'!J$6,A$2,A$2+A2675-1)</f>
        <v>44678</v>
      </c>
      <c r="D2675" s="362">
        <f t="shared" ca="1" si="83"/>
        <v>206587432.12647316</v>
      </c>
    </row>
    <row r="2676" spans="1:4">
      <c r="A2676" s="348">
        <f t="shared" si="84"/>
        <v>2675</v>
      </c>
      <c r="B2676" s="360">
        <f>DATE('Profit Calculation'!J$6,A$2,A$2+A2676-1)</f>
        <v>44679</v>
      </c>
      <c r="D2676" s="362">
        <f t="shared" ca="1" si="83"/>
        <v>206666551.54941443</v>
      </c>
    </row>
    <row r="2677" spans="1:4">
      <c r="A2677" s="348">
        <f t="shared" si="84"/>
        <v>2676</v>
      </c>
      <c r="B2677" s="360">
        <f>DATE('Profit Calculation'!J$6,A$2,A$2+A2677-1)</f>
        <v>44680</v>
      </c>
      <c r="D2677" s="362">
        <f t="shared" ca="1" si="83"/>
        <v>206745701.27372989</v>
      </c>
    </row>
    <row r="2678" spans="1:4">
      <c r="A2678" s="348">
        <f t="shared" si="84"/>
        <v>2677</v>
      </c>
      <c r="B2678" s="360">
        <f>DATE('Profit Calculation'!J$6,A$2,A$2+A2678-1)</f>
        <v>44681</v>
      </c>
      <c r="D2678" s="362">
        <f t="shared" ca="1" si="83"/>
        <v>206824881.31102446</v>
      </c>
    </row>
    <row r="2679" spans="1:4">
      <c r="A2679" s="348">
        <f t="shared" si="84"/>
        <v>2678</v>
      </c>
      <c r="B2679" s="360">
        <f>DATE('Profit Calculation'!J$6,A$2,A$2+A2679-1)</f>
        <v>44682</v>
      </c>
      <c r="D2679" s="362">
        <f t="shared" ca="1" si="83"/>
        <v>206904091.6729075</v>
      </c>
    </row>
    <row r="2680" spans="1:4">
      <c r="A2680" s="348">
        <f t="shared" si="84"/>
        <v>2679</v>
      </c>
      <c r="B2680" s="360">
        <f>DATE('Profit Calculation'!J$6,A$2,A$2+A2680-1)</f>
        <v>44683</v>
      </c>
      <c r="D2680" s="362">
        <f t="shared" ca="1" si="83"/>
        <v>206983332.37099278</v>
      </c>
    </row>
    <row r="2681" spans="1:4">
      <c r="A2681" s="348">
        <f t="shared" si="84"/>
        <v>2680</v>
      </c>
      <c r="B2681" s="360">
        <f>DATE('Profit Calculation'!J$6,A$2,A$2+A2681-1)</f>
        <v>44684</v>
      </c>
      <c r="D2681" s="362">
        <f t="shared" ca="1" si="83"/>
        <v>207062603.41689855</v>
      </c>
    </row>
    <row r="2682" spans="1:4">
      <c r="A2682" s="348">
        <f t="shared" si="84"/>
        <v>2681</v>
      </c>
      <c r="B2682" s="360">
        <f>DATE('Profit Calculation'!J$6,A$2,A$2+A2682-1)</f>
        <v>44685</v>
      </c>
      <c r="D2682" s="362">
        <f t="shared" ca="1" si="83"/>
        <v>207141904.82224751</v>
      </c>
    </row>
    <row r="2683" spans="1:4">
      <c r="A2683" s="348">
        <f t="shared" si="84"/>
        <v>2682</v>
      </c>
      <c r="B2683" s="360">
        <f>DATE('Profit Calculation'!J$6,A$2,A$2+A2683-1)</f>
        <v>44686</v>
      </c>
      <c r="D2683" s="362">
        <f t="shared" ca="1" si="83"/>
        <v>207221236.59866679</v>
      </c>
    </row>
    <row r="2684" spans="1:4">
      <c r="A2684" s="348">
        <f t="shared" si="84"/>
        <v>2683</v>
      </c>
      <c r="B2684" s="360">
        <f>DATE('Profit Calculation'!J$6,A$2,A$2+A2684-1)</f>
        <v>44687</v>
      </c>
      <c r="D2684" s="362">
        <f t="shared" ca="1" si="83"/>
        <v>207300598.757788</v>
      </c>
    </row>
    <row r="2685" spans="1:4">
      <c r="A2685" s="348">
        <f t="shared" si="84"/>
        <v>2684</v>
      </c>
      <c r="B2685" s="360">
        <f>DATE('Profit Calculation'!J$6,A$2,A$2+A2685-1)</f>
        <v>44688</v>
      </c>
      <c r="D2685" s="362">
        <f t="shared" ca="1" si="83"/>
        <v>207379991.31124717</v>
      </c>
    </row>
    <row r="2686" spans="1:4">
      <c r="A2686" s="348">
        <f t="shared" si="84"/>
        <v>2685</v>
      </c>
      <c r="B2686" s="360">
        <f>DATE('Profit Calculation'!J$6,A$2,A$2+A2686-1)</f>
        <v>44689</v>
      </c>
      <c r="D2686" s="362">
        <f t="shared" ca="1" si="83"/>
        <v>207459414.27068484</v>
      </c>
    </row>
    <row r="2687" spans="1:4">
      <c r="A2687" s="348">
        <f t="shared" si="84"/>
        <v>2686</v>
      </c>
      <c r="B2687" s="360">
        <f>DATE('Profit Calculation'!J$6,A$2,A$2+A2687-1)</f>
        <v>44690</v>
      </c>
      <c r="D2687" s="362">
        <f t="shared" ca="1" si="83"/>
        <v>207538867.64774594</v>
      </c>
    </row>
    <row r="2688" spans="1:4">
      <c r="A2688" s="348">
        <f t="shared" si="84"/>
        <v>2687</v>
      </c>
      <c r="B2688" s="360">
        <f>DATE('Profit Calculation'!J$6,A$2,A$2+A2688-1)</f>
        <v>44691</v>
      </c>
      <c r="D2688" s="362">
        <f t="shared" ca="1" si="83"/>
        <v>207618351.4540799</v>
      </c>
    </row>
    <row r="2689" spans="1:4">
      <c r="A2689" s="348">
        <f t="shared" si="84"/>
        <v>2688</v>
      </c>
      <c r="B2689" s="360">
        <f>DATE('Profit Calculation'!J$6,A$2,A$2+A2689-1)</f>
        <v>44692</v>
      </c>
      <c r="D2689" s="362">
        <f t="shared" ca="1" si="83"/>
        <v>207697865.70134062</v>
      </c>
    </row>
    <row r="2690" spans="1:4">
      <c r="A2690" s="348">
        <f t="shared" si="84"/>
        <v>2689</v>
      </c>
      <c r="B2690" s="360">
        <f>DATE('Profit Calculation'!J$6,A$2,A$2+A2690-1)</f>
        <v>44693</v>
      </c>
      <c r="D2690" s="362">
        <f t="shared" ca="1" si="83"/>
        <v>207777410.40118647</v>
      </c>
    </row>
    <row r="2691" spans="1:4">
      <c r="A2691" s="348">
        <f t="shared" si="84"/>
        <v>2690</v>
      </c>
      <c r="B2691" s="360">
        <f>DATE('Profit Calculation'!J$6,A$2,A$2+A2691-1)</f>
        <v>44694</v>
      </c>
      <c r="D2691" s="362">
        <f t="shared" ca="1" si="83"/>
        <v>207856985.56528023</v>
      </c>
    </row>
    <row r="2692" spans="1:4">
      <c r="A2692" s="348">
        <f t="shared" si="84"/>
        <v>2691</v>
      </c>
      <c r="B2692" s="360">
        <f>DATE('Profit Calculation'!J$6,A$2,A$2+A2692-1)</f>
        <v>44695</v>
      </c>
      <c r="D2692" s="362">
        <f t="shared" ref="D2692:D2755" ca="1" si="85">IF(OR(LOOKUP(B2692,W$1:W$35,W$1:W$35) = B2692, LOOKUP(B2692,X$1:X$35,X$1:X$35) = B2692),LOOKUP(B2692,F:F,G:G),D2691*(1+((IF($Q$18&lt;6,$R$14,IF($Q$18&lt;11,$R$15,$R$16)))))^(1/365))</f>
        <v>207936591.20528919</v>
      </c>
    </row>
    <row r="2693" spans="1:4">
      <c r="A2693" s="348">
        <f t="shared" ref="A2693:A2756" si="86">A2692+1</f>
        <v>2692</v>
      </c>
      <c r="B2693" s="360">
        <f>DATE('Profit Calculation'!J$6,A$2,A$2+A2693-1)</f>
        <v>44696</v>
      </c>
      <c r="D2693" s="362">
        <f t="shared" ca="1" si="85"/>
        <v>208016227.33288509</v>
      </c>
    </row>
    <row r="2694" spans="1:4">
      <c r="A2694" s="348">
        <f t="shared" si="86"/>
        <v>2693</v>
      </c>
      <c r="B2694" s="360">
        <f>DATE('Profit Calculation'!J$6,A$2,A$2+A2694-1)</f>
        <v>44697</v>
      </c>
      <c r="D2694" s="362">
        <f t="shared" ca="1" si="85"/>
        <v>208095893.95974419</v>
      </c>
    </row>
    <row r="2695" spans="1:4">
      <c r="A2695" s="348">
        <f t="shared" si="86"/>
        <v>2694</v>
      </c>
      <c r="B2695" s="360">
        <f>DATE('Profit Calculation'!J$6,A$2,A$2+A2695-1)</f>
        <v>44698</v>
      </c>
      <c r="D2695" s="362">
        <f t="shared" ca="1" si="85"/>
        <v>208175591.09754714</v>
      </c>
    </row>
    <row r="2696" spans="1:4">
      <c r="A2696" s="348">
        <f t="shared" si="86"/>
        <v>2695</v>
      </c>
      <c r="B2696" s="360">
        <f>DATE('Profit Calculation'!J$6,A$2,A$2+A2696-1)</f>
        <v>44699</v>
      </c>
      <c r="D2696" s="362">
        <f t="shared" ca="1" si="85"/>
        <v>208255318.75797912</v>
      </c>
    </row>
    <row r="2697" spans="1:4">
      <c r="A2697" s="348">
        <f t="shared" si="86"/>
        <v>2696</v>
      </c>
      <c r="B2697" s="360">
        <f>DATE('Profit Calculation'!J$6,A$2,A$2+A2697-1)</f>
        <v>44700</v>
      </c>
      <c r="D2697" s="362">
        <f t="shared" ca="1" si="85"/>
        <v>208335076.95272979</v>
      </c>
    </row>
    <row r="2698" spans="1:4">
      <c r="A2698" s="348">
        <f t="shared" si="86"/>
        <v>2697</v>
      </c>
      <c r="B2698" s="360">
        <f>DATE('Profit Calculation'!J$6,A$2,A$2+A2698-1)</f>
        <v>44701</v>
      </c>
      <c r="D2698" s="362">
        <f t="shared" ca="1" si="85"/>
        <v>208414865.69349325</v>
      </c>
    </row>
    <row r="2699" spans="1:4">
      <c r="A2699" s="348">
        <f t="shared" si="86"/>
        <v>2698</v>
      </c>
      <c r="B2699" s="360">
        <f>DATE('Profit Calculation'!J$6,A$2,A$2+A2699-1)</f>
        <v>44702</v>
      </c>
      <c r="D2699" s="362">
        <f t="shared" ca="1" si="85"/>
        <v>208494684.99196807</v>
      </c>
    </row>
    <row r="2700" spans="1:4">
      <c r="A2700" s="348">
        <f t="shared" si="86"/>
        <v>2699</v>
      </c>
      <c r="B2700" s="360">
        <f>DATE('Profit Calculation'!J$6,A$2,A$2+A2700-1)</f>
        <v>44703</v>
      </c>
      <c r="D2700" s="362">
        <f t="shared" ca="1" si="85"/>
        <v>208574534.85985735</v>
      </c>
    </row>
    <row r="2701" spans="1:4">
      <c r="A2701" s="348">
        <f t="shared" si="86"/>
        <v>2700</v>
      </c>
      <c r="B2701" s="360">
        <f>DATE('Profit Calculation'!J$6,A$2,A$2+A2701-1)</f>
        <v>44704</v>
      </c>
      <c r="D2701" s="362">
        <f t="shared" ca="1" si="85"/>
        <v>208654415.30886865</v>
      </c>
    </row>
    <row r="2702" spans="1:4">
      <c r="A2702" s="348">
        <f t="shared" si="86"/>
        <v>2701</v>
      </c>
      <c r="B2702" s="360">
        <f>DATE('Profit Calculation'!J$6,A$2,A$2+A2702-1)</f>
        <v>44705</v>
      </c>
      <c r="D2702" s="362">
        <f t="shared" ca="1" si="85"/>
        <v>208734326.350714</v>
      </c>
    </row>
    <row r="2703" spans="1:4">
      <c r="A2703" s="348">
        <f t="shared" si="86"/>
        <v>2702</v>
      </c>
      <c r="B2703" s="360">
        <f>DATE('Profit Calculation'!J$6,A$2,A$2+A2703-1)</f>
        <v>44706</v>
      </c>
      <c r="D2703" s="362">
        <f t="shared" ca="1" si="85"/>
        <v>208814267.99710995</v>
      </c>
    </row>
    <row r="2704" spans="1:4">
      <c r="A2704" s="348">
        <f t="shared" si="86"/>
        <v>2703</v>
      </c>
      <c r="B2704" s="360">
        <f>DATE('Profit Calculation'!J$6,A$2,A$2+A2704-1)</f>
        <v>44707</v>
      </c>
      <c r="D2704" s="362">
        <f t="shared" ca="1" si="85"/>
        <v>208894240.25977752</v>
      </c>
    </row>
    <row r="2705" spans="1:4">
      <c r="A2705" s="348">
        <f t="shared" si="86"/>
        <v>2704</v>
      </c>
      <c r="B2705" s="360">
        <f>DATE('Profit Calculation'!J$6,A$2,A$2+A2705-1)</f>
        <v>44708</v>
      </c>
      <c r="D2705" s="362">
        <f t="shared" ca="1" si="85"/>
        <v>208974243.15044218</v>
      </c>
    </row>
    <row r="2706" spans="1:4">
      <c r="A2706" s="348">
        <f t="shared" si="86"/>
        <v>2705</v>
      </c>
      <c r="B2706" s="360">
        <f>DATE('Profit Calculation'!J$6,A$2,A$2+A2706-1)</f>
        <v>44709</v>
      </c>
      <c r="D2706" s="362">
        <f t="shared" ca="1" si="85"/>
        <v>209054276.68083394</v>
      </c>
    </row>
    <row r="2707" spans="1:4">
      <c r="A2707" s="348">
        <f t="shared" si="86"/>
        <v>2706</v>
      </c>
      <c r="B2707" s="360">
        <f>DATE('Profit Calculation'!J$6,A$2,A$2+A2707-1)</f>
        <v>44710</v>
      </c>
      <c r="D2707" s="362">
        <f t="shared" ca="1" si="85"/>
        <v>209134340.86268729</v>
      </c>
    </row>
    <row r="2708" spans="1:4">
      <c r="A2708" s="348">
        <f t="shared" si="86"/>
        <v>2707</v>
      </c>
      <c r="B2708" s="360">
        <f>DATE('Profit Calculation'!J$6,A$2,A$2+A2708-1)</f>
        <v>44711</v>
      </c>
      <c r="D2708" s="362">
        <f t="shared" ca="1" si="85"/>
        <v>209214435.7077412</v>
      </c>
    </row>
    <row r="2709" spans="1:4">
      <c r="A2709" s="348">
        <f t="shared" si="86"/>
        <v>2708</v>
      </c>
      <c r="B2709" s="360">
        <f>DATE('Profit Calculation'!J$6,A$2,A$2+A2709-1)</f>
        <v>44712</v>
      </c>
      <c r="D2709" s="362">
        <f t="shared" ca="1" si="85"/>
        <v>209294561.22773919</v>
      </c>
    </row>
    <row r="2710" spans="1:4">
      <c r="A2710" s="348">
        <f t="shared" si="86"/>
        <v>2709</v>
      </c>
      <c r="B2710" s="360">
        <f>DATE('Profit Calculation'!J$6,A$2,A$2+A2710-1)</f>
        <v>44713</v>
      </c>
      <c r="D2710" s="362">
        <f t="shared" ca="1" si="85"/>
        <v>209374717.43442917</v>
      </c>
    </row>
    <row r="2711" spans="1:4">
      <c r="A2711" s="348">
        <f t="shared" si="86"/>
        <v>2710</v>
      </c>
      <c r="B2711" s="360">
        <f>DATE('Profit Calculation'!J$6,A$2,A$2+A2711-1)</f>
        <v>44714</v>
      </c>
      <c r="D2711" s="362">
        <f t="shared" ca="1" si="85"/>
        <v>209454904.33956367</v>
      </c>
    </row>
    <row r="2712" spans="1:4">
      <c r="A2712" s="348">
        <f t="shared" si="86"/>
        <v>2711</v>
      </c>
      <c r="B2712" s="360">
        <f>DATE('Profit Calculation'!J$6,A$2,A$2+A2712-1)</f>
        <v>44715</v>
      </c>
      <c r="D2712" s="362">
        <f t="shared" ca="1" si="85"/>
        <v>209535121.95489961</v>
      </c>
    </row>
    <row r="2713" spans="1:4">
      <c r="A2713" s="348">
        <f t="shared" si="86"/>
        <v>2712</v>
      </c>
      <c r="B2713" s="360">
        <f>DATE('Profit Calculation'!J$6,A$2,A$2+A2713-1)</f>
        <v>44716</v>
      </c>
      <c r="D2713" s="362">
        <f t="shared" ca="1" si="85"/>
        <v>209615370.29219851</v>
      </c>
    </row>
    <row r="2714" spans="1:4">
      <c r="A2714" s="348">
        <f t="shared" si="86"/>
        <v>2713</v>
      </c>
      <c r="B2714" s="360">
        <f>DATE('Profit Calculation'!J$6,A$2,A$2+A2714-1)</f>
        <v>44717</v>
      </c>
      <c r="D2714" s="362">
        <f t="shared" ca="1" si="85"/>
        <v>209695649.36322635</v>
      </c>
    </row>
    <row r="2715" spans="1:4">
      <c r="A2715" s="348">
        <f t="shared" si="86"/>
        <v>2714</v>
      </c>
      <c r="B2715" s="360">
        <f>DATE('Profit Calculation'!J$6,A$2,A$2+A2715-1)</f>
        <v>44718</v>
      </c>
      <c r="D2715" s="362">
        <f t="shared" ca="1" si="85"/>
        <v>209775959.1797536</v>
      </c>
    </row>
    <row r="2716" spans="1:4">
      <c r="A2716" s="348">
        <f t="shared" si="86"/>
        <v>2715</v>
      </c>
      <c r="B2716" s="360">
        <f>DATE('Profit Calculation'!J$6,A$2,A$2+A2716-1)</f>
        <v>44719</v>
      </c>
      <c r="D2716" s="362">
        <f t="shared" ca="1" si="85"/>
        <v>209856299.75355527</v>
      </c>
    </row>
    <row r="2717" spans="1:4">
      <c r="A2717" s="348">
        <f t="shared" si="86"/>
        <v>2716</v>
      </c>
      <c r="B2717" s="360">
        <f>DATE('Profit Calculation'!J$6,A$2,A$2+A2717-1)</f>
        <v>44720</v>
      </c>
      <c r="D2717" s="362">
        <f t="shared" ca="1" si="85"/>
        <v>209936671.09641084</v>
      </c>
    </row>
    <row r="2718" spans="1:4">
      <c r="A2718" s="348">
        <f t="shared" si="86"/>
        <v>2717</v>
      </c>
      <c r="B2718" s="360">
        <f>DATE('Profit Calculation'!J$6,A$2,A$2+A2718-1)</f>
        <v>44721</v>
      </c>
      <c r="D2718" s="362">
        <f t="shared" ca="1" si="85"/>
        <v>210017073.22010437</v>
      </c>
    </row>
    <row r="2719" spans="1:4">
      <c r="A2719" s="348">
        <f t="shared" si="86"/>
        <v>2718</v>
      </c>
      <c r="B2719" s="360">
        <f>DATE('Profit Calculation'!J$6,A$2,A$2+A2719-1)</f>
        <v>44722</v>
      </c>
      <c r="D2719" s="362">
        <f t="shared" ca="1" si="85"/>
        <v>210097506.13642433</v>
      </c>
    </row>
    <row r="2720" spans="1:4">
      <c r="A2720" s="348">
        <f t="shared" si="86"/>
        <v>2719</v>
      </c>
      <c r="B2720" s="360">
        <f>DATE('Profit Calculation'!J$6,A$2,A$2+A2720-1)</f>
        <v>44723</v>
      </c>
      <c r="D2720" s="362">
        <f t="shared" ca="1" si="85"/>
        <v>210177969.85716382</v>
      </c>
    </row>
    <row r="2721" spans="1:4">
      <c r="A2721" s="348">
        <f t="shared" si="86"/>
        <v>2720</v>
      </c>
      <c r="B2721" s="360">
        <f>DATE('Profit Calculation'!J$6,A$2,A$2+A2721-1)</f>
        <v>44724</v>
      </c>
      <c r="D2721" s="362">
        <f t="shared" ca="1" si="85"/>
        <v>210258464.39412037</v>
      </c>
    </row>
    <row r="2722" spans="1:4">
      <c r="A2722" s="348">
        <f t="shared" si="86"/>
        <v>2721</v>
      </c>
      <c r="B2722" s="360">
        <f>DATE('Profit Calculation'!J$6,A$2,A$2+A2722-1)</f>
        <v>44725</v>
      </c>
      <c r="D2722" s="362">
        <f t="shared" ca="1" si="85"/>
        <v>210338989.75909609</v>
      </c>
    </row>
    <row r="2723" spans="1:4">
      <c r="A2723" s="348">
        <f t="shared" si="86"/>
        <v>2722</v>
      </c>
      <c r="B2723" s="360">
        <f>DATE('Profit Calculation'!J$6,A$2,A$2+A2723-1)</f>
        <v>44726</v>
      </c>
      <c r="D2723" s="362">
        <f t="shared" ca="1" si="85"/>
        <v>210419545.96389756</v>
      </c>
    </row>
    <row r="2724" spans="1:4">
      <c r="A2724" s="348">
        <f t="shared" si="86"/>
        <v>2723</v>
      </c>
      <c r="B2724" s="360">
        <f>DATE('Profit Calculation'!J$6,A$2,A$2+A2724-1)</f>
        <v>44727</v>
      </c>
      <c r="D2724" s="362">
        <f t="shared" ca="1" si="85"/>
        <v>210500133.02033588</v>
      </c>
    </row>
    <row r="2725" spans="1:4">
      <c r="A2725" s="348">
        <f t="shared" si="86"/>
        <v>2724</v>
      </c>
      <c r="B2725" s="360">
        <f>DATE('Profit Calculation'!J$6,A$2,A$2+A2725-1)</f>
        <v>44728</v>
      </c>
      <c r="D2725" s="362">
        <f t="shared" ca="1" si="85"/>
        <v>210580750.94022673</v>
      </c>
    </row>
    <row r="2726" spans="1:4">
      <c r="A2726" s="348">
        <f t="shared" si="86"/>
        <v>2725</v>
      </c>
      <c r="B2726" s="360">
        <f>DATE('Profit Calculation'!J$6,A$2,A$2+A2726-1)</f>
        <v>44729</v>
      </c>
      <c r="D2726" s="362">
        <f t="shared" ca="1" si="85"/>
        <v>210661399.73539028</v>
      </c>
    </row>
    <row r="2727" spans="1:4">
      <c r="A2727" s="348">
        <f t="shared" si="86"/>
        <v>2726</v>
      </c>
      <c r="B2727" s="360">
        <f>DATE('Profit Calculation'!J$6,A$2,A$2+A2727-1)</f>
        <v>44730</v>
      </c>
      <c r="D2727" s="362">
        <f t="shared" ca="1" si="85"/>
        <v>210742079.41765121</v>
      </c>
    </row>
    <row r="2728" spans="1:4">
      <c r="A2728" s="348">
        <f t="shared" si="86"/>
        <v>2727</v>
      </c>
      <c r="B2728" s="360">
        <f>DATE('Profit Calculation'!J$6,A$2,A$2+A2728-1)</f>
        <v>44731</v>
      </c>
      <c r="D2728" s="362">
        <f t="shared" ca="1" si="85"/>
        <v>210822789.99883872</v>
      </c>
    </row>
    <row r="2729" spans="1:4">
      <c r="A2729" s="348">
        <f t="shared" si="86"/>
        <v>2728</v>
      </c>
      <c r="B2729" s="360">
        <f>DATE('Profit Calculation'!J$6,A$2,A$2+A2729-1)</f>
        <v>44732</v>
      </c>
      <c r="D2729" s="362">
        <f t="shared" ca="1" si="85"/>
        <v>210903531.49078661</v>
      </c>
    </row>
    <row r="2730" spans="1:4">
      <c r="A2730" s="348">
        <f t="shared" si="86"/>
        <v>2729</v>
      </c>
      <c r="B2730" s="360">
        <f>DATE('Profit Calculation'!J$6,A$2,A$2+A2730-1)</f>
        <v>44733</v>
      </c>
      <c r="D2730" s="362">
        <f t="shared" ca="1" si="85"/>
        <v>210984303.90533316</v>
      </c>
    </row>
    <row r="2731" spans="1:4">
      <c r="A2731" s="348">
        <f t="shared" si="86"/>
        <v>2730</v>
      </c>
      <c r="B2731" s="360">
        <f>DATE('Profit Calculation'!J$6,A$2,A$2+A2731-1)</f>
        <v>44734</v>
      </c>
      <c r="D2731" s="362">
        <f t="shared" ca="1" si="85"/>
        <v>211065107.25432119</v>
      </c>
    </row>
    <row r="2732" spans="1:4">
      <c r="A2732" s="348">
        <f t="shared" si="86"/>
        <v>2731</v>
      </c>
      <c r="B2732" s="360">
        <f>DATE('Profit Calculation'!J$6,A$2,A$2+A2732-1)</f>
        <v>44735</v>
      </c>
      <c r="D2732" s="362">
        <f t="shared" ca="1" si="85"/>
        <v>211145941.54959804</v>
      </c>
    </row>
    <row r="2733" spans="1:4">
      <c r="A2733" s="348">
        <f t="shared" si="86"/>
        <v>2732</v>
      </c>
      <c r="B2733" s="360">
        <f>DATE('Profit Calculation'!J$6,A$2,A$2+A2733-1)</f>
        <v>44736</v>
      </c>
      <c r="D2733" s="362">
        <f t="shared" ca="1" si="85"/>
        <v>211226806.80301562</v>
      </c>
    </row>
    <row r="2734" spans="1:4">
      <c r="A2734" s="348">
        <f t="shared" si="86"/>
        <v>2733</v>
      </c>
      <c r="B2734" s="360">
        <f>DATE('Profit Calculation'!J$6,A$2,A$2+A2734-1)</f>
        <v>44737</v>
      </c>
      <c r="D2734" s="362">
        <f t="shared" ca="1" si="85"/>
        <v>211307703.02643037</v>
      </c>
    </row>
    <row r="2735" spans="1:4">
      <c r="A2735" s="348">
        <f t="shared" si="86"/>
        <v>2734</v>
      </c>
      <c r="B2735" s="360">
        <f>DATE('Profit Calculation'!J$6,A$2,A$2+A2735-1)</f>
        <v>44738</v>
      </c>
      <c r="D2735" s="362">
        <f t="shared" ca="1" si="85"/>
        <v>211388630.23170325</v>
      </c>
    </row>
    <row r="2736" spans="1:4">
      <c r="A2736" s="348">
        <f t="shared" si="86"/>
        <v>2735</v>
      </c>
      <c r="B2736" s="360">
        <f>DATE('Profit Calculation'!J$6,A$2,A$2+A2736-1)</f>
        <v>44739</v>
      </c>
      <c r="D2736" s="362">
        <f t="shared" ca="1" si="85"/>
        <v>211469588.4306998</v>
      </c>
    </row>
    <row r="2737" spans="1:4">
      <c r="A2737" s="348">
        <f t="shared" si="86"/>
        <v>2736</v>
      </c>
      <c r="B2737" s="360">
        <f>DATE('Profit Calculation'!J$6,A$2,A$2+A2737-1)</f>
        <v>44740</v>
      </c>
      <c r="D2737" s="362">
        <f t="shared" ca="1" si="85"/>
        <v>211550577.63529003</v>
      </c>
    </row>
    <row r="2738" spans="1:4">
      <c r="A2738" s="348">
        <f t="shared" si="86"/>
        <v>2737</v>
      </c>
      <c r="B2738" s="360">
        <f>DATE('Profit Calculation'!J$6,A$2,A$2+A2738-1)</f>
        <v>44741</v>
      </c>
      <c r="D2738" s="362">
        <f t="shared" ca="1" si="85"/>
        <v>211631597.85734859</v>
      </c>
    </row>
    <row r="2739" spans="1:4">
      <c r="A2739" s="348">
        <f t="shared" si="86"/>
        <v>2738</v>
      </c>
      <c r="B2739" s="360">
        <f>DATE('Profit Calculation'!J$6,A$2,A$2+A2739-1)</f>
        <v>44742</v>
      </c>
      <c r="D2739" s="362">
        <f t="shared" ca="1" si="85"/>
        <v>211712649.10875463</v>
      </c>
    </row>
    <row r="2740" spans="1:4">
      <c r="A2740" s="348">
        <f t="shared" si="86"/>
        <v>2739</v>
      </c>
      <c r="B2740" s="360">
        <f>DATE('Profit Calculation'!J$6,A$2,A$2+A2740-1)</f>
        <v>44743</v>
      </c>
      <c r="D2740" s="362">
        <f t="shared" ca="1" si="85"/>
        <v>211793731.40139186</v>
      </c>
    </row>
    <row r="2741" spans="1:4">
      <c r="A2741" s="348">
        <f t="shared" si="86"/>
        <v>2740</v>
      </c>
      <c r="B2741" s="360">
        <f>DATE('Profit Calculation'!J$6,A$2,A$2+A2741-1)</f>
        <v>44744</v>
      </c>
      <c r="D2741" s="362">
        <f t="shared" ca="1" si="85"/>
        <v>211874844.74714851</v>
      </c>
    </row>
    <row r="2742" spans="1:4">
      <c r="A2742" s="348">
        <f t="shared" si="86"/>
        <v>2741</v>
      </c>
      <c r="B2742" s="360">
        <f>DATE('Profit Calculation'!J$6,A$2,A$2+A2742-1)</f>
        <v>44745</v>
      </c>
      <c r="D2742" s="362">
        <f t="shared" ca="1" si="85"/>
        <v>211955989.15791741</v>
      </c>
    </row>
    <row r="2743" spans="1:4">
      <c r="A2743" s="348">
        <f t="shared" si="86"/>
        <v>2742</v>
      </c>
      <c r="B2743" s="360">
        <f>DATE('Profit Calculation'!J$6,A$2,A$2+A2743-1)</f>
        <v>44746</v>
      </c>
      <c r="D2743" s="362">
        <f t="shared" ca="1" si="85"/>
        <v>212037164.64559594</v>
      </c>
    </row>
    <row r="2744" spans="1:4">
      <c r="A2744" s="348">
        <f t="shared" si="86"/>
        <v>2743</v>
      </c>
      <c r="B2744" s="360">
        <f>DATE('Profit Calculation'!J$6,A$2,A$2+A2744-1)</f>
        <v>44747</v>
      </c>
      <c r="D2744" s="362">
        <f t="shared" ca="1" si="85"/>
        <v>212118371.22208598</v>
      </c>
    </row>
    <row r="2745" spans="1:4">
      <c r="A2745" s="348">
        <f t="shared" si="86"/>
        <v>2744</v>
      </c>
      <c r="B2745" s="360">
        <f>DATE('Profit Calculation'!J$6,A$2,A$2+A2745-1)</f>
        <v>44748</v>
      </c>
      <c r="D2745" s="362">
        <f t="shared" ca="1" si="85"/>
        <v>212199608.89929405</v>
      </c>
    </row>
    <row r="2746" spans="1:4">
      <c r="A2746" s="348">
        <f t="shared" si="86"/>
        <v>2745</v>
      </c>
      <c r="B2746" s="360">
        <f>DATE('Profit Calculation'!J$6,A$2,A$2+A2746-1)</f>
        <v>44749</v>
      </c>
      <c r="D2746" s="362">
        <f t="shared" ca="1" si="85"/>
        <v>212280877.68913117</v>
      </c>
    </row>
    <row r="2747" spans="1:4">
      <c r="A2747" s="348">
        <f t="shared" si="86"/>
        <v>2746</v>
      </c>
      <c r="B2747" s="360">
        <f>DATE('Profit Calculation'!J$6,A$2,A$2+A2747-1)</f>
        <v>44750</v>
      </c>
      <c r="D2747" s="362">
        <f t="shared" ca="1" si="85"/>
        <v>212362177.60351294</v>
      </c>
    </row>
    <row r="2748" spans="1:4">
      <c r="A2748" s="348">
        <f t="shared" si="86"/>
        <v>2747</v>
      </c>
      <c r="B2748" s="360">
        <f>DATE('Profit Calculation'!J$6,A$2,A$2+A2748-1)</f>
        <v>44751</v>
      </c>
      <c r="D2748" s="362">
        <f t="shared" ca="1" si="85"/>
        <v>212443508.65435952</v>
      </c>
    </row>
    <row r="2749" spans="1:4">
      <c r="A2749" s="348">
        <f t="shared" si="86"/>
        <v>2748</v>
      </c>
      <c r="B2749" s="360">
        <f>DATE('Profit Calculation'!J$6,A$2,A$2+A2749-1)</f>
        <v>44752</v>
      </c>
      <c r="D2749" s="362">
        <f t="shared" ca="1" si="85"/>
        <v>212524870.85359564</v>
      </c>
    </row>
    <row r="2750" spans="1:4">
      <c r="A2750" s="348">
        <f t="shared" si="86"/>
        <v>2749</v>
      </c>
      <c r="B2750" s="360">
        <f>DATE('Profit Calculation'!J$6,A$2,A$2+A2750-1)</f>
        <v>44753</v>
      </c>
      <c r="D2750" s="362">
        <f t="shared" ca="1" si="85"/>
        <v>212606264.21315059</v>
      </c>
    </row>
    <row r="2751" spans="1:4">
      <c r="A2751" s="348">
        <f t="shared" si="86"/>
        <v>2750</v>
      </c>
      <c r="B2751" s="360">
        <f>DATE('Profit Calculation'!J$6,A$2,A$2+A2751-1)</f>
        <v>44754</v>
      </c>
      <c r="D2751" s="362">
        <f t="shared" ca="1" si="85"/>
        <v>212687688.74495825</v>
      </c>
    </row>
    <row r="2752" spans="1:4">
      <c r="A2752" s="348">
        <f t="shared" si="86"/>
        <v>2751</v>
      </c>
      <c r="B2752" s="360">
        <f>DATE('Profit Calculation'!J$6,A$2,A$2+A2752-1)</f>
        <v>44755</v>
      </c>
      <c r="D2752" s="362">
        <f t="shared" ca="1" si="85"/>
        <v>212769144.46095705</v>
      </c>
    </row>
    <row r="2753" spans="1:4">
      <c r="A2753" s="348">
        <f t="shared" si="86"/>
        <v>2752</v>
      </c>
      <c r="B2753" s="360">
        <f>DATE('Profit Calculation'!J$6,A$2,A$2+A2753-1)</f>
        <v>44756</v>
      </c>
      <c r="D2753" s="362">
        <f t="shared" ca="1" si="85"/>
        <v>212850631.37308997</v>
      </c>
    </row>
    <row r="2754" spans="1:4">
      <c r="A2754" s="348">
        <f t="shared" si="86"/>
        <v>2753</v>
      </c>
      <c r="B2754" s="360">
        <f>DATE('Profit Calculation'!J$6,A$2,A$2+A2754-1)</f>
        <v>44757</v>
      </c>
      <c r="D2754" s="362">
        <f t="shared" ca="1" si="85"/>
        <v>212932149.49330464</v>
      </c>
    </row>
    <row r="2755" spans="1:4">
      <c r="A2755" s="348">
        <f t="shared" si="86"/>
        <v>2754</v>
      </c>
      <c r="B2755" s="360">
        <f>DATE('Profit Calculation'!J$6,A$2,A$2+A2755-1)</f>
        <v>44758</v>
      </c>
      <c r="D2755" s="362">
        <f t="shared" ca="1" si="85"/>
        <v>213013698.83355317</v>
      </c>
    </row>
    <row r="2756" spans="1:4">
      <c r="A2756" s="348">
        <f t="shared" si="86"/>
        <v>2755</v>
      </c>
      <c r="B2756" s="360">
        <f>DATE('Profit Calculation'!J$6,A$2,A$2+A2756-1)</f>
        <v>44759</v>
      </c>
      <c r="D2756" s="362">
        <f t="shared" ref="D2756:D2819" ca="1" si="87">IF(OR(LOOKUP(B2756,W$1:W$35,W$1:W$35) = B2756, LOOKUP(B2756,X$1:X$35,X$1:X$35) = B2756),LOOKUP(B2756,F:F,G:G),D2755*(1+((IF($Q$18&lt;6,$R$14,IF($Q$18&lt;11,$R$15,$R$16)))))^(1/365))</f>
        <v>213095279.40579233</v>
      </c>
    </row>
    <row r="2757" spans="1:4">
      <c r="A2757" s="348">
        <f t="shared" ref="A2757:A2820" si="88">A2756+1</f>
        <v>2756</v>
      </c>
      <c r="B2757" s="360">
        <f>DATE('Profit Calculation'!J$6,A$2,A$2+A2757-1)</f>
        <v>44760</v>
      </c>
      <c r="D2757" s="362">
        <f t="shared" ca="1" si="87"/>
        <v>213176891.2219834</v>
      </c>
    </row>
    <row r="2758" spans="1:4">
      <c r="A2758" s="348">
        <f t="shared" si="88"/>
        <v>2757</v>
      </c>
      <c r="B2758" s="360">
        <f>DATE('Profit Calculation'!J$6,A$2,A$2+A2758-1)</f>
        <v>44761</v>
      </c>
      <c r="D2758" s="362">
        <f t="shared" ca="1" si="87"/>
        <v>213258534.29409233</v>
      </c>
    </row>
    <row r="2759" spans="1:4">
      <c r="A2759" s="348">
        <f t="shared" si="88"/>
        <v>2758</v>
      </c>
      <c r="B2759" s="360">
        <f>DATE('Profit Calculation'!J$6,A$2,A$2+A2759-1)</f>
        <v>44762</v>
      </c>
      <c r="D2759" s="362">
        <f t="shared" ca="1" si="87"/>
        <v>213340208.63408953</v>
      </c>
    </row>
    <row r="2760" spans="1:4">
      <c r="A2760" s="348">
        <f t="shared" si="88"/>
        <v>2759</v>
      </c>
      <c r="B2760" s="360">
        <f>DATE('Profit Calculation'!J$6,A$2,A$2+A2760-1)</f>
        <v>44763</v>
      </c>
      <c r="D2760" s="362">
        <f t="shared" ca="1" si="87"/>
        <v>213421914.25395012</v>
      </c>
    </row>
    <row r="2761" spans="1:4">
      <c r="A2761" s="348">
        <f t="shared" si="88"/>
        <v>2760</v>
      </c>
      <c r="B2761" s="360">
        <f>DATE('Profit Calculation'!J$6,A$2,A$2+A2761-1)</f>
        <v>44764</v>
      </c>
      <c r="D2761" s="362">
        <f t="shared" ca="1" si="87"/>
        <v>213503651.16565371</v>
      </c>
    </row>
    <row r="2762" spans="1:4">
      <c r="A2762" s="348">
        <f t="shared" si="88"/>
        <v>2761</v>
      </c>
      <c r="B2762" s="360">
        <f>DATE('Profit Calculation'!J$6,A$2,A$2+A2762-1)</f>
        <v>44765</v>
      </c>
      <c r="D2762" s="362">
        <f t="shared" ca="1" si="87"/>
        <v>213585419.38118455</v>
      </c>
    </row>
    <row r="2763" spans="1:4">
      <c r="A2763" s="348">
        <f t="shared" si="88"/>
        <v>2762</v>
      </c>
      <c r="B2763" s="360">
        <f>DATE('Profit Calculation'!J$6,A$2,A$2+A2763-1)</f>
        <v>44766</v>
      </c>
      <c r="D2763" s="362">
        <f t="shared" ca="1" si="87"/>
        <v>213667218.91253147</v>
      </c>
    </row>
    <row r="2764" spans="1:4">
      <c r="A2764" s="348">
        <f t="shared" si="88"/>
        <v>2763</v>
      </c>
      <c r="B2764" s="360">
        <f>DATE('Profit Calculation'!J$6,A$2,A$2+A2764-1)</f>
        <v>44767</v>
      </c>
      <c r="D2764" s="362">
        <f t="shared" ca="1" si="87"/>
        <v>213749049.77168787</v>
      </c>
    </row>
    <row r="2765" spans="1:4">
      <c r="A2765" s="348">
        <f t="shared" si="88"/>
        <v>2764</v>
      </c>
      <c r="B2765" s="360">
        <f>DATE('Profit Calculation'!J$6,A$2,A$2+A2765-1)</f>
        <v>44768</v>
      </c>
      <c r="D2765" s="362">
        <f t="shared" ca="1" si="87"/>
        <v>213830911.97065178</v>
      </c>
    </row>
    <row r="2766" spans="1:4">
      <c r="A2766" s="348">
        <f t="shared" si="88"/>
        <v>2765</v>
      </c>
      <c r="B2766" s="360">
        <f>DATE('Profit Calculation'!J$6,A$2,A$2+A2766-1)</f>
        <v>44769</v>
      </c>
      <c r="D2766" s="362">
        <f t="shared" ca="1" si="87"/>
        <v>213912805.52142578</v>
      </c>
    </row>
    <row r="2767" spans="1:4">
      <c r="A2767" s="348">
        <f t="shared" si="88"/>
        <v>2766</v>
      </c>
      <c r="B2767" s="360">
        <f>DATE('Profit Calculation'!J$6,A$2,A$2+A2767-1)</f>
        <v>44770</v>
      </c>
      <c r="D2767" s="362">
        <f t="shared" ca="1" si="87"/>
        <v>213994730.4360171</v>
      </c>
    </row>
    <row r="2768" spans="1:4">
      <c r="A2768" s="348">
        <f t="shared" si="88"/>
        <v>2767</v>
      </c>
      <c r="B2768" s="360">
        <f>DATE('Profit Calculation'!J$6,A$2,A$2+A2768-1)</f>
        <v>44771</v>
      </c>
      <c r="D2768" s="362">
        <f t="shared" ca="1" si="87"/>
        <v>214076686.72643754</v>
      </c>
    </row>
    <row r="2769" spans="1:4">
      <c r="A2769" s="348">
        <f t="shared" si="88"/>
        <v>2768</v>
      </c>
      <c r="B2769" s="360">
        <f>DATE('Profit Calculation'!J$6,A$2,A$2+A2769-1)</f>
        <v>44772</v>
      </c>
      <c r="D2769" s="362">
        <f t="shared" ca="1" si="87"/>
        <v>214158674.4047035</v>
      </c>
    </row>
    <row r="2770" spans="1:4">
      <c r="A2770" s="348">
        <f t="shared" si="88"/>
        <v>2769</v>
      </c>
      <c r="B2770" s="360">
        <f>DATE('Profit Calculation'!J$6,A$2,A$2+A2770-1)</f>
        <v>44773</v>
      </c>
      <c r="D2770" s="362">
        <f t="shared" ca="1" si="87"/>
        <v>214240693.48283595</v>
      </c>
    </row>
    <row r="2771" spans="1:4">
      <c r="A2771" s="348">
        <f t="shared" si="88"/>
        <v>2770</v>
      </c>
      <c r="B2771" s="360">
        <f>DATE('Profit Calculation'!J$6,A$2,A$2+A2771-1)</f>
        <v>44774</v>
      </c>
      <c r="D2771" s="362">
        <f t="shared" ca="1" si="87"/>
        <v>214322743.97286054</v>
      </c>
    </row>
    <row r="2772" spans="1:4">
      <c r="A2772" s="348">
        <f t="shared" si="88"/>
        <v>2771</v>
      </c>
      <c r="B2772" s="360">
        <f>DATE('Profit Calculation'!J$6,A$2,A$2+A2772-1)</f>
        <v>44775</v>
      </c>
      <c r="D2772" s="362">
        <f t="shared" ca="1" si="87"/>
        <v>214404825.88680747</v>
      </c>
    </row>
    <row r="2773" spans="1:4">
      <c r="A2773" s="348">
        <f t="shared" si="88"/>
        <v>2772</v>
      </c>
      <c r="B2773" s="360">
        <f>DATE('Profit Calculation'!J$6,A$2,A$2+A2773-1)</f>
        <v>44776</v>
      </c>
      <c r="D2773" s="362">
        <f t="shared" ca="1" si="87"/>
        <v>214486939.23671156</v>
      </c>
    </row>
    <row r="2774" spans="1:4">
      <c r="A2774" s="348">
        <f t="shared" si="88"/>
        <v>2773</v>
      </c>
      <c r="B2774" s="360">
        <f>DATE('Profit Calculation'!J$6,A$2,A$2+A2774-1)</f>
        <v>44777</v>
      </c>
      <c r="D2774" s="362">
        <f t="shared" ca="1" si="87"/>
        <v>214569084.03461224</v>
      </c>
    </row>
    <row r="2775" spans="1:4">
      <c r="A2775" s="348">
        <f t="shared" si="88"/>
        <v>2774</v>
      </c>
      <c r="B2775" s="360">
        <f>DATE('Profit Calculation'!J$6,A$2,A$2+A2775-1)</f>
        <v>44778</v>
      </c>
      <c r="D2775" s="362">
        <f t="shared" ca="1" si="87"/>
        <v>214651260.29255354</v>
      </c>
    </row>
    <row r="2776" spans="1:4">
      <c r="A2776" s="348">
        <f t="shared" si="88"/>
        <v>2775</v>
      </c>
      <c r="B2776" s="360">
        <f>DATE('Profit Calculation'!J$6,A$2,A$2+A2776-1)</f>
        <v>44779</v>
      </c>
      <c r="D2776" s="362">
        <f t="shared" ca="1" si="87"/>
        <v>214733468.02258411</v>
      </c>
    </row>
    <row r="2777" spans="1:4">
      <c r="A2777" s="348">
        <f t="shared" si="88"/>
        <v>2776</v>
      </c>
      <c r="B2777" s="360">
        <f>DATE('Profit Calculation'!J$6,A$2,A$2+A2777-1)</f>
        <v>44780</v>
      </c>
      <c r="D2777" s="362">
        <f t="shared" ca="1" si="87"/>
        <v>214815707.23675722</v>
      </c>
    </row>
    <row r="2778" spans="1:4">
      <c r="A2778" s="348">
        <f t="shared" si="88"/>
        <v>2777</v>
      </c>
      <c r="B2778" s="360">
        <f>DATE('Profit Calculation'!J$6,A$2,A$2+A2778-1)</f>
        <v>44781</v>
      </c>
      <c r="D2778" s="362">
        <f t="shared" ca="1" si="87"/>
        <v>214897977.94713077</v>
      </c>
    </row>
    <row r="2779" spans="1:4">
      <c r="A2779" s="348">
        <f t="shared" si="88"/>
        <v>2778</v>
      </c>
      <c r="B2779" s="360">
        <f>DATE('Profit Calculation'!J$6,A$2,A$2+A2779-1)</f>
        <v>44782</v>
      </c>
      <c r="D2779" s="362">
        <f t="shared" ca="1" si="87"/>
        <v>214980280.16576725</v>
      </c>
    </row>
    <row r="2780" spans="1:4">
      <c r="A2780" s="348">
        <f t="shared" si="88"/>
        <v>2779</v>
      </c>
      <c r="B2780" s="360">
        <f>DATE('Profit Calculation'!J$6,A$2,A$2+A2780-1)</f>
        <v>44783</v>
      </c>
      <c r="D2780" s="362">
        <f t="shared" ca="1" si="87"/>
        <v>215062613.90473378</v>
      </c>
    </row>
    <row r="2781" spans="1:4">
      <c r="A2781" s="348">
        <f t="shared" si="88"/>
        <v>2780</v>
      </c>
      <c r="B2781" s="360">
        <f>DATE('Profit Calculation'!J$6,A$2,A$2+A2781-1)</f>
        <v>44784</v>
      </c>
      <c r="D2781" s="362">
        <f t="shared" ca="1" si="87"/>
        <v>215144979.1761021</v>
      </c>
    </row>
    <row r="2782" spans="1:4">
      <c r="A2782" s="348">
        <f t="shared" si="88"/>
        <v>2781</v>
      </c>
      <c r="B2782" s="360">
        <f>DATE('Profit Calculation'!J$6,A$2,A$2+A2782-1)</f>
        <v>44785</v>
      </c>
      <c r="D2782" s="362">
        <f t="shared" ca="1" si="87"/>
        <v>215227375.9919486</v>
      </c>
    </row>
    <row r="2783" spans="1:4">
      <c r="A2783" s="348">
        <f t="shared" si="88"/>
        <v>2782</v>
      </c>
      <c r="B2783" s="360">
        <f>DATE('Profit Calculation'!J$6,A$2,A$2+A2783-1)</f>
        <v>44786</v>
      </c>
      <c r="D2783" s="362">
        <f t="shared" ca="1" si="87"/>
        <v>215309804.36435425</v>
      </c>
    </row>
    <row r="2784" spans="1:4">
      <c r="A2784" s="348">
        <f t="shared" si="88"/>
        <v>2783</v>
      </c>
      <c r="B2784" s="360">
        <f>DATE('Profit Calculation'!J$6,A$2,A$2+A2784-1)</f>
        <v>44787</v>
      </c>
      <c r="D2784" s="362">
        <f t="shared" ca="1" si="87"/>
        <v>215392264.30540466</v>
      </c>
    </row>
    <row r="2785" spans="1:4">
      <c r="A2785" s="348">
        <f t="shared" si="88"/>
        <v>2784</v>
      </c>
      <c r="B2785" s="360">
        <f>DATE('Profit Calculation'!J$6,A$2,A$2+A2785-1)</f>
        <v>44788</v>
      </c>
      <c r="D2785" s="362">
        <f t="shared" ca="1" si="87"/>
        <v>215474755.8271901</v>
      </c>
    </row>
    <row r="2786" spans="1:4">
      <c r="A2786" s="348">
        <f t="shared" si="88"/>
        <v>2785</v>
      </c>
      <c r="B2786" s="360">
        <f>DATE('Profit Calculation'!J$6,A$2,A$2+A2786-1)</f>
        <v>44789</v>
      </c>
      <c r="D2786" s="362">
        <f t="shared" ca="1" si="87"/>
        <v>215557278.94180542</v>
      </c>
    </row>
    <row r="2787" spans="1:4">
      <c r="A2787" s="348">
        <f t="shared" si="88"/>
        <v>2786</v>
      </c>
      <c r="B2787" s="360">
        <f>DATE('Profit Calculation'!J$6,A$2,A$2+A2787-1)</f>
        <v>44790</v>
      </c>
      <c r="D2787" s="362">
        <f t="shared" ca="1" si="87"/>
        <v>215639833.66135013</v>
      </c>
    </row>
    <row r="2788" spans="1:4">
      <c r="A2788" s="348">
        <f t="shared" si="88"/>
        <v>2787</v>
      </c>
      <c r="B2788" s="360">
        <f>DATE('Profit Calculation'!J$6,A$2,A$2+A2788-1)</f>
        <v>44791</v>
      </c>
      <c r="D2788" s="362">
        <f t="shared" ca="1" si="87"/>
        <v>215722419.99792841</v>
      </c>
    </row>
    <row r="2789" spans="1:4">
      <c r="A2789" s="348">
        <f t="shared" si="88"/>
        <v>2788</v>
      </c>
      <c r="B2789" s="360">
        <f>DATE('Profit Calculation'!J$6,A$2,A$2+A2789-1)</f>
        <v>44792</v>
      </c>
      <c r="D2789" s="362">
        <f t="shared" ca="1" si="87"/>
        <v>215805037.963649</v>
      </c>
    </row>
    <row r="2790" spans="1:4">
      <c r="A2790" s="348">
        <f t="shared" si="88"/>
        <v>2789</v>
      </c>
      <c r="B2790" s="360">
        <f>DATE('Profit Calculation'!J$6,A$2,A$2+A2790-1)</f>
        <v>44793</v>
      </c>
      <c r="D2790" s="362">
        <f t="shared" ca="1" si="87"/>
        <v>215887687.57062533</v>
      </c>
    </row>
    <row r="2791" spans="1:4">
      <c r="A2791" s="348">
        <f t="shared" si="88"/>
        <v>2790</v>
      </c>
      <c r="B2791" s="360">
        <f>DATE('Profit Calculation'!J$6,A$2,A$2+A2791-1)</f>
        <v>44794</v>
      </c>
      <c r="D2791" s="362">
        <f t="shared" ca="1" si="87"/>
        <v>215970368.83097544</v>
      </c>
    </row>
    <row r="2792" spans="1:4">
      <c r="A2792" s="348">
        <f t="shared" si="88"/>
        <v>2791</v>
      </c>
      <c r="B2792" s="360">
        <f>DATE('Profit Calculation'!J$6,A$2,A$2+A2792-1)</f>
        <v>44795</v>
      </c>
      <c r="D2792" s="362">
        <f t="shared" ca="1" si="87"/>
        <v>216053081.75682205</v>
      </c>
    </row>
    <row r="2793" spans="1:4">
      <c r="A2793" s="348">
        <f t="shared" si="88"/>
        <v>2792</v>
      </c>
      <c r="B2793" s="360">
        <f>DATE('Profit Calculation'!J$6,A$2,A$2+A2793-1)</f>
        <v>44796</v>
      </c>
      <c r="D2793" s="362">
        <f t="shared" ca="1" si="87"/>
        <v>216135826.36029249</v>
      </c>
    </row>
    <row r="2794" spans="1:4">
      <c r="A2794" s="348">
        <f t="shared" si="88"/>
        <v>2793</v>
      </c>
      <c r="B2794" s="360">
        <f>DATE('Profit Calculation'!J$6,A$2,A$2+A2794-1)</f>
        <v>44797</v>
      </c>
      <c r="D2794" s="362">
        <f t="shared" ca="1" si="87"/>
        <v>216218602.65351874</v>
      </c>
    </row>
    <row r="2795" spans="1:4">
      <c r="A2795" s="348">
        <f t="shared" si="88"/>
        <v>2794</v>
      </c>
      <c r="B2795" s="360">
        <f>DATE('Profit Calculation'!J$6,A$2,A$2+A2795-1)</f>
        <v>44798</v>
      </c>
      <c r="D2795" s="362">
        <f t="shared" ca="1" si="87"/>
        <v>216301410.64863744</v>
      </c>
    </row>
    <row r="2796" spans="1:4">
      <c r="A2796" s="348">
        <f t="shared" si="88"/>
        <v>2795</v>
      </c>
      <c r="B2796" s="360">
        <f>DATE('Profit Calculation'!J$6,A$2,A$2+A2796-1)</f>
        <v>44799</v>
      </c>
      <c r="D2796" s="362">
        <f t="shared" ca="1" si="87"/>
        <v>216384250.35778987</v>
      </c>
    </row>
    <row r="2797" spans="1:4">
      <c r="A2797" s="348">
        <f t="shared" si="88"/>
        <v>2796</v>
      </c>
      <c r="B2797" s="360">
        <f>DATE('Profit Calculation'!J$6,A$2,A$2+A2797-1)</f>
        <v>44800</v>
      </c>
      <c r="D2797" s="362">
        <f t="shared" ca="1" si="87"/>
        <v>216467121.79312193</v>
      </c>
    </row>
    <row r="2798" spans="1:4">
      <c r="A2798" s="348">
        <f t="shared" si="88"/>
        <v>2797</v>
      </c>
      <c r="B2798" s="360">
        <f>DATE('Profit Calculation'!J$6,A$2,A$2+A2798-1)</f>
        <v>44801</v>
      </c>
      <c r="D2798" s="362">
        <f t="shared" ca="1" si="87"/>
        <v>216550024.96678424</v>
      </c>
    </row>
    <row r="2799" spans="1:4">
      <c r="A2799" s="348">
        <f t="shared" si="88"/>
        <v>2798</v>
      </c>
      <c r="B2799" s="360">
        <f>DATE('Profit Calculation'!J$6,A$2,A$2+A2799-1)</f>
        <v>44802</v>
      </c>
      <c r="D2799" s="362">
        <f t="shared" ca="1" si="87"/>
        <v>216632959.89093199</v>
      </c>
    </row>
    <row r="2800" spans="1:4">
      <c r="A2800" s="348">
        <f t="shared" si="88"/>
        <v>2799</v>
      </c>
      <c r="B2800" s="360">
        <f>DATE('Profit Calculation'!J$6,A$2,A$2+A2800-1)</f>
        <v>44803</v>
      </c>
      <c r="D2800" s="362">
        <f t="shared" ca="1" si="87"/>
        <v>216715926.57772511</v>
      </c>
    </row>
    <row r="2801" spans="1:4">
      <c r="A2801" s="348">
        <f t="shared" si="88"/>
        <v>2800</v>
      </c>
      <c r="B2801" s="360">
        <f>DATE('Profit Calculation'!J$6,A$2,A$2+A2801-1)</f>
        <v>44804</v>
      </c>
      <c r="D2801" s="362">
        <f t="shared" ca="1" si="87"/>
        <v>216798925.0393281</v>
      </c>
    </row>
    <row r="2802" spans="1:4">
      <c r="A2802" s="348">
        <f t="shared" si="88"/>
        <v>2801</v>
      </c>
      <c r="B2802" s="360">
        <f>DATE('Profit Calculation'!J$6,A$2,A$2+A2802-1)</f>
        <v>44805</v>
      </c>
      <c r="D2802" s="362">
        <f t="shared" ca="1" si="87"/>
        <v>216881955.28791019</v>
      </c>
    </row>
    <row r="2803" spans="1:4">
      <c r="A2803" s="348">
        <f t="shared" si="88"/>
        <v>2802</v>
      </c>
      <c r="B2803" s="360">
        <f>DATE('Profit Calculation'!J$6,A$2,A$2+A2803-1)</f>
        <v>44806</v>
      </c>
      <c r="D2803" s="362">
        <f t="shared" ca="1" si="87"/>
        <v>216965017.33564526</v>
      </c>
    </row>
    <row r="2804" spans="1:4">
      <c r="A2804" s="348">
        <f t="shared" si="88"/>
        <v>2803</v>
      </c>
      <c r="B2804" s="360">
        <f>DATE('Profit Calculation'!J$6,A$2,A$2+A2804-1)</f>
        <v>44807</v>
      </c>
      <c r="D2804" s="362">
        <f t="shared" ca="1" si="87"/>
        <v>217048111.1947118</v>
      </c>
    </row>
    <row r="2805" spans="1:4">
      <c r="A2805" s="348">
        <f t="shared" si="88"/>
        <v>2804</v>
      </c>
      <c r="B2805" s="360">
        <f>DATE('Profit Calculation'!J$6,A$2,A$2+A2805-1)</f>
        <v>44808</v>
      </c>
      <c r="D2805" s="362">
        <f t="shared" ca="1" si="87"/>
        <v>217131236.87729305</v>
      </c>
    </row>
    <row r="2806" spans="1:4">
      <c r="A2806" s="348">
        <f t="shared" si="88"/>
        <v>2805</v>
      </c>
      <c r="B2806" s="360">
        <f>DATE('Profit Calculation'!J$6,A$2,A$2+A2806-1)</f>
        <v>44809</v>
      </c>
      <c r="D2806" s="362">
        <f t="shared" ca="1" si="87"/>
        <v>217214394.39557683</v>
      </c>
    </row>
    <row r="2807" spans="1:4">
      <c r="A2807" s="348">
        <f t="shared" si="88"/>
        <v>2806</v>
      </c>
      <c r="B2807" s="360">
        <f>DATE('Profit Calculation'!J$6,A$2,A$2+A2807-1)</f>
        <v>44810</v>
      </c>
      <c r="D2807" s="362">
        <f t="shared" ca="1" si="87"/>
        <v>217297583.76175568</v>
      </c>
    </row>
    <row r="2808" spans="1:4">
      <c r="A2808" s="348">
        <f t="shared" si="88"/>
        <v>2807</v>
      </c>
      <c r="B2808" s="360">
        <f>DATE('Profit Calculation'!J$6,A$2,A$2+A2808-1)</f>
        <v>44811</v>
      </c>
      <c r="D2808" s="362">
        <f t="shared" ca="1" si="87"/>
        <v>217380804.98802677</v>
      </c>
    </row>
    <row r="2809" spans="1:4">
      <c r="A2809" s="348">
        <f t="shared" si="88"/>
        <v>2808</v>
      </c>
      <c r="B2809" s="360">
        <f>DATE('Profit Calculation'!J$6,A$2,A$2+A2809-1)</f>
        <v>44812</v>
      </c>
      <c r="D2809" s="362">
        <f t="shared" ca="1" si="87"/>
        <v>217464058.08659199</v>
      </c>
    </row>
    <row r="2810" spans="1:4">
      <c r="A2810" s="348">
        <f t="shared" si="88"/>
        <v>2809</v>
      </c>
      <c r="B2810" s="360">
        <f>DATE('Profit Calculation'!J$6,A$2,A$2+A2810-1)</f>
        <v>44813</v>
      </c>
      <c r="D2810" s="362">
        <f t="shared" ca="1" si="87"/>
        <v>217547343.06965786</v>
      </c>
    </row>
    <row r="2811" spans="1:4">
      <c r="A2811" s="348">
        <f t="shared" si="88"/>
        <v>2810</v>
      </c>
      <c r="B2811" s="360">
        <f>DATE('Profit Calculation'!J$6,A$2,A$2+A2811-1)</f>
        <v>44814</v>
      </c>
      <c r="D2811" s="362">
        <f t="shared" ca="1" si="87"/>
        <v>217630659.94943562</v>
      </c>
    </row>
    <row r="2812" spans="1:4">
      <c r="A2812" s="348">
        <f t="shared" si="88"/>
        <v>2811</v>
      </c>
      <c r="B2812" s="360">
        <f>DATE('Profit Calculation'!J$6,A$2,A$2+A2812-1)</f>
        <v>44815</v>
      </c>
      <c r="D2812" s="362">
        <f t="shared" ca="1" si="87"/>
        <v>217714008.73814115</v>
      </c>
    </row>
    <row r="2813" spans="1:4">
      <c r="A2813" s="348">
        <f t="shared" si="88"/>
        <v>2812</v>
      </c>
      <c r="B2813" s="360">
        <f>DATE('Profit Calculation'!J$6,A$2,A$2+A2813-1)</f>
        <v>44816</v>
      </c>
      <c r="D2813" s="362">
        <f t="shared" ca="1" si="87"/>
        <v>217797389.44799501</v>
      </c>
    </row>
    <row r="2814" spans="1:4">
      <c r="A2814" s="348">
        <f t="shared" si="88"/>
        <v>2813</v>
      </c>
      <c r="B2814" s="360">
        <f>DATE('Profit Calculation'!J$6,A$2,A$2+A2814-1)</f>
        <v>44817</v>
      </c>
      <c r="D2814" s="362">
        <f t="shared" ca="1" si="87"/>
        <v>217880802.09122247</v>
      </c>
    </row>
    <row r="2815" spans="1:4">
      <c r="A2815" s="348">
        <f t="shared" si="88"/>
        <v>2814</v>
      </c>
      <c r="B2815" s="360">
        <f>DATE('Profit Calculation'!J$6,A$2,A$2+A2815-1)</f>
        <v>44818</v>
      </c>
      <c r="D2815" s="362">
        <f t="shared" ca="1" si="87"/>
        <v>217964246.68005341</v>
      </c>
    </row>
    <row r="2816" spans="1:4">
      <c r="A2816" s="348">
        <f t="shared" si="88"/>
        <v>2815</v>
      </c>
      <c r="B2816" s="360">
        <f>DATE('Profit Calculation'!J$6,A$2,A$2+A2816-1)</f>
        <v>44819</v>
      </c>
      <c r="D2816" s="362">
        <f t="shared" ca="1" si="87"/>
        <v>218047723.22672251</v>
      </c>
    </row>
    <row r="2817" spans="1:4">
      <c r="A2817" s="348">
        <f t="shared" si="88"/>
        <v>2816</v>
      </c>
      <c r="B2817" s="360">
        <f>DATE('Profit Calculation'!J$6,A$2,A$2+A2817-1)</f>
        <v>44820</v>
      </c>
      <c r="D2817" s="362">
        <f t="shared" ca="1" si="87"/>
        <v>218131231.74346903</v>
      </c>
    </row>
    <row r="2818" spans="1:4">
      <c r="A2818" s="348">
        <f t="shared" si="88"/>
        <v>2817</v>
      </c>
      <c r="B2818" s="360">
        <f>DATE('Profit Calculation'!J$6,A$2,A$2+A2818-1)</f>
        <v>44821</v>
      </c>
      <c r="D2818" s="362">
        <f t="shared" ca="1" si="87"/>
        <v>218214772.24253696</v>
      </c>
    </row>
    <row r="2819" spans="1:4">
      <c r="A2819" s="348">
        <f t="shared" si="88"/>
        <v>2818</v>
      </c>
      <c r="B2819" s="360">
        <f>DATE('Profit Calculation'!J$6,A$2,A$2+A2819-1)</f>
        <v>44822</v>
      </c>
      <c r="D2819" s="362">
        <f t="shared" ca="1" si="87"/>
        <v>218298344.736175</v>
      </c>
    </row>
    <row r="2820" spans="1:4">
      <c r="A2820" s="348">
        <f t="shared" si="88"/>
        <v>2819</v>
      </c>
      <c r="B2820" s="360">
        <f>DATE('Profit Calculation'!J$6,A$2,A$2+A2820-1)</f>
        <v>44823</v>
      </c>
      <c r="D2820" s="362">
        <f t="shared" ref="D2820:D2883" ca="1" si="89">IF(OR(LOOKUP(B2820,W$1:W$35,W$1:W$35) = B2820, LOOKUP(B2820,X$1:X$35,X$1:X$35) = B2820),LOOKUP(B2820,F:F,G:G),D2819*(1+((IF($Q$18&lt;6,$R$14,IF($Q$18&lt;11,$R$15,$R$16)))))^(1/365))</f>
        <v>218381949.23663652</v>
      </c>
    </row>
    <row r="2821" spans="1:4">
      <c r="A2821" s="348">
        <f t="shared" ref="A2821:A2884" si="90">A2820+1</f>
        <v>2820</v>
      </c>
      <c r="B2821" s="360">
        <f>DATE('Profit Calculation'!J$6,A$2,A$2+A2821-1)</f>
        <v>44824</v>
      </c>
      <c r="D2821" s="362">
        <f t="shared" ca="1" si="89"/>
        <v>218465585.75617954</v>
      </c>
    </row>
    <row r="2822" spans="1:4">
      <c r="A2822" s="348">
        <f t="shared" si="90"/>
        <v>2821</v>
      </c>
      <c r="B2822" s="360">
        <f>DATE('Profit Calculation'!J$6,A$2,A$2+A2822-1)</f>
        <v>44825</v>
      </c>
      <c r="D2822" s="362">
        <f t="shared" ca="1" si="89"/>
        <v>218549254.30706686</v>
      </c>
    </row>
    <row r="2823" spans="1:4">
      <c r="A2823" s="348">
        <f t="shared" si="90"/>
        <v>2822</v>
      </c>
      <c r="B2823" s="360">
        <f>DATE('Profit Calculation'!J$6,A$2,A$2+A2823-1)</f>
        <v>44826</v>
      </c>
      <c r="D2823" s="362">
        <f t="shared" ca="1" si="89"/>
        <v>218632954.90156591</v>
      </c>
    </row>
    <row r="2824" spans="1:4">
      <c r="A2824" s="348">
        <f t="shared" si="90"/>
        <v>2823</v>
      </c>
      <c r="B2824" s="360">
        <f>DATE('Profit Calculation'!J$6,A$2,A$2+A2824-1)</f>
        <v>44827</v>
      </c>
      <c r="D2824" s="362">
        <f t="shared" ca="1" si="89"/>
        <v>218716687.55194885</v>
      </c>
    </row>
    <row r="2825" spans="1:4">
      <c r="A2825" s="348">
        <f t="shared" si="90"/>
        <v>2824</v>
      </c>
      <c r="B2825" s="360">
        <f>DATE('Profit Calculation'!J$6,A$2,A$2+A2825-1)</f>
        <v>44828</v>
      </c>
      <c r="D2825" s="362">
        <f t="shared" ca="1" si="89"/>
        <v>218800452.27049252</v>
      </c>
    </row>
    <row r="2826" spans="1:4">
      <c r="A2826" s="348">
        <f t="shared" si="90"/>
        <v>2825</v>
      </c>
      <c r="B2826" s="360">
        <f>DATE('Profit Calculation'!J$6,A$2,A$2+A2826-1)</f>
        <v>44829</v>
      </c>
      <c r="D2826" s="362">
        <f t="shared" ca="1" si="89"/>
        <v>218884249.06947848</v>
      </c>
    </row>
    <row r="2827" spans="1:4">
      <c r="A2827" s="348">
        <f t="shared" si="90"/>
        <v>2826</v>
      </c>
      <c r="B2827" s="360">
        <f>DATE('Profit Calculation'!J$6,A$2,A$2+A2827-1)</f>
        <v>44830</v>
      </c>
      <c r="D2827" s="362">
        <f t="shared" ca="1" si="89"/>
        <v>218968077.961193</v>
      </c>
    </row>
    <row r="2828" spans="1:4">
      <c r="A2828" s="348">
        <f t="shared" si="90"/>
        <v>2827</v>
      </c>
      <c r="B2828" s="360">
        <f>DATE('Profit Calculation'!J$6,A$2,A$2+A2828-1)</f>
        <v>44831</v>
      </c>
      <c r="D2828" s="362">
        <f t="shared" ca="1" si="89"/>
        <v>219051938.95792702</v>
      </c>
    </row>
    <row r="2829" spans="1:4">
      <c r="A2829" s="348">
        <f t="shared" si="90"/>
        <v>2828</v>
      </c>
      <c r="B2829" s="360">
        <f>DATE('Profit Calculation'!J$6,A$2,A$2+A2829-1)</f>
        <v>44832</v>
      </c>
      <c r="D2829" s="362">
        <f t="shared" ca="1" si="89"/>
        <v>219135832.07197621</v>
      </c>
    </row>
    <row r="2830" spans="1:4">
      <c r="A2830" s="348">
        <f t="shared" si="90"/>
        <v>2829</v>
      </c>
      <c r="B2830" s="360">
        <f>DATE('Profit Calculation'!J$6,A$2,A$2+A2830-1)</f>
        <v>44833</v>
      </c>
      <c r="D2830" s="362">
        <f t="shared" ca="1" si="89"/>
        <v>219219757.31564096</v>
      </c>
    </row>
    <row r="2831" spans="1:4">
      <c r="A2831" s="348">
        <f t="shared" si="90"/>
        <v>2830</v>
      </c>
      <c r="B2831" s="360">
        <f>DATE('Profit Calculation'!J$6,A$2,A$2+A2831-1)</f>
        <v>44834</v>
      </c>
      <c r="D2831" s="362">
        <f t="shared" ca="1" si="89"/>
        <v>219303714.70122635</v>
      </c>
    </row>
    <row r="2832" spans="1:4">
      <c r="A2832" s="348">
        <f t="shared" si="90"/>
        <v>2831</v>
      </c>
      <c r="B2832" s="360">
        <f>DATE('Profit Calculation'!J$6,A$2,A$2+A2832-1)</f>
        <v>44835</v>
      </c>
      <c r="D2832" s="362">
        <f t="shared" ca="1" si="89"/>
        <v>219387704.2410422</v>
      </c>
    </row>
    <row r="2833" spans="1:4">
      <c r="A2833" s="348">
        <f t="shared" si="90"/>
        <v>2832</v>
      </c>
      <c r="B2833" s="360">
        <f>DATE('Profit Calculation'!J$6,A$2,A$2+A2833-1)</f>
        <v>44836</v>
      </c>
      <c r="D2833" s="362">
        <f t="shared" ca="1" si="89"/>
        <v>219471725.94740298</v>
      </c>
    </row>
    <row r="2834" spans="1:4">
      <c r="A2834" s="348">
        <f t="shared" si="90"/>
        <v>2833</v>
      </c>
      <c r="B2834" s="360">
        <f>DATE('Profit Calculation'!J$6,A$2,A$2+A2834-1)</f>
        <v>44837</v>
      </c>
      <c r="D2834" s="362">
        <f t="shared" ca="1" si="89"/>
        <v>219555779.83262795</v>
      </c>
    </row>
    <row r="2835" spans="1:4">
      <c r="A2835" s="348">
        <f t="shared" si="90"/>
        <v>2834</v>
      </c>
      <c r="B2835" s="360">
        <f>DATE('Profit Calculation'!J$6,A$2,A$2+A2835-1)</f>
        <v>44838</v>
      </c>
      <c r="D2835" s="362">
        <f t="shared" ca="1" si="89"/>
        <v>219639865.90904108</v>
      </c>
    </row>
    <row r="2836" spans="1:4">
      <c r="A2836" s="348">
        <f t="shared" si="90"/>
        <v>2835</v>
      </c>
      <c r="B2836" s="360">
        <f>DATE('Profit Calculation'!J$6,A$2,A$2+A2836-1)</f>
        <v>44839</v>
      </c>
      <c r="D2836" s="362">
        <f t="shared" ca="1" si="89"/>
        <v>219723984.18897101</v>
      </c>
    </row>
    <row r="2837" spans="1:4">
      <c r="A2837" s="348">
        <f t="shared" si="90"/>
        <v>2836</v>
      </c>
      <c r="B2837" s="360">
        <f>DATE('Profit Calculation'!J$6,A$2,A$2+A2837-1)</f>
        <v>44840</v>
      </c>
      <c r="D2837" s="362">
        <f t="shared" ca="1" si="89"/>
        <v>219808134.68475115</v>
      </c>
    </row>
    <row r="2838" spans="1:4">
      <c r="A2838" s="348">
        <f t="shared" si="90"/>
        <v>2837</v>
      </c>
      <c r="B2838" s="360">
        <f>DATE('Profit Calculation'!J$6,A$2,A$2+A2838-1)</f>
        <v>44841</v>
      </c>
      <c r="D2838" s="362">
        <f t="shared" ca="1" si="89"/>
        <v>219892317.4087196</v>
      </c>
    </row>
    <row r="2839" spans="1:4">
      <c r="A2839" s="348">
        <f t="shared" si="90"/>
        <v>2838</v>
      </c>
      <c r="B2839" s="360">
        <f>DATE('Profit Calculation'!J$6,A$2,A$2+A2839-1)</f>
        <v>44842</v>
      </c>
      <c r="D2839" s="362">
        <f t="shared" ca="1" si="89"/>
        <v>219976532.37321919</v>
      </c>
    </row>
    <row r="2840" spans="1:4">
      <c r="A2840" s="348">
        <f t="shared" si="90"/>
        <v>2839</v>
      </c>
      <c r="B2840" s="360">
        <f>DATE('Profit Calculation'!J$6,A$2,A$2+A2840-1)</f>
        <v>44843</v>
      </c>
      <c r="D2840" s="362">
        <f t="shared" ca="1" si="89"/>
        <v>220060779.59059751</v>
      </c>
    </row>
    <row r="2841" spans="1:4">
      <c r="A2841" s="348">
        <f t="shared" si="90"/>
        <v>2840</v>
      </c>
      <c r="B2841" s="360">
        <f>DATE('Profit Calculation'!J$6,A$2,A$2+A2841-1)</f>
        <v>44844</v>
      </c>
      <c r="D2841" s="362">
        <f t="shared" ca="1" si="89"/>
        <v>220145059.07320687</v>
      </c>
    </row>
    <row r="2842" spans="1:4">
      <c r="A2842" s="348">
        <f t="shared" si="90"/>
        <v>2841</v>
      </c>
      <c r="B2842" s="360">
        <f>DATE('Profit Calculation'!J$6,A$2,A$2+A2842-1)</f>
        <v>44845</v>
      </c>
      <c r="D2842" s="362">
        <f t="shared" ca="1" si="89"/>
        <v>220229370.83340427</v>
      </c>
    </row>
    <row r="2843" spans="1:4">
      <c r="A2843" s="348">
        <f t="shared" si="90"/>
        <v>2842</v>
      </c>
      <c r="B2843" s="360">
        <f>DATE('Profit Calculation'!J$6,A$2,A$2+A2843-1)</f>
        <v>44846</v>
      </c>
      <c r="D2843" s="362">
        <f t="shared" ca="1" si="89"/>
        <v>220313714.88355148</v>
      </c>
    </row>
    <row r="2844" spans="1:4">
      <c r="A2844" s="348">
        <f t="shared" si="90"/>
        <v>2843</v>
      </c>
      <c r="B2844" s="360">
        <f>DATE('Profit Calculation'!J$6,A$2,A$2+A2844-1)</f>
        <v>44847</v>
      </c>
      <c r="D2844" s="362">
        <f t="shared" ca="1" si="89"/>
        <v>220398091.23601499</v>
      </c>
    </row>
    <row r="2845" spans="1:4">
      <c r="A2845" s="348">
        <f t="shared" si="90"/>
        <v>2844</v>
      </c>
      <c r="B2845" s="360">
        <f>DATE('Profit Calculation'!J$6,A$2,A$2+A2845-1)</f>
        <v>44848</v>
      </c>
      <c r="D2845" s="362">
        <f t="shared" ca="1" si="89"/>
        <v>220482499.90316603</v>
      </c>
    </row>
    <row r="2846" spans="1:4">
      <c r="A2846" s="348">
        <f t="shared" si="90"/>
        <v>2845</v>
      </c>
      <c r="B2846" s="360">
        <f>DATE('Profit Calculation'!J$6,A$2,A$2+A2846-1)</f>
        <v>44849</v>
      </c>
      <c r="D2846" s="362">
        <f t="shared" ca="1" si="89"/>
        <v>220566940.89738056</v>
      </c>
    </row>
    <row r="2847" spans="1:4">
      <c r="A2847" s="348">
        <f t="shared" si="90"/>
        <v>2846</v>
      </c>
      <c r="B2847" s="360">
        <f>DATE('Profit Calculation'!J$6,A$2,A$2+A2847-1)</f>
        <v>44850</v>
      </c>
      <c r="D2847" s="362">
        <f t="shared" ca="1" si="89"/>
        <v>220651414.23103929</v>
      </c>
    </row>
    <row r="2848" spans="1:4">
      <c r="A2848" s="348">
        <f t="shared" si="90"/>
        <v>2847</v>
      </c>
      <c r="B2848" s="360">
        <f>DATE('Profit Calculation'!J$6,A$2,A$2+A2848-1)</f>
        <v>44851</v>
      </c>
      <c r="D2848" s="362">
        <f t="shared" ca="1" si="89"/>
        <v>220735919.91652769</v>
      </c>
    </row>
    <row r="2849" spans="1:4">
      <c r="A2849" s="348">
        <f t="shared" si="90"/>
        <v>2848</v>
      </c>
      <c r="B2849" s="360">
        <f>DATE('Profit Calculation'!J$6,A$2,A$2+A2849-1)</f>
        <v>44852</v>
      </c>
      <c r="D2849" s="362">
        <f t="shared" ca="1" si="89"/>
        <v>220820457.96623594</v>
      </c>
    </row>
    <row r="2850" spans="1:4">
      <c r="A2850" s="348">
        <f t="shared" si="90"/>
        <v>2849</v>
      </c>
      <c r="B2850" s="360">
        <f>DATE('Profit Calculation'!J$6,A$2,A$2+A2850-1)</f>
        <v>44853</v>
      </c>
      <c r="D2850" s="362">
        <f t="shared" ca="1" si="89"/>
        <v>220905028.39255896</v>
      </c>
    </row>
    <row r="2851" spans="1:4">
      <c r="A2851" s="348">
        <f t="shared" si="90"/>
        <v>2850</v>
      </c>
      <c r="B2851" s="360">
        <f>DATE('Profit Calculation'!J$6,A$2,A$2+A2851-1)</f>
        <v>44854</v>
      </c>
      <c r="D2851" s="362">
        <f t="shared" ca="1" si="89"/>
        <v>220989631.20789647</v>
      </c>
    </row>
    <row r="2852" spans="1:4">
      <c r="A2852" s="348">
        <f t="shared" si="90"/>
        <v>2851</v>
      </c>
      <c r="B2852" s="360">
        <f>DATE('Profit Calculation'!J$6,A$2,A$2+A2852-1)</f>
        <v>44855</v>
      </c>
      <c r="D2852" s="362">
        <f t="shared" ca="1" si="89"/>
        <v>221074266.42465287</v>
      </c>
    </row>
    <row r="2853" spans="1:4">
      <c r="A2853" s="348">
        <f t="shared" si="90"/>
        <v>2852</v>
      </c>
      <c r="B2853" s="360">
        <f>DATE('Profit Calculation'!J$6,A$2,A$2+A2853-1)</f>
        <v>44856</v>
      </c>
      <c r="D2853" s="362">
        <f t="shared" ca="1" si="89"/>
        <v>221158934.05523735</v>
      </c>
    </row>
    <row r="2854" spans="1:4">
      <c r="A2854" s="348">
        <f t="shared" si="90"/>
        <v>2853</v>
      </c>
      <c r="B2854" s="360">
        <f>DATE('Profit Calculation'!J$6,A$2,A$2+A2854-1)</f>
        <v>44857</v>
      </c>
      <c r="D2854" s="362">
        <f t="shared" ca="1" si="89"/>
        <v>221243634.11206385</v>
      </c>
    </row>
    <row r="2855" spans="1:4">
      <c r="A2855" s="348">
        <f t="shared" si="90"/>
        <v>2854</v>
      </c>
      <c r="B2855" s="360">
        <f>DATE('Profit Calculation'!J$6,A$2,A$2+A2855-1)</f>
        <v>44858</v>
      </c>
      <c r="D2855" s="362">
        <f t="shared" ca="1" si="89"/>
        <v>221328366.6075511</v>
      </c>
    </row>
    <row r="2856" spans="1:4">
      <c r="A2856" s="348">
        <f t="shared" si="90"/>
        <v>2855</v>
      </c>
      <c r="B2856" s="360">
        <f>DATE('Profit Calculation'!J$6,A$2,A$2+A2856-1)</f>
        <v>44859</v>
      </c>
      <c r="D2856" s="362">
        <f t="shared" ca="1" si="89"/>
        <v>221413131.55412251</v>
      </c>
    </row>
    <row r="2857" spans="1:4">
      <c r="A2857" s="348">
        <f t="shared" si="90"/>
        <v>2856</v>
      </c>
      <c r="B2857" s="360">
        <f>DATE('Profit Calculation'!J$6,A$2,A$2+A2857-1)</f>
        <v>44860</v>
      </c>
      <c r="D2857" s="362">
        <f t="shared" ca="1" si="89"/>
        <v>221497928.96420628</v>
      </c>
    </row>
    <row r="2858" spans="1:4">
      <c r="A2858" s="348">
        <f t="shared" si="90"/>
        <v>2857</v>
      </c>
      <c r="B2858" s="360">
        <f>DATE('Profit Calculation'!J$6,A$2,A$2+A2858-1)</f>
        <v>44861</v>
      </c>
      <c r="D2858" s="362">
        <f t="shared" ca="1" si="89"/>
        <v>221582758.85023537</v>
      </c>
    </row>
    <row r="2859" spans="1:4">
      <c r="A2859" s="348">
        <f t="shared" si="90"/>
        <v>2858</v>
      </c>
      <c r="B2859" s="360">
        <f>DATE('Profit Calculation'!J$6,A$2,A$2+A2859-1)</f>
        <v>44862</v>
      </c>
      <c r="D2859" s="362">
        <f t="shared" ca="1" si="89"/>
        <v>221667621.22464755</v>
      </c>
    </row>
    <row r="2860" spans="1:4">
      <c r="A2860" s="348">
        <f t="shared" si="90"/>
        <v>2859</v>
      </c>
      <c r="B2860" s="360">
        <f>DATE('Profit Calculation'!J$6,A$2,A$2+A2860-1)</f>
        <v>44863</v>
      </c>
      <c r="D2860" s="362">
        <f t="shared" ca="1" si="89"/>
        <v>221752516.09988526</v>
      </c>
    </row>
    <row r="2861" spans="1:4">
      <c r="A2861" s="348">
        <f t="shared" si="90"/>
        <v>2860</v>
      </c>
      <c r="B2861" s="360">
        <f>DATE('Profit Calculation'!J$6,A$2,A$2+A2861-1)</f>
        <v>44864</v>
      </c>
      <c r="D2861" s="362">
        <f t="shared" ca="1" si="89"/>
        <v>221837443.48839578</v>
      </c>
    </row>
    <row r="2862" spans="1:4">
      <c r="A2862" s="348">
        <f t="shared" si="90"/>
        <v>2861</v>
      </c>
      <c r="B2862" s="360">
        <f>DATE('Profit Calculation'!J$6,A$2,A$2+A2862-1)</f>
        <v>44865</v>
      </c>
      <c r="D2862" s="362">
        <f t="shared" ca="1" si="89"/>
        <v>221922403.40263113</v>
      </c>
    </row>
    <row r="2863" spans="1:4">
      <c r="A2863" s="348">
        <f t="shared" si="90"/>
        <v>2862</v>
      </c>
      <c r="B2863" s="360">
        <f>DATE('Profit Calculation'!J$6,A$2,A$2+A2863-1)</f>
        <v>44866</v>
      </c>
      <c r="D2863" s="362">
        <f t="shared" ca="1" si="89"/>
        <v>222007395.85504812</v>
      </c>
    </row>
    <row r="2864" spans="1:4">
      <c r="A2864" s="348">
        <f t="shared" si="90"/>
        <v>2863</v>
      </c>
      <c r="B2864" s="360">
        <f>DATE('Profit Calculation'!J$6,A$2,A$2+A2864-1)</f>
        <v>44867</v>
      </c>
      <c r="D2864" s="362">
        <f t="shared" ca="1" si="89"/>
        <v>222092420.85810828</v>
      </c>
    </row>
    <row r="2865" spans="1:4">
      <c r="A2865" s="348">
        <f t="shared" si="90"/>
        <v>2864</v>
      </c>
      <c r="B2865" s="360">
        <f>DATE('Profit Calculation'!J$6,A$2,A$2+A2865-1)</f>
        <v>44868</v>
      </c>
      <c r="D2865" s="362">
        <f t="shared" ca="1" si="89"/>
        <v>222177478.42427796</v>
      </c>
    </row>
    <row r="2866" spans="1:4">
      <c r="A2866" s="348">
        <f t="shared" si="90"/>
        <v>2865</v>
      </c>
      <c r="B2866" s="360">
        <f>DATE('Profit Calculation'!J$6,A$2,A$2+A2866-1)</f>
        <v>44869</v>
      </c>
      <c r="D2866" s="362">
        <f t="shared" ca="1" si="89"/>
        <v>222262568.56602827</v>
      </c>
    </row>
    <row r="2867" spans="1:4">
      <c r="A2867" s="348">
        <f t="shared" si="90"/>
        <v>2866</v>
      </c>
      <c r="B2867" s="360">
        <f>DATE('Profit Calculation'!J$6,A$2,A$2+A2867-1)</f>
        <v>44870</v>
      </c>
      <c r="D2867" s="362">
        <f t="shared" ca="1" si="89"/>
        <v>222347691.29583511</v>
      </c>
    </row>
    <row r="2868" spans="1:4">
      <c r="A2868" s="348">
        <f t="shared" si="90"/>
        <v>2867</v>
      </c>
      <c r="B2868" s="360">
        <f>DATE('Profit Calculation'!J$6,A$2,A$2+A2868-1)</f>
        <v>44871</v>
      </c>
      <c r="D2868" s="362">
        <f t="shared" ca="1" si="89"/>
        <v>222432846.6261791</v>
      </c>
    </row>
    <row r="2869" spans="1:4">
      <c r="A2869" s="348">
        <f t="shared" si="90"/>
        <v>2868</v>
      </c>
      <c r="B2869" s="360">
        <f>DATE('Profit Calculation'!J$6,A$2,A$2+A2869-1)</f>
        <v>44872</v>
      </c>
      <c r="D2869" s="362">
        <f t="shared" ca="1" si="89"/>
        <v>222518034.56954572</v>
      </c>
    </row>
    <row r="2870" spans="1:4">
      <c r="A2870" s="348">
        <f t="shared" si="90"/>
        <v>2869</v>
      </c>
      <c r="B2870" s="360">
        <f>DATE('Profit Calculation'!J$6,A$2,A$2+A2870-1)</f>
        <v>44873</v>
      </c>
      <c r="D2870" s="362">
        <f t="shared" ca="1" si="89"/>
        <v>222603255.1384252</v>
      </c>
    </row>
    <row r="2871" spans="1:4">
      <c r="A2871" s="348">
        <f t="shared" si="90"/>
        <v>2870</v>
      </c>
      <c r="B2871" s="360">
        <f>DATE('Profit Calculation'!J$6,A$2,A$2+A2871-1)</f>
        <v>44874</v>
      </c>
      <c r="D2871" s="362">
        <f t="shared" ca="1" si="89"/>
        <v>222688508.34531254</v>
      </c>
    </row>
    <row r="2872" spans="1:4">
      <c r="A2872" s="348">
        <f t="shared" si="90"/>
        <v>2871</v>
      </c>
      <c r="B2872" s="360">
        <f>DATE('Profit Calculation'!J$6,A$2,A$2+A2872-1)</f>
        <v>44875</v>
      </c>
      <c r="D2872" s="362">
        <f t="shared" ca="1" si="89"/>
        <v>222773794.2027075</v>
      </c>
    </row>
    <row r="2873" spans="1:4">
      <c r="A2873" s="348">
        <f t="shared" si="90"/>
        <v>2872</v>
      </c>
      <c r="B2873" s="360">
        <f>DATE('Profit Calculation'!J$6,A$2,A$2+A2873-1)</f>
        <v>44876</v>
      </c>
      <c r="D2873" s="362">
        <f t="shared" ca="1" si="89"/>
        <v>222859112.7231147</v>
      </c>
    </row>
    <row r="2874" spans="1:4">
      <c r="A2874" s="348">
        <f t="shared" si="90"/>
        <v>2873</v>
      </c>
      <c r="B2874" s="360">
        <f>DATE('Profit Calculation'!J$6,A$2,A$2+A2874-1)</f>
        <v>44877</v>
      </c>
      <c r="D2874" s="362">
        <f t="shared" ca="1" si="89"/>
        <v>222944463.91904351</v>
      </c>
    </row>
    <row r="2875" spans="1:4">
      <c r="A2875" s="348">
        <f t="shared" si="90"/>
        <v>2874</v>
      </c>
      <c r="B2875" s="360">
        <f>DATE('Profit Calculation'!J$6,A$2,A$2+A2875-1)</f>
        <v>44878</v>
      </c>
      <c r="D2875" s="362">
        <f t="shared" ca="1" si="89"/>
        <v>223029847.80300808</v>
      </c>
    </row>
    <row r="2876" spans="1:4">
      <c r="A2876" s="348">
        <f t="shared" si="90"/>
        <v>2875</v>
      </c>
      <c r="B2876" s="360">
        <f>DATE('Profit Calculation'!J$6,A$2,A$2+A2876-1)</f>
        <v>44879</v>
      </c>
      <c r="D2876" s="362">
        <f t="shared" ca="1" si="89"/>
        <v>223115264.38752738</v>
      </c>
    </row>
    <row r="2877" spans="1:4">
      <c r="A2877" s="348">
        <f t="shared" si="90"/>
        <v>2876</v>
      </c>
      <c r="B2877" s="360">
        <f>DATE('Profit Calculation'!J$6,A$2,A$2+A2877-1)</f>
        <v>44880</v>
      </c>
      <c r="D2877" s="362">
        <f t="shared" ca="1" si="89"/>
        <v>223200713.68512511</v>
      </c>
    </row>
    <row r="2878" spans="1:4">
      <c r="A2878" s="348">
        <f t="shared" si="90"/>
        <v>2877</v>
      </c>
      <c r="B2878" s="360">
        <f>DATE('Profit Calculation'!J$6,A$2,A$2+A2878-1)</f>
        <v>44881</v>
      </c>
      <c r="D2878" s="362">
        <f t="shared" ca="1" si="89"/>
        <v>223286195.70832986</v>
      </c>
    </row>
    <row r="2879" spans="1:4">
      <c r="A2879" s="348">
        <f t="shared" si="90"/>
        <v>2878</v>
      </c>
      <c r="B2879" s="360">
        <f>DATE('Profit Calculation'!J$6,A$2,A$2+A2879-1)</f>
        <v>44882</v>
      </c>
      <c r="D2879" s="362">
        <f t="shared" ca="1" si="89"/>
        <v>223371710.46967497</v>
      </c>
    </row>
    <row r="2880" spans="1:4">
      <c r="A2880" s="348">
        <f t="shared" si="90"/>
        <v>2879</v>
      </c>
      <c r="B2880" s="360">
        <f>DATE('Profit Calculation'!J$6,A$2,A$2+A2880-1)</f>
        <v>44883</v>
      </c>
      <c r="D2880" s="362">
        <f t="shared" ca="1" si="89"/>
        <v>223457257.98169857</v>
      </c>
    </row>
    <row r="2881" spans="1:4">
      <c r="A2881" s="348">
        <f t="shared" si="90"/>
        <v>2880</v>
      </c>
      <c r="B2881" s="360">
        <f>DATE('Profit Calculation'!J$6,A$2,A$2+A2881-1)</f>
        <v>44884</v>
      </c>
      <c r="D2881" s="362">
        <f t="shared" ca="1" si="89"/>
        <v>223542838.25694361</v>
      </c>
    </row>
    <row r="2882" spans="1:4">
      <c r="A2882" s="348">
        <f t="shared" si="90"/>
        <v>2881</v>
      </c>
      <c r="B2882" s="360">
        <f>DATE('Profit Calculation'!J$6,A$2,A$2+A2882-1)</f>
        <v>44885</v>
      </c>
      <c r="D2882" s="362">
        <f t="shared" ca="1" si="89"/>
        <v>223628451.30795783</v>
      </c>
    </row>
    <row r="2883" spans="1:4">
      <c r="A2883" s="348">
        <f t="shared" si="90"/>
        <v>2882</v>
      </c>
      <c r="B2883" s="360">
        <f>DATE('Profit Calculation'!J$6,A$2,A$2+A2883-1)</f>
        <v>44886</v>
      </c>
      <c r="D2883" s="362">
        <f t="shared" ca="1" si="89"/>
        <v>223714097.14729381</v>
      </c>
    </row>
    <row r="2884" spans="1:4">
      <c r="A2884" s="348">
        <f t="shared" si="90"/>
        <v>2883</v>
      </c>
      <c r="B2884" s="360">
        <f>DATE('Profit Calculation'!J$6,A$2,A$2+A2884-1)</f>
        <v>44887</v>
      </c>
      <c r="D2884" s="362">
        <f t="shared" ref="D2884:D2947" ca="1" si="91">IF(OR(LOOKUP(B2884,W$1:W$35,W$1:W$35) = B2884, LOOKUP(B2884,X$1:X$35,X$1:X$35) = B2884),LOOKUP(B2884,F:F,G:G),D2883*(1+((IF($Q$18&lt;6,$R$14,IF($Q$18&lt;11,$R$15,$R$16)))))^(1/365))</f>
        <v>223799775.78750888</v>
      </c>
    </row>
    <row r="2885" spans="1:4">
      <c r="A2885" s="348">
        <f t="shared" ref="A2885:A2948" si="92">A2884+1</f>
        <v>2884</v>
      </c>
      <c r="B2885" s="360">
        <f>DATE('Profit Calculation'!J$6,A$2,A$2+A2885-1)</f>
        <v>44888</v>
      </c>
      <c r="D2885" s="362">
        <f t="shared" ca="1" si="91"/>
        <v>223885487.24116522</v>
      </c>
    </row>
    <row r="2886" spans="1:4">
      <c r="A2886" s="348">
        <f t="shared" si="92"/>
        <v>2885</v>
      </c>
      <c r="B2886" s="360">
        <f>DATE('Profit Calculation'!J$6,A$2,A$2+A2886-1)</f>
        <v>44889</v>
      </c>
      <c r="D2886" s="362">
        <f t="shared" ca="1" si="91"/>
        <v>223971231.52082983</v>
      </c>
    </row>
    <row r="2887" spans="1:4">
      <c r="A2887" s="348">
        <f t="shared" si="92"/>
        <v>2886</v>
      </c>
      <c r="B2887" s="360">
        <f>DATE('Profit Calculation'!J$6,A$2,A$2+A2887-1)</f>
        <v>44890</v>
      </c>
      <c r="D2887" s="362">
        <f t="shared" ca="1" si="91"/>
        <v>224057008.63907447</v>
      </c>
    </row>
    <row r="2888" spans="1:4">
      <c r="A2888" s="348">
        <f t="shared" si="92"/>
        <v>2887</v>
      </c>
      <c r="B2888" s="360">
        <f>DATE('Profit Calculation'!J$6,A$2,A$2+A2888-1)</f>
        <v>44891</v>
      </c>
      <c r="D2888" s="362">
        <f t="shared" ca="1" si="91"/>
        <v>224142818.6084758</v>
      </c>
    </row>
    <row r="2889" spans="1:4">
      <c r="A2889" s="348">
        <f t="shared" si="92"/>
        <v>2888</v>
      </c>
      <c r="B2889" s="360">
        <f>DATE('Profit Calculation'!J$6,A$2,A$2+A2889-1)</f>
        <v>44892</v>
      </c>
      <c r="D2889" s="362">
        <f t="shared" ca="1" si="91"/>
        <v>224228661.44161522</v>
      </c>
    </row>
    <row r="2890" spans="1:4">
      <c r="A2890" s="348">
        <f t="shared" si="92"/>
        <v>2889</v>
      </c>
      <c r="B2890" s="360">
        <f>DATE('Profit Calculation'!J$6,A$2,A$2+A2890-1)</f>
        <v>44893</v>
      </c>
      <c r="D2890" s="362">
        <f t="shared" ca="1" si="91"/>
        <v>224314537.15107897</v>
      </c>
    </row>
    <row r="2891" spans="1:4">
      <c r="A2891" s="348">
        <f t="shared" si="92"/>
        <v>2890</v>
      </c>
      <c r="B2891" s="360">
        <f>DATE('Profit Calculation'!J$6,A$2,A$2+A2891-1)</f>
        <v>44894</v>
      </c>
      <c r="D2891" s="362">
        <f t="shared" ca="1" si="91"/>
        <v>224400445.7494581</v>
      </c>
    </row>
    <row r="2892" spans="1:4">
      <c r="A2892" s="348">
        <f t="shared" si="92"/>
        <v>2891</v>
      </c>
      <c r="B2892" s="360">
        <f>DATE('Profit Calculation'!J$6,A$2,A$2+A2892-1)</f>
        <v>44895</v>
      </c>
      <c r="D2892" s="362">
        <f t="shared" ca="1" si="91"/>
        <v>224486387.24934852</v>
      </c>
    </row>
    <row r="2893" spans="1:4">
      <c r="A2893" s="348">
        <f t="shared" si="92"/>
        <v>2892</v>
      </c>
      <c r="B2893" s="360">
        <f>DATE('Profit Calculation'!J$6,A$2,A$2+A2893-1)</f>
        <v>44896</v>
      </c>
      <c r="D2893" s="362">
        <f t="shared" ca="1" si="91"/>
        <v>224572361.66335094</v>
      </c>
    </row>
    <row r="2894" spans="1:4">
      <c r="A2894" s="348">
        <f t="shared" si="92"/>
        <v>2893</v>
      </c>
      <c r="B2894" s="360">
        <f>DATE('Profit Calculation'!J$6,A$2,A$2+A2894-1)</f>
        <v>44897</v>
      </c>
      <c r="D2894" s="362">
        <f t="shared" ca="1" si="91"/>
        <v>224658369.00407088</v>
      </c>
    </row>
    <row r="2895" spans="1:4">
      <c r="A2895" s="348">
        <f t="shared" si="92"/>
        <v>2894</v>
      </c>
      <c r="B2895" s="360">
        <f>DATE('Profit Calculation'!J$6,A$2,A$2+A2895-1)</f>
        <v>44898</v>
      </c>
      <c r="D2895" s="362">
        <f t="shared" ca="1" si="91"/>
        <v>224744409.28411874</v>
      </c>
    </row>
    <row r="2896" spans="1:4">
      <c r="A2896" s="348">
        <f t="shared" si="92"/>
        <v>2895</v>
      </c>
      <c r="B2896" s="360">
        <f>DATE('Profit Calculation'!J$6,A$2,A$2+A2896-1)</f>
        <v>44899</v>
      </c>
      <c r="D2896" s="362">
        <f t="shared" ca="1" si="91"/>
        <v>224830482.51610968</v>
      </c>
    </row>
    <row r="2897" spans="1:4">
      <c r="A2897" s="348">
        <f t="shared" si="92"/>
        <v>2896</v>
      </c>
      <c r="B2897" s="360">
        <f>DATE('Profit Calculation'!J$6,A$2,A$2+A2897-1)</f>
        <v>44900</v>
      </c>
      <c r="D2897" s="362">
        <f t="shared" ca="1" si="91"/>
        <v>224916588.71266374</v>
      </c>
    </row>
    <row r="2898" spans="1:4">
      <c r="A2898" s="348">
        <f t="shared" si="92"/>
        <v>2897</v>
      </c>
      <c r="B2898" s="360">
        <f>DATE('Profit Calculation'!J$6,A$2,A$2+A2898-1)</f>
        <v>44901</v>
      </c>
      <c r="D2898" s="362">
        <f t="shared" ca="1" si="91"/>
        <v>225002727.88640577</v>
      </c>
    </row>
    <row r="2899" spans="1:4">
      <c r="A2899" s="348">
        <f t="shared" si="92"/>
        <v>2898</v>
      </c>
      <c r="B2899" s="360">
        <f>DATE('Profit Calculation'!J$6,A$2,A$2+A2899-1)</f>
        <v>44902</v>
      </c>
      <c r="D2899" s="362">
        <f t="shared" ca="1" si="91"/>
        <v>225088900.04996547</v>
      </c>
    </row>
    <row r="2900" spans="1:4">
      <c r="A2900" s="348">
        <f t="shared" si="92"/>
        <v>2899</v>
      </c>
      <c r="B2900" s="360">
        <f>DATE('Profit Calculation'!J$6,A$2,A$2+A2900-1)</f>
        <v>44903</v>
      </c>
      <c r="D2900" s="362">
        <f t="shared" ca="1" si="91"/>
        <v>225175105.21597737</v>
      </c>
    </row>
    <row r="2901" spans="1:4">
      <c r="A2901" s="348">
        <f t="shared" si="92"/>
        <v>2900</v>
      </c>
      <c r="B2901" s="360">
        <f>DATE('Profit Calculation'!J$6,A$2,A$2+A2901-1)</f>
        <v>44904</v>
      </c>
      <c r="D2901" s="362">
        <f t="shared" ca="1" si="91"/>
        <v>225261343.39708087</v>
      </c>
    </row>
    <row r="2902" spans="1:4">
      <c r="A2902" s="348">
        <f t="shared" si="92"/>
        <v>2901</v>
      </c>
      <c r="B2902" s="360">
        <f>DATE('Profit Calculation'!J$6,A$2,A$2+A2902-1)</f>
        <v>44905</v>
      </c>
      <c r="D2902" s="362">
        <f t="shared" ca="1" si="91"/>
        <v>225347614.60592014</v>
      </c>
    </row>
    <row r="2903" spans="1:4">
      <c r="A2903" s="348">
        <f t="shared" si="92"/>
        <v>2902</v>
      </c>
      <c r="B2903" s="360">
        <f>DATE('Profit Calculation'!J$6,A$2,A$2+A2903-1)</f>
        <v>44906</v>
      </c>
      <c r="D2903" s="362">
        <f t="shared" ca="1" si="91"/>
        <v>225433918.85514423</v>
      </c>
    </row>
    <row r="2904" spans="1:4">
      <c r="A2904" s="348">
        <f t="shared" si="92"/>
        <v>2903</v>
      </c>
      <c r="B2904" s="360">
        <f>DATE('Profit Calculation'!J$6,A$2,A$2+A2904-1)</f>
        <v>44907</v>
      </c>
      <c r="D2904" s="362">
        <f t="shared" ca="1" si="91"/>
        <v>225520256.15740708</v>
      </c>
    </row>
    <row r="2905" spans="1:4">
      <c r="A2905" s="348">
        <f t="shared" si="92"/>
        <v>2904</v>
      </c>
      <c r="B2905" s="360">
        <f>DATE('Profit Calculation'!J$6,A$2,A$2+A2905-1)</f>
        <v>44908</v>
      </c>
      <c r="D2905" s="362">
        <f t="shared" ca="1" si="91"/>
        <v>225606626.52536738</v>
      </c>
    </row>
    <row r="2906" spans="1:4">
      <c r="A2906" s="348">
        <f t="shared" si="92"/>
        <v>2905</v>
      </c>
      <c r="B2906" s="360">
        <f>DATE('Profit Calculation'!J$6,A$2,A$2+A2906-1)</f>
        <v>44909</v>
      </c>
      <c r="D2906" s="362">
        <f t="shared" ca="1" si="91"/>
        <v>225693029.97168878</v>
      </c>
    </row>
    <row r="2907" spans="1:4">
      <c r="A2907" s="348">
        <f t="shared" si="92"/>
        <v>2906</v>
      </c>
      <c r="B2907" s="360">
        <f>DATE('Profit Calculation'!J$6,A$2,A$2+A2907-1)</f>
        <v>44910</v>
      </c>
      <c r="D2907" s="362">
        <f t="shared" ca="1" si="91"/>
        <v>225779466.50903967</v>
      </c>
    </row>
    <row r="2908" spans="1:4">
      <c r="A2908" s="348">
        <f t="shared" si="92"/>
        <v>2907</v>
      </c>
      <c r="B2908" s="360">
        <f>DATE('Profit Calculation'!J$6,A$2,A$2+A2908-1)</f>
        <v>44911</v>
      </c>
      <c r="D2908" s="362">
        <f t="shared" ca="1" si="91"/>
        <v>225865936.15009338</v>
      </c>
    </row>
    <row r="2909" spans="1:4">
      <c r="A2909" s="348">
        <f t="shared" si="92"/>
        <v>2908</v>
      </c>
      <c r="B2909" s="360">
        <f>DATE('Profit Calculation'!J$6,A$2,A$2+A2909-1)</f>
        <v>44912</v>
      </c>
      <c r="D2909" s="362">
        <f t="shared" ca="1" si="91"/>
        <v>225952438.90752804</v>
      </c>
    </row>
    <row r="2910" spans="1:4">
      <c r="A2910" s="348">
        <f t="shared" si="92"/>
        <v>2909</v>
      </c>
      <c r="B2910" s="360">
        <f>DATE('Profit Calculation'!J$6,A$2,A$2+A2910-1)</f>
        <v>44913</v>
      </c>
      <c r="D2910" s="362">
        <f t="shared" ca="1" si="91"/>
        <v>226038974.79402664</v>
      </c>
    </row>
    <row r="2911" spans="1:4">
      <c r="A2911" s="348">
        <f t="shared" si="92"/>
        <v>2910</v>
      </c>
      <c r="B2911" s="360">
        <f>DATE('Profit Calculation'!J$6,A$2,A$2+A2911-1)</f>
        <v>44914</v>
      </c>
      <c r="D2911" s="362">
        <f t="shared" ca="1" si="91"/>
        <v>226125543.82227707</v>
      </c>
    </row>
    <row r="2912" spans="1:4">
      <c r="A2912" s="348">
        <f t="shared" si="92"/>
        <v>2911</v>
      </c>
      <c r="B2912" s="360">
        <f>DATE('Profit Calculation'!J$6,A$2,A$2+A2912-1)</f>
        <v>44915</v>
      </c>
      <c r="D2912" s="362">
        <f t="shared" ca="1" si="91"/>
        <v>226212146.00497201</v>
      </c>
    </row>
    <row r="2913" spans="1:4">
      <c r="A2913" s="348">
        <f t="shared" si="92"/>
        <v>2912</v>
      </c>
      <c r="B2913" s="360">
        <f>DATE('Profit Calculation'!J$6,A$2,A$2+A2913-1)</f>
        <v>44916</v>
      </c>
      <c r="D2913" s="362">
        <f t="shared" ca="1" si="91"/>
        <v>226298781.35480908</v>
      </c>
    </row>
    <row r="2914" spans="1:4">
      <c r="A2914" s="348">
        <f t="shared" si="92"/>
        <v>2913</v>
      </c>
      <c r="B2914" s="360">
        <f>DATE('Profit Calculation'!J$6,A$2,A$2+A2914-1)</f>
        <v>44917</v>
      </c>
      <c r="D2914" s="362">
        <f t="shared" ca="1" si="91"/>
        <v>226385449.8844907</v>
      </c>
    </row>
    <row r="2915" spans="1:4">
      <c r="A2915" s="348">
        <f t="shared" si="92"/>
        <v>2914</v>
      </c>
      <c r="B2915" s="360">
        <f>DATE('Profit Calculation'!J$6,A$2,A$2+A2915-1)</f>
        <v>44918</v>
      </c>
      <c r="D2915" s="362">
        <f t="shared" ca="1" si="91"/>
        <v>226472151.6067242</v>
      </c>
    </row>
    <row r="2916" spans="1:4">
      <c r="A2916" s="348">
        <f t="shared" si="92"/>
        <v>2915</v>
      </c>
      <c r="B2916" s="360">
        <f>DATE('Profit Calculation'!J$6,A$2,A$2+A2916-1)</f>
        <v>44919</v>
      </c>
      <c r="D2916" s="362">
        <f t="shared" ca="1" si="91"/>
        <v>226558886.53422174</v>
      </c>
    </row>
    <row r="2917" spans="1:4">
      <c r="A2917" s="348">
        <f t="shared" si="92"/>
        <v>2916</v>
      </c>
      <c r="B2917" s="360">
        <f>DATE('Profit Calculation'!J$6,A$2,A$2+A2917-1)</f>
        <v>44920</v>
      </c>
      <c r="D2917" s="362">
        <f t="shared" ca="1" si="91"/>
        <v>226645654.67970034</v>
      </c>
    </row>
    <row r="2918" spans="1:4">
      <c r="A2918" s="348">
        <f t="shared" si="92"/>
        <v>2917</v>
      </c>
      <c r="B2918" s="360">
        <f>DATE('Profit Calculation'!J$6,A$2,A$2+A2918-1)</f>
        <v>44921</v>
      </c>
      <c r="D2918" s="362">
        <f t="shared" ca="1" si="91"/>
        <v>226732456.05588195</v>
      </c>
    </row>
    <row r="2919" spans="1:4">
      <c r="A2919" s="348">
        <f t="shared" si="92"/>
        <v>2918</v>
      </c>
      <c r="B2919" s="360">
        <f>DATE('Profit Calculation'!J$6,A$2,A$2+A2919-1)</f>
        <v>44922</v>
      </c>
      <c r="D2919" s="362">
        <f t="shared" ca="1" si="91"/>
        <v>226819290.67549333</v>
      </c>
    </row>
    <row r="2920" spans="1:4">
      <c r="A2920" s="348">
        <f t="shared" si="92"/>
        <v>2919</v>
      </c>
      <c r="B2920" s="360">
        <f>DATE('Profit Calculation'!J$6,A$2,A$2+A2920-1)</f>
        <v>44923</v>
      </c>
      <c r="D2920" s="362">
        <f t="shared" ca="1" si="91"/>
        <v>226906158.55126616</v>
      </c>
    </row>
    <row r="2921" spans="1:4">
      <c r="A2921" s="348">
        <f t="shared" si="92"/>
        <v>2920</v>
      </c>
      <c r="B2921" s="360">
        <f>DATE('Profit Calculation'!J$6,A$2,A$2+A2921-1)</f>
        <v>44924</v>
      </c>
      <c r="D2921" s="362">
        <f t="shared" ca="1" si="91"/>
        <v>226993059.69593698</v>
      </c>
    </row>
    <row r="2922" spans="1:4">
      <c r="A2922" s="348">
        <f t="shared" si="92"/>
        <v>2921</v>
      </c>
      <c r="B2922" s="360">
        <f>DATE('Profit Calculation'!J$6,A$2,A$2+A2922-1)</f>
        <v>44925</v>
      </c>
      <c r="D2922" s="362">
        <f t="shared" ca="1" si="91"/>
        <v>227079994.12224719</v>
      </c>
    </row>
    <row r="2923" spans="1:4">
      <c r="A2923" s="348">
        <f t="shared" si="92"/>
        <v>2922</v>
      </c>
      <c r="B2923" s="360">
        <f>DATE('Profit Calculation'!J$6,A$2,A$2+A2923-1)</f>
        <v>44926</v>
      </c>
      <c r="D2923" s="362">
        <f t="shared" ca="1" si="91"/>
        <v>227166961.8429431</v>
      </c>
    </row>
    <row r="2924" spans="1:4">
      <c r="A2924" s="348">
        <f t="shared" si="92"/>
        <v>2923</v>
      </c>
      <c r="B2924" s="360">
        <f>DATE('Profit Calculation'!J$6,A$2,A$2+A2924-1)</f>
        <v>44927</v>
      </c>
      <c r="C2924" s="354"/>
      <c r="D2924" s="355">
        <f t="shared" ca="1" si="91"/>
        <v>227145217</v>
      </c>
    </row>
    <row r="2925" spans="1:4">
      <c r="A2925" s="348">
        <f t="shared" si="92"/>
        <v>2924</v>
      </c>
      <c r="B2925" s="360">
        <f>DATE('Profit Calculation'!J$6,A$2,A$2+A2925-1)</f>
        <v>44928</v>
      </c>
      <c r="D2925" s="362">
        <f t="shared" ca="1" si="91"/>
        <v>227232209.69993299</v>
      </c>
    </row>
    <row r="2926" spans="1:4">
      <c r="A2926" s="348">
        <f t="shared" si="92"/>
        <v>2925</v>
      </c>
      <c r="B2926" s="360">
        <f>DATE('Profit Calculation'!J$6,A$2,A$2+A2926-1)</f>
        <v>44929</v>
      </c>
      <c r="D2926" s="362">
        <f t="shared" ca="1" si="91"/>
        <v>227319235.71656948</v>
      </c>
    </row>
    <row r="2927" spans="1:4">
      <c r="A2927" s="348">
        <f t="shared" si="92"/>
        <v>2926</v>
      </c>
      <c r="B2927" s="360">
        <f>DATE('Profit Calculation'!J$6,A$2,A$2+A2927-1)</f>
        <v>44930</v>
      </c>
      <c r="D2927" s="362">
        <f t="shared" ca="1" si="91"/>
        <v>227406295.06266916</v>
      </c>
    </row>
    <row r="2928" spans="1:4">
      <c r="A2928" s="348">
        <f t="shared" si="92"/>
        <v>2927</v>
      </c>
      <c r="B2928" s="360">
        <f>DATE('Profit Calculation'!J$6,A$2,A$2+A2928-1)</f>
        <v>44931</v>
      </c>
      <c r="D2928" s="362">
        <f t="shared" ca="1" si="91"/>
        <v>227493387.75099665</v>
      </c>
    </row>
    <row r="2929" spans="1:4">
      <c r="A2929" s="348">
        <f t="shared" si="92"/>
        <v>2928</v>
      </c>
      <c r="B2929" s="360">
        <f>DATE('Profit Calculation'!J$6,A$2,A$2+A2929-1)</f>
        <v>44932</v>
      </c>
      <c r="D2929" s="362">
        <f t="shared" ca="1" si="91"/>
        <v>227580513.79432145</v>
      </c>
    </row>
    <row r="2930" spans="1:4">
      <c r="A2930" s="348">
        <f t="shared" si="92"/>
        <v>2929</v>
      </c>
      <c r="B2930" s="360">
        <f>DATE('Profit Calculation'!J$6,A$2,A$2+A2930-1)</f>
        <v>44933</v>
      </c>
      <c r="D2930" s="362">
        <f t="shared" ca="1" si="91"/>
        <v>227667673.20541796</v>
      </c>
    </row>
    <row r="2931" spans="1:4">
      <c r="A2931" s="348">
        <f t="shared" si="92"/>
        <v>2930</v>
      </c>
      <c r="B2931" s="360">
        <f>DATE('Profit Calculation'!J$6,A$2,A$2+A2931-1)</f>
        <v>44934</v>
      </c>
      <c r="D2931" s="362">
        <f t="shared" ca="1" si="91"/>
        <v>227754865.99706545</v>
      </c>
    </row>
    <row r="2932" spans="1:4">
      <c r="A2932" s="348">
        <f t="shared" si="92"/>
        <v>2931</v>
      </c>
      <c r="B2932" s="360">
        <f>DATE('Profit Calculation'!J$6,A$2,A$2+A2932-1)</f>
        <v>44935</v>
      </c>
      <c r="D2932" s="362">
        <f t="shared" ca="1" si="91"/>
        <v>227842092.18204811</v>
      </c>
    </row>
    <row r="2933" spans="1:4">
      <c r="A2933" s="348">
        <f t="shared" si="92"/>
        <v>2932</v>
      </c>
      <c r="B2933" s="360">
        <f>DATE('Profit Calculation'!J$6,A$2,A$2+A2933-1)</f>
        <v>44936</v>
      </c>
      <c r="D2933" s="362">
        <f t="shared" ca="1" si="91"/>
        <v>227929351.77315497</v>
      </c>
    </row>
    <row r="2934" spans="1:4">
      <c r="A2934" s="348">
        <f t="shared" si="92"/>
        <v>2933</v>
      </c>
      <c r="B2934" s="360">
        <f>DATE('Profit Calculation'!J$6,A$2,A$2+A2934-1)</f>
        <v>44937</v>
      </c>
      <c r="D2934" s="362">
        <f t="shared" ca="1" si="91"/>
        <v>228016644.78318003</v>
      </c>
    </row>
    <row r="2935" spans="1:4">
      <c r="A2935" s="348">
        <f t="shared" si="92"/>
        <v>2934</v>
      </c>
      <c r="B2935" s="360">
        <f>DATE('Profit Calculation'!J$6,A$2,A$2+A2935-1)</f>
        <v>44938</v>
      </c>
      <c r="D2935" s="362">
        <f t="shared" ca="1" si="91"/>
        <v>228103971.22492215</v>
      </c>
    </row>
    <row r="2936" spans="1:4">
      <c r="A2936" s="348">
        <f t="shared" si="92"/>
        <v>2935</v>
      </c>
      <c r="B2936" s="360">
        <f>DATE('Profit Calculation'!J$6,A$2,A$2+A2936-1)</f>
        <v>44939</v>
      </c>
      <c r="D2936" s="362">
        <f t="shared" ca="1" si="91"/>
        <v>228191331.1111851</v>
      </c>
    </row>
    <row r="2937" spans="1:4">
      <c r="A2937" s="348">
        <f t="shared" si="92"/>
        <v>2936</v>
      </c>
      <c r="B2937" s="360">
        <f>DATE('Profit Calculation'!J$6,A$2,A$2+A2937-1)</f>
        <v>44940</v>
      </c>
      <c r="D2937" s="362">
        <f t="shared" ca="1" si="91"/>
        <v>228278724.45477757</v>
      </c>
    </row>
    <row r="2938" spans="1:4">
      <c r="A2938" s="348">
        <f t="shared" si="92"/>
        <v>2937</v>
      </c>
      <c r="B2938" s="360">
        <f>DATE('Profit Calculation'!J$6,A$2,A$2+A2938-1)</f>
        <v>44941</v>
      </c>
      <c r="D2938" s="362">
        <f t="shared" ca="1" si="91"/>
        <v>228366151.26851314</v>
      </c>
    </row>
    <row r="2939" spans="1:4">
      <c r="A2939" s="348">
        <f t="shared" si="92"/>
        <v>2938</v>
      </c>
      <c r="B2939" s="360">
        <f>DATE('Profit Calculation'!J$6,A$2,A$2+A2939-1)</f>
        <v>44942</v>
      </c>
      <c r="D2939" s="362">
        <f t="shared" ca="1" si="91"/>
        <v>228453611.56521028</v>
      </c>
    </row>
    <row r="2940" spans="1:4">
      <c r="A2940" s="348">
        <f t="shared" si="92"/>
        <v>2939</v>
      </c>
      <c r="B2940" s="360">
        <f>DATE('Profit Calculation'!J$6,A$2,A$2+A2940-1)</f>
        <v>44943</v>
      </c>
      <c r="D2940" s="362">
        <f t="shared" ca="1" si="91"/>
        <v>228541105.35769239</v>
      </c>
    </row>
    <row r="2941" spans="1:4">
      <c r="A2941" s="348">
        <f t="shared" si="92"/>
        <v>2940</v>
      </c>
      <c r="B2941" s="360">
        <f>DATE('Profit Calculation'!J$6,A$2,A$2+A2941-1)</f>
        <v>44944</v>
      </c>
      <c r="D2941" s="362">
        <f t="shared" ca="1" si="91"/>
        <v>228628632.65878779</v>
      </c>
    </row>
    <row r="2942" spans="1:4">
      <c r="A2942" s="348">
        <f t="shared" si="92"/>
        <v>2941</v>
      </c>
      <c r="B2942" s="360">
        <f>DATE('Profit Calculation'!J$6,A$2,A$2+A2942-1)</f>
        <v>44945</v>
      </c>
      <c r="D2942" s="362">
        <f t="shared" ca="1" si="91"/>
        <v>228716193.48132968</v>
      </c>
    </row>
    <row r="2943" spans="1:4">
      <c r="A2943" s="348">
        <f t="shared" si="92"/>
        <v>2942</v>
      </c>
      <c r="B2943" s="360">
        <f>DATE('Profit Calculation'!J$6,A$2,A$2+A2943-1)</f>
        <v>44946</v>
      </c>
      <c r="D2943" s="362">
        <f t="shared" ca="1" si="91"/>
        <v>228803787.83815622</v>
      </c>
    </row>
    <row r="2944" spans="1:4">
      <c r="A2944" s="348">
        <f t="shared" si="92"/>
        <v>2943</v>
      </c>
      <c r="B2944" s="360">
        <f>DATE('Profit Calculation'!J$6,A$2,A$2+A2944-1)</f>
        <v>44947</v>
      </c>
      <c r="D2944" s="362">
        <f t="shared" ca="1" si="91"/>
        <v>228891415.74211046</v>
      </c>
    </row>
    <row r="2945" spans="1:4">
      <c r="A2945" s="348">
        <f t="shared" si="92"/>
        <v>2944</v>
      </c>
      <c r="B2945" s="360">
        <f>DATE('Profit Calculation'!J$6,A$2,A$2+A2945-1)</f>
        <v>44948</v>
      </c>
      <c r="D2945" s="362">
        <f t="shared" ca="1" si="91"/>
        <v>228979077.20604035</v>
      </c>
    </row>
    <row r="2946" spans="1:4">
      <c r="A2946" s="348">
        <f t="shared" si="92"/>
        <v>2945</v>
      </c>
      <c r="B2946" s="360">
        <f>DATE('Profit Calculation'!J$6,A$2,A$2+A2946-1)</f>
        <v>44949</v>
      </c>
      <c r="D2946" s="362">
        <f t="shared" ca="1" si="91"/>
        <v>229066772.24279881</v>
      </c>
    </row>
    <row r="2947" spans="1:4">
      <c r="A2947" s="348">
        <f t="shared" si="92"/>
        <v>2946</v>
      </c>
      <c r="B2947" s="360">
        <f>DATE('Profit Calculation'!J$6,A$2,A$2+A2947-1)</f>
        <v>44950</v>
      </c>
      <c r="D2947" s="362">
        <f t="shared" ca="1" si="91"/>
        <v>229154500.86524361</v>
      </c>
    </row>
    <row r="2948" spans="1:4">
      <c r="A2948" s="348">
        <f t="shared" si="92"/>
        <v>2947</v>
      </c>
      <c r="B2948" s="360">
        <f>DATE('Profit Calculation'!J$6,A$2,A$2+A2948-1)</f>
        <v>44951</v>
      </c>
      <c r="D2948" s="362">
        <f t="shared" ref="D2948:D3011" ca="1" si="93">IF(OR(LOOKUP(B2948,W$1:W$35,W$1:W$35) = B2948, LOOKUP(B2948,X$1:X$35,X$1:X$35) = B2948),LOOKUP(B2948,F:F,G:G),D2947*(1+((IF($Q$18&lt;6,$R$14,IF($Q$18&lt;11,$R$15,$R$16)))))^(1/365))</f>
        <v>229242263.08623755</v>
      </c>
    </row>
    <row r="2949" spans="1:4">
      <c r="A2949" s="348">
        <f t="shared" ref="A2949:A3012" si="94">A2948+1</f>
        <v>2948</v>
      </c>
      <c r="B2949" s="360">
        <f>DATE('Profit Calculation'!J$6,A$2,A$2+A2949-1)</f>
        <v>44952</v>
      </c>
      <c r="D2949" s="362">
        <f t="shared" ca="1" si="93"/>
        <v>229330058.91864824</v>
      </c>
    </row>
    <row r="2950" spans="1:4">
      <c r="A2950" s="348">
        <f t="shared" si="94"/>
        <v>2949</v>
      </c>
      <c r="B2950" s="360">
        <f>DATE('Profit Calculation'!J$6,A$2,A$2+A2950-1)</f>
        <v>44953</v>
      </c>
      <c r="D2950" s="362">
        <f t="shared" ca="1" si="93"/>
        <v>229417888.3753483</v>
      </c>
    </row>
    <row r="2951" spans="1:4">
      <c r="A2951" s="348">
        <f t="shared" si="94"/>
        <v>2950</v>
      </c>
      <c r="B2951" s="360">
        <f>DATE('Profit Calculation'!J$6,A$2,A$2+A2951-1)</f>
        <v>44954</v>
      </c>
      <c r="D2951" s="362">
        <f t="shared" ca="1" si="93"/>
        <v>229505751.46921524</v>
      </c>
    </row>
    <row r="2952" spans="1:4">
      <c r="A2952" s="348">
        <f t="shared" si="94"/>
        <v>2951</v>
      </c>
      <c r="B2952" s="360">
        <f>DATE('Profit Calculation'!J$6,A$2,A$2+A2952-1)</f>
        <v>44955</v>
      </c>
      <c r="D2952" s="362">
        <f t="shared" ca="1" si="93"/>
        <v>229593648.21313155</v>
      </c>
    </row>
    <row r="2953" spans="1:4">
      <c r="A2953" s="348">
        <f t="shared" si="94"/>
        <v>2952</v>
      </c>
      <c r="B2953" s="360">
        <f>DATE('Profit Calculation'!J$6,A$2,A$2+A2953-1)</f>
        <v>44956</v>
      </c>
      <c r="D2953" s="362">
        <f t="shared" ca="1" si="93"/>
        <v>229681578.61998457</v>
      </c>
    </row>
    <row r="2954" spans="1:4">
      <c r="A2954" s="348">
        <f t="shared" si="94"/>
        <v>2953</v>
      </c>
      <c r="B2954" s="360">
        <f>DATE('Profit Calculation'!J$6,A$2,A$2+A2954-1)</f>
        <v>44957</v>
      </c>
      <c r="D2954" s="362">
        <f t="shared" ca="1" si="93"/>
        <v>229769542.70266664</v>
      </c>
    </row>
    <row r="2955" spans="1:4">
      <c r="A2955" s="348">
        <f t="shared" si="94"/>
        <v>2954</v>
      </c>
      <c r="B2955" s="360">
        <f>DATE('Profit Calculation'!J$6,A$2,A$2+A2955-1)</f>
        <v>44958</v>
      </c>
      <c r="D2955" s="362">
        <f t="shared" ca="1" si="93"/>
        <v>229857540.47407505</v>
      </c>
    </row>
    <row r="2956" spans="1:4">
      <c r="A2956" s="348">
        <f t="shared" si="94"/>
        <v>2955</v>
      </c>
      <c r="B2956" s="360">
        <f>DATE('Profit Calculation'!J$6,A$2,A$2+A2956-1)</f>
        <v>44959</v>
      </c>
      <c r="D2956" s="362">
        <f t="shared" ca="1" si="93"/>
        <v>229945571.94711196</v>
      </c>
    </row>
    <row r="2957" spans="1:4">
      <c r="A2957" s="348">
        <f t="shared" si="94"/>
        <v>2956</v>
      </c>
      <c r="B2957" s="360">
        <f>DATE('Profit Calculation'!J$6,A$2,A$2+A2957-1)</f>
        <v>44960</v>
      </c>
      <c r="D2957" s="362">
        <f t="shared" ca="1" si="93"/>
        <v>230033637.13468453</v>
      </c>
    </row>
    <row r="2958" spans="1:4">
      <c r="A2958" s="348">
        <f t="shared" si="94"/>
        <v>2957</v>
      </c>
      <c r="B2958" s="360">
        <f>DATE('Profit Calculation'!J$6,A$2,A$2+A2958-1)</f>
        <v>44961</v>
      </c>
      <c r="D2958" s="362">
        <f t="shared" ca="1" si="93"/>
        <v>230121736.04970485</v>
      </c>
    </row>
    <row r="2959" spans="1:4">
      <c r="A2959" s="348">
        <f t="shared" si="94"/>
        <v>2958</v>
      </c>
      <c r="B2959" s="360">
        <f>DATE('Profit Calculation'!J$6,A$2,A$2+A2959-1)</f>
        <v>44962</v>
      </c>
      <c r="D2959" s="362">
        <f t="shared" ca="1" si="93"/>
        <v>230209868.70508996</v>
      </c>
    </row>
    <row r="2960" spans="1:4">
      <c r="A2960" s="348">
        <f t="shared" si="94"/>
        <v>2959</v>
      </c>
      <c r="B2960" s="360">
        <f>DATE('Profit Calculation'!J$6,A$2,A$2+A2960-1)</f>
        <v>44963</v>
      </c>
      <c r="D2960" s="362">
        <f t="shared" ca="1" si="93"/>
        <v>230298035.11376181</v>
      </c>
    </row>
    <row r="2961" spans="1:4">
      <c r="A2961" s="348">
        <f t="shared" si="94"/>
        <v>2960</v>
      </c>
      <c r="B2961" s="360">
        <f>DATE('Profit Calculation'!J$6,A$2,A$2+A2961-1)</f>
        <v>44964</v>
      </c>
      <c r="D2961" s="362">
        <f t="shared" ca="1" si="93"/>
        <v>230386235.28864735</v>
      </c>
    </row>
    <row r="2962" spans="1:4">
      <c r="A2962" s="348">
        <f t="shared" si="94"/>
        <v>2961</v>
      </c>
      <c r="B2962" s="360">
        <f>DATE('Profit Calculation'!J$6,A$2,A$2+A2962-1)</f>
        <v>44965</v>
      </c>
      <c r="D2962" s="362">
        <f t="shared" ca="1" si="93"/>
        <v>230474469.24267843</v>
      </c>
    </row>
    <row r="2963" spans="1:4">
      <c r="A2963" s="348">
        <f t="shared" si="94"/>
        <v>2962</v>
      </c>
      <c r="B2963" s="360">
        <f>DATE('Profit Calculation'!J$6,A$2,A$2+A2963-1)</f>
        <v>44966</v>
      </c>
      <c r="D2963" s="362">
        <f t="shared" ca="1" si="93"/>
        <v>230562736.98879191</v>
      </c>
    </row>
    <row r="2964" spans="1:4">
      <c r="A2964" s="348">
        <f t="shared" si="94"/>
        <v>2963</v>
      </c>
      <c r="B2964" s="360">
        <f>DATE('Profit Calculation'!J$6,A$2,A$2+A2964-1)</f>
        <v>44967</v>
      </c>
      <c r="D2964" s="362">
        <f t="shared" ca="1" si="93"/>
        <v>230651038.53992957</v>
      </c>
    </row>
    <row r="2965" spans="1:4">
      <c r="A2965" s="348">
        <f t="shared" si="94"/>
        <v>2964</v>
      </c>
      <c r="B2965" s="360">
        <f>DATE('Profit Calculation'!J$6,A$2,A$2+A2965-1)</f>
        <v>44968</v>
      </c>
      <c r="D2965" s="362">
        <f t="shared" ca="1" si="93"/>
        <v>230739373.90903813</v>
      </c>
    </row>
    <row r="2966" spans="1:4">
      <c r="A2966" s="348">
        <f t="shared" si="94"/>
        <v>2965</v>
      </c>
      <c r="B2966" s="360">
        <f>DATE('Profit Calculation'!J$6,A$2,A$2+A2966-1)</f>
        <v>44969</v>
      </c>
      <c r="D2966" s="362">
        <f t="shared" ca="1" si="93"/>
        <v>230827743.10906932</v>
      </c>
    </row>
    <row r="2967" spans="1:4">
      <c r="A2967" s="348">
        <f t="shared" si="94"/>
        <v>2966</v>
      </c>
      <c r="B2967" s="360">
        <f>DATE('Profit Calculation'!J$6,A$2,A$2+A2967-1)</f>
        <v>44970</v>
      </c>
      <c r="D2967" s="362">
        <f t="shared" ca="1" si="93"/>
        <v>230916146.15297976</v>
      </c>
    </row>
    <row r="2968" spans="1:4">
      <c r="A2968" s="348">
        <f t="shared" si="94"/>
        <v>2967</v>
      </c>
      <c r="B2968" s="360">
        <f>DATE('Profit Calculation'!J$6,A$2,A$2+A2968-1)</f>
        <v>44971</v>
      </c>
      <c r="D2968" s="362">
        <f t="shared" ca="1" si="93"/>
        <v>231004583.05373111</v>
      </c>
    </row>
    <row r="2969" spans="1:4">
      <c r="A2969" s="348">
        <f t="shared" si="94"/>
        <v>2968</v>
      </c>
      <c r="B2969" s="360">
        <f>DATE('Profit Calculation'!J$6,A$2,A$2+A2969-1)</f>
        <v>44972</v>
      </c>
      <c r="D2969" s="362">
        <f t="shared" ca="1" si="93"/>
        <v>231093053.82428995</v>
      </c>
    </row>
    <row r="2970" spans="1:4">
      <c r="A2970" s="348">
        <f t="shared" si="94"/>
        <v>2969</v>
      </c>
      <c r="B2970" s="360">
        <f>DATE('Profit Calculation'!J$6,A$2,A$2+A2970-1)</f>
        <v>44973</v>
      </c>
      <c r="D2970" s="362">
        <f t="shared" ca="1" si="93"/>
        <v>231181558.47762781</v>
      </c>
    </row>
    <row r="2971" spans="1:4">
      <c r="A2971" s="348">
        <f t="shared" si="94"/>
        <v>2970</v>
      </c>
      <c r="B2971" s="360">
        <f>DATE('Profit Calculation'!J$6,A$2,A$2+A2971-1)</f>
        <v>44974</v>
      </c>
      <c r="D2971" s="362">
        <f t="shared" ca="1" si="93"/>
        <v>231270097.02672124</v>
      </c>
    </row>
    <row r="2972" spans="1:4">
      <c r="A2972" s="348">
        <f t="shared" si="94"/>
        <v>2971</v>
      </c>
      <c r="B2972" s="360">
        <f>DATE('Profit Calculation'!J$6,A$2,A$2+A2972-1)</f>
        <v>44975</v>
      </c>
      <c r="D2972" s="362">
        <f t="shared" ca="1" si="93"/>
        <v>231358669.4845517</v>
      </c>
    </row>
    <row r="2973" spans="1:4">
      <c r="A2973" s="348">
        <f t="shared" si="94"/>
        <v>2972</v>
      </c>
      <c r="B2973" s="360">
        <f>DATE('Profit Calculation'!J$6,A$2,A$2+A2973-1)</f>
        <v>44976</v>
      </c>
      <c r="D2973" s="362">
        <f t="shared" ca="1" si="93"/>
        <v>231447275.86410567</v>
      </c>
    </row>
    <row r="2974" spans="1:4">
      <c r="A2974" s="348">
        <f t="shared" si="94"/>
        <v>2973</v>
      </c>
      <c r="B2974" s="360">
        <f>DATE('Profit Calculation'!J$6,A$2,A$2+A2974-1)</f>
        <v>44977</v>
      </c>
      <c r="D2974" s="362">
        <f t="shared" ca="1" si="93"/>
        <v>231535916.17837459</v>
      </c>
    </row>
    <row r="2975" spans="1:4">
      <c r="A2975" s="348">
        <f t="shared" si="94"/>
        <v>2974</v>
      </c>
      <c r="B2975" s="360">
        <f>DATE('Profit Calculation'!J$6,A$2,A$2+A2975-1)</f>
        <v>44978</v>
      </c>
      <c r="D2975" s="362">
        <f t="shared" ca="1" si="93"/>
        <v>231624590.44035485</v>
      </c>
    </row>
    <row r="2976" spans="1:4">
      <c r="A2976" s="348">
        <f t="shared" si="94"/>
        <v>2975</v>
      </c>
      <c r="B2976" s="360">
        <f>DATE('Profit Calculation'!J$6,A$2,A$2+A2976-1)</f>
        <v>44979</v>
      </c>
      <c r="D2976" s="362">
        <f t="shared" ca="1" si="93"/>
        <v>231713298.66304785</v>
      </c>
    </row>
    <row r="2977" spans="1:4">
      <c r="A2977" s="348">
        <f t="shared" si="94"/>
        <v>2976</v>
      </c>
      <c r="B2977" s="360">
        <f>DATE('Profit Calculation'!J$6,A$2,A$2+A2977-1)</f>
        <v>44980</v>
      </c>
      <c r="D2977" s="362">
        <f t="shared" ca="1" si="93"/>
        <v>231802040.85945994</v>
      </c>
    </row>
    <row r="2978" spans="1:4">
      <c r="A2978" s="348">
        <f t="shared" si="94"/>
        <v>2977</v>
      </c>
      <c r="B2978" s="360">
        <f>DATE('Profit Calculation'!J$6,A$2,A$2+A2978-1)</f>
        <v>44981</v>
      </c>
      <c r="D2978" s="362">
        <f t="shared" ca="1" si="93"/>
        <v>231890817.04260248</v>
      </c>
    </row>
    <row r="2979" spans="1:4">
      <c r="A2979" s="348">
        <f t="shared" si="94"/>
        <v>2978</v>
      </c>
      <c r="B2979" s="360">
        <f>DATE('Profit Calculation'!J$6,A$2,A$2+A2979-1)</f>
        <v>44982</v>
      </c>
      <c r="D2979" s="362">
        <f t="shared" ca="1" si="93"/>
        <v>231979627.22549182</v>
      </c>
    </row>
    <row r="2980" spans="1:4">
      <c r="A2980" s="348">
        <f t="shared" si="94"/>
        <v>2979</v>
      </c>
      <c r="B2980" s="360">
        <f>DATE('Profit Calculation'!J$6,A$2,A$2+A2980-1)</f>
        <v>44983</v>
      </c>
      <c r="D2980" s="362">
        <f t="shared" ca="1" si="93"/>
        <v>232068471.42114925</v>
      </c>
    </row>
    <row r="2981" spans="1:4">
      <c r="A2981" s="348">
        <f t="shared" si="94"/>
        <v>2980</v>
      </c>
      <c r="B2981" s="360">
        <f>DATE('Profit Calculation'!J$6,A$2,A$2+A2981-1)</f>
        <v>44984</v>
      </c>
      <c r="D2981" s="362">
        <f t="shared" ca="1" si="93"/>
        <v>232157349.6426011</v>
      </c>
    </row>
    <row r="2982" spans="1:4">
      <c r="A2982" s="348">
        <f t="shared" si="94"/>
        <v>2981</v>
      </c>
      <c r="B2982" s="360">
        <f>DATE('Profit Calculation'!J$6,A$2,A$2+A2982-1)</f>
        <v>44985</v>
      </c>
      <c r="D2982" s="362">
        <f t="shared" ca="1" si="93"/>
        <v>232246261.90287864</v>
      </c>
    </row>
    <row r="2983" spans="1:4">
      <c r="A2983" s="348">
        <f t="shared" si="94"/>
        <v>2982</v>
      </c>
      <c r="B2983" s="360">
        <f>DATE('Profit Calculation'!J$6,A$2,A$2+A2983-1)</f>
        <v>44986</v>
      </c>
      <c r="D2983" s="362">
        <f t="shared" ca="1" si="93"/>
        <v>232335208.21501815</v>
      </c>
    </row>
    <row r="2984" spans="1:4">
      <c r="A2984" s="348">
        <f t="shared" si="94"/>
        <v>2983</v>
      </c>
      <c r="B2984" s="360">
        <f>DATE('Profit Calculation'!J$6,A$2,A$2+A2984-1)</f>
        <v>44987</v>
      </c>
      <c r="D2984" s="362">
        <f t="shared" ca="1" si="93"/>
        <v>232424188.59206092</v>
      </c>
    </row>
    <row r="2985" spans="1:4">
      <c r="A2985" s="348">
        <f t="shared" si="94"/>
        <v>2984</v>
      </c>
      <c r="B2985" s="360">
        <f>DATE('Profit Calculation'!J$6,A$2,A$2+A2985-1)</f>
        <v>44988</v>
      </c>
      <c r="D2985" s="362">
        <f t="shared" ca="1" si="93"/>
        <v>232513203.04705322</v>
      </c>
    </row>
    <row r="2986" spans="1:4">
      <c r="A2986" s="348">
        <f t="shared" si="94"/>
        <v>2985</v>
      </c>
      <c r="B2986" s="360">
        <f>DATE('Profit Calculation'!J$6,A$2,A$2+A2986-1)</f>
        <v>44989</v>
      </c>
      <c r="D2986" s="362">
        <f t="shared" ca="1" si="93"/>
        <v>232602251.59304631</v>
      </c>
    </row>
    <row r="2987" spans="1:4">
      <c r="A2987" s="348">
        <f t="shared" si="94"/>
        <v>2986</v>
      </c>
      <c r="B2987" s="360">
        <f>DATE('Profit Calculation'!J$6,A$2,A$2+A2987-1)</f>
        <v>44990</v>
      </c>
      <c r="D2987" s="362">
        <f t="shared" ca="1" si="93"/>
        <v>232691334.24309644</v>
      </c>
    </row>
    <row r="2988" spans="1:4">
      <c r="A2988" s="348">
        <f t="shared" si="94"/>
        <v>2987</v>
      </c>
      <c r="B2988" s="360">
        <f>DATE('Profit Calculation'!J$6,A$2,A$2+A2988-1)</f>
        <v>44991</v>
      </c>
      <c r="D2988" s="362">
        <f t="shared" ca="1" si="93"/>
        <v>232780451.0102649</v>
      </c>
    </row>
    <row r="2989" spans="1:4">
      <c r="A2989" s="348">
        <f t="shared" si="94"/>
        <v>2988</v>
      </c>
      <c r="B2989" s="360">
        <f>DATE('Profit Calculation'!J$6,A$2,A$2+A2989-1)</f>
        <v>44992</v>
      </c>
      <c r="D2989" s="362">
        <f t="shared" ca="1" si="93"/>
        <v>232869601.90761796</v>
      </c>
    </row>
    <row r="2990" spans="1:4">
      <c r="A2990" s="348">
        <f t="shared" si="94"/>
        <v>2989</v>
      </c>
      <c r="B2990" s="360">
        <f>DATE('Profit Calculation'!J$6,A$2,A$2+A2990-1)</f>
        <v>44993</v>
      </c>
      <c r="D2990" s="362">
        <f t="shared" ca="1" si="93"/>
        <v>232958786.94822687</v>
      </c>
    </row>
    <row r="2991" spans="1:4">
      <c r="A2991" s="348">
        <f t="shared" si="94"/>
        <v>2990</v>
      </c>
      <c r="B2991" s="360">
        <f>DATE('Profit Calculation'!J$6,A$2,A$2+A2991-1)</f>
        <v>44994</v>
      </c>
      <c r="D2991" s="362">
        <f t="shared" ca="1" si="93"/>
        <v>233048006.14516795</v>
      </c>
    </row>
    <row r="2992" spans="1:4">
      <c r="A2992" s="348">
        <f t="shared" si="94"/>
        <v>2991</v>
      </c>
      <c r="B2992" s="360">
        <f>DATE('Profit Calculation'!J$6,A$2,A$2+A2992-1)</f>
        <v>44995</v>
      </c>
      <c r="D2992" s="362">
        <f t="shared" ca="1" si="93"/>
        <v>233137259.51152244</v>
      </c>
    </row>
    <row r="2993" spans="1:4">
      <c r="A2993" s="348">
        <f t="shared" si="94"/>
        <v>2992</v>
      </c>
      <c r="B2993" s="360">
        <f>DATE('Profit Calculation'!J$6,A$2,A$2+A2993-1)</f>
        <v>44996</v>
      </c>
      <c r="D2993" s="362">
        <f t="shared" ca="1" si="93"/>
        <v>233226547.06037667</v>
      </c>
    </row>
    <row r="2994" spans="1:4">
      <c r="A2994" s="348">
        <f t="shared" si="94"/>
        <v>2993</v>
      </c>
      <c r="B2994" s="360">
        <f>DATE('Profit Calculation'!J$6,A$2,A$2+A2994-1)</f>
        <v>44997</v>
      </c>
      <c r="D2994" s="362">
        <f t="shared" ca="1" si="93"/>
        <v>233315868.80482191</v>
      </c>
    </row>
    <row r="2995" spans="1:4">
      <c r="A2995" s="348">
        <f t="shared" si="94"/>
        <v>2994</v>
      </c>
      <c r="B2995" s="360">
        <f>DATE('Profit Calculation'!J$6,A$2,A$2+A2995-1)</f>
        <v>44998</v>
      </c>
      <c r="D2995" s="362">
        <f t="shared" ca="1" si="93"/>
        <v>233405224.75795451</v>
      </c>
    </row>
    <row r="2996" spans="1:4">
      <c r="A2996" s="348">
        <f t="shared" si="94"/>
        <v>2995</v>
      </c>
      <c r="B2996" s="360">
        <f>DATE('Profit Calculation'!J$6,A$2,A$2+A2996-1)</f>
        <v>44999</v>
      </c>
      <c r="D2996" s="362">
        <f t="shared" ca="1" si="93"/>
        <v>233494614.93287581</v>
      </c>
    </row>
    <row r="2997" spans="1:4">
      <c r="A2997" s="348">
        <f t="shared" si="94"/>
        <v>2996</v>
      </c>
      <c r="B2997" s="360">
        <f>DATE('Profit Calculation'!J$6,A$2,A$2+A2997-1)</f>
        <v>45000</v>
      </c>
      <c r="D2997" s="362">
        <f t="shared" ca="1" si="93"/>
        <v>233584039.34269214</v>
      </c>
    </row>
    <row r="2998" spans="1:4">
      <c r="A2998" s="348">
        <f t="shared" si="94"/>
        <v>2997</v>
      </c>
      <c r="B2998" s="360">
        <f>DATE('Profit Calculation'!J$6,A$2,A$2+A2998-1)</f>
        <v>45001</v>
      </c>
      <c r="D2998" s="362">
        <f t="shared" ca="1" si="93"/>
        <v>233673498.00051489</v>
      </c>
    </row>
    <row r="2999" spans="1:4">
      <c r="A2999" s="348">
        <f t="shared" si="94"/>
        <v>2998</v>
      </c>
      <c r="B2999" s="360">
        <f>DATE('Profit Calculation'!J$6,A$2,A$2+A2999-1)</f>
        <v>45002</v>
      </c>
      <c r="D2999" s="362">
        <f t="shared" ca="1" si="93"/>
        <v>233762990.91946048</v>
      </c>
    </row>
    <row r="3000" spans="1:4">
      <c r="A3000" s="348">
        <f t="shared" si="94"/>
        <v>2999</v>
      </c>
      <c r="B3000" s="360">
        <f>DATE('Profit Calculation'!J$6,A$2,A$2+A3000-1)</f>
        <v>45003</v>
      </c>
      <c r="D3000" s="362">
        <f t="shared" ca="1" si="93"/>
        <v>233852518.11265028</v>
      </c>
    </row>
    <row r="3001" spans="1:4">
      <c r="A3001" s="348">
        <f t="shared" si="94"/>
        <v>3000</v>
      </c>
      <c r="B3001" s="360">
        <f>DATE('Profit Calculation'!J$6,A$2,A$2+A3001-1)</f>
        <v>45004</v>
      </c>
      <c r="D3001" s="362">
        <f t="shared" ca="1" si="93"/>
        <v>233942079.59321076</v>
      </c>
    </row>
    <row r="3002" spans="1:4">
      <c r="A3002" s="348">
        <f t="shared" si="94"/>
        <v>3001</v>
      </c>
      <c r="B3002" s="360">
        <f>DATE('Profit Calculation'!J$6,A$2,A$2+A3002-1)</f>
        <v>45005</v>
      </c>
      <c r="D3002" s="362">
        <f t="shared" ca="1" si="93"/>
        <v>234031675.37427339</v>
      </c>
    </row>
    <row r="3003" spans="1:4">
      <c r="A3003" s="348">
        <f t="shared" si="94"/>
        <v>3002</v>
      </c>
      <c r="B3003" s="360">
        <f>DATE('Profit Calculation'!J$6,A$2,A$2+A3003-1)</f>
        <v>45006</v>
      </c>
      <c r="D3003" s="362">
        <f t="shared" ca="1" si="93"/>
        <v>234121305.46897468</v>
      </c>
    </row>
    <row r="3004" spans="1:4">
      <c r="A3004" s="348">
        <f t="shared" si="94"/>
        <v>3003</v>
      </c>
      <c r="B3004" s="360">
        <f>DATE('Profit Calculation'!J$6,A$2,A$2+A3004-1)</f>
        <v>45007</v>
      </c>
      <c r="D3004" s="362">
        <f t="shared" ca="1" si="93"/>
        <v>234210969.89045614</v>
      </c>
    </row>
    <row r="3005" spans="1:4">
      <c r="A3005" s="348">
        <f t="shared" si="94"/>
        <v>3004</v>
      </c>
      <c r="B3005" s="360">
        <f>DATE('Profit Calculation'!J$6,A$2,A$2+A3005-1)</f>
        <v>45008</v>
      </c>
      <c r="D3005" s="362">
        <f t="shared" ca="1" si="93"/>
        <v>234300668.65186435</v>
      </c>
    </row>
    <row r="3006" spans="1:4">
      <c r="A3006" s="348">
        <f t="shared" si="94"/>
        <v>3005</v>
      </c>
      <c r="B3006" s="360">
        <f>DATE('Profit Calculation'!J$6,A$2,A$2+A3006-1)</f>
        <v>45009</v>
      </c>
      <c r="D3006" s="362">
        <f t="shared" ca="1" si="93"/>
        <v>234390401.7663509</v>
      </c>
    </row>
    <row r="3007" spans="1:4">
      <c r="A3007" s="348">
        <f t="shared" si="94"/>
        <v>3006</v>
      </c>
      <c r="B3007" s="360">
        <f>DATE('Profit Calculation'!J$6,A$2,A$2+A3007-1)</f>
        <v>45010</v>
      </c>
      <c r="D3007" s="362">
        <f t="shared" ca="1" si="93"/>
        <v>234480169.24707243</v>
      </c>
    </row>
    <row r="3008" spans="1:4">
      <c r="A3008" s="348">
        <f t="shared" si="94"/>
        <v>3007</v>
      </c>
      <c r="B3008" s="360">
        <f>DATE('Profit Calculation'!J$6,A$2,A$2+A3008-1)</f>
        <v>45011</v>
      </c>
      <c r="D3008" s="362">
        <f t="shared" ca="1" si="93"/>
        <v>234569971.10719064</v>
      </c>
    </row>
    <row r="3009" spans="1:4">
      <c r="A3009" s="348">
        <f t="shared" si="94"/>
        <v>3008</v>
      </c>
      <c r="B3009" s="360">
        <f>DATE('Profit Calculation'!J$6,A$2,A$2+A3009-1)</f>
        <v>45012</v>
      </c>
      <c r="D3009" s="362">
        <f t="shared" ca="1" si="93"/>
        <v>234659807.35987222</v>
      </c>
    </row>
    <row r="3010" spans="1:4">
      <c r="A3010" s="348">
        <f t="shared" si="94"/>
        <v>3009</v>
      </c>
      <c r="B3010" s="360">
        <f>DATE('Profit Calculation'!J$6,A$2,A$2+A3010-1)</f>
        <v>45013</v>
      </c>
      <c r="D3010" s="362">
        <f t="shared" ca="1" si="93"/>
        <v>234749678.01828891</v>
      </c>
    </row>
    <row r="3011" spans="1:4">
      <c r="A3011" s="348">
        <f t="shared" si="94"/>
        <v>3010</v>
      </c>
      <c r="B3011" s="360">
        <f>DATE('Profit Calculation'!J$6,A$2,A$2+A3011-1)</f>
        <v>45014</v>
      </c>
      <c r="D3011" s="362">
        <f t="shared" ca="1" si="93"/>
        <v>234839583.09561753</v>
      </c>
    </row>
    <row r="3012" spans="1:4">
      <c r="A3012" s="348">
        <f t="shared" si="94"/>
        <v>3011</v>
      </c>
      <c r="B3012" s="360">
        <f>DATE('Profit Calculation'!J$6,A$2,A$2+A3012-1)</f>
        <v>45015</v>
      </c>
      <c r="D3012" s="362">
        <f t="shared" ref="D3012:D3075" ca="1" si="95">IF(OR(LOOKUP(B3012,W$1:W$35,W$1:W$35) = B3012, LOOKUP(B3012,X$1:X$35,X$1:X$35) = B3012),LOOKUP(B3012,F:F,G:G),D3011*(1+((IF($Q$18&lt;6,$R$14,IF($Q$18&lt;11,$R$15,$R$16)))))^(1/365))</f>
        <v>234929522.60503995</v>
      </c>
    </row>
    <row r="3013" spans="1:4">
      <c r="A3013" s="348">
        <f t="shared" ref="A3013:A3076" si="96">A3012+1</f>
        <v>3012</v>
      </c>
      <c r="B3013" s="360">
        <f>DATE('Profit Calculation'!J$6,A$2,A$2+A3013-1)</f>
        <v>45016</v>
      </c>
      <c r="D3013" s="362">
        <f t="shared" ca="1" si="95"/>
        <v>235019496.55974305</v>
      </c>
    </row>
    <row r="3014" spans="1:4">
      <c r="A3014" s="348">
        <f t="shared" si="96"/>
        <v>3013</v>
      </c>
      <c r="B3014" s="360">
        <f>DATE('Profit Calculation'!J$6,A$2,A$2+A3014-1)</f>
        <v>45017</v>
      </c>
      <c r="D3014" s="362">
        <f t="shared" ca="1" si="95"/>
        <v>226957300</v>
      </c>
    </row>
    <row r="3015" spans="1:4">
      <c r="A3015" s="348">
        <f t="shared" si="96"/>
        <v>3014</v>
      </c>
      <c r="B3015" s="360">
        <f>DATE('Profit Calculation'!J$6,A$2,A$2+A3015-1)</f>
        <v>45018</v>
      </c>
      <c r="D3015" s="362">
        <f t="shared" ca="1" si="95"/>
        <v>227044220.7309635</v>
      </c>
    </row>
    <row r="3016" spans="1:4">
      <c r="A3016" s="348">
        <f t="shared" si="96"/>
        <v>3015</v>
      </c>
      <c r="B3016" s="360">
        <f>DATE('Profit Calculation'!J$6,A$2,A$2+A3016-1)</f>
        <v>45019</v>
      </c>
      <c r="D3016" s="362">
        <f t="shared" ca="1" si="95"/>
        <v>227131174.75106761</v>
      </c>
    </row>
    <row r="3017" spans="1:4">
      <c r="A3017" s="348">
        <f t="shared" si="96"/>
        <v>3016</v>
      </c>
      <c r="B3017" s="360">
        <f>DATE('Profit Calculation'!J$6,A$2,A$2+A3017-1)</f>
        <v>45020</v>
      </c>
      <c r="D3017" s="362">
        <f t="shared" ca="1" si="95"/>
        <v>227218162.0730615</v>
      </c>
    </row>
    <row r="3018" spans="1:4">
      <c r="A3018" s="348">
        <f t="shared" si="96"/>
        <v>3017</v>
      </c>
      <c r="B3018" s="360">
        <f>DATE('Profit Calculation'!J$6,A$2,A$2+A3018-1)</f>
        <v>45021</v>
      </c>
      <c r="D3018" s="362">
        <f t="shared" ca="1" si="95"/>
        <v>227305182.70969921</v>
      </c>
    </row>
    <row r="3019" spans="1:4">
      <c r="A3019" s="348">
        <f t="shared" si="96"/>
        <v>3018</v>
      </c>
      <c r="B3019" s="360">
        <f>DATE('Profit Calculation'!J$6,A$2,A$2+A3019-1)</f>
        <v>45022</v>
      </c>
      <c r="D3019" s="362">
        <f t="shared" ca="1" si="95"/>
        <v>227392236.67373967</v>
      </c>
    </row>
    <row r="3020" spans="1:4">
      <c r="A3020" s="348">
        <f t="shared" si="96"/>
        <v>3019</v>
      </c>
      <c r="B3020" s="360">
        <f>DATE('Profit Calculation'!J$6,A$2,A$2+A3020-1)</f>
        <v>45023</v>
      </c>
      <c r="D3020" s="362">
        <f t="shared" ca="1" si="95"/>
        <v>227479323.97794673</v>
      </c>
    </row>
    <row r="3021" spans="1:4">
      <c r="A3021" s="348">
        <f t="shared" si="96"/>
        <v>3020</v>
      </c>
      <c r="B3021" s="360">
        <f>DATE('Profit Calculation'!J$6,A$2,A$2+A3021-1)</f>
        <v>45024</v>
      </c>
      <c r="D3021" s="362">
        <f t="shared" ca="1" si="95"/>
        <v>227566444.63508907</v>
      </c>
    </row>
    <row r="3022" spans="1:4">
      <c r="A3022" s="348">
        <f t="shared" si="96"/>
        <v>3021</v>
      </c>
      <c r="B3022" s="360">
        <f>DATE('Profit Calculation'!J$6,A$2,A$2+A3022-1)</f>
        <v>45025</v>
      </c>
      <c r="D3022" s="362">
        <f t="shared" ca="1" si="95"/>
        <v>227653598.65794027</v>
      </c>
    </row>
    <row r="3023" spans="1:4">
      <c r="A3023" s="348">
        <f t="shared" si="96"/>
        <v>3022</v>
      </c>
      <c r="B3023" s="360">
        <f>DATE('Profit Calculation'!J$6,A$2,A$2+A3023-1)</f>
        <v>45026</v>
      </c>
      <c r="D3023" s="362">
        <f t="shared" ca="1" si="95"/>
        <v>227740786.05927885</v>
      </c>
    </row>
    <row r="3024" spans="1:4">
      <c r="A3024" s="348">
        <f t="shared" si="96"/>
        <v>3023</v>
      </c>
      <c r="B3024" s="360">
        <f>DATE('Profit Calculation'!J$6,A$2,A$2+A3024-1)</f>
        <v>45027</v>
      </c>
      <c r="D3024" s="362">
        <f t="shared" ca="1" si="95"/>
        <v>227828006.85188818</v>
      </c>
    </row>
    <row r="3025" spans="1:4">
      <c r="A3025" s="348">
        <f t="shared" si="96"/>
        <v>3024</v>
      </c>
      <c r="B3025" s="360">
        <f>DATE('Profit Calculation'!J$6,A$2,A$2+A3025-1)</f>
        <v>45028</v>
      </c>
      <c r="D3025" s="362">
        <f t="shared" ca="1" si="95"/>
        <v>227915261.04855657</v>
      </c>
    </row>
    <row r="3026" spans="1:4">
      <c r="A3026" s="348">
        <f t="shared" si="96"/>
        <v>3025</v>
      </c>
      <c r="B3026" s="360">
        <f>DATE('Profit Calculation'!J$6,A$2,A$2+A3026-1)</f>
        <v>45029</v>
      </c>
      <c r="D3026" s="362">
        <f t="shared" ca="1" si="95"/>
        <v>228002548.66207716</v>
      </c>
    </row>
    <row r="3027" spans="1:4">
      <c r="A3027" s="348">
        <f t="shared" si="96"/>
        <v>3026</v>
      </c>
      <c r="B3027" s="360">
        <f>DATE('Profit Calculation'!J$6,A$2,A$2+A3027-1)</f>
        <v>45030</v>
      </c>
      <c r="D3027" s="362">
        <f t="shared" ca="1" si="95"/>
        <v>228089869.70524806</v>
      </c>
    </row>
    <row r="3028" spans="1:4">
      <c r="A3028" s="348">
        <f t="shared" si="96"/>
        <v>3027</v>
      </c>
      <c r="B3028" s="360">
        <f>DATE('Profit Calculation'!J$6,A$2,A$2+A3028-1)</f>
        <v>45031</v>
      </c>
      <c r="D3028" s="362">
        <f t="shared" ca="1" si="95"/>
        <v>228177224.19087222</v>
      </c>
    </row>
    <row r="3029" spans="1:4">
      <c r="A3029" s="348">
        <f t="shared" si="96"/>
        <v>3028</v>
      </c>
      <c r="B3029" s="360">
        <f>DATE('Profit Calculation'!J$6,A$2,A$2+A3029-1)</f>
        <v>45032</v>
      </c>
      <c r="D3029" s="362">
        <f t="shared" ca="1" si="95"/>
        <v>228264612.13175756</v>
      </c>
    </row>
    <row r="3030" spans="1:4">
      <c r="A3030" s="348">
        <f t="shared" si="96"/>
        <v>3029</v>
      </c>
      <c r="B3030" s="360">
        <f>DATE('Profit Calculation'!J$6,A$2,A$2+A3030-1)</f>
        <v>45033</v>
      </c>
      <c r="D3030" s="362">
        <f t="shared" ca="1" si="95"/>
        <v>228352033.54071683</v>
      </c>
    </row>
    <row r="3031" spans="1:4">
      <c r="A3031" s="348">
        <f t="shared" si="96"/>
        <v>3030</v>
      </c>
      <c r="B3031" s="360">
        <f>DATE('Profit Calculation'!J$6,A$2,A$2+A3031-1)</f>
        <v>45034</v>
      </c>
      <c r="D3031" s="362">
        <f t="shared" ca="1" si="95"/>
        <v>228439488.43056774</v>
      </c>
    </row>
    <row r="3032" spans="1:4">
      <c r="A3032" s="348">
        <f t="shared" si="96"/>
        <v>3031</v>
      </c>
      <c r="B3032" s="360">
        <f>DATE('Profit Calculation'!J$6,A$2,A$2+A3032-1)</f>
        <v>45035</v>
      </c>
      <c r="D3032" s="362">
        <f t="shared" ca="1" si="95"/>
        <v>228526976.8141329</v>
      </c>
    </row>
    <row r="3033" spans="1:4">
      <c r="A3033" s="348">
        <f t="shared" si="96"/>
        <v>3032</v>
      </c>
      <c r="B3033" s="360">
        <f>DATE('Profit Calculation'!J$6,A$2,A$2+A3033-1)</f>
        <v>45036</v>
      </c>
      <c r="D3033" s="362">
        <f t="shared" ca="1" si="95"/>
        <v>228614498.70423982</v>
      </c>
    </row>
    <row r="3034" spans="1:4">
      <c r="A3034" s="348">
        <f t="shared" si="96"/>
        <v>3033</v>
      </c>
      <c r="B3034" s="360">
        <f>DATE('Profit Calculation'!J$6,A$2,A$2+A3034-1)</f>
        <v>45037</v>
      </c>
      <c r="D3034" s="362">
        <f t="shared" ca="1" si="95"/>
        <v>228702054.11372092</v>
      </c>
    </row>
    <row r="3035" spans="1:4">
      <c r="A3035" s="348">
        <f t="shared" si="96"/>
        <v>3034</v>
      </c>
      <c r="B3035" s="360">
        <f>DATE('Profit Calculation'!J$6,A$2,A$2+A3035-1)</f>
        <v>45038</v>
      </c>
      <c r="D3035" s="362">
        <f t="shared" ca="1" si="95"/>
        <v>228789643.05541357</v>
      </c>
    </row>
    <row r="3036" spans="1:4">
      <c r="A3036" s="348">
        <f t="shared" si="96"/>
        <v>3035</v>
      </c>
      <c r="B3036" s="360">
        <f>DATE('Profit Calculation'!J$6,A$2,A$2+A3036-1)</f>
        <v>45039</v>
      </c>
      <c r="D3036" s="362">
        <f t="shared" ca="1" si="95"/>
        <v>228877265.54216</v>
      </c>
    </row>
    <row r="3037" spans="1:4">
      <c r="A3037" s="348">
        <f t="shared" si="96"/>
        <v>3036</v>
      </c>
      <c r="B3037" s="360">
        <f>DATE('Profit Calculation'!J$6,A$2,A$2+A3037-1)</f>
        <v>45040</v>
      </c>
      <c r="D3037" s="362">
        <f t="shared" ca="1" si="95"/>
        <v>228964921.5868074</v>
      </c>
    </row>
    <row r="3038" spans="1:4">
      <c r="A3038" s="348">
        <f t="shared" si="96"/>
        <v>3037</v>
      </c>
      <c r="B3038" s="360">
        <f>DATE('Profit Calculation'!J$6,A$2,A$2+A3038-1)</f>
        <v>45041</v>
      </c>
      <c r="D3038" s="362">
        <f t="shared" ca="1" si="95"/>
        <v>229052611.20220786</v>
      </c>
    </row>
    <row r="3039" spans="1:4">
      <c r="A3039" s="348">
        <f t="shared" si="96"/>
        <v>3038</v>
      </c>
      <c r="B3039" s="360">
        <f>DATE('Profit Calculation'!J$6,A$2,A$2+A3039-1)</f>
        <v>45042</v>
      </c>
      <c r="D3039" s="362">
        <f t="shared" ca="1" si="95"/>
        <v>229140334.40121841</v>
      </c>
    </row>
    <row r="3040" spans="1:4">
      <c r="A3040" s="348">
        <f t="shared" si="96"/>
        <v>3039</v>
      </c>
      <c r="B3040" s="360">
        <f>DATE('Profit Calculation'!J$6,A$2,A$2+A3040-1)</f>
        <v>45043</v>
      </c>
      <c r="D3040" s="362">
        <f t="shared" ca="1" si="95"/>
        <v>229228091.19670099</v>
      </c>
    </row>
    <row r="3041" spans="1:4">
      <c r="A3041" s="348">
        <f t="shared" si="96"/>
        <v>3040</v>
      </c>
      <c r="B3041" s="360">
        <f>DATE('Profit Calculation'!J$6,A$2,A$2+A3041-1)</f>
        <v>45044</v>
      </c>
      <c r="D3041" s="362">
        <f t="shared" ca="1" si="95"/>
        <v>229315881.60152245</v>
      </c>
    </row>
    <row r="3042" spans="1:4">
      <c r="A3042" s="348">
        <f t="shared" si="96"/>
        <v>3041</v>
      </c>
      <c r="B3042" s="360">
        <f>DATE('Profit Calculation'!J$6,A$2,A$2+A3042-1)</f>
        <v>45045</v>
      </c>
      <c r="D3042" s="362">
        <f t="shared" ca="1" si="95"/>
        <v>229403705.62855461</v>
      </c>
    </row>
    <row r="3043" spans="1:4">
      <c r="A3043" s="348">
        <f t="shared" si="96"/>
        <v>3042</v>
      </c>
      <c r="B3043" s="360">
        <f>DATE('Profit Calculation'!J$6,A$2,A$2+A3043-1)</f>
        <v>45046</v>
      </c>
      <c r="D3043" s="362">
        <f t="shared" ca="1" si="95"/>
        <v>229491563.29067418</v>
      </c>
    </row>
    <row r="3044" spans="1:4">
      <c r="A3044" s="348">
        <f t="shared" si="96"/>
        <v>3043</v>
      </c>
      <c r="B3044" s="360">
        <f>DATE('Profit Calculation'!J$6,A$2,A$2+A3044-1)</f>
        <v>45047</v>
      </c>
      <c r="D3044" s="362">
        <f t="shared" ca="1" si="95"/>
        <v>229579454.60076284</v>
      </c>
    </row>
    <row r="3045" spans="1:4">
      <c r="A3045" s="348">
        <f t="shared" si="96"/>
        <v>3044</v>
      </c>
      <c r="B3045" s="360">
        <f>DATE('Profit Calculation'!J$6,A$2,A$2+A3045-1)</f>
        <v>45048</v>
      </c>
      <c r="D3045" s="362">
        <f t="shared" ca="1" si="95"/>
        <v>229667379.57170716</v>
      </c>
    </row>
    <row r="3046" spans="1:4">
      <c r="A3046" s="348">
        <f t="shared" si="96"/>
        <v>3045</v>
      </c>
      <c r="B3046" s="360">
        <f>DATE('Profit Calculation'!J$6,A$2,A$2+A3046-1)</f>
        <v>45049</v>
      </c>
      <c r="D3046" s="362">
        <f t="shared" ca="1" si="95"/>
        <v>229755338.21639869</v>
      </c>
    </row>
    <row r="3047" spans="1:4">
      <c r="A3047" s="348">
        <f t="shared" si="96"/>
        <v>3046</v>
      </c>
      <c r="B3047" s="360">
        <f>DATE('Profit Calculation'!J$6,A$2,A$2+A3047-1)</f>
        <v>45050</v>
      </c>
      <c r="D3047" s="362">
        <f t="shared" ca="1" si="95"/>
        <v>229843330.54773387</v>
      </c>
    </row>
    <row r="3048" spans="1:4">
      <c r="A3048" s="348">
        <f t="shared" si="96"/>
        <v>3047</v>
      </c>
      <c r="B3048" s="360">
        <f>DATE('Profit Calculation'!J$6,A$2,A$2+A3048-1)</f>
        <v>45051</v>
      </c>
      <c r="D3048" s="362">
        <f t="shared" ca="1" si="95"/>
        <v>229931356.57861412</v>
      </c>
    </row>
    <row r="3049" spans="1:4">
      <c r="A3049" s="348">
        <f t="shared" si="96"/>
        <v>3048</v>
      </c>
      <c r="B3049" s="360">
        <f>DATE('Profit Calculation'!J$6,A$2,A$2+A3049-1)</f>
        <v>45052</v>
      </c>
      <c r="D3049" s="362">
        <f t="shared" ca="1" si="95"/>
        <v>230019416.32194576</v>
      </c>
    </row>
    <row r="3050" spans="1:4">
      <c r="A3050" s="348">
        <f t="shared" si="96"/>
        <v>3049</v>
      </c>
      <c r="B3050" s="360">
        <f>DATE('Profit Calculation'!J$6,A$2,A$2+A3050-1)</f>
        <v>45053</v>
      </c>
      <c r="D3050" s="362">
        <f t="shared" ca="1" si="95"/>
        <v>230107509.79064012</v>
      </c>
    </row>
    <row r="3051" spans="1:4">
      <c r="A3051" s="348">
        <f t="shared" si="96"/>
        <v>3050</v>
      </c>
      <c r="B3051" s="360">
        <f>DATE('Profit Calculation'!J$6,A$2,A$2+A3051-1)</f>
        <v>45054</v>
      </c>
      <c r="D3051" s="362">
        <f t="shared" ca="1" si="95"/>
        <v>230195636.9976134</v>
      </c>
    </row>
    <row r="3052" spans="1:4">
      <c r="A3052" s="348">
        <f t="shared" si="96"/>
        <v>3051</v>
      </c>
      <c r="B3052" s="360">
        <f>DATE('Profit Calculation'!J$6,A$2,A$2+A3052-1)</f>
        <v>45055</v>
      </c>
      <c r="D3052" s="362">
        <f t="shared" ca="1" si="95"/>
        <v>230283797.95578679</v>
      </c>
    </row>
    <row r="3053" spans="1:4">
      <c r="A3053" s="348">
        <f t="shared" si="96"/>
        <v>3052</v>
      </c>
      <c r="B3053" s="360">
        <f>DATE('Profit Calculation'!J$6,A$2,A$2+A3053-1)</f>
        <v>45056</v>
      </c>
      <c r="D3053" s="362">
        <f t="shared" ca="1" si="95"/>
        <v>230371992.6780864</v>
      </c>
    </row>
    <row r="3054" spans="1:4">
      <c r="A3054" s="348">
        <f t="shared" si="96"/>
        <v>3053</v>
      </c>
      <c r="B3054" s="360">
        <f>DATE('Profit Calculation'!J$6,A$2,A$2+A3054-1)</f>
        <v>45057</v>
      </c>
      <c r="D3054" s="362">
        <f t="shared" ca="1" si="95"/>
        <v>230460221.17744333</v>
      </c>
    </row>
    <row r="3055" spans="1:4">
      <c r="A3055" s="348">
        <f t="shared" si="96"/>
        <v>3054</v>
      </c>
      <c r="B3055" s="360">
        <f>DATE('Profit Calculation'!J$6,A$2,A$2+A3055-1)</f>
        <v>45058</v>
      </c>
      <c r="D3055" s="362">
        <f t="shared" ca="1" si="95"/>
        <v>230548483.4667936</v>
      </c>
    </row>
    <row r="3056" spans="1:4">
      <c r="A3056" s="348">
        <f t="shared" si="96"/>
        <v>3055</v>
      </c>
      <c r="B3056" s="360">
        <f>DATE('Profit Calculation'!J$6,A$2,A$2+A3056-1)</f>
        <v>45059</v>
      </c>
      <c r="D3056" s="362">
        <f t="shared" ca="1" si="95"/>
        <v>230636779.55907819</v>
      </c>
    </row>
    <row r="3057" spans="1:4">
      <c r="A3057" s="348">
        <f t="shared" si="96"/>
        <v>3056</v>
      </c>
      <c r="B3057" s="360">
        <f>DATE('Profit Calculation'!J$6,A$2,A$2+A3057-1)</f>
        <v>45060</v>
      </c>
      <c r="D3057" s="362">
        <f t="shared" ca="1" si="95"/>
        <v>230725109.46724305</v>
      </c>
    </row>
    <row r="3058" spans="1:4">
      <c r="A3058" s="348">
        <f t="shared" si="96"/>
        <v>3057</v>
      </c>
      <c r="B3058" s="360">
        <f>DATE('Profit Calculation'!J$6,A$2,A$2+A3058-1)</f>
        <v>45061</v>
      </c>
      <c r="D3058" s="362">
        <f t="shared" ca="1" si="95"/>
        <v>230813473.20423907</v>
      </c>
    </row>
    <row r="3059" spans="1:4">
      <c r="A3059" s="348">
        <f t="shared" si="96"/>
        <v>3058</v>
      </c>
      <c r="B3059" s="360">
        <f>DATE('Profit Calculation'!J$6,A$2,A$2+A3059-1)</f>
        <v>45062</v>
      </c>
      <c r="D3059" s="362">
        <f t="shared" ca="1" si="95"/>
        <v>230901870.78302214</v>
      </c>
    </row>
    <row r="3060" spans="1:4">
      <c r="A3060" s="348">
        <f t="shared" si="96"/>
        <v>3059</v>
      </c>
      <c r="B3060" s="360">
        <f>DATE('Profit Calculation'!J$6,A$2,A$2+A3060-1)</f>
        <v>45063</v>
      </c>
      <c r="D3060" s="362">
        <f t="shared" ca="1" si="95"/>
        <v>230990302.21655303</v>
      </c>
    </row>
    <row r="3061" spans="1:4">
      <c r="A3061" s="348">
        <f t="shared" si="96"/>
        <v>3060</v>
      </c>
      <c r="B3061" s="360">
        <f>DATE('Profit Calculation'!J$6,A$2,A$2+A3061-1)</f>
        <v>45064</v>
      </c>
      <c r="D3061" s="362">
        <f t="shared" ca="1" si="95"/>
        <v>231078767.51779756</v>
      </c>
    </row>
    <row r="3062" spans="1:4">
      <c r="A3062" s="348">
        <f t="shared" si="96"/>
        <v>3061</v>
      </c>
      <c r="B3062" s="360">
        <f>DATE('Profit Calculation'!J$6,A$2,A$2+A3062-1)</f>
        <v>45065</v>
      </c>
      <c r="D3062" s="362">
        <f t="shared" ca="1" si="95"/>
        <v>231167266.69972646</v>
      </c>
    </row>
    <row r="3063" spans="1:4">
      <c r="A3063" s="348">
        <f t="shared" si="96"/>
        <v>3062</v>
      </c>
      <c r="B3063" s="360">
        <f>DATE('Profit Calculation'!J$6,A$2,A$2+A3063-1)</f>
        <v>45066</v>
      </c>
      <c r="D3063" s="362">
        <f t="shared" ca="1" si="95"/>
        <v>231255799.77531546</v>
      </c>
    </row>
    <row r="3064" spans="1:4">
      <c r="A3064" s="348">
        <f t="shared" si="96"/>
        <v>3063</v>
      </c>
      <c r="B3064" s="360">
        <f>DATE('Profit Calculation'!J$6,A$2,A$2+A3064-1)</f>
        <v>45067</v>
      </c>
      <c r="D3064" s="362">
        <f t="shared" ca="1" si="95"/>
        <v>231344366.75754526</v>
      </c>
    </row>
    <row r="3065" spans="1:4">
      <c r="A3065" s="348">
        <f t="shared" si="96"/>
        <v>3064</v>
      </c>
      <c r="B3065" s="360">
        <f>DATE('Profit Calculation'!J$6,A$2,A$2+A3065-1)</f>
        <v>45068</v>
      </c>
      <c r="D3065" s="362">
        <f t="shared" ca="1" si="95"/>
        <v>231432967.65940151</v>
      </c>
    </row>
    <row r="3066" spans="1:4">
      <c r="A3066" s="348">
        <f t="shared" si="96"/>
        <v>3065</v>
      </c>
      <c r="B3066" s="360">
        <f>DATE('Profit Calculation'!J$6,A$2,A$2+A3066-1)</f>
        <v>45069</v>
      </c>
      <c r="D3066" s="362">
        <f t="shared" ca="1" si="95"/>
        <v>231521602.49387482</v>
      </c>
    </row>
    <row r="3067" spans="1:4">
      <c r="A3067" s="348">
        <f t="shared" si="96"/>
        <v>3066</v>
      </c>
      <c r="B3067" s="360">
        <f>DATE('Profit Calculation'!J$6,A$2,A$2+A3067-1)</f>
        <v>45070</v>
      </c>
      <c r="D3067" s="362">
        <f t="shared" ca="1" si="95"/>
        <v>231610271.2739608</v>
      </c>
    </row>
    <row r="3068" spans="1:4">
      <c r="A3068" s="348">
        <f t="shared" si="96"/>
        <v>3067</v>
      </c>
      <c r="B3068" s="360">
        <f>DATE('Profit Calculation'!J$6,A$2,A$2+A3068-1)</f>
        <v>45071</v>
      </c>
      <c r="D3068" s="362">
        <f t="shared" ca="1" si="95"/>
        <v>231698974.01266006</v>
      </c>
    </row>
    <row r="3069" spans="1:4">
      <c r="A3069" s="348">
        <f t="shared" si="96"/>
        <v>3068</v>
      </c>
      <c r="B3069" s="360">
        <f>DATE('Profit Calculation'!J$6,A$2,A$2+A3069-1)</f>
        <v>45072</v>
      </c>
      <c r="D3069" s="362">
        <f t="shared" ca="1" si="95"/>
        <v>231787710.72297814</v>
      </c>
    </row>
    <row r="3070" spans="1:4">
      <c r="A3070" s="348">
        <f t="shared" si="96"/>
        <v>3069</v>
      </c>
      <c r="B3070" s="360">
        <f>DATE('Profit Calculation'!J$6,A$2,A$2+A3070-1)</f>
        <v>45073</v>
      </c>
      <c r="D3070" s="362">
        <f t="shared" ca="1" si="95"/>
        <v>231876481.4179256</v>
      </c>
    </row>
    <row r="3071" spans="1:4">
      <c r="A3071" s="348">
        <f t="shared" si="96"/>
        <v>3070</v>
      </c>
      <c r="B3071" s="360">
        <f>DATE('Profit Calculation'!J$6,A$2,A$2+A3071-1)</f>
        <v>45074</v>
      </c>
      <c r="D3071" s="362">
        <f t="shared" ca="1" si="95"/>
        <v>231965286.11051795</v>
      </c>
    </row>
    <row r="3072" spans="1:4">
      <c r="A3072" s="348">
        <f t="shared" si="96"/>
        <v>3071</v>
      </c>
      <c r="B3072" s="360">
        <f>DATE('Profit Calculation'!J$6,A$2,A$2+A3072-1)</f>
        <v>45075</v>
      </c>
      <c r="D3072" s="362">
        <f t="shared" ca="1" si="95"/>
        <v>232054124.81377572</v>
      </c>
    </row>
    <row r="3073" spans="1:4">
      <c r="A3073" s="348">
        <f t="shared" si="96"/>
        <v>3072</v>
      </c>
      <c r="B3073" s="360">
        <f>DATE('Profit Calculation'!J$6,A$2,A$2+A3073-1)</f>
        <v>45076</v>
      </c>
      <c r="D3073" s="362">
        <f t="shared" ca="1" si="95"/>
        <v>232142997.5407244</v>
      </c>
    </row>
    <row r="3074" spans="1:4">
      <c r="A3074" s="348">
        <f t="shared" si="96"/>
        <v>3073</v>
      </c>
      <c r="B3074" s="360">
        <f>DATE('Profit Calculation'!J$6,A$2,A$2+A3074-1)</f>
        <v>45077</v>
      </c>
      <c r="D3074" s="362">
        <f t="shared" ca="1" si="95"/>
        <v>232231904.30439448</v>
      </c>
    </row>
    <row r="3075" spans="1:4">
      <c r="A3075" s="348">
        <f t="shared" si="96"/>
        <v>3074</v>
      </c>
      <c r="B3075" s="360">
        <f>DATE('Profit Calculation'!J$6,A$2,A$2+A3075-1)</f>
        <v>45078</v>
      </c>
      <c r="D3075" s="362">
        <f t="shared" ca="1" si="95"/>
        <v>232320845.11782146</v>
      </c>
    </row>
    <row r="3076" spans="1:4">
      <c r="A3076" s="348">
        <f t="shared" si="96"/>
        <v>3075</v>
      </c>
      <c r="B3076" s="360">
        <f>DATE('Profit Calculation'!J$6,A$2,A$2+A3076-1)</f>
        <v>45079</v>
      </c>
      <c r="D3076" s="362">
        <f t="shared" ref="D3076:D3139" ca="1" si="97">IF(OR(LOOKUP(B3076,W$1:W$35,W$1:W$35) = B3076, LOOKUP(B3076,X$1:X$35,X$1:X$35) = B3076),LOOKUP(B3076,F:F,G:G),D3075*(1+((IF($Q$18&lt;6,$R$14,IF($Q$18&lt;11,$R$15,$R$16)))))^(1/365))</f>
        <v>232409819.99404576</v>
      </c>
    </row>
    <row r="3077" spans="1:4">
      <c r="A3077" s="348">
        <f t="shared" ref="A3077:A3140" si="98">A3076+1</f>
        <v>3076</v>
      </c>
      <c r="B3077" s="360">
        <f>DATE('Profit Calculation'!J$6,A$2,A$2+A3077-1)</f>
        <v>45080</v>
      </c>
      <c r="D3077" s="362">
        <f t="shared" ca="1" si="97"/>
        <v>232498828.94611287</v>
      </c>
    </row>
    <row r="3078" spans="1:4">
      <c r="A3078" s="348">
        <f t="shared" si="98"/>
        <v>3077</v>
      </c>
      <c r="B3078" s="360">
        <f>DATE('Profit Calculation'!J$6,A$2,A$2+A3078-1)</f>
        <v>45081</v>
      </c>
      <c r="D3078" s="362">
        <f t="shared" ca="1" si="97"/>
        <v>232587871.98707324</v>
      </c>
    </row>
    <row r="3079" spans="1:4">
      <c r="A3079" s="348">
        <f t="shared" si="98"/>
        <v>3078</v>
      </c>
      <c r="B3079" s="360">
        <f>DATE('Profit Calculation'!J$6,A$2,A$2+A3079-1)</f>
        <v>45082</v>
      </c>
      <c r="D3079" s="362">
        <f t="shared" ca="1" si="97"/>
        <v>232676949.12998235</v>
      </c>
    </row>
    <row r="3080" spans="1:4">
      <c r="A3080" s="348">
        <f t="shared" si="98"/>
        <v>3079</v>
      </c>
      <c r="B3080" s="360">
        <f>DATE('Profit Calculation'!J$6,A$2,A$2+A3080-1)</f>
        <v>45083</v>
      </c>
      <c r="D3080" s="362">
        <f t="shared" ca="1" si="97"/>
        <v>232766060.38790065</v>
      </c>
    </row>
    <row r="3081" spans="1:4">
      <c r="A3081" s="348">
        <f t="shared" si="98"/>
        <v>3080</v>
      </c>
      <c r="B3081" s="360">
        <f>DATE('Profit Calculation'!J$6,A$2,A$2+A3081-1)</f>
        <v>45084</v>
      </c>
      <c r="D3081" s="362">
        <f t="shared" ca="1" si="97"/>
        <v>232855205.77389359</v>
      </c>
    </row>
    <row r="3082" spans="1:4">
      <c r="A3082" s="348">
        <f t="shared" si="98"/>
        <v>3081</v>
      </c>
      <c r="B3082" s="360">
        <f>DATE('Profit Calculation'!J$6,A$2,A$2+A3082-1)</f>
        <v>45085</v>
      </c>
      <c r="D3082" s="362">
        <f t="shared" ca="1" si="97"/>
        <v>232944385.30103162</v>
      </c>
    </row>
    <row r="3083" spans="1:4">
      <c r="A3083" s="348">
        <f t="shared" si="98"/>
        <v>3082</v>
      </c>
      <c r="B3083" s="360">
        <f>DATE('Profit Calculation'!J$6,A$2,A$2+A3083-1)</f>
        <v>45086</v>
      </c>
      <c r="D3083" s="362">
        <f t="shared" ca="1" si="97"/>
        <v>233033598.98239022</v>
      </c>
    </row>
    <row r="3084" spans="1:4">
      <c r="A3084" s="348">
        <f t="shared" si="98"/>
        <v>3083</v>
      </c>
      <c r="B3084" s="360">
        <f>DATE('Profit Calculation'!J$6,A$2,A$2+A3084-1)</f>
        <v>45087</v>
      </c>
      <c r="D3084" s="362">
        <f t="shared" ca="1" si="97"/>
        <v>233122846.83104989</v>
      </c>
    </row>
    <row r="3085" spans="1:4">
      <c r="A3085" s="348">
        <f t="shared" si="98"/>
        <v>3084</v>
      </c>
      <c r="B3085" s="360">
        <f>DATE('Profit Calculation'!J$6,A$2,A$2+A3085-1)</f>
        <v>45088</v>
      </c>
      <c r="D3085" s="362">
        <f t="shared" ca="1" si="97"/>
        <v>233212128.8600961</v>
      </c>
    </row>
    <row r="3086" spans="1:4">
      <c r="A3086" s="348">
        <f t="shared" si="98"/>
        <v>3085</v>
      </c>
      <c r="B3086" s="360">
        <f>DATE('Profit Calculation'!J$6,A$2,A$2+A3086-1)</f>
        <v>45089</v>
      </c>
      <c r="D3086" s="362">
        <f t="shared" ca="1" si="97"/>
        <v>233301445.08261934</v>
      </c>
    </row>
    <row r="3087" spans="1:4">
      <c r="A3087" s="348">
        <f t="shared" si="98"/>
        <v>3086</v>
      </c>
      <c r="B3087" s="360">
        <f>DATE('Profit Calculation'!J$6,A$2,A$2+A3087-1)</f>
        <v>45090</v>
      </c>
      <c r="D3087" s="362">
        <f t="shared" ca="1" si="97"/>
        <v>233390795.51171514</v>
      </c>
    </row>
    <row r="3088" spans="1:4">
      <c r="A3088" s="348">
        <f t="shared" si="98"/>
        <v>3087</v>
      </c>
      <c r="B3088" s="360">
        <f>DATE('Profit Calculation'!J$6,A$2,A$2+A3088-1)</f>
        <v>45091</v>
      </c>
      <c r="D3088" s="362">
        <f t="shared" ca="1" si="97"/>
        <v>233480180.16048402</v>
      </c>
    </row>
    <row r="3089" spans="1:4">
      <c r="A3089" s="348">
        <f t="shared" si="98"/>
        <v>3088</v>
      </c>
      <c r="B3089" s="360">
        <f>DATE('Profit Calculation'!J$6,A$2,A$2+A3089-1)</f>
        <v>45092</v>
      </c>
      <c r="D3089" s="362">
        <f t="shared" ca="1" si="97"/>
        <v>233569599.04203153</v>
      </c>
    </row>
    <row r="3090" spans="1:4">
      <c r="A3090" s="348">
        <f t="shared" si="98"/>
        <v>3089</v>
      </c>
      <c r="B3090" s="360">
        <f>DATE('Profit Calculation'!J$6,A$2,A$2+A3090-1)</f>
        <v>45093</v>
      </c>
      <c r="D3090" s="362">
        <f t="shared" ca="1" si="97"/>
        <v>233659052.16946822</v>
      </c>
    </row>
    <row r="3091" spans="1:4">
      <c r="A3091" s="348">
        <f t="shared" si="98"/>
        <v>3090</v>
      </c>
      <c r="B3091" s="360">
        <f>DATE('Profit Calculation'!J$6,A$2,A$2+A3091-1)</f>
        <v>45094</v>
      </c>
      <c r="D3091" s="362">
        <f t="shared" ca="1" si="97"/>
        <v>233748539.55590969</v>
      </c>
    </row>
    <row r="3092" spans="1:4">
      <c r="A3092" s="348">
        <f t="shared" si="98"/>
        <v>3091</v>
      </c>
      <c r="B3092" s="360">
        <f>DATE('Profit Calculation'!J$6,A$2,A$2+A3092-1)</f>
        <v>45095</v>
      </c>
      <c r="D3092" s="362">
        <f t="shared" ca="1" si="97"/>
        <v>233838061.21447653</v>
      </c>
    </row>
    <row r="3093" spans="1:4">
      <c r="A3093" s="348">
        <f t="shared" si="98"/>
        <v>3092</v>
      </c>
      <c r="B3093" s="360">
        <f>DATE('Profit Calculation'!J$6,A$2,A$2+A3093-1)</f>
        <v>45096</v>
      </c>
      <c r="D3093" s="362">
        <f t="shared" ca="1" si="97"/>
        <v>233927617.15829438</v>
      </c>
    </row>
    <row r="3094" spans="1:4">
      <c r="A3094" s="348">
        <f t="shared" si="98"/>
        <v>3093</v>
      </c>
      <c r="B3094" s="360">
        <f>DATE('Profit Calculation'!J$6,A$2,A$2+A3094-1)</f>
        <v>45097</v>
      </c>
      <c r="D3094" s="362">
        <f t="shared" ca="1" si="97"/>
        <v>234017207.40049392</v>
      </c>
    </row>
    <row r="3095" spans="1:4">
      <c r="A3095" s="348">
        <f t="shared" si="98"/>
        <v>3094</v>
      </c>
      <c r="B3095" s="360">
        <f>DATE('Profit Calculation'!J$6,A$2,A$2+A3095-1)</f>
        <v>45098</v>
      </c>
      <c r="D3095" s="362">
        <f t="shared" ca="1" si="97"/>
        <v>234106831.95421082</v>
      </c>
    </row>
    <row r="3096" spans="1:4">
      <c r="A3096" s="348">
        <f t="shared" si="98"/>
        <v>3095</v>
      </c>
      <c r="B3096" s="360">
        <f>DATE('Profit Calculation'!J$6,A$2,A$2+A3096-1)</f>
        <v>45099</v>
      </c>
      <c r="D3096" s="362">
        <f t="shared" ca="1" si="97"/>
        <v>234196490.83258578</v>
      </c>
    </row>
    <row r="3097" spans="1:4">
      <c r="A3097" s="348">
        <f t="shared" si="98"/>
        <v>3096</v>
      </c>
      <c r="B3097" s="360">
        <f>DATE('Profit Calculation'!J$6,A$2,A$2+A3097-1)</f>
        <v>45100</v>
      </c>
      <c r="D3097" s="362">
        <f t="shared" ca="1" si="97"/>
        <v>234286184.04876459</v>
      </c>
    </row>
    <row r="3098" spans="1:4">
      <c r="A3098" s="348">
        <f t="shared" si="98"/>
        <v>3097</v>
      </c>
      <c r="B3098" s="360">
        <f>DATE('Profit Calculation'!J$6,A$2,A$2+A3098-1)</f>
        <v>45101</v>
      </c>
      <c r="D3098" s="362">
        <f t="shared" ca="1" si="97"/>
        <v>234375911.61589801</v>
      </c>
    </row>
    <row r="3099" spans="1:4">
      <c r="A3099" s="348">
        <f t="shared" si="98"/>
        <v>3098</v>
      </c>
      <c r="B3099" s="360">
        <f>DATE('Profit Calculation'!J$6,A$2,A$2+A3099-1)</f>
        <v>45102</v>
      </c>
      <c r="D3099" s="362">
        <f t="shared" ca="1" si="97"/>
        <v>234465673.54714188</v>
      </c>
    </row>
    <row r="3100" spans="1:4">
      <c r="A3100" s="348">
        <f t="shared" si="98"/>
        <v>3099</v>
      </c>
      <c r="B3100" s="360">
        <f>DATE('Profit Calculation'!J$6,A$2,A$2+A3100-1)</f>
        <v>45103</v>
      </c>
      <c r="D3100" s="362">
        <f t="shared" ca="1" si="97"/>
        <v>234555469.85565704</v>
      </c>
    </row>
    <row r="3101" spans="1:4">
      <c r="A3101" s="348">
        <f t="shared" si="98"/>
        <v>3100</v>
      </c>
      <c r="B3101" s="360">
        <f>DATE('Profit Calculation'!J$6,A$2,A$2+A3101-1)</f>
        <v>45104</v>
      </c>
      <c r="D3101" s="362">
        <f t="shared" ca="1" si="97"/>
        <v>234645300.55460942</v>
      </c>
    </row>
    <row r="3102" spans="1:4">
      <c r="A3102" s="348">
        <f t="shared" si="98"/>
        <v>3101</v>
      </c>
      <c r="B3102" s="360">
        <f>DATE('Profit Calculation'!J$6,A$2,A$2+A3102-1)</f>
        <v>45105</v>
      </c>
      <c r="D3102" s="362">
        <f t="shared" ca="1" si="97"/>
        <v>234735165.65716994</v>
      </c>
    </row>
    <row r="3103" spans="1:4">
      <c r="A3103" s="348">
        <f t="shared" si="98"/>
        <v>3102</v>
      </c>
      <c r="B3103" s="360">
        <f>DATE('Profit Calculation'!J$6,A$2,A$2+A3103-1)</f>
        <v>45106</v>
      </c>
      <c r="D3103" s="362">
        <f t="shared" ca="1" si="97"/>
        <v>234825065.1765146</v>
      </c>
    </row>
    <row r="3104" spans="1:4">
      <c r="A3104" s="348">
        <f t="shared" si="98"/>
        <v>3103</v>
      </c>
      <c r="B3104" s="360">
        <f>DATE('Profit Calculation'!J$6,A$2,A$2+A3104-1)</f>
        <v>45107</v>
      </c>
      <c r="D3104" s="362">
        <f t="shared" ca="1" si="97"/>
        <v>234914999.12582442</v>
      </c>
    </row>
    <row r="3105" spans="1:4">
      <c r="A3105" s="348">
        <f t="shared" si="98"/>
        <v>3104</v>
      </c>
      <c r="B3105" s="360">
        <f>DATE('Profit Calculation'!J$6,A$2,A$2+A3105-1)</f>
        <v>45108</v>
      </c>
      <c r="D3105" s="362">
        <f t="shared" ca="1" si="97"/>
        <v>235004967.51828551</v>
      </c>
    </row>
    <row r="3106" spans="1:4">
      <c r="A3106" s="348">
        <f t="shared" si="98"/>
        <v>3105</v>
      </c>
      <c r="B3106" s="360">
        <f>DATE('Profit Calculation'!J$6,A$2,A$2+A3106-1)</f>
        <v>45109</v>
      </c>
      <c r="D3106" s="362">
        <f t="shared" ca="1" si="97"/>
        <v>235094970.367089</v>
      </c>
    </row>
    <row r="3107" spans="1:4">
      <c r="A3107" s="348">
        <f t="shared" si="98"/>
        <v>3106</v>
      </c>
      <c r="B3107" s="360">
        <f>DATE('Profit Calculation'!J$6,A$2,A$2+A3107-1)</f>
        <v>45110</v>
      </c>
      <c r="D3107" s="362">
        <f t="shared" ca="1" si="97"/>
        <v>235185007.68543106</v>
      </c>
    </row>
    <row r="3108" spans="1:4">
      <c r="A3108" s="348">
        <f t="shared" si="98"/>
        <v>3107</v>
      </c>
      <c r="B3108" s="360">
        <f>DATE('Profit Calculation'!J$6,A$2,A$2+A3108-1)</f>
        <v>45111</v>
      </c>
      <c r="D3108" s="362">
        <f t="shared" ca="1" si="97"/>
        <v>235275079.48651293</v>
      </c>
    </row>
    <row r="3109" spans="1:4">
      <c r="A3109" s="348">
        <f t="shared" si="98"/>
        <v>3108</v>
      </c>
      <c r="B3109" s="360">
        <f>DATE('Profit Calculation'!J$6,A$2,A$2+A3109-1)</f>
        <v>45112</v>
      </c>
      <c r="D3109" s="362">
        <f t="shared" ca="1" si="97"/>
        <v>235365185.7835409</v>
      </c>
    </row>
    <row r="3110" spans="1:4">
      <c r="A3110" s="348">
        <f t="shared" si="98"/>
        <v>3109</v>
      </c>
      <c r="B3110" s="360">
        <f>DATE('Profit Calculation'!J$6,A$2,A$2+A3110-1)</f>
        <v>45113</v>
      </c>
      <c r="D3110" s="362">
        <f t="shared" ca="1" si="97"/>
        <v>235455326.58972633</v>
      </c>
    </row>
    <row r="3111" spans="1:4">
      <c r="A3111" s="348">
        <f t="shared" si="98"/>
        <v>3110</v>
      </c>
      <c r="B3111" s="360">
        <f>DATE('Profit Calculation'!J$6,A$2,A$2+A3111-1)</f>
        <v>45114</v>
      </c>
      <c r="D3111" s="362">
        <f t="shared" ca="1" si="97"/>
        <v>235545501.91828564</v>
      </c>
    </row>
    <row r="3112" spans="1:4">
      <c r="A3112" s="348">
        <f t="shared" si="98"/>
        <v>3111</v>
      </c>
      <c r="B3112" s="360">
        <f>DATE('Profit Calculation'!J$6,A$2,A$2+A3112-1)</f>
        <v>45115</v>
      </c>
      <c r="D3112" s="362">
        <f t="shared" ca="1" si="97"/>
        <v>235635711.78244027</v>
      </c>
    </row>
    <row r="3113" spans="1:4">
      <c r="A3113" s="348">
        <f t="shared" si="98"/>
        <v>3112</v>
      </c>
      <c r="B3113" s="360">
        <f>DATE('Profit Calculation'!J$6,A$2,A$2+A3113-1)</f>
        <v>45116</v>
      </c>
      <c r="D3113" s="362">
        <f t="shared" ca="1" si="97"/>
        <v>235725956.19541681</v>
      </c>
    </row>
    <row r="3114" spans="1:4">
      <c r="A3114" s="348">
        <f t="shared" si="98"/>
        <v>3113</v>
      </c>
      <c r="B3114" s="360">
        <f>DATE('Profit Calculation'!J$6,A$2,A$2+A3114-1)</f>
        <v>45117</v>
      </c>
      <c r="D3114" s="362">
        <f t="shared" ca="1" si="97"/>
        <v>235816235.17044681</v>
      </c>
    </row>
    <row r="3115" spans="1:4">
      <c r="A3115" s="348">
        <f t="shared" si="98"/>
        <v>3114</v>
      </c>
      <c r="B3115" s="360">
        <f>DATE('Profit Calculation'!J$6,A$2,A$2+A3115-1)</f>
        <v>45118</v>
      </c>
      <c r="D3115" s="362">
        <f t="shared" ca="1" si="97"/>
        <v>235906548.72076699</v>
      </c>
    </row>
    <row r="3116" spans="1:4">
      <c r="A3116" s="348">
        <f t="shared" si="98"/>
        <v>3115</v>
      </c>
      <c r="B3116" s="360">
        <f>DATE('Profit Calculation'!J$6,A$2,A$2+A3116-1)</f>
        <v>45119</v>
      </c>
      <c r="D3116" s="362">
        <f t="shared" ca="1" si="97"/>
        <v>235996896.85961905</v>
      </c>
    </row>
    <row r="3117" spans="1:4">
      <c r="A3117" s="348">
        <f t="shared" si="98"/>
        <v>3116</v>
      </c>
      <c r="B3117" s="360">
        <f>DATE('Profit Calculation'!J$6,A$2,A$2+A3117-1)</f>
        <v>45120</v>
      </c>
      <c r="D3117" s="362">
        <f t="shared" ca="1" si="97"/>
        <v>236087279.60024983</v>
      </c>
    </row>
    <row r="3118" spans="1:4">
      <c r="A3118" s="348">
        <f t="shared" si="98"/>
        <v>3117</v>
      </c>
      <c r="B3118" s="360">
        <f>DATE('Profit Calculation'!J$6,A$2,A$2+A3118-1)</f>
        <v>45121</v>
      </c>
      <c r="D3118" s="362">
        <f t="shared" ca="1" si="97"/>
        <v>236177696.95591119</v>
      </c>
    </row>
    <row r="3119" spans="1:4">
      <c r="A3119" s="348">
        <f t="shared" si="98"/>
        <v>3118</v>
      </c>
      <c r="B3119" s="360">
        <f>DATE('Profit Calculation'!J$6,A$2,A$2+A3119-1)</f>
        <v>45122</v>
      </c>
      <c r="D3119" s="362">
        <f t="shared" ca="1" si="97"/>
        <v>236268148.93986011</v>
      </c>
    </row>
    <row r="3120" spans="1:4">
      <c r="A3120" s="348">
        <f t="shared" si="98"/>
        <v>3119</v>
      </c>
      <c r="B3120" s="360">
        <f>DATE('Profit Calculation'!J$6,A$2,A$2+A3120-1)</f>
        <v>45123</v>
      </c>
      <c r="D3120" s="362">
        <f t="shared" ca="1" si="97"/>
        <v>236358635.56535861</v>
      </c>
    </row>
    <row r="3121" spans="1:4">
      <c r="A3121" s="348">
        <f t="shared" si="98"/>
        <v>3120</v>
      </c>
      <c r="B3121" s="360">
        <f>DATE('Profit Calculation'!J$6,A$2,A$2+A3121-1)</f>
        <v>45124</v>
      </c>
      <c r="D3121" s="362">
        <f t="shared" ca="1" si="97"/>
        <v>236449156.8456738</v>
      </c>
    </row>
    <row r="3122" spans="1:4">
      <c r="A3122" s="348">
        <f t="shared" si="98"/>
        <v>3121</v>
      </c>
      <c r="B3122" s="360">
        <f>DATE('Profit Calculation'!J$6,A$2,A$2+A3122-1)</f>
        <v>45125</v>
      </c>
      <c r="D3122" s="362">
        <f t="shared" ca="1" si="97"/>
        <v>236539712.7940779</v>
      </c>
    </row>
    <row r="3123" spans="1:4">
      <c r="A3123" s="348">
        <f t="shared" si="98"/>
        <v>3122</v>
      </c>
      <c r="B3123" s="360">
        <f>DATE('Profit Calculation'!J$6,A$2,A$2+A3123-1)</f>
        <v>45126</v>
      </c>
      <c r="D3123" s="362">
        <f t="shared" ca="1" si="97"/>
        <v>236630303.42384818</v>
      </c>
    </row>
    <row r="3124" spans="1:4">
      <c r="A3124" s="348">
        <f t="shared" si="98"/>
        <v>3123</v>
      </c>
      <c r="B3124" s="360">
        <f>DATE('Profit Calculation'!J$6,A$2,A$2+A3124-1)</f>
        <v>45127</v>
      </c>
      <c r="D3124" s="362">
        <f t="shared" ca="1" si="97"/>
        <v>236720928.74826699</v>
      </c>
    </row>
    <row r="3125" spans="1:4">
      <c r="A3125" s="348">
        <f t="shared" si="98"/>
        <v>3124</v>
      </c>
      <c r="B3125" s="360">
        <f>DATE('Profit Calculation'!J$6,A$2,A$2+A3125-1)</f>
        <v>45128</v>
      </c>
      <c r="D3125" s="362">
        <f t="shared" ca="1" si="97"/>
        <v>236811588.7806218</v>
      </c>
    </row>
    <row r="3126" spans="1:4">
      <c r="A3126" s="348">
        <f t="shared" si="98"/>
        <v>3125</v>
      </c>
      <c r="B3126" s="360">
        <f>DATE('Profit Calculation'!J$6,A$2,A$2+A3126-1)</f>
        <v>45129</v>
      </c>
      <c r="D3126" s="362">
        <f t="shared" ca="1" si="97"/>
        <v>236902283.53420514</v>
      </c>
    </row>
    <row r="3127" spans="1:4">
      <c r="A3127" s="348">
        <f t="shared" si="98"/>
        <v>3126</v>
      </c>
      <c r="B3127" s="360">
        <f>DATE('Profit Calculation'!J$6,A$2,A$2+A3127-1)</f>
        <v>45130</v>
      </c>
      <c r="D3127" s="362">
        <f t="shared" ca="1" si="97"/>
        <v>236993013.02231467</v>
      </c>
    </row>
    <row r="3128" spans="1:4">
      <c r="A3128" s="348">
        <f t="shared" si="98"/>
        <v>3127</v>
      </c>
      <c r="B3128" s="360">
        <f>DATE('Profit Calculation'!J$6,A$2,A$2+A3128-1)</f>
        <v>45131</v>
      </c>
      <c r="D3128" s="362">
        <f t="shared" ca="1" si="97"/>
        <v>237083777.25825307</v>
      </c>
    </row>
    <row r="3129" spans="1:4">
      <c r="A3129" s="348">
        <f t="shared" si="98"/>
        <v>3128</v>
      </c>
      <c r="B3129" s="360">
        <f>DATE('Profit Calculation'!J$6,A$2,A$2+A3129-1)</f>
        <v>45132</v>
      </c>
      <c r="D3129" s="362">
        <f t="shared" ca="1" si="97"/>
        <v>237174576.25532818</v>
      </c>
    </row>
    <row r="3130" spans="1:4">
      <c r="A3130" s="348">
        <f t="shared" si="98"/>
        <v>3129</v>
      </c>
      <c r="B3130" s="360">
        <f>DATE('Profit Calculation'!J$6,A$2,A$2+A3130-1)</f>
        <v>45133</v>
      </c>
      <c r="D3130" s="362">
        <f t="shared" ca="1" si="97"/>
        <v>237265410.02685294</v>
      </c>
    </row>
    <row r="3131" spans="1:4">
      <c r="A3131" s="348">
        <f t="shared" si="98"/>
        <v>3130</v>
      </c>
      <c r="B3131" s="360">
        <f>DATE('Profit Calculation'!J$6,A$2,A$2+A3131-1)</f>
        <v>45134</v>
      </c>
      <c r="D3131" s="362">
        <f t="shared" ca="1" si="97"/>
        <v>237356278.58614534</v>
      </c>
    </row>
    <row r="3132" spans="1:4">
      <c r="A3132" s="348">
        <f t="shared" si="98"/>
        <v>3131</v>
      </c>
      <c r="B3132" s="360">
        <f>DATE('Profit Calculation'!J$6,A$2,A$2+A3132-1)</f>
        <v>45135</v>
      </c>
      <c r="D3132" s="362">
        <f t="shared" ca="1" si="97"/>
        <v>237447181.94652849</v>
      </c>
    </row>
    <row r="3133" spans="1:4">
      <c r="A3133" s="348">
        <f t="shared" si="98"/>
        <v>3132</v>
      </c>
      <c r="B3133" s="360">
        <f>DATE('Profit Calculation'!J$6,A$2,A$2+A3133-1)</f>
        <v>45136</v>
      </c>
      <c r="D3133" s="362">
        <f t="shared" ca="1" si="97"/>
        <v>237538120.12133062</v>
      </c>
    </row>
    <row r="3134" spans="1:4">
      <c r="A3134" s="348">
        <f t="shared" si="98"/>
        <v>3133</v>
      </c>
      <c r="B3134" s="360">
        <f>DATE('Profit Calculation'!J$6,A$2,A$2+A3134-1)</f>
        <v>45137</v>
      </c>
      <c r="D3134" s="362">
        <f t="shared" ca="1" si="97"/>
        <v>237629093.12388504</v>
      </c>
    </row>
    <row r="3135" spans="1:4">
      <c r="A3135" s="348">
        <f t="shared" si="98"/>
        <v>3134</v>
      </c>
      <c r="B3135" s="360">
        <f>DATE('Profit Calculation'!J$6,A$2,A$2+A3135-1)</f>
        <v>45138</v>
      </c>
      <c r="D3135" s="362">
        <f t="shared" ca="1" si="97"/>
        <v>237720100.96753019</v>
      </c>
    </row>
    <row r="3136" spans="1:4">
      <c r="A3136" s="348">
        <f t="shared" si="98"/>
        <v>3135</v>
      </c>
      <c r="B3136" s="360">
        <f>DATE('Profit Calculation'!J$6,A$2,A$2+A3136-1)</f>
        <v>45139</v>
      </c>
      <c r="D3136" s="362">
        <f t="shared" ca="1" si="97"/>
        <v>237811143.6656096</v>
      </c>
    </row>
    <row r="3137" spans="1:4">
      <c r="A3137" s="348">
        <f t="shared" si="98"/>
        <v>3136</v>
      </c>
      <c r="B3137" s="360">
        <f>DATE('Profit Calculation'!J$6,A$2,A$2+A3137-1)</f>
        <v>45140</v>
      </c>
      <c r="D3137" s="362">
        <f t="shared" ca="1" si="97"/>
        <v>237902221.23147193</v>
      </c>
    </row>
    <row r="3138" spans="1:4">
      <c r="A3138" s="348">
        <f t="shared" si="98"/>
        <v>3137</v>
      </c>
      <c r="B3138" s="360">
        <f>DATE('Profit Calculation'!J$6,A$2,A$2+A3138-1)</f>
        <v>45141</v>
      </c>
      <c r="D3138" s="362">
        <f t="shared" ca="1" si="97"/>
        <v>237993333.67847091</v>
      </c>
    </row>
    <row r="3139" spans="1:4">
      <c r="A3139" s="348">
        <f t="shared" si="98"/>
        <v>3138</v>
      </c>
      <c r="B3139" s="360">
        <f>DATE('Profit Calculation'!J$6,A$2,A$2+A3139-1)</f>
        <v>45142</v>
      </c>
      <c r="D3139" s="362">
        <f t="shared" ca="1" si="97"/>
        <v>238084481.01996544</v>
      </c>
    </row>
    <row r="3140" spans="1:4">
      <c r="A3140" s="348">
        <f t="shared" si="98"/>
        <v>3139</v>
      </c>
      <c r="B3140" s="360">
        <f>DATE('Profit Calculation'!J$6,A$2,A$2+A3140-1)</f>
        <v>45143</v>
      </c>
      <c r="D3140" s="362">
        <f t="shared" ref="D3140:D3203" ca="1" si="99">IF(OR(LOOKUP(B3140,W$1:W$35,W$1:W$35) = B3140, LOOKUP(B3140,X$1:X$35,X$1:X$35) = B3140),LOOKUP(B3140,F:F,G:G),D3139*(1+((IF($Q$18&lt;6,$R$14,IF($Q$18&lt;11,$R$15,$R$16)))))^(1/365))</f>
        <v>238175663.2693195</v>
      </c>
    </row>
    <row r="3141" spans="1:4">
      <c r="A3141" s="348">
        <f t="shared" ref="A3141:A3204" si="100">A3140+1</f>
        <v>3140</v>
      </c>
      <c r="B3141" s="360">
        <f>DATE('Profit Calculation'!J$6,A$2,A$2+A3141-1)</f>
        <v>45144</v>
      </c>
      <c r="D3141" s="362">
        <f t="shared" ca="1" si="99"/>
        <v>238266880.43990222</v>
      </c>
    </row>
    <row r="3142" spans="1:4">
      <c r="A3142" s="348">
        <f t="shared" si="100"/>
        <v>3141</v>
      </c>
      <c r="B3142" s="360">
        <f>DATE('Profit Calculation'!J$6,A$2,A$2+A3142-1)</f>
        <v>45145</v>
      </c>
      <c r="D3142" s="362">
        <f t="shared" ca="1" si="99"/>
        <v>238358132.54508778</v>
      </c>
    </row>
    <row r="3143" spans="1:4">
      <c r="A3143" s="348">
        <f t="shared" si="100"/>
        <v>3142</v>
      </c>
      <c r="B3143" s="360">
        <f>DATE('Profit Calculation'!J$6,A$2,A$2+A3143-1)</f>
        <v>45146</v>
      </c>
      <c r="D3143" s="362">
        <f t="shared" ca="1" si="99"/>
        <v>238449419.59825557</v>
      </c>
    </row>
    <row r="3144" spans="1:4">
      <c r="A3144" s="348">
        <f t="shared" si="100"/>
        <v>3143</v>
      </c>
      <c r="B3144" s="360">
        <f>DATE('Profit Calculation'!J$6,A$2,A$2+A3144-1)</f>
        <v>45147</v>
      </c>
      <c r="D3144" s="362">
        <f t="shared" ca="1" si="99"/>
        <v>238540741.61279005</v>
      </c>
    </row>
    <row r="3145" spans="1:4">
      <c r="A3145" s="348">
        <f t="shared" si="100"/>
        <v>3144</v>
      </c>
      <c r="B3145" s="360">
        <f>DATE('Profit Calculation'!J$6,A$2,A$2+A3145-1)</f>
        <v>45148</v>
      </c>
      <c r="D3145" s="362">
        <f t="shared" ca="1" si="99"/>
        <v>238632098.60208082</v>
      </c>
    </row>
    <row r="3146" spans="1:4">
      <c r="A3146" s="348">
        <f t="shared" si="100"/>
        <v>3145</v>
      </c>
      <c r="B3146" s="360">
        <f>DATE('Profit Calculation'!J$6,A$2,A$2+A3146-1)</f>
        <v>45149</v>
      </c>
      <c r="D3146" s="362">
        <f t="shared" ca="1" si="99"/>
        <v>238723490.57952261</v>
      </c>
    </row>
    <row r="3147" spans="1:4">
      <c r="A3147" s="348">
        <f t="shared" si="100"/>
        <v>3146</v>
      </c>
      <c r="B3147" s="360">
        <f>DATE('Profit Calculation'!J$6,A$2,A$2+A3147-1)</f>
        <v>45150</v>
      </c>
      <c r="D3147" s="362">
        <f t="shared" ca="1" si="99"/>
        <v>238814917.55851528</v>
      </c>
    </row>
    <row r="3148" spans="1:4">
      <c r="A3148" s="348">
        <f t="shared" si="100"/>
        <v>3147</v>
      </c>
      <c r="B3148" s="360">
        <f>DATE('Profit Calculation'!J$6,A$2,A$2+A3148-1)</f>
        <v>45151</v>
      </c>
      <c r="D3148" s="362">
        <f t="shared" ca="1" si="99"/>
        <v>238906379.55246383</v>
      </c>
    </row>
    <row r="3149" spans="1:4">
      <c r="A3149" s="348">
        <f t="shared" si="100"/>
        <v>3148</v>
      </c>
      <c r="B3149" s="360">
        <f>DATE('Profit Calculation'!J$6,A$2,A$2+A3149-1)</f>
        <v>45152</v>
      </c>
      <c r="D3149" s="362">
        <f t="shared" ca="1" si="99"/>
        <v>238997876.57477835</v>
      </c>
    </row>
    <row r="3150" spans="1:4">
      <c r="A3150" s="348">
        <f t="shared" si="100"/>
        <v>3149</v>
      </c>
      <c r="B3150" s="360">
        <f>DATE('Profit Calculation'!J$6,A$2,A$2+A3150-1)</f>
        <v>45153</v>
      </c>
      <c r="D3150" s="362">
        <f t="shared" ca="1" si="99"/>
        <v>239089408.63887414</v>
      </c>
    </row>
    <row r="3151" spans="1:4">
      <c r="A3151" s="348">
        <f t="shared" si="100"/>
        <v>3150</v>
      </c>
      <c r="B3151" s="360">
        <f>DATE('Profit Calculation'!J$6,A$2,A$2+A3151-1)</f>
        <v>45154</v>
      </c>
      <c r="D3151" s="362">
        <f t="shared" ca="1" si="99"/>
        <v>239180975.75817159</v>
      </c>
    </row>
    <row r="3152" spans="1:4">
      <c r="A3152" s="348">
        <f t="shared" si="100"/>
        <v>3151</v>
      </c>
      <c r="B3152" s="360">
        <f>DATE('Profit Calculation'!J$6,A$2,A$2+A3152-1)</f>
        <v>45155</v>
      </c>
      <c r="D3152" s="362">
        <f t="shared" ca="1" si="99"/>
        <v>239272577.94609621</v>
      </c>
    </row>
    <row r="3153" spans="1:4">
      <c r="A3153" s="348">
        <f t="shared" si="100"/>
        <v>3152</v>
      </c>
      <c r="B3153" s="360">
        <f>DATE('Profit Calculation'!J$6,A$2,A$2+A3153-1)</f>
        <v>45156</v>
      </c>
      <c r="D3153" s="362">
        <f t="shared" ca="1" si="99"/>
        <v>239364215.2160787</v>
      </c>
    </row>
    <row r="3154" spans="1:4">
      <c r="A3154" s="348">
        <f t="shared" si="100"/>
        <v>3153</v>
      </c>
      <c r="B3154" s="360">
        <f>DATE('Profit Calculation'!J$6,A$2,A$2+A3154-1)</f>
        <v>45157</v>
      </c>
      <c r="D3154" s="362">
        <f t="shared" ca="1" si="99"/>
        <v>239455887.58155489</v>
      </c>
    </row>
    <row r="3155" spans="1:4">
      <c r="A3155" s="348">
        <f t="shared" si="100"/>
        <v>3154</v>
      </c>
      <c r="B3155" s="360">
        <f>DATE('Profit Calculation'!J$6,A$2,A$2+A3155-1)</f>
        <v>45158</v>
      </c>
      <c r="D3155" s="362">
        <f t="shared" ca="1" si="99"/>
        <v>239547595.05596575</v>
      </c>
    </row>
    <row r="3156" spans="1:4">
      <c r="A3156" s="348">
        <f t="shared" si="100"/>
        <v>3155</v>
      </c>
      <c r="B3156" s="360">
        <f>DATE('Profit Calculation'!J$6,A$2,A$2+A3156-1)</f>
        <v>45159</v>
      </c>
      <c r="D3156" s="362">
        <f t="shared" ca="1" si="99"/>
        <v>239639337.65275738</v>
      </c>
    </row>
    <row r="3157" spans="1:4">
      <c r="A3157" s="348">
        <f t="shared" si="100"/>
        <v>3156</v>
      </c>
      <c r="B3157" s="360">
        <f>DATE('Profit Calculation'!J$6,A$2,A$2+A3157-1)</f>
        <v>45160</v>
      </c>
      <c r="D3157" s="362">
        <f t="shared" ca="1" si="99"/>
        <v>239731115.38538104</v>
      </c>
    </row>
    <row r="3158" spans="1:4">
      <c r="A3158" s="348">
        <f t="shared" si="100"/>
        <v>3157</v>
      </c>
      <c r="B3158" s="360">
        <f>DATE('Profit Calculation'!J$6,A$2,A$2+A3158-1)</f>
        <v>45161</v>
      </c>
      <c r="D3158" s="362">
        <f t="shared" ca="1" si="99"/>
        <v>239822928.26729316</v>
      </c>
    </row>
    <row r="3159" spans="1:4">
      <c r="A3159" s="348">
        <f t="shared" si="100"/>
        <v>3158</v>
      </c>
      <c r="B3159" s="360">
        <f>DATE('Profit Calculation'!J$6,A$2,A$2+A3159-1)</f>
        <v>45162</v>
      </c>
      <c r="D3159" s="362">
        <f t="shared" ca="1" si="99"/>
        <v>239914776.3119553</v>
      </c>
    </row>
    <row r="3160" spans="1:4">
      <c r="A3160" s="348">
        <f t="shared" si="100"/>
        <v>3159</v>
      </c>
      <c r="B3160" s="360">
        <f>DATE('Profit Calculation'!J$6,A$2,A$2+A3160-1)</f>
        <v>45163</v>
      </c>
      <c r="D3160" s="362">
        <f t="shared" ca="1" si="99"/>
        <v>240006659.53283423</v>
      </c>
    </row>
    <row r="3161" spans="1:4">
      <c r="A3161" s="348">
        <f t="shared" si="100"/>
        <v>3160</v>
      </c>
      <c r="B3161" s="360">
        <f>DATE('Profit Calculation'!J$6,A$2,A$2+A3161-1)</f>
        <v>45164</v>
      </c>
      <c r="D3161" s="362">
        <f t="shared" ca="1" si="99"/>
        <v>240098577.94340178</v>
      </c>
    </row>
    <row r="3162" spans="1:4">
      <c r="A3162" s="348">
        <f t="shared" si="100"/>
        <v>3161</v>
      </c>
      <c r="B3162" s="360">
        <f>DATE('Profit Calculation'!J$6,A$2,A$2+A3162-1)</f>
        <v>45165</v>
      </c>
      <c r="D3162" s="362">
        <f t="shared" ca="1" si="99"/>
        <v>240190531.55713502</v>
      </c>
    </row>
    <row r="3163" spans="1:4">
      <c r="A3163" s="348">
        <f t="shared" si="100"/>
        <v>3162</v>
      </c>
      <c r="B3163" s="360">
        <f>DATE('Profit Calculation'!J$6,A$2,A$2+A3163-1)</f>
        <v>45166</v>
      </c>
      <c r="D3163" s="362">
        <f t="shared" ca="1" si="99"/>
        <v>240282520.38751614</v>
      </c>
    </row>
    <row r="3164" spans="1:4">
      <c r="A3164" s="348">
        <f t="shared" si="100"/>
        <v>3163</v>
      </c>
      <c r="B3164" s="360">
        <f>DATE('Profit Calculation'!J$6,A$2,A$2+A3164-1)</f>
        <v>45167</v>
      </c>
      <c r="D3164" s="362">
        <f t="shared" ca="1" si="99"/>
        <v>240374544.44803253</v>
      </c>
    </row>
    <row r="3165" spans="1:4">
      <c r="A3165" s="348">
        <f t="shared" si="100"/>
        <v>3164</v>
      </c>
      <c r="B3165" s="360">
        <f>DATE('Profit Calculation'!J$6,A$2,A$2+A3165-1)</f>
        <v>45168</v>
      </c>
      <c r="D3165" s="362">
        <f t="shared" ca="1" si="99"/>
        <v>240466603.75217673</v>
      </c>
    </row>
    <row r="3166" spans="1:4">
      <c r="A3166" s="348">
        <f t="shared" si="100"/>
        <v>3165</v>
      </c>
      <c r="B3166" s="360">
        <f>DATE('Profit Calculation'!J$6,A$2,A$2+A3166-1)</f>
        <v>45169</v>
      </c>
      <c r="D3166" s="362">
        <f t="shared" ca="1" si="99"/>
        <v>240558698.3134464</v>
      </c>
    </row>
    <row r="3167" spans="1:4">
      <c r="A3167" s="348">
        <f t="shared" si="100"/>
        <v>3166</v>
      </c>
      <c r="B3167" s="360">
        <f>DATE('Profit Calculation'!J$6,A$2,A$2+A3167-1)</f>
        <v>45170</v>
      </c>
      <c r="D3167" s="362">
        <f t="shared" ca="1" si="99"/>
        <v>240650828.14534447</v>
      </c>
    </row>
    <row r="3168" spans="1:4">
      <c r="A3168" s="348">
        <f t="shared" si="100"/>
        <v>3167</v>
      </c>
      <c r="B3168" s="360">
        <f>DATE('Profit Calculation'!J$6,A$2,A$2+A3168-1)</f>
        <v>45171</v>
      </c>
      <c r="D3168" s="362">
        <f t="shared" ca="1" si="99"/>
        <v>240742993.26137891</v>
      </c>
    </row>
    <row r="3169" spans="1:4">
      <c r="A3169" s="348">
        <f t="shared" si="100"/>
        <v>3168</v>
      </c>
      <c r="B3169" s="360">
        <f>DATE('Profit Calculation'!J$6,A$2,A$2+A3169-1)</f>
        <v>45172</v>
      </c>
      <c r="D3169" s="362">
        <f t="shared" ca="1" si="99"/>
        <v>240835193.67506298</v>
      </c>
    </row>
    <row r="3170" spans="1:4">
      <c r="A3170" s="348">
        <f t="shared" si="100"/>
        <v>3169</v>
      </c>
      <c r="B3170" s="360">
        <f>DATE('Profit Calculation'!J$6,A$2,A$2+A3170-1)</f>
        <v>45173</v>
      </c>
      <c r="D3170" s="362">
        <f t="shared" ca="1" si="99"/>
        <v>240927429.39991507</v>
      </c>
    </row>
    <row r="3171" spans="1:4">
      <c r="A3171" s="348">
        <f t="shared" si="100"/>
        <v>3170</v>
      </c>
      <c r="B3171" s="360">
        <f>DATE('Profit Calculation'!J$6,A$2,A$2+A3171-1)</f>
        <v>45174</v>
      </c>
      <c r="D3171" s="362">
        <f t="shared" ca="1" si="99"/>
        <v>241019700.44945875</v>
      </c>
    </row>
    <row r="3172" spans="1:4">
      <c r="A3172" s="348">
        <f t="shared" si="100"/>
        <v>3171</v>
      </c>
      <c r="B3172" s="360">
        <f>DATE('Profit Calculation'!J$6,A$2,A$2+A3172-1)</f>
        <v>45175</v>
      </c>
      <c r="D3172" s="362">
        <f t="shared" ca="1" si="99"/>
        <v>241112006.83722275</v>
      </c>
    </row>
    <row r="3173" spans="1:4">
      <c r="A3173" s="348">
        <f t="shared" si="100"/>
        <v>3172</v>
      </c>
      <c r="B3173" s="360">
        <f>DATE('Profit Calculation'!J$6,A$2,A$2+A3173-1)</f>
        <v>45176</v>
      </c>
      <c r="D3173" s="362">
        <f t="shared" ca="1" si="99"/>
        <v>241204348.57674104</v>
      </c>
    </row>
    <row r="3174" spans="1:4">
      <c r="A3174" s="348">
        <f t="shared" si="100"/>
        <v>3173</v>
      </c>
      <c r="B3174" s="360">
        <f>DATE('Profit Calculation'!J$6,A$2,A$2+A3174-1)</f>
        <v>45177</v>
      </c>
      <c r="D3174" s="362">
        <f t="shared" ca="1" si="99"/>
        <v>241296725.68155268</v>
      </c>
    </row>
    <row r="3175" spans="1:4">
      <c r="A3175" s="348">
        <f t="shared" si="100"/>
        <v>3174</v>
      </c>
      <c r="B3175" s="360">
        <f>DATE('Profit Calculation'!J$6,A$2,A$2+A3175-1)</f>
        <v>45178</v>
      </c>
      <c r="D3175" s="362">
        <f t="shared" ca="1" si="99"/>
        <v>241389138.16520199</v>
      </c>
    </row>
    <row r="3176" spans="1:4">
      <c r="A3176" s="348">
        <f t="shared" si="100"/>
        <v>3175</v>
      </c>
      <c r="B3176" s="360">
        <f>DATE('Profit Calculation'!J$6,A$2,A$2+A3176-1)</f>
        <v>45179</v>
      </c>
      <c r="D3176" s="362">
        <f t="shared" ca="1" si="99"/>
        <v>241481586.04123846</v>
      </c>
    </row>
    <row r="3177" spans="1:4">
      <c r="A3177" s="348">
        <f t="shared" si="100"/>
        <v>3176</v>
      </c>
      <c r="B3177" s="360">
        <f>DATE('Profit Calculation'!J$6,A$2,A$2+A3177-1)</f>
        <v>45180</v>
      </c>
      <c r="D3177" s="362">
        <f t="shared" ca="1" si="99"/>
        <v>241574069.32321677</v>
      </c>
    </row>
    <row r="3178" spans="1:4">
      <c r="A3178" s="348">
        <f t="shared" si="100"/>
        <v>3177</v>
      </c>
      <c r="B3178" s="360">
        <f>DATE('Profit Calculation'!J$6,A$2,A$2+A3178-1)</f>
        <v>45181</v>
      </c>
      <c r="D3178" s="362">
        <f t="shared" ca="1" si="99"/>
        <v>241666588.02469677</v>
      </c>
    </row>
    <row r="3179" spans="1:4">
      <c r="A3179" s="348">
        <f t="shared" si="100"/>
        <v>3178</v>
      </c>
      <c r="B3179" s="360">
        <f>DATE('Profit Calculation'!J$6,A$2,A$2+A3179-1)</f>
        <v>45182</v>
      </c>
      <c r="D3179" s="362">
        <f t="shared" ca="1" si="99"/>
        <v>241759142.15924349</v>
      </c>
    </row>
    <row r="3180" spans="1:4">
      <c r="A3180" s="348">
        <f t="shared" si="100"/>
        <v>3179</v>
      </c>
      <c r="B3180" s="360">
        <f>DATE('Profit Calculation'!J$6,A$2,A$2+A3180-1)</f>
        <v>45183</v>
      </c>
      <c r="D3180" s="362">
        <f t="shared" ca="1" si="99"/>
        <v>241851731.74042723</v>
      </c>
    </row>
    <row r="3181" spans="1:4">
      <c r="A3181" s="348">
        <f t="shared" si="100"/>
        <v>3180</v>
      </c>
      <c r="B3181" s="360">
        <f>DATE('Profit Calculation'!J$6,A$2,A$2+A3181-1)</f>
        <v>45184</v>
      </c>
      <c r="D3181" s="362">
        <f t="shared" ca="1" si="99"/>
        <v>241944356.78182343</v>
      </c>
    </row>
    <row r="3182" spans="1:4">
      <c r="A3182" s="348">
        <f t="shared" si="100"/>
        <v>3181</v>
      </c>
      <c r="B3182" s="360">
        <f>DATE('Profit Calculation'!J$6,A$2,A$2+A3182-1)</f>
        <v>45185</v>
      </c>
      <c r="D3182" s="362">
        <f t="shared" ca="1" si="99"/>
        <v>242037017.29701272</v>
      </c>
    </row>
    <row r="3183" spans="1:4">
      <c r="A3183" s="348">
        <f t="shared" si="100"/>
        <v>3182</v>
      </c>
      <c r="B3183" s="360">
        <f>DATE('Profit Calculation'!J$6,A$2,A$2+A3183-1)</f>
        <v>45186</v>
      </c>
      <c r="D3183" s="362">
        <f t="shared" ca="1" si="99"/>
        <v>242129713.29958096</v>
      </c>
    </row>
    <row r="3184" spans="1:4">
      <c r="A3184" s="348">
        <f t="shared" si="100"/>
        <v>3183</v>
      </c>
      <c r="B3184" s="360">
        <f>DATE('Profit Calculation'!J$6,A$2,A$2+A3184-1)</f>
        <v>45187</v>
      </c>
      <c r="D3184" s="362">
        <f t="shared" ca="1" si="99"/>
        <v>242222444.80311921</v>
      </c>
    </row>
    <row r="3185" spans="1:4">
      <c r="A3185" s="348">
        <f t="shared" si="100"/>
        <v>3184</v>
      </c>
      <c r="B3185" s="360">
        <f>DATE('Profit Calculation'!J$6,A$2,A$2+A3185-1)</f>
        <v>45188</v>
      </c>
      <c r="D3185" s="362">
        <f t="shared" ca="1" si="99"/>
        <v>242315211.82122374</v>
      </c>
    </row>
    <row r="3186" spans="1:4">
      <c r="A3186" s="348">
        <f t="shared" si="100"/>
        <v>3185</v>
      </c>
      <c r="B3186" s="360">
        <f>DATE('Profit Calculation'!J$6,A$2,A$2+A3186-1)</f>
        <v>45189</v>
      </c>
      <c r="D3186" s="362">
        <f t="shared" ca="1" si="99"/>
        <v>242408014.36749601</v>
      </c>
    </row>
    <row r="3187" spans="1:4">
      <c r="A3187" s="348">
        <f t="shared" si="100"/>
        <v>3186</v>
      </c>
      <c r="B3187" s="360">
        <f>DATE('Profit Calculation'!J$6,A$2,A$2+A3187-1)</f>
        <v>45190</v>
      </c>
      <c r="D3187" s="362">
        <f t="shared" ca="1" si="99"/>
        <v>242500852.45554268</v>
      </c>
    </row>
    <row r="3188" spans="1:4">
      <c r="A3188" s="348">
        <f t="shared" si="100"/>
        <v>3187</v>
      </c>
      <c r="B3188" s="360">
        <f>DATE('Profit Calculation'!J$6,A$2,A$2+A3188-1)</f>
        <v>45191</v>
      </c>
      <c r="D3188" s="362">
        <f t="shared" ca="1" si="99"/>
        <v>242593726.09897566</v>
      </c>
    </row>
    <row r="3189" spans="1:4">
      <c r="A3189" s="348">
        <f t="shared" si="100"/>
        <v>3188</v>
      </c>
      <c r="B3189" s="360">
        <f>DATE('Profit Calculation'!J$6,A$2,A$2+A3189-1)</f>
        <v>45192</v>
      </c>
      <c r="D3189" s="362">
        <f t="shared" ca="1" si="99"/>
        <v>242686635.31141204</v>
      </c>
    </row>
    <row r="3190" spans="1:4">
      <c r="A3190" s="348">
        <f t="shared" si="100"/>
        <v>3189</v>
      </c>
      <c r="B3190" s="360">
        <f>DATE('Profit Calculation'!J$6,A$2,A$2+A3190-1)</f>
        <v>45193</v>
      </c>
      <c r="D3190" s="362">
        <f t="shared" ca="1" si="99"/>
        <v>242779580.1064741</v>
      </c>
    </row>
    <row r="3191" spans="1:4">
      <c r="A3191" s="348">
        <f t="shared" si="100"/>
        <v>3190</v>
      </c>
      <c r="B3191" s="360">
        <f>DATE('Profit Calculation'!J$6,A$2,A$2+A3191-1)</f>
        <v>45194</v>
      </c>
      <c r="D3191" s="362">
        <f t="shared" ca="1" si="99"/>
        <v>242872560.49778941</v>
      </c>
    </row>
    <row r="3192" spans="1:4">
      <c r="A3192" s="348">
        <f t="shared" si="100"/>
        <v>3191</v>
      </c>
      <c r="B3192" s="360">
        <f>DATE('Profit Calculation'!J$6,A$2,A$2+A3192-1)</f>
        <v>45195</v>
      </c>
      <c r="D3192" s="362">
        <f t="shared" ca="1" si="99"/>
        <v>242965576.49899071</v>
      </c>
    </row>
    <row r="3193" spans="1:4">
      <c r="A3193" s="348">
        <f t="shared" si="100"/>
        <v>3192</v>
      </c>
      <c r="B3193" s="360">
        <f>DATE('Profit Calculation'!J$6,A$2,A$2+A3193-1)</f>
        <v>45196</v>
      </c>
      <c r="D3193" s="362">
        <f t="shared" ca="1" si="99"/>
        <v>243058628.123716</v>
      </c>
    </row>
    <row r="3194" spans="1:4">
      <c r="A3194" s="348">
        <f t="shared" si="100"/>
        <v>3193</v>
      </c>
      <c r="B3194" s="360">
        <f>DATE('Profit Calculation'!J$6,A$2,A$2+A3194-1)</f>
        <v>45197</v>
      </c>
      <c r="D3194" s="362">
        <f t="shared" ca="1" si="99"/>
        <v>243151715.38560843</v>
      </c>
    </row>
    <row r="3195" spans="1:4">
      <c r="A3195" s="348">
        <f t="shared" si="100"/>
        <v>3194</v>
      </c>
      <c r="B3195" s="360">
        <f>DATE('Profit Calculation'!J$6,A$2,A$2+A3195-1)</f>
        <v>45198</v>
      </c>
      <c r="D3195" s="362">
        <f t="shared" ca="1" si="99"/>
        <v>243244838.29831645</v>
      </c>
    </row>
    <row r="3196" spans="1:4">
      <c r="A3196" s="348">
        <f t="shared" si="100"/>
        <v>3195</v>
      </c>
      <c r="B3196" s="360">
        <f>DATE('Profit Calculation'!J$6,A$2,A$2+A3196-1)</f>
        <v>45199</v>
      </c>
      <c r="D3196" s="362">
        <f t="shared" ca="1" si="99"/>
        <v>243337996.87549371</v>
      </c>
    </row>
    <row r="3197" spans="1:4">
      <c r="A3197" s="348">
        <f t="shared" si="100"/>
        <v>3196</v>
      </c>
      <c r="B3197" s="360">
        <f>DATE('Profit Calculation'!J$6,A$2,A$2+A3197-1)</f>
        <v>45200</v>
      </c>
      <c r="D3197" s="362">
        <f t="shared" ca="1" si="99"/>
        <v>243431191.13079906</v>
      </c>
    </row>
    <row r="3198" spans="1:4">
      <c r="A3198" s="348">
        <f t="shared" si="100"/>
        <v>3197</v>
      </c>
      <c r="B3198" s="360">
        <f>DATE('Profit Calculation'!J$6,A$2,A$2+A3198-1)</f>
        <v>45201</v>
      </c>
      <c r="D3198" s="362">
        <f t="shared" ca="1" si="99"/>
        <v>243524421.07789662</v>
      </c>
    </row>
    <row r="3199" spans="1:4">
      <c r="A3199" s="348">
        <f t="shared" si="100"/>
        <v>3198</v>
      </c>
      <c r="B3199" s="360">
        <f>DATE('Profit Calculation'!J$6,A$2,A$2+A3199-1)</f>
        <v>45202</v>
      </c>
      <c r="D3199" s="362">
        <f t="shared" ca="1" si="99"/>
        <v>243617686.73045576</v>
      </c>
    </row>
    <row r="3200" spans="1:4">
      <c r="A3200" s="348">
        <f t="shared" si="100"/>
        <v>3199</v>
      </c>
      <c r="B3200" s="360">
        <f>DATE('Profit Calculation'!J$6,A$2,A$2+A3200-1)</f>
        <v>45203</v>
      </c>
      <c r="D3200" s="362">
        <f t="shared" ca="1" si="99"/>
        <v>243710988.10215101</v>
      </c>
    </row>
    <row r="3201" spans="1:4">
      <c r="A3201" s="348">
        <f t="shared" si="100"/>
        <v>3200</v>
      </c>
      <c r="B3201" s="360">
        <f>DATE('Profit Calculation'!J$6,A$2,A$2+A3201-1)</f>
        <v>45204</v>
      </c>
      <c r="D3201" s="362">
        <f t="shared" ca="1" si="99"/>
        <v>243804325.20666221</v>
      </c>
    </row>
    <row r="3202" spans="1:4">
      <c r="A3202" s="348">
        <f t="shared" si="100"/>
        <v>3201</v>
      </c>
      <c r="B3202" s="360">
        <f>DATE('Profit Calculation'!J$6,A$2,A$2+A3202-1)</f>
        <v>45205</v>
      </c>
      <c r="D3202" s="362">
        <f t="shared" ca="1" si="99"/>
        <v>243897698.05767441</v>
      </c>
    </row>
    <row r="3203" spans="1:4">
      <c r="A3203" s="348">
        <f t="shared" si="100"/>
        <v>3202</v>
      </c>
      <c r="B3203" s="360">
        <f>DATE('Profit Calculation'!J$6,A$2,A$2+A3203-1)</f>
        <v>45206</v>
      </c>
      <c r="D3203" s="362">
        <f t="shared" ca="1" si="99"/>
        <v>243991106.66887787</v>
      </c>
    </row>
    <row r="3204" spans="1:4">
      <c r="A3204" s="348">
        <f t="shared" si="100"/>
        <v>3203</v>
      </c>
      <c r="B3204" s="360">
        <f>DATE('Profit Calculation'!J$6,A$2,A$2+A3204-1)</f>
        <v>45207</v>
      </c>
      <c r="D3204" s="362">
        <f t="shared" ref="D3204:D3267" ca="1" si="101">IF(OR(LOOKUP(B3204,W$1:W$35,W$1:W$35) = B3204, LOOKUP(B3204,X$1:X$35,X$1:X$35) = B3204),LOOKUP(B3204,F:F,G:G),D3203*(1+((IF($Q$18&lt;6,$R$14,IF($Q$18&lt;11,$R$15,$R$16)))))^(1/365))</f>
        <v>244084551.05396816</v>
      </c>
    </row>
    <row r="3205" spans="1:4">
      <c r="A3205" s="348">
        <f t="shared" ref="A3205:A3268" si="102">A3204+1</f>
        <v>3204</v>
      </c>
      <c r="B3205" s="360">
        <f>DATE('Profit Calculation'!J$6,A$2,A$2+A3205-1)</f>
        <v>45208</v>
      </c>
      <c r="D3205" s="362">
        <f t="shared" ca="1" si="101"/>
        <v>244178031.22664607</v>
      </c>
    </row>
    <row r="3206" spans="1:4">
      <c r="A3206" s="348">
        <f t="shared" si="102"/>
        <v>3205</v>
      </c>
      <c r="B3206" s="360">
        <f>DATE('Profit Calculation'!J$6,A$2,A$2+A3206-1)</f>
        <v>45209</v>
      </c>
      <c r="D3206" s="362">
        <f t="shared" ca="1" si="101"/>
        <v>244271547.20061761</v>
      </c>
    </row>
    <row r="3207" spans="1:4">
      <c r="A3207" s="348">
        <f t="shared" si="102"/>
        <v>3206</v>
      </c>
      <c r="B3207" s="360">
        <f>DATE('Profit Calculation'!J$6,A$2,A$2+A3207-1)</f>
        <v>45210</v>
      </c>
      <c r="D3207" s="362">
        <f t="shared" ca="1" si="101"/>
        <v>244365098.98959407</v>
      </c>
    </row>
    <row r="3208" spans="1:4">
      <c r="A3208" s="348">
        <f t="shared" si="102"/>
        <v>3207</v>
      </c>
      <c r="B3208" s="360">
        <f>DATE('Profit Calculation'!J$6,A$2,A$2+A3208-1)</f>
        <v>45211</v>
      </c>
      <c r="D3208" s="362">
        <f t="shared" ca="1" si="101"/>
        <v>244458686.60729197</v>
      </c>
    </row>
    <row r="3209" spans="1:4">
      <c r="A3209" s="348">
        <f t="shared" si="102"/>
        <v>3208</v>
      </c>
      <c r="B3209" s="360">
        <f>DATE('Profit Calculation'!J$6,A$2,A$2+A3209-1)</f>
        <v>45212</v>
      </c>
      <c r="D3209" s="362">
        <f t="shared" ca="1" si="101"/>
        <v>244552310.06743309</v>
      </c>
    </row>
    <row r="3210" spans="1:4">
      <c r="A3210" s="348">
        <f t="shared" si="102"/>
        <v>3209</v>
      </c>
      <c r="B3210" s="360">
        <f>DATE('Profit Calculation'!J$6,A$2,A$2+A3210-1)</f>
        <v>45213</v>
      </c>
      <c r="D3210" s="362">
        <f t="shared" ca="1" si="101"/>
        <v>244645969.38374448</v>
      </c>
    </row>
    <row r="3211" spans="1:4">
      <c r="A3211" s="348">
        <f t="shared" si="102"/>
        <v>3210</v>
      </c>
      <c r="B3211" s="360">
        <f>DATE('Profit Calculation'!J$6,A$2,A$2+A3211-1)</f>
        <v>45214</v>
      </c>
      <c r="D3211" s="362">
        <f t="shared" ca="1" si="101"/>
        <v>244739664.56995842</v>
      </c>
    </row>
    <row r="3212" spans="1:4">
      <c r="A3212" s="348">
        <f t="shared" si="102"/>
        <v>3211</v>
      </c>
      <c r="B3212" s="360">
        <f>DATE('Profit Calculation'!J$6,A$2,A$2+A3212-1)</f>
        <v>45215</v>
      </c>
      <c r="D3212" s="362">
        <f t="shared" ca="1" si="101"/>
        <v>244833395.63981247</v>
      </c>
    </row>
    <row r="3213" spans="1:4">
      <c r="A3213" s="348">
        <f t="shared" si="102"/>
        <v>3212</v>
      </c>
      <c r="B3213" s="360">
        <f>DATE('Profit Calculation'!J$6,A$2,A$2+A3213-1)</f>
        <v>45216</v>
      </c>
      <c r="D3213" s="362">
        <f t="shared" ca="1" si="101"/>
        <v>244927162.60704944</v>
      </c>
    </row>
    <row r="3214" spans="1:4">
      <c r="A3214" s="348">
        <f t="shared" si="102"/>
        <v>3213</v>
      </c>
      <c r="B3214" s="360">
        <f>DATE('Profit Calculation'!J$6,A$2,A$2+A3214-1)</f>
        <v>45217</v>
      </c>
      <c r="D3214" s="362">
        <f t="shared" ca="1" si="101"/>
        <v>245020965.4854174</v>
      </c>
    </row>
    <row r="3215" spans="1:4">
      <c r="A3215" s="348">
        <f t="shared" si="102"/>
        <v>3214</v>
      </c>
      <c r="B3215" s="360">
        <f>DATE('Profit Calculation'!J$6,A$2,A$2+A3215-1)</f>
        <v>45218</v>
      </c>
      <c r="D3215" s="362">
        <f t="shared" ca="1" si="101"/>
        <v>245114804.28866971</v>
      </c>
    </row>
    <row r="3216" spans="1:4">
      <c r="A3216" s="348">
        <f t="shared" si="102"/>
        <v>3215</v>
      </c>
      <c r="B3216" s="360">
        <f>DATE('Profit Calculation'!J$6,A$2,A$2+A3216-1)</f>
        <v>45219</v>
      </c>
      <c r="D3216" s="362">
        <f t="shared" ca="1" si="101"/>
        <v>245208679.03056499</v>
      </c>
    </row>
    <row r="3217" spans="1:4">
      <c r="A3217" s="348">
        <f t="shared" si="102"/>
        <v>3216</v>
      </c>
      <c r="B3217" s="360">
        <f>DATE('Profit Calculation'!J$6,A$2,A$2+A3217-1)</f>
        <v>45220</v>
      </c>
      <c r="D3217" s="362">
        <f t="shared" ca="1" si="101"/>
        <v>245302589.72486711</v>
      </c>
    </row>
    <row r="3218" spans="1:4">
      <c r="A3218" s="348">
        <f t="shared" si="102"/>
        <v>3217</v>
      </c>
      <c r="B3218" s="360">
        <f>DATE('Profit Calculation'!J$6,A$2,A$2+A3218-1)</f>
        <v>45221</v>
      </c>
      <c r="D3218" s="362">
        <f t="shared" ca="1" si="101"/>
        <v>245396536.38534522</v>
      </c>
    </row>
    <row r="3219" spans="1:4">
      <c r="A3219" s="348">
        <f t="shared" si="102"/>
        <v>3218</v>
      </c>
      <c r="B3219" s="360">
        <f>DATE('Profit Calculation'!J$6,A$2,A$2+A3219-1)</f>
        <v>45222</v>
      </c>
      <c r="D3219" s="362">
        <f t="shared" ca="1" si="101"/>
        <v>245490519.02577373</v>
      </c>
    </row>
    <row r="3220" spans="1:4">
      <c r="A3220" s="348">
        <f t="shared" si="102"/>
        <v>3219</v>
      </c>
      <c r="B3220" s="360">
        <f>DATE('Profit Calculation'!J$6,A$2,A$2+A3220-1)</f>
        <v>45223</v>
      </c>
      <c r="D3220" s="362">
        <f t="shared" ca="1" si="101"/>
        <v>245584537.65993237</v>
      </c>
    </row>
    <row r="3221" spans="1:4">
      <c r="A3221" s="348">
        <f t="shared" si="102"/>
        <v>3220</v>
      </c>
      <c r="B3221" s="360">
        <f>DATE('Profit Calculation'!J$6,A$2,A$2+A3221-1)</f>
        <v>45224</v>
      </c>
      <c r="D3221" s="362">
        <f t="shared" ca="1" si="101"/>
        <v>245678592.30160612</v>
      </c>
    </row>
    <row r="3222" spans="1:4">
      <c r="A3222" s="348">
        <f t="shared" si="102"/>
        <v>3221</v>
      </c>
      <c r="B3222" s="360">
        <f>DATE('Profit Calculation'!J$6,A$2,A$2+A3222-1)</f>
        <v>45225</v>
      </c>
      <c r="D3222" s="362">
        <f t="shared" ca="1" si="101"/>
        <v>245772682.96458519</v>
      </c>
    </row>
    <row r="3223" spans="1:4">
      <c r="A3223" s="348">
        <f t="shared" si="102"/>
        <v>3222</v>
      </c>
      <c r="B3223" s="360">
        <f>DATE('Profit Calculation'!J$6,A$2,A$2+A3223-1)</f>
        <v>45226</v>
      </c>
      <c r="D3223" s="362">
        <f t="shared" ca="1" si="101"/>
        <v>245866809.66266516</v>
      </c>
    </row>
    <row r="3224" spans="1:4">
      <c r="A3224" s="348">
        <f t="shared" si="102"/>
        <v>3223</v>
      </c>
      <c r="B3224" s="360">
        <f>DATE('Profit Calculation'!J$6,A$2,A$2+A3224-1)</f>
        <v>45227</v>
      </c>
      <c r="D3224" s="362">
        <f t="shared" ca="1" si="101"/>
        <v>245960972.40964684</v>
      </c>
    </row>
    <row r="3225" spans="1:4">
      <c r="A3225" s="348">
        <f t="shared" si="102"/>
        <v>3224</v>
      </c>
      <c r="B3225" s="360">
        <f>DATE('Profit Calculation'!J$6,A$2,A$2+A3225-1)</f>
        <v>45228</v>
      </c>
      <c r="D3225" s="362">
        <f t="shared" ca="1" si="101"/>
        <v>246055171.21933633</v>
      </c>
    </row>
    <row r="3226" spans="1:4">
      <c r="A3226" s="348">
        <f t="shared" si="102"/>
        <v>3225</v>
      </c>
      <c r="B3226" s="360">
        <f>DATE('Profit Calculation'!J$6,A$2,A$2+A3226-1)</f>
        <v>45229</v>
      </c>
      <c r="D3226" s="362">
        <f t="shared" ca="1" si="101"/>
        <v>246149406.10554504</v>
      </c>
    </row>
    <row r="3227" spans="1:4">
      <c r="A3227" s="348">
        <f t="shared" si="102"/>
        <v>3226</v>
      </c>
      <c r="B3227" s="360">
        <f>DATE('Profit Calculation'!J$6,A$2,A$2+A3227-1)</f>
        <v>45230</v>
      </c>
      <c r="D3227" s="362">
        <f t="shared" ca="1" si="101"/>
        <v>246243677.08208966</v>
      </c>
    </row>
    <row r="3228" spans="1:4">
      <c r="A3228" s="348">
        <f t="shared" si="102"/>
        <v>3227</v>
      </c>
      <c r="B3228" s="360">
        <f>DATE('Profit Calculation'!J$6,A$2,A$2+A3228-1)</f>
        <v>45231</v>
      </c>
      <c r="D3228" s="362">
        <f t="shared" ca="1" si="101"/>
        <v>246337984.16279215</v>
      </c>
    </row>
    <row r="3229" spans="1:4">
      <c r="A3229" s="348">
        <f t="shared" si="102"/>
        <v>3228</v>
      </c>
      <c r="B3229" s="360">
        <f>DATE('Profit Calculation'!J$6,A$2,A$2+A3229-1)</f>
        <v>45232</v>
      </c>
      <c r="D3229" s="362">
        <f t="shared" ca="1" si="101"/>
        <v>246432327.36147979</v>
      </c>
    </row>
    <row r="3230" spans="1:4">
      <c r="A3230" s="348">
        <f t="shared" si="102"/>
        <v>3229</v>
      </c>
      <c r="B3230" s="360">
        <f>DATE('Profit Calculation'!J$6,A$2,A$2+A3230-1)</f>
        <v>45233</v>
      </c>
      <c r="D3230" s="362">
        <f t="shared" ca="1" si="101"/>
        <v>246526706.69198513</v>
      </c>
    </row>
    <row r="3231" spans="1:4">
      <c r="A3231" s="348">
        <f t="shared" si="102"/>
        <v>3230</v>
      </c>
      <c r="B3231" s="360">
        <f>DATE('Profit Calculation'!J$6,A$2,A$2+A3231-1)</f>
        <v>45234</v>
      </c>
      <c r="D3231" s="362">
        <f t="shared" ca="1" si="101"/>
        <v>246621122.16814604</v>
      </c>
    </row>
    <row r="3232" spans="1:4">
      <c r="A3232" s="348">
        <f t="shared" si="102"/>
        <v>3231</v>
      </c>
      <c r="B3232" s="360">
        <f>DATE('Profit Calculation'!J$6,A$2,A$2+A3232-1)</f>
        <v>45235</v>
      </c>
      <c r="D3232" s="362">
        <f t="shared" ca="1" si="101"/>
        <v>246715573.80380568</v>
      </c>
    </row>
    <row r="3233" spans="1:4">
      <c r="A3233" s="348">
        <f t="shared" si="102"/>
        <v>3232</v>
      </c>
      <c r="B3233" s="360">
        <f>DATE('Profit Calculation'!J$6,A$2,A$2+A3233-1)</f>
        <v>45236</v>
      </c>
      <c r="D3233" s="362">
        <f t="shared" ca="1" si="101"/>
        <v>246810061.61281252</v>
      </c>
    </row>
    <row r="3234" spans="1:4">
      <c r="A3234" s="348">
        <f t="shared" si="102"/>
        <v>3233</v>
      </c>
      <c r="B3234" s="360">
        <f>DATE('Profit Calculation'!J$6,A$2,A$2+A3234-1)</f>
        <v>45237</v>
      </c>
      <c r="D3234" s="362">
        <f t="shared" ca="1" si="101"/>
        <v>246904585.60902032</v>
      </c>
    </row>
    <row r="3235" spans="1:4">
      <c r="A3235" s="348">
        <f t="shared" si="102"/>
        <v>3234</v>
      </c>
      <c r="B3235" s="360">
        <f>DATE('Profit Calculation'!J$6,A$2,A$2+A3235-1)</f>
        <v>45238</v>
      </c>
      <c r="D3235" s="362">
        <f t="shared" ca="1" si="101"/>
        <v>246999145.80628818</v>
      </c>
    </row>
    <row r="3236" spans="1:4">
      <c r="A3236" s="348">
        <f t="shared" si="102"/>
        <v>3235</v>
      </c>
      <c r="B3236" s="360">
        <f>DATE('Profit Calculation'!J$6,A$2,A$2+A3236-1)</f>
        <v>45239</v>
      </c>
      <c r="D3236" s="362">
        <f t="shared" ca="1" si="101"/>
        <v>247093742.21848047</v>
      </c>
    </row>
    <row r="3237" spans="1:4">
      <c r="A3237" s="348">
        <f t="shared" si="102"/>
        <v>3236</v>
      </c>
      <c r="B3237" s="360">
        <f>DATE('Profit Calculation'!J$6,A$2,A$2+A3237-1)</f>
        <v>45240</v>
      </c>
      <c r="D3237" s="362">
        <f t="shared" ca="1" si="101"/>
        <v>247188374.85946685</v>
      </c>
    </row>
    <row r="3238" spans="1:4">
      <c r="A3238" s="348">
        <f t="shared" si="102"/>
        <v>3237</v>
      </c>
      <c r="B3238" s="360">
        <f>DATE('Profit Calculation'!J$6,A$2,A$2+A3238-1)</f>
        <v>45241</v>
      </c>
      <c r="D3238" s="362">
        <f t="shared" ca="1" si="101"/>
        <v>247283043.74312237</v>
      </c>
    </row>
    <row r="3239" spans="1:4">
      <c r="A3239" s="348">
        <f t="shared" si="102"/>
        <v>3238</v>
      </c>
      <c r="B3239" s="360">
        <f>DATE('Profit Calculation'!J$6,A$2,A$2+A3239-1)</f>
        <v>45242</v>
      </c>
      <c r="D3239" s="362">
        <f t="shared" ca="1" si="101"/>
        <v>247377748.88332731</v>
      </c>
    </row>
    <row r="3240" spans="1:4">
      <c r="A3240" s="348">
        <f t="shared" si="102"/>
        <v>3239</v>
      </c>
      <c r="B3240" s="360">
        <f>DATE('Profit Calculation'!J$6,A$2,A$2+A3240-1)</f>
        <v>45243</v>
      </c>
      <c r="D3240" s="362">
        <f t="shared" ca="1" si="101"/>
        <v>247472490.29396731</v>
      </c>
    </row>
    <row r="3241" spans="1:4">
      <c r="A3241" s="348">
        <f t="shared" si="102"/>
        <v>3240</v>
      </c>
      <c r="B3241" s="360">
        <f>DATE('Profit Calculation'!J$6,A$2,A$2+A3241-1)</f>
        <v>45244</v>
      </c>
      <c r="D3241" s="362">
        <f t="shared" ca="1" si="101"/>
        <v>247567267.98893332</v>
      </c>
    </row>
    <row r="3242" spans="1:4">
      <c r="A3242" s="348">
        <f t="shared" si="102"/>
        <v>3241</v>
      </c>
      <c r="B3242" s="360">
        <f>DATE('Profit Calculation'!J$6,A$2,A$2+A3242-1)</f>
        <v>45245</v>
      </c>
      <c r="D3242" s="362">
        <f t="shared" ca="1" si="101"/>
        <v>247662081.98212165</v>
      </c>
    </row>
    <row r="3243" spans="1:4">
      <c r="A3243" s="348">
        <f t="shared" si="102"/>
        <v>3242</v>
      </c>
      <c r="B3243" s="360">
        <f>DATE('Profit Calculation'!J$6,A$2,A$2+A3243-1)</f>
        <v>45246</v>
      </c>
      <c r="D3243" s="362">
        <f t="shared" ca="1" si="101"/>
        <v>247756932.28743383</v>
      </c>
    </row>
    <row r="3244" spans="1:4">
      <c r="A3244" s="348">
        <f t="shared" si="102"/>
        <v>3243</v>
      </c>
      <c r="B3244" s="360">
        <f>DATE('Profit Calculation'!J$6,A$2,A$2+A3244-1)</f>
        <v>45247</v>
      </c>
      <c r="D3244" s="362">
        <f t="shared" ca="1" si="101"/>
        <v>247851818.91877681</v>
      </c>
    </row>
    <row r="3245" spans="1:4">
      <c r="A3245" s="348">
        <f t="shared" si="102"/>
        <v>3244</v>
      </c>
      <c r="B3245" s="360">
        <f>DATE('Profit Calculation'!J$6,A$2,A$2+A3245-1)</f>
        <v>45248</v>
      </c>
      <c r="D3245" s="362">
        <f t="shared" ca="1" si="101"/>
        <v>247946741.89006284</v>
      </c>
    </row>
    <row r="3246" spans="1:4">
      <c r="A3246" s="348">
        <f t="shared" si="102"/>
        <v>3245</v>
      </c>
      <c r="B3246" s="360">
        <f>DATE('Profit Calculation'!J$6,A$2,A$2+A3246-1)</f>
        <v>45249</v>
      </c>
      <c r="D3246" s="362">
        <f t="shared" ca="1" si="101"/>
        <v>248041701.21520948</v>
      </c>
    </row>
    <row r="3247" spans="1:4">
      <c r="A3247" s="348">
        <f t="shared" si="102"/>
        <v>3246</v>
      </c>
      <c r="B3247" s="360">
        <f>DATE('Profit Calculation'!J$6,A$2,A$2+A3247-1)</f>
        <v>45250</v>
      </c>
      <c r="D3247" s="362">
        <f t="shared" ca="1" si="101"/>
        <v>248136696.90813965</v>
      </c>
    </row>
    <row r="3248" spans="1:4">
      <c r="A3248" s="348">
        <f t="shared" si="102"/>
        <v>3247</v>
      </c>
      <c r="B3248" s="360">
        <f>DATE('Profit Calculation'!J$6,A$2,A$2+A3248-1)</f>
        <v>45251</v>
      </c>
      <c r="D3248" s="362">
        <f t="shared" ca="1" si="101"/>
        <v>248231728.98278156</v>
      </c>
    </row>
    <row r="3249" spans="1:4">
      <c r="A3249" s="348">
        <f t="shared" si="102"/>
        <v>3248</v>
      </c>
      <c r="B3249" s="360">
        <f>DATE('Profit Calculation'!J$6,A$2,A$2+A3249-1)</f>
        <v>45252</v>
      </c>
      <c r="D3249" s="362">
        <f t="shared" ca="1" si="101"/>
        <v>248326797.45306879</v>
      </c>
    </row>
    <row r="3250" spans="1:4">
      <c r="A3250" s="348">
        <f t="shared" si="102"/>
        <v>3249</v>
      </c>
      <c r="B3250" s="360">
        <f>DATE('Profit Calculation'!J$6,A$2,A$2+A3250-1)</f>
        <v>45253</v>
      </c>
      <c r="D3250" s="362">
        <f t="shared" ca="1" si="101"/>
        <v>248421902.33294025</v>
      </c>
    </row>
    <row r="3251" spans="1:4">
      <c r="A3251" s="348">
        <f t="shared" si="102"/>
        <v>3250</v>
      </c>
      <c r="B3251" s="360">
        <f>DATE('Profit Calculation'!J$6,A$2,A$2+A3251-1)</f>
        <v>45254</v>
      </c>
      <c r="D3251" s="362">
        <f t="shared" ca="1" si="101"/>
        <v>248517043.63634017</v>
      </c>
    </row>
    <row r="3252" spans="1:4">
      <c r="A3252" s="348">
        <f t="shared" si="102"/>
        <v>3251</v>
      </c>
      <c r="B3252" s="360">
        <f>DATE('Profit Calculation'!J$6,A$2,A$2+A3252-1)</f>
        <v>45255</v>
      </c>
      <c r="D3252" s="362">
        <f t="shared" ca="1" si="101"/>
        <v>248612221.37721813</v>
      </c>
    </row>
    <row r="3253" spans="1:4">
      <c r="A3253" s="348">
        <f t="shared" si="102"/>
        <v>3252</v>
      </c>
      <c r="B3253" s="360">
        <f>DATE('Profit Calculation'!J$6,A$2,A$2+A3253-1)</f>
        <v>45256</v>
      </c>
      <c r="D3253" s="362">
        <f t="shared" ca="1" si="101"/>
        <v>248707435.56952906</v>
      </c>
    </row>
    <row r="3254" spans="1:4">
      <c r="A3254" s="348">
        <f t="shared" si="102"/>
        <v>3253</v>
      </c>
      <c r="B3254" s="360">
        <f>DATE('Profit Calculation'!J$6,A$2,A$2+A3254-1)</f>
        <v>45257</v>
      </c>
      <c r="D3254" s="362">
        <f t="shared" ca="1" si="101"/>
        <v>248802686.22723323</v>
      </c>
    </row>
    <row r="3255" spans="1:4">
      <c r="A3255" s="348">
        <f t="shared" si="102"/>
        <v>3254</v>
      </c>
      <c r="B3255" s="360">
        <f>DATE('Profit Calculation'!J$6,A$2,A$2+A3255-1)</f>
        <v>45258</v>
      </c>
      <c r="D3255" s="362">
        <f t="shared" ca="1" si="101"/>
        <v>248897973.36429626</v>
      </c>
    </row>
    <row r="3256" spans="1:4">
      <c r="A3256" s="348">
        <f t="shared" si="102"/>
        <v>3255</v>
      </c>
      <c r="B3256" s="360">
        <f>DATE('Profit Calculation'!J$6,A$2,A$2+A3256-1)</f>
        <v>45259</v>
      </c>
      <c r="D3256" s="362">
        <f t="shared" ca="1" si="101"/>
        <v>248993296.99468911</v>
      </c>
    </row>
    <row r="3257" spans="1:4">
      <c r="A3257" s="348">
        <f t="shared" si="102"/>
        <v>3256</v>
      </c>
      <c r="B3257" s="360">
        <f>DATE('Profit Calculation'!J$6,A$2,A$2+A3257-1)</f>
        <v>45260</v>
      </c>
      <c r="D3257" s="362">
        <f t="shared" ca="1" si="101"/>
        <v>249088657.13238811</v>
      </c>
    </row>
    <row r="3258" spans="1:4">
      <c r="A3258" s="348">
        <f t="shared" si="102"/>
        <v>3257</v>
      </c>
      <c r="B3258" s="360">
        <f>DATE('Profit Calculation'!J$6,A$2,A$2+A3258-1)</f>
        <v>45261</v>
      </c>
      <c r="D3258" s="362">
        <f t="shared" ca="1" si="101"/>
        <v>249184053.79137492</v>
      </c>
    </row>
    <row r="3259" spans="1:4">
      <c r="A3259" s="348">
        <f t="shared" si="102"/>
        <v>3258</v>
      </c>
      <c r="B3259" s="360">
        <f>DATE('Profit Calculation'!J$6,A$2,A$2+A3259-1)</f>
        <v>45262</v>
      </c>
      <c r="D3259" s="362">
        <f t="shared" ca="1" si="101"/>
        <v>249279486.98563656</v>
      </c>
    </row>
    <row r="3260" spans="1:4">
      <c r="A3260" s="348">
        <f t="shared" si="102"/>
        <v>3259</v>
      </c>
      <c r="B3260" s="360">
        <f>DATE('Profit Calculation'!J$6,A$2,A$2+A3260-1)</f>
        <v>45263</v>
      </c>
      <c r="D3260" s="362">
        <f t="shared" ca="1" si="101"/>
        <v>249374956.72916541</v>
      </c>
    </row>
    <row r="3261" spans="1:4">
      <c r="A3261" s="348">
        <f t="shared" si="102"/>
        <v>3260</v>
      </c>
      <c r="B3261" s="360">
        <f>DATE('Profit Calculation'!J$6,A$2,A$2+A3261-1)</f>
        <v>45264</v>
      </c>
      <c r="D3261" s="362">
        <f t="shared" ca="1" si="101"/>
        <v>249470463.03595921</v>
      </c>
    </row>
    <row r="3262" spans="1:4">
      <c r="A3262" s="348">
        <f t="shared" si="102"/>
        <v>3261</v>
      </c>
      <c r="B3262" s="360">
        <f>DATE('Profit Calculation'!J$6,A$2,A$2+A3262-1)</f>
        <v>45265</v>
      </c>
      <c r="D3262" s="362">
        <f t="shared" ca="1" si="101"/>
        <v>249566005.92002106</v>
      </c>
    </row>
    <row r="3263" spans="1:4">
      <c r="A3263" s="348">
        <f t="shared" si="102"/>
        <v>3262</v>
      </c>
      <c r="B3263" s="360">
        <f>DATE('Profit Calculation'!J$6,A$2,A$2+A3263-1)</f>
        <v>45266</v>
      </c>
      <c r="D3263" s="362">
        <f t="shared" ca="1" si="101"/>
        <v>249661585.39535943</v>
      </c>
    </row>
    <row r="3264" spans="1:4">
      <c r="A3264" s="348">
        <f t="shared" si="102"/>
        <v>3263</v>
      </c>
      <c r="B3264" s="360">
        <f>DATE('Profit Calculation'!J$6,A$2,A$2+A3264-1)</f>
        <v>45267</v>
      </c>
      <c r="D3264" s="362">
        <f t="shared" ca="1" si="101"/>
        <v>249757201.47598812</v>
      </c>
    </row>
    <row r="3265" spans="1:8">
      <c r="A3265" s="348">
        <f t="shared" si="102"/>
        <v>3264</v>
      </c>
      <c r="B3265" s="360">
        <f>DATE('Profit Calculation'!J$6,A$2,A$2+A3265-1)</f>
        <v>45268</v>
      </c>
      <c r="D3265" s="362">
        <f t="shared" ca="1" si="101"/>
        <v>249852854.17592636</v>
      </c>
    </row>
    <row r="3266" spans="1:8">
      <c r="A3266" s="348">
        <f t="shared" si="102"/>
        <v>3265</v>
      </c>
      <c r="B3266" s="360">
        <f>DATE('Profit Calculation'!J$6,A$2,A$2+A3266-1)</f>
        <v>45269</v>
      </c>
      <c r="D3266" s="362">
        <f t="shared" ca="1" si="101"/>
        <v>249948543.5091987</v>
      </c>
    </row>
    <row r="3267" spans="1:8">
      <c r="A3267" s="348">
        <f t="shared" si="102"/>
        <v>3266</v>
      </c>
      <c r="B3267" s="360">
        <f>DATE('Profit Calculation'!J$6,A$2,A$2+A3267-1)</f>
        <v>45270</v>
      </c>
      <c r="D3267" s="362">
        <f t="shared" ca="1" si="101"/>
        <v>250044269.48983508</v>
      </c>
    </row>
    <row r="3268" spans="1:8">
      <c r="A3268" s="348">
        <f t="shared" si="102"/>
        <v>3267</v>
      </c>
      <c r="B3268" s="360">
        <f>DATE('Profit Calculation'!J$6,A$2,A$2+A3268-1)</f>
        <v>45271</v>
      </c>
      <c r="D3268" s="362">
        <f t="shared" ref="D3268:D3331" ca="1" si="103">IF(OR(LOOKUP(B3268,W$1:W$35,W$1:W$35) = B3268, LOOKUP(B3268,X$1:X$35,X$1:X$35) = B3268),LOOKUP(B3268,F:F,G:G),D3267*(1+((IF($Q$18&lt;6,$R$14,IF($Q$18&lt;11,$R$15,$R$16)))))^(1/365))</f>
        <v>250140032.13187081</v>
      </c>
    </row>
    <row r="3269" spans="1:8">
      <c r="A3269" s="348">
        <f t="shared" ref="A3269:A3332" si="104">A3268+1</f>
        <v>3268</v>
      </c>
      <c r="B3269" s="360">
        <f>DATE('Profit Calculation'!J$6,A$2,A$2+A3269-1)</f>
        <v>45272</v>
      </c>
      <c r="D3269" s="362">
        <f t="shared" ca="1" si="103"/>
        <v>250235831.44934654</v>
      </c>
    </row>
    <row r="3270" spans="1:8">
      <c r="A3270" s="348">
        <f t="shared" si="104"/>
        <v>3269</v>
      </c>
      <c r="B3270" s="360">
        <f>DATE('Profit Calculation'!J$6,A$2,A$2+A3270-1)</f>
        <v>45273</v>
      </c>
      <c r="D3270" s="362">
        <f t="shared" ca="1" si="103"/>
        <v>250331667.45630836</v>
      </c>
    </row>
    <row r="3271" spans="1:8">
      <c r="A3271" s="348">
        <f t="shared" si="104"/>
        <v>3270</v>
      </c>
      <c r="B3271" s="360">
        <f>DATE('Profit Calculation'!J$6,A$2,A$2+A3271-1)</f>
        <v>45274</v>
      </c>
      <c r="D3271" s="362">
        <f t="shared" ca="1" si="103"/>
        <v>250427540.16680774</v>
      </c>
      <c r="H3271" s="78"/>
    </row>
    <row r="3272" spans="1:8">
      <c r="A3272" s="348">
        <f t="shared" si="104"/>
        <v>3271</v>
      </c>
      <c r="B3272" s="360">
        <f>DATE('Profit Calculation'!J$6,A$2,A$2+A3272-1)</f>
        <v>45275</v>
      </c>
      <c r="D3272" s="362">
        <f t="shared" ca="1" si="103"/>
        <v>250523449.59490144</v>
      </c>
    </row>
    <row r="3273" spans="1:8">
      <c r="A3273" s="348">
        <f t="shared" si="104"/>
        <v>3272</v>
      </c>
      <c r="B3273" s="360">
        <f>DATE('Profit Calculation'!J$6,A$2,A$2+A3273-1)</f>
        <v>45276</v>
      </c>
      <c r="D3273" s="362">
        <f t="shared" ca="1" si="103"/>
        <v>250619395.7546517</v>
      </c>
    </row>
    <row r="3274" spans="1:8">
      <c r="A3274" s="348">
        <f t="shared" si="104"/>
        <v>3273</v>
      </c>
      <c r="B3274" s="360">
        <f>DATE('Profit Calculation'!J$6,A$2,A$2+A3274-1)</f>
        <v>45277</v>
      </c>
      <c r="D3274" s="362">
        <f t="shared" ca="1" si="103"/>
        <v>250715378.66012612</v>
      </c>
    </row>
    <row r="3275" spans="1:8">
      <c r="A3275" s="348">
        <f t="shared" si="104"/>
        <v>3274</v>
      </c>
      <c r="B3275" s="360">
        <f>DATE('Profit Calculation'!J$6,A$2,A$2+A3275-1)</f>
        <v>45278</v>
      </c>
      <c r="D3275" s="362">
        <f t="shared" ca="1" si="103"/>
        <v>250811398.32539767</v>
      </c>
    </row>
    <row r="3276" spans="1:8">
      <c r="A3276" s="348">
        <f t="shared" si="104"/>
        <v>3275</v>
      </c>
      <c r="B3276" s="360">
        <f>DATE('Profit Calculation'!J$6,A$2,A$2+A3276-1)</f>
        <v>45279</v>
      </c>
      <c r="D3276" s="362">
        <f t="shared" ca="1" si="103"/>
        <v>250907454.7645447</v>
      </c>
    </row>
    <row r="3277" spans="1:8">
      <c r="A3277" s="348">
        <f t="shared" si="104"/>
        <v>3276</v>
      </c>
      <c r="B3277" s="360">
        <f>DATE('Profit Calculation'!J$6,A$2,A$2+A3277-1)</f>
        <v>45280</v>
      </c>
      <c r="D3277" s="362">
        <f t="shared" ca="1" si="103"/>
        <v>251003547.99165097</v>
      </c>
    </row>
    <row r="3278" spans="1:8">
      <c r="A3278" s="348">
        <f t="shared" si="104"/>
        <v>3277</v>
      </c>
      <c r="B3278" s="360">
        <f>DATE('Profit Calculation'!J$6,A$2,A$2+A3278-1)</f>
        <v>45281</v>
      </c>
      <c r="D3278" s="362">
        <f t="shared" ca="1" si="103"/>
        <v>251099678.02080566</v>
      </c>
    </row>
    <row r="3279" spans="1:8">
      <c r="A3279" s="348">
        <f t="shared" si="104"/>
        <v>3278</v>
      </c>
      <c r="B3279" s="360">
        <f>DATE('Profit Calculation'!J$6,A$2,A$2+A3279-1)</f>
        <v>45282</v>
      </c>
      <c r="D3279" s="362">
        <f t="shared" ca="1" si="103"/>
        <v>251195844.86610329</v>
      </c>
    </row>
    <row r="3280" spans="1:8">
      <c r="A3280" s="348">
        <f t="shared" si="104"/>
        <v>3279</v>
      </c>
      <c r="B3280" s="360">
        <f>DATE('Profit Calculation'!J$6,A$2,A$2+A3280-1)</f>
        <v>45283</v>
      </c>
      <c r="D3280" s="362">
        <f t="shared" ca="1" si="103"/>
        <v>251292048.54164383</v>
      </c>
    </row>
    <row r="3281" spans="1:4">
      <c r="A3281" s="348">
        <f t="shared" si="104"/>
        <v>3280</v>
      </c>
      <c r="B3281" s="360">
        <f>DATE('Profit Calculation'!J$6,A$2,A$2+A3281-1)</f>
        <v>45284</v>
      </c>
      <c r="D3281" s="362">
        <f t="shared" ca="1" si="103"/>
        <v>251388289.06153262</v>
      </c>
    </row>
    <row r="3282" spans="1:4">
      <c r="A3282" s="348">
        <f t="shared" si="104"/>
        <v>3281</v>
      </c>
      <c r="B3282" s="360">
        <f>DATE('Profit Calculation'!J$6,A$2,A$2+A3282-1)</f>
        <v>45285</v>
      </c>
      <c r="D3282" s="362">
        <f t="shared" ca="1" si="103"/>
        <v>251484566.4398804</v>
      </c>
    </row>
    <row r="3283" spans="1:4">
      <c r="A3283" s="348">
        <f t="shared" si="104"/>
        <v>3282</v>
      </c>
      <c r="B3283" s="360">
        <f>DATE('Profit Calculation'!J$6,A$2,A$2+A3283-1)</f>
        <v>45286</v>
      </c>
      <c r="D3283" s="362">
        <f t="shared" ca="1" si="103"/>
        <v>251580880.69080335</v>
      </c>
    </row>
    <row r="3284" spans="1:4">
      <c r="A3284" s="348">
        <f t="shared" si="104"/>
        <v>3283</v>
      </c>
      <c r="B3284" s="360">
        <f>DATE('Profit Calculation'!J$6,A$2,A$2+A3284-1)</f>
        <v>45287</v>
      </c>
      <c r="D3284" s="362">
        <f t="shared" ca="1" si="103"/>
        <v>251677231.82842302</v>
      </c>
    </row>
    <row r="3285" spans="1:4">
      <c r="A3285" s="348">
        <f t="shared" si="104"/>
        <v>3284</v>
      </c>
      <c r="B3285" s="360">
        <f>DATE('Profit Calculation'!J$6,A$2,A$2+A3285-1)</f>
        <v>45288</v>
      </c>
      <c r="D3285" s="362">
        <f t="shared" ca="1" si="103"/>
        <v>251773619.86686638</v>
      </c>
    </row>
    <row r="3286" spans="1:4">
      <c r="A3286" s="348">
        <f t="shared" si="104"/>
        <v>3285</v>
      </c>
      <c r="B3286" s="360">
        <f>DATE('Profit Calculation'!J$6,A$2,A$2+A3286-1)</f>
        <v>45289</v>
      </c>
      <c r="D3286" s="362">
        <f t="shared" ca="1" si="103"/>
        <v>251870044.8202658</v>
      </c>
    </row>
    <row r="3287" spans="1:4">
      <c r="A3287" s="348">
        <f t="shared" si="104"/>
        <v>3286</v>
      </c>
      <c r="B3287" s="360">
        <f>DATE('Profit Calculation'!J$6,A$2,A$2+A3287-1)</f>
        <v>45290</v>
      </c>
      <c r="D3287" s="362">
        <f t="shared" ca="1" si="103"/>
        <v>251966506.70275906</v>
      </c>
    </row>
    <row r="3288" spans="1:4">
      <c r="A3288" s="348">
        <f t="shared" si="104"/>
        <v>3287</v>
      </c>
      <c r="B3288" s="360">
        <f>DATE('Profit Calculation'!J$6,A$2,A$2+A3288-1)</f>
        <v>45291</v>
      </c>
      <c r="D3288" s="362">
        <f t="shared" ca="1" si="103"/>
        <v>252063005.52848938</v>
      </c>
    </row>
    <row r="3289" spans="1:4">
      <c r="A3289" s="348">
        <f t="shared" si="104"/>
        <v>3288</v>
      </c>
      <c r="B3289" s="360">
        <f>DATE('Profit Calculation'!J$6,A$2,A$2+A3289-1)</f>
        <v>45292</v>
      </c>
      <c r="C3289" s="354"/>
      <c r="D3289" s="362">
        <f t="shared" ca="1" si="103"/>
        <v>252038877</v>
      </c>
    </row>
    <row r="3290" spans="1:4">
      <c r="A3290" s="348">
        <f t="shared" si="104"/>
        <v>3289</v>
      </c>
      <c r="B3290" s="360">
        <f>DATE('Profit Calculation'!J$6,A$2,A$2+A3290-1)</f>
        <v>45293</v>
      </c>
      <c r="D3290" s="362">
        <f t="shared" ca="1" si="103"/>
        <v>252135403.5423058</v>
      </c>
    </row>
    <row r="3291" spans="1:4">
      <c r="A3291" s="348">
        <f t="shared" si="104"/>
        <v>3290</v>
      </c>
      <c r="B3291" s="360">
        <f>DATE('Profit Calculation'!J$6,A$2,A$2+A3291-1)</f>
        <v>45294</v>
      </c>
      <c r="D3291" s="362">
        <f t="shared" ca="1" si="103"/>
        <v>252231967.05261227</v>
      </c>
    </row>
    <row r="3292" spans="1:4">
      <c r="A3292" s="348">
        <f t="shared" si="104"/>
        <v>3291</v>
      </c>
      <c r="B3292" s="360">
        <f>DATE('Profit Calculation'!J$6,A$2,A$2+A3292-1)</f>
        <v>45295</v>
      </c>
      <c r="D3292" s="362">
        <f t="shared" ca="1" si="103"/>
        <v>252328567.5450775</v>
      </c>
    </row>
    <row r="3293" spans="1:4">
      <c r="A3293" s="348">
        <f t="shared" si="104"/>
        <v>3292</v>
      </c>
      <c r="B3293" s="360">
        <f>DATE('Profit Calculation'!J$6,A$2,A$2+A3293-1)</f>
        <v>45296</v>
      </c>
      <c r="D3293" s="362">
        <f t="shared" ca="1" si="103"/>
        <v>252425205.033865</v>
      </c>
    </row>
    <row r="3294" spans="1:4">
      <c r="A3294" s="348">
        <f t="shared" si="104"/>
        <v>3293</v>
      </c>
      <c r="B3294" s="360">
        <f>DATE('Profit Calculation'!J$6,A$2,A$2+A3294-1)</f>
        <v>45297</v>
      </c>
      <c r="D3294" s="362">
        <f t="shared" ca="1" si="103"/>
        <v>252521879.53314376</v>
      </c>
    </row>
    <row r="3295" spans="1:4">
      <c r="A3295" s="348">
        <f t="shared" si="104"/>
        <v>3294</v>
      </c>
      <c r="B3295" s="360">
        <f>DATE('Profit Calculation'!J$6,A$2,A$2+A3295-1)</f>
        <v>45298</v>
      </c>
      <c r="D3295" s="362">
        <f t="shared" ca="1" si="103"/>
        <v>252618591.05708814</v>
      </c>
    </row>
    <row r="3296" spans="1:4">
      <c r="A3296" s="348">
        <f t="shared" si="104"/>
        <v>3295</v>
      </c>
      <c r="B3296" s="360">
        <f>DATE('Profit Calculation'!J$6,A$2,A$2+A3296-1)</f>
        <v>45299</v>
      </c>
      <c r="D3296" s="362">
        <f t="shared" ca="1" si="103"/>
        <v>252715339.61987793</v>
      </c>
    </row>
    <row r="3297" spans="1:4">
      <c r="A3297" s="348">
        <f t="shared" si="104"/>
        <v>3296</v>
      </c>
      <c r="B3297" s="360">
        <f>DATE('Profit Calculation'!J$6,A$2,A$2+A3297-1)</f>
        <v>45300</v>
      </c>
      <c r="D3297" s="362">
        <f t="shared" ca="1" si="103"/>
        <v>252812125.2356984</v>
      </c>
    </row>
    <row r="3298" spans="1:4">
      <c r="A3298" s="348">
        <f t="shared" si="104"/>
        <v>3297</v>
      </c>
      <c r="B3298" s="360">
        <f>DATE('Profit Calculation'!J$6,A$2,A$2+A3298-1)</f>
        <v>45301</v>
      </c>
      <c r="D3298" s="362">
        <f t="shared" ca="1" si="103"/>
        <v>252908947.91874021</v>
      </c>
    </row>
    <row r="3299" spans="1:4">
      <c r="A3299" s="348">
        <f t="shared" si="104"/>
        <v>3298</v>
      </c>
      <c r="B3299" s="360">
        <f>DATE('Profit Calculation'!J$6,A$2,A$2+A3299-1)</f>
        <v>45302</v>
      </c>
      <c r="D3299" s="362">
        <f t="shared" ca="1" si="103"/>
        <v>253005807.68319947</v>
      </c>
    </row>
    <row r="3300" spans="1:4">
      <c r="A3300" s="348">
        <f t="shared" si="104"/>
        <v>3299</v>
      </c>
      <c r="B3300" s="360">
        <f>DATE('Profit Calculation'!J$6,A$2,A$2+A3300-1)</f>
        <v>45303</v>
      </c>
      <c r="D3300" s="362">
        <f t="shared" ca="1" si="103"/>
        <v>253102704.54327771</v>
      </c>
    </row>
    <row r="3301" spans="1:4">
      <c r="A3301" s="348">
        <f t="shared" si="104"/>
        <v>3300</v>
      </c>
      <c r="B3301" s="360">
        <f>DATE('Profit Calculation'!J$6,A$2,A$2+A3301-1)</f>
        <v>45304</v>
      </c>
      <c r="D3301" s="362">
        <f t="shared" ca="1" si="103"/>
        <v>253199638.51318192</v>
      </c>
    </row>
    <row r="3302" spans="1:4">
      <c r="A3302" s="348">
        <f t="shared" si="104"/>
        <v>3301</v>
      </c>
      <c r="B3302" s="360">
        <f>DATE('Profit Calculation'!J$6,A$2,A$2+A3302-1)</f>
        <v>45305</v>
      </c>
      <c r="D3302" s="362">
        <f t="shared" ca="1" si="103"/>
        <v>253296609.60712454</v>
      </c>
    </row>
    <row r="3303" spans="1:4">
      <c r="A3303" s="348">
        <f t="shared" si="104"/>
        <v>3302</v>
      </c>
      <c r="B3303" s="360">
        <f>DATE('Profit Calculation'!J$6,A$2,A$2+A3303-1)</f>
        <v>45306</v>
      </c>
      <c r="D3303" s="362">
        <f t="shared" ca="1" si="103"/>
        <v>253393617.8393234</v>
      </c>
    </row>
    <row r="3304" spans="1:4">
      <c r="A3304" s="348">
        <f t="shared" si="104"/>
        <v>3303</v>
      </c>
      <c r="B3304" s="360">
        <f>DATE('Profit Calculation'!J$6,A$2,A$2+A3304-1)</f>
        <v>45307</v>
      </c>
      <c r="D3304" s="362">
        <f t="shared" ca="1" si="103"/>
        <v>253490663.22400185</v>
      </c>
    </row>
    <row r="3305" spans="1:4">
      <c r="A3305" s="348">
        <f t="shared" si="104"/>
        <v>3304</v>
      </c>
      <c r="B3305" s="360">
        <f>DATE('Profit Calculation'!J$6,A$2,A$2+A3305-1)</f>
        <v>45308</v>
      </c>
      <c r="D3305" s="362">
        <f t="shared" ca="1" si="103"/>
        <v>253587745.77538863</v>
      </c>
    </row>
    <row r="3306" spans="1:4">
      <c r="A3306" s="348">
        <f t="shared" si="104"/>
        <v>3305</v>
      </c>
      <c r="B3306" s="360">
        <f>DATE('Profit Calculation'!J$6,A$2,A$2+A3306-1)</f>
        <v>45309</v>
      </c>
      <c r="D3306" s="362">
        <f t="shared" ca="1" si="103"/>
        <v>253684865.50771794</v>
      </c>
    </row>
    <row r="3307" spans="1:4">
      <c r="A3307" s="348">
        <f t="shared" si="104"/>
        <v>3306</v>
      </c>
      <c r="B3307" s="360">
        <f>DATE('Profit Calculation'!J$6,A$2,A$2+A3307-1)</f>
        <v>45310</v>
      </c>
      <c r="D3307" s="362">
        <f t="shared" ca="1" si="103"/>
        <v>253782022.43522945</v>
      </c>
    </row>
    <row r="3308" spans="1:4">
      <c r="A3308" s="348">
        <f t="shared" si="104"/>
        <v>3307</v>
      </c>
      <c r="B3308" s="360">
        <f>DATE('Profit Calculation'!J$6,A$2,A$2+A3308-1)</f>
        <v>45311</v>
      </c>
      <c r="D3308" s="362">
        <f t="shared" ca="1" si="103"/>
        <v>253879216.57216829</v>
      </c>
    </row>
    <row r="3309" spans="1:4">
      <c r="A3309" s="348">
        <f t="shared" si="104"/>
        <v>3308</v>
      </c>
      <c r="B3309" s="360">
        <f>DATE('Profit Calculation'!J$6,A$2,A$2+A3309-1)</f>
        <v>45312</v>
      </c>
      <c r="D3309" s="362">
        <f t="shared" ca="1" si="103"/>
        <v>253976447.932785</v>
      </c>
    </row>
    <row r="3310" spans="1:4">
      <c r="A3310" s="348">
        <f t="shared" si="104"/>
        <v>3309</v>
      </c>
      <c r="B3310" s="360">
        <f>DATE('Profit Calculation'!J$6,A$2,A$2+A3310-1)</f>
        <v>45313</v>
      </c>
      <c r="D3310" s="362">
        <f t="shared" ca="1" si="103"/>
        <v>254073716.53133562</v>
      </c>
    </row>
    <row r="3311" spans="1:4">
      <c r="A3311" s="348">
        <f t="shared" si="104"/>
        <v>3310</v>
      </c>
      <c r="B3311" s="360">
        <f>DATE('Profit Calculation'!J$6,A$2,A$2+A3311-1)</f>
        <v>45314</v>
      </c>
      <c r="D3311" s="362">
        <f t="shared" ca="1" si="103"/>
        <v>254171022.38208163</v>
      </c>
    </row>
    <row r="3312" spans="1:4">
      <c r="A3312" s="348">
        <f t="shared" si="104"/>
        <v>3311</v>
      </c>
      <c r="B3312" s="360">
        <f>DATE('Profit Calculation'!J$6,A$2,A$2+A3312-1)</f>
        <v>45315</v>
      </c>
      <c r="D3312" s="362">
        <f t="shared" ca="1" si="103"/>
        <v>254268365.49928999</v>
      </c>
    </row>
    <row r="3313" spans="1:4">
      <c r="A3313" s="348">
        <f t="shared" si="104"/>
        <v>3312</v>
      </c>
      <c r="B3313" s="360">
        <f>DATE('Profit Calculation'!J$6,A$2,A$2+A3313-1)</f>
        <v>45316</v>
      </c>
      <c r="D3313" s="362">
        <f t="shared" ca="1" si="103"/>
        <v>254365745.8972331</v>
      </c>
    </row>
    <row r="3314" spans="1:4">
      <c r="A3314" s="348">
        <f t="shared" si="104"/>
        <v>3313</v>
      </c>
      <c r="B3314" s="360">
        <f>DATE('Profit Calculation'!J$6,A$2,A$2+A3314-1)</f>
        <v>45317</v>
      </c>
      <c r="D3314" s="362">
        <f t="shared" ca="1" si="103"/>
        <v>254463163.59018886</v>
      </c>
    </row>
    <row r="3315" spans="1:4">
      <c r="A3315" s="348">
        <f t="shared" si="104"/>
        <v>3314</v>
      </c>
      <c r="B3315" s="360">
        <f>DATE('Profit Calculation'!J$6,A$2,A$2+A3315-1)</f>
        <v>45318</v>
      </c>
      <c r="D3315" s="362">
        <f t="shared" ca="1" si="103"/>
        <v>254560618.59244061</v>
      </c>
    </row>
    <row r="3316" spans="1:4">
      <c r="A3316" s="348">
        <f t="shared" si="104"/>
        <v>3315</v>
      </c>
      <c r="B3316" s="360">
        <f>DATE('Profit Calculation'!J$6,A$2,A$2+A3316-1)</f>
        <v>45319</v>
      </c>
      <c r="D3316" s="362">
        <f t="shared" ca="1" si="103"/>
        <v>254658110.91827714</v>
      </c>
    </row>
    <row r="3317" spans="1:4">
      <c r="A3317" s="348">
        <f t="shared" si="104"/>
        <v>3316</v>
      </c>
      <c r="B3317" s="360">
        <f>DATE('Profit Calculation'!J$6,A$2,A$2+A3317-1)</f>
        <v>45320</v>
      </c>
      <c r="D3317" s="362">
        <f t="shared" ca="1" si="103"/>
        <v>254755640.58199275</v>
      </c>
    </row>
    <row r="3318" spans="1:4">
      <c r="A3318" s="348">
        <f t="shared" si="104"/>
        <v>3317</v>
      </c>
      <c r="B3318" s="360">
        <f>DATE('Profit Calculation'!J$6,A$2,A$2+A3318-1)</f>
        <v>45321</v>
      </c>
      <c r="D3318" s="362">
        <f t="shared" ca="1" si="103"/>
        <v>254853207.59788722</v>
      </c>
    </row>
    <row r="3319" spans="1:4">
      <c r="A3319" s="348">
        <f t="shared" si="104"/>
        <v>3318</v>
      </c>
      <c r="B3319" s="360">
        <f>DATE('Profit Calculation'!J$6,A$2,A$2+A3319-1)</f>
        <v>45322</v>
      </c>
      <c r="D3319" s="362">
        <f t="shared" ca="1" si="103"/>
        <v>254950811.98026577</v>
      </c>
    </row>
    <row r="3320" spans="1:4">
      <c r="A3320" s="348">
        <f t="shared" si="104"/>
        <v>3319</v>
      </c>
      <c r="B3320" s="360">
        <f>DATE('Profit Calculation'!J$6,A$2,A$2+A3320-1)</f>
        <v>45323</v>
      </c>
      <c r="D3320" s="362">
        <f t="shared" ca="1" si="103"/>
        <v>255048453.74343914</v>
      </c>
    </row>
    <row r="3321" spans="1:4">
      <c r="A3321" s="348">
        <f t="shared" si="104"/>
        <v>3320</v>
      </c>
      <c r="B3321" s="360">
        <f>DATE('Profit Calculation'!J$6,A$2,A$2+A3321-1)</f>
        <v>45324</v>
      </c>
      <c r="D3321" s="362">
        <f t="shared" ca="1" si="103"/>
        <v>255146132.9017235</v>
      </c>
    </row>
    <row r="3322" spans="1:4">
      <c r="A3322" s="348">
        <f t="shared" si="104"/>
        <v>3321</v>
      </c>
      <c r="B3322" s="360">
        <f>DATE('Profit Calculation'!J$6,A$2,A$2+A3322-1)</f>
        <v>45325</v>
      </c>
      <c r="D3322" s="362">
        <f t="shared" ca="1" si="103"/>
        <v>255243849.46944055</v>
      </c>
    </row>
    <row r="3323" spans="1:4">
      <c r="A3323" s="348">
        <f t="shared" si="104"/>
        <v>3322</v>
      </c>
      <c r="B3323" s="360">
        <f>DATE('Profit Calculation'!J$6,A$2,A$2+A3323-1)</f>
        <v>45326</v>
      </c>
      <c r="D3323" s="362">
        <f t="shared" ca="1" si="103"/>
        <v>255341603.46091747</v>
      </c>
    </row>
    <row r="3324" spans="1:4">
      <c r="A3324" s="348">
        <f t="shared" si="104"/>
        <v>3323</v>
      </c>
      <c r="B3324" s="360">
        <f>DATE('Profit Calculation'!J$6,A$2,A$2+A3324-1)</f>
        <v>45327</v>
      </c>
      <c r="D3324" s="362">
        <f t="shared" ca="1" si="103"/>
        <v>255439394.8904869</v>
      </c>
    </row>
    <row r="3325" spans="1:4">
      <c r="A3325" s="348">
        <f t="shared" si="104"/>
        <v>3324</v>
      </c>
      <c r="B3325" s="360">
        <f>DATE('Profit Calculation'!J$6,A$2,A$2+A3325-1)</f>
        <v>45328</v>
      </c>
      <c r="D3325" s="362">
        <f t="shared" ca="1" si="103"/>
        <v>255537223.77248698</v>
      </c>
    </row>
    <row r="3326" spans="1:4">
      <c r="A3326" s="348">
        <f t="shared" si="104"/>
        <v>3325</v>
      </c>
      <c r="B3326" s="360">
        <f>DATE('Profit Calculation'!J$6,A$2,A$2+A3326-1)</f>
        <v>45329</v>
      </c>
      <c r="D3326" s="362">
        <f t="shared" ca="1" si="103"/>
        <v>255635090.12126136</v>
      </c>
    </row>
    <row r="3327" spans="1:4">
      <c r="A3327" s="348">
        <f t="shared" si="104"/>
        <v>3326</v>
      </c>
      <c r="B3327" s="360">
        <f>DATE('Profit Calculation'!J$6,A$2,A$2+A3327-1)</f>
        <v>45330</v>
      </c>
      <c r="D3327" s="362">
        <f t="shared" ca="1" si="103"/>
        <v>255732993.95115915</v>
      </c>
    </row>
    <row r="3328" spans="1:4">
      <c r="A3328" s="348">
        <f t="shared" si="104"/>
        <v>3327</v>
      </c>
      <c r="B3328" s="360">
        <f>DATE('Profit Calculation'!J$6,A$2,A$2+A3328-1)</f>
        <v>45331</v>
      </c>
      <c r="D3328" s="362">
        <f t="shared" ca="1" si="103"/>
        <v>255830935.27653497</v>
      </c>
    </row>
    <row r="3329" spans="1:4">
      <c r="A3329" s="348">
        <f t="shared" si="104"/>
        <v>3328</v>
      </c>
      <c r="B3329" s="360">
        <f>DATE('Profit Calculation'!J$6,A$2,A$2+A3329-1)</f>
        <v>45332</v>
      </c>
      <c r="D3329" s="362">
        <f t="shared" ca="1" si="103"/>
        <v>255928914.11174896</v>
      </c>
    </row>
    <row r="3330" spans="1:4">
      <c r="A3330" s="348">
        <f t="shared" si="104"/>
        <v>3329</v>
      </c>
      <c r="B3330" s="360">
        <f>DATE('Profit Calculation'!J$6,A$2,A$2+A3330-1)</f>
        <v>45333</v>
      </c>
      <c r="D3330" s="362">
        <f t="shared" ca="1" si="103"/>
        <v>256026930.47116676</v>
      </c>
    </row>
    <row r="3331" spans="1:4">
      <c r="A3331" s="348">
        <f t="shared" si="104"/>
        <v>3330</v>
      </c>
      <c r="B3331" s="360">
        <f>DATE('Profit Calculation'!J$6,A$2,A$2+A3331-1)</f>
        <v>45334</v>
      </c>
      <c r="D3331" s="362">
        <f t="shared" ca="1" si="103"/>
        <v>256124984.36915946</v>
      </c>
    </row>
    <row r="3332" spans="1:4">
      <c r="A3332" s="348">
        <f t="shared" si="104"/>
        <v>3331</v>
      </c>
      <c r="B3332" s="360">
        <f>DATE('Profit Calculation'!J$6,A$2,A$2+A3332-1)</f>
        <v>45335</v>
      </c>
      <c r="D3332" s="362">
        <f t="shared" ref="D3332:D3396" ca="1" si="105">IF(OR(LOOKUP(B3332,W$1:W$35,W$1:W$35) = B3332, LOOKUP(B3332,X$1:X$35,X$1:X$35) = B3332),LOOKUP(B3332,F:F,G:G),D3331*(1+((IF($Q$18&lt;6,$R$14,IF($Q$18&lt;11,$R$15,$R$16)))))^(1/365))</f>
        <v>256223075.8201037</v>
      </c>
    </row>
    <row r="3333" spans="1:4">
      <c r="A3333" s="348">
        <f t="shared" ref="A3333:A3396" si="106">A3332+1</f>
        <v>3332</v>
      </c>
      <c r="B3333" s="360">
        <f>DATE('Profit Calculation'!J$6,A$2,A$2+A3333-1)</f>
        <v>45336</v>
      </c>
      <c r="D3333" s="362">
        <f t="shared" ca="1" si="105"/>
        <v>256321204.83838162</v>
      </c>
    </row>
    <row r="3334" spans="1:4">
      <c r="A3334" s="348">
        <f t="shared" si="106"/>
        <v>3333</v>
      </c>
      <c r="B3334" s="360">
        <f>DATE('Profit Calculation'!J$6,A$2,A$2+A3334-1)</f>
        <v>45337</v>
      </c>
      <c r="D3334" s="362">
        <f t="shared" ca="1" si="105"/>
        <v>256419371.43838084</v>
      </c>
    </row>
    <row r="3335" spans="1:4">
      <c r="A3335" s="348">
        <f t="shared" si="106"/>
        <v>3334</v>
      </c>
      <c r="B3335" s="360">
        <f>DATE('Profit Calculation'!J$6,A$2,A$2+A3335-1)</f>
        <v>45338</v>
      </c>
      <c r="D3335" s="362">
        <f t="shared" ca="1" si="105"/>
        <v>256517575.63449451</v>
      </c>
    </row>
    <row r="3336" spans="1:4">
      <c r="A3336" s="348">
        <f t="shared" si="106"/>
        <v>3335</v>
      </c>
      <c r="B3336" s="360">
        <f>DATE('Profit Calculation'!J$6,A$2,A$2+A3336-1)</f>
        <v>45339</v>
      </c>
      <c r="D3336" s="362">
        <f t="shared" ca="1" si="105"/>
        <v>256615817.44112131</v>
      </c>
    </row>
    <row r="3337" spans="1:4">
      <c r="A3337" s="348">
        <f t="shared" si="106"/>
        <v>3336</v>
      </c>
      <c r="B3337" s="360">
        <f>DATE('Profit Calculation'!J$6,A$2,A$2+A3337-1)</f>
        <v>45340</v>
      </c>
      <c r="D3337" s="362">
        <f t="shared" ca="1" si="105"/>
        <v>256714096.87266541</v>
      </c>
    </row>
    <row r="3338" spans="1:4">
      <c r="A3338" s="348">
        <f t="shared" si="106"/>
        <v>3337</v>
      </c>
      <c r="B3338" s="360">
        <f>DATE('Profit Calculation'!J$6,A$2,A$2+A3338-1)</f>
        <v>45341</v>
      </c>
      <c r="D3338" s="362">
        <f t="shared" ca="1" si="105"/>
        <v>256812413.94353649</v>
      </c>
    </row>
    <row r="3339" spans="1:4">
      <c r="A3339" s="348">
        <f t="shared" si="106"/>
        <v>3338</v>
      </c>
      <c r="B3339" s="360">
        <f>DATE('Profit Calculation'!J$6,A$2,A$2+A3339-1)</f>
        <v>45342</v>
      </c>
      <c r="D3339" s="362">
        <f t="shared" ca="1" si="105"/>
        <v>256910768.66814977</v>
      </c>
    </row>
    <row r="3340" spans="1:4">
      <c r="A3340" s="348">
        <f t="shared" si="106"/>
        <v>3339</v>
      </c>
      <c r="B3340" s="360">
        <f>DATE('Profit Calculation'!J$6,A$2,A$2+A3340-1)</f>
        <v>45343</v>
      </c>
      <c r="D3340" s="362">
        <f t="shared" ca="1" si="105"/>
        <v>257009161.06092599</v>
      </c>
    </row>
    <row r="3341" spans="1:4">
      <c r="A3341" s="348">
        <f t="shared" si="106"/>
        <v>3340</v>
      </c>
      <c r="B3341" s="360">
        <f>DATE('Profit Calculation'!J$6,A$2,A$2+A3341-1)</f>
        <v>45344</v>
      </c>
      <c r="D3341" s="362">
        <f t="shared" ca="1" si="105"/>
        <v>257107591.13629141</v>
      </c>
    </row>
    <row r="3342" spans="1:4">
      <c r="A3342" s="348">
        <f t="shared" si="106"/>
        <v>3341</v>
      </c>
      <c r="B3342" s="360">
        <f>DATE('Profit Calculation'!J$6,A$2,A$2+A3342-1)</f>
        <v>45345</v>
      </c>
      <c r="D3342" s="362">
        <f t="shared" ca="1" si="105"/>
        <v>257206058.90867782</v>
      </c>
    </row>
    <row r="3343" spans="1:4">
      <c r="A3343" s="348">
        <f t="shared" si="106"/>
        <v>3342</v>
      </c>
      <c r="B3343" s="360">
        <f>DATE('Profit Calculation'!J$6,A$2,A$2+A3343-1)</f>
        <v>45346</v>
      </c>
      <c r="D3343" s="362">
        <f t="shared" ca="1" si="105"/>
        <v>257304564.39252251</v>
      </c>
    </row>
    <row r="3344" spans="1:4">
      <c r="A3344" s="348">
        <f t="shared" si="106"/>
        <v>3343</v>
      </c>
      <c r="B3344" s="360">
        <f>DATE('Profit Calculation'!J$6,A$2,A$2+A3344-1)</f>
        <v>45347</v>
      </c>
      <c r="D3344" s="362">
        <f t="shared" ca="1" si="105"/>
        <v>257403107.60226834</v>
      </c>
    </row>
    <row r="3345" spans="1:4">
      <c r="A3345" s="348">
        <f t="shared" si="106"/>
        <v>3344</v>
      </c>
      <c r="B3345" s="360">
        <f>DATE('Profit Calculation'!J$6,A$2,A$2+A3345-1)</f>
        <v>45348</v>
      </c>
      <c r="D3345" s="362">
        <f t="shared" ca="1" si="105"/>
        <v>257501688.55236366</v>
      </c>
    </row>
    <row r="3346" spans="1:4">
      <c r="A3346" s="348">
        <f t="shared" si="106"/>
        <v>3345</v>
      </c>
      <c r="B3346" s="360">
        <f>DATE('Profit Calculation'!J$6,A$2,A$2+A3346-1)</f>
        <v>45349</v>
      </c>
      <c r="D3346" s="362">
        <f t="shared" ca="1" si="105"/>
        <v>257600307.25726238</v>
      </c>
    </row>
    <row r="3347" spans="1:4">
      <c r="A3347" s="348">
        <f t="shared" si="106"/>
        <v>3346</v>
      </c>
      <c r="B3347" s="360">
        <f>DATE('Profit Calculation'!J$6,A$2,A$2+A3347-1)</f>
        <v>45350</v>
      </c>
      <c r="D3347" s="362">
        <f t="shared" ca="1" si="105"/>
        <v>257698963.73142394</v>
      </c>
    </row>
    <row r="3348" spans="1:4">
      <c r="A3348" s="348">
        <f t="shared" si="106"/>
        <v>3347</v>
      </c>
      <c r="B3348" s="360">
        <f>DATE('Profit Calculation'!J$6,A$2,A$2+A3348-1)</f>
        <v>45351</v>
      </c>
      <c r="D3348" s="362">
        <f t="shared" ca="1" si="105"/>
        <v>257797657.9893133</v>
      </c>
    </row>
    <row r="3349" spans="1:4">
      <c r="A3349" s="348">
        <f t="shared" si="106"/>
        <v>3348</v>
      </c>
      <c r="B3349" s="360">
        <f>DATE('Profit Calculation'!J$6,A$2,A$2+A3349-1)</f>
        <v>45352</v>
      </c>
      <c r="D3349" s="362">
        <f t="shared" ca="1" si="105"/>
        <v>257896390.04540101</v>
      </c>
    </row>
    <row r="3350" spans="1:4">
      <c r="A3350" s="348">
        <f t="shared" si="106"/>
        <v>3349</v>
      </c>
      <c r="B3350" s="360">
        <f>DATE('Profit Calculation'!J$6,A$2,A$2+A3350-1)</f>
        <v>45353</v>
      </c>
      <c r="D3350" s="362">
        <f t="shared" ca="1" si="105"/>
        <v>257995159.91416308</v>
      </c>
    </row>
    <row r="3351" spans="1:4">
      <c r="A3351" s="348">
        <f t="shared" si="106"/>
        <v>3350</v>
      </c>
      <c r="B3351" s="360">
        <f>DATE('Profit Calculation'!J$6,A$2,A$2+A3351-1)</f>
        <v>45354</v>
      </c>
      <c r="D3351" s="362">
        <f t="shared" ca="1" si="105"/>
        <v>258093967.61008117</v>
      </c>
    </row>
    <row r="3352" spans="1:4">
      <c r="A3352" s="348">
        <f t="shared" si="106"/>
        <v>3351</v>
      </c>
      <c r="B3352" s="360">
        <f>DATE('Profit Calculation'!J$6,A$2,A$2+A3352-1)</f>
        <v>45355</v>
      </c>
      <c r="D3352" s="362">
        <f t="shared" ca="1" si="105"/>
        <v>258192813.14764237</v>
      </c>
    </row>
    <row r="3353" spans="1:4">
      <c r="A3353" s="348">
        <f t="shared" si="106"/>
        <v>3352</v>
      </c>
      <c r="B3353" s="360">
        <f>DATE('Profit Calculation'!J$6,A$2,A$2+A3353-1)</f>
        <v>45356</v>
      </c>
      <c r="D3353" s="362">
        <f t="shared" ca="1" si="105"/>
        <v>258291696.54133943</v>
      </c>
    </row>
    <row r="3354" spans="1:4">
      <c r="A3354" s="348">
        <f t="shared" si="106"/>
        <v>3353</v>
      </c>
      <c r="B3354" s="360">
        <f>DATE('Profit Calculation'!J$6,A$2,A$2+A3354-1)</f>
        <v>45357</v>
      </c>
      <c r="D3354" s="362">
        <f t="shared" ca="1" si="105"/>
        <v>258390617.80567056</v>
      </c>
    </row>
    <row r="3355" spans="1:4">
      <c r="A3355" s="348">
        <f t="shared" si="106"/>
        <v>3354</v>
      </c>
      <c r="B3355" s="360">
        <f>DATE('Profit Calculation'!J$6,A$2,A$2+A3355-1)</f>
        <v>45358</v>
      </c>
      <c r="D3355" s="362">
        <f t="shared" ca="1" si="105"/>
        <v>258489576.95513958</v>
      </c>
    </row>
    <row r="3356" spans="1:4">
      <c r="A3356" s="348">
        <f t="shared" si="106"/>
        <v>3355</v>
      </c>
      <c r="B3356" s="360">
        <f>DATE('Profit Calculation'!J$6,A$2,A$2+A3356-1)</f>
        <v>45359</v>
      </c>
      <c r="D3356" s="362">
        <f t="shared" ca="1" si="105"/>
        <v>258588574.00425583</v>
      </c>
    </row>
    <row r="3357" spans="1:4">
      <c r="A3357" s="348">
        <f t="shared" si="106"/>
        <v>3356</v>
      </c>
      <c r="B3357" s="360">
        <f>DATE('Profit Calculation'!J$6,A$2,A$2+A3357-1)</f>
        <v>45360</v>
      </c>
      <c r="D3357" s="362">
        <f t="shared" ca="1" si="105"/>
        <v>258687608.96753421</v>
      </c>
    </row>
    <row r="3358" spans="1:4">
      <c r="A3358" s="348">
        <f t="shared" si="106"/>
        <v>3357</v>
      </c>
      <c r="B3358" s="360">
        <f>DATE('Profit Calculation'!J$6,A$2,A$2+A3358-1)</f>
        <v>45361</v>
      </c>
      <c r="D3358" s="362">
        <f t="shared" ca="1" si="105"/>
        <v>258786681.85949522</v>
      </c>
    </row>
    <row r="3359" spans="1:4">
      <c r="A3359" s="348">
        <f t="shared" si="106"/>
        <v>3358</v>
      </c>
      <c r="B3359" s="360">
        <f>DATE('Profit Calculation'!J$6,A$2,A$2+A3359-1)</f>
        <v>45362</v>
      </c>
      <c r="D3359" s="362">
        <f t="shared" ca="1" si="105"/>
        <v>258885792.69466487</v>
      </c>
    </row>
    <row r="3360" spans="1:4">
      <c r="A3360" s="348">
        <f t="shared" si="106"/>
        <v>3359</v>
      </c>
      <c r="B3360" s="360">
        <f>DATE('Profit Calculation'!J$6,A$2,A$2+A3360-1)</f>
        <v>45363</v>
      </c>
      <c r="D3360" s="362">
        <f t="shared" ca="1" si="105"/>
        <v>258984941.48757476</v>
      </c>
    </row>
    <row r="3361" spans="1:4">
      <c r="A3361" s="348">
        <f t="shared" si="106"/>
        <v>3360</v>
      </c>
      <c r="B3361" s="360">
        <f>DATE('Profit Calculation'!J$6,A$2,A$2+A3361-1)</f>
        <v>45364</v>
      </c>
      <c r="D3361" s="362">
        <f t="shared" ca="1" si="105"/>
        <v>259084128.25276205</v>
      </c>
    </row>
    <row r="3362" spans="1:4">
      <c r="A3362" s="348">
        <f t="shared" si="106"/>
        <v>3361</v>
      </c>
      <c r="B3362" s="360">
        <f>DATE('Profit Calculation'!J$6,A$2,A$2+A3362-1)</f>
        <v>45365</v>
      </c>
      <c r="D3362" s="362">
        <f t="shared" ca="1" si="105"/>
        <v>259183353.00476947</v>
      </c>
    </row>
    <row r="3363" spans="1:4">
      <c r="A3363" s="348">
        <f t="shared" si="106"/>
        <v>3362</v>
      </c>
      <c r="B3363" s="360">
        <f>DATE('Profit Calculation'!J$6,A$2,A$2+A3363-1)</f>
        <v>45366</v>
      </c>
      <c r="D3363" s="362">
        <f t="shared" ca="1" si="105"/>
        <v>259282615.75814533</v>
      </c>
    </row>
    <row r="3364" spans="1:4">
      <c r="A3364" s="348">
        <f t="shared" si="106"/>
        <v>3363</v>
      </c>
      <c r="B3364" s="360">
        <f>DATE('Profit Calculation'!J$6,A$2,A$2+A3364-1)</f>
        <v>45367</v>
      </c>
      <c r="D3364" s="362">
        <f t="shared" ca="1" si="105"/>
        <v>259381916.52744347</v>
      </c>
    </row>
    <row r="3365" spans="1:4">
      <c r="A3365" s="348">
        <f t="shared" si="106"/>
        <v>3364</v>
      </c>
      <c r="B3365" s="360">
        <f>DATE('Profit Calculation'!J$6,A$2,A$2+A3365-1)</f>
        <v>45368</v>
      </c>
      <c r="D3365" s="362">
        <f t="shared" ca="1" si="105"/>
        <v>259481255.32722336</v>
      </c>
    </row>
    <row r="3366" spans="1:4">
      <c r="A3366" s="348">
        <f t="shared" si="106"/>
        <v>3365</v>
      </c>
      <c r="B3366" s="360">
        <f>DATE('Profit Calculation'!J$6,A$2,A$2+A3366-1)</f>
        <v>45369</v>
      </c>
      <c r="D3366" s="362">
        <f t="shared" ca="1" si="105"/>
        <v>259580632.17205</v>
      </c>
    </row>
    <row r="3367" spans="1:4">
      <c r="A3367" s="348">
        <f t="shared" si="106"/>
        <v>3366</v>
      </c>
      <c r="B3367" s="360">
        <f>DATE('Profit Calculation'!J$6,A$2,A$2+A3367-1)</f>
        <v>45370</v>
      </c>
      <c r="D3367" s="362">
        <f t="shared" ca="1" si="105"/>
        <v>259680047.07649398</v>
      </c>
    </row>
    <row r="3368" spans="1:4">
      <c r="A3368" s="348">
        <f t="shared" si="106"/>
        <v>3367</v>
      </c>
      <c r="B3368" s="360">
        <f>DATE('Profit Calculation'!J$6,A$2,A$2+A3368-1)</f>
        <v>45371</v>
      </c>
      <c r="D3368" s="362">
        <f t="shared" ca="1" si="105"/>
        <v>259779500.05513149</v>
      </c>
    </row>
    <row r="3369" spans="1:4">
      <c r="A3369" s="348">
        <f t="shared" si="106"/>
        <v>3368</v>
      </c>
      <c r="B3369" s="360">
        <f>DATE('Profit Calculation'!J$6,A$2,A$2+A3369-1)</f>
        <v>45372</v>
      </c>
      <c r="D3369" s="362">
        <f t="shared" ca="1" si="105"/>
        <v>259878991.12254429</v>
      </c>
    </row>
    <row r="3370" spans="1:4">
      <c r="A3370" s="348">
        <f t="shared" si="106"/>
        <v>3369</v>
      </c>
      <c r="B3370" s="360">
        <f>DATE('Profit Calculation'!J$6,A$2,A$2+A3370-1)</f>
        <v>45373</v>
      </c>
      <c r="D3370" s="362">
        <f t="shared" ca="1" si="105"/>
        <v>259978520.29331973</v>
      </c>
    </row>
    <row r="3371" spans="1:4">
      <c r="A3371" s="348">
        <f t="shared" si="106"/>
        <v>3370</v>
      </c>
      <c r="B3371" s="360">
        <f>DATE('Profit Calculation'!J$6,A$2,A$2+A3371-1)</f>
        <v>45374</v>
      </c>
      <c r="D3371" s="362">
        <f t="shared" ca="1" si="105"/>
        <v>260078087.58205074</v>
      </c>
    </row>
    <row r="3372" spans="1:4">
      <c r="A3372" s="348">
        <f t="shared" si="106"/>
        <v>3371</v>
      </c>
      <c r="B3372" s="360">
        <f>DATE('Profit Calculation'!J$6,A$2,A$2+A3372-1)</f>
        <v>45375</v>
      </c>
      <c r="D3372" s="362">
        <f t="shared" ca="1" si="105"/>
        <v>260177693.00333583</v>
      </c>
    </row>
    <row r="3373" spans="1:4">
      <c r="A3373" s="348">
        <f t="shared" si="106"/>
        <v>3372</v>
      </c>
      <c r="B3373" s="360">
        <f>DATE('Profit Calculation'!J$6,A$2,A$2+A3373-1)</f>
        <v>45376</v>
      </c>
      <c r="D3373" s="362">
        <f t="shared" ca="1" si="105"/>
        <v>260277336.5717791</v>
      </c>
    </row>
    <row r="3374" spans="1:4">
      <c r="A3374" s="348">
        <f t="shared" si="106"/>
        <v>3373</v>
      </c>
      <c r="B3374" s="360">
        <f>DATE('Profit Calculation'!J$6,A$2,A$2+A3374-1)</f>
        <v>45377</v>
      </c>
      <c r="D3374" s="362">
        <f t="shared" ca="1" si="105"/>
        <v>260377018.30199027</v>
      </c>
    </row>
    <row r="3375" spans="1:4">
      <c r="A3375" s="348">
        <f t="shared" si="106"/>
        <v>3374</v>
      </c>
      <c r="B3375" s="360">
        <f>DATE('Profit Calculation'!J$6,A$2,A$2+A3375-1)</f>
        <v>45378</v>
      </c>
      <c r="D3375" s="362">
        <f t="shared" ca="1" si="105"/>
        <v>260476738.20858464</v>
      </c>
    </row>
    <row r="3376" spans="1:4">
      <c r="A3376" s="348">
        <f t="shared" si="106"/>
        <v>3375</v>
      </c>
      <c r="B3376" s="360">
        <f>DATE('Profit Calculation'!J$6,A$2,A$2+A3376-1)</f>
        <v>45379</v>
      </c>
      <c r="D3376" s="362">
        <f t="shared" ca="1" si="105"/>
        <v>260576496.3061831</v>
      </c>
    </row>
    <row r="3377" spans="1:4">
      <c r="A3377" s="348">
        <f t="shared" si="106"/>
        <v>3376</v>
      </c>
      <c r="B3377" s="360">
        <f>DATE('Profit Calculation'!J$6,A$2,A$2+A3377-1)</f>
        <v>45380</v>
      </c>
      <c r="D3377" s="362">
        <f t="shared" ca="1" si="105"/>
        <v>260676292.60941213</v>
      </c>
    </row>
    <row r="3378" spans="1:4">
      <c r="A3378" s="348">
        <f t="shared" si="106"/>
        <v>3377</v>
      </c>
      <c r="B3378" s="360">
        <f>DATE('Profit Calculation'!J$6,A$2,A$2+A3378-1)</f>
        <v>45381</v>
      </c>
      <c r="D3378" s="362">
        <f t="shared" ca="1" si="105"/>
        <v>260776127.13290384</v>
      </c>
    </row>
    <row r="3379" spans="1:4">
      <c r="A3379" s="348">
        <f t="shared" si="106"/>
        <v>3378</v>
      </c>
      <c r="B3379" s="360">
        <f>DATE('Profit Calculation'!J$6,A$2,A$2+A3379-1)</f>
        <v>45382</v>
      </c>
      <c r="D3379" s="362">
        <f t="shared" ca="1" si="105"/>
        <v>260875999.89129594</v>
      </c>
    </row>
    <row r="3380" spans="1:4">
      <c r="A3380" s="348">
        <f t="shared" si="106"/>
        <v>3379</v>
      </c>
      <c r="B3380" s="360">
        <f>DATE('Profit Calculation'!J$6,A$2,A$2+A3380-1)</f>
        <v>45383</v>
      </c>
      <c r="D3380" s="362">
        <f t="shared" ca="1" si="105"/>
        <v>252736132</v>
      </c>
    </row>
    <row r="3381" spans="1:4">
      <c r="A3381" s="348">
        <f t="shared" si="106"/>
        <v>3380</v>
      </c>
      <c r="B3381" s="360">
        <f>DATE('Profit Calculation'!J$6,A$2,A$2+A3381-1)</f>
        <v>45384</v>
      </c>
      <c r="D3381" s="362">
        <f t="shared" ca="1" si="105"/>
        <v>252832925.5789434</v>
      </c>
    </row>
    <row r="3382" spans="1:4">
      <c r="A3382" s="348">
        <f t="shared" si="106"/>
        <v>3381</v>
      </c>
      <c r="B3382" s="360">
        <f>DATE('Profit Calculation'!J$6,A$2,A$2+A3382-1)</f>
        <v>45385</v>
      </c>
      <c r="D3382" s="362">
        <f t="shared" ca="1" si="105"/>
        <v>252929756.22815788</v>
      </c>
    </row>
    <row r="3383" spans="1:4">
      <c r="A3383" s="348">
        <f t="shared" si="106"/>
        <v>3382</v>
      </c>
      <c r="B3383" s="360">
        <f>DATE('Profit Calculation'!J$6,A$2,A$2+A3383-1)</f>
        <v>45386</v>
      </c>
      <c r="D3383" s="362">
        <f t="shared" ca="1" si="105"/>
        <v>253026623.96184072</v>
      </c>
    </row>
    <row r="3384" spans="1:4">
      <c r="A3384" s="348">
        <f t="shared" si="106"/>
        <v>3383</v>
      </c>
      <c r="B3384" s="360">
        <f>DATE('Profit Calculation'!J$6,A$2,A$2+A3384-1)</f>
        <v>45387</v>
      </c>
      <c r="D3384" s="362">
        <f t="shared" ca="1" si="105"/>
        <v>253123528.79419461</v>
      </c>
    </row>
    <row r="3385" spans="1:4">
      <c r="A3385" s="348">
        <f t="shared" si="106"/>
        <v>3384</v>
      </c>
      <c r="B3385" s="360">
        <f>DATE('Profit Calculation'!J$6,A$2,A$2+A3385-1)</f>
        <v>45388</v>
      </c>
      <c r="D3385" s="362">
        <f t="shared" ca="1" si="105"/>
        <v>253220470.73942772</v>
      </c>
    </row>
    <row r="3386" spans="1:4">
      <c r="A3386" s="348">
        <f t="shared" si="106"/>
        <v>3385</v>
      </c>
      <c r="B3386" s="360">
        <f>DATE('Profit Calculation'!J$6,A$2,A$2+A3386-1)</f>
        <v>45389</v>
      </c>
      <c r="D3386" s="362">
        <f t="shared" ca="1" si="105"/>
        <v>253317449.81175363</v>
      </c>
    </row>
    <row r="3387" spans="1:4">
      <c r="A3387" s="348">
        <f t="shared" si="106"/>
        <v>3386</v>
      </c>
      <c r="B3387" s="360">
        <f>DATE('Profit Calculation'!J$6,A$2,A$2+A3387-1)</f>
        <v>45390</v>
      </c>
      <c r="D3387" s="362">
        <f t="shared" ca="1" si="105"/>
        <v>253414466.0253914</v>
      </c>
    </row>
    <row r="3388" spans="1:4">
      <c r="A3388" s="348">
        <f t="shared" si="106"/>
        <v>3387</v>
      </c>
      <c r="B3388" s="360">
        <f>DATE('Profit Calculation'!J$6,A$2,A$2+A3388-1)</f>
        <v>45391</v>
      </c>
      <c r="D3388" s="362">
        <f t="shared" ca="1" si="105"/>
        <v>253511519.39456549</v>
      </c>
    </row>
    <row r="3389" spans="1:4">
      <c r="A3389" s="348">
        <f t="shared" si="106"/>
        <v>3388</v>
      </c>
      <c r="B3389" s="360">
        <f>DATE('Profit Calculation'!J$6,A$2,A$2+A3389-1)</f>
        <v>45392</v>
      </c>
      <c r="D3389" s="362">
        <f t="shared" ca="1" si="105"/>
        <v>253608609.93350583</v>
      </c>
    </row>
    <row r="3390" spans="1:4">
      <c r="A3390" s="348">
        <f t="shared" si="106"/>
        <v>3389</v>
      </c>
      <c r="B3390" s="360">
        <f>DATE('Profit Calculation'!J$6,A$2,A$2+A3390-1)</f>
        <v>45393</v>
      </c>
      <c r="D3390" s="362">
        <f t="shared" ca="1" si="105"/>
        <v>253705737.65644783</v>
      </c>
    </row>
    <row r="3391" spans="1:4">
      <c r="A3391" s="348">
        <f t="shared" si="106"/>
        <v>3390</v>
      </c>
      <c r="B3391" s="360">
        <f>DATE('Profit Calculation'!J$6,A$2,A$2+A3391-1)</f>
        <v>45394</v>
      </c>
      <c r="D3391" s="362">
        <f t="shared" ca="1" si="105"/>
        <v>253802902.57763228</v>
      </c>
    </row>
    <row r="3392" spans="1:4">
      <c r="A3392" s="348">
        <f t="shared" si="106"/>
        <v>3391</v>
      </c>
      <c r="B3392" s="360">
        <f>DATE('Profit Calculation'!J$6,A$2,A$2+A3392-1)</f>
        <v>45395</v>
      </c>
      <c r="D3392" s="362">
        <f t="shared" ca="1" si="105"/>
        <v>253900104.71130547</v>
      </c>
    </row>
    <row r="3393" spans="1:4">
      <c r="A3393" s="348">
        <f t="shared" si="106"/>
        <v>3392</v>
      </c>
      <c r="B3393" s="360">
        <f>DATE('Profit Calculation'!J$6,A$2,A$2+A3393-1)</f>
        <v>45396</v>
      </c>
      <c r="D3393" s="362">
        <f t="shared" ca="1" si="105"/>
        <v>253997344.07171917</v>
      </c>
    </row>
    <row r="3394" spans="1:4">
      <c r="A3394" s="348">
        <f t="shared" si="106"/>
        <v>3393</v>
      </c>
      <c r="B3394" s="360">
        <f>DATE('Profit Calculation'!J$6,A$2,A$2+A3394-1)</f>
        <v>45397</v>
      </c>
      <c r="D3394" s="362">
        <f t="shared" ca="1" si="105"/>
        <v>254094620.67313054</v>
      </c>
    </row>
    <row r="3395" spans="1:4">
      <c r="A3395" s="348">
        <f t="shared" si="106"/>
        <v>3394</v>
      </c>
      <c r="B3395" s="360">
        <f>DATE('Profit Calculation'!J$6,A$2,A$2+A3395-1)</f>
        <v>45398</v>
      </c>
      <c r="D3395" s="362">
        <f t="shared" ca="1" si="105"/>
        <v>254191934.52980229</v>
      </c>
    </row>
    <row r="3396" spans="1:4">
      <c r="A3396" s="348">
        <f t="shared" si="106"/>
        <v>3395</v>
      </c>
      <c r="B3396" s="360">
        <f>DATE('Profit Calculation'!J$6,A$2,A$2+A3396-1)</f>
        <v>45399</v>
      </c>
      <c r="D3396" s="362">
        <f t="shared" ca="1" si="105"/>
        <v>254289285.65600249</v>
      </c>
    </row>
    <row r="3397" spans="1:4">
      <c r="A3397" s="348">
        <f t="shared" ref="A3397:A3460" si="107">A3396+1</f>
        <v>3396</v>
      </c>
      <c r="B3397" s="360">
        <f>DATE('Profit Calculation'!J$6,A$2,A$2+A3397-1)</f>
        <v>45400</v>
      </c>
      <c r="D3397" s="362">
        <f t="shared" ref="D3397" ca="1" si="108">IF(OR(LOOKUP(B3397,W$1:W$35,W$1:W$35) = B3397, LOOKUP(B3397,X$1:X$35,X$1:X$35) = B3397),LOOKUP(B3397,F:F,G:G),D3396*(1+((IF($Q$18&lt;6,$R$14,IF($Q$18&lt;11,$R$15,$R$16)))))^(1/365))</f>
        <v>254386674.06600475</v>
      </c>
    </row>
    <row r="3398" spans="1:4">
      <c r="A3398" s="348">
        <f t="shared" si="107"/>
        <v>3397</v>
      </c>
      <c r="B3398" s="360">
        <f>DATE('Profit Calculation'!J$6,A$2,A$2+A3398-1)</f>
        <v>45401</v>
      </c>
      <c r="D3398" s="362">
        <f t="shared" ref="D3398:D3460" ca="1" si="109">IF(OR(LOOKUP(B3398,W$1:W$35,W$1:W$35) = B3398, LOOKUP(B3398,X$1:X$35,X$1:X$35) = B3398),LOOKUP(B3398,F:F,G:G),D3397*(1+((IF($Q$18&lt;6,$R$14,IF($Q$18&lt;11,$R$15,$R$16)))))^(1/365))</f>
        <v>254484099.77408814</v>
      </c>
    </row>
    <row r="3399" spans="1:4">
      <c r="A3399" s="348">
        <f t="shared" si="107"/>
        <v>3398</v>
      </c>
      <c r="B3399" s="360">
        <f>DATE('Profit Calculation'!J$6,A$2,A$2+A3399-1)</f>
        <v>45402</v>
      </c>
      <c r="D3399" s="362">
        <f t="shared" ca="1" si="109"/>
        <v>254581562.79453716</v>
      </c>
    </row>
    <row r="3400" spans="1:4">
      <c r="A3400" s="348">
        <f t="shared" si="107"/>
        <v>3399</v>
      </c>
      <c r="B3400" s="360">
        <f>DATE('Profit Calculation'!J$6,A$2,A$2+A3400-1)</f>
        <v>45403</v>
      </c>
      <c r="D3400" s="362">
        <f t="shared" ca="1" si="109"/>
        <v>254679063.1416418</v>
      </c>
    </row>
    <row r="3401" spans="1:4">
      <c r="A3401" s="348">
        <f t="shared" si="107"/>
        <v>3400</v>
      </c>
      <c r="B3401" s="360">
        <f>DATE('Profit Calculation'!J$6,A$2,A$2+A3401-1)</f>
        <v>45404</v>
      </c>
      <c r="D3401" s="362">
        <f t="shared" ca="1" si="109"/>
        <v>254776600.82969755</v>
      </c>
    </row>
    <row r="3402" spans="1:4">
      <c r="A3402" s="348">
        <f t="shared" si="107"/>
        <v>3401</v>
      </c>
      <c r="B3402" s="360">
        <f>DATE('Profit Calculation'!J$6,A$2,A$2+A3402-1)</f>
        <v>45405</v>
      </c>
      <c r="D3402" s="362">
        <f t="shared" ca="1" si="109"/>
        <v>254874175.87300533</v>
      </c>
    </row>
    <row r="3403" spans="1:4">
      <c r="A3403" s="348">
        <f t="shared" si="107"/>
        <v>3402</v>
      </c>
      <c r="B3403" s="360">
        <f>DATE('Profit Calculation'!J$6,A$2,A$2+A3403-1)</f>
        <v>45406</v>
      </c>
      <c r="D3403" s="362">
        <f t="shared" ca="1" si="109"/>
        <v>254971788.28587157</v>
      </c>
    </row>
    <row r="3404" spans="1:4">
      <c r="A3404" s="348">
        <f t="shared" si="107"/>
        <v>3403</v>
      </c>
      <c r="B3404" s="360">
        <f>DATE('Profit Calculation'!J$6,A$2,A$2+A3404-1)</f>
        <v>45407</v>
      </c>
      <c r="D3404" s="362">
        <f t="shared" ca="1" si="109"/>
        <v>255069438.08260813</v>
      </c>
    </row>
    <row r="3405" spans="1:4">
      <c r="A3405" s="348">
        <f t="shared" si="107"/>
        <v>3404</v>
      </c>
      <c r="B3405" s="360">
        <f>DATE('Profit Calculation'!J$6,A$2,A$2+A3405-1)</f>
        <v>45408</v>
      </c>
      <c r="D3405" s="362">
        <f t="shared" ca="1" si="109"/>
        <v>255167125.27753243</v>
      </c>
    </row>
    <row r="3406" spans="1:4">
      <c r="A3406" s="348">
        <f t="shared" si="107"/>
        <v>3405</v>
      </c>
      <c r="B3406" s="360">
        <f>DATE('Profit Calculation'!J$6,A$2,A$2+A3406-1)</f>
        <v>45409</v>
      </c>
      <c r="D3406" s="362">
        <f t="shared" ca="1" si="109"/>
        <v>255264849.8849673</v>
      </c>
    </row>
    <row r="3407" spans="1:4">
      <c r="A3407" s="348">
        <f t="shared" si="107"/>
        <v>3406</v>
      </c>
      <c r="B3407" s="360">
        <f>DATE('Profit Calculation'!J$6,A$2,A$2+A3407-1)</f>
        <v>45410</v>
      </c>
      <c r="D3407" s="362">
        <f t="shared" ca="1" si="109"/>
        <v>255362611.9192411</v>
      </c>
    </row>
    <row r="3408" spans="1:4">
      <c r="A3408" s="348">
        <f t="shared" si="107"/>
        <v>3407</v>
      </c>
      <c r="B3408" s="360">
        <f>DATE('Profit Calculation'!J$6,A$2,A$2+A3408-1)</f>
        <v>45411</v>
      </c>
      <c r="D3408" s="362">
        <f t="shared" ca="1" si="109"/>
        <v>255460411.39468768</v>
      </c>
    </row>
    <row r="3409" spans="1:4">
      <c r="A3409" s="348">
        <f t="shared" si="107"/>
        <v>3408</v>
      </c>
      <c r="B3409" s="360">
        <f>DATE('Profit Calculation'!J$6,A$2,A$2+A3409-1)</f>
        <v>45412</v>
      </c>
      <c r="D3409" s="362">
        <f t="shared" ca="1" si="109"/>
        <v>255558248.32564634</v>
      </c>
    </row>
    <row r="3410" spans="1:4">
      <c r="A3410" s="348">
        <f t="shared" si="107"/>
        <v>3409</v>
      </c>
      <c r="B3410" s="360">
        <f>DATE('Profit Calculation'!J$6,A$2,A$2+A3410-1)</f>
        <v>45413</v>
      </c>
      <c r="D3410" s="362">
        <f t="shared" ca="1" si="109"/>
        <v>255656122.72646192</v>
      </c>
    </row>
    <row r="3411" spans="1:4">
      <c r="A3411" s="348">
        <f t="shared" si="107"/>
        <v>3410</v>
      </c>
      <c r="B3411" s="360">
        <f>DATE('Profit Calculation'!J$6,A$2,A$2+A3411-1)</f>
        <v>45414</v>
      </c>
      <c r="D3411" s="362">
        <f t="shared" ca="1" si="109"/>
        <v>255754034.61148471</v>
      </c>
    </row>
    <row r="3412" spans="1:4">
      <c r="A3412" s="348">
        <f t="shared" si="107"/>
        <v>3411</v>
      </c>
      <c r="B3412" s="360">
        <f>DATE('Profit Calculation'!J$6,A$2,A$2+A3412-1)</f>
        <v>45415</v>
      </c>
      <c r="D3412" s="362">
        <f t="shared" ca="1" si="109"/>
        <v>255851983.99507052</v>
      </c>
    </row>
    <row r="3413" spans="1:4">
      <c r="A3413" s="348">
        <f t="shared" si="107"/>
        <v>3412</v>
      </c>
      <c r="B3413" s="360">
        <f>DATE('Profit Calculation'!J$6,A$2,A$2+A3413-1)</f>
        <v>45416</v>
      </c>
      <c r="D3413" s="362">
        <f t="shared" ca="1" si="109"/>
        <v>255949970.89158064</v>
      </c>
    </row>
    <row r="3414" spans="1:4">
      <c r="A3414" s="348">
        <f t="shared" si="107"/>
        <v>3413</v>
      </c>
      <c r="B3414" s="360">
        <f>DATE('Profit Calculation'!J$6,A$2,A$2+A3414-1)</f>
        <v>45417</v>
      </c>
      <c r="D3414" s="362">
        <f t="shared" ca="1" si="109"/>
        <v>256047995.31538188</v>
      </c>
    </row>
    <row r="3415" spans="1:4">
      <c r="A3415" s="348">
        <f t="shared" si="107"/>
        <v>3414</v>
      </c>
      <c r="B3415" s="360">
        <f>DATE('Profit Calculation'!J$6,A$2,A$2+A3415-1)</f>
        <v>45418</v>
      </c>
      <c r="D3415" s="362">
        <f t="shared" ca="1" si="109"/>
        <v>256146057.28084657</v>
      </c>
    </row>
    <row r="3416" spans="1:4">
      <c r="A3416" s="348">
        <f t="shared" si="107"/>
        <v>3415</v>
      </c>
      <c r="B3416" s="360">
        <f>DATE('Profit Calculation'!J$6,A$2,A$2+A3416-1)</f>
        <v>45419</v>
      </c>
      <c r="D3416" s="362">
        <f t="shared" ca="1" si="109"/>
        <v>256244156.80235246</v>
      </c>
    </row>
    <row r="3417" spans="1:4">
      <c r="A3417" s="348">
        <f t="shared" si="107"/>
        <v>3416</v>
      </c>
      <c r="B3417" s="360">
        <f>DATE('Profit Calculation'!J$6,A$2,A$2+A3417-1)</f>
        <v>45420</v>
      </c>
      <c r="D3417" s="362">
        <f t="shared" ca="1" si="109"/>
        <v>256342293.89428291</v>
      </c>
    </row>
    <row r="3418" spans="1:4">
      <c r="A3418" s="348">
        <f t="shared" si="107"/>
        <v>3417</v>
      </c>
      <c r="B3418" s="360">
        <f>DATE('Profit Calculation'!J$6,A$2,A$2+A3418-1)</f>
        <v>45421</v>
      </c>
      <c r="D3418" s="362">
        <f t="shared" ca="1" si="109"/>
        <v>256440468.57102674</v>
      </c>
    </row>
    <row r="3419" spans="1:4">
      <c r="A3419" s="348">
        <f t="shared" si="107"/>
        <v>3418</v>
      </c>
      <c r="B3419" s="360">
        <f>DATE('Profit Calculation'!J$6,A$2,A$2+A3419-1)</f>
        <v>45422</v>
      </c>
      <c r="D3419" s="362">
        <f t="shared" ca="1" si="109"/>
        <v>256538680.84697831</v>
      </c>
    </row>
    <row r="3420" spans="1:4">
      <c r="A3420" s="348">
        <f t="shared" si="107"/>
        <v>3419</v>
      </c>
      <c r="B3420" s="360">
        <f>DATE('Profit Calculation'!J$6,A$2,A$2+A3420-1)</f>
        <v>45423</v>
      </c>
      <c r="D3420" s="362">
        <f t="shared" ca="1" si="109"/>
        <v>256636930.73653743</v>
      </c>
    </row>
    <row r="3421" spans="1:4">
      <c r="A3421" s="348">
        <f t="shared" si="107"/>
        <v>3420</v>
      </c>
      <c r="B3421" s="360">
        <f>DATE('Profit Calculation'!J$6,A$2,A$2+A3421-1)</f>
        <v>45424</v>
      </c>
      <c r="D3421" s="362">
        <f t="shared" ca="1" si="109"/>
        <v>256735218.25410947</v>
      </c>
    </row>
    <row r="3422" spans="1:4">
      <c r="A3422" s="348">
        <f t="shared" si="107"/>
        <v>3421</v>
      </c>
      <c r="B3422" s="360">
        <f>DATE('Profit Calculation'!J$6,A$2,A$2+A3422-1)</f>
        <v>45425</v>
      </c>
      <c r="D3422" s="362">
        <f t="shared" ca="1" si="109"/>
        <v>256833543.41410533</v>
      </c>
    </row>
    <row r="3423" spans="1:4">
      <c r="A3423" s="348">
        <f t="shared" si="107"/>
        <v>3422</v>
      </c>
      <c r="B3423" s="360">
        <f>DATE('Profit Calculation'!J$6,A$2,A$2+A3423-1)</f>
        <v>45426</v>
      </c>
      <c r="D3423" s="362">
        <f t="shared" ca="1" si="109"/>
        <v>256931906.23094136</v>
      </c>
    </row>
    <row r="3424" spans="1:4">
      <c r="A3424" s="348">
        <f t="shared" si="107"/>
        <v>3423</v>
      </c>
      <c r="B3424" s="360">
        <f>DATE('Profit Calculation'!J$6,A$2,A$2+A3424-1)</f>
        <v>45427</v>
      </c>
      <c r="D3424" s="362">
        <f t="shared" ca="1" si="109"/>
        <v>257030306.71903953</v>
      </c>
    </row>
    <row r="3425" spans="1:4">
      <c r="A3425" s="348">
        <f t="shared" si="107"/>
        <v>3424</v>
      </c>
      <c r="B3425" s="360">
        <f>DATE('Profit Calculation'!J$6,A$2,A$2+A3425-1)</f>
        <v>45428</v>
      </c>
      <c r="D3425" s="362">
        <f t="shared" ca="1" si="109"/>
        <v>257128744.89282727</v>
      </c>
    </row>
    <row r="3426" spans="1:4">
      <c r="A3426" s="348">
        <f t="shared" si="107"/>
        <v>3425</v>
      </c>
      <c r="B3426" s="360">
        <f>DATE('Profit Calculation'!J$6,A$2,A$2+A3426-1)</f>
        <v>45429</v>
      </c>
      <c r="D3426" s="362">
        <f t="shared" ca="1" si="109"/>
        <v>257227220.76673755</v>
      </c>
    </row>
    <row r="3427" spans="1:4">
      <c r="A3427" s="348">
        <f t="shared" si="107"/>
        <v>3426</v>
      </c>
      <c r="B3427" s="360">
        <f>DATE('Profit Calculation'!J$6,A$2,A$2+A3427-1)</f>
        <v>45430</v>
      </c>
      <c r="D3427" s="362">
        <f t="shared" ca="1" si="109"/>
        <v>257325734.35520884</v>
      </c>
    </row>
    <row r="3428" spans="1:4">
      <c r="A3428" s="348">
        <f t="shared" si="107"/>
        <v>3427</v>
      </c>
      <c r="B3428" s="360">
        <f>DATE('Profit Calculation'!J$6,A$2,A$2+A3428-1)</f>
        <v>45431</v>
      </c>
      <c r="D3428" s="362">
        <f t="shared" ca="1" si="109"/>
        <v>257424285.67268521</v>
      </c>
    </row>
    <row r="3429" spans="1:4">
      <c r="A3429" s="348">
        <f t="shared" si="107"/>
        <v>3428</v>
      </c>
      <c r="B3429" s="360">
        <f>DATE('Profit Calculation'!J$6,A$2,A$2+A3429-1)</f>
        <v>45432</v>
      </c>
      <c r="D3429" s="362">
        <f t="shared" ca="1" si="109"/>
        <v>257522874.73361617</v>
      </c>
    </row>
    <row r="3430" spans="1:4">
      <c r="A3430" s="348">
        <f t="shared" si="107"/>
        <v>3429</v>
      </c>
      <c r="B3430" s="360">
        <f>DATE('Profit Calculation'!J$6,A$2,A$2+A3430-1)</f>
        <v>45433</v>
      </c>
      <c r="D3430" s="362">
        <f t="shared" ca="1" si="109"/>
        <v>257621501.55245686</v>
      </c>
    </row>
    <row r="3431" spans="1:4">
      <c r="A3431" s="348">
        <f t="shared" si="107"/>
        <v>3430</v>
      </c>
      <c r="B3431" s="360">
        <f>DATE('Profit Calculation'!J$6,A$2,A$2+A3431-1)</f>
        <v>45434</v>
      </c>
      <c r="D3431" s="362">
        <f t="shared" ca="1" si="109"/>
        <v>257720166.14366788</v>
      </c>
    </row>
    <row r="3432" spans="1:4">
      <c r="A3432" s="348">
        <f t="shared" si="107"/>
        <v>3431</v>
      </c>
      <c r="B3432" s="360">
        <f>DATE('Profit Calculation'!J$6,A$2,A$2+A3432-1)</f>
        <v>45435</v>
      </c>
      <c r="D3432" s="362">
        <f t="shared" ca="1" si="109"/>
        <v>257818868.5217154</v>
      </c>
    </row>
    <row r="3433" spans="1:4">
      <c r="A3433" s="348">
        <f t="shared" si="107"/>
        <v>3432</v>
      </c>
      <c r="B3433" s="360">
        <f>DATE('Profit Calculation'!J$6,A$2,A$2+A3433-1)</f>
        <v>45436</v>
      </c>
      <c r="D3433" s="362">
        <f t="shared" ca="1" si="109"/>
        <v>257917608.70107114</v>
      </c>
    </row>
    <row r="3434" spans="1:4">
      <c r="A3434" s="348">
        <f t="shared" si="107"/>
        <v>3433</v>
      </c>
      <c r="B3434" s="360">
        <f>DATE('Profit Calculation'!J$6,A$2,A$2+A3434-1)</f>
        <v>45437</v>
      </c>
      <c r="D3434" s="362">
        <f t="shared" ca="1" si="109"/>
        <v>258016386.69621232</v>
      </c>
    </row>
    <row r="3435" spans="1:4">
      <c r="A3435" s="348">
        <f t="shared" si="107"/>
        <v>3434</v>
      </c>
      <c r="B3435" s="360">
        <f>DATE('Profit Calculation'!J$6,A$2,A$2+A3435-1)</f>
        <v>45438</v>
      </c>
      <c r="D3435" s="362">
        <f t="shared" ca="1" si="109"/>
        <v>258115202.52162176</v>
      </c>
    </row>
    <row r="3436" spans="1:4">
      <c r="A3436" s="348">
        <f t="shared" si="107"/>
        <v>3435</v>
      </c>
      <c r="B3436" s="360">
        <f>DATE('Profit Calculation'!J$6,A$2,A$2+A3436-1)</f>
        <v>45439</v>
      </c>
      <c r="D3436" s="362">
        <f t="shared" ca="1" si="109"/>
        <v>258214056.19178781</v>
      </c>
    </row>
    <row r="3437" spans="1:4">
      <c r="A3437" s="348">
        <f t="shared" si="107"/>
        <v>3436</v>
      </c>
      <c r="B3437" s="360">
        <f>DATE('Profit Calculation'!J$6,A$2,A$2+A3437-1)</f>
        <v>45440</v>
      </c>
      <c r="D3437" s="362">
        <f t="shared" ca="1" si="109"/>
        <v>258312947.72120434</v>
      </c>
    </row>
    <row r="3438" spans="1:4">
      <c r="A3438" s="348">
        <f t="shared" si="107"/>
        <v>3437</v>
      </c>
      <c r="B3438" s="360">
        <f>DATE('Profit Calculation'!J$6,A$2,A$2+A3438-1)</f>
        <v>45441</v>
      </c>
      <c r="D3438" s="362">
        <f t="shared" ca="1" si="109"/>
        <v>258411877.12437078</v>
      </c>
    </row>
    <row r="3439" spans="1:4">
      <c r="A3439" s="348">
        <f t="shared" si="107"/>
        <v>3438</v>
      </c>
      <c r="B3439" s="360">
        <f>DATE('Profit Calculation'!J$6,A$2,A$2+A3439-1)</f>
        <v>45442</v>
      </c>
      <c r="D3439" s="362">
        <f t="shared" ca="1" si="109"/>
        <v>258510844.41579214</v>
      </c>
    </row>
    <row r="3440" spans="1:4">
      <c r="A3440" s="348">
        <f t="shared" si="107"/>
        <v>3439</v>
      </c>
      <c r="B3440" s="360">
        <f>DATE('Profit Calculation'!J$6,A$2,A$2+A3440-1)</f>
        <v>45443</v>
      </c>
      <c r="D3440" s="362">
        <f t="shared" ca="1" si="109"/>
        <v>258609849.60997894</v>
      </c>
    </row>
    <row r="3441" spans="1:4">
      <c r="A3441" s="348">
        <f t="shared" si="107"/>
        <v>3440</v>
      </c>
      <c r="B3441" s="360">
        <f>DATE('Profit Calculation'!J$6,A$2,A$2+A3441-1)</f>
        <v>45444</v>
      </c>
      <c r="D3441" s="362">
        <f t="shared" ca="1" si="109"/>
        <v>258708892.72144732</v>
      </c>
    </row>
    <row r="3442" spans="1:4">
      <c r="A3442" s="348">
        <f t="shared" si="107"/>
        <v>3441</v>
      </c>
      <c r="B3442" s="360">
        <f>DATE('Profit Calculation'!J$6,A$2,A$2+A3442-1)</f>
        <v>45445</v>
      </c>
      <c r="D3442" s="362">
        <f t="shared" ca="1" si="109"/>
        <v>258807973.76471892</v>
      </c>
    </row>
    <row r="3443" spans="1:4">
      <c r="A3443" s="348">
        <f t="shared" si="107"/>
        <v>3442</v>
      </c>
      <c r="B3443" s="360">
        <f>DATE('Profit Calculation'!J$6,A$2,A$2+A3443-1)</f>
        <v>45446</v>
      </c>
      <c r="D3443" s="362">
        <f t="shared" ca="1" si="109"/>
        <v>258907092.75432098</v>
      </c>
    </row>
    <row r="3444" spans="1:4">
      <c r="A3444" s="348">
        <f t="shared" si="107"/>
        <v>3443</v>
      </c>
      <c r="B3444" s="360">
        <f>DATE('Profit Calculation'!J$6,A$2,A$2+A3444-1)</f>
        <v>45447</v>
      </c>
      <c r="D3444" s="362">
        <f t="shared" ca="1" si="109"/>
        <v>259006249.7047863</v>
      </c>
    </row>
    <row r="3445" spans="1:4">
      <c r="A3445" s="348">
        <f t="shared" si="107"/>
        <v>3444</v>
      </c>
      <c r="B3445" s="360">
        <f>DATE('Profit Calculation'!J$6,A$2,A$2+A3445-1)</f>
        <v>45448</v>
      </c>
      <c r="D3445" s="362">
        <f t="shared" ca="1" si="109"/>
        <v>259105444.63065323</v>
      </c>
    </row>
    <row r="3446" spans="1:4">
      <c r="A3446" s="348">
        <f t="shared" si="107"/>
        <v>3445</v>
      </c>
      <c r="B3446" s="360">
        <f>DATE('Profit Calculation'!J$6,A$2,A$2+A3446-1)</f>
        <v>45449</v>
      </c>
      <c r="D3446" s="362">
        <f t="shared" ca="1" si="109"/>
        <v>259204677.54646569</v>
      </c>
    </row>
    <row r="3447" spans="1:4">
      <c r="A3447" s="348">
        <f t="shared" si="107"/>
        <v>3446</v>
      </c>
      <c r="B3447" s="360">
        <f>DATE('Profit Calculation'!J$6,A$2,A$2+A3447-1)</f>
        <v>45450</v>
      </c>
      <c r="D3447" s="362">
        <f t="shared" ca="1" si="109"/>
        <v>259303948.46677318</v>
      </c>
    </row>
    <row r="3448" spans="1:4">
      <c r="A3448" s="348">
        <f t="shared" si="107"/>
        <v>3447</v>
      </c>
      <c r="B3448" s="360">
        <f>DATE('Profit Calculation'!J$6,A$2,A$2+A3448-1)</f>
        <v>45451</v>
      </c>
      <c r="D3448" s="362">
        <f t="shared" ca="1" si="109"/>
        <v>259403257.40613076</v>
      </c>
    </row>
    <row r="3449" spans="1:4">
      <c r="A3449" s="348">
        <f t="shared" si="107"/>
        <v>3448</v>
      </c>
      <c r="B3449" s="360">
        <f>DATE('Profit Calculation'!J$6,A$2,A$2+A3449-1)</f>
        <v>45452</v>
      </c>
      <c r="D3449" s="362">
        <f t="shared" ca="1" si="109"/>
        <v>259502604.37909904</v>
      </c>
    </row>
    <row r="3450" spans="1:4">
      <c r="A3450" s="348">
        <f t="shared" si="107"/>
        <v>3449</v>
      </c>
      <c r="B3450" s="360">
        <f>DATE('Profit Calculation'!J$6,A$2,A$2+A3450-1)</f>
        <v>45453</v>
      </c>
      <c r="D3450" s="362">
        <f t="shared" ca="1" si="109"/>
        <v>259601989.40024427</v>
      </c>
    </row>
    <row r="3451" spans="1:4">
      <c r="A3451" s="348">
        <f t="shared" si="107"/>
        <v>3450</v>
      </c>
      <c r="B3451" s="360">
        <f>DATE('Profit Calculation'!J$6,A$2,A$2+A3451-1)</f>
        <v>45454</v>
      </c>
      <c r="D3451" s="362">
        <f t="shared" ca="1" si="109"/>
        <v>259701412.48413825</v>
      </c>
    </row>
    <row r="3452" spans="1:4">
      <c r="A3452" s="348">
        <f t="shared" si="107"/>
        <v>3451</v>
      </c>
      <c r="B3452" s="360">
        <f>DATE('Profit Calculation'!J$6,A$2,A$2+A3452-1)</f>
        <v>45455</v>
      </c>
      <c r="D3452" s="362">
        <f t="shared" ca="1" si="109"/>
        <v>259800873.64535835</v>
      </c>
    </row>
    <row r="3453" spans="1:4">
      <c r="A3453" s="348">
        <f t="shared" si="107"/>
        <v>3452</v>
      </c>
      <c r="B3453" s="360">
        <f>DATE('Profit Calculation'!J$6,A$2,A$2+A3453-1)</f>
        <v>45456</v>
      </c>
      <c r="D3453" s="362">
        <f t="shared" ca="1" si="109"/>
        <v>259900372.89848754</v>
      </c>
    </row>
    <row r="3454" spans="1:4">
      <c r="A3454" s="348">
        <f t="shared" si="107"/>
        <v>3453</v>
      </c>
      <c r="B3454" s="360">
        <f>DATE('Profit Calculation'!J$6,A$2,A$2+A3454-1)</f>
        <v>45457</v>
      </c>
      <c r="D3454" s="362">
        <f t="shared" ca="1" si="109"/>
        <v>259999910.25811434</v>
      </c>
    </row>
    <row r="3455" spans="1:4">
      <c r="A3455" s="348">
        <f t="shared" si="107"/>
        <v>3454</v>
      </c>
      <c r="B3455" s="360">
        <f>DATE('Profit Calculation'!J$6,A$2,A$2+A3455-1)</f>
        <v>45458</v>
      </c>
      <c r="D3455" s="362">
        <f t="shared" ca="1" si="109"/>
        <v>260099485.73883289</v>
      </c>
    </row>
    <row r="3456" spans="1:4">
      <c r="A3456" s="348">
        <f t="shared" si="107"/>
        <v>3455</v>
      </c>
      <c r="B3456" s="360">
        <f>DATE('Profit Calculation'!J$6,A$2,A$2+A3456-1)</f>
        <v>45459</v>
      </c>
      <c r="D3456" s="362">
        <f t="shared" ca="1" si="109"/>
        <v>260199099.35524291</v>
      </c>
    </row>
    <row r="3457" spans="1:4">
      <c r="A3457" s="348">
        <f t="shared" si="107"/>
        <v>3456</v>
      </c>
      <c r="B3457" s="360">
        <f>DATE('Profit Calculation'!J$6,A$2,A$2+A3457-1)</f>
        <v>45460</v>
      </c>
      <c r="D3457" s="362">
        <f t="shared" ca="1" si="109"/>
        <v>260298751.1219497</v>
      </c>
    </row>
    <row r="3458" spans="1:4">
      <c r="A3458" s="348">
        <f t="shared" si="107"/>
        <v>3457</v>
      </c>
      <c r="B3458" s="360">
        <f>DATE('Profit Calculation'!J$6,A$2,A$2+A3458-1)</f>
        <v>45461</v>
      </c>
      <c r="D3458" s="362">
        <f t="shared" ca="1" si="109"/>
        <v>260398441.05356419</v>
      </c>
    </row>
    <row r="3459" spans="1:4">
      <c r="A3459" s="348">
        <f t="shared" si="107"/>
        <v>3458</v>
      </c>
      <c r="B3459" s="360">
        <f>DATE('Profit Calculation'!J$6,A$2,A$2+A3459-1)</f>
        <v>45462</v>
      </c>
      <c r="D3459" s="362">
        <f t="shared" ca="1" si="109"/>
        <v>260498169.16470286</v>
      </c>
    </row>
    <row r="3460" spans="1:4">
      <c r="A3460" s="348">
        <f t="shared" si="107"/>
        <v>3459</v>
      </c>
      <c r="B3460" s="360">
        <f>DATE('Profit Calculation'!J$6,A$2,A$2+A3460-1)</f>
        <v>45463</v>
      </c>
      <c r="D3460" s="362">
        <f t="shared" ca="1" si="109"/>
        <v>260597935.46998784</v>
      </c>
    </row>
    <row r="3461" spans="1:4">
      <c r="A3461" s="348">
        <f t="shared" ref="A3461:A3524" si="110">A3460+1</f>
        <v>3460</v>
      </c>
      <c r="B3461" s="360">
        <f>DATE('Profit Calculation'!J$6,A$2,A$2+A3461-1)</f>
        <v>45464</v>
      </c>
      <c r="D3461" s="362">
        <f t="shared" ref="D3461:D3524" ca="1" si="111">IF(OR(LOOKUP(B3461,W$1:W$35,W$1:W$35) = B3461, LOOKUP(B3461,X$1:X$35,X$1:X$35) = B3461),LOOKUP(B3461,F:F,G:G),D3460*(1+((IF($Q$18&lt;6,$R$14,IF($Q$18&lt;11,$R$15,$R$16)))))^(1/365))</f>
        <v>260697739.98404679</v>
      </c>
    </row>
    <row r="3462" spans="1:4">
      <c r="A3462" s="348">
        <f t="shared" si="110"/>
        <v>3461</v>
      </c>
      <c r="B3462" s="360">
        <f>DATE('Profit Calculation'!J$6,A$2,A$2+A3462-1)</f>
        <v>45465</v>
      </c>
      <c r="D3462" s="362">
        <f t="shared" ca="1" si="111"/>
        <v>260797582.72151303</v>
      </c>
    </row>
    <row r="3463" spans="1:4">
      <c r="A3463" s="348">
        <f t="shared" si="110"/>
        <v>3462</v>
      </c>
      <c r="B3463" s="360">
        <f>DATE('Profit Calculation'!J$6,A$2,A$2+A3463-1)</f>
        <v>45466</v>
      </c>
      <c r="D3463" s="362">
        <f t="shared" ca="1" si="111"/>
        <v>260897463.69702548</v>
      </c>
    </row>
    <row r="3464" spans="1:4">
      <c r="A3464" s="348">
        <f t="shared" si="110"/>
        <v>3463</v>
      </c>
      <c r="B3464" s="360">
        <f>DATE('Profit Calculation'!J$6,A$2,A$2+A3464-1)</f>
        <v>45467</v>
      </c>
      <c r="D3464" s="362">
        <f t="shared" ca="1" si="111"/>
        <v>260997382.92522863</v>
      </c>
    </row>
    <row r="3465" spans="1:4">
      <c r="A3465" s="348">
        <f t="shared" si="110"/>
        <v>3464</v>
      </c>
      <c r="B3465" s="360">
        <f>DATE('Profit Calculation'!J$6,A$2,A$2+A3465-1)</f>
        <v>45468</v>
      </c>
      <c r="D3465" s="362">
        <f t="shared" ca="1" si="111"/>
        <v>261097340.42077261</v>
      </c>
    </row>
    <row r="3466" spans="1:4">
      <c r="A3466" s="348">
        <f t="shared" si="110"/>
        <v>3465</v>
      </c>
      <c r="B3466" s="360">
        <f>DATE('Profit Calculation'!J$6,A$2,A$2+A3466-1)</f>
        <v>45469</v>
      </c>
      <c r="D3466" s="362">
        <f t="shared" ca="1" si="111"/>
        <v>261197336.19831315</v>
      </c>
    </row>
    <row r="3467" spans="1:4">
      <c r="A3467" s="348">
        <f t="shared" si="110"/>
        <v>3466</v>
      </c>
      <c r="B3467" s="360">
        <f>DATE('Profit Calculation'!J$6,A$2,A$2+A3467-1)</f>
        <v>45470</v>
      </c>
      <c r="D3467" s="362">
        <f t="shared" ca="1" si="111"/>
        <v>261297370.2725116</v>
      </c>
    </row>
    <row r="3468" spans="1:4">
      <c r="A3468" s="348">
        <f t="shared" si="110"/>
        <v>3467</v>
      </c>
      <c r="B3468" s="360">
        <f>DATE('Profit Calculation'!J$6,A$2,A$2+A3468-1)</f>
        <v>45471</v>
      </c>
      <c r="D3468" s="362">
        <f t="shared" ca="1" si="111"/>
        <v>261397442.65803492</v>
      </c>
    </row>
    <row r="3469" spans="1:4">
      <c r="A3469" s="348">
        <f t="shared" si="110"/>
        <v>3468</v>
      </c>
      <c r="B3469" s="360">
        <f>DATE('Profit Calculation'!J$6,A$2,A$2+A3469-1)</f>
        <v>45472</v>
      </c>
      <c r="D3469" s="362">
        <f t="shared" ca="1" si="111"/>
        <v>261497553.36955568</v>
      </c>
    </row>
    <row r="3470" spans="1:4">
      <c r="A3470" s="348">
        <f t="shared" si="110"/>
        <v>3469</v>
      </c>
      <c r="B3470" s="360">
        <f>DATE('Profit Calculation'!J$6,A$2,A$2+A3470-1)</f>
        <v>45473</v>
      </c>
      <c r="D3470" s="362">
        <f t="shared" ca="1" si="111"/>
        <v>261597702.42175207</v>
      </c>
    </row>
    <row r="3471" spans="1:4">
      <c r="A3471" s="348">
        <f t="shared" si="110"/>
        <v>3470</v>
      </c>
      <c r="B3471" s="360">
        <f>DATE('Profit Calculation'!J$6,A$2,A$2+A3471-1)</f>
        <v>45474</v>
      </c>
      <c r="D3471" s="362">
        <f t="shared" ca="1" si="111"/>
        <v>261697889.82930791</v>
      </c>
    </row>
    <row r="3472" spans="1:4">
      <c r="A3472" s="348">
        <f t="shared" si="110"/>
        <v>3471</v>
      </c>
      <c r="B3472" s="360">
        <f>DATE('Profit Calculation'!J$6,A$2,A$2+A3472-1)</f>
        <v>45475</v>
      </c>
      <c r="D3472" s="362">
        <f t="shared" ca="1" si="111"/>
        <v>261798115.60691264</v>
      </c>
    </row>
    <row r="3473" spans="1:4">
      <c r="A3473" s="348">
        <f t="shared" si="110"/>
        <v>3472</v>
      </c>
      <c r="B3473" s="360">
        <f>DATE('Profit Calculation'!J$6,A$2,A$2+A3473-1)</f>
        <v>45476</v>
      </c>
      <c r="D3473" s="362">
        <f t="shared" ca="1" si="111"/>
        <v>261898379.76926133</v>
      </c>
    </row>
    <row r="3474" spans="1:4">
      <c r="A3474" s="348">
        <f t="shared" si="110"/>
        <v>3473</v>
      </c>
      <c r="B3474" s="360">
        <f>DATE('Profit Calculation'!J$6,A$2,A$2+A3474-1)</f>
        <v>45477</v>
      </c>
      <c r="D3474" s="362">
        <f t="shared" ca="1" si="111"/>
        <v>261998682.33105469</v>
      </c>
    </row>
    <row r="3475" spans="1:4">
      <c r="A3475" s="348">
        <f t="shared" si="110"/>
        <v>3474</v>
      </c>
      <c r="B3475" s="360">
        <f>DATE('Profit Calculation'!J$6,A$2,A$2+A3475-1)</f>
        <v>45478</v>
      </c>
      <c r="D3475" s="362">
        <f t="shared" ca="1" si="111"/>
        <v>262099023.30699903</v>
      </c>
    </row>
    <row r="3476" spans="1:4">
      <c r="A3476" s="348">
        <f t="shared" si="110"/>
        <v>3475</v>
      </c>
      <c r="B3476" s="360">
        <f>DATE('Profit Calculation'!J$6,A$2,A$2+A3476-1)</f>
        <v>45479</v>
      </c>
      <c r="D3476" s="362">
        <f t="shared" ca="1" si="111"/>
        <v>262199402.7118063</v>
      </c>
    </row>
    <row r="3477" spans="1:4">
      <c r="A3477" s="348">
        <f t="shared" si="110"/>
        <v>3476</v>
      </c>
      <c r="B3477" s="360">
        <f>DATE('Profit Calculation'!J$6,A$2,A$2+A3477-1)</f>
        <v>45480</v>
      </c>
      <c r="D3477" s="362">
        <f t="shared" ca="1" si="111"/>
        <v>262299820.5601941</v>
      </c>
    </row>
    <row r="3478" spans="1:4">
      <c r="A3478" s="348">
        <f t="shared" si="110"/>
        <v>3477</v>
      </c>
      <c r="B3478" s="360">
        <f>DATE('Profit Calculation'!J$6,A$2,A$2+A3478-1)</f>
        <v>45481</v>
      </c>
      <c r="D3478" s="362">
        <f t="shared" ca="1" si="111"/>
        <v>262400276.86688566</v>
      </c>
    </row>
    <row r="3479" spans="1:4">
      <c r="A3479" s="348">
        <f t="shared" si="110"/>
        <v>3478</v>
      </c>
      <c r="B3479" s="360">
        <f>DATE('Profit Calculation'!J$6,A$2,A$2+A3479-1)</f>
        <v>45482</v>
      </c>
      <c r="D3479" s="362">
        <f t="shared" ca="1" si="111"/>
        <v>262500771.64660984</v>
      </c>
    </row>
    <row r="3480" spans="1:4">
      <c r="A3480" s="348">
        <f t="shared" si="110"/>
        <v>3479</v>
      </c>
      <c r="B3480" s="360">
        <f>DATE('Profit Calculation'!J$6,A$2,A$2+A3480-1)</f>
        <v>45483</v>
      </c>
      <c r="D3480" s="362">
        <f t="shared" ca="1" si="111"/>
        <v>262601304.91410115</v>
      </c>
    </row>
    <row r="3481" spans="1:4">
      <c r="A3481" s="348">
        <f t="shared" si="110"/>
        <v>3480</v>
      </c>
      <c r="B3481" s="360">
        <f>DATE('Profit Calculation'!J$6,A$2,A$2+A3481-1)</f>
        <v>45484</v>
      </c>
      <c r="D3481" s="362">
        <f t="shared" ca="1" si="111"/>
        <v>262701876.68409976</v>
      </c>
    </row>
    <row r="3482" spans="1:4">
      <c r="A3482" s="348">
        <f t="shared" si="110"/>
        <v>3481</v>
      </c>
      <c r="B3482" s="360">
        <f>DATE('Profit Calculation'!J$6,A$2,A$2+A3482-1)</f>
        <v>45485</v>
      </c>
      <c r="D3482" s="362">
        <f t="shared" ca="1" si="111"/>
        <v>262802486.97135144</v>
      </c>
    </row>
    <row r="3483" spans="1:4">
      <c r="A3483" s="348">
        <f t="shared" si="110"/>
        <v>3482</v>
      </c>
      <c r="B3483" s="360">
        <f>DATE('Profit Calculation'!J$6,A$2,A$2+A3483-1)</f>
        <v>45486</v>
      </c>
      <c r="D3483" s="362">
        <f t="shared" ca="1" si="111"/>
        <v>262903135.79060766</v>
      </c>
    </row>
    <row r="3484" spans="1:4">
      <c r="A3484" s="348">
        <f t="shared" si="110"/>
        <v>3483</v>
      </c>
      <c r="B3484" s="360">
        <f>DATE('Profit Calculation'!J$6,A$2,A$2+A3484-1)</f>
        <v>45487</v>
      </c>
      <c r="D3484" s="362">
        <f t="shared" ca="1" si="111"/>
        <v>263003823.15662548</v>
      </c>
    </row>
    <row r="3485" spans="1:4">
      <c r="A3485" s="348">
        <f t="shared" si="110"/>
        <v>3484</v>
      </c>
      <c r="B3485" s="360">
        <f>DATE('Profit Calculation'!J$6,A$2,A$2+A3485-1)</f>
        <v>45488</v>
      </c>
      <c r="D3485" s="362">
        <f t="shared" ca="1" si="111"/>
        <v>263104549.08416766</v>
      </c>
    </row>
    <row r="3486" spans="1:4">
      <c r="A3486" s="348">
        <f t="shared" si="110"/>
        <v>3485</v>
      </c>
      <c r="B3486" s="360">
        <f>DATE('Profit Calculation'!J$6,A$2,A$2+A3486-1)</f>
        <v>45489</v>
      </c>
      <c r="D3486" s="362">
        <f t="shared" ca="1" si="111"/>
        <v>263205313.58800262</v>
      </c>
    </row>
    <row r="3487" spans="1:4">
      <c r="A3487" s="348">
        <f t="shared" si="110"/>
        <v>3486</v>
      </c>
      <c r="B3487" s="360">
        <f>DATE('Profit Calculation'!J$6,A$2,A$2+A3487-1)</f>
        <v>45490</v>
      </c>
      <c r="D3487" s="362">
        <f t="shared" ca="1" si="111"/>
        <v>263306116.68290439</v>
      </c>
    </row>
    <row r="3488" spans="1:4">
      <c r="A3488" s="348">
        <f t="shared" si="110"/>
        <v>3487</v>
      </c>
      <c r="B3488" s="360">
        <f>DATE('Profit Calculation'!J$6,A$2,A$2+A3488-1)</f>
        <v>45491</v>
      </c>
      <c r="D3488" s="362">
        <f t="shared" ca="1" si="111"/>
        <v>263406958.38365269</v>
      </c>
    </row>
    <row r="3489" spans="1:4">
      <c r="A3489" s="348">
        <f t="shared" si="110"/>
        <v>3488</v>
      </c>
      <c r="B3489" s="360">
        <f>DATE('Profit Calculation'!J$6,A$2,A$2+A3489-1)</f>
        <v>45492</v>
      </c>
      <c r="D3489" s="362">
        <f t="shared" ca="1" si="111"/>
        <v>263507838.70503289</v>
      </c>
    </row>
    <row r="3490" spans="1:4">
      <c r="A3490" s="348">
        <f t="shared" si="110"/>
        <v>3489</v>
      </c>
      <c r="B3490" s="360">
        <f>DATE('Profit Calculation'!J$6,A$2,A$2+A3490-1)</f>
        <v>45493</v>
      </c>
      <c r="D3490" s="362">
        <f t="shared" ca="1" si="111"/>
        <v>263608757.66183603</v>
      </c>
    </row>
    <row r="3491" spans="1:4">
      <c r="A3491" s="348">
        <f t="shared" si="110"/>
        <v>3490</v>
      </c>
      <c r="B3491" s="360">
        <f>DATE('Profit Calculation'!J$6,A$2,A$2+A3491-1)</f>
        <v>45494</v>
      </c>
      <c r="D3491" s="362">
        <f t="shared" ca="1" si="111"/>
        <v>263709715.26885879</v>
      </c>
    </row>
    <row r="3492" spans="1:4">
      <c r="A3492" s="348">
        <f t="shared" si="110"/>
        <v>3491</v>
      </c>
      <c r="B3492" s="360">
        <f>DATE('Profit Calculation'!J$6,A$2,A$2+A3492-1)</f>
        <v>45495</v>
      </c>
      <c r="D3492" s="362">
        <f t="shared" ca="1" si="111"/>
        <v>263810711.54090357</v>
      </c>
    </row>
    <row r="3493" spans="1:4">
      <c r="A3493" s="348">
        <f t="shared" si="110"/>
        <v>3492</v>
      </c>
      <c r="B3493" s="360">
        <f>DATE('Profit Calculation'!J$6,A$2,A$2+A3493-1)</f>
        <v>45496</v>
      </c>
      <c r="D3493" s="362">
        <f t="shared" ca="1" si="111"/>
        <v>263911746.49277839</v>
      </c>
    </row>
    <row r="3494" spans="1:4">
      <c r="A3494" s="348">
        <f t="shared" si="110"/>
        <v>3493</v>
      </c>
      <c r="B3494" s="360">
        <f>DATE('Profit Calculation'!J$6,A$2,A$2+A3494-1)</f>
        <v>45497</v>
      </c>
      <c r="D3494" s="362">
        <f t="shared" ca="1" si="111"/>
        <v>264012820.13929695</v>
      </c>
    </row>
    <row r="3495" spans="1:4">
      <c r="A3495" s="348">
        <f t="shared" si="110"/>
        <v>3494</v>
      </c>
      <c r="B3495" s="360">
        <f>DATE('Profit Calculation'!J$6,A$2,A$2+A3495-1)</f>
        <v>45498</v>
      </c>
      <c r="D3495" s="362">
        <f t="shared" ca="1" si="111"/>
        <v>264113932.49527866</v>
      </c>
    </row>
    <row r="3496" spans="1:4">
      <c r="A3496" s="348">
        <f t="shared" si="110"/>
        <v>3495</v>
      </c>
      <c r="B3496" s="360">
        <f>DATE('Profit Calculation'!J$6,A$2,A$2+A3496-1)</f>
        <v>45499</v>
      </c>
      <c r="D3496" s="362">
        <f t="shared" ca="1" si="111"/>
        <v>264215083.57554853</v>
      </c>
    </row>
    <row r="3497" spans="1:4">
      <c r="A3497" s="348">
        <f t="shared" si="110"/>
        <v>3496</v>
      </c>
      <c r="B3497" s="360">
        <f>DATE('Profit Calculation'!J$6,A$2,A$2+A3497-1)</f>
        <v>45500</v>
      </c>
      <c r="D3497" s="362">
        <f t="shared" ca="1" si="111"/>
        <v>264316273.39493734</v>
      </c>
    </row>
    <row r="3498" spans="1:4">
      <c r="A3498" s="348">
        <f t="shared" si="110"/>
        <v>3497</v>
      </c>
      <c r="B3498" s="360">
        <f>DATE('Profit Calculation'!J$6,A$2,A$2+A3498-1)</f>
        <v>45501</v>
      </c>
      <c r="D3498" s="362">
        <f t="shared" ca="1" si="111"/>
        <v>264417501.96828148</v>
      </c>
    </row>
    <row r="3499" spans="1:4">
      <c r="A3499" s="348">
        <f t="shared" si="110"/>
        <v>3498</v>
      </c>
      <c r="B3499" s="360">
        <f>DATE('Profit Calculation'!J$6,A$2,A$2+A3499-1)</f>
        <v>45502</v>
      </c>
      <c r="D3499" s="362">
        <f t="shared" ca="1" si="111"/>
        <v>264518769.31042305</v>
      </c>
    </row>
    <row r="3500" spans="1:4">
      <c r="A3500" s="348">
        <f t="shared" si="110"/>
        <v>3499</v>
      </c>
      <c r="B3500" s="360">
        <f>DATE('Profit Calculation'!J$6,A$2,A$2+A3500-1)</f>
        <v>45503</v>
      </c>
      <c r="D3500" s="362">
        <f t="shared" ca="1" si="111"/>
        <v>264620075.43620983</v>
      </c>
    </row>
    <row r="3501" spans="1:4">
      <c r="A3501" s="348">
        <f t="shared" si="110"/>
        <v>3500</v>
      </c>
      <c r="B3501" s="360">
        <f>DATE('Profit Calculation'!J$6,A$2,A$2+A3501-1)</f>
        <v>45504</v>
      </c>
      <c r="D3501" s="362">
        <f t="shared" ca="1" si="111"/>
        <v>264721420.3604953</v>
      </c>
    </row>
    <row r="3502" spans="1:4">
      <c r="A3502" s="348">
        <f t="shared" si="110"/>
        <v>3501</v>
      </c>
      <c r="B3502" s="360">
        <f>DATE('Profit Calculation'!J$6,A$2,A$2+A3502-1)</f>
        <v>45505</v>
      </c>
      <c r="D3502" s="362">
        <f t="shared" ca="1" si="111"/>
        <v>264822804.0981386</v>
      </c>
    </row>
    <row r="3503" spans="1:4">
      <c r="A3503" s="348">
        <f t="shared" si="110"/>
        <v>3502</v>
      </c>
      <c r="B3503" s="360">
        <f>DATE('Profit Calculation'!J$6,A$2,A$2+A3503-1)</f>
        <v>45506</v>
      </c>
      <c r="D3503" s="362">
        <f t="shared" ca="1" si="111"/>
        <v>264924226.66400459</v>
      </c>
    </row>
    <row r="3504" spans="1:4">
      <c r="A3504" s="348">
        <f t="shared" si="110"/>
        <v>3503</v>
      </c>
      <c r="B3504" s="360">
        <f>DATE('Profit Calculation'!J$6,A$2,A$2+A3504-1)</f>
        <v>45507</v>
      </c>
      <c r="D3504" s="362">
        <f t="shared" ca="1" si="111"/>
        <v>265025688.0729638</v>
      </c>
    </row>
    <row r="3505" spans="1:4">
      <c r="A3505" s="348">
        <f t="shared" si="110"/>
        <v>3504</v>
      </c>
      <c r="B3505" s="360">
        <f>DATE('Profit Calculation'!J$6,A$2,A$2+A3505-1)</f>
        <v>45508</v>
      </c>
      <c r="D3505" s="362">
        <f t="shared" ca="1" si="111"/>
        <v>265127188.33989248</v>
      </c>
    </row>
    <row r="3506" spans="1:4">
      <c r="A3506" s="348">
        <f t="shared" si="110"/>
        <v>3505</v>
      </c>
      <c r="B3506" s="360">
        <f>DATE('Profit Calculation'!J$6,A$2,A$2+A3506-1)</f>
        <v>45509</v>
      </c>
      <c r="D3506" s="362">
        <f t="shared" ca="1" si="111"/>
        <v>265228727.47967252</v>
      </c>
    </row>
    <row r="3507" spans="1:4">
      <c r="A3507" s="348">
        <f t="shared" si="110"/>
        <v>3506</v>
      </c>
      <c r="B3507" s="360">
        <f>DATE('Profit Calculation'!J$6,A$2,A$2+A3507-1)</f>
        <v>45510</v>
      </c>
      <c r="D3507" s="362">
        <f t="shared" ca="1" si="111"/>
        <v>265330305.5071916</v>
      </c>
    </row>
    <row r="3508" spans="1:4">
      <c r="A3508" s="348">
        <f t="shared" si="110"/>
        <v>3507</v>
      </c>
      <c r="B3508" s="360">
        <f>DATE('Profit Calculation'!J$6,A$2,A$2+A3508-1)</f>
        <v>45511</v>
      </c>
      <c r="D3508" s="362">
        <f t="shared" ca="1" si="111"/>
        <v>265431922.43734303</v>
      </c>
    </row>
    <row r="3509" spans="1:4">
      <c r="A3509" s="348">
        <f t="shared" si="110"/>
        <v>3508</v>
      </c>
      <c r="B3509" s="360">
        <f>DATE('Profit Calculation'!J$6,A$2,A$2+A3509-1)</f>
        <v>45512</v>
      </c>
      <c r="D3509" s="362">
        <f t="shared" ca="1" si="111"/>
        <v>265533578.28502586</v>
      </c>
    </row>
    <row r="3510" spans="1:4">
      <c r="A3510" s="348">
        <f t="shared" si="110"/>
        <v>3509</v>
      </c>
      <c r="B3510" s="360">
        <f>DATE('Profit Calculation'!J$6,A$2,A$2+A3510-1)</f>
        <v>45513</v>
      </c>
      <c r="D3510" s="362">
        <f t="shared" ca="1" si="111"/>
        <v>265635273.06514481</v>
      </c>
    </row>
    <row r="3511" spans="1:4">
      <c r="A3511" s="348">
        <f t="shared" si="110"/>
        <v>3510</v>
      </c>
      <c r="B3511" s="360">
        <f>DATE('Profit Calculation'!J$6,A$2,A$2+A3511-1)</f>
        <v>45514</v>
      </c>
      <c r="D3511" s="362">
        <f t="shared" ca="1" si="111"/>
        <v>265737006.79261035</v>
      </c>
    </row>
    <row r="3512" spans="1:4">
      <c r="A3512" s="348">
        <f t="shared" si="110"/>
        <v>3511</v>
      </c>
      <c r="B3512" s="360">
        <f>DATE('Profit Calculation'!J$6,A$2,A$2+A3512-1)</f>
        <v>45515</v>
      </c>
      <c r="D3512" s="362">
        <f t="shared" ca="1" si="111"/>
        <v>265838779.48233864</v>
      </c>
    </row>
    <row r="3513" spans="1:4">
      <c r="A3513" s="348">
        <f t="shared" si="110"/>
        <v>3512</v>
      </c>
      <c r="B3513" s="360">
        <f>DATE('Profit Calculation'!J$6,A$2,A$2+A3513-1)</f>
        <v>45516</v>
      </c>
      <c r="D3513" s="362">
        <f t="shared" ca="1" si="111"/>
        <v>265940591.14925155</v>
      </c>
    </row>
    <row r="3514" spans="1:4">
      <c r="A3514" s="348">
        <f t="shared" si="110"/>
        <v>3513</v>
      </c>
      <c r="B3514" s="360">
        <f>DATE('Profit Calculation'!J$6,A$2,A$2+A3514-1)</f>
        <v>45517</v>
      </c>
      <c r="D3514" s="362">
        <f t="shared" ca="1" si="111"/>
        <v>266042441.80827665</v>
      </c>
    </row>
    <row r="3515" spans="1:4">
      <c r="A3515" s="348">
        <f t="shared" si="110"/>
        <v>3514</v>
      </c>
      <c r="B3515" s="360">
        <f>DATE('Profit Calculation'!J$6,A$2,A$2+A3515-1)</f>
        <v>45518</v>
      </c>
      <c r="D3515" s="362">
        <f t="shared" ca="1" si="111"/>
        <v>266144331.47434729</v>
      </c>
    </row>
    <row r="3516" spans="1:4">
      <c r="A3516" s="348">
        <f t="shared" si="110"/>
        <v>3515</v>
      </c>
      <c r="B3516" s="360">
        <f>DATE('Profit Calculation'!J$6,A$2,A$2+A3516-1)</f>
        <v>45519</v>
      </c>
      <c r="D3516" s="362">
        <f t="shared" ca="1" si="111"/>
        <v>266246260.16240248</v>
      </c>
    </row>
    <row r="3517" spans="1:4">
      <c r="A3517" s="348">
        <f t="shared" si="110"/>
        <v>3516</v>
      </c>
      <c r="B3517" s="360">
        <f>DATE('Profit Calculation'!J$6,A$2,A$2+A3517-1)</f>
        <v>45520</v>
      </c>
      <c r="D3517" s="362">
        <f t="shared" ca="1" si="111"/>
        <v>266348227.88738695</v>
      </c>
    </row>
    <row r="3518" spans="1:4">
      <c r="A3518" s="348">
        <f t="shared" si="110"/>
        <v>3517</v>
      </c>
      <c r="B3518" s="360">
        <f>DATE('Profit Calculation'!J$6,A$2,A$2+A3518-1)</f>
        <v>45521</v>
      </c>
      <c r="D3518" s="362">
        <f t="shared" ca="1" si="111"/>
        <v>266450234.66425118</v>
      </c>
    </row>
    <row r="3519" spans="1:4">
      <c r="A3519" s="348">
        <f t="shared" si="110"/>
        <v>3518</v>
      </c>
      <c r="B3519" s="360">
        <f>DATE('Profit Calculation'!J$6,A$2,A$2+A3519-1)</f>
        <v>45522</v>
      </c>
      <c r="D3519" s="362">
        <f t="shared" ca="1" si="111"/>
        <v>266552280.50795135</v>
      </c>
    </row>
    <row r="3520" spans="1:4">
      <c r="A3520" s="348">
        <f t="shared" si="110"/>
        <v>3519</v>
      </c>
      <c r="B3520" s="360">
        <f>DATE('Profit Calculation'!J$6,A$2,A$2+A3520-1)</f>
        <v>45523</v>
      </c>
      <c r="D3520" s="362">
        <f t="shared" ca="1" si="111"/>
        <v>266654365.43344942</v>
      </c>
    </row>
    <row r="3521" spans="1:4">
      <c r="A3521" s="348">
        <f t="shared" si="110"/>
        <v>3520</v>
      </c>
      <c r="B3521" s="360">
        <f>DATE('Profit Calculation'!J$6,A$2,A$2+A3521-1)</f>
        <v>45524</v>
      </c>
      <c r="D3521" s="362">
        <f t="shared" ca="1" si="111"/>
        <v>266756489.455713</v>
      </c>
    </row>
    <row r="3522" spans="1:4">
      <c r="A3522" s="348">
        <f t="shared" si="110"/>
        <v>3521</v>
      </c>
      <c r="B3522" s="360">
        <f>DATE('Profit Calculation'!J$6,A$2,A$2+A3522-1)</f>
        <v>45525</v>
      </c>
      <c r="D3522" s="362">
        <f t="shared" ca="1" si="111"/>
        <v>266858652.58971554</v>
      </c>
    </row>
    <row r="3523" spans="1:4">
      <c r="A3523" s="348">
        <f t="shared" si="110"/>
        <v>3522</v>
      </c>
      <c r="B3523" s="360">
        <f>DATE('Profit Calculation'!J$6,A$2,A$2+A3523-1)</f>
        <v>45526</v>
      </c>
      <c r="D3523" s="362">
        <f t="shared" ca="1" si="111"/>
        <v>266960854.85043612</v>
      </c>
    </row>
    <row r="3524" spans="1:4">
      <c r="A3524" s="348">
        <f t="shared" si="110"/>
        <v>3523</v>
      </c>
      <c r="B3524" s="360">
        <f>DATE('Profit Calculation'!J$6,A$2,A$2+A3524-1)</f>
        <v>45527</v>
      </c>
      <c r="D3524" s="362">
        <f t="shared" ca="1" si="111"/>
        <v>267063096.25285959</v>
      </c>
    </row>
    <row r="3525" spans="1:4">
      <c r="A3525" s="348">
        <f t="shared" ref="A3525:A3588" si="112">A3524+1</f>
        <v>3524</v>
      </c>
      <c r="B3525" s="360">
        <f>DATE('Profit Calculation'!J$6,A$2,A$2+A3525-1)</f>
        <v>45528</v>
      </c>
      <c r="D3525" s="362">
        <f t="shared" ref="D3525:D3588" ca="1" si="113">IF(OR(LOOKUP(B3525,W$1:W$35,W$1:W$35) = B3525, LOOKUP(B3525,X$1:X$35,X$1:X$35) = B3525),LOOKUP(B3525,F:F,G:G),D3524*(1+((IF($Q$18&lt;6,$R$14,IF($Q$18&lt;11,$R$15,$R$16)))))^(1/365))</f>
        <v>267165376.81197655</v>
      </c>
    </row>
    <row r="3526" spans="1:4">
      <c r="A3526" s="348">
        <f t="shared" si="112"/>
        <v>3525</v>
      </c>
      <c r="B3526" s="360">
        <f>DATE('Profit Calculation'!J$6,A$2,A$2+A3526-1)</f>
        <v>45529</v>
      </c>
      <c r="D3526" s="362">
        <f t="shared" ca="1" si="113"/>
        <v>267267696.54278335</v>
      </c>
    </row>
    <row r="3527" spans="1:4">
      <c r="A3527" s="348">
        <f t="shared" si="112"/>
        <v>3526</v>
      </c>
      <c r="B3527" s="360">
        <f>DATE('Profit Calculation'!J$6,A$2,A$2+A3527-1)</f>
        <v>45530</v>
      </c>
      <c r="D3527" s="362">
        <f t="shared" ca="1" si="113"/>
        <v>267370055.46028206</v>
      </c>
    </row>
    <row r="3528" spans="1:4">
      <c r="A3528" s="348">
        <f t="shared" si="112"/>
        <v>3527</v>
      </c>
      <c r="B3528" s="360">
        <f>DATE('Profit Calculation'!J$6,A$2,A$2+A3528-1)</f>
        <v>45531</v>
      </c>
      <c r="D3528" s="362">
        <f t="shared" ca="1" si="113"/>
        <v>267472453.57948053</v>
      </c>
    </row>
    <row r="3529" spans="1:4">
      <c r="A3529" s="348">
        <f t="shared" si="112"/>
        <v>3528</v>
      </c>
      <c r="B3529" s="360">
        <f>DATE('Profit Calculation'!J$6,A$2,A$2+A3529-1)</f>
        <v>45532</v>
      </c>
      <c r="D3529" s="362">
        <f t="shared" ca="1" si="113"/>
        <v>267574890.91539231</v>
      </c>
    </row>
    <row r="3530" spans="1:4">
      <c r="A3530" s="348">
        <f t="shared" si="112"/>
        <v>3529</v>
      </c>
      <c r="B3530" s="360">
        <f>DATE('Profit Calculation'!J$6,A$2,A$2+A3530-1)</f>
        <v>45533</v>
      </c>
      <c r="D3530" s="362">
        <f t="shared" ca="1" si="113"/>
        <v>267677367.48303673</v>
      </c>
    </row>
    <row r="3531" spans="1:4">
      <c r="A3531" s="348">
        <f t="shared" si="112"/>
        <v>3530</v>
      </c>
      <c r="B3531" s="360">
        <f>DATE('Profit Calculation'!J$6,A$2,A$2+A3531-1)</f>
        <v>45534</v>
      </c>
      <c r="D3531" s="362">
        <f t="shared" ca="1" si="113"/>
        <v>267779883.29743889</v>
      </c>
    </row>
    <row r="3532" spans="1:4">
      <c r="A3532" s="348">
        <f t="shared" si="112"/>
        <v>3531</v>
      </c>
      <c r="B3532" s="360">
        <f>DATE('Profit Calculation'!J$6,A$2,A$2+A3532-1)</f>
        <v>45535</v>
      </c>
      <c r="D3532" s="362">
        <f t="shared" ca="1" si="113"/>
        <v>267882438.3736296</v>
      </c>
    </row>
    <row r="3533" spans="1:4">
      <c r="A3533" s="348">
        <f t="shared" si="112"/>
        <v>3532</v>
      </c>
      <c r="B3533" s="360">
        <f>DATE('Profit Calculation'!J$6,A$2,A$2+A3533-1)</f>
        <v>45536</v>
      </c>
      <c r="D3533" s="362">
        <f t="shared" ca="1" si="113"/>
        <v>267985032.72664544</v>
      </c>
    </row>
    <row r="3534" spans="1:4">
      <c r="A3534" s="348">
        <f t="shared" si="112"/>
        <v>3533</v>
      </c>
      <c r="B3534" s="360">
        <f>DATE('Profit Calculation'!J$6,A$2,A$2+A3534-1)</f>
        <v>45537</v>
      </c>
      <c r="D3534" s="362">
        <f t="shared" ca="1" si="113"/>
        <v>268087666.37152877</v>
      </c>
    </row>
    <row r="3535" spans="1:4">
      <c r="A3535" s="348">
        <f t="shared" si="112"/>
        <v>3534</v>
      </c>
      <c r="B3535" s="360">
        <f>DATE('Profit Calculation'!J$6,A$2,A$2+A3535-1)</f>
        <v>45538</v>
      </c>
      <c r="D3535" s="362">
        <f t="shared" ca="1" si="113"/>
        <v>268190339.32332769</v>
      </c>
    </row>
    <row r="3536" spans="1:4">
      <c r="A3536" s="348">
        <f t="shared" si="112"/>
        <v>3535</v>
      </c>
      <c r="B3536" s="360">
        <f>DATE('Profit Calculation'!J$6,A$2,A$2+A3536-1)</f>
        <v>45539</v>
      </c>
      <c r="D3536" s="362">
        <f t="shared" ca="1" si="113"/>
        <v>268293051.59709609</v>
      </c>
    </row>
    <row r="3537" spans="1:4">
      <c r="A3537" s="348">
        <f t="shared" si="112"/>
        <v>3536</v>
      </c>
      <c r="B3537" s="360">
        <f>DATE('Profit Calculation'!J$6,A$2,A$2+A3537-1)</f>
        <v>45540</v>
      </c>
      <c r="D3537" s="362">
        <f t="shared" ca="1" si="113"/>
        <v>268395803.20789358</v>
      </c>
    </row>
    <row r="3538" spans="1:4">
      <c r="A3538" s="348">
        <f t="shared" si="112"/>
        <v>3537</v>
      </c>
      <c r="B3538" s="360">
        <f>DATE('Profit Calculation'!J$6,A$2,A$2+A3538-1)</f>
        <v>45541</v>
      </c>
      <c r="D3538" s="362">
        <f t="shared" ca="1" si="113"/>
        <v>268498594.17078561</v>
      </c>
    </row>
    <row r="3539" spans="1:4">
      <c r="A3539" s="348">
        <f t="shared" si="112"/>
        <v>3538</v>
      </c>
      <c r="B3539" s="360">
        <f>DATE('Profit Calculation'!J$6,A$2,A$2+A3539-1)</f>
        <v>45542</v>
      </c>
      <c r="D3539" s="362">
        <f t="shared" ca="1" si="113"/>
        <v>268601424.50084329</v>
      </c>
    </row>
    <row r="3540" spans="1:4">
      <c r="A3540" s="348">
        <f t="shared" si="112"/>
        <v>3539</v>
      </c>
      <c r="B3540" s="360">
        <f>DATE('Profit Calculation'!J$6,A$2,A$2+A3540-1)</f>
        <v>45543</v>
      </c>
      <c r="D3540" s="362">
        <f t="shared" ca="1" si="113"/>
        <v>268704294.21314359</v>
      </c>
    </row>
    <row r="3541" spans="1:4">
      <c r="A3541" s="348">
        <f t="shared" si="112"/>
        <v>3540</v>
      </c>
      <c r="B3541" s="360">
        <f>DATE('Profit Calculation'!J$6,A$2,A$2+A3541-1)</f>
        <v>45544</v>
      </c>
      <c r="D3541" s="362">
        <f t="shared" ca="1" si="113"/>
        <v>268807203.32276922</v>
      </c>
    </row>
    <row r="3542" spans="1:4">
      <c r="A3542" s="348">
        <f t="shared" si="112"/>
        <v>3541</v>
      </c>
      <c r="B3542" s="360">
        <f>DATE('Profit Calculation'!J$6,A$2,A$2+A3542-1)</f>
        <v>45545</v>
      </c>
      <c r="D3542" s="362">
        <f t="shared" ca="1" si="113"/>
        <v>268910151.8448087</v>
      </c>
    </row>
    <row r="3543" spans="1:4">
      <c r="A3543" s="348">
        <f t="shared" si="112"/>
        <v>3542</v>
      </c>
      <c r="B3543" s="360">
        <f>DATE('Profit Calculation'!J$6,A$2,A$2+A3543-1)</f>
        <v>45546</v>
      </c>
      <c r="D3543" s="362">
        <f t="shared" ca="1" si="113"/>
        <v>269013139.79435629</v>
      </c>
    </row>
    <row r="3544" spans="1:4">
      <c r="A3544" s="348">
        <f t="shared" si="112"/>
        <v>3543</v>
      </c>
      <c r="B3544" s="360">
        <f>DATE('Profit Calculation'!J$6,A$2,A$2+A3544-1)</f>
        <v>45547</v>
      </c>
      <c r="D3544" s="362">
        <f t="shared" ca="1" si="113"/>
        <v>269116167.18651205</v>
      </c>
    </row>
    <row r="3545" spans="1:4">
      <c r="A3545" s="348">
        <f t="shared" si="112"/>
        <v>3544</v>
      </c>
      <c r="B3545" s="360">
        <f>DATE('Profit Calculation'!J$6,A$2,A$2+A3545-1)</f>
        <v>45548</v>
      </c>
      <c r="D3545" s="362">
        <f t="shared" ca="1" si="113"/>
        <v>269219234.03638184</v>
      </c>
    </row>
    <row r="3546" spans="1:4">
      <c r="A3546" s="348">
        <f t="shared" si="112"/>
        <v>3545</v>
      </c>
      <c r="B3546" s="360">
        <f>DATE('Profit Calculation'!J$6,A$2,A$2+A3546-1)</f>
        <v>45549</v>
      </c>
      <c r="D3546" s="362">
        <f t="shared" ca="1" si="113"/>
        <v>269322340.35907727</v>
      </c>
    </row>
    <row r="3547" spans="1:4">
      <c r="A3547" s="348">
        <f t="shared" si="112"/>
        <v>3546</v>
      </c>
      <c r="B3547" s="360">
        <f>DATE('Profit Calculation'!J$6,A$2,A$2+A3547-1)</f>
        <v>45550</v>
      </c>
      <c r="D3547" s="362">
        <f t="shared" ca="1" si="113"/>
        <v>269425486.1697157</v>
      </c>
    </row>
    <row r="3548" spans="1:4">
      <c r="A3548" s="348">
        <f t="shared" si="112"/>
        <v>3547</v>
      </c>
      <c r="B3548" s="360">
        <f>DATE('Profit Calculation'!J$6,A$2,A$2+A3548-1)</f>
        <v>45551</v>
      </c>
      <c r="D3548" s="362">
        <f t="shared" ca="1" si="113"/>
        <v>269528671.48342037</v>
      </c>
    </row>
    <row r="3549" spans="1:4">
      <c r="A3549" s="348">
        <f t="shared" si="112"/>
        <v>3548</v>
      </c>
      <c r="B3549" s="360">
        <f>DATE('Profit Calculation'!J$6,A$2,A$2+A3549-1)</f>
        <v>45552</v>
      </c>
      <c r="D3549" s="362">
        <f t="shared" ca="1" si="113"/>
        <v>269631896.31532031</v>
      </c>
    </row>
    <row r="3550" spans="1:4">
      <c r="A3550" s="348">
        <f t="shared" si="112"/>
        <v>3549</v>
      </c>
      <c r="B3550" s="360">
        <f>DATE('Profit Calculation'!J$6,A$2,A$2+A3550-1)</f>
        <v>45553</v>
      </c>
      <c r="D3550" s="362">
        <f t="shared" ca="1" si="113"/>
        <v>269735160.68055028</v>
      </c>
    </row>
    <row r="3551" spans="1:4">
      <c r="A3551" s="348">
        <f t="shared" si="112"/>
        <v>3550</v>
      </c>
      <c r="B3551" s="360">
        <f>DATE('Profit Calculation'!J$6,A$2,A$2+A3551-1)</f>
        <v>45554</v>
      </c>
      <c r="D3551" s="362">
        <f t="shared" ca="1" si="113"/>
        <v>269838464.59425086</v>
      </c>
    </row>
    <row r="3552" spans="1:4">
      <c r="A3552" s="348">
        <f t="shared" si="112"/>
        <v>3551</v>
      </c>
      <c r="B3552" s="360">
        <f>DATE('Profit Calculation'!J$6,A$2,A$2+A3552-1)</f>
        <v>45555</v>
      </c>
      <c r="D3552" s="362">
        <f t="shared" ca="1" si="113"/>
        <v>269941808.07156843</v>
      </c>
    </row>
    <row r="3553" spans="1:4">
      <c r="A3553" s="348">
        <f t="shared" si="112"/>
        <v>3552</v>
      </c>
      <c r="B3553" s="360">
        <f>DATE('Profit Calculation'!J$6,A$2,A$2+A3553-1)</f>
        <v>45556</v>
      </c>
      <c r="D3553" s="362">
        <f t="shared" ca="1" si="113"/>
        <v>270045191.12765515</v>
      </c>
    </row>
    <row r="3554" spans="1:4">
      <c r="A3554" s="348">
        <f t="shared" si="112"/>
        <v>3553</v>
      </c>
      <c r="B3554" s="360">
        <f>DATE('Profit Calculation'!J$6,A$2,A$2+A3554-1)</f>
        <v>45557</v>
      </c>
      <c r="D3554" s="362">
        <f t="shared" ca="1" si="113"/>
        <v>270148613.77766901</v>
      </c>
    </row>
    <row r="3555" spans="1:4">
      <c r="A3555" s="348">
        <f t="shared" si="112"/>
        <v>3554</v>
      </c>
      <c r="B3555" s="360">
        <f>DATE('Profit Calculation'!J$6,A$2,A$2+A3555-1)</f>
        <v>45558</v>
      </c>
      <c r="D3555" s="362">
        <f t="shared" ca="1" si="113"/>
        <v>270252076.03677386</v>
      </c>
    </row>
    <row r="3556" spans="1:4">
      <c r="A3556" s="348">
        <f t="shared" si="112"/>
        <v>3555</v>
      </c>
      <c r="B3556" s="360">
        <f>DATE('Profit Calculation'!J$6,A$2,A$2+A3556-1)</f>
        <v>45559</v>
      </c>
      <c r="D3556" s="362">
        <f t="shared" ca="1" si="113"/>
        <v>270355577.92013925</v>
      </c>
    </row>
    <row r="3557" spans="1:4">
      <c r="A3557" s="348">
        <f t="shared" si="112"/>
        <v>3556</v>
      </c>
      <c r="B3557" s="360">
        <f>DATE('Profit Calculation'!J$6,A$2,A$2+A3557-1)</f>
        <v>45560</v>
      </c>
      <c r="D3557" s="362">
        <f t="shared" ca="1" si="113"/>
        <v>270459119.44294059</v>
      </c>
    </row>
    <row r="3558" spans="1:4">
      <c r="A3558" s="348">
        <f t="shared" si="112"/>
        <v>3557</v>
      </c>
      <c r="B3558" s="360">
        <f>DATE('Profit Calculation'!J$6,A$2,A$2+A3558-1)</f>
        <v>45561</v>
      </c>
      <c r="D3558" s="362">
        <f t="shared" ca="1" si="113"/>
        <v>270562700.62035912</v>
      </c>
    </row>
    <row r="3559" spans="1:4">
      <c r="A3559" s="348">
        <f t="shared" si="112"/>
        <v>3558</v>
      </c>
      <c r="B3559" s="360">
        <f>DATE('Profit Calculation'!J$6,A$2,A$2+A3559-1)</f>
        <v>45562</v>
      </c>
      <c r="D3559" s="362">
        <f t="shared" ca="1" si="113"/>
        <v>270666321.46758187</v>
      </c>
    </row>
    <row r="3560" spans="1:4">
      <c r="A3560" s="348">
        <f t="shared" si="112"/>
        <v>3559</v>
      </c>
      <c r="B3560" s="360">
        <f>DATE('Profit Calculation'!J$6,A$2,A$2+A3560-1)</f>
        <v>45563</v>
      </c>
      <c r="D3560" s="362">
        <f t="shared" ca="1" si="113"/>
        <v>270769981.99980164</v>
      </c>
    </row>
    <row r="3561" spans="1:4">
      <c r="A3561" s="348">
        <f t="shared" si="112"/>
        <v>3560</v>
      </c>
      <c r="B3561" s="360">
        <f>DATE('Profit Calculation'!J$6,A$2,A$2+A3561-1)</f>
        <v>45564</v>
      </c>
      <c r="D3561" s="362">
        <f t="shared" ca="1" si="113"/>
        <v>270873682.23221713</v>
      </c>
    </row>
    <row r="3562" spans="1:4">
      <c r="A3562" s="348">
        <f t="shared" si="112"/>
        <v>3561</v>
      </c>
      <c r="B3562" s="360">
        <f>DATE('Profit Calculation'!J$6,A$2,A$2+A3562-1)</f>
        <v>45565</v>
      </c>
      <c r="D3562" s="362">
        <f t="shared" ca="1" si="113"/>
        <v>270977422.18003285</v>
      </c>
    </row>
    <row r="3563" spans="1:4">
      <c r="A3563" s="348">
        <f t="shared" si="112"/>
        <v>3562</v>
      </c>
      <c r="B3563" s="360">
        <f>DATE('Profit Calculation'!J$6,A$2,A$2+A3563-1)</f>
        <v>45566</v>
      </c>
      <c r="D3563" s="362">
        <f t="shared" ca="1" si="113"/>
        <v>271081201.85845912</v>
      </c>
    </row>
    <row r="3564" spans="1:4">
      <c r="A3564" s="348">
        <f t="shared" si="112"/>
        <v>3563</v>
      </c>
      <c r="B3564" s="360">
        <f>DATE('Profit Calculation'!J$6,A$2,A$2+A3564-1)</f>
        <v>45567</v>
      </c>
      <c r="D3564" s="362">
        <f t="shared" ca="1" si="113"/>
        <v>271185021.28271204</v>
      </c>
    </row>
    <row r="3565" spans="1:4">
      <c r="A3565" s="348">
        <f t="shared" si="112"/>
        <v>3564</v>
      </c>
      <c r="B3565" s="360">
        <f>DATE('Profit Calculation'!J$6,A$2,A$2+A3565-1)</f>
        <v>45568</v>
      </c>
      <c r="D3565" s="362">
        <f t="shared" ca="1" si="113"/>
        <v>271288880.46801364</v>
      </c>
    </row>
    <row r="3566" spans="1:4">
      <c r="A3566" s="348">
        <f t="shared" si="112"/>
        <v>3565</v>
      </c>
      <c r="B3566" s="360">
        <f>DATE('Profit Calculation'!J$6,A$2,A$2+A3566-1)</f>
        <v>45569</v>
      </c>
      <c r="D3566" s="362">
        <f t="shared" ca="1" si="113"/>
        <v>271392779.42959166</v>
      </c>
    </row>
    <row r="3567" spans="1:4">
      <c r="A3567" s="348">
        <f t="shared" si="112"/>
        <v>3566</v>
      </c>
      <c r="B3567" s="360">
        <f>DATE('Profit Calculation'!J$6,A$2,A$2+A3567-1)</f>
        <v>45570</v>
      </c>
      <c r="D3567" s="362">
        <f t="shared" ca="1" si="113"/>
        <v>271496718.18267977</v>
      </c>
    </row>
    <row r="3568" spans="1:4">
      <c r="A3568" s="348">
        <f t="shared" si="112"/>
        <v>3567</v>
      </c>
      <c r="B3568" s="360">
        <f>DATE('Profit Calculation'!J$6,A$2,A$2+A3568-1)</f>
        <v>45571</v>
      </c>
      <c r="D3568" s="362">
        <f t="shared" ca="1" si="113"/>
        <v>271600696.74251741</v>
      </c>
    </row>
    <row r="3569" spans="1:4">
      <c r="A3569" s="348">
        <f t="shared" si="112"/>
        <v>3568</v>
      </c>
      <c r="B3569" s="360">
        <f>DATE('Profit Calculation'!J$6,A$2,A$2+A3569-1)</f>
        <v>45572</v>
      </c>
      <c r="D3569" s="362">
        <f t="shared" ca="1" si="113"/>
        <v>271704715.12434983</v>
      </c>
    </row>
    <row r="3570" spans="1:4">
      <c r="A3570" s="348">
        <f t="shared" si="112"/>
        <v>3569</v>
      </c>
      <c r="B3570" s="360">
        <f>DATE('Profit Calculation'!J$6,A$2,A$2+A3570-1)</f>
        <v>45573</v>
      </c>
      <c r="D3570" s="362">
        <f t="shared" ca="1" si="113"/>
        <v>271808773.34342825</v>
      </c>
    </row>
    <row r="3571" spans="1:4">
      <c r="A3571" s="348">
        <f t="shared" si="112"/>
        <v>3570</v>
      </c>
      <c r="B3571" s="360">
        <f>DATE('Profit Calculation'!J$6,A$2,A$2+A3571-1)</f>
        <v>45574</v>
      </c>
      <c r="D3571" s="362">
        <f t="shared" ca="1" si="113"/>
        <v>271912871.41500956</v>
      </c>
    </row>
    <row r="3572" spans="1:4">
      <c r="A3572" s="348">
        <f t="shared" si="112"/>
        <v>3571</v>
      </c>
      <c r="B3572" s="360">
        <f>DATE('Profit Calculation'!J$6,A$2,A$2+A3572-1)</f>
        <v>45575</v>
      </c>
      <c r="D3572" s="362">
        <f t="shared" ca="1" si="113"/>
        <v>272017009.35435665</v>
      </c>
    </row>
    <row r="3573" spans="1:4">
      <c r="A3573" s="348">
        <f t="shared" si="112"/>
        <v>3572</v>
      </c>
      <c r="B3573" s="360">
        <f>DATE('Profit Calculation'!J$6,A$2,A$2+A3573-1)</f>
        <v>45576</v>
      </c>
      <c r="D3573" s="362">
        <f t="shared" ca="1" si="113"/>
        <v>272121187.17673814</v>
      </c>
    </row>
    <row r="3574" spans="1:4">
      <c r="A3574" s="348">
        <f t="shared" si="112"/>
        <v>3573</v>
      </c>
      <c r="B3574" s="360">
        <f>DATE('Profit Calculation'!J$6,A$2,A$2+A3574-1)</f>
        <v>45577</v>
      </c>
      <c r="D3574" s="362">
        <f t="shared" ca="1" si="113"/>
        <v>272225404.89742857</v>
      </c>
    </row>
    <row r="3575" spans="1:4">
      <c r="A3575" s="348">
        <f t="shared" si="112"/>
        <v>3574</v>
      </c>
      <c r="B3575" s="360">
        <f>DATE('Profit Calculation'!J$6,A$2,A$2+A3575-1)</f>
        <v>45578</v>
      </c>
      <c r="D3575" s="362">
        <f t="shared" ca="1" si="113"/>
        <v>272329662.53170836</v>
      </c>
    </row>
    <row r="3576" spans="1:4">
      <c r="A3576" s="348">
        <f t="shared" si="112"/>
        <v>3575</v>
      </c>
      <c r="B3576" s="360">
        <f>DATE('Profit Calculation'!J$6,A$2,A$2+A3576-1)</f>
        <v>45579</v>
      </c>
      <c r="D3576" s="362">
        <f t="shared" ca="1" si="113"/>
        <v>272433960.09486365</v>
      </c>
    </row>
    <row r="3577" spans="1:4">
      <c r="A3577" s="348">
        <f t="shared" si="112"/>
        <v>3576</v>
      </c>
      <c r="B3577" s="360">
        <f>DATE('Profit Calculation'!J$6,A$2,A$2+A3577-1)</f>
        <v>45580</v>
      </c>
      <c r="D3577" s="362">
        <f t="shared" ca="1" si="113"/>
        <v>272538297.6021865</v>
      </c>
    </row>
    <row r="3578" spans="1:4">
      <c r="A3578" s="348">
        <f t="shared" si="112"/>
        <v>3577</v>
      </c>
      <c r="B3578" s="360">
        <f>DATE('Profit Calculation'!J$6,A$2,A$2+A3578-1)</f>
        <v>45581</v>
      </c>
      <c r="D3578" s="362">
        <f t="shared" ca="1" si="113"/>
        <v>272642675.06897491</v>
      </c>
    </row>
    <row r="3579" spans="1:4">
      <c r="A3579" s="348">
        <f t="shared" si="112"/>
        <v>3578</v>
      </c>
      <c r="B3579" s="360">
        <f>DATE('Profit Calculation'!J$6,A$2,A$2+A3579-1)</f>
        <v>45582</v>
      </c>
      <c r="D3579" s="362">
        <f t="shared" ca="1" si="113"/>
        <v>272747092.51053262</v>
      </c>
    </row>
    <row r="3580" spans="1:4">
      <c r="A3580" s="348">
        <f t="shared" si="112"/>
        <v>3579</v>
      </c>
      <c r="B3580" s="360">
        <f>DATE('Profit Calculation'!J$6,A$2,A$2+A3580-1)</f>
        <v>45583</v>
      </c>
      <c r="D3580" s="362">
        <f t="shared" ca="1" si="113"/>
        <v>272851549.94216925</v>
      </c>
    </row>
    <row r="3581" spans="1:4">
      <c r="A3581" s="348">
        <f t="shared" si="112"/>
        <v>3580</v>
      </c>
      <c r="B3581" s="360">
        <f>DATE('Profit Calculation'!J$6,A$2,A$2+A3581-1)</f>
        <v>45584</v>
      </c>
      <c r="D3581" s="362">
        <f t="shared" ca="1" si="113"/>
        <v>272956047.37920034</v>
      </c>
    </row>
    <row r="3582" spans="1:4">
      <c r="A3582" s="348">
        <f t="shared" si="112"/>
        <v>3581</v>
      </c>
      <c r="B3582" s="360">
        <f>DATE('Profit Calculation'!J$6,A$2,A$2+A3582-1)</f>
        <v>45585</v>
      </c>
      <c r="D3582" s="362">
        <f t="shared" ca="1" si="113"/>
        <v>273060584.83694726</v>
      </c>
    </row>
    <row r="3583" spans="1:4">
      <c r="A3583" s="348">
        <f t="shared" si="112"/>
        <v>3582</v>
      </c>
      <c r="B3583" s="360">
        <f>DATE('Profit Calculation'!J$6,A$2,A$2+A3583-1)</f>
        <v>45586</v>
      </c>
      <c r="D3583" s="362">
        <f t="shared" ca="1" si="113"/>
        <v>273165162.33073729</v>
      </c>
    </row>
    <row r="3584" spans="1:4">
      <c r="A3584" s="348">
        <f t="shared" si="112"/>
        <v>3583</v>
      </c>
      <c r="B3584" s="360">
        <f>DATE('Profit Calculation'!J$6,A$2,A$2+A3584-1)</f>
        <v>45587</v>
      </c>
      <c r="D3584" s="362">
        <f t="shared" ca="1" si="113"/>
        <v>273269779.87590349</v>
      </c>
    </row>
    <row r="3585" spans="1:4">
      <c r="A3585" s="348">
        <f t="shared" si="112"/>
        <v>3584</v>
      </c>
      <c r="B3585" s="360">
        <f>DATE('Profit Calculation'!J$6,A$2,A$2+A3585-1)</f>
        <v>45588</v>
      </c>
      <c r="D3585" s="362">
        <f t="shared" ca="1" si="113"/>
        <v>273374437.48778486</v>
      </c>
    </row>
    <row r="3586" spans="1:4">
      <c r="A3586" s="348">
        <f t="shared" si="112"/>
        <v>3585</v>
      </c>
      <c r="B3586" s="360">
        <f>DATE('Profit Calculation'!J$6,A$2,A$2+A3586-1)</f>
        <v>45589</v>
      </c>
      <c r="D3586" s="362">
        <f t="shared" ca="1" si="113"/>
        <v>273479135.18172634</v>
      </c>
    </row>
    <row r="3587" spans="1:4">
      <c r="A3587" s="348">
        <f t="shared" si="112"/>
        <v>3586</v>
      </c>
      <c r="B3587" s="360">
        <f>DATE('Profit Calculation'!J$6,A$2,A$2+A3587-1)</f>
        <v>45590</v>
      </c>
      <c r="D3587" s="362">
        <f t="shared" ca="1" si="113"/>
        <v>273583872.97307855</v>
      </c>
    </row>
    <row r="3588" spans="1:4">
      <c r="A3588" s="348">
        <f t="shared" si="112"/>
        <v>3587</v>
      </c>
      <c r="B3588" s="360">
        <f>DATE('Profit Calculation'!J$6,A$2,A$2+A3588-1)</f>
        <v>45591</v>
      </c>
      <c r="D3588" s="362">
        <f t="shared" ca="1" si="113"/>
        <v>273688650.87719816</v>
      </c>
    </row>
    <row r="3589" spans="1:4">
      <c r="A3589" s="348">
        <f t="shared" ref="A3589:A3652" si="114">A3588+1</f>
        <v>3588</v>
      </c>
      <c r="B3589" s="360">
        <f>DATE('Profit Calculation'!J$6,A$2,A$2+A3589-1)</f>
        <v>45592</v>
      </c>
      <c r="D3589" s="362">
        <f t="shared" ref="D3589:D3652" ca="1" si="115">IF(OR(LOOKUP(B3589,W$1:W$35,W$1:W$35) = B3589, LOOKUP(B3589,X$1:X$35,X$1:X$35) = B3589),LOOKUP(B3589,F:F,G:G),D3588*(1+((IF($Q$18&lt;6,$R$14,IF($Q$18&lt;11,$R$15,$R$16)))))^(1/365))</f>
        <v>273793468.90944767</v>
      </c>
    </row>
    <row r="3590" spans="1:4">
      <c r="A3590" s="348">
        <f t="shared" si="114"/>
        <v>3589</v>
      </c>
      <c r="B3590" s="360">
        <f>DATE('Profit Calculation'!J$6,A$2,A$2+A3590-1)</f>
        <v>45593</v>
      </c>
      <c r="D3590" s="362">
        <f t="shared" ca="1" si="115"/>
        <v>273898327.08519548</v>
      </c>
    </row>
    <row r="3591" spans="1:4">
      <c r="A3591" s="348">
        <f t="shared" si="114"/>
        <v>3590</v>
      </c>
      <c r="B3591" s="360">
        <f>DATE('Profit Calculation'!J$6,A$2,A$2+A3591-1)</f>
        <v>45594</v>
      </c>
      <c r="D3591" s="362">
        <f t="shared" ca="1" si="115"/>
        <v>274003225.41981584</v>
      </c>
    </row>
    <row r="3592" spans="1:4">
      <c r="A3592" s="348">
        <f t="shared" si="114"/>
        <v>3591</v>
      </c>
      <c r="B3592" s="360">
        <f>DATE('Profit Calculation'!J$6,A$2,A$2+A3592-1)</f>
        <v>45595</v>
      </c>
      <c r="D3592" s="362">
        <f t="shared" ca="1" si="115"/>
        <v>274108163.92868888</v>
      </c>
    </row>
    <row r="3593" spans="1:4">
      <c r="A3593" s="348">
        <f t="shared" si="114"/>
        <v>3592</v>
      </c>
      <c r="B3593" s="360">
        <f>DATE('Profit Calculation'!J$6,A$2,A$2+A3593-1)</f>
        <v>45596</v>
      </c>
      <c r="D3593" s="362">
        <f t="shared" ca="1" si="115"/>
        <v>274213142.62720066</v>
      </c>
    </row>
    <row r="3594" spans="1:4">
      <c r="A3594" s="348">
        <f t="shared" si="114"/>
        <v>3593</v>
      </c>
      <c r="B3594" s="360">
        <f>DATE('Profit Calculation'!J$6,A$2,A$2+A3594-1)</f>
        <v>45597</v>
      </c>
      <c r="D3594" s="362">
        <f t="shared" ca="1" si="115"/>
        <v>274318161.53074312</v>
      </c>
    </row>
    <row r="3595" spans="1:4">
      <c r="A3595" s="348">
        <f t="shared" si="114"/>
        <v>3594</v>
      </c>
      <c r="B3595" s="360">
        <f>DATE('Profit Calculation'!J$6,A$2,A$2+A3595-1)</f>
        <v>45598</v>
      </c>
      <c r="D3595" s="362">
        <f t="shared" ca="1" si="115"/>
        <v>274423220.65471411</v>
      </c>
    </row>
    <row r="3596" spans="1:4">
      <c r="A3596" s="348">
        <f t="shared" si="114"/>
        <v>3595</v>
      </c>
      <c r="B3596" s="360">
        <f>DATE('Profit Calculation'!J$6,A$2,A$2+A3596-1)</f>
        <v>45599</v>
      </c>
      <c r="D3596" s="362">
        <f t="shared" ca="1" si="115"/>
        <v>274528320.01451731</v>
      </c>
    </row>
    <row r="3597" spans="1:4">
      <c r="A3597" s="348">
        <f t="shared" si="114"/>
        <v>3596</v>
      </c>
      <c r="B3597" s="360">
        <f>DATE('Profit Calculation'!J$6,A$2,A$2+A3597-1)</f>
        <v>45600</v>
      </c>
      <c r="D3597" s="362">
        <f t="shared" ca="1" si="115"/>
        <v>274633459.62556243</v>
      </c>
    </row>
    <row r="3598" spans="1:4">
      <c r="A3598" s="348">
        <f t="shared" si="114"/>
        <v>3597</v>
      </c>
      <c r="B3598" s="360">
        <f>DATE('Profit Calculation'!J$6,A$2,A$2+A3598-1)</f>
        <v>45601</v>
      </c>
      <c r="D3598" s="362">
        <f t="shared" ca="1" si="115"/>
        <v>274738639.50326496</v>
      </c>
    </row>
    <row r="3599" spans="1:4">
      <c r="A3599" s="348">
        <f t="shared" si="114"/>
        <v>3598</v>
      </c>
      <c r="B3599" s="360">
        <f>DATE('Profit Calculation'!J$6,A$2,A$2+A3599-1)</f>
        <v>45602</v>
      </c>
      <c r="D3599" s="362">
        <f t="shared" ca="1" si="115"/>
        <v>274843859.6630463</v>
      </c>
    </row>
    <row r="3600" spans="1:4">
      <c r="A3600" s="348">
        <f t="shared" si="114"/>
        <v>3599</v>
      </c>
      <c r="B3600" s="360">
        <f>DATE('Profit Calculation'!J$6,A$2,A$2+A3600-1)</f>
        <v>45603</v>
      </c>
      <c r="D3600" s="362">
        <f t="shared" ca="1" si="115"/>
        <v>274949120.12033385</v>
      </c>
    </row>
    <row r="3601" spans="1:4">
      <c r="A3601" s="348">
        <f t="shared" si="114"/>
        <v>3600</v>
      </c>
      <c r="B3601" s="360">
        <f>DATE('Profit Calculation'!J$6,A$2,A$2+A3601-1)</f>
        <v>45604</v>
      </c>
      <c r="D3601" s="362">
        <f t="shared" ca="1" si="115"/>
        <v>275054420.89056081</v>
      </c>
    </row>
    <row r="3602" spans="1:4">
      <c r="A3602" s="348">
        <f t="shared" si="114"/>
        <v>3601</v>
      </c>
      <c r="B3602" s="360">
        <f>DATE('Profit Calculation'!J$6,A$2,A$2+A3602-1)</f>
        <v>45605</v>
      </c>
      <c r="D3602" s="362">
        <f t="shared" ca="1" si="115"/>
        <v>275159761.98916638</v>
      </c>
    </row>
    <row r="3603" spans="1:4">
      <c r="A3603" s="348">
        <f t="shared" si="114"/>
        <v>3602</v>
      </c>
      <c r="B3603" s="360">
        <f>DATE('Profit Calculation'!J$6,A$2,A$2+A3603-1)</f>
        <v>45606</v>
      </c>
      <c r="D3603" s="362">
        <f t="shared" ca="1" si="115"/>
        <v>275265143.43159562</v>
      </c>
    </row>
    <row r="3604" spans="1:4">
      <c r="A3604" s="348">
        <f t="shared" si="114"/>
        <v>3603</v>
      </c>
      <c r="B3604" s="360">
        <f>DATE('Profit Calculation'!J$6,A$2,A$2+A3604-1)</f>
        <v>45607</v>
      </c>
      <c r="D3604" s="362">
        <f t="shared" ca="1" si="115"/>
        <v>275370565.23329949</v>
      </c>
    </row>
    <row r="3605" spans="1:4">
      <c r="A3605" s="348">
        <f t="shared" si="114"/>
        <v>3604</v>
      </c>
      <c r="B3605" s="360">
        <f>DATE('Profit Calculation'!J$6,A$2,A$2+A3605-1)</f>
        <v>45608</v>
      </c>
      <c r="D3605" s="362">
        <f t="shared" ca="1" si="115"/>
        <v>275476027.40973496</v>
      </c>
    </row>
    <row r="3606" spans="1:4">
      <c r="A3606" s="348">
        <f t="shared" si="114"/>
        <v>3605</v>
      </c>
      <c r="B3606" s="360">
        <f>DATE('Profit Calculation'!J$6,A$2,A$2+A3606-1)</f>
        <v>45609</v>
      </c>
      <c r="D3606" s="362">
        <f t="shared" ca="1" si="115"/>
        <v>275581529.97636479</v>
      </c>
    </row>
    <row r="3607" spans="1:4">
      <c r="A3607" s="348">
        <f t="shared" si="114"/>
        <v>3606</v>
      </c>
      <c r="B3607" s="360">
        <f>DATE('Profit Calculation'!J$6,A$2,A$2+A3607-1)</f>
        <v>45610</v>
      </c>
      <c r="D3607" s="362">
        <f t="shared" ca="1" si="115"/>
        <v>275687072.94865775</v>
      </c>
    </row>
    <row r="3608" spans="1:4">
      <c r="A3608" s="348">
        <f t="shared" si="114"/>
        <v>3607</v>
      </c>
      <c r="B3608" s="360">
        <f>DATE('Profit Calculation'!J$6,A$2,A$2+A3608-1)</f>
        <v>45611</v>
      </c>
      <c r="D3608" s="362">
        <f t="shared" ca="1" si="115"/>
        <v>275792656.34208852</v>
      </c>
    </row>
    <row r="3609" spans="1:4">
      <c r="A3609" s="348">
        <f t="shared" si="114"/>
        <v>3608</v>
      </c>
      <c r="B3609" s="360">
        <f>DATE('Profit Calculation'!J$6,A$2,A$2+A3609-1)</f>
        <v>45612</v>
      </c>
      <c r="D3609" s="362">
        <f t="shared" ca="1" si="115"/>
        <v>275898280.17213774</v>
      </c>
    </row>
    <row r="3610" spans="1:4">
      <c r="A3610" s="348">
        <f t="shared" si="114"/>
        <v>3609</v>
      </c>
      <c r="B3610" s="360">
        <f>DATE('Profit Calculation'!J$6,A$2,A$2+A3610-1)</f>
        <v>45613</v>
      </c>
      <c r="D3610" s="362">
        <f t="shared" ca="1" si="115"/>
        <v>276003944.45429188</v>
      </c>
    </row>
    <row r="3611" spans="1:4">
      <c r="A3611" s="348">
        <f t="shared" si="114"/>
        <v>3610</v>
      </c>
      <c r="B3611" s="360">
        <f>DATE('Profit Calculation'!J$6,A$2,A$2+A3611-1)</f>
        <v>45614</v>
      </c>
      <c r="D3611" s="362">
        <f t="shared" ca="1" si="115"/>
        <v>276109649.20404339</v>
      </c>
    </row>
    <row r="3612" spans="1:4">
      <c r="A3612" s="348">
        <f t="shared" si="114"/>
        <v>3611</v>
      </c>
      <c r="B3612" s="360">
        <f>DATE('Profit Calculation'!J$6,A$2,A$2+A3612-1)</f>
        <v>45615</v>
      </c>
      <c r="D3612" s="362">
        <f t="shared" ca="1" si="115"/>
        <v>276215394.43689066</v>
      </c>
    </row>
    <row r="3613" spans="1:4">
      <c r="A3613" s="348">
        <f t="shared" si="114"/>
        <v>3612</v>
      </c>
      <c r="B3613" s="360">
        <f>DATE('Profit Calculation'!J$6,A$2,A$2+A3613-1)</f>
        <v>45616</v>
      </c>
      <c r="D3613" s="362">
        <f t="shared" ca="1" si="115"/>
        <v>276321180.16833806</v>
      </c>
    </row>
    <row r="3614" spans="1:4">
      <c r="A3614" s="348">
        <f t="shared" si="114"/>
        <v>3613</v>
      </c>
      <c r="B3614" s="360">
        <f>DATE('Profit Calculation'!J$6,A$2,A$2+A3614-1)</f>
        <v>45617</v>
      </c>
      <c r="D3614" s="362">
        <f t="shared" ca="1" si="115"/>
        <v>276427006.41389585</v>
      </c>
    </row>
    <row r="3615" spans="1:4">
      <c r="A3615" s="348">
        <f t="shared" si="114"/>
        <v>3614</v>
      </c>
      <c r="B3615" s="360">
        <f>DATE('Profit Calculation'!J$6,A$2,A$2+A3615-1)</f>
        <v>45618</v>
      </c>
      <c r="D3615" s="362">
        <f t="shared" ca="1" si="115"/>
        <v>276532873.18908024</v>
      </c>
    </row>
    <row r="3616" spans="1:4">
      <c r="A3616" s="348">
        <f t="shared" si="114"/>
        <v>3615</v>
      </c>
      <c r="B3616" s="360">
        <f>DATE('Profit Calculation'!J$6,A$2,A$2+A3616-1)</f>
        <v>45619</v>
      </c>
      <c r="D3616" s="362">
        <f t="shared" ca="1" si="115"/>
        <v>276638780.50941336</v>
      </c>
    </row>
    <row r="3617" spans="1:4">
      <c r="A3617" s="348">
        <f t="shared" si="114"/>
        <v>3616</v>
      </c>
      <c r="B3617" s="360">
        <f>DATE('Profit Calculation'!J$6,A$2,A$2+A3617-1)</f>
        <v>45620</v>
      </c>
      <c r="D3617" s="362">
        <f t="shared" ca="1" si="115"/>
        <v>276744728.3904233</v>
      </c>
    </row>
    <row r="3618" spans="1:4">
      <c r="A3618" s="348">
        <f t="shared" si="114"/>
        <v>3617</v>
      </c>
      <c r="B3618" s="360">
        <f>DATE('Profit Calculation'!J$6,A$2,A$2+A3618-1)</f>
        <v>45621</v>
      </c>
      <c r="D3618" s="362">
        <f t="shared" ca="1" si="115"/>
        <v>276850716.84764409</v>
      </c>
    </row>
    <row r="3619" spans="1:4">
      <c r="A3619" s="348">
        <f t="shared" si="114"/>
        <v>3618</v>
      </c>
      <c r="B3619" s="360">
        <f>DATE('Profit Calculation'!J$6,A$2,A$2+A3619-1)</f>
        <v>45622</v>
      </c>
      <c r="D3619" s="362">
        <f t="shared" ca="1" si="115"/>
        <v>276956745.89661574</v>
      </c>
    </row>
    <row r="3620" spans="1:4">
      <c r="A3620" s="348">
        <f t="shared" si="114"/>
        <v>3619</v>
      </c>
      <c r="B3620" s="360">
        <f>DATE('Profit Calculation'!J$6,A$2,A$2+A3620-1)</f>
        <v>45623</v>
      </c>
      <c r="D3620" s="362">
        <f t="shared" ca="1" si="115"/>
        <v>277062815.55288416</v>
      </c>
    </row>
    <row r="3621" spans="1:4">
      <c r="A3621" s="348">
        <f t="shared" si="114"/>
        <v>3620</v>
      </c>
      <c r="B3621" s="360">
        <f>DATE('Profit Calculation'!J$6,A$2,A$2+A3621-1)</f>
        <v>45624</v>
      </c>
      <c r="D3621" s="362">
        <f t="shared" ca="1" si="115"/>
        <v>277168925.83200127</v>
      </c>
    </row>
    <row r="3622" spans="1:4">
      <c r="A3622" s="348">
        <f t="shared" si="114"/>
        <v>3621</v>
      </c>
      <c r="B3622" s="360">
        <f>DATE('Profit Calculation'!J$6,A$2,A$2+A3622-1)</f>
        <v>45625</v>
      </c>
      <c r="D3622" s="362">
        <f t="shared" ca="1" si="115"/>
        <v>277275076.74952489</v>
      </c>
    </row>
    <row r="3623" spans="1:4">
      <c r="A3623" s="348">
        <f t="shared" si="114"/>
        <v>3622</v>
      </c>
      <c r="B3623" s="360">
        <f>DATE('Profit Calculation'!J$6,A$2,A$2+A3623-1)</f>
        <v>45626</v>
      </c>
      <c r="D3623" s="362">
        <f t="shared" ca="1" si="115"/>
        <v>277381268.32101887</v>
      </c>
    </row>
    <row r="3624" spans="1:4">
      <c r="A3624" s="348">
        <f t="shared" si="114"/>
        <v>3623</v>
      </c>
      <c r="B3624" s="360">
        <f>DATE('Profit Calculation'!J$6,A$2,A$2+A3624-1)</f>
        <v>45627</v>
      </c>
      <c r="D3624" s="362">
        <f t="shared" ca="1" si="115"/>
        <v>277487500.56205297</v>
      </c>
    </row>
    <row r="3625" spans="1:4">
      <c r="A3625" s="348">
        <f t="shared" si="114"/>
        <v>3624</v>
      </c>
      <c r="B3625" s="360">
        <f>DATE('Profit Calculation'!J$6,A$2,A$2+A3625-1)</f>
        <v>45628</v>
      </c>
      <c r="D3625" s="362">
        <f t="shared" ca="1" si="115"/>
        <v>277593773.48820293</v>
      </c>
    </row>
    <row r="3626" spans="1:4">
      <c r="A3626" s="348">
        <f t="shared" si="114"/>
        <v>3625</v>
      </c>
      <c r="B3626" s="360">
        <f>DATE('Profit Calculation'!J$6,A$2,A$2+A3626-1)</f>
        <v>45629</v>
      </c>
      <c r="D3626" s="362">
        <f t="shared" ca="1" si="115"/>
        <v>277700087.11505044</v>
      </c>
    </row>
    <row r="3627" spans="1:4">
      <c r="A3627" s="348">
        <f t="shared" si="114"/>
        <v>3626</v>
      </c>
      <c r="B3627" s="360">
        <f>DATE('Profit Calculation'!J$6,A$2,A$2+A3627-1)</f>
        <v>45630</v>
      </c>
      <c r="D3627" s="362">
        <f t="shared" ca="1" si="115"/>
        <v>277806441.45818311</v>
      </c>
    </row>
    <row r="3628" spans="1:4">
      <c r="A3628" s="348">
        <f t="shared" si="114"/>
        <v>3627</v>
      </c>
      <c r="B3628" s="360">
        <f>DATE('Profit Calculation'!J$6,A$2,A$2+A3628-1)</f>
        <v>45631</v>
      </c>
      <c r="D3628" s="362">
        <f t="shared" ca="1" si="115"/>
        <v>277912836.53319466</v>
      </c>
    </row>
    <row r="3629" spans="1:4">
      <c r="A3629" s="348">
        <f t="shared" si="114"/>
        <v>3628</v>
      </c>
      <c r="B3629" s="360">
        <f>DATE('Profit Calculation'!J$6,A$2,A$2+A3629-1)</f>
        <v>45632</v>
      </c>
      <c r="D3629" s="362">
        <f t="shared" ca="1" si="115"/>
        <v>278019272.35568464</v>
      </c>
    </row>
    <row r="3630" spans="1:4">
      <c r="A3630" s="348">
        <f t="shared" si="114"/>
        <v>3629</v>
      </c>
      <c r="B3630" s="360">
        <f>DATE('Profit Calculation'!J$6,A$2,A$2+A3630-1)</f>
        <v>45633</v>
      </c>
      <c r="D3630" s="362">
        <f t="shared" ca="1" si="115"/>
        <v>278125748.94125867</v>
      </c>
    </row>
    <row r="3631" spans="1:4">
      <c r="A3631" s="348">
        <f t="shared" si="114"/>
        <v>3630</v>
      </c>
      <c r="B3631" s="360">
        <f>DATE('Profit Calculation'!J$6,A$2,A$2+A3631-1)</f>
        <v>45634</v>
      </c>
      <c r="D3631" s="362">
        <f t="shared" ca="1" si="115"/>
        <v>278232266.30552828</v>
      </c>
    </row>
    <row r="3632" spans="1:4">
      <c r="A3632" s="348">
        <f t="shared" si="114"/>
        <v>3631</v>
      </c>
      <c r="B3632" s="360">
        <f>DATE('Profit Calculation'!J$6,A$2,A$2+A3632-1)</f>
        <v>45635</v>
      </c>
      <c r="D3632" s="362">
        <f t="shared" ca="1" si="115"/>
        <v>278338824.46411103</v>
      </c>
    </row>
    <row r="3633" spans="1:4">
      <c r="A3633" s="348">
        <f t="shared" si="114"/>
        <v>3632</v>
      </c>
      <c r="B3633" s="360">
        <f>DATE('Profit Calculation'!J$6,A$2,A$2+A3633-1)</f>
        <v>45636</v>
      </c>
      <c r="D3633" s="362">
        <f t="shared" ca="1" si="115"/>
        <v>278445423.43263042</v>
      </c>
    </row>
    <row r="3634" spans="1:4">
      <c r="A3634" s="348">
        <f t="shared" si="114"/>
        <v>3633</v>
      </c>
      <c r="B3634" s="360">
        <f>DATE('Profit Calculation'!J$6,A$2,A$2+A3634-1)</f>
        <v>45637</v>
      </c>
      <c r="D3634" s="362">
        <f t="shared" ca="1" si="115"/>
        <v>278552063.22671598</v>
      </c>
    </row>
    <row r="3635" spans="1:4">
      <c r="A3635" s="348">
        <f t="shared" si="114"/>
        <v>3634</v>
      </c>
      <c r="B3635" s="360">
        <f>DATE('Profit Calculation'!J$6,A$2,A$2+A3635-1)</f>
        <v>45638</v>
      </c>
      <c r="D3635" s="362">
        <f t="shared" ca="1" si="115"/>
        <v>278658743.86200315</v>
      </c>
    </row>
    <row r="3636" spans="1:4">
      <c r="A3636" s="348">
        <f t="shared" si="114"/>
        <v>3635</v>
      </c>
      <c r="B3636" s="360">
        <f>DATE('Profit Calculation'!J$6,A$2,A$2+A3636-1)</f>
        <v>45639</v>
      </c>
      <c r="D3636" s="362">
        <f t="shared" ca="1" si="115"/>
        <v>278765465.35413343</v>
      </c>
    </row>
    <row r="3637" spans="1:4">
      <c r="A3637" s="348">
        <f t="shared" si="114"/>
        <v>3636</v>
      </c>
      <c r="B3637" s="360">
        <f>DATE('Profit Calculation'!J$6,A$2,A$2+A3637-1)</f>
        <v>45640</v>
      </c>
      <c r="D3637" s="362">
        <f t="shared" ca="1" si="115"/>
        <v>278872227.71875429</v>
      </c>
    </row>
    <row r="3638" spans="1:4">
      <c r="A3638" s="348">
        <f t="shared" si="114"/>
        <v>3637</v>
      </c>
      <c r="B3638" s="360">
        <f>DATE('Profit Calculation'!J$6,A$2,A$2+A3638-1)</f>
        <v>45641</v>
      </c>
      <c r="D3638" s="362">
        <f t="shared" ca="1" si="115"/>
        <v>278979030.97151917</v>
      </c>
    </row>
    <row r="3639" spans="1:4">
      <c r="A3639" s="348">
        <f t="shared" si="114"/>
        <v>3638</v>
      </c>
      <c r="B3639" s="360">
        <f>DATE('Profit Calculation'!J$6,A$2,A$2+A3639-1)</f>
        <v>45642</v>
      </c>
      <c r="D3639" s="362">
        <f t="shared" ca="1" si="115"/>
        <v>279085875.12808758</v>
      </c>
    </row>
    <row r="3640" spans="1:4">
      <c r="A3640" s="348">
        <f t="shared" si="114"/>
        <v>3639</v>
      </c>
      <c r="B3640" s="360">
        <f>DATE('Profit Calculation'!J$6,A$2,A$2+A3640-1)</f>
        <v>45643</v>
      </c>
      <c r="D3640" s="362">
        <f t="shared" ca="1" si="115"/>
        <v>279192760.20412493</v>
      </c>
    </row>
    <row r="3641" spans="1:4">
      <c r="A3641" s="348">
        <f t="shared" si="114"/>
        <v>3640</v>
      </c>
      <c r="B3641" s="360">
        <f>DATE('Profit Calculation'!J$6,A$2,A$2+A3641-1)</f>
        <v>45644</v>
      </c>
      <c r="D3641" s="362">
        <f t="shared" ca="1" si="115"/>
        <v>279299686.21530265</v>
      </c>
    </row>
    <row r="3642" spans="1:4">
      <c r="A3642" s="348">
        <f t="shared" si="114"/>
        <v>3641</v>
      </c>
      <c r="B3642" s="360">
        <f>DATE('Profit Calculation'!J$6,A$2,A$2+A3642-1)</f>
        <v>45645</v>
      </c>
      <c r="D3642" s="362">
        <f t="shared" ca="1" si="115"/>
        <v>279406653.17729819</v>
      </c>
    </row>
    <row r="3643" spans="1:4">
      <c r="A3643" s="348">
        <f t="shared" si="114"/>
        <v>3642</v>
      </c>
      <c r="B3643" s="360">
        <f>DATE('Profit Calculation'!J$6,A$2,A$2+A3643-1)</f>
        <v>45646</v>
      </c>
      <c r="D3643" s="362">
        <f t="shared" ca="1" si="115"/>
        <v>279513661.10579503</v>
      </c>
    </row>
    <row r="3644" spans="1:4">
      <c r="A3644" s="348">
        <f t="shared" si="114"/>
        <v>3643</v>
      </c>
      <c r="B3644" s="360">
        <f>DATE('Profit Calculation'!J$6,A$2,A$2+A3644-1)</f>
        <v>45647</v>
      </c>
      <c r="D3644" s="362">
        <f t="shared" ca="1" si="115"/>
        <v>279620710.01648265</v>
      </c>
    </row>
    <row r="3645" spans="1:4">
      <c r="A3645" s="348">
        <f t="shared" si="114"/>
        <v>3644</v>
      </c>
      <c r="B3645" s="360">
        <f>DATE('Profit Calculation'!J$6,A$2,A$2+A3645-1)</f>
        <v>45648</v>
      </c>
      <c r="D3645" s="362">
        <f t="shared" ca="1" si="115"/>
        <v>279727799.92505652</v>
      </c>
    </row>
    <row r="3646" spans="1:4">
      <c r="A3646" s="348">
        <f t="shared" si="114"/>
        <v>3645</v>
      </c>
      <c r="B3646" s="360">
        <f>DATE('Profit Calculation'!J$6,A$2,A$2+A3646-1)</f>
        <v>45649</v>
      </c>
      <c r="D3646" s="362">
        <f t="shared" ca="1" si="115"/>
        <v>279834930.8472181</v>
      </c>
    </row>
    <row r="3647" spans="1:4">
      <c r="A3647" s="348">
        <f t="shared" si="114"/>
        <v>3646</v>
      </c>
      <c r="B3647" s="360">
        <f>DATE('Profit Calculation'!J$6,A$2,A$2+A3647-1)</f>
        <v>45650</v>
      </c>
      <c r="D3647" s="362">
        <f t="shared" ca="1" si="115"/>
        <v>279942102.79867488</v>
      </c>
    </row>
    <row r="3648" spans="1:4">
      <c r="A3648" s="348">
        <f t="shared" si="114"/>
        <v>3647</v>
      </c>
      <c r="B3648" s="360">
        <f>DATE('Profit Calculation'!J$6,A$2,A$2+A3648-1)</f>
        <v>45651</v>
      </c>
      <c r="D3648" s="362">
        <f t="shared" ca="1" si="115"/>
        <v>280049315.79514039</v>
      </c>
    </row>
    <row r="3649" spans="1:4">
      <c r="A3649" s="348">
        <f t="shared" si="114"/>
        <v>3648</v>
      </c>
      <c r="B3649" s="360">
        <f>DATE('Profit Calculation'!J$6,A$2,A$2+A3649-1)</f>
        <v>45652</v>
      </c>
      <c r="D3649" s="362">
        <f t="shared" ca="1" si="115"/>
        <v>280156569.85233414</v>
      </c>
    </row>
    <row r="3650" spans="1:4">
      <c r="A3650" s="348">
        <f t="shared" si="114"/>
        <v>3649</v>
      </c>
      <c r="B3650" s="360">
        <f>DATE('Profit Calculation'!J$6,A$2,A$2+A3650-1)</f>
        <v>45653</v>
      </c>
      <c r="D3650" s="362">
        <f t="shared" ca="1" si="115"/>
        <v>280263864.9859817</v>
      </c>
    </row>
    <row r="3651" spans="1:4">
      <c r="A3651" s="348">
        <f t="shared" si="114"/>
        <v>3650</v>
      </c>
      <c r="B3651" s="360">
        <f>DATE('Profit Calculation'!J$6,A$2,A$2+A3651-1)</f>
        <v>45654</v>
      </c>
      <c r="D3651" s="362">
        <f t="shared" ca="1" si="115"/>
        <v>280371201.21181464</v>
      </c>
    </row>
    <row r="3652" spans="1:4">
      <c r="A3652" s="348">
        <f t="shared" si="114"/>
        <v>3651</v>
      </c>
      <c r="B3652" s="360">
        <f>DATE('Profit Calculation'!J$6,A$2,A$2+A3652-1)</f>
        <v>45655</v>
      </c>
      <c r="D3652" s="362">
        <f t="shared" ca="1" si="115"/>
        <v>280478578.54557061</v>
      </c>
    </row>
    <row r="3653" spans="1:4">
      <c r="A3653" s="348">
        <f t="shared" ref="A3653:A3716" si="116">A3652+1</f>
        <v>3652</v>
      </c>
      <c r="B3653" s="360">
        <f>DATE('Profit Calculation'!J$6,A$2,A$2+A3653-1)</f>
        <v>45656</v>
      </c>
      <c r="D3653" s="362">
        <f t="shared" ref="D3653:D3716" ca="1" si="117">IF(OR(LOOKUP(B3653,W$1:W$35,W$1:W$35) = B3653, LOOKUP(B3653,X$1:X$35,X$1:X$35) = B3653),LOOKUP(B3653,F:F,G:G),D3652*(1+((IF($Q$18&lt;6,$R$14,IF($Q$18&lt;11,$R$15,$R$16)))))^(1/365))</f>
        <v>280585997.00299317</v>
      </c>
    </row>
    <row r="3654" spans="1:4">
      <c r="A3654" s="348">
        <f t="shared" si="116"/>
        <v>3653</v>
      </c>
      <c r="B3654" s="360">
        <f>DATE('Profit Calculation'!J$6,A$2,A$2+A3654-1)</f>
        <v>45657</v>
      </c>
      <c r="D3654" s="362">
        <f t="shared" ca="1" si="117"/>
        <v>280693456.599832</v>
      </c>
    </row>
    <row r="3655" spans="1:4">
      <c r="A3655" s="348">
        <f t="shared" si="116"/>
        <v>3654</v>
      </c>
      <c r="B3655" s="360">
        <f>DATE('Profit Calculation'!J$6,A$2,A$2+A3655-1)</f>
        <v>45658</v>
      </c>
      <c r="C3655" s="354"/>
      <c r="D3655" s="355">
        <f t="shared" ca="1" si="117"/>
        <v>280666588</v>
      </c>
    </row>
    <row r="3656" spans="1:4">
      <c r="A3656" s="348">
        <f t="shared" si="116"/>
        <v>3655</v>
      </c>
      <c r="B3656" s="360">
        <f>DATE('Profit Calculation'!J$6,A$2,A$2+A3656-1)</f>
        <v>45659</v>
      </c>
      <c r="D3656" s="362">
        <f t="shared" ca="1" si="117"/>
        <v>280774078.46180052</v>
      </c>
    </row>
    <row r="3657" spans="1:4">
      <c r="A3657" s="348">
        <f t="shared" si="116"/>
        <v>3656</v>
      </c>
      <c r="B3657" s="360">
        <f>DATE('Profit Calculation'!J$6,A$2,A$2+A3657-1)</f>
        <v>45660</v>
      </c>
      <c r="D3657" s="362">
        <f t="shared" ca="1" si="117"/>
        <v>280881610.0905937</v>
      </c>
    </row>
    <row r="3658" spans="1:4">
      <c r="A3658" s="348">
        <f t="shared" si="116"/>
        <v>3657</v>
      </c>
      <c r="B3658" s="360">
        <f>DATE('Profit Calculation'!J$6,A$2,A$2+A3658-1)</f>
        <v>45661</v>
      </c>
      <c r="D3658" s="362">
        <f t="shared" ca="1" si="117"/>
        <v>280989182.90214586</v>
      </c>
    </row>
    <row r="3659" spans="1:4">
      <c r="A3659" s="348">
        <f t="shared" si="116"/>
        <v>3658</v>
      </c>
      <c r="B3659" s="360">
        <f>DATE('Profit Calculation'!J$6,A$2,A$2+A3659-1)</f>
        <v>45662</v>
      </c>
      <c r="D3659" s="362">
        <f t="shared" ca="1" si="117"/>
        <v>281096796.91222924</v>
      </c>
    </row>
    <row r="3660" spans="1:4">
      <c r="A3660" s="348">
        <f t="shared" si="116"/>
        <v>3659</v>
      </c>
      <c r="B3660" s="360">
        <f>DATE('Profit Calculation'!J$6,A$2,A$2+A3660-1)</f>
        <v>45663</v>
      </c>
      <c r="D3660" s="362">
        <f t="shared" ca="1" si="117"/>
        <v>281204452.13662219</v>
      </c>
    </row>
    <row r="3661" spans="1:4">
      <c r="A3661" s="348">
        <f t="shared" si="116"/>
        <v>3660</v>
      </c>
      <c r="B3661" s="360">
        <f>DATE('Profit Calculation'!J$6,A$2,A$2+A3661-1)</f>
        <v>45664</v>
      </c>
      <c r="D3661" s="362">
        <f t="shared" ca="1" si="117"/>
        <v>281312148.59110904</v>
      </c>
    </row>
    <row r="3662" spans="1:4">
      <c r="A3662" s="348">
        <f t="shared" si="116"/>
        <v>3661</v>
      </c>
      <c r="B3662" s="360">
        <f>DATE('Profit Calculation'!J$6,A$2,A$2+A3662-1)</f>
        <v>45665</v>
      </c>
      <c r="D3662" s="362">
        <f t="shared" ca="1" si="117"/>
        <v>281419886.29148024</v>
      </c>
    </row>
    <row r="3663" spans="1:4">
      <c r="A3663" s="348">
        <f t="shared" si="116"/>
        <v>3662</v>
      </c>
      <c r="B3663" s="360">
        <f>DATE('Profit Calculation'!J$6,A$2,A$2+A3663-1)</f>
        <v>45666</v>
      </c>
      <c r="D3663" s="362">
        <f t="shared" ca="1" si="117"/>
        <v>281527665.25353223</v>
      </c>
    </row>
    <row r="3664" spans="1:4">
      <c r="A3664" s="348">
        <f t="shared" si="116"/>
        <v>3663</v>
      </c>
      <c r="B3664" s="360">
        <f>DATE('Profit Calculation'!J$6,A$2,A$2+A3664-1)</f>
        <v>45667</v>
      </c>
      <c r="D3664" s="362">
        <f t="shared" ca="1" si="117"/>
        <v>281635485.49306756</v>
      </c>
    </row>
    <row r="3665" spans="1:4">
      <c r="A3665" s="348">
        <f t="shared" si="116"/>
        <v>3664</v>
      </c>
      <c r="B3665" s="360">
        <f>DATE('Profit Calculation'!J$6,A$2,A$2+A3665-1)</f>
        <v>45668</v>
      </c>
      <c r="D3665" s="362">
        <f t="shared" ca="1" si="117"/>
        <v>281743347.02589476</v>
      </c>
    </row>
    <row r="3666" spans="1:4">
      <c r="A3666" s="348">
        <f t="shared" si="116"/>
        <v>3665</v>
      </c>
      <c r="B3666" s="360">
        <f>DATE('Profit Calculation'!J$6,A$2,A$2+A3666-1)</f>
        <v>45669</v>
      </c>
      <c r="D3666" s="362">
        <f t="shared" ca="1" si="117"/>
        <v>281851249.86782843</v>
      </c>
    </row>
    <row r="3667" spans="1:4">
      <c r="A3667" s="348">
        <f t="shared" si="116"/>
        <v>3666</v>
      </c>
      <c r="B3667" s="360">
        <f>DATE('Profit Calculation'!J$6,A$2,A$2+A3667-1)</f>
        <v>45670</v>
      </c>
      <c r="D3667" s="362">
        <f t="shared" ca="1" si="117"/>
        <v>281959194.03468931</v>
      </c>
    </row>
    <row r="3668" spans="1:4">
      <c r="A3668" s="348">
        <f t="shared" si="116"/>
        <v>3667</v>
      </c>
      <c r="B3668" s="360">
        <f>DATE('Profit Calculation'!J$6,A$2,A$2+A3668-1)</f>
        <v>45671</v>
      </c>
      <c r="D3668" s="362">
        <f t="shared" ca="1" si="117"/>
        <v>282067179.5423041</v>
      </c>
    </row>
    <row r="3669" spans="1:4">
      <c r="A3669" s="348">
        <f t="shared" si="116"/>
        <v>3668</v>
      </c>
      <c r="B3669" s="360">
        <f>DATE('Profit Calculation'!J$6,A$2,A$2+A3669-1)</f>
        <v>45672</v>
      </c>
      <c r="D3669" s="362">
        <f t="shared" ca="1" si="117"/>
        <v>282175206.40650558</v>
      </c>
    </row>
    <row r="3670" spans="1:4">
      <c r="A3670" s="348">
        <f t="shared" si="116"/>
        <v>3669</v>
      </c>
      <c r="B3670" s="360">
        <f>DATE('Profit Calculation'!J$6,A$2,A$2+A3670-1)</f>
        <v>45673</v>
      </c>
      <c r="D3670" s="362">
        <f t="shared" ca="1" si="117"/>
        <v>282283274.64313263</v>
      </c>
    </row>
    <row r="3671" spans="1:4">
      <c r="A3671" s="348">
        <f t="shared" si="116"/>
        <v>3670</v>
      </c>
      <c r="B3671" s="360">
        <f>DATE('Profit Calculation'!J$6,A$2,A$2+A3671-1)</f>
        <v>45674</v>
      </c>
      <c r="D3671" s="362">
        <f t="shared" ca="1" si="117"/>
        <v>282391384.26803017</v>
      </c>
    </row>
    <row r="3672" spans="1:4">
      <c r="A3672" s="348">
        <f t="shared" si="116"/>
        <v>3671</v>
      </c>
      <c r="B3672" s="360">
        <f>DATE('Profit Calculation'!J$6,A$2,A$2+A3672-1)</f>
        <v>45675</v>
      </c>
      <c r="D3672" s="362">
        <f t="shared" ca="1" si="117"/>
        <v>282499535.29704916</v>
      </c>
    </row>
    <row r="3673" spans="1:4">
      <c r="A3673" s="348">
        <f t="shared" si="116"/>
        <v>3672</v>
      </c>
      <c r="B3673" s="360">
        <f>DATE('Profit Calculation'!J$6,A$2,A$2+A3673-1)</f>
        <v>45676</v>
      </c>
      <c r="D3673" s="362">
        <f t="shared" ca="1" si="117"/>
        <v>282607727.74604672</v>
      </c>
    </row>
    <row r="3674" spans="1:4">
      <c r="A3674" s="348">
        <f t="shared" si="116"/>
        <v>3673</v>
      </c>
      <c r="B3674" s="360">
        <f>DATE('Profit Calculation'!J$6,A$2,A$2+A3674-1)</f>
        <v>45677</v>
      </c>
      <c r="D3674" s="362">
        <f t="shared" ca="1" si="117"/>
        <v>282715961.63088596</v>
      </c>
    </row>
    <row r="3675" spans="1:4">
      <c r="A3675" s="348">
        <f t="shared" si="116"/>
        <v>3674</v>
      </c>
      <c r="B3675" s="360">
        <f>DATE('Profit Calculation'!J$6,A$2,A$2+A3675-1)</f>
        <v>45678</v>
      </c>
      <c r="D3675" s="362">
        <f t="shared" ca="1" si="117"/>
        <v>282824236.96743608</v>
      </c>
    </row>
    <row r="3676" spans="1:4">
      <c r="A3676" s="348">
        <f t="shared" si="116"/>
        <v>3675</v>
      </c>
      <c r="B3676" s="360">
        <f>DATE('Profit Calculation'!J$6,A$2,A$2+A3676-1)</f>
        <v>45679</v>
      </c>
      <c r="D3676" s="362">
        <f t="shared" ca="1" si="117"/>
        <v>282932553.77157241</v>
      </c>
    </row>
    <row r="3677" spans="1:4">
      <c r="A3677" s="348">
        <f t="shared" si="116"/>
        <v>3676</v>
      </c>
      <c r="B3677" s="360">
        <f>DATE('Profit Calculation'!J$6,A$2,A$2+A3677-1)</f>
        <v>45680</v>
      </c>
      <c r="D3677" s="362">
        <f t="shared" ca="1" si="117"/>
        <v>283040912.05917627</v>
      </c>
    </row>
    <row r="3678" spans="1:4">
      <c r="A3678" s="348">
        <f t="shared" si="116"/>
        <v>3677</v>
      </c>
      <c r="B3678" s="360">
        <f>DATE('Profit Calculation'!J$6,A$2,A$2+A3678-1)</f>
        <v>45681</v>
      </c>
      <c r="D3678" s="362">
        <f t="shared" ca="1" si="117"/>
        <v>283149311.84613514</v>
      </c>
    </row>
    <row r="3679" spans="1:4">
      <c r="A3679" s="348">
        <f t="shared" si="116"/>
        <v>3678</v>
      </c>
      <c r="B3679" s="360">
        <f>DATE('Profit Calculation'!J$6,A$2,A$2+A3679-1)</f>
        <v>45682</v>
      </c>
      <c r="D3679" s="362">
        <f t="shared" ca="1" si="117"/>
        <v>283257753.14834255</v>
      </c>
    </row>
    <row r="3680" spans="1:4">
      <c r="A3680" s="348">
        <f t="shared" si="116"/>
        <v>3679</v>
      </c>
      <c r="B3680" s="360">
        <f>DATE('Profit Calculation'!J$6,A$2,A$2+A3680-1)</f>
        <v>45683</v>
      </c>
      <c r="D3680" s="362">
        <f t="shared" ca="1" si="117"/>
        <v>283366235.98169816</v>
      </c>
    </row>
    <row r="3681" spans="1:4">
      <c r="A3681" s="348">
        <f t="shared" si="116"/>
        <v>3680</v>
      </c>
      <c r="B3681" s="360">
        <f>DATE('Profit Calculation'!J$6,A$2,A$2+A3681-1)</f>
        <v>45684</v>
      </c>
      <c r="D3681" s="362">
        <f t="shared" ca="1" si="117"/>
        <v>283474760.36210763</v>
      </c>
    </row>
    <row r="3682" spans="1:4">
      <c r="A3682" s="348">
        <f t="shared" si="116"/>
        <v>3681</v>
      </c>
      <c r="B3682" s="360">
        <f>DATE('Profit Calculation'!J$6,A$2,A$2+A3682-1)</f>
        <v>45685</v>
      </c>
      <c r="D3682" s="362">
        <f t="shared" ca="1" si="117"/>
        <v>283583326.3054828</v>
      </c>
    </row>
    <row r="3683" spans="1:4">
      <c r="A3683" s="348">
        <f t="shared" si="116"/>
        <v>3682</v>
      </c>
      <c r="B3683" s="360">
        <f>DATE('Profit Calculation'!J$6,A$2,A$2+A3683-1)</f>
        <v>45686</v>
      </c>
      <c r="D3683" s="362">
        <f t="shared" ca="1" si="117"/>
        <v>283691933.82774156</v>
      </c>
    </row>
    <row r="3684" spans="1:4">
      <c r="A3684" s="348">
        <f t="shared" si="116"/>
        <v>3683</v>
      </c>
      <c r="B3684" s="360">
        <f>DATE('Profit Calculation'!J$6,A$2,A$2+A3684-1)</f>
        <v>45687</v>
      </c>
      <c r="D3684" s="362">
        <f t="shared" ca="1" si="117"/>
        <v>283800582.94480789</v>
      </c>
    </row>
    <row r="3685" spans="1:4">
      <c r="A3685" s="348">
        <f t="shared" si="116"/>
        <v>3684</v>
      </c>
      <c r="B3685" s="360">
        <f>DATE('Profit Calculation'!J$6,A$2,A$2+A3685-1)</f>
        <v>45688</v>
      </c>
      <c r="D3685" s="362">
        <f t="shared" ca="1" si="117"/>
        <v>283909273.67261189</v>
      </c>
    </row>
    <row r="3686" spans="1:4">
      <c r="A3686" s="348">
        <f t="shared" si="116"/>
        <v>3685</v>
      </c>
      <c r="B3686" s="360">
        <f>DATE('Profit Calculation'!J$6,A$2,A$2+A3686-1)</f>
        <v>45689</v>
      </c>
      <c r="D3686" s="362">
        <f t="shared" ca="1" si="117"/>
        <v>284018006.02708977</v>
      </c>
    </row>
    <row r="3687" spans="1:4">
      <c r="A3687" s="348">
        <f t="shared" si="116"/>
        <v>3686</v>
      </c>
      <c r="B3687" s="360">
        <f>DATE('Profit Calculation'!J$6,A$2,A$2+A3687-1)</f>
        <v>45690</v>
      </c>
      <c r="D3687" s="362">
        <f t="shared" ca="1" si="117"/>
        <v>284126780.02418381</v>
      </c>
    </row>
    <row r="3688" spans="1:4">
      <c r="A3688" s="348">
        <f t="shared" si="116"/>
        <v>3687</v>
      </c>
      <c r="B3688" s="360">
        <f>DATE('Profit Calculation'!J$6,A$2,A$2+A3688-1)</f>
        <v>45691</v>
      </c>
      <c r="D3688" s="362">
        <f t="shared" ca="1" si="117"/>
        <v>284235595.67984241</v>
      </c>
    </row>
    <row r="3689" spans="1:4">
      <c r="A3689" s="348">
        <f t="shared" si="116"/>
        <v>3688</v>
      </c>
      <c r="B3689" s="360">
        <f>DATE('Profit Calculation'!J$6,A$2,A$2+A3689-1)</f>
        <v>45692</v>
      </c>
      <c r="D3689" s="362">
        <f t="shared" ca="1" si="117"/>
        <v>284344453.01002014</v>
      </c>
    </row>
    <row r="3690" spans="1:4">
      <c r="A3690" s="348">
        <f t="shared" si="116"/>
        <v>3689</v>
      </c>
      <c r="B3690" s="360">
        <f>DATE('Profit Calculation'!J$6,A$2,A$2+A3690-1)</f>
        <v>45693</v>
      </c>
      <c r="D3690" s="362">
        <f t="shared" ca="1" si="117"/>
        <v>284453352.03067756</v>
      </c>
    </row>
    <row r="3691" spans="1:4">
      <c r="A3691" s="348">
        <f t="shared" si="116"/>
        <v>3690</v>
      </c>
      <c r="B3691" s="360">
        <f>DATE('Profit Calculation'!J$6,A$2,A$2+A3691-1)</f>
        <v>45694</v>
      </c>
      <c r="D3691" s="362">
        <f t="shared" ca="1" si="117"/>
        <v>284562292.75778139</v>
      </c>
    </row>
    <row r="3692" spans="1:4">
      <c r="A3692" s="348">
        <f t="shared" si="116"/>
        <v>3691</v>
      </c>
      <c r="B3692" s="360">
        <f>DATE('Profit Calculation'!J$6,A$2,A$2+A3692-1)</f>
        <v>45695</v>
      </c>
      <c r="D3692" s="362">
        <f t="shared" ca="1" si="117"/>
        <v>284671275.20730454</v>
      </c>
    </row>
    <row r="3693" spans="1:4">
      <c r="A3693" s="348">
        <f t="shared" si="116"/>
        <v>3692</v>
      </c>
      <c r="B3693" s="360">
        <f>DATE('Profit Calculation'!J$6,A$2,A$2+A3693-1)</f>
        <v>45696</v>
      </c>
      <c r="D3693" s="362">
        <f t="shared" ca="1" si="117"/>
        <v>284780299.39522594</v>
      </c>
    </row>
    <row r="3694" spans="1:4">
      <c r="A3694" s="348">
        <f t="shared" si="116"/>
        <v>3693</v>
      </c>
      <c r="B3694" s="360">
        <f>DATE('Profit Calculation'!J$6,A$2,A$2+A3694-1)</f>
        <v>45697</v>
      </c>
      <c r="D3694" s="362">
        <f t="shared" ca="1" si="117"/>
        <v>284889365.33753067</v>
      </c>
    </row>
    <row r="3695" spans="1:4">
      <c r="A3695" s="348">
        <f t="shared" si="116"/>
        <v>3694</v>
      </c>
      <c r="B3695" s="360">
        <f>DATE('Profit Calculation'!J$6,A$2,A$2+A3695-1)</f>
        <v>45698</v>
      </c>
      <c r="D3695" s="362">
        <f t="shared" ca="1" si="117"/>
        <v>284998473.05020994</v>
      </c>
    </row>
    <row r="3696" spans="1:4">
      <c r="A3696" s="348">
        <f t="shared" si="116"/>
        <v>3695</v>
      </c>
      <c r="B3696" s="360">
        <f>DATE('Profit Calculation'!J$6,A$2,A$2+A3696-1)</f>
        <v>45699</v>
      </c>
      <c r="D3696" s="362">
        <f t="shared" ca="1" si="117"/>
        <v>285107622.54926109</v>
      </c>
    </row>
    <row r="3697" spans="1:4">
      <c r="A3697" s="348">
        <f t="shared" si="116"/>
        <v>3696</v>
      </c>
      <c r="B3697" s="360">
        <f>DATE('Profit Calculation'!J$6,A$2,A$2+A3697-1)</f>
        <v>45700</v>
      </c>
      <c r="D3697" s="362">
        <f t="shared" ca="1" si="117"/>
        <v>285216813.85068762</v>
      </c>
    </row>
    <row r="3698" spans="1:4">
      <c r="A3698" s="348">
        <f t="shared" si="116"/>
        <v>3697</v>
      </c>
      <c r="B3698" s="360">
        <f>DATE('Profit Calculation'!J$6,A$2,A$2+A3698-1)</f>
        <v>45701</v>
      </c>
      <c r="D3698" s="362">
        <f t="shared" ca="1" si="117"/>
        <v>285326046.9704991</v>
      </c>
    </row>
    <row r="3699" spans="1:4">
      <c r="A3699" s="348">
        <f t="shared" si="116"/>
        <v>3698</v>
      </c>
      <c r="B3699" s="360">
        <f>DATE('Profit Calculation'!J$6,A$2,A$2+A3699-1)</f>
        <v>45702</v>
      </c>
      <c r="D3699" s="362">
        <f t="shared" ca="1" si="117"/>
        <v>285435321.92471123</v>
      </c>
    </row>
    <row r="3700" spans="1:4">
      <c r="A3700" s="348">
        <f t="shared" si="116"/>
        <v>3699</v>
      </c>
      <c r="B3700" s="360">
        <f>DATE('Profit Calculation'!J$6,A$2,A$2+A3700-1)</f>
        <v>45703</v>
      </c>
      <c r="D3700" s="362">
        <f t="shared" ca="1" si="117"/>
        <v>285544638.72934586</v>
      </c>
    </row>
    <row r="3701" spans="1:4">
      <c r="A3701" s="348">
        <f t="shared" si="116"/>
        <v>3700</v>
      </c>
      <c r="B3701" s="360">
        <f>DATE('Profit Calculation'!J$6,A$2,A$2+A3701-1)</f>
        <v>45704</v>
      </c>
      <c r="D3701" s="362">
        <f t="shared" ca="1" si="117"/>
        <v>285653997.40043098</v>
      </c>
    </row>
    <row r="3702" spans="1:4">
      <c r="A3702" s="348">
        <f t="shared" si="116"/>
        <v>3701</v>
      </c>
      <c r="B3702" s="360">
        <f>DATE('Profit Calculation'!J$6,A$2,A$2+A3702-1)</f>
        <v>45705</v>
      </c>
      <c r="D3702" s="362">
        <f t="shared" ca="1" si="117"/>
        <v>285763397.95400071</v>
      </c>
    </row>
    <row r="3703" spans="1:4">
      <c r="A3703" s="348">
        <f t="shared" si="116"/>
        <v>3702</v>
      </c>
      <c r="B3703" s="360">
        <f>DATE('Profit Calculation'!J$6,A$2,A$2+A3703-1)</f>
        <v>45706</v>
      </c>
      <c r="D3703" s="362">
        <f t="shared" ca="1" si="117"/>
        <v>285872840.40609533</v>
      </c>
    </row>
    <row r="3704" spans="1:4">
      <c r="A3704" s="348">
        <f t="shared" si="116"/>
        <v>3703</v>
      </c>
      <c r="B3704" s="360">
        <f>DATE('Profit Calculation'!J$6,A$2,A$2+A3704-1)</f>
        <v>45707</v>
      </c>
      <c r="D3704" s="362">
        <f t="shared" ca="1" si="117"/>
        <v>285982324.77276129</v>
      </c>
    </row>
    <row r="3705" spans="1:4">
      <c r="A3705" s="348">
        <f t="shared" si="116"/>
        <v>3704</v>
      </c>
      <c r="B3705" s="360">
        <f>DATE('Profit Calculation'!J$6,A$2,A$2+A3705-1)</f>
        <v>45708</v>
      </c>
      <c r="D3705" s="362">
        <f t="shared" ca="1" si="117"/>
        <v>286091851.07005107</v>
      </c>
    </row>
    <row r="3706" spans="1:4">
      <c r="A3706" s="348">
        <f t="shared" si="116"/>
        <v>3705</v>
      </c>
      <c r="B3706" s="360">
        <f>DATE('Profit Calculation'!J$6,A$2,A$2+A3706-1)</f>
        <v>45709</v>
      </c>
      <c r="D3706" s="362">
        <f t="shared" ca="1" si="117"/>
        <v>286201419.31402344</v>
      </c>
    </row>
    <row r="3707" spans="1:4">
      <c r="A3707" s="348">
        <f t="shared" si="116"/>
        <v>3706</v>
      </c>
      <c r="B3707" s="360">
        <f>DATE('Profit Calculation'!J$6,A$2,A$2+A3707-1)</f>
        <v>45710</v>
      </c>
      <c r="D3707" s="362">
        <f t="shared" ca="1" si="117"/>
        <v>286311029.52074325</v>
      </c>
    </row>
    <row r="3708" spans="1:4">
      <c r="A3708" s="348">
        <f t="shared" si="116"/>
        <v>3707</v>
      </c>
      <c r="B3708" s="360">
        <f>DATE('Profit Calculation'!J$6,A$2,A$2+A3708-1)</f>
        <v>45711</v>
      </c>
      <c r="D3708" s="362">
        <f t="shared" ca="1" si="117"/>
        <v>286420681.70628148</v>
      </c>
    </row>
    <row r="3709" spans="1:4">
      <c r="A3709" s="348">
        <f t="shared" si="116"/>
        <v>3708</v>
      </c>
      <c r="B3709" s="360">
        <f>DATE('Profit Calculation'!J$6,A$2,A$2+A3709-1)</f>
        <v>45712</v>
      </c>
      <c r="D3709" s="362">
        <f t="shared" ca="1" si="117"/>
        <v>286530375.88671535</v>
      </c>
    </row>
    <row r="3710" spans="1:4">
      <c r="A3710" s="348">
        <f t="shared" si="116"/>
        <v>3709</v>
      </c>
      <c r="B3710" s="360">
        <f>DATE('Profit Calculation'!J$6,A$2,A$2+A3710-1)</f>
        <v>45713</v>
      </c>
      <c r="D3710" s="362">
        <f t="shared" ca="1" si="117"/>
        <v>286640112.0781281</v>
      </c>
    </row>
    <row r="3711" spans="1:4">
      <c r="A3711" s="348">
        <f t="shared" si="116"/>
        <v>3710</v>
      </c>
      <c r="B3711" s="360">
        <f>DATE('Profit Calculation'!J$6,A$2,A$2+A3711-1)</f>
        <v>45714</v>
      </c>
      <c r="D3711" s="362">
        <f t="shared" ca="1" si="117"/>
        <v>286749890.29660928</v>
      </c>
    </row>
    <row r="3712" spans="1:4">
      <c r="A3712" s="348">
        <f t="shared" si="116"/>
        <v>3711</v>
      </c>
      <c r="B3712" s="360">
        <f>DATE('Profit Calculation'!J$6,A$2,A$2+A3712-1)</f>
        <v>45715</v>
      </c>
      <c r="D3712" s="362">
        <f t="shared" ca="1" si="117"/>
        <v>286859710.55825448</v>
      </c>
    </row>
    <row r="3713" spans="1:4">
      <c r="A3713" s="348">
        <f t="shared" si="116"/>
        <v>3712</v>
      </c>
      <c r="B3713" s="360">
        <f>DATE('Profit Calculation'!J$6,A$2,A$2+A3713-1)</f>
        <v>45716</v>
      </c>
      <c r="D3713" s="362">
        <f t="shared" ca="1" si="117"/>
        <v>286969572.87916553</v>
      </c>
    </row>
    <row r="3714" spans="1:4">
      <c r="A3714" s="348">
        <f t="shared" si="116"/>
        <v>3713</v>
      </c>
      <c r="B3714" s="360">
        <f>DATE('Profit Calculation'!J$6,A$2,A$2+A3714-1)</f>
        <v>45717</v>
      </c>
      <c r="D3714" s="362">
        <f t="shared" ca="1" si="117"/>
        <v>287079477.27545041</v>
      </c>
    </row>
    <row r="3715" spans="1:4">
      <c r="A3715" s="348">
        <f t="shared" si="116"/>
        <v>3714</v>
      </c>
      <c r="B3715" s="360">
        <f>DATE('Profit Calculation'!J$6,A$2,A$2+A3715-1)</f>
        <v>45718</v>
      </c>
      <c r="D3715" s="362">
        <f t="shared" ca="1" si="117"/>
        <v>287189423.76322323</v>
      </c>
    </row>
    <row r="3716" spans="1:4">
      <c r="A3716" s="348">
        <f t="shared" si="116"/>
        <v>3715</v>
      </c>
      <c r="B3716" s="360">
        <f>DATE('Profit Calculation'!J$6,A$2,A$2+A3716-1)</f>
        <v>45719</v>
      </c>
      <c r="D3716" s="362">
        <f t="shared" ca="1" si="117"/>
        <v>287299412.35860431</v>
      </c>
    </row>
    <row r="3717" spans="1:4">
      <c r="A3717" s="348">
        <f t="shared" ref="A3717:A3780" si="118">A3716+1</f>
        <v>3716</v>
      </c>
      <c r="B3717" s="360">
        <f>DATE('Profit Calculation'!J$6,A$2,A$2+A3717-1)</f>
        <v>45720</v>
      </c>
      <c r="D3717" s="362">
        <f t="shared" ref="D3717:D3780" ca="1" si="119">IF(OR(LOOKUP(B3717,W$1:W$35,W$1:W$35) = B3717, LOOKUP(B3717,X$1:X$35,X$1:X$35) = B3717),LOOKUP(B3717,F:F,G:G),D3716*(1+((IF($Q$18&lt;6,$R$14,IF($Q$18&lt;11,$R$15,$R$16)))))^(1/365))</f>
        <v>287409443.07772017</v>
      </c>
    </row>
    <row r="3718" spans="1:4">
      <c r="A3718" s="348">
        <f t="shared" si="118"/>
        <v>3717</v>
      </c>
      <c r="B3718" s="360">
        <f>DATE('Profit Calculation'!J$6,A$2,A$2+A3718-1)</f>
        <v>45721</v>
      </c>
      <c r="D3718" s="362">
        <f t="shared" ca="1" si="119"/>
        <v>287519515.93670344</v>
      </c>
    </row>
    <row r="3719" spans="1:4">
      <c r="A3719" s="348">
        <f t="shared" si="118"/>
        <v>3718</v>
      </c>
      <c r="B3719" s="360">
        <f>DATE('Profit Calculation'!J$6,A$2,A$2+A3719-1)</f>
        <v>45722</v>
      </c>
      <c r="D3719" s="362">
        <f t="shared" ca="1" si="119"/>
        <v>287629630.951693</v>
      </c>
    </row>
    <row r="3720" spans="1:4">
      <c r="A3720" s="348">
        <f t="shared" si="118"/>
        <v>3719</v>
      </c>
      <c r="B3720" s="360">
        <f>DATE('Profit Calculation'!J$6,A$2,A$2+A3720-1)</f>
        <v>45723</v>
      </c>
      <c r="D3720" s="362">
        <f t="shared" ca="1" si="119"/>
        <v>287739788.13883388</v>
      </c>
    </row>
    <row r="3721" spans="1:4">
      <c r="A3721" s="348">
        <f t="shared" si="118"/>
        <v>3720</v>
      </c>
      <c r="B3721" s="360">
        <f>DATE('Profit Calculation'!J$6,A$2,A$2+A3721-1)</f>
        <v>45724</v>
      </c>
      <c r="D3721" s="362">
        <f t="shared" ca="1" si="119"/>
        <v>287849987.51427722</v>
      </c>
    </row>
    <row r="3722" spans="1:4">
      <c r="A3722" s="348">
        <f t="shared" si="118"/>
        <v>3721</v>
      </c>
      <c r="B3722" s="360">
        <f>DATE('Profit Calculation'!J$6,A$2,A$2+A3722-1)</f>
        <v>45725</v>
      </c>
      <c r="D3722" s="362">
        <f t="shared" ca="1" si="119"/>
        <v>287960229.09418046</v>
      </c>
    </row>
    <row r="3723" spans="1:4">
      <c r="A3723" s="348">
        <f t="shared" si="118"/>
        <v>3722</v>
      </c>
      <c r="B3723" s="360">
        <f>DATE('Profit Calculation'!J$6,A$2,A$2+A3723-1)</f>
        <v>45726</v>
      </c>
      <c r="D3723" s="362">
        <f t="shared" ca="1" si="119"/>
        <v>288070512.8947072</v>
      </c>
    </row>
    <row r="3724" spans="1:4">
      <c r="A3724" s="348">
        <f t="shared" si="118"/>
        <v>3723</v>
      </c>
      <c r="B3724" s="360">
        <f>DATE('Profit Calculation'!J$6,A$2,A$2+A3724-1)</f>
        <v>45727</v>
      </c>
      <c r="D3724" s="362">
        <f t="shared" ca="1" si="119"/>
        <v>288180838.93202716</v>
      </c>
    </row>
    <row r="3725" spans="1:4">
      <c r="A3725" s="348">
        <f t="shared" si="118"/>
        <v>3724</v>
      </c>
      <c r="B3725" s="360">
        <f>DATE('Profit Calculation'!J$6,A$2,A$2+A3725-1)</f>
        <v>45728</v>
      </c>
      <c r="D3725" s="362">
        <f t="shared" ca="1" si="119"/>
        <v>288291207.22231632</v>
      </c>
    </row>
    <row r="3726" spans="1:4">
      <c r="A3726" s="348">
        <f t="shared" si="118"/>
        <v>3725</v>
      </c>
      <c r="B3726" s="360">
        <f>DATE('Profit Calculation'!J$6,A$2,A$2+A3726-1)</f>
        <v>45729</v>
      </c>
      <c r="D3726" s="362">
        <f t="shared" ca="1" si="119"/>
        <v>288401617.78175688</v>
      </c>
    </row>
    <row r="3727" spans="1:4">
      <c r="A3727" s="348">
        <f t="shared" si="118"/>
        <v>3726</v>
      </c>
      <c r="B3727" s="360">
        <f>DATE('Profit Calculation'!J$6,A$2,A$2+A3727-1)</f>
        <v>45730</v>
      </c>
      <c r="D3727" s="362">
        <f t="shared" ca="1" si="119"/>
        <v>288512070.62653714</v>
      </c>
    </row>
    <row r="3728" spans="1:4">
      <c r="A3728" s="348">
        <f t="shared" si="118"/>
        <v>3727</v>
      </c>
      <c r="B3728" s="360">
        <f>DATE('Profit Calculation'!J$6,A$2,A$2+A3728-1)</f>
        <v>45731</v>
      </c>
      <c r="D3728" s="362">
        <f t="shared" ca="1" si="119"/>
        <v>288622565.77285171</v>
      </c>
    </row>
    <row r="3729" spans="1:4">
      <c r="A3729" s="348">
        <f t="shared" si="118"/>
        <v>3728</v>
      </c>
      <c r="B3729" s="360">
        <f>DATE('Profit Calculation'!J$6,A$2,A$2+A3729-1)</f>
        <v>45732</v>
      </c>
      <c r="D3729" s="362">
        <f t="shared" ca="1" si="119"/>
        <v>288733103.23690128</v>
      </c>
    </row>
    <row r="3730" spans="1:4">
      <c r="A3730" s="348">
        <f t="shared" si="118"/>
        <v>3729</v>
      </c>
      <c r="B3730" s="360">
        <f>DATE('Profit Calculation'!J$6,A$2,A$2+A3730-1)</f>
        <v>45733</v>
      </c>
      <c r="D3730" s="362">
        <f t="shared" ca="1" si="119"/>
        <v>288843683.03489286</v>
      </c>
    </row>
    <row r="3731" spans="1:4">
      <c r="A3731" s="348">
        <f t="shared" si="118"/>
        <v>3730</v>
      </c>
      <c r="B3731" s="360">
        <f>DATE('Profit Calculation'!J$6,A$2,A$2+A3731-1)</f>
        <v>45734</v>
      </c>
      <c r="D3731" s="362">
        <f t="shared" ca="1" si="119"/>
        <v>288954305.18303961</v>
      </c>
    </row>
    <row r="3732" spans="1:4">
      <c r="A3732" s="348">
        <f t="shared" si="118"/>
        <v>3731</v>
      </c>
      <c r="B3732" s="360">
        <f>DATE('Profit Calculation'!J$6,A$2,A$2+A3732-1)</f>
        <v>45735</v>
      </c>
      <c r="D3732" s="362">
        <f t="shared" ca="1" si="119"/>
        <v>289064969.69756091</v>
      </c>
    </row>
    <row r="3733" spans="1:4">
      <c r="A3733" s="348">
        <f t="shared" si="118"/>
        <v>3732</v>
      </c>
      <c r="B3733" s="360">
        <f>DATE('Profit Calculation'!J$6,A$2,A$2+A3733-1)</f>
        <v>45736</v>
      </c>
      <c r="D3733" s="362">
        <f t="shared" ca="1" si="119"/>
        <v>289175676.59468234</v>
      </c>
    </row>
    <row r="3734" spans="1:4">
      <c r="A3734" s="348">
        <f t="shared" si="118"/>
        <v>3733</v>
      </c>
      <c r="B3734" s="360">
        <f>DATE('Profit Calculation'!J$6,A$2,A$2+A3734-1)</f>
        <v>45737</v>
      </c>
      <c r="D3734" s="362">
        <f t="shared" ca="1" si="119"/>
        <v>289286425.89063573</v>
      </c>
    </row>
    <row r="3735" spans="1:4">
      <c r="A3735" s="348">
        <f t="shared" si="118"/>
        <v>3734</v>
      </c>
      <c r="B3735" s="360">
        <f>DATE('Profit Calculation'!J$6,A$2,A$2+A3735-1)</f>
        <v>45738</v>
      </c>
      <c r="D3735" s="362">
        <f t="shared" ca="1" si="119"/>
        <v>289397217.60165906</v>
      </c>
    </row>
    <row r="3736" spans="1:4">
      <c r="A3736" s="348">
        <f t="shared" si="118"/>
        <v>3735</v>
      </c>
      <c r="B3736" s="360">
        <f>DATE('Profit Calculation'!J$6,A$2,A$2+A3736-1)</f>
        <v>45739</v>
      </c>
      <c r="D3736" s="362">
        <f t="shared" ca="1" si="119"/>
        <v>289508051.74399662</v>
      </c>
    </row>
    <row r="3737" spans="1:4">
      <c r="A3737" s="348">
        <f t="shared" si="118"/>
        <v>3736</v>
      </c>
      <c r="B3737" s="360">
        <f>DATE('Profit Calculation'!J$6,A$2,A$2+A3737-1)</f>
        <v>45740</v>
      </c>
      <c r="D3737" s="362">
        <f t="shared" ca="1" si="119"/>
        <v>289618928.33389884</v>
      </c>
    </row>
    <row r="3738" spans="1:4">
      <c r="A3738" s="348">
        <f t="shared" si="118"/>
        <v>3737</v>
      </c>
      <c r="B3738" s="360">
        <f>DATE('Profit Calculation'!J$6,A$2,A$2+A3738-1)</f>
        <v>45741</v>
      </c>
      <c r="D3738" s="362">
        <f t="shared" ca="1" si="119"/>
        <v>289729847.38762242</v>
      </c>
    </row>
    <row r="3739" spans="1:4">
      <c r="A3739" s="348">
        <f t="shared" si="118"/>
        <v>3738</v>
      </c>
      <c r="B3739" s="360">
        <f>DATE('Profit Calculation'!J$6,A$2,A$2+A3739-1)</f>
        <v>45742</v>
      </c>
      <c r="D3739" s="362">
        <f t="shared" ca="1" si="119"/>
        <v>289840808.92143023</v>
      </c>
    </row>
    <row r="3740" spans="1:4">
      <c r="A3740" s="348">
        <f t="shared" si="118"/>
        <v>3739</v>
      </c>
      <c r="B3740" s="360">
        <f>DATE('Profit Calculation'!J$6,A$2,A$2+A3740-1)</f>
        <v>45743</v>
      </c>
      <c r="D3740" s="362">
        <f t="shared" ca="1" si="119"/>
        <v>289951812.95159143</v>
      </c>
    </row>
    <row r="3741" spans="1:4">
      <c r="A3741" s="348">
        <f t="shared" si="118"/>
        <v>3740</v>
      </c>
      <c r="B3741" s="360">
        <f>DATE('Profit Calculation'!J$6,A$2,A$2+A3741-1)</f>
        <v>45744</v>
      </c>
      <c r="D3741" s="362">
        <f t="shared" ca="1" si="119"/>
        <v>290062859.49438143</v>
      </c>
    </row>
    <row r="3742" spans="1:4">
      <c r="A3742" s="348">
        <f t="shared" si="118"/>
        <v>3741</v>
      </c>
      <c r="B3742" s="360">
        <f>DATE('Profit Calculation'!J$6,A$2,A$2+A3742-1)</f>
        <v>45745</v>
      </c>
      <c r="D3742" s="362">
        <f t="shared" ca="1" si="119"/>
        <v>290173948.56608176</v>
      </c>
    </row>
    <row r="3743" spans="1:4">
      <c r="A3743" s="348">
        <f t="shared" si="118"/>
        <v>3742</v>
      </c>
      <c r="B3743" s="360">
        <f>DATE('Profit Calculation'!J$6,A$2,A$2+A3743-1)</f>
        <v>45746</v>
      </c>
      <c r="D3743" s="362">
        <f t="shared" ca="1" si="119"/>
        <v>290285080.1829803</v>
      </c>
    </row>
    <row r="3744" spans="1:4">
      <c r="A3744" s="348">
        <f t="shared" si="118"/>
        <v>3743</v>
      </c>
      <c r="B3744" s="360">
        <f>DATE('Profit Calculation'!J$6,A$2,A$2+A3744-1)</f>
        <v>45747</v>
      </c>
      <c r="D3744" s="362">
        <f t="shared" ca="1" si="119"/>
        <v>290396254.36137116</v>
      </c>
    </row>
    <row r="3745" spans="1:4">
      <c r="A3745" s="348">
        <f t="shared" si="118"/>
        <v>3744</v>
      </c>
      <c r="B3745" s="360">
        <f>DATE('Profit Calculation'!J$6,A$2,A$2+A3745-1)</f>
        <v>45748</v>
      </c>
      <c r="D3745" s="362">
        <f t="shared" ca="1" si="119"/>
        <v>281112389</v>
      </c>
    </row>
    <row r="3746" spans="1:4">
      <c r="A3746" s="348">
        <f t="shared" si="118"/>
        <v>3745</v>
      </c>
      <c r="B3746" s="360">
        <f>DATE('Profit Calculation'!J$6,A$2,A$2+A3746-1)</f>
        <v>45749</v>
      </c>
      <c r="D3746" s="362">
        <f t="shared" ca="1" si="119"/>
        <v>281220050.19589359</v>
      </c>
    </row>
    <row r="3747" spans="1:4">
      <c r="A3747" s="348">
        <f t="shared" si="118"/>
        <v>3746</v>
      </c>
      <c r="B3747" s="360">
        <f>DATE('Profit Calculation'!J$6,A$2,A$2+A3747-1)</f>
        <v>45750</v>
      </c>
      <c r="D3747" s="362">
        <f t="shared" ca="1" si="119"/>
        <v>281327752.6241681</v>
      </c>
    </row>
    <row r="3748" spans="1:4">
      <c r="A3748" s="348">
        <f t="shared" si="118"/>
        <v>3747</v>
      </c>
      <c r="B3748" s="360">
        <f>DATE('Profit Calculation'!J$6,A$2,A$2+A3748-1)</f>
        <v>45751</v>
      </c>
      <c r="D3748" s="362">
        <f t="shared" ca="1" si="119"/>
        <v>281435496.30061477</v>
      </c>
    </row>
    <row r="3749" spans="1:4">
      <c r="A3749" s="348">
        <f t="shared" si="118"/>
        <v>3748</v>
      </c>
      <c r="B3749" s="360">
        <f>DATE('Profit Calculation'!J$6,A$2,A$2+A3749-1)</f>
        <v>45752</v>
      </c>
      <c r="D3749" s="362">
        <f t="shared" ca="1" si="119"/>
        <v>281543281.24103099</v>
      </c>
    </row>
    <row r="3750" spans="1:4">
      <c r="A3750" s="348">
        <f t="shared" si="118"/>
        <v>3749</v>
      </c>
      <c r="B3750" s="360">
        <f>DATE('Profit Calculation'!J$6,A$2,A$2+A3750-1)</f>
        <v>45753</v>
      </c>
      <c r="D3750" s="362">
        <f t="shared" ca="1" si="119"/>
        <v>281651107.46122015</v>
      </c>
    </row>
    <row r="3751" spans="1:4">
      <c r="A3751" s="348">
        <f t="shared" si="118"/>
        <v>3750</v>
      </c>
      <c r="B3751" s="360">
        <f>DATE('Profit Calculation'!J$6,A$2,A$2+A3751-1)</f>
        <v>45754</v>
      </c>
      <c r="D3751" s="362">
        <f t="shared" ca="1" si="119"/>
        <v>281758974.97699165</v>
      </c>
    </row>
    <row r="3752" spans="1:4">
      <c r="A3752" s="348">
        <f t="shared" si="118"/>
        <v>3751</v>
      </c>
      <c r="B3752" s="360">
        <f>DATE('Profit Calculation'!J$6,A$2,A$2+A3752-1)</f>
        <v>45755</v>
      </c>
      <c r="D3752" s="362">
        <f t="shared" ca="1" si="119"/>
        <v>281866883.80416101</v>
      </c>
    </row>
    <row r="3753" spans="1:4">
      <c r="A3753" s="348">
        <f t="shared" si="118"/>
        <v>3752</v>
      </c>
      <c r="B3753" s="360">
        <f>DATE('Profit Calculation'!J$6,A$2,A$2+A3753-1)</f>
        <v>45756</v>
      </c>
      <c r="D3753" s="362">
        <f t="shared" ca="1" si="119"/>
        <v>281974833.9585498</v>
      </c>
    </row>
    <row r="3754" spans="1:4">
      <c r="A3754" s="348">
        <f t="shared" si="118"/>
        <v>3753</v>
      </c>
      <c r="B3754" s="360">
        <f>DATE('Profit Calculation'!J$6,A$2,A$2+A3754-1)</f>
        <v>45757</v>
      </c>
      <c r="D3754" s="362">
        <f t="shared" ca="1" si="119"/>
        <v>282082825.45598561</v>
      </c>
    </row>
    <row r="3755" spans="1:4">
      <c r="A3755" s="348">
        <f t="shared" si="118"/>
        <v>3754</v>
      </c>
      <c r="B3755" s="360">
        <f>DATE('Profit Calculation'!J$6,A$2,A$2+A3755-1)</f>
        <v>45758</v>
      </c>
      <c r="D3755" s="362">
        <f t="shared" ca="1" si="119"/>
        <v>282190858.31230211</v>
      </c>
    </row>
    <row r="3756" spans="1:4">
      <c r="A3756" s="348">
        <f t="shared" si="118"/>
        <v>3755</v>
      </c>
      <c r="B3756" s="360">
        <f>DATE('Profit Calculation'!J$6,A$2,A$2+A3756-1)</f>
        <v>45759</v>
      </c>
      <c r="D3756" s="362">
        <f t="shared" ca="1" si="119"/>
        <v>282298932.54333907</v>
      </c>
    </row>
    <row r="3757" spans="1:4">
      <c r="A3757" s="348">
        <f t="shared" si="118"/>
        <v>3756</v>
      </c>
      <c r="B3757" s="360">
        <f>DATE('Profit Calculation'!J$6,A$2,A$2+A3757-1)</f>
        <v>45760</v>
      </c>
      <c r="D3757" s="362">
        <f t="shared" ca="1" si="119"/>
        <v>282407048.16494226</v>
      </c>
    </row>
    <row r="3758" spans="1:4">
      <c r="A3758" s="348">
        <f t="shared" si="118"/>
        <v>3757</v>
      </c>
      <c r="B3758" s="360">
        <f>DATE('Profit Calculation'!J$6,A$2,A$2+A3758-1)</f>
        <v>45761</v>
      </c>
      <c r="D3758" s="362">
        <f t="shared" ca="1" si="119"/>
        <v>282515205.1929636</v>
      </c>
    </row>
    <row r="3759" spans="1:4">
      <c r="A3759" s="348">
        <f t="shared" si="118"/>
        <v>3758</v>
      </c>
      <c r="B3759" s="360">
        <f>DATE('Profit Calculation'!J$6,A$2,A$2+A3759-1)</f>
        <v>45762</v>
      </c>
      <c r="D3759" s="362">
        <f t="shared" ca="1" si="119"/>
        <v>282623403.64326096</v>
      </c>
    </row>
    <row r="3760" spans="1:4">
      <c r="A3760" s="348">
        <f t="shared" si="118"/>
        <v>3759</v>
      </c>
      <c r="B3760" s="360">
        <f>DATE('Profit Calculation'!J$6,A$2,A$2+A3760-1)</f>
        <v>45763</v>
      </c>
      <c r="D3760" s="362">
        <f t="shared" ca="1" si="119"/>
        <v>282731643.53169841</v>
      </c>
    </row>
    <row r="3761" spans="1:4">
      <c r="A3761" s="348">
        <f t="shared" si="118"/>
        <v>3760</v>
      </c>
      <c r="B3761" s="360">
        <f>DATE('Profit Calculation'!J$6,A$2,A$2+A3761-1)</f>
        <v>45764</v>
      </c>
      <c r="D3761" s="362">
        <f t="shared" ca="1" si="119"/>
        <v>282839924.87414604</v>
      </c>
    </row>
    <row r="3762" spans="1:4">
      <c r="A3762" s="348">
        <f t="shared" si="118"/>
        <v>3761</v>
      </c>
      <c r="B3762" s="360">
        <f>DATE('Profit Calculation'!J$6,A$2,A$2+A3762-1)</f>
        <v>45765</v>
      </c>
      <c r="D3762" s="362">
        <f t="shared" ca="1" si="119"/>
        <v>282948247.68648005</v>
      </c>
    </row>
    <row r="3763" spans="1:4">
      <c r="A3763" s="348">
        <f t="shared" si="118"/>
        <v>3762</v>
      </c>
      <c r="B3763" s="360">
        <f>DATE('Profit Calculation'!J$6,A$2,A$2+A3763-1)</f>
        <v>45766</v>
      </c>
      <c r="D3763" s="362">
        <f t="shared" ca="1" si="119"/>
        <v>283056611.9845826</v>
      </c>
    </row>
    <row r="3764" spans="1:4">
      <c r="A3764" s="348">
        <f t="shared" si="118"/>
        <v>3763</v>
      </c>
      <c r="B3764" s="360">
        <f>DATE('Profit Calculation'!J$6,A$2,A$2+A3764-1)</f>
        <v>45767</v>
      </c>
      <c r="D3764" s="362">
        <f t="shared" ca="1" si="119"/>
        <v>283165017.78434211</v>
      </c>
    </row>
    <row r="3765" spans="1:4">
      <c r="A3765" s="348">
        <f t="shared" si="118"/>
        <v>3764</v>
      </c>
      <c r="B3765" s="360">
        <f>DATE('Profit Calculation'!J$6,A$2,A$2+A3765-1)</f>
        <v>45768</v>
      </c>
      <c r="D3765" s="362">
        <f t="shared" ca="1" si="119"/>
        <v>283273465.10165292</v>
      </c>
    </row>
    <row r="3766" spans="1:4">
      <c r="A3766" s="348">
        <f t="shared" si="118"/>
        <v>3765</v>
      </c>
      <c r="B3766" s="360">
        <f>DATE('Profit Calculation'!J$6,A$2,A$2+A3766-1)</f>
        <v>45769</v>
      </c>
      <c r="D3766" s="362">
        <f t="shared" ca="1" si="119"/>
        <v>283381953.95241559</v>
      </c>
    </row>
    <row r="3767" spans="1:4">
      <c r="A3767" s="348">
        <f t="shared" si="118"/>
        <v>3766</v>
      </c>
      <c r="B3767" s="360">
        <f>DATE('Profit Calculation'!J$6,A$2,A$2+A3767-1)</f>
        <v>45770</v>
      </c>
      <c r="D3767" s="362">
        <f t="shared" ca="1" si="119"/>
        <v>283490484.35253674</v>
      </c>
    </row>
    <row r="3768" spans="1:4">
      <c r="A3768" s="348">
        <f t="shared" si="118"/>
        <v>3767</v>
      </c>
      <c r="B3768" s="360">
        <f>DATE('Profit Calculation'!J$6,A$2,A$2+A3768-1)</f>
        <v>45771</v>
      </c>
      <c r="D3768" s="362">
        <f t="shared" ca="1" si="119"/>
        <v>283599056.31792903</v>
      </c>
    </row>
    <row r="3769" spans="1:4">
      <c r="A3769" s="348">
        <f t="shared" si="118"/>
        <v>3768</v>
      </c>
      <c r="B3769" s="360">
        <f>DATE('Profit Calculation'!J$6,A$2,A$2+A3769-1)</f>
        <v>45772</v>
      </c>
      <c r="D3769" s="362">
        <f t="shared" ca="1" si="119"/>
        <v>283707669.86451119</v>
      </c>
    </row>
    <row r="3770" spans="1:4">
      <c r="A3770" s="348">
        <f t="shared" si="118"/>
        <v>3769</v>
      </c>
      <c r="B3770" s="360">
        <f>DATE('Profit Calculation'!J$6,A$2,A$2+A3770-1)</f>
        <v>45773</v>
      </c>
      <c r="D3770" s="362">
        <f t="shared" ca="1" si="119"/>
        <v>283816325.00820816</v>
      </c>
    </row>
    <row r="3771" spans="1:4">
      <c r="A3771" s="348">
        <f t="shared" si="118"/>
        <v>3770</v>
      </c>
      <c r="B3771" s="360">
        <f>DATE('Profit Calculation'!J$6,A$2,A$2+A3771-1)</f>
        <v>45774</v>
      </c>
      <c r="D3771" s="362">
        <f t="shared" ca="1" si="119"/>
        <v>283925021.76495093</v>
      </c>
    </row>
    <row r="3772" spans="1:4">
      <c r="A3772" s="348">
        <f t="shared" si="118"/>
        <v>3771</v>
      </c>
      <c r="B3772" s="360">
        <f>DATE('Profit Calculation'!J$6,A$2,A$2+A3772-1)</f>
        <v>45775</v>
      </c>
      <c r="D3772" s="362">
        <f t="shared" ca="1" si="119"/>
        <v>284033760.15067655</v>
      </c>
    </row>
    <row r="3773" spans="1:4">
      <c r="A3773" s="348">
        <f t="shared" si="118"/>
        <v>3772</v>
      </c>
      <c r="B3773" s="360">
        <f>DATE('Profit Calculation'!J$6,A$2,A$2+A3773-1)</f>
        <v>45776</v>
      </c>
      <c r="D3773" s="362">
        <f t="shared" ca="1" si="119"/>
        <v>284142540.18132818</v>
      </c>
    </row>
    <row r="3774" spans="1:4">
      <c r="A3774" s="348">
        <f t="shared" si="118"/>
        <v>3773</v>
      </c>
      <c r="B3774" s="360">
        <f>DATE('Profit Calculation'!J$6,A$2,A$2+A3774-1)</f>
        <v>45777</v>
      </c>
      <c r="D3774" s="362">
        <f t="shared" ca="1" si="119"/>
        <v>284251361.87285513</v>
      </c>
    </row>
    <row r="3775" spans="1:4">
      <c r="A3775" s="348">
        <f t="shared" si="118"/>
        <v>3774</v>
      </c>
      <c r="B3775" s="360">
        <f>DATE('Profit Calculation'!J$6,A$2,A$2+A3775-1)</f>
        <v>45778</v>
      </c>
      <c r="D3775" s="362">
        <f t="shared" ca="1" si="119"/>
        <v>284360225.24121279</v>
      </c>
    </row>
    <row r="3776" spans="1:4">
      <c r="A3776" s="348">
        <f t="shared" si="118"/>
        <v>3775</v>
      </c>
      <c r="B3776" s="360">
        <f>DATE('Profit Calculation'!J$6,A$2,A$2+A3776-1)</f>
        <v>45779</v>
      </c>
      <c r="D3776" s="362">
        <f t="shared" ca="1" si="119"/>
        <v>284469130.30236268</v>
      </c>
    </row>
    <row r="3777" spans="1:4">
      <c r="A3777" s="348">
        <f t="shared" si="118"/>
        <v>3776</v>
      </c>
      <c r="B3777" s="360">
        <f>DATE('Profit Calculation'!J$6,A$2,A$2+A3777-1)</f>
        <v>45780</v>
      </c>
      <c r="D3777" s="362">
        <f t="shared" ca="1" si="119"/>
        <v>284578077.07227242</v>
      </c>
    </row>
    <row r="3778" spans="1:4">
      <c r="A3778" s="348">
        <f t="shared" si="118"/>
        <v>3777</v>
      </c>
      <c r="B3778" s="360">
        <f>DATE('Profit Calculation'!J$6,A$2,A$2+A3778-1)</f>
        <v>45781</v>
      </c>
      <c r="D3778" s="362">
        <f t="shared" ca="1" si="119"/>
        <v>284687065.56691575</v>
      </c>
    </row>
    <row r="3779" spans="1:4">
      <c r="A3779" s="348">
        <f t="shared" si="118"/>
        <v>3778</v>
      </c>
      <c r="B3779" s="360">
        <f>DATE('Profit Calculation'!J$6,A$2,A$2+A3779-1)</f>
        <v>45782</v>
      </c>
      <c r="D3779" s="362">
        <f t="shared" ca="1" si="119"/>
        <v>284796095.8022725</v>
      </c>
    </row>
    <row r="3780" spans="1:4">
      <c r="A3780" s="348">
        <f t="shared" si="118"/>
        <v>3779</v>
      </c>
      <c r="B3780" s="360">
        <f>DATE('Profit Calculation'!J$6,A$2,A$2+A3780-1)</f>
        <v>45783</v>
      </c>
      <c r="D3780" s="362">
        <f t="shared" ca="1" si="119"/>
        <v>284905167.79432863</v>
      </c>
    </row>
    <row r="3781" spans="1:4">
      <c r="A3781" s="348">
        <f t="shared" ref="A3781:A3844" si="120">A3780+1</f>
        <v>3780</v>
      </c>
      <c r="B3781" s="360">
        <f>DATE('Profit Calculation'!J$6,A$2,A$2+A3781-1)</f>
        <v>45784</v>
      </c>
      <c r="D3781" s="362">
        <f t="shared" ref="D3781:D3844" ca="1" si="121">IF(OR(LOOKUP(B3781,W$1:W$35,W$1:W$35) = B3781, LOOKUP(B3781,X$1:X$35,X$1:X$35) = B3781),LOOKUP(B3781,F:F,G:G),D3780*(1+((IF($Q$18&lt;6,$R$14,IF($Q$18&lt;11,$R$15,$R$16)))))^(1/365))</f>
        <v>285014281.55907631</v>
      </c>
    </row>
    <row r="3782" spans="1:4">
      <c r="A3782" s="348">
        <f t="shared" si="120"/>
        <v>3781</v>
      </c>
      <c r="B3782" s="360">
        <f>DATE('Profit Calculation'!J$6,A$2,A$2+A3782-1)</f>
        <v>45785</v>
      </c>
      <c r="D3782" s="362">
        <f t="shared" ca="1" si="121"/>
        <v>285123437.11251372</v>
      </c>
    </row>
    <row r="3783" spans="1:4">
      <c r="A3783" s="348">
        <f t="shared" si="120"/>
        <v>3782</v>
      </c>
      <c r="B3783" s="360">
        <f>DATE('Profit Calculation'!J$6,A$2,A$2+A3783-1)</f>
        <v>45786</v>
      </c>
      <c r="D3783" s="362">
        <f t="shared" ca="1" si="121"/>
        <v>285232634.47064519</v>
      </c>
    </row>
    <row r="3784" spans="1:4">
      <c r="A3784" s="348">
        <f t="shared" si="120"/>
        <v>3783</v>
      </c>
      <c r="B3784" s="360">
        <f>DATE('Profit Calculation'!J$6,A$2,A$2+A3784-1)</f>
        <v>45787</v>
      </c>
      <c r="D3784" s="362">
        <f t="shared" ca="1" si="121"/>
        <v>285341873.64948118</v>
      </c>
    </row>
    <row r="3785" spans="1:4">
      <c r="A3785" s="348">
        <f t="shared" si="120"/>
        <v>3784</v>
      </c>
      <c r="B3785" s="360">
        <f>DATE('Profit Calculation'!J$6,A$2,A$2+A3785-1)</f>
        <v>45788</v>
      </c>
      <c r="D3785" s="362">
        <f t="shared" ca="1" si="121"/>
        <v>285451154.66503835</v>
      </c>
    </row>
    <row r="3786" spans="1:4">
      <c r="A3786" s="348">
        <f t="shared" si="120"/>
        <v>3785</v>
      </c>
      <c r="B3786" s="360">
        <f>DATE('Profit Calculation'!J$6,A$2,A$2+A3786-1)</f>
        <v>45789</v>
      </c>
      <c r="D3786" s="362">
        <f t="shared" ca="1" si="121"/>
        <v>285560477.53333938</v>
      </c>
    </row>
    <row r="3787" spans="1:4">
      <c r="A3787" s="348">
        <f t="shared" si="120"/>
        <v>3786</v>
      </c>
      <c r="B3787" s="360">
        <f>DATE('Profit Calculation'!J$6,A$2,A$2+A3787-1)</f>
        <v>45790</v>
      </c>
      <c r="D3787" s="362">
        <f t="shared" ca="1" si="121"/>
        <v>285669842.27041322</v>
      </c>
    </row>
    <row r="3788" spans="1:4">
      <c r="A3788" s="348">
        <f t="shared" si="120"/>
        <v>3787</v>
      </c>
      <c r="B3788" s="360">
        <f>DATE('Profit Calculation'!J$6,A$2,A$2+A3788-1)</f>
        <v>45791</v>
      </c>
      <c r="D3788" s="362">
        <f t="shared" ca="1" si="121"/>
        <v>285779248.89229482</v>
      </c>
    </row>
    <row r="3789" spans="1:4">
      <c r="A3789" s="348">
        <f t="shared" si="120"/>
        <v>3788</v>
      </c>
      <c r="B3789" s="360">
        <f>DATE('Profit Calculation'!J$6,A$2,A$2+A3789-1)</f>
        <v>45792</v>
      </c>
      <c r="D3789" s="362">
        <f t="shared" ca="1" si="121"/>
        <v>285888697.41502541</v>
      </c>
    </row>
    <row r="3790" spans="1:4">
      <c r="A3790" s="348">
        <f t="shared" si="120"/>
        <v>3789</v>
      </c>
      <c r="B3790" s="360">
        <f>DATE('Profit Calculation'!J$6,A$2,A$2+A3790-1)</f>
        <v>45793</v>
      </c>
      <c r="D3790" s="362">
        <f t="shared" ca="1" si="121"/>
        <v>285998187.85465223</v>
      </c>
    </row>
    <row r="3791" spans="1:4">
      <c r="A3791" s="348">
        <f t="shared" si="120"/>
        <v>3790</v>
      </c>
      <c r="B3791" s="360">
        <f>DATE('Profit Calculation'!J$6,A$2,A$2+A3791-1)</f>
        <v>45794</v>
      </c>
      <c r="D3791" s="362">
        <f t="shared" ca="1" si="121"/>
        <v>286107720.22722876</v>
      </c>
    </row>
    <row r="3792" spans="1:4">
      <c r="A3792" s="348">
        <f t="shared" si="120"/>
        <v>3791</v>
      </c>
      <c r="B3792" s="360">
        <f>DATE('Profit Calculation'!J$6,A$2,A$2+A3792-1)</f>
        <v>45795</v>
      </c>
      <c r="D3792" s="362">
        <f t="shared" ca="1" si="121"/>
        <v>286217294.54881459</v>
      </c>
    </row>
    <row r="3793" spans="1:4">
      <c r="A3793" s="348">
        <f t="shared" si="120"/>
        <v>3792</v>
      </c>
      <c r="B3793" s="360">
        <f>DATE('Profit Calculation'!J$6,A$2,A$2+A3793-1)</f>
        <v>45796</v>
      </c>
      <c r="D3793" s="362">
        <f t="shared" ca="1" si="121"/>
        <v>286326910.8354755</v>
      </c>
    </row>
    <row r="3794" spans="1:4">
      <c r="A3794" s="348">
        <f t="shared" si="120"/>
        <v>3793</v>
      </c>
      <c r="B3794" s="360">
        <f>DATE('Profit Calculation'!J$6,A$2,A$2+A3794-1)</f>
        <v>45797</v>
      </c>
      <c r="D3794" s="362">
        <f t="shared" ca="1" si="121"/>
        <v>286436569.10328335</v>
      </c>
    </row>
    <row r="3795" spans="1:4">
      <c r="A3795" s="348">
        <f t="shared" si="120"/>
        <v>3794</v>
      </c>
      <c r="B3795" s="360">
        <f>DATE('Profit Calculation'!J$6,A$2,A$2+A3795-1)</f>
        <v>45798</v>
      </c>
      <c r="D3795" s="362">
        <f t="shared" ca="1" si="121"/>
        <v>286546269.36831617</v>
      </c>
    </row>
    <row r="3796" spans="1:4">
      <c r="A3796" s="348">
        <f t="shared" si="120"/>
        <v>3795</v>
      </c>
      <c r="B3796" s="360">
        <f>DATE('Profit Calculation'!J$6,A$2,A$2+A3796-1)</f>
        <v>45799</v>
      </c>
      <c r="D3796" s="362">
        <f t="shared" ca="1" si="121"/>
        <v>286656011.64665824</v>
      </c>
    </row>
    <row r="3797" spans="1:4">
      <c r="A3797" s="348">
        <f t="shared" si="120"/>
        <v>3796</v>
      </c>
      <c r="B3797" s="360">
        <f>DATE('Profit Calculation'!J$6,A$2,A$2+A3797-1)</f>
        <v>45800</v>
      </c>
      <c r="D3797" s="362">
        <f t="shared" ca="1" si="121"/>
        <v>286765795.95439988</v>
      </c>
    </row>
    <row r="3798" spans="1:4">
      <c r="A3798" s="348">
        <f t="shared" si="120"/>
        <v>3797</v>
      </c>
      <c r="B3798" s="360">
        <f>DATE('Profit Calculation'!J$6,A$2,A$2+A3798-1)</f>
        <v>45801</v>
      </c>
      <c r="D3798" s="362">
        <f t="shared" ca="1" si="121"/>
        <v>286875622.30763763</v>
      </c>
    </row>
    <row r="3799" spans="1:4">
      <c r="A3799" s="348">
        <f t="shared" si="120"/>
        <v>3798</v>
      </c>
      <c r="B3799" s="360">
        <f>DATE('Profit Calculation'!J$6,A$2,A$2+A3799-1)</f>
        <v>45802</v>
      </c>
      <c r="D3799" s="362">
        <f t="shared" ca="1" si="121"/>
        <v>286985490.72247422</v>
      </c>
    </row>
    <row r="3800" spans="1:4">
      <c r="A3800" s="348">
        <f t="shared" si="120"/>
        <v>3799</v>
      </c>
      <c r="B3800" s="360">
        <f>DATE('Profit Calculation'!J$6,A$2,A$2+A3800-1)</f>
        <v>45803</v>
      </c>
      <c r="D3800" s="362">
        <f t="shared" ca="1" si="121"/>
        <v>287095401.21501851</v>
      </c>
    </row>
    <row r="3801" spans="1:4">
      <c r="A3801" s="348">
        <f t="shared" si="120"/>
        <v>3800</v>
      </c>
      <c r="B3801" s="360">
        <f>DATE('Profit Calculation'!J$6,A$2,A$2+A3801-1)</f>
        <v>45804</v>
      </c>
      <c r="D3801" s="362">
        <f t="shared" ca="1" si="121"/>
        <v>287205353.80138552</v>
      </c>
    </row>
    <row r="3802" spans="1:4">
      <c r="A3802" s="348">
        <f t="shared" si="120"/>
        <v>3801</v>
      </c>
      <c r="B3802" s="360">
        <f>DATE('Profit Calculation'!J$6,A$2,A$2+A3802-1)</f>
        <v>45805</v>
      </c>
      <c r="D3802" s="362">
        <f t="shared" ca="1" si="121"/>
        <v>287315348.49769646</v>
      </c>
    </row>
    <row r="3803" spans="1:4">
      <c r="A3803" s="348">
        <f t="shared" si="120"/>
        <v>3802</v>
      </c>
      <c r="B3803" s="360">
        <f>DATE('Profit Calculation'!J$6,A$2,A$2+A3803-1)</f>
        <v>45806</v>
      </c>
      <c r="D3803" s="362">
        <f t="shared" ca="1" si="121"/>
        <v>287425385.32007873</v>
      </c>
    </row>
    <row r="3804" spans="1:4">
      <c r="A3804" s="348">
        <f t="shared" si="120"/>
        <v>3803</v>
      </c>
      <c r="B3804" s="360">
        <f>DATE('Profit Calculation'!J$6,A$2,A$2+A3804-1)</f>
        <v>45807</v>
      </c>
      <c r="D3804" s="362">
        <f t="shared" ca="1" si="121"/>
        <v>287535464.28466588</v>
      </c>
    </row>
    <row r="3805" spans="1:4">
      <c r="A3805" s="348">
        <f t="shared" si="120"/>
        <v>3804</v>
      </c>
      <c r="B3805" s="360">
        <f>DATE('Profit Calculation'!J$6,A$2,A$2+A3805-1)</f>
        <v>45808</v>
      </c>
      <c r="D3805" s="362">
        <f t="shared" ca="1" si="121"/>
        <v>287645585.4075976</v>
      </c>
    </row>
    <row r="3806" spans="1:4">
      <c r="A3806" s="348">
        <f t="shared" si="120"/>
        <v>3805</v>
      </c>
      <c r="B3806" s="360">
        <f>DATE('Profit Calculation'!J$6,A$2,A$2+A3806-1)</f>
        <v>45809</v>
      </c>
      <c r="D3806" s="362">
        <f t="shared" ca="1" si="121"/>
        <v>287755748.70501989</v>
      </c>
    </row>
    <row r="3807" spans="1:4">
      <c r="A3807" s="348">
        <f t="shared" si="120"/>
        <v>3806</v>
      </c>
      <c r="B3807" s="360">
        <f>DATE('Profit Calculation'!J$6,A$2,A$2+A3807-1)</f>
        <v>45810</v>
      </c>
      <c r="D3807" s="362">
        <f t="shared" ca="1" si="121"/>
        <v>287865954.19308478</v>
      </c>
    </row>
    <row r="3808" spans="1:4">
      <c r="A3808" s="348">
        <f t="shared" si="120"/>
        <v>3807</v>
      </c>
      <c r="B3808" s="360">
        <f>DATE('Profit Calculation'!J$6,A$2,A$2+A3808-1)</f>
        <v>45811</v>
      </c>
      <c r="D3808" s="362">
        <f t="shared" ca="1" si="121"/>
        <v>287976201.8879506</v>
      </c>
    </row>
    <row r="3809" spans="1:4">
      <c r="A3809" s="348">
        <f t="shared" si="120"/>
        <v>3808</v>
      </c>
      <c r="B3809" s="360">
        <f>DATE('Profit Calculation'!J$6,A$2,A$2+A3809-1)</f>
        <v>45812</v>
      </c>
      <c r="D3809" s="362">
        <f t="shared" ca="1" si="121"/>
        <v>288086491.80578184</v>
      </c>
    </row>
    <row r="3810" spans="1:4">
      <c r="A3810" s="348">
        <f t="shared" si="120"/>
        <v>3809</v>
      </c>
      <c r="B3810" s="360">
        <f>DATE('Profit Calculation'!J$6,A$2,A$2+A3810-1)</f>
        <v>45813</v>
      </c>
      <c r="D3810" s="362">
        <f t="shared" ca="1" si="121"/>
        <v>288196823.96274912</v>
      </c>
    </row>
    <row r="3811" spans="1:4">
      <c r="A3811" s="348">
        <f t="shared" si="120"/>
        <v>3810</v>
      </c>
      <c r="B3811" s="360">
        <f>DATE('Profit Calculation'!J$6,A$2,A$2+A3811-1)</f>
        <v>45814</v>
      </c>
      <c r="D3811" s="362">
        <f t="shared" ca="1" si="121"/>
        <v>288307198.37502933</v>
      </c>
    </row>
    <row r="3812" spans="1:4">
      <c r="A3812" s="348">
        <f t="shared" si="120"/>
        <v>3811</v>
      </c>
      <c r="B3812" s="360">
        <f>DATE('Profit Calculation'!J$6,A$2,A$2+A3812-1)</f>
        <v>45815</v>
      </c>
      <c r="D3812" s="362">
        <f t="shared" ca="1" si="121"/>
        <v>288417615.05880553</v>
      </c>
    </row>
    <row r="3813" spans="1:4">
      <c r="A3813" s="348">
        <f t="shared" si="120"/>
        <v>3812</v>
      </c>
      <c r="B3813" s="360">
        <f>DATE('Profit Calculation'!J$6,A$2,A$2+A3813-1)</f>
        <v>45816</v>
      </c>
      <c r="D3813" s="362">
        <f t="shared" ca="1" si="121"/>
        <v>288528074.03026694</v>
      </c>
    </row>
    <row r="3814" spans="1:4">
      <c r="A3814" s="348">
        <f t="shared" si="120"/>
        <v>3813</v>
      </c>
      <c r="B3814" s="360">
        <f>DATE('Profit Calculation'!J$6,A$2,A$2+A3814-1)</f>
        <v>45817</v>
      </c>
      <c r="D3814" s="362">
        <f t="shared" ca="1" si="121"/>
        <v>288638575.30560905</v>
      </c>
    </row>
    <row r="3815" spans="1:4">
      <c r="A3815" s="348">
        <f t="shared" si="120"/>
        <v>3814</v>
      </c>
      <c r="B3815" s="360">
        <f>DATE('Profit Calculation'!J$6,A$2,A$2+A3815-1)</f>
        <v>45818</v>
      </c>
      <c r="D3815" s="362">
        <f t="shared" ca="1" si="121"/>
        <v>288749118.90103352</v>
      </c>
    </row>
    <row r="3816" spans="1:4">
      <c r="A3816" s="348">
        <f t="shared" si="120"/>
        <v>3815</v>
      </c>
      <c r="B3816" s="360">
        <f>DATE('Profit Calculation'!J$6,A$2,A$2+A3816-1)</f>
        <v>45819</v>
      </c>
      <c r="D3816" s="362">
        <f t="shared" ca="1" si="121"/>
        <v>288859704.83274817</v>
      </c>
    </row>
    <row r="3817" spans="1:4">
      <c r="A3817" s="348">
        <f t="shared" si="120"/>
        <v>3816</v>
      </c>
      <c r="B3817" s="360">
        <f>DATE('Profit Calculation'!J$6,A$2,A$2+A3817-1)</f>
        <v>45820</v>
      </c>
      <c r="D3817" s="362">
        <f t="shared" ca="1" si="121"/>
        <v>288970333.11696714</v>
      </c>
    </row>
    <row r="3818" spans="1:4">
      <c r="A3818" s="348">
        <f t="shared" si="120"/>
        <v>3817</v>
      </c>
      <c r="B3818" s="360">
        <f>DATE('Profit Calculation'!J$6,A$2,A$2+A3818-1)</f>
        <v>45821</v>
      </c>
      <c r="D3818" s="362">
        <f t="shared" ca="1" si="121"/>
        <v>289081003.76991063</v>
      </c>
    </row>
    <row r="3819" spans="1:4">
      <c r="A3819" s="348">
        <f t="shared" si="120"/>
        <v>3818</v>
      </c>
      <c r="B3819" s="360">
        <f>DATE('Profit Calculation'!J$6,A$2,A$2+A3819-1)</f>
        <v>45822</v>
      </c>
      <c r="D3819" s="362">
        <f t="shared" ca="1" si="121"/>
        <v>289191716.80780518</v>
      </c>
    </row>
    <row r="3820" spans="1:4">
      <c r="A3820" s="348">
        <f t="shared" si="120"/>
        <v>3819</v>
      </c>
      <c r="B3820" s="360">
        <f>DATE('Profit Calculation'!J$6,A$2,A$2+A3820-1)</f>
        <v>45823</v>
      </c>
      <c r="D3820" s="362">
        <f t="shared" ca="1" si="121"/>
        <v>289302472.24688351</v>
      </c>
    </row>
    <row r="3821" spans="1:4">
      <c r="A3821" s="348">
        <f t="shared" si="120"/>
        <v>3820</v>
      </c>
      <c r="B3821" s="360">
        <f>DATE('Profit Calculation'!J$6,A$2,A$2+A3821-1)</f>
        <v>45824</v>
      </c>
      <c r="D3821" s="362">
        <f t="shared" ca="1" si="121"/>
        <v>289413270.10338449</v>
      </c>
    </row>
    <row r="3822" spans="1:4">
      <c r="A3822" s="348">
        <f t="shared" si="120"/>
        <v>3821</v>
      </c>
      <c r="B3822" s="360">
        <f>DATE('Profit Calculation'!J$6,A$2,A$2+A3822-1)</f>
        <v>45825</v>
      </c>
      <c r="D3822" s="362">
        <f t="shared" ca="1" si="121"/>
        <v>289524110.39355332</v>
      </c>
    </row>
    <row r="3823" spans="1:4">
      <c r="A3823" s="348">
        <f t="shared" si="120"/>
        <v>3822</v>
      </c>
      <c r="B3823" s="360">
        <f>DATE('Profit Calculation'!J$6,A$2,A$2+A3823-1)</f>
        <v>45826</v>
      </c>
      <c r="D3823" s="362">
        <f t="shared" ca="1" si="121"/>
        <v>289634993.1336413</v>
      </c>
    </row>
    <row r="3824" spans="1:4">
      <c r="A3824" s="348">
        <f t="shared" si="120"/>
        <v>3823</v>
      </c>
      <c r="B3824" s="360">
        <f>DATE('Profit Calculation'!J$6,A$2,A$2+A3824-1)</f>
        <v>45827</v>
      </c>
      <c r="D3824" s="362">
        <f t="shared" ca="1" si="121"/>
        <v>289745918.33990604</v>
      </c>
    </row>
    <row r="3825" spans="1:4">
      <c r="A3825" s="348">
        <f t="shared" si="120"/>
        <v>3824</v>
      </c>
      <c r="B3825" s="360">
        <f>DATE('Profit Calculation'!J$6,A$2,A$2+A3825-1)</f>
        <v>45828</v>
      </c>
      <c r="D3825" s="362">
        <f t="shared" ca="1" si="121"/>
        <v>289856886.02861136</v>
      </c>
    </row>
    <row r="3826" spans="1:4">
      <c r="A3826" s="348">
        <f t="shared" si="120"/>
        <v>3825</v>
      </c>
      <c r="B3826" s="360">
        <f>DATE('Profit Calculation'!J$6,A$2,A$2+A3826-1)</f>
        <v>45829</v>
      </c>
      <c r="D3826" s="362">
        <f t="shared" ca="1" si="121"/>
        <v>289967896.21602732</v>
      </c>
    </row>
    <row r="3827" spans="1:4">
      <c r="A3827" s="348">
        <f t="shared" si="120"/>
        <v>3826</v>
      </c>
      <c r="B3827" s="360">
        <f>DATE('Profit Calculation'!J$6,A$2,A$2+A3827-1)</f>
        <v>45830</v>
      </c>
      <c r="D3827" s="362">
        <f t="shared" ca="1" si="121"/>
        <v>290078948.91843015</v>
      </c>
    </row>
    <row r="3828" spans="1:4">
      <c r="A3828" s="348">
        <f t="shared" si="120"/>
        <v>3827</v>
      </c>
      <c r="B3828" s="360">
        <f>DATE('Profit Calculation'!J$6,A$2,A$2+A3828-1)</f>
        <v>45831</v>
      </c>
      <c r="D3828" s="362">
        <f t="shared" ca="1" si="121"/>
        <v>290190044.15210235</v>
      </c>
    </row>
    <row r="3829" spans="1:4">
      <c r="A3829" s="348">
        <f t="shared" si="120"/>
        <v>3828</v>
      </c>
      <c r="B3829" s="360">
        <f>DATE('Profit Calculation'!J$6,A$2,A$2+A3829-1)</f>
        <v>45832</v>
      </c>
      <c r="D3829" s="362">
        <f t="shared" ca="1" si="121"/>
        <v>290301181.93333274</v>
      </c>
    </row>
    <row r="3830" spans="1:4">
      <c r="A3830" s="348">
        <f t="shared" si="120"/>
        <v>3829</v>
      </c>
      <c r="B3830" s="360">
        <f>DATE('Profit Calculation'!J$6,A$2,A$2+A3830-1)</f>
        <v>45833</v>
      </c>
      <c r="D3830" s="362">
        <f t="shared" ca="1" si="121"/>
        <v>290412362.27841622</v>
      </c>
    </row>
    <row r="3831" spans="1:4">
      <c r="A3831" s="348">
        <f t="shared" si="120"/>
        <v>3830</v>
      </c>
      <c r="B3831" s="360">
        <f>DATE('Profit Calculation'!J$6,A$2,A$2+A3831-1)</f>
        <v>45834</v>
      </c>
      <c r="D3831" s="362">
        <f t="shared" ca="1" si="121"/>
        <v>290523585.20365405</v>
      </c>
    </row>
    <row r="3832" spans="1:4">
      <c r="A3832" s="348">
        <f t="shared" si="120"/>
        <v>3831</v>
      </c>
      <c r="B3832" s="360">
        <f>DATE('Profit Calculation'!J$6,A$2,A$2+A3832-1)</f>
        <v>45835</v>
      </c>
      <c r="D3832" s="362">
        <f t="shared" ca="1" si="121"/>
        <v>290634850.72535372</v>
      </c>
    </row>
    <row r="3833" spans="1:4">
      <c r="A3833" s="348">
        <f t="shared" si="120"/>
        <v>3832</v>
      </c>
      <c r="B3833" s="360">
        <f>DATE('Profit Calculation'!J$6,A$2,A$2+A3833-1)</f>
        <v>45836</v>
      </c>
      <c r="D3833" s="362">
        <f t="shared" ca="1" si="121"/>
        <v>290746158.85982889</v>
      </c>
    </row>
    <row r="3834" spans="1:4">
      <c r="A3834" s="348">
        <f t="shared" si="120"/>
        <v>3833</v>
      </c>
      <c r="B3834" s="360">
        <f>DATE('Profit Calculation'!J$6,A$2,A$2+A3834-1)</f>
        <v>45837</v>
      </c>
      <c r="D3834" s="362">
        <f t="shared" ca="1" si="121"/>
        <v>290857509.6233995</v>
      </c>
    </row>
    <row r="3835" spans="1:4">
      <c r="A3835" s="348">
        <f t="shared" si="120"/>
        <v>3834</v>
      </c>
      <c r="B3835" s="360">
        <f>DATE('Profit Calculation'!J$6,A$2,A$2+A3835-1)</f>
        <v>45838</v>
      </c>
      <c r="D3835" s="362">
        <f t="shared" ca="1" si="121"/>
        <v>290968903.03239179</v>
      </c>
    </row>
    <row r="3836" spans="1:4">
      <c r="A3836" s="348">
        <f t="shared" si="120"/>
        <v>3835</v>
      </c>
      <c r="B3836" s="360">
        <f>DATE('Profit Calculation'!J$6,A$2,A$2+A3836-1)</f>
        <v>45839</v>
      </c>
      <c r="D3836" s="362">
        <f t="shared" ca="1" si="121"/>
        <v>291080339.10313827</v>
      </c>
    </row>
    <row r="3837" spans="1:4">
      <c r="A3837" s="348">
        <f t="shared" si="120"/>
        <v>3836</v>
      </c>
      <c r="B3837" s="360">
        <f>DATE('Profit Calculation'!J$6,A$2,A$2+A3837-1)</f>
        <v>45840</v>
      </c>
      <c r="D3837" s="362">
        <f t="shared" ca="1" si="121"/>
        <v>291191817.85197759</v>
      </c>
    </row>
    <row r="3838" spans="1:4">
      <c r="A3838" s="348">
        <f t="shared" si="120"/>
        <v>3837</v>
      </c>
      <c r="B3838" s="360">
        <f>DATE('Profit Calculation'!J$6,A$2,A$2+A3838-1)</f>
        <v>45841</v>
      </c>
      <c r="D3838" s="362">
        <f t="shared" ca="1" si="121"/>
        <v>291303339.29525477</v>
      </c>
    </row>
    <row r="3839" spans="1:4">
      <c r="A3839" s="348">
        <f t="shared" si="120"/>
        <v>3838</v>
      </c>
      <c r="B3839" s="360">
        <f>DATE('Profit Calculation'!J$6,A$2,A$2+A3839-1)</f>
        <v>45842</v>
      </c>
      <c r="D3839" s="362">
        <f t="shared" ca="1" si="121"/>
        <v>291414903.44932097</v>
      </c>
    </row>
    <row r="3840" spans="1:4">
      <c r="A3840" s="348">
        <f t="shared" si="120"/>
        <v>3839</v>
      </c>
      <c r="B3840" s="360">
        <f>DATE('Profit Calculation'!J$6,A$2,A$2+A3840-1)</f>
        <v>45843</v>
      </c>
      <c r="D3840" s="362">
        <f t="shared" ca="1" si="121"/>
        <v>291526510.33053374</v>
      </c>
    </row>
    <row r="3841" spans="1:4">
      <c r="A3841" s="348">
        <f t="shared" si="120"/>
        <v>3840</v>
      </c>
      <c r="B3841" s="360">
        <f>DATE('Profit Calculation'!J$6,A$2,A$2+A3841-1)</f>
        <v>45844</v>
      </c>
      <c r="D3841" s="362">
        <f t="shared" ca="1" si="121"/>
        <v>291638159.95525688</v>
      </c>
    </row>
    <row r="3842" spans="1:4">
      <c r="A3842" s="348">
        <f t="shared" si="120"/>
        <v>3841</v>
      </c>
      <c r="B3842" s="360">
        <f>DATE('Profit Calculation'!J$6,A$2,A$2+A3842-1)</f>
        <v>45845</v>
      </c>
      <c r="D3842" s="362">
        <f t="shared" ca="1" si="121"/>
        <v>291749852.33986032</v>
      </c>
    </row>
    <row r="3843" spans="1:4">
      <c r="A3843" s="348">
        <f t="shared" si="120"/>
        <v>3842</v>
      </c>
      <c r="B3843" s="360">
        <f>DATE('Profit Calculation'!J$6,A$2,A$2+A3843-1)</f>
        <v>45846</v>
      </c>
      <c r="D3843" s="362">
        <f t="shared" ca="1" si="121"/>
        <v>291861587.50072044</v>
      </c>
    </row>
    <row r="3844" spans="1:4">
      <c r="A3844" s="348">
        <f t="shared" si="120"/>
        <v>3843</v>
      </c>
      <c r="B3844" s="360">
        <f>DATE('Profit Calculation'!J$6,A$2,A$2+A3844-1)</f>
        <v>45847</v>
      </c>
      <c r="D3844" s="362">
        <f t="shared" ca="1" si="121"/>
        <v>291973365.45421976</v>
      </c>
    </row>
    <row r="3845" spans="1:4">
      <c r="A3845" s="348">
        <f t="shared" ref="A3845:A3908" si="122">A3844+1</f>
        <v>3844</v>
      </c>
      <c r="B3845" s="360">
        <f>DATE('Profit Calculation'!J$6,A$2,A$2+A3845-1)</f>
        <v>45848</v>
      </c>
      <c r="D3845" s="362">
        <f t="shared" ref="D3845:D3908" ca="1" si="123">IF(OR(LOOKUP(B3845,W$1:W$35,W$1:W$35) = B3845, LOOKUP(B3845,X$1:X$35,X$1:X$35) = B3845),LOOKUP(B3845,F:F,G:G),D3844*(1+((IF($Q$18&lt;6,$R$14,IF($Q$18&lt;11,$R$15,$R$16)))))^(1/365))</f>
        <v>292085186.21674716</v>
      </c>
    </row>
    <row r="3846" spans="1:4">
      <c r="A3846" s="348">
        <f t="shared" si="122"/>
        <v>3845</v>
      </c>
      <c r="B3846" s="360">
        <f>DATE('Profit Calculation'!J$6,A$2,A$2+A3846-1)</f>
        <v>45849</v>
      </c>
      <c r="D3846" s="362">
        <f t="shared" ca="1" si="123"/>
        <v>292197049.80469775</v>
      </c>
    </row>
    <row r="3847" spans="1:4">
      <c r="A3847" s="348">
        <f t="shared" si="122"/>
        <v>3846</v>
      </c>
      <c r="B3847" s="360">
        <f>DATE('Profit Calculation'!J$6,A$2,A$2+A3847-1)</f>
        <v>45850</v>
      </c>
      <c r="D3847" s="362">
        <f t="shared" ca="1" si="123"/>
        <v>292308956.23447287</v>
      </c>
    </row>
    <row r="3848" spans="1:4">
      <c r="A3848" s="348">
        <f t="shared" si="122"/>
        <v>3847</v>
      </c>
      <c r="B3848" s="360">
        <f>DATE('Profit Calculation'!J$6,A$2,A$2+A3848-1)</f>
        <v>45851</v>
      </c>
      <c r="D3848" s="362">
        <f t="shared" ca="1" si="123"/>
        <v>292420905.52248025</v>
      </c>
    </row>
    <row r="3849" spans="1:4">
      <c r="A3849" s="348">
        <f t="shared" si="122"/>
        <v>3848</v>
      </c>
      <c r="B3849" s="360">
        <f>DATE('Profit Calculation'!J$6,A$2,A$2+A3849-1)</f>
        <v>45852</v>
      </c>
      <c r="D3849" s="362">
        <f t="shared" ca="1" si="123"/>
        <v>292532897.68513387</v>
      </c>
    </row>
    <row r="3850" spans="1:4">
      <c r="A3850" s="348">
        <f t="shared" si="122"/>
        <v>3849</v>
      </c>
      <c r="B3850" s="360">
        <f>DATE('Profit Calculation'!J$6,A$2,A$2+A3850-1)</f>
        <v>45853</v>
      </c>
      <c r="D3850" s="362">
        <f t="shared" ca="1" si="123"/>
        <v>292644932.73885393</v>
      </c>
    </row>
    <row r="3851" spans="1:4">
      <c r="A3851" s="348">
        <f t="shared" si="122"/>
        <v>3850</v>
      </c>
      <c r="B3851" s="360">
        <f>DATE('Profit Calculation'!J$6,A$2,A$2+A3851-1)</f>
        <v>45854</v>
      </c>
      <c r="D3851" s="362">
        <f t="shared" ca="1" si="123"/>
        <v>292757010.70006704</v>
      </c>
    </row>
    <row r="3852" spans="1:4">
      <c r="A3852" s="348">
        <f t="shared" si="122"/>
        <v>3851</v>
      </c>
      <c r="B3852" s="360">
        <f>DATE('Profit Calculation'!J$6,A$2,A$2+A3852-1)</f>
        <v>45855</v>
      </c>
      <c r="D3852" s="362">
        <f t="shared" ca="1" si="123"/>
        <v>292869131.58520597</v>
      </c>
    </row>
    <row r="3853" spans="1:4">
      <c r="A3853" s="348">
        <f t="shared" si="122"/>
        <v>3852</v>
      </c>
      <c r="B3853" s="360">
        <f>DATE('Profit Calculation'!J$6,A$2,A$2+A3853-1)</f>
        <v>45856</v>
      </c>
      <c r="D3853" s="362">
        <f t="shared" ca="1" si="123"/>
        <v>292981295.41070986</v>
      </c>
    </row>
    <row r="3854" spans="1:4">
      <c r="A3854" s="348">
        <f t="shared" si="122"/>
        <v>3853</v>
      </c>
      <c r="B3854" s="360">
        <f>DATE('Profit Calculation'!J$6,A$2,A$2+A3854-1)</f>
        <v>45857</v>
      </c>
      <c r="D3854" s="362">
        <f t="shared" ca="1" si="123"/>
        <v>293093502.19302416</v>
      </c>
    </row>
    <row r="3855" spans="1:4">
      <c r="A3855" s="348">
        <f t="shared" si="122"/>
        <v>3854</v>
      </c>
      <c r="B3855" s="360">
        <f>DATE('Profit Calculation'!J$6,A$2,A$2+A3855-1)</f>
        <v>45858</v>
      </c>
      <c r="D3855" s="362">
        <f t="shared" ca="1" si="123"/>
        <v>293205751.94860053</v>
      </c>
    </row>
    <row r="3856" spans="1:4">
      <c r="A3856" s="348">
        <f t="shared" si="122"/>
        <v>3855</v>
      </c>
      <c r="B3856" s="360">
        <f>DATE('Profit Calculation'!J$6,A$2,A$2+A3856-1)</f>
        <v>45859</v>
      </c>
      <c r="D3856" s="362">
        <f t="shared" ca="1" si="123"/>
        <v>293318044.69389701</v>
      </c>
    </row>
    <row r="3857" spans="1:4">
      <c r="A3857" s="348">
        <f t="shared" si="122"/>
        <v>3856</v>
      </c>
      <c r="B3857" s="360">
        <f>DATE('Profit Calculation'!J$6,A$2,A$2+A3857-1)</f>
        <v>45860</v>
      </c>
      <c r="D3857" s="362">
        <f t="shared" ca="1" si="123"/>
        <v>293430380.44537795</v>
      </c>
    </row>
    <row r="3858" spans="1:4">
      <c r="A3858" s="348">
        <f t="shared" si="122"/>
        <v>3857</v>
      </c>
      <c r="B3858" s="360">
        <f>DATE('Profit Calculation'!J$6,A$2,A$2+A3858-1)</f>
        <v>45861</v>
      </c>
      <c r="D3858" s="362">
        <f t="shared" ca="1" si="123"/>
        <v>293542759.21951395</v>
      </c>
    </row>
    <row r="3859" spans="1:4">
      <c r="A3859" s="348">
        <f t="shared" si="122"/>
        <v>3858</v>
      </c>
      <c r="B3859" s="360">
        <f>DATE('Profit Calculation'!J$6,A$2,A$2+A3859-1)</f>
        <v>45862</v>
      </c>
      <c r="D3859" s="362">
        <f t="shared" ca="1" si="123"/>
        <v>293655181.03278196</v>
      </c>
    </row>
    <row r="3860" spans="1:4">
      <c r="A3860" s="348">
        <f t="shared" si="122"/>
        <v>3859</v>
      </c>
      <c r="B3860" s="360">
        <f>DATE('Profit Calculation'!J$6,A$2,A$2+A3860-1)</f>
        <v>45863</v>
      </c>
      <c r="D3860" s="362">
        <f t="shared" ca="1" si="123"/>
        <v>293767645.90166521</v>
      </c>
    </row>
    <row r="3861" spans="1:4">
      <c r="A3861" s="348">
        <f t="shared" si="122"/>
        <v>3860</v>
      </c>
      <c r="B3861" s="360">
        <f>DATE('Profit Calculation'!J$6,A$2,A$2+A3861-1)</f>
        <v>45864</v>
      </c>
      <c r="D3861" s="362">
        <f t="shared" ca="1" si="123"/>
        <v>293880153.84265321</v>
      </c>
    </row>
    <row r="3862" spans="1:4">
      <c r="A3862" s="348">
        <f t="shared" si="122"/>
        <v>3861</v>
      </c>
      <c r="B3862" s="360">
        <f>DATE('Profit Calculation'!J$6,A$2,A$2+A3862-1)</f>
        <v>45865</v>
      </c>
      <c r="D3862" s="362">
        <f t="shared" ca="1" si="123"/>
        <v>293992704.87224191</v>
      </c>
    </row>
    <row r="3863" spans="1:4">
      <c r="A3863" s="348">
        <f t="shared" si="122"/>
        <v>3862</v>
      </c>
      <c r="B3863" s="360">
        <f>DATE('Profit Calculation'!J$6,A$2,A$2+A3863-1)</f>
        <v>45866</v>
      </c>
      <c r="D3863" s="362">
        <f t="shared" ca="1" si="123"/>
        <v>294105299.00693351</v>
      </c>
    </row>
    <row r="3864" spans="1:4">
      <c r="A3864" s="348">
        <f t="shared" si="122"/>
        <v>3863</v>
      </c>
      <c r="B3864" s="360">
        <f>DATE('Profit Calculation'!J$6,A$2,A$2+A3864-1)</f>
        <v>45867</v>
      </c>
      <c r="D3864" s="362">
        <f t="shared" ca="1" si="123"/>
        <v>294217936.26323646</v>
      </c>
    </row>
    <row r="3865" spans="1:4">
      <c r="A3865" s="348">
        <f t="shared" si="122"/>
        <v>3864</v>
      </c>
      <c r="B3865" s="360">
        <f>DATE('Profit Calculation'!J$6,A$2,A$2+A3865-1)</f>
        <v>45868</v>
      </c>
      <c r="D3865" s="362">
        <f t="shared" ca="1" si="123"/>
        <v>294330616.65766561</v>
      </c>
    </row>
    <row r="3866" spans="1:4">
      <c r="A3866" s="348">
        <f t="shared" si="122"/>
        <v>3865</v>
      </c>
      <c r="B3866" s="360">
        <f>DATE('Profit Calculation'!J$6,A$2,A$2+A3866-1)</f>
        <v>45869</v>
      </c>
      <c r="D3866" s="362">
        <f t="shared" ca="1" si="123"/>
        <v>294443340.20674211</v>
      </c>
    </row>
    <row r="3867" spans="1:4">
      <c r="A3867" s="348">
        <f t="shared" si="122"/>
        <v>3866</v>
      </c>
      <c r="B3867" s="360">
        <f>DATE('Profit Calculation'!J$6,A$2,A$2+A3867-1)</f>
        <v>45870</v>
      </c>
      <c r="D3867" s="362">
        <f t="shared" ca="1" si="123"/>
        <v>294556106.92699349</v>
      </c>
    </row>
    <row r="3868" spans="1:4">
      <c r="A3868" s="348">
        <f t="shared" si="122"/>
        <v>3867</v>
      </c>
      <c r="B3868" s="360">
        <f>DATE('Profit Calculation'!J$6,A$2,A$2+A3868-1)</f>
        <v>45871</v>
      </c>
      <c r="D3868" s="362">
        <f t="shared" ca="1" si="123"/>
        <v>294668916.83495355</v>
      </c>
    </row>
    <row r="3869" spans="1:4">
      <c r="A3869" s="348">
        <f t="shared" si="122"/>
        <v>3868</v>
      </c>
      <c r="B3869" s="360">
        <f>DATE('Profit Calculation'!J$6,A$2,A$2+A3869-1)</f>
        <v>45872</v>
      </c>
      <c r="D3869" s="362">
        <f t="shared" ca="1" si="123"/>
        <v>294781769.94716239</v>
      </c>
    </row>
    <row r="3870" spans="1:4">
      <c r="A3870" s="348">
        <f t="shared" si="122"/>
        <v>3869</v>
      </c>
      <c r="B3870" s="360">
        <f>DATE('Profit Calculation'!J$6,A$2,A$2+A3870-1)</f>
        <v>45873</v>
      </c>
      <c r="D3870" s="362">
        <f t="shared" ca="1" si="123"/>
        <v>294894666.28016657</v>
      </c>
    </row>
    <row r="3871" spans="1:4">
      <c r="A3871" s="348">
        <f t="shared" si="122"/>
        <v>3870</v>
      </c>
      <c r="B3871" s="360">
        <f>DATE('Profit Calculation'!J$6,A$2,A$2+A3871-1)</f>
        <v>45874</v>
      </c>
      <c r="D3871" s="362">
        <f t="shared" ca="1" si="123"/>
        <v>295007605.85051882</v>
      </c>
    </row>
    <row r="3872" spans="1:4">
      <c r="A3872" s="348">
        <f t="shared" si="122"/>
        <v>3871</v>
      </c>
      <c r="B3872" s="360">
        <f>DATE('Profit Calculation'!J$6,A$2,A$2+A3872-1)</f>
        <v>45875</v>
      </c>
      <c r="D3872" s="362">
        <f t="shared" ca="1" si="123"/>
        <v>295120588.6747784</v>
      </c>
    </row>
    <row r="3873" spans="1:4">
      <c r="A3873" s="348">
        <f t="shared" si="122"/>
        <v>3872</v>
      </c>
      <c r="B3873" s="360">
        <f>DATE('Profit Calculation'!J$6,A$2,A$2+A3873-1)</f>
        <v>45876</v>
      </c>
      <c r="D3873" s="362">
        <f t="shared" ca="1" si="123"/>
        <v>295233614.76951075</v>
      </c>
    </row>
    <row r="3874" spans="1:4">
      <c r="A3874" s="348">
        <f t="shared" si="122"/>
        <v>3873</v>
      </c>
      <c r="B3874" s="360">
        <f>DATE('Profit Calculation'!J$6,A$2,A$2+A3874-1)</f>
        <v>45877</v>
      </c>
      <c r="D3874" s="362">
        <f t="shared" ca="1" si="123"/>
        <v>295346684.15128767</v>
      </c>
    </row>
    <row r="3875" spans="1:4">
      <c r="A3875" s="348">
        <f t="shared" si="122"/>
        <v>3874</v>
      </c>
      <c r="B3875" s="360">
        <f>DATE('Profit Calculation'!J$6,A$2,A$2+A3875-1)</f>
        <v>45878</v>
      </c>
      <c r="D3875" s="362">
        <f t="shared" ca="1" si="123"/>
        <v>295459796.83668745</v>
      </c>
    </row>
    <row r="3876" spans="1:4">
      <c r="A3876" s="348">
        <f t="shared" si="122"/>
        <v>3875</v>
      </c>
      <c r="B3876" s="360">
        <f>DATE('Profit Calculation'!J$6,A$2,A$2+A3876-1)</f>
        <v>45879</v>
      </c>
      <c r="D3876" s="362">
        <f t="shared" ca="1" si="123"/>
        <v>295572952.84229457</v>
      </c>
    </row>
    <row r="3877" spans="1:4">
      <c r="A3877" s="348">
        <f t="shared" si="122"/>
        <v>3876</v>
      </c>
      <c r="B3877" s="360">
        <f>DATE('Profit Calculation'!J$6,A$2,A$2+A3877-1)</f>
        <v>45880</v>
      </c>
      <c r="D3877" s="362">
        <f t="shared" ca="1" si="123"/>
        <v>295686152.18469995</v>
      </c>
    </row>
    <row r="3878" spans="1:4">
      <c r="A3878" s="348">
        <f t="shared" si="122"/>
        <v>3877</v>
      </c>
      <c r="B3878" s="360">
        <f>DATE('Profit Calculation'!J$6,A$2,A$2+A3878-1)</f>
        <v>45881</v>
      </c>
      <c r="D3878" s="362">
        <f t="shared" ca="1" si="123"/>
        <v>295799394.88050079</v>
      </c>
    </row>
    <row r="3879" spans="1:4">
      <c r="A3879" s="348">
        <f t="shared" si="122"/>
        <v>3878</v>
      </c>
      <c r="B3879" s="360">
        <f>DATE('Profit Calculation'!J$6,A$2,A$2+A3879-1)</f>
        <v>45882</v>
      </c>
      <c r="D3879" s="362">
        <f t="shared" ca="1" si="123"/>
        <v>295912680.94630075</v>
      </c>
    </row>
    <row r="3880" spans="1:4">
      <c r="A3880" s="348">
        <f t="shared" si="122"/>
        <v>3879</v>
      </c>
      <c r="B3880" s="360">
        <f>DATE('Profit Calculation'!J$6,A$2,A$2+A3880-1)</f>
        <v>45883</v>
      </c>
      <c r="D3880" s="362">
        <f t="shared" ca="1" si="123"/>
        <v>296026010.39870971</v>
      </c>
    </row>
    <row r="3881" spans="1:4">
      <c r="A3881" s="348">
        <f t="shared" si="122"/>
        <v>3880</v>
      </c>
      <c r="B3881" s="360">
        <f>DATE('Profit Calculation'!J$6,A$2,A$2+A3881-1)</f>
        <v>45884</v>
      </c>
      <c r="D3881" s="362">
        <f t="shared" ca="1" si="123"/>
        <v>296139383.25434411</v>
      </c>
    </row>
    <row r="3882" spans="1:4">
      <c r="A3882" s="348">
        <f t="shared" si="122"/>
        <v>3881</v>
      </c>
      <c r="B3882" s="360">
        <f>DATE('Profit Calculation'!J$6,A$2,A$2+A3882-1)</f>
        <v>45885</v>
      </c>
      <c r="D3882" s="362">
        <f t="shared" ca="1" si="123"/>
        <v>296252799.52982652</v>
      </c>
    </row>
    <row r="3883" spans="1:4">
      <c r="A3883" s="348">
        <f t="shared" si="122"/>
        <v>3882</v>
      </c>
      <c r="B3883" s="360">
        <f>DATE('Profit Calculation'!J$6,A$2,A$2+A3883-1)</f>
        <v>45886</v>
      </c>
      <c r="D3883" s="362">
        <f t="shared" ca="1" si="123"/>
        <v>296366259.24178606</v>
      </c>
    </row>
    <row r="3884" spans="1:4">
      <c r="A3884" s="348">
        <f t="shared" si="122"/>
        <v>3883</v>
      </c>
      <c r="B3884" s="360">
        <f>DATE('Profit Calculation'!J$6,A$2,A$2+A3884-1)</f>
        <v>45887</v>
      </c>
      <c r="D3884" s="362">
        <f t="shared" ca="1" si="123"/>
        <v>296479762.40685815</v>
      </c>
    </row>
    <row r="3885" spans="1:4">
      <c r="A3885" s="348">
        <f t="shared" si="122"/>
        <v>3884</v>
      </c>
      <c r="B3885" s="360">
        <f>DATE('Profit Calculation'!J$6,A$2,A$2+A3885-1)</f>
        <v>45888</v>
      </c>
      <c r="D3885" s="362">
        <f t="shared" ca="1" si="123"/>
        <v>296593309.04168457</v>
      </c>
    </row>
    <row r="3886" spans="1:4">
      <c r="A3886" s="348">
        <f t="shared" si="122"/>
        <v>3885</v>
      </c>
      <c r="B3886" s="360">
        <f>DATE('Profit Calculation'!J$6,A$2,A$2+A3886-1)</f>
        <v>45889</v>
      </c>
      <c r="D3886" s="362">
        <f t="shared" ca="1" si="123"/>
        <v>296706899.1629135</v>
      </c>
    </row>
    <row r="3887" spans="1:4">
      <c r="A3887" s="348">
        <f t="shared" si="122"/>
        <v>3886</v>
      </c>
      <c r="B3887" s="360">
        <f>DATE('Profit Calculation'!J$6,A$2,A$2+A3887-1)</f>
        <v>45890</v>
      </c>
      <c r="D3887" s="362">
        <f t="shared" ca="1" si="123"/>
        <v>296820532.78719944</v>
      </c>
    </row>
    <row r="3888" spans="1:4">
      <c r="A3888" s="348">
        <f t="shared" si="122"/>
        <v>3887</v>
      </c>
      <c r="B3888" s="360">
        <f>DATE('Profit Calculation'!J$6,A$2,A$2+A3888-1)</f>
        <v>45891</v>
      </c>
      <c r="D3888" s="362">
        <f t="shared" ca="1" si="123"/>
        <v>296934209.93120337</v>
      </c>
    </row>
    <row r="3889" spans="1:4">
      <c r="A3889" s="348">
        <f t="shared" si="122"/>
        <v>3888</v>
      </c>
      <c r="B3889" s="360">
        <f>DATE('Profit Calculation'!J$6,A$2,A$2+A3889-1)</f>
        <v>45892</v>
      </c>
      <c r="D3889" s="362">
        <f t="shared" ca="1" si="123"/>
        <v>297047930.61159253</v>
      </c>
    </row>
    <row r="3890" spans="1:4">
      <c r="A3890" s="348">
        <f t="shared" si="122"/>
        <v>3889</v>
      </c>
      <c r="B3890" s="360">
        <f>DATE('Profit Calculation'!J$6,A$2,A$2+A3890-1)</f>
        <v>45893</v>
      </c>
      <c r="D3890" s="362">
        <f t="shared" ca="1" si="123"/>
        <v>297161694.84504068</v>
      </c>
    </row>
    <row r="3891" spans="1:4">
      <c r="A3891" s="348">
        <f t="shared" si="122"/>
        <v>3890</v>
      </c>
      <c r="B3891" s="360">
        <f>DATE('Profit Calculation'!J$6,A$2,A$2+A3891-1)</f>
        <v>45894</v>
      </c>
      <c r="D3891" s="362">
        <f t="shared" ca="1" si="123"/>
        <v>297275502.64822781</v>
      </c>
    </row>
    <row r="3892" spans="1:4">
      <c r="A3892" s="348">
        <f t="shared" si="122"/>
        <v>3891</v>
      </c>
      <c r="B3892" s="360">
        <f>DATE('Profit Calculation'!J$6,A$2,A$2+A3892-1)</f>
        <v>45895</v>
      </c>
      <c r="D3892" s="362">
        <f t="shared" ca="1" si="123"/>
        <v>297389354.03784043</v>
      </c>
    </row>
    <row r="3893" spans="1:4">
      <c r="A3893" s="348">
        <f t="shared" si="122"/>
        <v>3892</v>
      </c>
      <c r="B3893" s="360">
        <f>DATE('Profit Calculation'!J$6,A$2,A$2+A3893-1)</f>
        <v>45896</v>
      </c>
      <c r="D3893" s="362">
        <f t="shared" ca="1" si="123"/>
        <v>297503249.0305714</v>
      </c>
    </row>
    <row r="3894" spans="1:4">
      <c r="A3894" s="348">
        <f t="shared" si="122"/>
        <v>3893</v>
      </c>
      <c r="B3894" s="360">
        <f>DATE('Profit Calculation'!J$6,A$2,A$2+A3894-1)</f>
        <v>45897</v>
      </c>
      <c r="D3894" s="362">
        <f t="shared" ca="1" si="123"/>
        <v>297617187.64311993</v>
      </c>
    </row>
    <row r="3895" spans="1:4">
      <c r="A3895" s="348">
        <f t="shared" si="122"/>
        <v>3894</v>
      </c>
      <c r="B3895" s="360">
        <f>DATE('Profit Calculation'!J$6,A$2,A$2+A3895-1)</f>
        <v>45898</v>
      </c>
      <c r="D3895" s="362">
        <f t="shared" ca="1" si="123"/>
        <v>297731169.89219165</v>
      </c>
    </row>
    <row r="3896" spans="1:4">
      <c r="A3896" s="348">
        <f t="shared" si="122"/>
        <v>3895</v>
      </c>
      <c r="B3896" s="360">
        <f>DATE('Profit Calculation'!J$6,A$2,A$2+A3896-1)</f>
        <v>45899</v>
      </c>
      <c r="D3896" s="362">
        <f t="shared" ca="1" si="123"/>
        <v>297845195.79449862</v>
      </c>
    </row>
    <row r="3897" spans="1:4">
      <c r="A3897" s="348">
        <f t="shared" si="122"/>
        <v>3896</v>
      </c>
      <c r="B3897" s="360">
        <f>DATE('Profit Calculation'!J$6,A$2,A$2+A3897-1)</f>
        <v>45900</v>
      </c>
      <c r="D3897" s="362">
        <f t="shared" ca="1" si="123"/>
        <v>297959265.36675924</v>
      </c>
    </row>
    <row r="3898" spans="1:4">
      <c r="A3898" s="348">
        <f t="shared" si="122"/>
        <v>3897</v>
      </c>
      <c r="B3898" s="360">
        <f>DATE('Profit Calculation'!J$6,A$2,A$2+A3898-1)</f>
        <v>45901</v>
      </c>
      <c r="D3898" s="362">
        <f t="shared" ca="1" si="123"/>
        <v>298073378.62569839</v>
      </c>
    </row>
    <row r="3899" spans="1:4">
      <c r="A3899" s="348">
        <f t="shared" si="122"/>
        <v>3898</v>
      </c>
      <c r="B3899" s="360">
        <f>DATE('Profit Calculation'!J$6,A$2,A$2+A3899-1)</f>
        <v>45902</v>
      </c>
      <c r="D3899" s="362">
        <f t="shared" ca="1" si="123"/>
        <v>298187535.58804727</v>
      </c>
    </row>
    <row r="3900" spans="1:4">
      <c r="A3900" s="348">
        <f t="shared" si="122"/>
        <v>3899</v>
      </c>
      <c r="B3900" s="360">
        <f>DATE('Profit Calculation'!J$6,A$2,A$2+A3900-1)</f>
        <v>45903</v>
      </c>
      <c r="D3900" s="362">
        <f t="shared" ca="1" si="123"/>
        <v>298301736.27054358</v>
      </c>
    </row>
    <row r="3901" spans="1:4">
      <c r="A3901" s="348">
        <f t="shared" si="122"/>
        <v>3900</v>
      </c>
      <c r="B3901" s="360">
        <f>DATE('Profit Calculation'!J$6,A$2,A$2+A3901-1)</f>
        <v>45904</v>
      </c>
      <c r="D3901" s="362">
        <f t="shared" ca="1" si="123"/>
        <v>298415980.68993139</v>
      </c>
    </row>
    <row r="3902" spans="1:4">
      <c r="A3902" s="348">
        <f t="shared" si="122"/>
        <v>3901</v>
      </c>
      <c r="B3902" s="360">
        <f>DATE('Profit Calculation'!J$6,A$2,A$2+A3902-1)</f>
        <v>45905</v>
      </c>
      <c r="D3902" s="362">
        <f t="shared" ca="1" si="123"/>
        <v>298530268.86296111</v>
      </c>
    </row>
    <row r="3903" spans="1:4">
      <c r="A3903" s="348">
        <f t="shared" si="122"/>
        <v>3902</v>
      </c>
      <c r="B3903" s="360">
        <f>DATE('Profit Calculation'!J$6,A$2,A$2+A3903-1)</f>
        <v>45906</v>
      </c>
      <c r="D3903" s="362">
        <f t="shared" ca="1" si="123"/>
        <v>298644600.80638969</v>
      </c>
    </row>
    <row r="3904" spans="1:4">
      <c r="A3904" s="348">
        <f t="shared" si="122"/>
        <v>3903</v>
      </c>
      <c r="B3904" s="360">
        <f>DATE('Profit Calculation'!J$6,A$2,A$2+A3904-1)</f>
        <v>45907</v>
      </c>
      <c r="D3904" s="362">
        <f t="shared" ca="1" si="123"/>
        <v>298758976.53698039</v>
      </c>
    </row>
    <row r="3905" spans="1:4">
      <c r="A3905" s="348">
        <f t="shared" si="122"/>
        <v>3904</v>
      </c>
      <c r="B3905" s="360">
        <f>DATE('Profit Calculation'!J$6,A$2,A$2+A3905-1)</f>
        <v>45908</v>
      </c>
      <c r="D3905" s="362">
        <f t="shared" ca="1" si="123"/>
        <v>298873396.07150298</v>
      </c>
    </row>
    <row r="3906" spans="1:4">
      <c r="A3906" s="348">
        <f t="shared" si="122"/>
        <v>3905</v>
      </c>
      <c r="B3906" s="360">
        <f>DATE('Profit Calculation'!J$6,A$2,A$2+A3906-1)</f>
        <v>45909</v>
      </c>
      <c r="D3906" s="362">
        <f t="shared" ca="1" si="123"/>
        <v>298987859.42673361</v>
      </c>
    </row>
    <row r="3907" spans="1:4">
      <c r="A3907" s="348">
        <f t="shared" si="122"/>
        <v>3906</v>
      </c>
      <c r="B3907" s="360">
        <f>DATE('Profit Calculation'!J$6,A$2,A$2+A3907-1)</f>
        <v>45910</v>
      </c>
      <c r="D3907" s="362">
        <f t="shared" ca="1" si="123"/>
        <v>299102366.6194548</v>
      </c>
    </row>
    <row r="3908" spans="1:4">
      <c r="A3908" s="348">
        <f t="shared" si="122"/>
        <v>3907</v>
      </c>
      <c r="B3908" s="360">
        <f>DATE('Profit Calculation'!J$6,A$2,A$2+A3908-1)</f>
        <v>45911</v>
      </c>
      <c r="D3908" s="362">
        <f t="shared" ca="1" si="123"/>
        <v>299216917.66645563</v>
      </c>
    </row>
    <row r="3909" spans="1:4">
      <c r="A3909" s="348">
        <f t="shared" ref="A3909:A3972" si="124">A3908+1</f>
        <v>3908</v>
      </c>
      <c r="B3909" s="360">
        <f>DATE('Profit Calculation'!J$6,A$2,A$2+A3909-1)</f>
        <v>45912</v>
      </c>
      <c r="D3909" s="362">
        <f t="shared" ref="D3909:D3972" ca="1" si="125">IF(OR(LOOKUP(B3909,W$1:W$35,W$1:W$35) = B3909, LOOKUP(B3909,X$1:X$35,X$1:X$35) = B3909),LOOKUP(B3909,F:F,G:G),D3908*(1+((IF($Q$18&lt;6,$R$14,IF($Q$18&lt;11,$R$15,$R$16)))))^(1/365))</f>
        <v>299331512.58453149</v>
      </c>
    </row>
    <row r="3910" spans="1:4">
      <c r="A3910" s="348">
        <f t="shared" si="124"/>
        <v>3909</v>
      </c>
      <c r="B3910" s="360">
        <f>DATE('Profit Calculation'!J$6,A$2,A$2+A3910-1)</f>
        <v>45913</v>
      </c>
      <c r="D3910" s="362">
        <f t="shared" ca="1" si="125"/>
        <v>299446151.39048421</v>
      </c>
    </row>
    <row r="3911" spans="1:4">
      <c r="A3911" s="348">
        <f t="shared" si="124"/>
        <v>3910</v>
      </c>
      <c r="B3911" s="360">
        <f>DATE('Profit Calculation'!J$6,A$2,A$2+A3911-1)</f>
        <v>45914</v>
      </c>
      <c r="D3911" s="362">
        <f t="shared" ca="1" si="125"/>
        <v>299560834.10112214</v>
      </c>
    </row>
    <row r="3912" spans="1:4">
      <c r="A3912" s="348">
        <f t="shared" si="124"/>
        <v>3911</v>
      </c>
      <c r="B3912" s="360">
        <f>DATE('Profit Calculation'!J$6,A$2,A$2+A3912-1)</f>
        <v>45915</v>
      </c>
      <c r="D3912" s="362">
        <f t="shared" ca="1" si="125"/>
        <v>299675560.73326004</v>
      </c>
    </row>
    <row r="3913" spans="1:4">
      <c r="A3913" s="348">
        <f t="shared" si="124"/>
        <v>3912</v>
      </c>
      <c r="B3913" s="360">
        <f>DATE('Profit Calculation'!J$6,A$2,A$2+A3913-1)</f>
        <v>45916</v>
      </c>
      <c r="D3913" s="362">
        <f t="shared" ca="1" si="125"/>
        <v>299790331.30371904</v>
      </c>
    </row>
    <row r="3914" spans="1:4">
      <c r="A3914" s="348">
        <f t="shared" si="124"/>
        <v>3913</v>
      </c>
      <c r="B3914" s="360">
        <f>DATE('Profit Calculation'!J$6,A$2,A$2+A3914-1)</f>
        <v>45917</v>
      </c>
      <c r="D3914" s="362">
        <f t="shared" ca="1" si="125"/>
        <v>299905145.82932681</v>
      </c>
    </row>
    <row r="3915" spans="1:4">
      <c r="A3915" s="348">
        <f t="shared" si="124"/>
        <v>3914</v>
      </c>
      <c r="B3915" s="360">
        <f>DATE('Profit Calculation'!J$6,A$2,A$2+A3915-1)</f>
        <v>45918</v>
      </c>
      <c r="D3915" s="362">
        <f t="shared" ca="1" si="125"/>
        <v>300020004.32691735</v>
      </c>
    </row>
    <row r="3916" spans="1:4">
      <c r="A3916" s="348">
        <f t="shared" si="124"/>
        <v>3915</v>
      </c>
      <c r="B3916" s="360">
        <f>DATE('Profit Calculation'!J$6,A$2,A$2+A3916-1)</f>
        <v>45919</v>
      </c>
      <c r="D3916" s="362">
        <f t="shared" ca="1" si="125"/>
        <v>300134906.81333119</v>
      </c>
    </row>
    <row r="3917" spans="1:4">
      <c r="A3917" s="348">
        <f t="shared" si="124"/>
        <v>3916</v>
      </c>
      <c r="B3917" s="360">
        <f>DATE('Profit Calculation'!J$6,A$2,A$2+A3917-1)</f>
        <v>45920</v>
      </c>
      <c r="D3917" s="362">
        <f t="shared" ca="1" si="125"/>
        <v>300249853.30541527</v>
      </c>
    </row>
    <row r="3918" spans="1:4">
      <c r="A3918" s="348">
        <f t="shared" si="124"/>
        <v>3917</v>
      </c>
      <c r="B3918" s="360">
        <f>DATE('Profit Calculation'!J$6,A$2,A$2+A3918-1)</f>
        <v>45921</v>
      </c>
      <c r="D3918" s="362">
        <f t="shared" ca="1" si="125"/>
        <v>300364843.82002306</v>
      </c>
    </row>
    <row r="3919" spans="1:4">
      <c r="A3919" s="348">
        <f t="shared" si="124"/>
        <v>3918</v>
      </c>
      <c r="B3919" s="360">
        <f>DATE('Profit Calculation'!J$6,A$2,A$2+A3919-1)</f>
        <v>45922</v>
      </c>
      <c r="D3919" s="362">
        <f t="shared" ca="1" si="125"/>
        <v>300479878.37401438</v>
      </c>
    </row>
    <row r="3920" spans="1:4">
      <c r="A3920" s="348">
        <f t="shared" si="124"/>
        <v>3919</v>
      </c>
      <c r="B3920" s="360">
        <f>DATE('Profit Calculation'!J$6,A$2,A$2+A3920-1)</f>
        <v>45923</v>
      </c>
      <c r="D3920" s="362">
        <f t="shared" ca="1" si="125"/>
        <v>300594956.98425561</v>
      </c>
    </row>
    <row r="3921" spans="1:4">
      <c r="A3921" s="348">
        <f t="shared" si="124"/>
        <v>3920</v>
      </c>
      <c r="B3921" s="360">
        <f>DATE('Profit Calculation'!J$6,A$2,A$2+A3921-1)</f>
        <v>45924</v>
      </c>
      <c r="D3921" s="362">
        <f t="shared" ca="1" si="125"/>
        <v>300710079.66761947</v>
      </c>
    </row>
    <row r="3922" spans="1:4">
      <c r="A3922" s="348">
        <f t="shared" si="124"/>
        <v>3921</v>
      </c>
      <c r="B3922" s="360">
        <f>DATE('Profit Calculation'!J$6,A$2,A$2+A3922-1)</f>
        <v>45925</v>
      </c>
      <c r="D3922" s="362">
        <f t="shared" ca="1" si="125"/>
        <v>300825246.4409852</v>
      </c>
    </row>
    <row r="3923" spans="1:4">
      <c r="A3923" s="348">
        <f t="shared" si="124"/>
        <v>3922</v>
      </c>
      <c r="B3923" s="360">
        <f>DATE('Profit Calculation'!J$6,A$2,A$2+A3923-1)</f>
        <v>45926</v>
      </c>
      <c r="D3923" s="362">
        <f t="shared" ca="1" si="125"/>
        <v>300940457.32123858</v>
      </c>
    </row>
    <row r="3924" spans="1:4">
      <c r="A3924" s="348">
        <f t="shared" si="124"/>
        <v>3923</v>
      </c>
      <c r="B3924" s="360">
        <f>DATE('Profit Calculation'!J$6,A$2,A$2+A3924-1)</f>
        <v>45927</v>
      </c>
      <c r="D3924" s="362">
        <f t="shared" ca="1" si="125"/>
        <v>301055712.32527173</v>
      </c>
    </row>
    <row r="3925" spans="1:4">
      <c r="A3925" s="348">
        <f t="shared" si="124"/>
        <v>3924</v>
      </c>
      <c r="B3925" s="360">
        <f>DATE('Profit Calculation'!J$6,A$2,A$2+A3925-1)</f>
        <v>45928</v>
      </c>
      <c r="D3925" s="362">
        <f t="shared" ca="1" si="125"/>
        <v>301171011.46998334</v>
      </c>
    </row>
    <row r="3926" spans="1:4">
      <c r="A3926" s="348">
        <f t="shared" si="124"/>
        <v>3925</v>
      </c>
      <c r="B3926" s="360">
        <f>DATE('Profit Calculation'!J$6,A$2,A$2+A3926-1)</f>
        <v>45929</v>
      </c>
      <c r="D3926" s="362">
        <f t="shared" ca="1" si="125"/>
        <v>301286354.77227849</v>
      </c>
    </row>
    <row r="3927" spans="1:4">
      <c r="A3927" s="348">
        <f t="shared" si="124"/>
        <v>3926</v>
      </c>
      <c r="B3927" s="360">
        <f>DATE('Profit Calculation'!J$6,A$2,A$2+A3927-1)</f>
        <v>45930</v>
      </c>
      <c r="D3927" s="362">
        <f t="shared" ca="1" si="125"/>
        <v>301401742.2490688</v>
      </c>
    </row>
    <row r="3928" spans="1:4">
      <c r="A3928" s="348">
        <f t="shared" si="124"/>
        <v>3927</v>
      </c>
      <c r="B3928" s="360">
        <f>DATE('Profit Calculation'!J$6,A$2,A$2+A3928-1)</f>
        <v>45931</v>
      </c>
      <c r="D3928" s="362">
        <f t="shared" ca="1" si="125"/>
        <v>301517173.91727233</v>
      </c>
    </row>
    <row r="3929" spans="1:4">
      <c r="A3929" s="348">
        <f t="shared" si="124"/>
        <v>3928</v>
      </c>
      <c r="B3929" s="360">
        <f>DATE('Profit Calculation'!J$6,A$2,A$2+A3929-1)</f>
        <v>45932</v>
      </c>
      <c r="D3929" s="362">
        <f t="shared" ca="1" si="125"/>
        <v>301632649.79381359</v>
      </c>
    </row>
    <row r="3930" spans="1:4">
      <c r="A3930" s="348">
        <f t="shared" si="124"/>
        <v>3929</v>
      </c>
      <c r="B3930" s="360">
        <f>DATE('Profit Calculation'!J$6,A$2,A$2+A3930-1)</f>
        <v>45933</v>
      </c>
      <c r="D3930" s="362">
        <f t="shared" ca="1" si="125"/>
        <v>301748169.89562368</v>
      </c>
    </row>
    <row r="3931" spans="1:4">
      <c r="A3931" s="348">
        <f t="shared" si="124"/>
        <v>3930</v>
      </c>
      <c r="B3931" s="360">
        <f>DATE('Profit Calculation'!J$6,A$2,A$2+A3931-1)</f>
        <v>45934</v>
      </c>
      <c r="D3931" s="362">
        <f t="shared" ca="1" si="125"/>
        <v>301863734.23964006</v>
      </c>
    </row>
    <row r="3932" spans="1:4">
      <c r="A3932" s="348">
        <f t="shared" si="124"/>
        <v>3931</v>
      </c>
      <c r="B3932" s="360">
        <f>DATE('Profit Calculation'!J$6,A$2,A$2+A3932-1)</f>
        <v>45935</v>
      </c>
      <c r="D3932" s="362">
        <f t="shared" ca="1" si="125"/>
        <v>301979342.84280676</v>
      </c>
    </row>
    <row r="3933" spans="1:4">
      <c r="A3933" s="348">
        <f t="shared" si="124"/>
        <v>3932</v>
      </c>
      <c r="B3933" s="360">
        <f>DATE('Profit Calculation'!J$6,A$2,A$2+A3933-1)</f>
        <v>45936</v>
      </c>
      <c r="D3933" s="362">
        <f t="shared" ca="1" si="125"/>
        <v>302094995.72207427</v>
      </c>
    </row>
    <row r="3934" spans="1:4">
      <c r="A3934" s="348">
        <f t="shared" si="124"/>
        <v>3933</v>
      </c>
      <c r="B3934" s="360">
        <f>DATE('Profit Calculation'!J$6,A$2,A$2+A3934-1)</f>
        <v>45937</v>
      </c>
      <c r="D3934" s="362">
        <f t="shared" ca="1" si="125"/>
        <v>302210692.89439958</v>
      </c>
    </row>
    <row r="3935" spans="1:4">
      <c r="A3935" s="348">
        <f t="shared" si="124"/>
        <v>3934</v>
      </c>
      <c r="B3935" s="360">
        <f>DATE('Profit Calculation'!J$6,A$2,A$2+A3935-1)</f>
        <v>45938</v>
      </c>
      <c r="D3935" s="362">
        <f t="shared" ca="1" si="125"/>
        <v>302326434.37674612</v>
      </c>
    </row>
    <row r="3936" spans="1:4">
      <c r="A3936" s="348">
        <f t="shared" si="124"/>
        <v>3935</v>
      </c>
      <c r="B3936" s="360">
        <f>DATE('Profit Calculation'!J$6,A$2,A$2+A3936-1)</f>
        <v>45939</v>
      </c>
      <c r="D3936" s="362">
        <f t="shared" ca="1" si="125"/>
        <v>302442220.18608391</v>
      </c>
    </row>
    <row r="3937" spans="1:4">
      <c r="A3937" s="348">
        <f t="shared" si="124"/>
        <v>3936</v>
      </c>
      <c r="B3937" s="360">
        <f>DATE('Profit Calculation'!J$6,A$2,A$2+A3937-1)</f>
        <v>45940</v>
      </c>
      <c r="D3937" s="362">
        <f t="shared" ca="1" si="125"/>
        <v>302558050.33938938</v>
      </c>
    </row>
    <row r="3938" spans="1:4">
      <c r="A3938" s="348">
        <f t="shared" si="124"/>
        <v>3937</v>
      </c>
      <c r="B3938" s="360">
        <f>DATE('Profit Calculation'!J$6,A$2,A$2+A3938-1)</f>
        <v>45941</v>
      </c>
      <c r="D3938" s="362">
        <f t="shared" ca="1" si="125"/>
        <v>302673924.85364556</v>
      </c>
    </row>
    <row r="3939" spans="1:4">
      <c r="A3939" s="348">
        <f t="shared" si="124"/>
        <v>3938</v>
      </c>
      <c r="B3939" s="360">
        <f>DATE('Profit Calculation'!J$6,A$2,A$2+A3939-1)</f>
        <v>45942</v>
      </c>
      <c r="D3939" s="362">
        <f t="shared" ca="1" si="125"/>
        <v>302789843.74584192</v>
      </c>
    </row>
    <row r="3940" spans="1:4">
      <c r="A3940" s="348">
        <f t="shared" si="124"/>
        <v>3939</v>
      </c>
      <c r="B3940" s="360">
        <f>DATE('Profit Calculation'!J$6,A$2,A$2+A3940-1)</f>
        <v>45943</v>
      </c>
      <c r="D3940" s="362">
        <f t="shared" ca="1" si="125"/>
        <v>302905807.03297442</v>
      </c>
    </row>
    <row r="3941" spans="1:4">
      <c r="A3941" s="348">
        <f t="shared" si="124"/>
        <v>3940</v>
      </c>
      <c r="B3941" s="360">
        <f>DATE('Profit Calculation'!J$6,A$2,A$2+A3941-1)</f>
        <v>45944</v>
      </c>
      <c r="D3941" s="362">
        <f t="shared" ca="1" si="125"/>
        <v>303021814.73204559</v>
      </c>
    </row>
    <row r="3942" spans="1:4">
      <c r="A3942" s="348">
        <f t="shared" si="124"/>
        <v>3941</v>
      </c>
      <c r="B3942" s="360">
        <f>DATE('Profit Calculation'!J$6,A$2,A$2+A3942-1)</f>
        <v>45945</v>
      </c>
      <c r="D3942" s="362">
        <f t="shared" ca="1" si="125"/>
        <v>303137866.86006439</v>
      </c>
    </row>
    <row r="3943" spans="1:4">
      <c r="A3943" s="348">
        <f t="shared" si="124"/>
        <v>3942</v>
      </c>
      <c r="B3943" s="360">
        <f>DATE('Profit Calculation'!J$6,A$2,A$2+A3943-1)</f>
        <v>45946</v>
      </c>
      <c r="D3943" s="362">
        <f t="shared" ca="1" si="125"/>
        <v>303253963.43404633</v>
      </c>
    </row>
    <row r="3944" spans="1:4">
      <c r="A3944" s="348">
        <f t="shared" si="124"/>
        <v>3943</v>
      </c>
      <c r="B3944" s="360">
        <f>DATE('Profit Calculation'!J$6,A$2,A$2+A3944-1)</f>
        <v>45947</v>
      </c>
      <c r="D3944" s="362">
        <f t="shared" ca="1" si="125"/>
        <v>303370104.47101349</v>
      </c>
    </row>
    <row r="3945" spans="1:4">
      <c r="A3945" s="348">
        <f t="shared" si="124"/>
        <v>3944</v>
      </c>
      <c r="B3945" s="360">
        <f>DATE('Profit Calculation'!J$6,A$2,A$2+A3945-1)</f>
        <v>45948</v>
      </c>
      <c r="D3945" s="362">
        <f t="shared" ca="1" si="125"/>
        <v>303486289.98799443</v>
      </c>
    </row>
    <row r="3946" spans="1:4">
      <c r="A3946" s="348">
        <f t="shared" si="124"/>
        <v>3945</v>
      </c>
      <c r="B3946" s="360">
        <f>DATE('Profit Calculation'!J$6,A$2,A$2+A3946-1)</f>
        <v>45949</v>
      </c>
      <c r="D3946" s="362">
        <f t="shared" ca="1" si="125"/>
        <v>303602520.00202423</v>
      </c>
    </row>
    <row r="3947" spans="1:4">
      <c r="A3947" s="348">
        <f t="shared" si="124"/>
        <v>3946</v>
      </c>
      <c r="B3947" s="360">
        <f>DATE('Profit Calculation'!J$6,A$2,A$2+A3947-1)</f>
        <v>45950</v>
      </c>
      <c r="D3947" s="362">
        <f t="shared" ca="1" si="125"/>
        <v>303718794.53014445</v>
      </c>
    </row>
    <row r="3948" spans="1:4">
      <c r="A3948" s="348">
        <f t="shared" si="124"/>
        <v>3947</v>
      </c>
      <c r="B3948" s="360">
        <f>DATE('Profit Calculation'!J$6,A$2,A$2+A3948-1)</f>
        <v>45951</v>
      </c>
      <c r="D3948" s="362">
        <f t="shared" ca="1" si="125"/>
        <v>303835113.58940327</v>
      </c>
    </row>
    <row r="3949" spans="1:4">
      <c r="A3949" s="348">
        <f t="shared" si="124"/>
        <v>3948</v>
      </c>
      <c r="B3949" s="360">
        <f>DATE('Profit Calculation'!J$6,A$2,A$2+A3949-1)</f>
        <v>45952</v>
      </c>
      <c r="D3949" s="362">
        <f t="shared" ca="1" si="125"/>
        <v>303951477.19685531</v>
      </c>
    </row>
    <row r="3950" spans="1:4">
      <c r="A3950" s="348">
        <f t="shared" si="124"/>
        <v>3949</v>
      </c>
      <c r="B3950" s="360">
        <f>DATE('Profit Calculation'!J$6,A$2,A$2+A3950-1)</f>
        <v>45953</v>
      </c>
      <c r="D3950" s="362">
        <f t="shared" ca="1" si="125"/>
        <v>304067885.36956173</v>
      </c>
    </row>
    <row r="3951" spans="1:4">
      <c r="A3951" s="348">
        <f t="shared" si="124"/>
        <v>3950</v>
      </c>
      <c r="B3951" s="360">
        <f>DATE('Profit Calculation'!J$6,A$2,A$2+A3951-1)</f>
        <v>45954</v>
      </c>
      <c r="D3951" s="362">
        <f t="shared" ca="1" si="125"/>
        <v>304184338.12459034</v>
      </c>
    </row>
    <row r="3952" spans="1:4">
      <c r="A3952" s="348">
        <f t="shared" si="124"/>
        <v>3951</v>
      </c>
      <c r="B3952" s="360">
        <f>DATE('Profit Calculation'!J$6,A$2,A$2+A3952-1)</f>
        <v>45955</v>
      </c>
      <c r="D3952" s="362">
        <f t="shared" ca="1" si="125"/>
        <v>304300835.47901535</v>
      </c>
    </row>
    <row r="3953" spans="1:4">
      <c r="A3953" s="348">
        <f t="shared" si="124"/>
        <v>3952</v>
      </c>
      <c r="B3953" s="360">
        <f>DATE('Profit Calculation'!J$6,A$2,A$2+A3953-1)</f>
        <v>45956</v>
      </c>
      <c r="D3953" s="362">
        <f t="shared" ca="1" si="125"/>
        <v>304417377.44991755</v>
      </c>
    </row>
    <row r="3954" spans="1:4">
      <c r="A3954" s="348">
        <f t="shared" si="124"/>
        <v>3953</v>
      </c>
      <c r="B3954" s="360">
        <f>DATE('Profit Calculation'!J$6,A$2,A$2+A3954-1)</f>
        <v>45957</v>
      </c>
      <c r="D3954" s="362">
        <f t="shared" ca="1" si="125"/>
        <v>304533964.05438429</v>
      </c>
    </row>
    <row r="3955" spans="1:4">
      <c r="A3955" s="348">
        <f t="shared" si="124"/>
        <v>3954</v>
      </c>
      <c r="B3955" s="360">
        <f>DATE('Profit Calculation'!J$6,A$2,A$2+A3955-1)</f>
        <v>45958</v>
      </c>
      <c r="D3955" s="362">
        <f t="shared" ca="1" si="125"/>
        <v>304650595.30950946</v>
      </c>
    </row>
    <row r="3956" spans="1:4">
      <c r="A3956" s="348">
        <f t="shared" si="124"/>
        <v>3955</v>
      </c>
      <c r="B3956" s="360">
        <f>DATE('Profit Calculation'!J$6,A$2,A$2+A3956-1)</f>
        <v>45959</v>
      </c>
      <c r="D3956" s="362">
        <f t="shared" ca="1" si="125"/>
        <v>304767271.2323935</v>
      </c>
    </row>
    <row r="3957" spans="1:4">
      <c r="A3957" s="348">
        <f t="shared" si="124"/>
        <v>3956</v>
      </c>
      <c r="B3957" s="360">
        <f>DATE('Profit Calculation'!J$6,A$2,A$2+A3957-1)</f>
        <v>45960</v>
      </c>
      <c r="D3957" s="362">
        <f t="shared" ca="1" si="125"/>
        <v>304883991.84014338</v>
      </c>
    </row>
    <row r="3958" spans="1:4">
      <c r="A3958" s="348">
        <f t="shared" si="124"/>
        <v>3957</v>
      </c>
      <c r="B3958" s="360">
        <f>DATE('Profit Calculation'!J$6,A$2,A$2+A3958-1)</f>
        <v>45961</v>
      </c>
      <c r="D3958" s="362">
        <f t="shared" ca="1" si="125"/>
        <v>305000757.14987266</v>
      </c>
    </row>
    <row r="3959" spans="1:4">
      <c r="A3959" s="348">
        <f t="shared" si="124"/>
        <v>3958</v>
      </c>
      <c r="B3959" s="360">
        <f>DATE('Profit Calculation'!J$6,A$2,A$2+A3959-1)</f>
        <v>45962</v>
      </c>
      <c r="D3959" s="362">
        <f t="shared" ca="1" si="125"/>
        <v>305117567.1787014</v>
      </c>
    </row>
    <row r="3960" spans="1:4">
      <c r="A3960" s="348">
        <f t="shared" si="124"/>
        <v>3959</v>
      </c>
      <c r="B3960" s="360">
        <f>DATE('Profit Calculation'!J$6,A$2,A$2+A3960-1)</f>
        <v>45963</v>
      </c>
      <c r="D3960" s="362">
        <f t="shared" ca="1" si="125"/>
        <v>305234421.94375622</v>
      </c>
    </row>
    <row r="3961" spans="1:4">
      <c r="A3961" s="348">
        <f t="shared" si="124"/>
        <v>3960</v>
      </c>
      <c r="B3961" s="360">
        <f>DATE('Profit Calculation'!J$6,A$2,A$2+A3961-1)</f>
        <v>45964</v>
      </c>
      <c r="D3961" s="362">
        <f t="shared" ca="1" si="125"/>
        <v>305351321.46217036</v>
      </c>
    </row>
    <row r="3962" spans="1:4">
      <c r="A3962" s="348">
        <f t="shared" si="124"/>
        <v>3961</v>
      </c>
      <c r="B3962" s="360">
        <f>DATE('Profit Calculation'!J$6,A$2,A$2+A3962-1)</f>
        <v>45965</v>
      </c>
      <c r="D3962" s="362">
        <f t="shared" ca="1" si="125"/>
        <v>305468265.75108361</v>
      </c>
    </row>
    <row r="3963" spans="1:4">
      <c r="A3963" s="348">
        <f t="shared" si="124"/>
        <v>3962</v>
      </c>
      <c r="B3963" s="360">
        <f>DATE('Profit Calculation'!J$6,A$2,A$2+A3963-1)</f>
        <v>45966</v>
      </c>
      <c r="D3963" s="362">
        <f t="shared" ca="1" si="125"/>
        <v>305585254.82764226</v>
      </c>
    </row>
    <row r="3964" spans="1:4">
      <c r="A3964" s="348">
        <f t="shared" si="124"/>
        <v>3963</v>
      </c>
      <c r="B3964" s="360">
        <f>DATE('Profit Calculation'!J$6,A$2,A$2+A3964-1)</f>
        <v>45967</v>
      </c>
      <c r="D3964" s="362">
        <f t="shared" ca="1" si="125"/>
        <v>305702288.70899922</v>
      </c>
    </row>
    <row r="3965" spans="1:4">
      <c r="A3965" s="348">
        <f t="shared" si="124"/>
        <v>3964</v>
      </c>
      <c r="B3965" s="360">
        <f>DATE('Profit Calculation'!J$6,A$2,A$2+A3965-1)</f>
        <v>45968</v>
      </c>
      <c r="D3965" s="362">
        <f t="shared" ca="1" si="125"/>
        <v>305819367.41231394</v>
      </c>
    </row>
    <row r="3966" spans="1:4">
      <c r="A3966" s="348">
        <f t="shared" si="124"/>
        <v>3965</v>
      </c>
      <c r="B3966" s="360">
        <f>DATE('Profit Calculation'!J$6,A$2,A$2+A3966-1)</f>
        <v>45969</v>
      </c>
      <c r="D3966" s="362">
        <f t="shared" ca="1" si="125"/>
        <v>305936490.95475245</v>
      </c>
    </row>
    <row r="3967" spans="1:4">
      <c r="A3967" s="348">
        <f t="shared" si="124"/>
        <v>3966</v>
      </c>
      <c r="B3967" s="360">
        <f>DATE('Profit Calculation'!J$6,A$2,A$2+A3967-1)</f>
        <v>45970</v>
      </c>
      <c r="D3967" s="362">
        <f t="shared" ca="1" si="125"/>
        <v>306053659.35348737</v>
      </c>
    </row>
    <row r="3968" spans="1:4">
      <c r="A3968" s="348">
        <f t="shared" si="124"/>
        <v>3967</v>
      </c>
      <c r="B3968" s="360">
        <f>DATE('Profit Calculation'!J$6,A$2,A$2+A3968-1)</f>
        <v>45971</v>
      </c>
      <c r="D3968" s="362">
        <f t="shared" ca="1" si="125"/>
        <v>306170872.62569791</v>
      </c>
    </row>
    <row r="3969" spans="1:4">
      <c r="A3969" s="348">
        <f t="shared" si="124"/>
        <v>3968</v>
      </c>
      <c r="B3969" s="360">
        <f>DATE('Profit Calculation'!J$6,A$2,A$2+A3969-1)</f>
        <v>45972</v>
      </c>
      <c r="D3969" s="362">
        <f t="shared" ca="1" si="125"/>
        <v>306288130.78856981</v>
      </c>
    </row>
    <row r="3970" spans="1:4">
      <c r="A3970" s="348">
        <f t="shared" si="124"/>
        <v>3969</v>
      </c>
      <c r="B3970" s="360">
        <f>DATE('Profit Calculation'!J$6,A$2,A$2+A3970-1)</f>
        <v>45973</v>
      </c>
      <c r="D3970" s="362">
        <f t="shared" ca="1" si="125"/>
        <v>306405433.85929543</v>
      </c>
    </row>
    <row r="3971" spans="1:4">
      <c r="A3971" s="348">
        <f t="shared" si="124"/>
        <v>3970</v>
      </c>
      <c r="B3971" s="360">
        <f>DATE('Profit Calculation'!J$6,A$2,A$2+A3971-1)</f>
        <v>45974</v>
      </c>
      <c r="D3971" s="362">
        <f t="shared" ca="1" si="125"/>
        <v>306522781.85507369</v>
      </c>
    </row>
    <row r="3972" spans="1:4">
      <c r="A3972" s="348">
        <f t="shared" si="124"/>
        <v>3971</v>
      </c>
      <c r="B3972" s="360">
        <f>DATE('Profit Calculation'!J$6,A$2,A$2+A3972-1)</f>
        <v>45975</v>
      </c>
      <c r="D3972" s="362">
        <f t="shared" ca="1" si="125"/>
        <v>306640174.79311013</v>
      </c>
    </row>
    <row r="3973" spans="1:4">
      <c r="A3973" s="348">
        <f t="shared" ref="A3973:A4036" si="126">A3972+1</f>
        <v>3972</v>
      </c>
      <c r="B3973" s="360">
        <f>DATE('Profit Calculation'!J$6,A$2,A$2+A3973-1)</f>
        <v>45976</v>
      </c>
      <c r="D3973" s="362">
        <f t="shared" ref="D3973:D4036" ca="1" si="127">IF(OR(LOOKUP(B3973,W$1:W$35,W$1:W$35) = B3973, LOOKUP(B3973,X$1:X$35,X$1:X$35) = B3973),LOOKUP(B3973,F:F,G:G),D3972*(1+((IF($Q$18&lt;6,$R$14,IF($Q$18&lt;11,$R$15,$R$16)))))^(1/365))</f>
        <v>306757612.69061685</v>
      </c>
    </row>
    <row r="3974" spans="1:4">
      <c r="A3974" s="348">
        <f t="shared" si="126"/>
        <v>3973</v>
      </c>
      <c r="B3974" s="360">
        <f>DATE('Profit Calculation'!J$6,A$2,A$2+A3974-1)</f>
        <v>45977</v>
      </c>
      <c r="D3974" s="362">
        <f t="shared" ca="1" si="127"/>
        <v>306875095.56481254</v>
      </c>
    </row>
    <row r="3975" spans="1:4">
      <c r="A3975" s="348">
        <f t="shared" si="126"/>
        <v>3974</v>
      </c>
      <c r="B3975" s="360">
        <f>DATE('Profit Calculation'!J$6,A$2,A$2+A3975-1)</f>
        <v>45978</v>
      </c>
      <c r="D3975" s="362">
        <f t="shared" ca="1" si="127"/>
        <v>306992623.43292248</v>
      </c>
    </row>
    <row r="3976" spans="1:4">
      <c r="A3976" s="348">
        <f t="shared" si="126"/>
        <v>3975</v>
      </c>
      <c r="B3976" s="360">
        <f>DATE('Profit Calculation'!J$6,A$2,A$2+A3976-1)</f>
        <v>45979</v>
      </c>
      <c r="D3976" s="362">
        <f t="shared" ca="1" si="127"/>
        <v>307110196.31217861</v>
      </c>
    </row>
    <row r="3977" spans="1:4">
      <c r="A3977" s="348">
        <f t="shared" si="126"/>
        <v>3976</v>
      </c>
      <c r="B3977" s="360">
        <f>DATE('Profit Calculation'!J$6,A$2,A$2+A3977-1)</f>
        <v>45980</v>
      </c>
      <c r="D3977" s="362">
        <f t="shared" ca="1" si="127"/>
        <v>307227814.21981943</v>
      </c>
    </row>
    <row r="3978" spans="1:4">
      <c r="A3978" s="348">
        <f t="shared" si="126"/>
        <v>3977</v>
      </c>
      <c r="B3978" s="360">
        <f>DATE('Profit Calculation'!J$6,A$2,A$2+A3978-1)</f>
        <v>45981</v>
      </c>
      <c r="D3978" s="362">
        <f t="shared" ca="1" si="127"/>
        <v>307345477.17308998</v>
      </c>
    </row>
    <row r="3979" spans="1:4">
      <c r="A3979" s="348">
        <f t="shared" si="126"/>
        <v>3978</v>
      </c>
      <c r="B3979" s="360">
        <f>DATE('Profit Calculation'!J$6,A$2,A$2+A3979-1)</f>
        <v>45982</v>
      </c>
      <c r="D3979" s="362">
        <f t="shared" ca="1" si="127"/>
        <v>307463185.18924201</v>
      </c>
    </row>
    <row r="3980" spans="1:4">
      <c r="A3980" s="348">
        <f t="shared" si="126"/>
        <v>3979</v>
      </c>
      <c r="B3980" s="360">
        <f>DATE('Profit Calculation'!J$6,A$2,A$2+A3980-1)</f>
        <v>45983</v>
      </c>
      <c r="D3980" s="362">
        <f t="shared" ca="1" si="127"/>
        <v>307580938.28553379</v>
      </c>
    </row>
    <row r="3981" spans="1:4">
      <c r="A3981" s="348">
        <f t="shared" si="126"/>
        <v>3980</v>
      </c>
      <c r="B3981" s="360">
        <f>DATE('Profit Calculation'!J$6,A$2,A$2+A3981-1)</f>
        <v>45984</v>
      </c>
      <c r="D3981" s="362">
        <f t="shared" ca="1" si="127"/>
        <v>307698736.47923023</v>
      </c>
    </row>
    <row r="3982" spans="1:4">
      <c r="A3982" s="348">
        <f t="shared" si="126"/>
        <v>3981</v>
      </c>
      <c r="B3982" s="360">
        <f>DATE('Profit Calculation'!J$6,A$2,A$2+A3982-1)</f>
        <v>45985</v>
      </c>
      <c r="D3982" s="362">
        <f t="shared" ca="1" si="127"/>
        <v>307816579.7876029</v>
      </c>
    </row>
    <row r="3983" spans="1:4">
      <c r="A3983" s="348">
        <f t="shared" si="126"/>
        <v>3982</v>
      </c>
      <c r="B3983" s="360">
        <f>DATE('Profit Calculation'!J$6,A$2,A$2+A3983-1)</f>
        <v>45986</v>
      </c>
      <c r="D3983" s="362">
        <f t="shared" ca="1" si="127"/>
        <v>307934468.22792989</v>
      </c>
    </row>
    <row r="3984" spans="1:4">
      <c r="A3984" s="348">
        <f t="shared" si="126"/>
        <v>3983</v>
      </c>
      <c r="B3984" s="360">
        <f>DATE('Profit Calculation'!J$6,A$2,A$2+A3984-1)</f>
        <v>45987</v>
      </c>
      <c r="D3984" s="362">
        <f t="shared" ca="1" si="127"/>
        <v>308052401.817496</v>
      </c>
    </row>
    <row r="3985" spans="1:4">
      <c r="A3985" s="348">
        <f t="shared" si="126"/>
        <v>3984</v>
      </c>
      <c r="B3985" s="360">
        <f>DATE('Profit Calculation'!J$6,A$2,A$2+A3985-1)</f>
        <v>45988</v>
      </c>
      <c r="D3985" s="362">
        <f t="shared" ca="1" si="127"/>
        <v>308170380.5735926</v>
      </c>
    </row>
    <row r="3986" spans="1:4">
      <c r="A3986" s="348">
        <f t="shared" si="126"/>
        <v>3985</v>
      </c>
      <c r="B3986" s="360">
        <f>DATE('Profit Calculation'!J$6,A$2,A$2+A3986-1)</f>
        <v>45989</v>
      </c>
      <c r="D3986" s="362">
        <f t="shared" ca="1" si="127"/>
        <v>308288404.51351768</v>
      </c>
    </row>
    <row r="3987" spans="1:4">
      <c r="A3987" s="348">
        <f t="shared" si="126"/>
        <v>3986</v>
      </c>
      <c r="B3987" s="360">
        <f>DATE('Profit Calculation'!J$6,A$2,A$2+A3987-1)</f>
        <v>45990</v>
      </c>
      <c r="D3987" s="362">
        <f t="shared" ca="1" si="127"/>
        <v>308406473.65457588</v>
      </c>
    </row>
    <row r="3988" spans="1:4">
      <c r="A3988" s="348">
        <f t="shared" si="126"/>
        <v>3987</v>
      </c>
      <c r="B3988" s="360">
        <f>DATE('Profit Calculation'!J$6,A$2,A$2+A3988-1)</f>
        <v>45991</v>
      </c>
      <c r="D3988" s="362">
        <f t="shared" ca="1" si="127"/>
        <v>308524588.01407844</v>
      </c>
    </row>
    <row r="3989" spans="1:4">
      <c r="A3989" s="348">
        <f t="shared" si="126"/>
        <v>3988</v>
      </c>
      <c r="B3989" s="360">
        <f>DATE('Profit Calculation'!J$6,A$2,A$2+A3989-1)</f>
        <v>45992</v>
      </c>
      <c r="D3989" s="362">
        <f t="shared" ca="1" si="127"/>
        <v>308642747.60934329</v>
      </c>
    </row>
    <row r="3990" spans="1:4">
      <c r="A3990" s="348">
        <f t="shared" si="126"/>
        <v>3989</v>
      </c>
      <c r="B3990" s="360">
        <f>DATE('Profit Calculation'!J$6,A$2,A$2+A3990-1)</f>
        <v>45993</v>
      </c>
      <c r="D3990" s="362">
        <f t="shared" ca="1" si="127"/>
        <v>308760952.45769489</v>
      </c>
    </row>
    <row r="3991" spans="1:4">
      <c r="A3991" s="348">
        <f t="shared" si="126"/>
        <v>3990</v>
      </c>
      <c r="B3991" s="360">
        <f>DATE('Profit Calculation'!J$6,A$2,A$2+A3991-1)</f>
        <v>45994</v>
      </c>
      <c r="D3991" s="362">
        <f t="shared" ca="1" si="127"/>
        <v>308879202.57646441</v>
      </c>
    </row>
    <row r="3992" spans="1:4">
      <c r="A3992" s="348">
        <f t="shared" si="126"/>
        <v>3991</v>
      </c>
      <c r="B3992" s="360">
        <f>DATE('Profit Calculation'!J$6,A$2,A$2+A3992-1)</f>
        <v>45995</v>
      </c>
      <c r="D3992" s="362">
        <f t="shared" ca="1" si="127"/>
        <v>308997497.98298967</v>
      </c>
    </row>
    <row r="3993" spans="1:4">
      <c r="A3993" s="348">
        <f t="shared" si="126"/>
        <v>3992</v>
      </c>
      <c r="B3993" s="360">
        <f>DATE('Profit Calculation'!J$6,A$2,A$2+A3993-1)</f>
        <v>45996</v>
      </c>
      <c r="D3993" s="362">
        <f t="shared" ca="1" si="127"/>
        <v>309115838.69461507</v>
      </c>
    </row>
    <row r="3994" spans="1:4">
      <c r="A3994" s="348">
        <f t="shared" si="126"/>
        <v>3993</v>
      </c>
      <c r="B3994" s="360">
        <f>DATE('Profit Calculation'!J$6,A$2,A$2+A3994-1)</f>
        <v>45997</v>
      </c>
      <c r="D3994" s="362">
        <f t="shared" ca="1" si="127"/>
        <v>309234224.7286917</v>
      </c>
    </row>
    <row r="3995" spans="1:4">
      <c r="A3995" s="348">
        <f t="shared" si="126"/>
        <v>3994</v>
      </c>
      <c r="B3995" s="360">
        <f>DATE('Profit Calculation'!J$6,A$2,A$2+A3995-1)</f>
        <v>45998</v>
      </c>
      <c r="D3995" s="362">
        <f t="shared" ca="1" si="127"/>
        <v>309352656.10257721</v>
      </c>
    </row>
    <row r="3996" spans="1:4">
      <c r="A3996" s="348">
        <f t="shared" si="126"/>
        <v>3995</v>
      </c>
      <c r="B3996" s="360">
        <f>DATE('Profit Calculation'!J$6,A$2,A$2+A3996-1)</f>
        <v>45999</v>
      </c>
      <c r="D3996" s="362">
        <f t="shared" ca="1" si="127"/>
        <v>309471132.83363605</v>
      </c>
    </row>
    <row r="3997" spans="1:4">
      <c r="A3997" s="348">
        <f t="shared" si="126"/>
        <v>3996</v>
      </c>
      <c r="B3997" s="360">
        <f>DATE('Profit Calculation'!J$6,A$2,A$2+A3997-1)</f>
        <v>46000</v>
      </c>
      <c r="D3997" s="362">
        <f t="shared" ca="1" si="127"/>
        <v>309589654.9392392</v>
      </c>
    </row>
    <row r="3998" spans="1:4">
      <c r="A3998" s="348">
        <f t="shared" si="126"/>
        <v>3997</v>
      </c>
      <c r="B3998" s="360">
        <f>DATE('Profit Calculation'!J$6,A$2,A$2+A3998-1)</f>
        <v>46001</v>
      </c>
      <c r="D3998" s="362">
        <f t="shared" ca="1" si="127"/>
        <v>309708222.43676436</v>
      </c>
    </row>
    <row r="3999" spans="1:4">
      <c r="A3999" s="348">
        <f t="shared" si="126"/>
        <v>3998</v>
      </c>
      <c r="B3999" s="360">
        <f>DATE('Profit Calculation'!J$6,A$2,A$2+A3999-1)</f>
        <v>46002</v>
      </c>
      <c r="D3999" s="362">
        <f t="shared" ca="1" si="127"/>
        <v>309826835.3435958</v>
      </c>
    </row>
    <row r="4000" spans="1:4">
      <c r="A4000" s="348">
        <f t="shared" si="126"/>
        <v>3999</v>
      </c>
      <c r="B4000" s="360">
        <f>DATE('Profit Calculation'!J$6,A$2,A$2+A4000-1)</f>
        <v>46003</v>
      </c>
      <c r="D4000" s="362">
        <f t="shared" ca="1" si="127"/>
        <v>309945493.6771245</v>
      </c>
    </row>
    <row r="4001" spans="1:4">
      <c r="A4001" s="348">
        <f t="shared" si="126"/>
        <v>4000</v>
      </c>
      <c r="B4001" s="360">
        <f>DATE('Profit Calculation'!J$6,A$2,A$2+A4001-1)</f>
        <v>46004</v>
      </c>
      <c r="D4001" s="362">
        <f t="shared" ca="1" si="127"/>
        <v>310064197.45474815</v>
      </c>
    </row>
    <row r="4002" spans="1:4">
      <c r="A4002" s="348">
        <f t="shared" si="126"/>
        <v>4001</v>
      </c>
      <c r="B4002" s="360">
        <f>DATE('Profit Calculation'!J$6,A$2,A$2+A4002-1)</f>
        <v>46005</v>
      </c>
      <c r="D4002" s="362">
        <f t="shared" ca="1" si="127"/>
        <v>310182946.69387102</v>
      </c>
    </row>
    <row r="4003" spans="1:4">
      <c r="A4003" s="348">
        <f t="shared" si="126"/>
        <v>4002</v>
      </c>
      <c r="B4003" s="360">
        <f>DATE('Profit Calculation'!J$6,A$2,A$2+A4003-1)</f>
        <v>46006</v>
      </c>
      <c r="D4003" s="362">
        <f t="shared" ca="1" si="127"/>
        <v>310301741.4119041</v>
      </c>
    </row>
    <row r="4004" spans="1:4">
      <c r="A4004" s="348">
        <f t="shared" si="126"/>
        <v>4003</v>
      </c>
      <c r="B4004" s="360">
        <f>DATE('Profit Calculation'!J$6,A$2,A$2+A4004-1)</f>
        <v>46007</v>
      </c>
      <c r="D4004" s="362">
        <f t="shared" ca="1" si="127"/>
        <v>310420581.62626499</v>
      </c>
    </row>
    <row r="4005" spans="1:4">
      <c r="A4005" s="348">
        <f t="shared" si="126"/>
        <v>4004</v>
      </c>
      <c r="B4005" s="360">
        <f>DATE('Profit Calculation'!J$6,A$2,A$2+A4005-1)</f>
        <v>46008</v>
      </c>
      <c r="D4005" s="362">
        <f t="shared" ca="1" si="127"/>
        <v>310539467.35437804</v>
      </c>
    </row>
    <row r="4006" spans="1:4">
      <c r="A4006" s="348">
        <f t="shared" si="126"/>
        <v>4005</v>
      </c>
      <c r="B4006" s="360">
        <f>DATE('Profit Calculation'!J$6,A$2,A$2+A4006-1)</f>
        <v>46009</v>
      </c>
      <c r="D4006" s="362">
        <f t="shared" ca="1" si="127"/>
        <v>310658398.61367422</v>
      </c>
    </row>
    <row r="4007" spans="1:4">
      <c r="A4007" s="348">
        <f t="shared" si="126"/>
        <v>4006</v>
      </c>
      <c r="B4007" s="360">
        <f>DATE('Profit Calculation'!J$6,A$2,A$2+A4007-1)</f>
        <v>46010</v>
      </c>
      <c r="D4007" s="362">
        <f t="shared" ca="1" si="127"/>
        <v>310777375.42159122</v>
      </c>
    </row>
    <row r="4008" spans="1:4">
      <c r="A4008" s="348">
        <f t="shared" si="126"/>
        <v>4007</v>
      </c>
      <c r="B4008" s="360">
        <f>DATE('Profit Calculation'!J$6,A$2,A$2+A4008-1)</f>
        <v>46011</v>
      </c>
      <c r="D4008" s="362">
        <f t="shared" ca="1" si="127"/>
        <v>310896397.79557329</v>
      </c>
    </row>
    <row r="4009" spans="1:4">
      <c r="A4009" s="348">
        <f t="shared" si="126"/>
        <v>4008</v>
      </c>
      <c r="B4009" s="360">
        <f>DATE('Profit Calculation'!J$6,A$2,A$2+A4009-1)</f>
        <v>46012</v>
      </c>
      <c r="D4009" s="362">
        <f t="shared" ca="1" si="127"/>
        <v>311015465.75307155</v>
      </c>
    </row>
    <row r="4010" spans="1:4">
      <c r="A4010" s="348">
        <f t="shared" si="126"/>
        <v>4009</v>
      </c>
      <c r="B4010" s="360">
        <f>DATE('Profit Calculation'!J$6,A$2,A$2+A4010-1)</f>
        <v>46013</v>
      </c>
      <c r="D4010" s="362">
        <f t="shared" ca="1" si="127"/>
        <v>311134579.31154364</v>
      </c>
    </row>
    <row r="4011" spans="1:4">
      <c r="A4011" s="348">
        <f t="shared" si="126"/>
        <v>4010</v>
      </c>
      <c r="B4011" s="360">
        <f>DATE('Profit Calculation'!J$6,A$2,A$2+A4011-1)</f>
        <v>46014</v>
      </c>
      <c r="D4011" s="362">
        <f t="shared" ca="1" si="127"/>
        <v>311253738.48845392</v>
      </c>
    </row>
    <row r="4012" spans="1:4">
      <c r="A4012" s="348">
        <f t="shared" si="126"/>
        <v>4011</v>
      </c>
      <c r="B4012" s="360">
        <f>DATE('Profit Calculation'!J$6,A$2,A$2+A4012-1)</f>
        <v>46015</v>
      </c>
      <c r="D4012" s="362">
        <f t="shared" ca="1" si="127"/>
        <v>311372943.30127352</v>
      </c>
    </row>
    <row r="4013" spans="1:4">
      <c r="A4013" s="348">
        <f t="shared" si="126"/>
        <v>4012</v>
      </c>
      <c r="B4013" s="360">
        <f>DATE('Profit Calculation'!J$6,A$2,A$2+A4013-1)</f>
        <v>46016</v>
      </c>
      <c r="D4013" s="362">
        <f t="shared" ca="1" si="127"/>
        <v>311492193.76748019</v>
      </c>
    </row>
    <row r="4014" spans="1:4">
      <c r="A4014" s="348">
        <f t="shared" si="126"/>
        <v>4013</v>
      </c>
      <c r="B4014" s="360">
        <f>DATE('Profit Calculation'!J$6,A$2,A$2+A4014-1)</f>
        <v>46017</v>
      </c>
      <c r="D4014" s="362">
        <f t="shared" ca="1" si="127"/>
        <v>311611489.90455836</v>
      </c>
    </row>
    <row r="4015" spans="1:4">
      <c r="A4015" s="348">
        <f t="shared" si="126"/>
        <v>4014</v>
      </c>
      <c r="B4015" s="360">
        <f>DATE('Profit Calculation'!J$6,A$2,A$2+A4015-1)</f>
        <v>46018</v>
      </c>
      <c r="D4015" s="362">
        <f t="shared" ca="1" si="127"/>
        <v>311730831.72999924</v>
      </c>
    </row>
    <row r="4016" spans="1:4">
      <c r="A4016" s="348">
        <f t="shared" si="126"/>
        <v>4015</v>
      </c>
      <c r="B4016" s="360">
        <f>DATE('Profit Calculation'!J$6,A$2,A$2+A4016-1)</f>
        <v>46019</v>
      </c>
      <c r="D4016" s="362">
        <f t="shared" ca="1" si="127"/>
        <v>311850219.26130068</v>
      </c>
    </row>
    <row r="4017" spans="1:4">
      <c r="A4017" s="348">
        <f t="shared" si="126"/>
        <v>4016</v>
      </c>
      <c r="B4017" s="360">
        <f>DATE('Profit Calculation'!J$6,A$2,A$2+A4017-1)</f>
        <v>46020</v>
      </c>
      <c r="D4017" s="362">
        <f t="shared" ca="1" si="127"/>
        <v>311969652.51596719</v>
      </c>
    </row>
    <row r="4018" spans="1:4">
      <c r="A4018" s="348">
        <f t="shared" si="126"/>
        <v>4017</v>
      </c>
      <c r="B4018" s="360">
        <f>DATE('Profit Calculation'!J$6,A$2,A$2+A4018-1)</f>
        <v>46021</v>
      </c>
      <c r="D4018" s="362">
        <f t="shared" ca="1" si="127"/>
        <v>312089131.51151007</v>
      </c>
    </row>
    <row r="4019" spans="1:4">
      <c r="A4019" s="348">
        <f t="shared" si="126"/>
        <v>4018</v>
      </c>
      <c r="B4019" s="360">
        <f>DATE('Profit Calculation'!J$6,A$2,A$2+A4019-1)</f>
        <v>46022</v>
      </c>
      <c r="D4019" s="362">
        <f t="shared" ca="1" si="127"/>
        <v>312208656.26544726</v>
      </c>
    </row>
    <row r="4020" spans="1:4">
      <c r="A4020" s="348">
        <f t="shared" si="126"/>
        <v>4019</v>
      </c>
      <c r="B4020" s="360">
        <f>DATE('Profit Calculation'!J$6,A$2,A$2+A4020-1)</f>
        <v>46023</v>
      </c>
      <c r="D4020" s="362">
        <f t="shared" ca="1" si="127"/>
        <v>312178771</v>
      </c>
    </row>
    <row r="4021" spans="1:4">
      <c r="A4021" s="348">
        <f t="shared" si="126"/>
        <v>4020</v>
      </c>
      <c r="B4021" s="360">
        <f>DATE('Profit Calculation'!J$6,A$2,A$2+A4021-1)</f>
        <v>46024</v>
      </c>
      <c r="D4021" s="362">
        <f t="shared" ca="1" si="127"/>
        <v>312298330.084315</v>
      </c>
    </row>
    <row r="4022" spans="1:4">
      <c r="A4022" s="348">
        <f t="shared" si="126"/>
        <v>4021</v>
      </c>
      <c r="B4022" s="360">
        <f>DATE('Profit Calculation'!J$6,A$2,A$2+A4022-1)</f>
        <v>46025</v>
      </c>
      <c r="D4022" s="362">
        <f t="shared" ca="1" si="127"/>
        <v>312417934.95769697</v>
      </c>
    </row>
    <row r="4023" spans="1:4">
      <c r="A4023" s="348">
        <f t="shared" si="126"/>
        <v>4022</v>
      </c>
      <c r="B4023" s="360">
        <f>DATE('Profit Calculation'!J$6,A$2,A$2+A4023-1)</f>
        <v>46026</v>
      </c>
      <c r="D4023" s="362">
        <f t="shared" ca="1" si="127"/>
        <v>312537585.63768232</v>
      </c>
    </row>
    <row r="4024" spans="1:4">
      <c r="A4024" s="348">
        <f t="shared" si="126"/>
        <v>4023</v>
      </c>
      <c r="B4024" s="360">
        <f>DATE('Profit Calculation'!J$6,A$2,A$2+A4024-1)</f>
        <v>46027</v>
      </c>
      <c r="D4024" s="362">
        <f t="shared" ca="1" si="127"/>
        <v>312657282.14181417</v>
      </c>
    </row>
    <row r="4025" spans="1:4">
      <c r="A4025" s="348">
        <f t="shared" si="126"/>
        <v>4024</v>
      </c>
      <c r="B4025" s="360">
        <f>DATE('Profit Calculation'!J$6,A$2,A$2+A4025-1)</f>
        <v>46028</v>
      </c>
      <c r="D4025" s="362">
        <f t="shared" ca="1" si="127"/>
        <v>312777024.48764235</v>
      </c>
    </row>
    <row r="4026" spans="1:4">
      <c r="A4026" s="348">
        <f t="shared" si="126"/>
        <v>4025</v>
      </c>
      <c r="B4026" s="360">
        <f>DATE('Profit Calculation'!J$6,A$2,A$2+A4026-1)</f>
        <v>46029</v>
      </c>
      <c r="D4026" s="362">
        <f t="shared" ca="1" si="127"/>
        <v>312896812.69272345</v>
      </c>
    </row>
    <row r="4027" spans="1:4">
      <c r="A4027" s="348">
        <f t="shared" si="126"/>
        <v>4026</v>
      </c>
      <c r="B4027" s="360">
        <f>DATE('Profit Calculation'!J$6,A$2,A$2+A4027-1)</f>
        <v>46030</v>
      </c>
      <c r="D4027" s="362">
        <f t="shared" ca="1" si="127"/>
        <v>313016646.77462083</v>
      </c>
    </row>
    <row r="4028" spans="1:4">
      <c r="A4028" s="348">
        <f t="shared" si="126"/>
        <v>4027</v>
      </c>
      <c r="B4028" s="360">
        <f>DATE('Profit Calculation'!J$6,A$2,A$2+A4028-1)</f>
        <v>46031</v>
      </c>
      <c r="D4028" s="362">
        <f t="shared" ca="1" si="127"/>
        <v>313136526.75090444</v>
      </c>
    </row>
    <row r="4029" spans="1:4">
      <c r="A4029" s="348">
        <f t="shared" si="126"/>
        <v>4028</v>
      </c>
      <c r="B4029" s="360">
        <f>DATE('Profit Calculation'!J$6,A$2,A$2+A4029-1)</f>
        <v>46032</v>
      </c>
      <c r="D4029" s="362">
        <f t="shared" ca="1" si="127"/>
        <v>313256452.6391511</v>
      </c>
    </row>
    <row r="4030" spans="1:4">
      <c r="A4030" s="348">
        <f t="shared" si="126"/>
        <v>4029</v>
      </c>
      <c r="B4030" s="360">
        <f>DATE('Profit Calculation'!J$6,A$2,A$2+A4030-1)</f>
        <v>46033</v>
      </c>
      <c r="D4030" s="362">
        <f t="shared" ca="1" si="127"/>
        <v>313376424.45694429</v>
      </c>
    </row>
    <row r="4031" spans="1:4">
      <c r="A4031" s="348">
        <f t="shared" si="126"/>
        <v>4030</v>
      </c>
      <c r="B4031" s="360">
        <f>DATE('Profit Calculation'!J$6,A$2,A$2+A4031-1)</f>
        <v>46034</v>
      </c>
      <c r="D4031" s="362">
        <f t="shared" ca="1" si="127"/>
        <v>313496442.22187418</v>
      </c>
    </row>
    <row r="4032" spans="1:4">
      <c r="A4032" s="348">
        <f t="shared" si="126"/>
        <v>4031</v>
      </c>
      <c r="B4032" s="360">
        <f>DATE('Profit Calculation'!J$6,A$2,A$2+A4032-1)</f>
        <v>46035</v>
      </c>
      <c r="D4032" s="362">
        <f t="shared" ca="1" si="127"/>
        <v>313616505.95153779</v>
      </c>
    </row>
    <row r="4033" spans="1:4">
      <c r="A4033" s="348">
        <f t="shared" si="126"/>
        <v>4032</v>
      </c>
      <c r="B4033" s="360">
        <f>DATE('Profit Calculation'!J$6,A$2,A$2+A4033-1)</f>
        <v>46036</v>
      </c>
      <c r="D4033" s="362">
        <f t="shared" ca="1" si="127"/>
        <v>313736615.66353881</v>
      </c>
    </row>
    <row r="4034" spans="1:4">
      <c r="A4034" s="348">
        <f t="shared" si="126"/>
        <v>4033</v>
      </c>
      <c r="B4034" s="360">
        <f>DATE('Profit Calculation'!J$6,A$2,A$2+A4034-1)</f>
        <v>46037</v>
      </c>
      <c r="D4034" s="362">
        <f t="shared" ca="1" si="127"/>
        <v>313856771.37548769</v>
      </c>
    </row>
    <row r="4035" spans="1:4">
      <c r="A4035" s="348">
        <f t="shared" si="126"/>
        <v>4034</v>
      </c>
      <c r="B4035" s="360">
        <f>DATE('Profit Calculation'!J$6,A$2,A$2+A4035-1)</f>
        <v>46038</v>
      </c>
      <c r="D4035" s="362">
        <f t="shared" ca="1" si="127"/>
        <v>313976973.10500157</v>
      </c>
    </row>
    <row r="4036" spans="1:4">
      <c r="A4036" s="348">
        <f t="shared" si="126"/>
        <v>4035</v>
      </c>
      <c r="B4036" s="360">
        <f>DATE('Profit Calculation'!J$6,A$2,A$2+A4036-1)</f>
        <v>46039</v>
      </c>
      <c r="D4036" s="362">
        <f t="shared" ca="1" si="127"/>
        <v>314097220.86970443</v>
      </c>
    </row>
    <row r="4037" spans="1:4">
      <c r="A4037" s="348">
        <f t="shared" ref="A4037:A4100" si="128">A4036+1</f>
        <v>4036</v>
      </c>
      <c r="B4037" s="360">
        <f>DATE('Profit Calculation'!J$6,A$2,A$2+A4037-1)</f>
        <v>46040</v>
      </c>
      <c r="D4037" s="362">
        <f t="shared" ref="D4037:D4100" ca="1" si="129">IF(OR(LOOKUP(B4037,W$1:W$35,W$1:W$35) = B4037, LOOKUP(B4037,X$1:X$35,X$1:X$35) = B4037),LOOKUP(B4037,F:F,G:G),D4036*(1+((IF($Q$18&lt;6,$R$14,IF($Q$18&lt;11,$R$15,$R$16)))))^(1/365))</f>
        <v>314217514.68722695</v>
      </c>
    </row>
    <row r="4038" spans="1:4">
      <c r="A4038" s="348">
        <f t="shared" si="128"/>
        <v>4037</v>
      </c>
      <c r="B4038" s="360">
        <f>DATE('Profit Calculation'!J$6,A$2,A$2+A4038-1)</f>
        <v>46041</v>
      </c>
      <c r="D4038" s="362">
        <f t="shared" ca="1" si="129"/>
        <v>314337854.57520652</v>
      </c>
    </row>
    <row r="4039" spans="1:4">
      <c r="A4039" s="348">
        <f t="shared" si="128"/>
        <v>4038</v>
      </c>
      <c r="B4039" s="360">
        <f>DATE('Profit Calculation'!J$6,A$2,A$2+A4039-1)</f>
        <v>46042</v>
      </c>
      <c r="D4039" s="362">
        <f t="shared" ca="1" si="129"/>
        <v>314458240.55128741</v>
      </c>
    </row>
    <row r="4040" spans="1:4">
      <c r="A4040" s="348">
        <f t="shared" si="128"/>
        <v>4039</v>
      </c>
      <c r="B4040" s="360">
        <f>DATE('Profit Calculation'!J$6,A$2,A$2+A4040-1)</f>
        <v>46043</v>
      </c>
      <c r="D4040" s="362">
        <f t="shared" ca="1" si="129"/>
        <v>314578672.63312048</v>
      </c>
    </row>
    <row r="4041" spans="1:4">
      <c r="A4041" s="348">
        <f t="shared" si="128"/>
        <v>4040</v>
      </c>
      <c r="B4041" s="360">
        <f>DATE('Profit Calculation'!J$6,A$2,A$2+A4041-1)</f>
        <v>46044</v>
      </c>
      <c r="D4041" s="362">
        <f t="shared" ca="1" si="129"/>
        <v>314699150.83836347</v>
      </c>
    </row>
    <row r="4042" spans="1:4">
      <c r="A4042" s="348">
        <f t="shared" si="128"/>
        <v>4041</v>
      </c>
      <c r="B4042" s="360">
        <f>DATE('Profit Calculation'!J$6,A$2,A$2+A4042-1)</f>
        <v>46045</v>
      </c>
      <c r="D4042" s="362">
        <f t="shared" ca="1" si="129"/>
        <v>314819675.18468088</v>
      </c>
    </row>
    <row r="4043" spans="1:4">
      <c r="A4043" s="348">
        <f t="shared" si="128"/>
        <v>4042</v>
      </c>
      <c r="B4043" s="360">
        <f>DATE('Profit Calculation'!J$6,A$2,A$2+A4043-1)</f>
        <v>46046</v>
      </c>
      <c r="D4043" s="362">
        <f t="shared" ca="1" si="129"/>
        <v>314940245.68974394</v>
      </c>
    </row>
    <row r="4044" spans="1:4">
      <c r="A4044" s="348">
        <f t="shared" si="128"/>
        <v>4043</v>
      </c>
      <c r="B4044" s="360">
        <f>DATE('Profit Calculation'!J$6,A$2,A$2+A4044-1)</f>
        <v>46047</v>
      </c>
      <c r="D4044" s="362">
        <f t="shared" ca="1" si="129"/>
        <v>315060862.3712306</v>
      </c>
    </row>
    <row r="4045" spans="1:4">
      <c r="A4045" s="348">
        <f t="shared" si="128"/>
        <v>4044</v>
      </c>
      <c r="B4045" s="360">
        <f>DATE('Profit Calculation'!J$6,A$2,A$2+A4045-1)</f>
        <v>46048</v>
      </c>
      <c r="D4045" s="362">
        <f t="shared" ca="1" si="129"/>
        <v>315181525.2468257</v>
      </c>
    </row>
    <row r="4046" spans="1:4">
      <c r="A4046" s="348">
        <f t="shared" si="128"/>
        <v>4045</v>
      </c>
      <c r="B4046" s="360">
        <f>DATE('Profit Calculation'!J$6,A$2,A$2+A4046-1)</f>
        <v>46049</v>
      </c>
      <c r="D4046" s="362">
        <f t="shared" ca="1" si="129"/>
        <v>315302234.33422077</v>
      </c>
    </row>
    <row r="4047" spans="1:4">
      <c r="A4047" s="348">
        <f t="shared" si="128"/>
        <v>4046</v>
      </c>
      <c r="B4047" s="360">
        <f>DATE('Profit Calculation'!J$6,A$2,A$2+A4047-1)</f>
        <v>46050</v>
      </c>
      <c r="D4047" s="362">
        <f t="shared" ca="1" si="129"/>
        <v>315422989.65111411</v>
      </c>
    </row>
    <row r="4048" spans="1:4">
      <c r="A4048" s="348">
        <f t="shared" si="128"/>
        <v>4047</v>
      </c>
      <c r="B4048" s="360">
        <f>DATE('Profit Calculation'!J$6,A$2,A$2+A4048-1)</f>
        <v>46051</v>
      </c>
      <c r="D4048" s="362">
        <f t="shared" ca="1" si="129"/>
        <v>315543791.21521086</v>
      </c>
    </row>
    <row r="4049" spans="1:4">
      <c r="A4049" s="348">
        <f t="shared" si="128"/>
        <v>4048</v>
      </c>
      <c r="B4049" s="360">
        <f>DATE('Profit Calculation'!J$6,A$2,A$2+A4049-1)</f>
        <v>46052</v>
      </c>
      <c r="D4049" s="362">
        <f t="shared" ca="1" si="129"/>
        <v>315664639.04422283</v>
      </c>
    </row>
    <row r="4050" spans="1:4">
      <c r="A4050" s="348">
        <f t="shared" si="128"/>
        <v>4049</v>
      </c>
      <c r="B4050" s="360">
        <f>DATE('Profit Calculation'!J$6,A$2,A$2+A4050-1)</f>
        <v>46053</v>
      </c>
      <c r="D4050" s="362">
        <f t="shared" ca="1" si="129"/>
        <v>315785533.15586877</v>
      </c>
    </row>
    <row r="4051" spans="1:4">
      <c r="A4051" s="348">
        <f t="shared" si="128"/>
        <v>4050</v>
      </c>
      <c r="B4051" s="360">
        <f>DATE('Profit Calculation'!J$6,A$2,A$2+A4051-1)</f>
        <v>46054</v>
      </c>
      <c r="D4051" s="362">
        <f t="shared" ca="1" si="129"/>
        <v>315906473.56787407</v>
      </c>
    </row>
    <row r="4052" spans="1:4">
      <c r="A4052" s="348">
        <f t="shared" si="128"/>
        <v>4051</v>
      </c>
      <c r="B4052" s="360">
        <f>DATE('Profit Calculation'!J$6,A$2,A$2+A4052-1)</f>
        <v>46055</v>
      </c>
      <c r="D4052" s="362">
        <f t="shared" ca="1" si="129"/>
        <v>316027460.29797101</v>
      </c>
    </row>
    <row r="4053" spans="1:4">
      <c r="A4053" s="348">
        <f t="shared" si="128"/>
        <v>4052</v>
      </c>
      <c r="B4053" s="360">
        <f>DATE('Profit Calculation'!J$6,A$2,A$2+A4053-1)</f>
        <v>46056</v>
      </c>
      <c r="D4053" s="362">
        <f t="shared" ca="1" si="129"/>
        <v>316148493.36389858</v>
      </c>
    </row>
    <row r="4054" spans="1:4">
      <c r="A4054" s="348">
        <f t="shared" si="128"/>
        <v>4053</v>
      </c>
      <c r="B4054" s="360">
        <f>DATE('Profit Calculation'!J$6,A$2,A$2+A4054-1)</f>
        <v>46057</v>
      </c>
      <c r="D4054" s="362">
        <f t="shared" ca="1" si="129"/>
        <v>316269572.78340262</v>
      </c>
    </row>
    <row r="4055" spans="1:4">
      <c r="A4055" s="348">
        <f t="shared" si="128"/>
        <v>4054</v>
      </c>
      <c r="B4055" s="360">
        <f>DATE('Profit Calculation'!J$6,A$2,A$2+A4055-1)</f>
        <v>46058</v>
      </c>
      <c r="D4055" s="362">
        <f t="shared" ca="1" si="129"/>
        <v>316390698.57423574</v>
      </c>
    </row>
    <row r="4056" spans="1:4">
      <c r="A4056" s="348">
        <f t="shared" si="128"/>
        <v>4055</v>
      </c>
      <c r="B4056" s="360">
        <f>DATE('Profit Calculation'!J$6,A$2,A$2+A4056-1)</f>
        <v>46059</v>
      </c>
      <c r="D4056" s="362">
        <f t="shared" ca="1" si="129"/>
        <v>316511870.75415736</v>
      </c>
    </row>
    <row r="4057" spans="1:4">
      <c r="A4057" s="348">
        <f t="shared" si="128"/>
        <v>4056</v>
      </c>
      <c r="B4057" s="360">
        <f>DATE('Profit Calculation'!J$6,A$2,A$2+A4057-1)</f>
        <v>46060</v>
      </c>
      <c r="D4057" s="362">
        <f t="shared" ca="1" si="129"/>
        <v>316633089.34093374</v>
      </c>
    </row>
    <row r="4058" spans="1:4">
      <c r="A4058" s="348">
        <f t="shared" si="128"/>
        <v>4057</v>
      </c>
      <c r="B4058" s="360">
        <f>DATE('Profit Calculation'!J$6,A$2,A$2+A4058-1)</f>
        <v>46061</v>
      </c>
      <c r="D4058" s="362">
        <f t="shared" ca="1" si="129"/>
        <v>316754354.35233784</v>
      </c>
    </row>
    <row r="4059" spans="1:4">
      <c r="A4059" s="348">
        <f t="shared" si="128"/>
        <v>4058</v>
      </c>
      <c r="B4059" s="360">
        <f>DATE('Profit Calculation'!J$6,A$2,A$2+A4059-1)</f>
        <v>46062</v>
      </c>
      <c r="D4059" s="362">
        <f t="shared" ca="1" si="129"/>
        <v>316875665.80614954</v>
      </c>
    </row>
    <row r="4060" spans="1:4">
      <c r="A4060" s="348">
        <f t="shared" si="128"/>
        <v>4059</v>
      </c>
      <c r="B4060" s="360">
        <f>DATE('Profit Calculation'!J$6,A$2,A$2+A4060-1)</f>
        <v>46063</v>
      </c>
      <c r="D4060" s="362">
        <f t="shared" ca="1" si="129"/>
        <v>316997023.72015548</v>
      </c>
    </row>
    <row r="4061" spans="1:4">
      <c r="A4061" s="348">
        <f t="shared" si="128"/>
        <v>4060</v>
      </c>
      <c r="B4061" s="360">
        <f>DATE('Profit Calculation'!J$6,A$2,A$2+A4061-1)</f>
        <v>46064</v>
      </c>
      <c r="D4061" s="362">
        <f t="shared" ca="1" si="129"/>
        <v>317118428.11214912</v>
      </c>
    </row>
    <row r="4062" spans="1:4">
      <c r="A4062" s="348">
        <f t="shared" si="128"/>
        <v>4061</v>
      </c>
      <c r="B4062" s="360">
        <f>DATE('Profit Calculation'!J$6,A$2,A$2+A4062-1)</f>
        <v>46065</v>
      </c>
      <c r="D4062" s="362">
        <f t="shared" ca="1" si="129"/>
        <v>317239878.99993068</v>
      </c>
    </row>
    <row r="4063" spans="1:4">
      <c r="A4063" s="348">
        <f t="shared" si="128"/>
        <v>4062</v>
      </c>
      <c r="B4063" s="360">
        <f>DATE('Profit Calculation'!J$6,A$2,A$2+A4063-1)</f>
        <v>46066</v>
      </c>
      <c r="D4063" s="362">
        <f t="shared" ca="1" si="129"/>
        <v>317361376.40130728</v>
      </c>
    </row>
    <row r="4064" spans="1:4">
      <c r="A4064" s="348">
        <f t="shared" si="128"/>
        <v>4063</v>
      </c>
      <c r="B4064" s="360">
        <f>DATE('Profit Calculation'!J$6,A$2,A$2+A4064-1)</f>
        <v>46067</v>
      </c>
      <c r="D4064" s="362">
        <f t="shared" ca="1" si="129"/>
        <v>317482920.3340928</v>
      </c>
    </row>
    <row r="4065" spans="1:4">
      <c r="A4065" s="348">
        <f t="shared" si="128"/>
        <v>4064</v>
      </c>
      <c r="B4065" s="360">
        <f>DATE('Profit Calculation'!J$6,A$2,A$2+A4065-1)</f>
        <v>46068</v>
      </c>
      <c r="D4065" s="362">
        <f t="shared" ca="1" si="129"/>
        <v>317604510.81610799</v>
      </c>
    </row>
    <row r="4066" spans="1:4">
      <c r="A4066" s="348">
        <f t="shared" si="128"/>
        <v>4065</v>
      </c>
      <c r="B4066" s="360">
        <f>DATE('Profit Calculation'!J$6,A$2,A$2+A4066-1)</f>
        <v>46069</v>
      </c>
      <c r="D4066" s="362">
        <f t="shared" ca="1" si="129"/>
        <v>317726147.86518043</v>
      </c>
    </row>
    <row r="4067" spans="1:4">
      <c r="A4067" s="348">
        <f t="shared" si="128"/>
        <v>4066</v>
      </c>
      <c r="B4067" s="360">
        <f>DATE('Profit Calculation'!J$6,A$2,A$2+A4067-1)</f>
        <v>46070</v>
      </c>
      <c r="D4067" s="362">
        <f t="shared" ca="1" si="129"/>
        <v>317847831.49914443</v>
      </c>
    </row>
    <row r="4068" spans="1:4">
      <c r="A4068" s="348">
        <f t="shared" si="128"/>
        <v>4067</v>
      </c>
      <c r="B4068" s="360">
        <f>DATE('Profit Calculation'!J$6,A$2,A$2+A4068-1)</f>
        <v>46071</v>
      </c>
      <c r="D4068" s="362">
        <f t="shared" ca="1" si="129"/>
        <v>317969561.73584127</v>
      </c>
    </row>
    <row r="4069" spans="1:4">
      <c r="A4069" s="348">
        <f t="shared" si="128"/>
        <v>4068</v>
      </c>
      <c r="B4069" s="360">
        <f>DATE('Profit Calculation'!J$6,A$2,A$2+A4069-1)</f>
        <v>46072</v>
      </c>
      <c r="D4069" s="362">
        <f t="shared" ca="1" si="129"/>
        <v>318091338.59311897</v>
      </c>
    </row>
    <row r="4070" spans="1:4">
      <c r="A4070" s="348">
        <f t="shared" si="128"/>
        <v>4069</v>
      </c>
      <c r="B4070" s="360">
        <f>DATE('Profit Calculation'!J$6,A$2,A$2+A4070-1)</f>
        <v>46073</v>
      </c>
      <c r="D4070" s="362">
        <f t="shared" ca="1" si="129"/>
        <v>318213162.08883238</v>
      </c>
    </row>
    <row r="4071" spans="1:4">
      <c r="A4071" s="348">
        <f t="shared" si="128"/>
        <v>4070</v>
      </c>
      <c r="B4071" s="360">
        <f>DATE('Profit Calculation'!J$6,A$2,A$2+A4071-1)</f>
        <v>46074</v>
      </c>
      <c r="D4071" s="362">
        <f t="shared" ca="1" si="129"/>
        <v>318335032.24084324</v>
      </c>
    </row>
    <row r="4072" spans="1:4">
      <c r="A4072" s="348">
        <f t="shared" si="128"/>
        <v>4071</v>
      </c>
      <c r="B4072" s="360">
        <f>DATE('Profit Calculation'!J$6,A$2,A$2+A4072-1)</f>
        <v>46075</v>
      </c>
      <c r="D4072" s="362">
        <f t="shared" ca="1" si="129"/>
        <v>318456949.06702006</v>
      </c>
    </row>
    <row r="4073" spans="1:4">
      <c r="A4073" s="348">
        <f t="shared" si="128"/>
        <v>4072</v>
      </c>
      <c r="B4073" s="360">
        <f>DATE('Profit Calculation'!J$6,A$2,A$2+A4073-1)</f>
        <v>46076</v>
      </c>
      <c r="D4073" s="362">
        <f t="shared" ca="1" si="129"/>
        <v>318578912.58523834</v>
      </c>
    </row>
    <row r="4074" spans="1:4">
      <c r="A4074" s="348">
        <f t="shared" si="128"/>
        <v>4073</v>
      </c>
      <c r="B4074" s="360">
        <f>DATE('Profit Calculation'!J$6,A$2,A$2+A4074-1)</f>
        <v>46077</v>
      </c>
      <c r="D4074" s="362">
        <f t="shared" ca="1" si="129"/>
        <v>318700922.81338024</v>
      </c>
    </row>
    <row r="4075" spans="1:4">
      <c r="A4075" s="348">
        <f t="shared" si="128"/>
        <v>4074</v>
      </c>
      <c r="B4075" s="360">
        <f>DATE('Profit Calculation'!J$6,A$2,A$2+A4075-1)</f>
        <v>46078</v>
      </c>
      <c r="D4075" s="362">
        <f t="shared" ca="1" si="129"/>
        <v>318822979.76933491</v>
      </c>
    </row>
    <row r="4076" spans="1:4">
      <c r="A4076" s="348">
        <f t="shared" si="128"/>
        <v>4075</v>
      </c>
      <c r="B4076" s="360">
        <f>DATE('Profit Calculation'!J$6,A$2,A$2+A4076-1)</f>
        <v>46079</v>
      </c>
      <c r="D4076" s="362">
        <f t="shared" ca="1" si="129"/>
        <v>318945083.47099823</v>
      </c>
    </row>
    <row r="4077" spans="1:4">
      <c r="A4077" s="348">
        <f t="shared" si="128"/>
        <v>4076</v>
      </c>
      <c r="B4077" s="360">
        <f>DATE('Profit Calculation'!J$6,A$2,A$2+A4077-1)</f>
        <v>46080</v>
      </c>
      <c r="D4077" s="362">
        <f t="shared" ca="1" si="129"/>
        <v>319067233.93627304</v>
      </c>
    </row>
    <row r="4078" spans="1:4">
      <c r="A4078" s="348">
        <f t="shared" si="128"/>
        <v>4077</v>
      </c>
      <c r="B4078" s="360">
        <f>DATE('Profit Calculation'!J$6,A$2,A$2+A4078-1)</f>
        <v>46081</v>
      </c>
      <c r="D4078" s="362">
        <f t="shared" ca="1" si="129"/>
        <v>319189431.18306899</v>
      </c>
    </row>
    <row r="4079" spans="1:4">
      <c r="A4079" s="348">
        <f t="shared" si="128"/>
        <v>4078</v>
      </c>
      <c r="B4079" s="360">
        <f>DATE('Profit Calculation'!J$6,A$2,A$2+A4079-1)</f>
        <v>46082</v>
      </c>
      <c r="D4079" s="362">
        <f t="shared" ca="1" si="129"/>
        <v>319311675.22930264</v>
      </c>
    </row>
    <row r="4080" spans="1:4">
      <c r="A4080" s="348">
        <f t="shared" si="128"/>
        <v>4079</v>
      </c>
      <c r="B4080" s="360">
        <f>DATE('Profit Calculation'!J$6,A$2,A$2+A4080-1)</f>
        <v>46083</v>
      </c>
      <c r="D4080" s="362">
        <f t="shared" ca="1" si="129"/>
        <v>319433966.0928973</v>
      </c>
    </row>
    <row r="4081" spans="1:4">
      <c r="A4081" s="348">
        <f t="shared" si="128"/>
        <v>4080</v>
      </c>
      <c r="B4081" s="360">
        <f>DATE('Profit Calculation'!J$6,A$2,A$2+A4081-1)</f>
        <v>46084</v>
      </c>
      <c r="D4081" s="362">
        <f t="shared" ca="1" si="129"/>
        <v>319556303.79178327</v>
      </c>
    </row>
    <row r="4082" spans="1:4">
      <c r="A4082" s="348">
        <f t="shared" si="128"/>
        <v>4081</v>
      </c>
      <c r="B4082" s="360">
        <f>DATE('Profit Calculation'!J$6,A$2,A$2+A4082-1)</f>
        <v>46085</v>
      </c>
      <c r="D4082" s="362">
        <f t="shared" ca="1" si="129"/>
        <v>319678688.34389764</v>
      </c>
    </row>
    <row r="4083" spans="1:4">
      <c r="A4083" s="348">
        <f t="shared" si="128"/>
        <v>4082</v>
      </c>
      <c r="B4083" s="360">
        <f>DATE('Profit Calculation'!J$6,A$2,A$2+A4083-1)</f>
        <v>46086</v>
      </c>
      <c r="D4083" s="362">
        <f t="shared" ca="1" si="129"/>
        <v>319801119.76718438</v>
      </c>
    </row>
    <row r="4084" spans="1:4">
      <c r="A4084" s="348">
        <f t="shared" si="128"/>
        <v>4083</v>
      </c>
      <c r="B4084" s="360">
        <f>DATE('Profit Calculation'!J$6,A$2,A$2+A4084-1)</f>
        <v>46087</v>
      </c>
      <c r="D4084" s="362">
        <f t="shared" ca="1" si="129"/>
        <v>319923598.07959431</v>
      </c>
    </row>
    <row r="4085" spans="1:4">
      <c r="A4085" s="348">
        <f t="shared" si="128"/>
        <v>4084</v>
      </c>
      <c r="B4085" s="360">
        <f>DATE('Profit Calculation'!J$6,A$2,A$2+A4085-1)</f>
        <v>46088</v>
      </c>
      <c r="D4085" s="362">
        <f t="shared" ca="1" si="129"/>
        <v>320046123.2990852</v>
      </c>
    </row>
    <row r="4086" spans="1:4">
      <c r="A4086" s="348">
        <f t="shared" si="128"/>
        <v>4085</v>
      </c>
      <c r="B4086" s="360">
        <f>DATE('Profit Calculation'!J$6,A$2,A$2+A4086-1)</f>
        <v>46089</v>
      </c>
      <c r="D4086" s="362">
        <f t="shared" ca="1" si="129"/>
        <v>320168695.44362164</v>
      </c>
    </row>
    <row r="4087" spans="1:4">
      <c r="A4087" s="348">
        <f t="shared" si="128"/>
        <v>4086</v>
      </c>
      <c r="B4087" s="360">
        <f>DATE('Profit Calculation'!J$6,A$2,A$2+A4087-1)</f>
        <v>46090</v>
      </c>
      <c r="D4087" s="362">
        <f t="shared" ca="1" si="129"/>
        <v>320291314.53117508</v>
      </c>
    </row>
    <row r="4088" spans="1:4">
      <c r="A4088" s="348">
        <f t="shared" si="128"/>
        <v>4087</v>
      </c>
      <c r="B4088" s="360">
        <f>DATE('Profit Calculation'!J$6,A$2,A$2+A4088-1)</f>
        <v>46091</v>
      </c>
      <c r="D4088" s="362">
        <f t="shared" ca="1" si="129"/>
        <v>320413980.57972389</v>
      </c>
    </row>
    <row r="4089" spans="1:4">
      <c r="A4089" s="348">
        <f t="shared" si="128"/>
        <v>4088</v>
      </c>
      <c r="B4089" s="360">
        <f>DATE('Profit Calculation'!J$6,A$2,A$2+A4089-1)</f>
        <v>46092</v>
      </c>
      <c r="D4089" s="362">
        <f t="shared" ca="1" si="129"/>
        <v>320536693.60725337</v>
      </c>
    </row>
    <row r="4090" spans="1:4">
      <c r="A4090" s="348">
        <f t="shared" si="128"/>
        <v>4089</v>
      </c>
      <c r="B4090" s="360">
        <f>DATE('Profit Calculation'!J$6,A$2,A$2+A4090-1)</f>
        <v>46093</v>
      </c>
      <c r="D4090" s="362">
        <f t="shared" ca="1" si="129"/>
        <v>320659453.63175565</v>
      </c>
    </row>
    <row r="4091" spans="1:4">
      <c r="A4091" s="348">
        <f t="shared" si="128"/>
        <v>4090</v>
      </c>
      <c r="B4091" s="360">
        <f>DATE('Profit Calculation'!J$6,A$2,A$2+A4091-1)</f>
        <v>46094</v>
      </c>
      <c r="D4091" s="362">
        <f t="shared" ca="1" si="129"/>
        <v>320782260.67122972</v>
      </c>
    </row>
    <row r="4092" spans="1:4">
      <c r="A4092" s="348">
        <f t="shared" si="128"/>
        <v>4091</v>
      </c>
      <c r="B4092" s="360">
        <f>DATE('Profit Calculation'!J$6,A$2,A$2+A4092-1)</f>
        <v>46095</v>
      </c>
      <c r="D4092" s="362">
        <f t="shared" ca="1" si="129"/>
        <v>320905114.74368155</v>
      </c>
    </row>
    <row r="4093" spans="1:4">
      <c r="A4093" s="348">
        <f t="shared" si="128"/>
        <v>4092</v>
      </c>
      <c r="B4093" s="360">
        <f>DATE('Profit Calculation'!J$6,A$2,A$2+A4093-1)</f>
        <v>46096</v>
      </c>
      <c r="D4093" s="362">
        <f t="shared" ca="1" si="129"/>
        <v>321028015.86712396</v>
      </c>
    </row>
    <row r="4094" spans="1:4">
      <c r="A4094" s="348">
        <f t="shared" si="128"/>
        <v>4093</v>
      </c>
      <c r="B4094" s="360">
        <f>DATE('Profit Calculation'!J$6,A$2,A$2+A4094-1)</f>
        <v>46097</v>
      </c>
      <c r="D4094" s="362">
        <f t="shared" ca="1" si="129"/>
        <v>321150964.05957663</v>
      </c>
    </row>
    <row r="4095" spans="1:4">
      <c r="A4095" s="348">
        <f t="shared" si="128"/>
        <v>4094</v>
      </c>
      <c r="B4095" s="360">
        <f>DATE('Profit Calculation'!J$6,A$2,A$2+A4095-1)</f>
        <v>46098</v>
      </c>
      <c r="D4095" s="362">
        <f t="shared" ca="1" si="129"/>
        <v>321273959.33906621</v>
      </c>
    </row>
    <row r="4096" spans="1:4">
      <c r="A4096" s="348">
        <f t="shared" si="128"/>
        <v>4095</v>
      </c>
      <c r="B4096" s="360">
        <f>DATE('Profit Calculation'!J$6,A$2,A$2+A4096-1)</f>
        <v>46099</v>
      </c>
      <c r="D4096" s="362">
        <f t="shared" ca="1" si="129"/>
        <v>321397001.7236262</v>
      </c>
    </row>
    <row r="4097" spans="1:4">
      <c r="A4097" s="348">
        <f t="shared" si="128"/>
        <v>4096</v>
      </c>
      <c r="B4097" s="360">
        <f>DATE('Profit Calculation'!J$6,A$2,A$2+A4097-1)</f>
        <v>46100</v>
      </c>
      <c r="D4097" s="362">
        <f t="shared" ca="1" si="129"/>
        <v>321520091.23129702</v>
      </c>
    </row>
    <row r="4098" spans="1:4">
      <c r="A4098" s="348">
        <f t="shared" si="128"/>
        <v>4097</v>
      </c>
      <c r="B4098" s="360">
        <f>DATE('Profit Calculation'!J$6,A$2,A$2+A4098-1)</f>
        <v>46101</v>
      </c>
      <c r="D4098" s="362">
        <f t="shared" ca="1" si="129"/>
        <v>321643227.880126</v>
      </c>
    </row>
    <row r="4099" spans="1:4">
      <c r="A4099" s="348">
        <f t="shared" si="128"/>
        <v>4098</v>
      </c>
      <c r="B4099" s="360">
        <f>DATE('Profit Calculation'!J$6,A$2,A$2+A4099-1)</f>
        <v>46102</v>
      </c>
      <c r="D4099" s="362">
        <f t="shared" ca="1" si="129"/>
        <v>321766411.68816745</v>
      </c>
    </row>
    <row r="4100" spans="1:4">
      <c r="A4100" s="348">
        <f t="shared" si="128"/>
        <v>4099</v>
      </c>
      <c r="B4100" s="360">
        <f>DATE('Profit Calculation'!J$6,A$2,A$2+A4100-1)</f>
        <v>46103</v>
      </c>
      <c r="D4100" s="362">
        <f t="shared" ca="1" si="129"/>
        <v>321889642.67348248</v>
      </c>
    </row>
    <row r="4101" spans="1:4">
      <c r="A4101" s="348">
        <f t="shared" ref="A4101:A4164" si="130">A4100+1</f>
        <v>4100</v>
      </c>
      <c r="B4101" s="360">
        <f>DATE('Profit Calculation'!J$6,A$2,A$2+A4101-1)</f>
        <v>46104</v>
      </c>
      <c r="D4101" s="362">
        <f t="shared" ref="D4101:D4164" ca="1" si="131">IF(OR(LOOKUP(B4101,W$1:W$35,W$1:W$35) = B4101, LOOKUP(B4101,X$1:X$35,X$1:X$35) = B4101),LOOKUP(B4101,F:F,G:G),D4100*(1+((IF($Q$18&lt;6,$R$14,IF($Q$18&lt;11,$R$15,$R$16)))))^(1/365))</f>
        <v>322012920.85413921</v>
      </c>
    </row>
    <row r="4102" spans="1:4">
      <c r="A4102" s="348">
        <f t="shared" si="130"/>
        <v>4101</v>
      </c>
      <c r="B4102" s="360">
        <f>DATE('Profit Calculation'!J$6,A$2,A$2+A4102-1)</f>
        <v>46105</v>
      </c>
      <c r="D4102" s="362">
        <f t="shared" ca="1" si="131"/>
        <v>322136246.24821264</v>
      </c>
    </row>
    <row r="4103" spans="1:4">
      <c r="A4103" s="348">
        <f t="shared" si="130"/>
        <v>4102</v>
      </c>
      <c r="B4103" s="360">
        <f>DATE('Profit Calculation'!J$6,A$2,A$2+A4103-1)</f>
        <v>46106</v>
      </c>
      <c r="D4103" s="362">
        <f t="shared" ca="1" si="131"/>
        <v>322259618.87378466</v>
      </c>
    </row>
    <row r="4104" spans="1:4">
      <c r="A4104" s="348">
        <f t="shared" si="130"/>
        <v>4103</v>
      </c>
      <c r="B4104" s="360">
        <f>DATE('Profit Calculation'!J$6,A$2,A$2+A4104-1)</f>
        <v>46107</v>
      </c>
      <c r="D4104" s="362">
        <f t="shared" ca="1" si="131"/>
        <v>322383038.74894416</v>
      </c>
    </row>
    <row r="4105" spans="1:4">
      <c r="A4105" s="348">
        <f t="shared" si="130"/>
        <v>4104</v>
      </c>
      <c r="B4105" s="360">
        <f>DATE('Profit Calculation'!J$6,A$2,A$2+A4105-1)</f>
        <v>46108</v>
      </c>
      <c r="D4105" s="362">
        <f t="shared" ca="1" si="131"/>
        <v>322506505.89178687</v>
      </c>
    </row>
    <row r="4106" spans="1:4">
      <c r="A4106" s="348">
        <f t="shared" si="130"/>
        <v>4105</v>
      </c>
      <c r="B4106" s="360">
        <f>DATE('Profit Calculation'!J$6,A$2,A$2+A4106-1)</f>
        <v>46109</v>
      </c>
      <c r="D4106" s="362">
        <f t="shared" ca="1" si="131"/>
        <v>322630020.32041556</v>
      </c>
    </row>
    <row r="4107" spans="1:4">
      <c r="A4107" s="348">
        <f t="shared" si="130"/>
        <v>4106</v>
      </c>
      <c r="B4107" s="360">
        <f>DATE('Profit Calculation'!J$6,A$2,A$2+A4107-1)</f>
        <v>46110</v>
      </c>
      <c r="D4107" s="362">
        <f t="shared" ca="1" si="131"/>
        <v>322753582.05293977</v>
      </c>
    </row>
    <row r="4108" spans="1:4">
      <c r="A4108" s="348">
        <f t="shared" si="130"/>
        <v>4107</v>
      </c>
      <c r="B4108" s="360">
        <f>DATE('Profit Calculation'!J$6,A$2,A$2+A4108-1)</f>
        <v>46111</v>
      </c>
      <c r="D4108" s="362">
        <f t="shared" ca="1" si="131"/>
        <v>322877191.10747617</v>
      </c>
    </row>
    <row r="4109" spans="1:4">
      <c r="A4109" s="348">
        <f t="shared" si="130"/>
        <v>4108</v>
      </c>
      <c r="B4109" s="360">
        <f>DATE('Profit Calculation'!J$6,A$2,A$2+A4109-1)</f>
        <v>46112</v>
      </c>
      <c r="D4109" s="362">
        <f t="shared" ca="1" si="131"/>
        <v>323000847.50214827</v>
      </c>
    </row>
    <row r="4110" spans="1:4">
      <c r="A4110" s="348">
        <f t="shared" si="130"/>
        <v>4109</v>
      </c>
      <c r="B4110" s="360">
        <f>DATE('Profit Calculation'!J$6,A$2,A$2+A4110-1)</f>
        <v>46113</v>
      </c>
      <c r="D4110" s="362">
        <f t="shared" ca="1" si="131"/>
        <v>313321615</v>
      </c>
    </row>
    <row r="4111" spans="1:4">
      <c r="A4111" s="348">
        <f t="shared" si="130"/>
        <v>4110</v>
      </c>
      <c r="B4111" s="360">
        <f>DATE('Profit Calculation'!J$6,A$2,A$2+A4111-1)</f>
        <v>46114</v>
      </c>
      <c r="D4111" s="362">
        <f t="shared" ca="1" si="131"/>
        <v>313441611.77385336</v>
      </c>
    </row>
    <row r="4112" spans="1:4">
      <c r="A4112" s="348">
        <f t="shared" si="130"/>
        <v>4111</v>
      </c>
      <c r="B4112" s="360">
        <f>DATE('Profit Calculation'!J$6,A$2,A$2+A4112-1)</f>
        <v>46115</v>
      </c>
      <c r="D4112" s="362">
        <f t="shared" ca="1" si="131"/>
        <v>313561654.50440121</v>
      </c>
    </row>
    <row r="4113" spans="1:4">
      <c r="A4113" s="348">
        <f t="shared" si="130"/>
        <v>4112</v>
      </c>
      <c r="B4113" s="360">
        <f>DATE('Profit Calculation'!J$6,A$2,A$2+A4113-1)</f>
        <v>46116</v>
      </c>
      <c r="D4113" s="362">
        <f t="shared" ca="1" si="131"/>
        <v>313681743.20924413</v>
      </c>
    </row>
    <row r="4114" spans="1:4">
      <c r="A4114" s="348">
        <f t="shared" si="130"/>
        <v>4113</v>
      </c>
      <c r="B4114" s="360">
        <f>DATE('Profit Calculation'!J$6,A$2,A$2+A4114-1)</f>
        <v>46117</v>
      </c>
      <c r="D4114" s="362">
        <f t="shared" ca="1" si="131"/>
        <v>313801877.90598953</v>
      </c>
    </row>
    <row r="4115" spans="1:4">
      <c r="A4115" s="348">
        <f t="shared" si="130"/>
        <v>4114</v>
      </c>
      <c r="B4115" s="360">
        <f>DATE('Profit Calculation'!J$6,A$2,A$2+A4115-1)</f>
        <v>46118</v>
      </c>
      <c r="D4115" s="362">
        <f t="shared" ca="1" si="131"/>
        <v>313922058.61225152</v>
      </c>
    </row>
    <row r="4116" spans="1:4">
      <c r="A4116" s="348">
        <f t="shared" si="130"/>
        <v>4115</v>
      </c>
      <c r="B4116" s="360">
        <f>DATE('Profit Calculation'!J$6,A$2,A$2+A4116-1)</f>
        <v>46119</v>
      </c>
      <c r="D4116" s="362">
        <f t="shared" ca="1" si="131"/>
        <v>314042285.34565091</v>
      </c>
    </row>
    <row r="4117" spans="1:4">
      <c r="A4117" s="348">
        <f t="shared" si="130"/>
        <v>4116</v>
      </c>
      <c r="B4117" s="360">
        <f>DATE('Profit Calculation'!J$6,A$2,A$2+A4117-1)</f>
        <v>46120</v>
      </c>
      <c r="D4117" s="362">
        <f t="shared" ca="1" si="131"/>
        <v>314162558.12381536</v>
      </c>
    </row>
    <row r="4118" spans="1:4">
      <c r="A4118" s="348">
        <f t="shared" si="130"/>
        <v>4117</v>
      </c>
      <c r="B4118" s="360">
        <f>DATE('Profit Calculation'!J$6,A$2,A$2+A4118-1)</f>
        <v>46121</v>
      </c>
      <c r="D4118" s="362">
        <f t="shared" ca="1" si="131"/>
        <v>314282876.96437913</v>
      </c>
    </row>
    <row r="4119" spans="1:4">
      <c r="A4119" s="348">
        <f t="shared" si="130"/>
        <v>4118</v>
      </c>
      <c r="B4119" s="360">
        <f>DATE('Profit Calculation'!J$6,A$2,A$2+A4119-1)</f>
        <v>46122</v>
      </c>
      <c r="D4119" s="362">
        <f t="shared" ca="1" si="131"/>
        <v>314403241.88498342</v>
      </c>
    </row>
    <row r="4120" spans="1:4">
      <c r="A4120" s="348">
        <f t="shared" si="130"/>
        <v>4119</v>
      </c>
      <c r="B4120" s="360">
        <f>DATE('Profit Calculation'!J$6,A$2,A$2+A4120-1)</f>
        <v>46123</v>
      </c>
      <c r="D4120" s="362">
        <f t="shared" ca="1" si="131"/>
        <v>314523652.90327603</v>
      </c>
    </row>
    <row r="4121" spans="1:4">
      <c r="A4121" s="348">
        <f t="shared" si="130"/>
        <v>4120</v>
      </c>
      <c r="B4121" s="360">
        <f>DATE('Profit Calculation'!J$6,A$2,A$2+A4121-1)</f>
        <v>46124</v>
      </c>
      <c r="D4121" s="362">
        <f t="shared" ca="1" si="131"/>
        <v>314644110.03691161</v>
      </c>
    </row>
    <row r="4122" spans="1:4">
      <c r="A4122" s="348">
        <f t="shared" si="130"/>
        <v>4121</v>
      </c>
      <c r="B4122" s="360">
        <f>DATE('Profit Calculation'!J$6,A$2,A$2+A4122-1)</f>
        <v>46125</v>
      </c>
      <c r="D4122" s="362">
        <f t="shared" ca="1" si="131"/>
        <v>314764613.3035515</v>
      </c>
    </row>
    <row r="4123" spans="1:4">
      <c r="A4123" s="348">
        <f t="shared" si="130"/>
        <v>4122</v>
      </c>
      <c r="B4123" s="360">
        <f>DATE('Profit Calculation'!J$6,A$2,A$2+A4123-1)</f>
        <v>46126</v>
      </c>
      <c r="D4123" s="362">
        <f t="shared" ca="1" si="131"/>
        <v>314885162.72086388</v>
      </c>
    </row>
    <row r="4124" spans="1:4">
      <c r="A4124" s="348">
        <f t="shared" si="130"/>
        <v>4123</v>
      </c>
      <c r="B4124" s="360">
        <f>DATE('Profit Calculation'!J$6,A$2,A$2+A4124-1)</f>
        <v>46127</v>
      </c>
      <c r="D4124" s="362">
        <f t="shared" ca="1" si="131"/>
        <v>315005758.30652368</v>
      </c>
    </row>
    <row r="4125" spans="1:4">
      <c r="A4125" s="348">
        <f t="shared" si="130"/>
        <v>4124</v>
      </c>
      <c r="B4125" s="360">
        <f>DATE('Profit Calculation'!J$6,A$2,A$2+A4125-1)</f>
        <v>46128</v>
      </c>
      <c r="D4125" s="362">
        <f t="shared" ca="1" si="131"/>
        <v>315126400.07821256</v>
      </c>
    </row>
    <row r="4126" spans="1:4">
      <c r="A4126" s="348">
        <f t="shared" si="130"/>
        <v>4125</v>
      </c>
      <c r="B4126" s="360">
        <f>DATE('Profit Calculation'!J$6,A$2,A$2+A4126-1)</f>
        <v>46129</v>
      </c>
      <c r="D4126" s="362">
        <f t="shared" ca="1" si="131"/>
        <v>315247088.05361897</v>
      </c>
    </row>
    <row r="4127" spans="1:4">
      <c r="A4127" s="348">
        <f t="shared" si="130"/>
        <v>4126</v>
      </c>
      <c r="B4127" s="360">
        <f>DATE('Profit Calculation'!J$6,A$2,A$2+A4127-1)</f>
        <v>46130</v>
      </c>
      <c r="D4127" s="362">
        <f t="shared" ca="1" si="131"/>
        <v>315367822.25043809</v>
      </c>
    </row>
    <row r="4128" spans="1:4">
      <c r="A4128" s="348">
        <f t="shared" si="130"/>
        <v>4127</v>
      </c>
      <c r="B4128" s="360">
        <f>DATE('Profit Calculation'!J$6,A$2,A$2+A4128-1)</f>
        <v>46131</v>
      </c>
      <c r="D4128" s="362">
        <f t="shared" ca="1" si="131"/>
        <v>315488602.68637198</v>
      </c>
    </row>
    <row r="4129" spans="1:4">
      <c r="A4129" s="348">
        <f t="shared" si="130"/>
        <v>4128</v>
      </c>
      <c r="B4129" s="360">
        <f>DATE('Profit Calculation'!J$6,A$2,A$2+A4129-1)</f>
        <v>46132</v>
      </c>
      <c r="D4129" s="362">
        <f t="shared" ca="1" si="131"/>
        <v>315609429.37912941</v>
      </c>
    </row>
    <row r="4130" spans="1:4">
      <c r="A4130" s="348">
        <f t="shared" si="130"/>
        <v>4129</v>
      </c>
      <c r="B4130" s="360">
        <f>DATE('Profit Calculation'!J$6,A$2,A$2+A4130-1)</f>
        <v>46133</v>
      </c>
      <c r="D4130" s="362">
        <f t="shared" ca="1" si="131"/>
        <v>315730302.34642595</v>
      </c>
    </row>
    <row r="4131" spans="1:4">
      <c r="A4131" s="348">
        <f t="shared" si="130"/>
        <v>4130</v>
      </c>
      <c r="B4131" s="360">
        <f>DATE('Profit Calculation'!J$6,A$2,A$2+A4131-1)</f>
        <v>46134</v>
      </c>
      <c r="D4131" s="362">
        <f t="shared" ca="1" si="131"/>
        <v>315851221.60598397</v>
      </c>
    </row>
    <row r="4132" spans="1:4">
      <c r="A4132" s="348">
        <f t="shared" si="130"/>
        <v>4131</v>
      </c>
      <c r="B4132" s="360">
        <f>DATE('Profit Calculation'!J$6,A$2,A$2+A4132-1)</f>
        <v>46135</v>
      </c>
      <c r="D4132" s="362">
        <f t="shared" ca="1" si="131"/>
        <v>315972187.17553258</v>
      </c>
    </row>
    <row r="4133" spans="1:4">
      <c r="A4133" s="348">
        <f t="shared" si="130"/>
        <v>4132</v>
      </c>
      <c r="B4133" s="360">
        <f>DATE('Profit Calculation'!J$6,A$2,A$2+A4133-1)</f>
        <v>46136</v>
      </c>
      <c r="D4133" s="362">
        <f t="shared" ca="1" si="131"/>
        <v>316093199.07280767</v>
      </c>
    </row>
    <row r="4134" spans="1:4">
      <c r="A4134" s="348">
        <f t="shared" si="130"/>
        <v>4133</v>
      </c>
      <c r="B4134" s="360">
        <f>DATE('Profit Calculation'!J$6,A$2,A$2+A4134-1)</f>
        <v>46137</v>
      </c>
      <c r="D4134" s="362">
        <f t="shared" ca="1" si="131"/>
        <v>316214257.315552</v>
      </c>
    </row>
    <row r="4135" spans="1:4">
      <c r="A4135" s="348">
        <f t="shared" si="130"/>
        <v>4134</v>
      </c>
      <c r="B4135" s="360">
        <f>DATE('Profit Calculation'!J$6,A$2,A$2+A4135-1)</f>
        <v>46138</v>
      </c>
      <c r="D4135" s="362">
        <f t="shared" ca="1" si="131"/>
        <v>316335361.92151511</v>
      </c>
    </row>
    <row r="4136" spans="1:4">
      <c r="A4136" s="348">
        <f t="shared" si="130"/>
        <v>4135</v>
      </c>
      <c r="B4136" s="360">
        <f>DATE('Profit Calculation'!J$6,A$2,A$2+A4136-1)</f>
        <v>46139</v>
      </c>
      <c r="D4136" s="362">
        <f t="shared" ca="1" si="131"/>
        <v>316456512.90845329</v>
      </c>
    </row>
    <row r="4137" spans="1:4">
      <c r="A4137" s="348">
        <f t="shared" si="130"/>
        <v>4136</v>
      </c>
      <c r="B4137" s="360">
        <f>DATE('Profit Calculation'!J$6,A$2,A$2+A4137-1)</f>
        <v>46140</v>
      </c>
      <c r="D4137" s="362">
        <f t="shared" ca="1" si="131"/>
        <v>316577710.29412967</v>
      </c>
    </row>
    <row r="4138" spans="1:4">
      <c r="A4138" s="348">
        <f t="shared" si="130"/>
        <v>4137</v>
      </c>
      <c r="B4138" s="360">
        <f>DATE('Profit Calculation'!J$6,A$2,A$2+A4138-1)</f>
        <v>46141</v>
      </c>
      <c r="D4138" s="362">
        <f t="shared" ca="1" si="131"/>
        <v>316698954.09631413</v>
      </c>
    </row>
    <row r="4139" spans="1:4">
      <c r="A4139" s="348">
        <f t="shared" si="130"/>
        <v>4138</v>
      </c>
      <c r="B4139" s="360">
        <f>DATE('Profit Calculation'!J$6,A$2,A$2+A4139-1)</f>
        <v>46142</v>
      </c>
      <c r="D4139" s="362">
        <f t="shared" ca="1" si="131"/>
        <v>316820244.3327834</v>
      </c>
    </row>
    <row r="4140" spans="1:4">
      <c r="A4140" s="348">
        <f t="shared" si="130"/>
        <v>4139</v>
      </c>
      <c r="B4140" s="360">
        <f>DATE('Profit Calculation'!J$6,A$2,A$2+A4140-1)</f>
        <v>46143</v>
      </c>
      <c r="D4140" s="362">
        <f t="shared" ca="1" si="131"/>
        <v>316941581.02132106</v>
      </c>
    </row>
    <row r="4141" spans="1:4">
      <c r="A4141" s="348">
        <f t="shared" si="130"/>
        <v>4140</v>
      </c>
      <c r="B4141" s="360">
        <f>DATE('Profit Calculation'!J$6,A$2,A$2+A4141-1)</f>
        <v>46144</v>
      </c>
      <c r="D4141" s="362">
        <f t="shared" ca="1" si="131"/>
        <v>317062964.17971736</v>
      </c>
    </row>
    <row r="4142" spans="1:4">
      <c r="A4142" s="348">
        <f t="shared" si="130"/>
        <v>4141</v>
      </c>
      <c r="B4142" s="360">
        <f>DATE('Profit Calculation'!J$6,A$2,A$2+A4142-1)</f>
        <v>46145</v>
      </c>
      <c r="D4142" s="362">
        <f t="shared" ca="1" si="131"/>
        <v>317184393.82576954</v>
      </c>
    </row>
    <row r="4143" spans="1:4">
      <c r="A4143" s="348">
        <f t="shared" si="130"/>
        <v>4142</v>
      </c>
      <c r="B4143" s="360">
        <f>DATE('Profit Calculation'!J$6,A$2,A$2+A4143-1)</f>
        <v>46146</v>
      </c>
      <c r="D4143" s="362">
        <f t="shared" ca="1" si="131"/>
        <v>317305869.97728157</v>
      </c>
    </row>
    <row r="4144" spans="1:4">
      <c r="A4144" s="348">
        <f t="shared" si="130"/>
        <v>4143</v>
      </c>
      <c r="B4144" s="360">
        <f>DATE('Profit Calculation'!J$6,A$2,A$2+A4144-1)</f>
        <v>46147</v>
      </c>
      <c r="D4144" s="362">
        <f t="shared" ca="1" si="131"/>
        <v>317427392.6520642</v>
      </c>
    </row>
    <row r="4145" spans="1:4">
      <c r="A4145" s="348">
        <f t="shared" si="130"/>
        <v>4144</v>
      </c>
      <c r="B4145" s="360">
        <f>DATE('Profit Calculation'!J$6,A$2,A$2+A4145-1)</f>
        <v>46148</v>
      </c>
      <c r="D4145" s="362">
        <f t="shared" ca="1" si="131"/>
        <v>317548961.867935</v>
      </c>
    </row>
    <row r="4146" spans="1:4">
      <c r="A4146" s="348">
        <f t="shared" si="130"/>
        <v>4145</v>
      </c>
      <c r="B4146" s="360">
        <f>DATE('Profit Calculation'!J$6,A$2,A$2+A4146-1)</f>
        <v>46149</v>
      </c>
      <c r="D4146" s="362">
        <f t="shared" ca="1" si="131"/>
        <v>317670577.64271849</v>
      </c>
    </row>
    <row r="4147" spans="1:4">
      <c r="A4147" s="348">
        <f t="shared" si="130"/>
        <v>4146</v>
      </c>
      <c r="B4147" s="360">
        <f>DATE('Profit Calculation'!J$6,A$2,A$2+A4147-1)</f>
        <v>46150</v>
      </c>
      <c r="D4147" s="362">
        <f t="shared" ca="1" si="131"/>
        <v>317792239.99424589</v>
      </c>
    </row>
    <row r="4148" spans="1:4">
      <c r="A4148" s="348">
        <f t="shared" si="130"/>
        <v>4147</v>
      </c>
      <c r="B4148" s="360">
        <f>DATE('Profit Calculation'!J$6,A$2,A$2+A4148-1)</f>
        <v>46151</v>
      </c>
      <c r="D4148" s="362">
        <f t="shared" ca="1" si="131"/>
        <v>317913948.9403553</v>
      </c>
    </row>
    <row r="4149" spans="1:4">
      <c r="A4149" s="348">
        <f t="shared" si="130"/>
        <v>4148</v>
      </c>
      <c r="B4149" s="360">
        <f>DATE('Profit Calculation'!J$6,A$2,A$2+A4149-1)</f>
        <v>46152</v>
      </c>
      <c r="D4149" s="362">
        <f t="shared" ca="1" si="131"/>
        <v>318035704.49889159</v>
      </c>
    </row>
    <row r="4150" spans="1:4">
      <c r="A4150" s="348">
        <f t="shared" si="130"/>
        <v>4149</v>
      </c>
      <c r="B4150" s="360">
        <f>DATE('Profit Calculation'!J$6,A$2,A$2+A4150-1)</f>
        <v>46153</v>
      </c>
      <c r="D4150" s="362">
        <f t="shared" ca="1" si="131"/>
        <v>318157506.68770659</v>
      </c>
    </row>
    <row r="4151" spans="1:4">
      <c r="A4151" s="348">
        <f t="shared" si="130"/>
        <v>4150</v>
      </c>
      <c r="B4151" s="360">
        <f>DATE('Profit Calculation'!J$6,A$2,A$2+A4151-1)</f>
        <v>46154</v>
      </c>
      <c r="D4151" s="362">
        <f t="shared" ca="1" si="131"/>
        <v>318279355.52465886</v>
      </c>
    </row>
    <row r="4152" spans="1:4">
      <c r="A4152" s="348">
        <f t="shared" si="130"/>
        <v>4151</v>
      </c>
      <c r="B4152" s="360">
        <f>DATE('Profit Calculation'!J$6,A$2,A$2+A4152-1)</f>
        <v>46155</v>
      </c>
      <c r="D4152" s="362">
        <f t="shared" ca="1" si="131"/>
        <v>318401251.02761382</v>
      </c>
    </row>
    <row r="4153" spans="1:4">
      <c r="A4153" s="348">
        <f t="shared" si="130"/>
        <v>4152</v>
      </c>
      <c r="B4153" s="360">
        <f>DATE('Profit Calculation'!J$6,A$2,A$2+A4153-1)</f>
        <v>46156</v>
      </c>
      <c r="D4153" s="362">
        <f t="shared" ca="1" si="131"/>
        <v>318523193.21444374</v>
      </c>
    </row>
    <row r="4154" spans="1:4">
      <c r="A4154" s="348">
        <f t="shared" si="130"/>
        <v>4153</v>
      </c>
      <c r="B4154" s="360">
        <f>DATE('Profit Calculation'!J$6,A$2,A$2+A4154-1)</f>
        <v>46157</v>
      </c>
      <c r="D4154" s="362">
        <f t="shared" ca="1" si="131"/>
        <v>318645182.10302776</v>
      </c>
    </row>
    <row r="4155" spans="1:4">
      <c r="A4155" s="348">
        <f t="shared" si="130"/>
        <v>4154</v>
      </c>
      <c r="B4155" s="360">
        <f>DATE('Profit Calculation'!J$6,A$2,A$2+A4155-1)</f>
        <v>46158</v>
      </c>
      <c r="D4155" s="362">
        <f t="shared" ca="1" si="131"/>
        <v>318767217.71125185</v>
      </c>
    </row>
    <row r="4156" spans="1:4">
      <c r="A4156" s="348">
        <f t="shared" si="130"/>
        <v>4155</v>
      </c>
      <c r="B4156" s="360">
        <f>DATE('Profit Calculation'!J$6,A$2,A$2+A4156-1)</f>
        <v>46159</v>
      </c>
      <c r="D4156" s="362">
        <f t="shared" ca="1" si="131"/>
        <v>318889300.0570088</v>
      </c>
    </row>
    <row r="4157" spans="1:4">
      <c r="A4157" s="348">
        <f t="shared" si="130"/>
        <v>4156</v>
      </c>
      <c r="B4157" s="360">
        <f>DATE('Profit Calculation'!J$6,A$2,A$2+A4157-1)</f>
        <v>46160</v>
      </c>
      <c r="D4157" s="362">
        <f t="shared" ca="1" si="131"/>
        <v>319011429.1581983</v>
      </c>
    </row>
    <row r="4158" spans="1:4">
      <c r="A4158" s="348">
        <f t="shared" si="130"/>
        <v>4157</v>
      </c>
      <c r="B4158" s="360">
        <f>DATE('Profit Calculation'!J$6,A$2,A$2+A4158-1)</f>
        <v>46161</v>
      </c>
      <c r="D4158" s="362">
        <f t="shared" ca="1" si="131"/>
        <v>319133605.03272688</v>
      </c>
    </row>
    <row r="4159" spans="1:4">
      <c r="A4159" s="348">
        <f t="shared" si="130"/>
        <v>4158</v>
      </c>
      <c r="B4159" s="360">
        <f>DATE('Profit Calculation'!J$6,A$2,A$2+A4159-1)</f>
        <v>46162</v>
      </c>
      <c r="D4159" s="362">
        <f t="shared" ca="1" si="131"/>
        <v>319255827.69850791</v>
      </c>
    </row>
    <row r="4160" spans="1:4">
      <c r="A4160" s="348">
        <f t="shared" si="130"/>
        <v>4159</v>
      </c>
      <c r="B4160" s="360">
        <f>DATE('Profit Calculation'!J$6,A$2,A$2+A4160-1)</f>
        <v>46163</v>
      </c>
      <c r="D4160" s="362">
        <f t="shared" ca="1" si="131"/>
        <v>319378097.17346162</v>
      </c>
    </row>
    <row r="4161" spans="1:4">
      <c r="A4161" s="348">
        <f t="shared" si="130"/>
        <v>4160</v>
      </c>
      <c r="B4161" s="360">
        <f>DATE('Profit Calculation'!J$6,A$2,A$2+A4161-1)</f>
        <v>46164</v>
      </c>
      <c r="D4161" s="362">
        <f t="shared" ca="1" si="131"/>
        <v>319500413.47551513</v>
      </c>
    </row>
    <row r="4162" spans="1:4">
      <c r="A4162" s="348">
        <f t="shared" si="130"/>
        <v>4161</v>
      </c>
      <c r="B4162" s="360">
        <f>DATE('Profit Calculation'!J$6,A$2,A$2+A4162-1)</f>
        <v>46165</v>
      </c>
      <c r="D4162" s="362">
        <f t="shared" ca="1" si="131"/>
        <v>319622776.6226024</v>
      </c>
    </row>
    <row r="4163" spans="1:4">
      <c r="A4163" s="348">
        <f t="shared" si="130"/>
        <v>4162</v>
      </c>
      <c r="B4163" s="360">
        <f>DATE('Profit Calculation'!J$6,A$2,A$2+A4163-1)</f>
        <v>46166</v>
      </c>
      <c r="D4163" s="362">
        <f t="shared" ca="1" si="131"/>
        <v>319745186.63266432</v>
      </c>
    </row>
    <row r="4164" spans="1:4">
      <c r="A4164" s="348">
        <f t="shared" si="130"/>
        <v>4163</v>
      </c>
      <c r="B4164" s="360">
        <f>DATE('Profit Calculation'!J$6,A$2,A$2+A4164-1)</f>
        <v>46167</v>
      </c>
      <c r="D4164" s="362">
        <f t="shared" ca="1" si="131"/>
        <v>319867643.52364856</v>
      </c>
    </row>
    <row r="4165" spans="1:4">
      <c r="A4165" s="348">
        <f t="shared" ref="A4165:A4228" si="132">A4164+1</f>
        <v>4164</v>
      </c>
      <c r="B4165" s="360">
        <f>DATE('Profit Calculation'!J$6,A$2,A$2+A4165-1)</f>
        <v>46168</v>
      </c>
      <c r="D4165" s="362">
        <f t="shared" ref="D4165:D4228" ca="1" si="133">IF(OR(LOOKUP(B4165,W$1:W$35,W$1:W$35) = B4165, LOOKUP(B4165,X$1:X$35,X$1:X$35) = B4165),LOOKUP(B4165,F:F,G:G),D4164*(1+((IF($Q$18&lt;6,$R$14,IF($Q$18&lt;11,$R$15,$R$16)))))^(1/365))</f>
        <v>319990147.3135097</v>
      </c>
    </row>
    <row r="4166" spans="1:4">
      <c r="A4166" s="348">
        <f t="shared" si="132"/>
        <v>4165</v>
      </c>
      <c r="B4166" s="360">
        <f>DATE('Profit Calculation'!J$6,A$2,A$2+A4166-1)</f>
        <v>46169</v>
      </c>
      <c r="D4166" s="362">
        <f t="shared" ca="1" si="133"/>
        <v>320112698.02020919</v>
      </c>
    </row>
    <row r="4167" spans="1:4">
      <c r="A4167" s="348">
        <f t="shared" si="132"/>
        <v>4166</v>
      </c>
      <c r="B4167" s="360">
        <f>DATE('Profit Calculation'!J$6,A$2,A$2+A4167-1)</f>
        <v>46170</v>
      </c>
      <c r="D4167" s="362">
        <f t="shared" ca="1" si="133"/>
        <v>320235295.66171539</v>
      </c>
    </row>
    <row r="4168" spans="1:4">
      <c r="A4168" s="348">
        <f t="shared" si="132"/>
        <v>4167</v>
      </c>
      <c r="B4168" s="360">
        <f>DATE('Profit Calculation'!J$6,A$2,A$2+A4168-1)</f>
        <v>46171</v>
      </c>
      <c r="D4168" s="362">
        <f t="shared" ca="1" si="133"/>
        <v>320357940.25600356</v>
      </c>
    </row>
    <row r="4169" spans="1:4">
      <c r="A4169" s="348">
        <f t="shared" si="132"/>
        <v>4168</v>
      </c>
      <c r="B4169" s="360">
        <f>DATE('Profit Calculation'!J$6,A$2,A$2+A4169-1)</f>
        <v>46172</v>
      </c>
      <c r="D4169" s="362">
        <f t="shared" ca="1" si="133"/>
        <v>320480631.82105571</v>
      </c>
    </row>
    <row r="4170" spans="1:4">
      <c r="A4170" s="348">
        <f t="shared" si="132"/>
        <v>4169</v>
      </c>
      <c r="B4170" s="360">
        <f>DATE('Profit Calculation'!J$6,A$2,A$2+A4170-1)</f>
        <v>46173</v>
      </c>
      <c r="D4170" s="362">
        <f t="shared" ca="1" si="133"/>
        <v>320603370.37486094</v>
      </c>
    </row>
    <row r="4171" spans="1:4">
      <c r="A4171" s="348">
        <f t="shared" si="132"/>
        <v>4170</v>
      </c>
      <c r="B4171" s="360">
        <f>DATE('Profit Calculation'!J$6,A$2,A$2+A4171-1)</f>
        <v>46174</v>
      </c>
      <c r="D4171" s="362">
        <f t="shared" ca="1" si="133"/>
        <v>320726155.93541503</v>
      </c>
    </row>
    <row r="4172" spans="1:4">
      <c r="A4172" s="348">
        <f t="shared" si="132"/>
        <v>4171</v>
      </c>
      <c r="B4172" s="360">
        <f>DATE('Profit Calculation'!J$6,A$2,A$2+A4172-1)</f>
        <v>46175</v>
      </c>
      <c r="D4172" s="362">
        <f t="shared" ca="1" si="133"/>
        <v>320848988.52072084</v>
      </c>
    </row>
    <row r="4173" spans="1:4">
      <c r="A4173" s="348">
        <f t="shared" si="132"/>
        <v>4172</v>
      </c>
      <c r="B4173" s="360">
        <f>DATE('Profit Calculation'!J$6,A$2,A$2+A4173-1)</f>
        <v>46176</v>
      </c>
      <c r="D4173" s="362">
        <f t="shared" ca="1" si="133"/>
        <v>320971868.14878798</v>
      </c>
    </row>
    <row r="4174" spans="1:4">
      <c r="A4174" s="348">
        <f t="shared" si="132"/>
        <v>4173</v>
      </c>
      <c r="B4174" s="360">
        <f>DATE('Profit Calculation'!J$6,A$2,A$2+A4174-1)</f>
        <v>46177</v>
      </c>
      <c r="D4174" s="362">
        <f t="shared" ca="1" si="133"/>
        <v>321094794.83763301</v>
      </c>
    </row>
    <row r="4175" spans="1:4">
      <c r="A4175" s="348">
        <f t="shared" si="132"/>
        <v>4174</v>
      </c>
      <c r="B4175" s="360">
        <f>DATE('Profit Calculation'!J$6,A$2,A$2+A4175-1)</f>
        <v>46178</v>
      </c>
      <c r="D4175" s="362">
        <f t="shared" ca="1" si="133"/>
        <v>321217768.60527945</v>
      </c>
    </row>
    <row r="4176" spans="1:4">
      <c r="A4176" s="348">
        <f t="shared" si="132"/>
        <v>4175</v>
      </c>
      <c r="B4176" s="360">
        <f>DATE('Profit Calculation'!J$6,A$2,A$2+A4176-1)</f>
        <v>46179</v>
      </c>
      <c r="D4176" s="362">
        <f t="shared" ca="1" si="133"/>
        <v>321340789.46975768</v>
      </c>
    </row>
    <row r="4177" spans="1:4">
      <c r="A4177" s="348">
        <f t="shared" si="132"/>
        <v>4176</v>
      </c>
      <c r="B4177" s="360">
        <f>DATE('Profit Calculation'!J$6,A$2,A$2+A4177-1)</f>
        <v>46180</v>
      </c>
      <c r="D4177" s="362">
        <f t="shared" ca="1" si="133"/>
        <v>321463857.44910491</v>
      </c>
    </row>
    <row r="4178" spans="1:4">
      <c r="A4178" s="348">
        <f t="shared" si="132"/>
        <v>4177</v>
      </c>
      <c r="B4178" s="360">
        <f>DATE('Profit Calculation'!J$6,A$2,A$2+A4178-1)</f>
        <v>46181</v>
      </c>
      <c r="D4178" s="362">
        <f t="shared" ca="1" si="133"/>
        <v>321586972.56136537</v>
      </c>
    </row>
    <row r="4179" spans="1:4">
      <c r="A4179" s="348">
        <f t="shared" si="132"/>
        <v>4178</v>
      </c>
      <c r="B4179" s="360">
        <f>DATE('Profit Calculation'!J$6,A$2,A$2+A4179-1)</f>
        <v>46182</v>
      </c>
      <c r="D4179" s="362">
        <f t="shared" ca="1" si="133"/>
        <v>321710134.82459009</v>
      </c>
    </row>
    <row r="4180" spans="1:4">
      <c r="A4180" s="348">
        <f t="shared" si="132"/>
        <v>4179</v>
      </c>
      <c r="B4180" s="360">
        <f>DATE('Profit Calculation'!J$6,A$2,A$2+A4180-1)</f>
        <v>46183</v>
      </c>
      <c r="D4180" s="362">
        <f t="shared" ca="1" si="133"/>
        <v>321833344.25683713</v>
      </c>
    </row>
    <row r="4181" spans="1:4">
      <c r="A4181" s="348">
        <f t="shared" si="132"/>
        <v>4180</v>
      </c>
      <c r="B4181" s="360">
        <f>DATE('Profit Calculation'!J$6,A$2,A$2+A4181-1)</f>
        <v>46184</v>
      </c>
      <c r="D4181" s="362">
        <f t="shared" ca="1" si="133"/>
        <v>321956600.87617141</v>
      </c>
    </row>
    <row r="4182" spans="1:4">
      <c r="A4182" s="348">
        <f t="shared" si="132"/>
        <v>4181</v>
      </c>
      <c r="B4182" s="360">
        <f>DATE('Profit Calculation'!J$6,A$2,A$2+A4182-1)</f>
        <v>46185</v>
      </c>
      <c r="D4182" s="362">
        <f t="shared" ca="1" si="133"/>
        <v>322079904.70066476</v>
      </c>
    </row>
    <row r="4183" spans="1:4">
      <c r="A4183" s="348">
        <f t="shared" si="132"/>
        <v>4182</v>
      </c>
      <c r="B4183" s="360">
        <f>DATE('Profit Calculation'!J$6,A$2,A$2+A4183-1)</f>
        <v>46186</v>
      </c>
      <c r="D4183" s="362">
        <f t="shared" ca="1" si="133"/>
        <v>322203255.74839592</v>
      </c>
    </row>
    <row r="4184" spans="1:4">
      <c r="A4184" s="348">
        <f t="shared" si="132"/>
        <v>4183</v>
      </c>
      <c r="B4184" s="360">
        <f>DATE('Profit Calculation'!J$6,A$2,A$2+A4184-1)</f>
        <v>46187</v>
      </c>
      <c r="D4184" s="362">
        <f t="shared" ca="1" si="133"/>
        <v>322326654.03745061</v>
      </c>
    </row>
    <row r="4185" spans="1:4">
      <c r="A4185" s="348">
        <f t="shared" si="132"/>
        <v>4184</v>
      </c>
      <c r="B4185" s="360">
        <f>DATE('Profit Calculation'!J$6,A$2,A$2+A4185-1)</f>
        <v>46188</v>
      </c>
      <c r="D4185" s="362">
        <f t="shared" ca="1" si="133"/>
        <v>322450099.58592147</v>
      </c>
    </row>
    <row r="4186" spans="1:4">
      <c r="A4186" s="348">
        <f t="shared" si="132"/>
        <v>4185</v>
      </c>
      <c r="B4186" s="360">
        <f>DATE('Profit Calculation'!J$6,A$2,A$2+A4186-1)</f>
        <v>46189</v>
      </c>
      <c r="D4186" s="362">
        <f t="shared" ca="1" si="133"/>
        <v>322573592.41190797</v>
      </c>
    </row>
    <row r="4187" spans="1:4">
      <c r="A4187" s="348">
        <f t="shared" si="132"/>
        <v>4186</v>
      </c>
      <c r="B4187" s="360">
        <f>DATE('Profit Calculation'!J$6,A$2,A$2+A4187-1)</f>
        <v>46190</v>
      </c>
      <c r="D4187" s="362">
        <f t="shared" ca="1" si="133"/>
        <v>322697132.53351659</v>
      </c>
    </row>
    <row r="4188" spans="1:4">
      <c r="A4188" s="348">
        <f t="shared" si="132"/>
        <v>4187</v>
      </c>
      <c r="B4188" s="360">
        <f>DATE('Profit Calculation'!J$6,A$2,A$2+A4188-1)</f>
        <v>46191</v>
      </c>
      <c r="D4188" s="362">
        <f t="shared" ca="1" si="133"/>
        <v>322820719.96886081</v>
      </c>
    </row>
    <row r="4189" spans="1:4">
      <c r="A4189" s="348">
        <f t="shared" si="132"/>
        <v>4188</v>
      </c>
      <c r="B4189" s="360">
        <f>DATE('Profit Calculation'!J$6,A$2,A$2+A4189-1)</f>
        <v>46192</v>
      </c>
      <c r="D4189" s="362">
        <f t="shared" ca="1" si="133"/>
        <v>322944354.73606092</v>
      </c>
    </row>
    <row r="4190" spans="1:4">
      <c r="A4190" s="348">
        <f t="shared" si="132"/>
        <v>4189</v>
      </c>
      <c r="B4190" s="360">
        <f>DATE('Profit Calculation'!J$6,A$2,A$2+A4190-1)</f>
        <v>46193</v>
      </c>
      <c r="D4190" s="362">
        <f t="shared" ca="1" si="133"/>
        <v>323068036.85324419</v>
      </c>
    </row>
    <row r="4191" spans="1:4">
      <c r="A4191" s="348">
        <f t="shared" si="132"/>
        <v>4190</v>
      </c>
      <c r="B4191" s="360">
        <f>DATE('Profit Calculation'!J$6,A$2,A$2+A4191-1)</f>
        <v>46194</v>
      </c>
      <c r="D4191" s="362">
        <f t="shared" ca="1" si="133"/>
        <v>323191766.33854485</v>
      </c>
    </row>
    <row r="4192" spans="1:4">
      <c r="A4192" s="348">
        <f t="shared" si="132"/>
        <v>4191</v>
      </c>
      <c r="B4192" s="360">
        <f>DATE('Profit Calculation'!J$6,A$2,A$2+A4192-1)</f>
        <v>46195</v>
      </c>
      <c r="D4192" s="362">
        <f t="shared" ca="1" si="133"/>
        <v>323315543.21010411</v>
      </c>
    </row>
    <row r="4193" spans="1:4">
      <c r="A4193" s="348">
        <f t="shared" si="132"/>
        <v>4192</v>
      </c>
      <c r="B4193" s="360">
        <f>DATE('Profit Calculation'!J$6,A$2,A$2+A4193-1)</f>
        <v>46196</v>
      </c>
      <c r="D4193" s="362">
        <f t="shared" ca="1" si="133"/>
        <v>323439367.48607004</v>
      </c>
    </row>
    <row r="4194" spans="1:4">
      <c r="A4194" s="348">
        <f t="shared" si="132"/>
        <v>4193</v>
      </c>
      <c r="B4194" s="360">
        <f>DATE('Profit Calculation'!J$6,A$2,A$2+A4194-1)</f>
        <v>46197</v>
      </c>
      <c r="D4194" s="362">
        <f t="shared" ca="1" si="133"/>
        <v>323563239.18459773</v>
      </c>
    </row>
    <row r="4195" spans="1:4">
      <c r="A4195" s="348">
        <f t="shared" si="132"/>
        <v>4194</v>
      </c>
      <c r="B4195" s="360">
        <f>DATE('Profit Calculation'!J$6,A$2,A$2+A4195-1)</f>
        <v>46198</v>
      </c>
      <c r="D4195" s="362">
        <f t="shared" ca="1" si="133"/>
        <v>323687158.32384926</v>
      </c>
    </row>
    <row r="4196" spans="1:4">
      <c r="A4196" s="348">
        <f t="shared" si="132"/>
        <v>4195</v>
      </c>
      <c r="B4196" s="360">
        <f>DATE('Profit Calculation'!J$6,A$2,A$2+A4196-1)</f>
        <v>46199</v>
      </c>
      <c r="D4196" s="362">
        <f t="shared" ca="1" si="133"/>
        <v>323811124.92199355</v>
      </c>
    </row>
    <row r="4197" spans="1:4">
      <c r="A4197" s="348">
        <f t="shared" si="132"/>
        <v>4196</v>
      </c>
      <c r="B4197" s="360">
        <f>DATE('Profit Calculation'!J$6,A$2,A$2+A4197-1)</f>
        <v>46200</v>
      </c>
      <c r="D4197" s="362">
        <f t="shared" ca="1" si="133"/>
        <v>323935138.99720657</v>
      </c>
    </row>
    <row r="4198" spans="1:4">
      <c r="A4198" s="348">
        <f t="shared" si="132"/>
        <v>4197</v>
      </c>
      <c r="B4198" s="360">
        <f>DATE('Profit Calculation'!J$6,A$2,A$2+A4198-1)</f>
        <v>46201</v>
      </c>
      <c r="D4198" s="362">
        <f t="shared" ca="1" si="133"/>
        <v>324059200.56767118</v>
      </c>
    </row>
    <row r="4199" spans="1:4">
      <c r="A4199" s="348">
        <f t="shared" si="132"/>
        <v>4198</v>
      </c>
      <c r="B4199" s="360">
        <f>DATE('Profit Calculation'!J$6,A$2,A$2+A4199-1)</f>
        <v>46202</v>
      </c>
      <c r="D4199" s="362">
        <f t="shared" ca="1" si="133"/>
        <v>324183309.65157723</v>
      </c>
    </row>
    <row r="4200" spans="1:4">
      <c r="A4200" s="348">
        <f t="shared" si="132"/>
        <v>4199</v>
      </c>
      <c r="B4200" s="360">
        <f>DATE('Profit Calculation'!J$6,A$2,A$2+A4200-1)</f>
        <v>46203</v>
      </c>
      <c r="D4200" s="362">
        <f t="shared" ca="1" si="133"/>
        <v>324307466.26712161</v>
      </c>
    </row>
    <row r="4201" spans="1:4">
      <c r="A4201" s="348">
        <f t="shared" si="132"/>
        <v>4200</v>
      </c>
      <c r="B4201" s="360">
        <f>DATE('Profit Calculation'!J$6,A$2,A$2+A4201-1)</f>
        <v>46204</v>
      </c>
      <c r="D4201" s="362">
        <f t="shared" ca="1" si="133"/>
        <v>324431670.43250805</v>
      </c>
    </row>
    <row r="4202" spans="1:4">
      <c r="A4202" s="348">
        <f t="shared" si="132"/>
        <v>4201</v>
      </c>
      <c r="B4202" s="360">
        <f>DATE('Profit Calculation'!J$6,A$2,A$2+A4202-1)</f>
        <v>46205</v>
      </c>
      <c r="D4202" s="362">
        <f t="shared" ca="1" si="133"/>
        <v>324555922.16594738</v>
      </c>
    </row>
    <row r="4203" spans="1:4">
      <c r="A4203" s="348">
        <f t="shared" si="132"/>
        <v>4202</v>
      </c>
      <c r="B4203" s="360">
        <f>DATE('Profit Calculation'!J$6,A$2,A$2+A4203-1)</f>
        <v>46206</v>
      </c>
      <c r="D4203" s="362">
        <f t="shared" ca="1" si="133"/>
        <v>324680221.48565727</v>
      </c>
    </row>
    <row r="4204" spans="1:4">
      <c r="A4204" s="348">
        <f t="shared" si="132"/>
        <v>4203</v>
      </c>
      <c r="B4204" s="360">
        <f>DATE('Profit Calculation'!J$6,A$2,A$2+A4204-1)</f>
        <v>46207</v>
      </c>
      <c r="D4204" s="362">
        <f t="shared" ca="1" si="133"/>
        <v>324804568.40986252</v>
      </c>
    </row>
    <row r="4205" spans="1:4">
      <c r="A4205" s="348">
        <f t="shared" si="132"/>
        <v>4204</v>
      </c>
      <c r="B4205" s="360">
        <f>DATE('Profit Calculation'!J$6,A$2,A$2+A4205-1)</f>
        <v>46208</v>
      </c>
      <c r="D4205" s="362">
        <f t="shared" ca="1" si="133"/>
        <v>324928962.9567948</v>
      </c>
    </row>
    <row r="4206" spans="1:4">
      <c r="A4206" s="348">
        <f t="shared" si="132"/>
        <v>4205</v>
      </c>
      <c r="B4206" s="360">
        <f>DATE('Profit Calculation'!J$6,A$2,A$2+A4206-1)</f>
        <v>46209</v>
      </c>
      <c r="D4206" s="362">
        <f t="shared" ca="1" si="133"/>
        <v>325053405.14469278</v>
      </c>
    </row>
    <row r="4207" spans="1:4">
      <c r="A4207" s="348">
        <f t="shared" si="132"/>
        <v>4206</v>
      </c>
      <c r="B4207" s="360">
        <f>DATE('Profit Calculation'!J$6,A$2,A$2+A4207-1)</f>
        <v>46210</v>
      </c>
      <c r="D4207" s="362">
        <f t="shared" ca="1" si="133"/>
        <v>325177894.99180216</v>
      </c>
    </row>
    <row r="4208" spans="1:4">
      <c r="A4208" s="348">
        <f t="shared" si="132"/>
        <v>4207</v>
      </c>
      <c r="B4208" s="360">
        <f>DATE('Profit Calculation'!J$6,A$2,A$2+A4208-1)</f>
        <v>46211</v>
      </c>
      <c r="D4208" s="362">
        <f t="shared" ca="1" si="133"/>
        <v>325302432.51637554</v>
      </c>
    </row>
    <row r="4209" spans="1:4">
      <c r="A4209" s="348">
        <f t="shared" si="132"/>
        <v>4208</v>
      </c>
      <c r="B4209" s="360">
        <f>DATE('Profit Calculation'!J$6,A$2,A$2+A4209-1)</f>
        <v>46212</v>
      </c>
      <c r="D4209" s="362">
        <f t="shared" ca="1" si="133"/>
        <v>325427017.73667264</v>
      </c>
    </row>
    <row r="4210" spans="1:4">
      <c r="A4210" s="348">
        <f t="shared" si="132"/>
        <v>4209</v>
      </c>
      <c r="B4210" s="360">
        <f>DATE('Profit Calculation'!J$6,A$2,A$2+A4210-1)</f>
        <v>46213</v>
      </c>
      <c r="D4210" s="362">
        <f t="shared" ca="1" si="133"/>
        <v>325551650.67096007</v>
      </c>
    </row>
    <row r="4211" spans="1:4">
      <c r="A4211" s="348">
        <f t="shared" si="132"/>
        <v>4210</v>
      </c>
      <c r="B4211" s="360">
        <f>DATE('Profit Calculation'!J$6,A$2,A$2+A4211-1)</f>
        <v>46214</v>
      </c>
      <c r="D4211" s="362">
        <f t="shared" ca="1" si="133"/>
        <v>325676331.33751142</v>
      </c>
    </row>
    <row r="4212" spans="1:4">
      <c r="A4212" s="348">
        <f t="shared" si="132"/>
        <v>4211</v>
      </c>
      <c r="B4212" s="360">
        <f>DATE('Profit Calculation'!J$6,A$2,A$2+A4212-1)</f>
        <v>46215</v>
      </c>
      <c r="D4212" s="362">
        <f t="shared" ca="1" si="133"/>
        <v>325801059.75460738</v>
      </c>
    </row>
    <row r="4213" spans="1:4">
      <c r="A4213" s="348">
        <f t="shared" si="132"/>
        <v>4212</v>
      </c>
      <c r="B4213" s="360">
        <f>DATE('Profit Calculation'!J$6,A$2,A$2+A4213-1)</f>
        <v>46216</v>
      </c>
      <c r="D4213" s="362">
        <f t="shared" ca="1" si="133"/>
        <v>325925835.94053555</v>
      </c>
    </row>
    <row r="4214" spans="1:4">
      <c r="A4214" s="348">
        <f t="shared" si="132"/>
        <v>4213</v>
      </c>
      <c r="B4214" s="360">
        <f>DATE('Profit Calculation'!J$6,A$2,A$2+A4214-1)</f>
        <v>46217</v>
      </c>
      <c r="D4214" s="362">
        <f t="shared" ca="1" si="133"/>
        <v>326050659.91359061</v>
      </c>
    </row>
    <row r="4215" spans="1:4">
      <c r="A4215" s="348">
        <f t="shared" si="132"/>
        <v>4214</v>
      </c>
      <c r="B4215" s="360">
        <f>DATE('Profit Calculation'!J$6,A$2,A$2+A4215-1)</f>
        <v>46218</v>
      </c>
      <c r="D4215" s="362">
        <f t="shared" ca="1" si="133"/>
        <v>326175531.69207418</v>
      </c>
    </row>
    <row r="4216" spans="1:4">
      <c r="A4216" s="348">
        <f t="shared" si="132"/>
        <v>4215</v>
      </c>
      <c r="B4216" s="360">
        <f>DATE('Profit Calculation'!J$6,A$2,A$2+A4216-1)</f>
        <v>46219</v>
      </c>
      <c r="D4216" s="362">
        <f t="shared" ca="1" si="133"/>
        <v>326300451.29429489</v>
      </c>
    </row>
    <row r="4217" spans="1:4">
      <c r="A4217" s="348">
        <f t="shared" si="132"/>
        <v>4216</v>
      </c>
      <c r="B4217" s="360">
        <f>DATE('Profit Calculation'!J$6,A$2,A$2+A4217-1)</f>
        <v>46220</v>
      </c>
      <c r="D4217" s="362">
        <f t="shared" ca="1" si="133"/>
        <v>326425418.73856843</v>
      </c>
    </row>
    <row r="4218" spans="1:4">
      <c r="A4218" s="348">
        <f t="shared" si="132"/>
        <v>4217</v>
      </c>
      <c r="B4218" s="360">
        <f>DATE('Profit Calculation'!J$6,A$2,A$2+A4218-1)</f>
        <v>46221</v>
      </c>
      <c r="D4218" s="362">
        <f t="shared" ca="1" si="133"/>
        <v>326550434.04321748</v>
      </c>
    </row>
    <row r="4219" spans="1:4">
      <c r="A4219" s="348">
        <f t="shared" si="132"/>
        <v>4218</v>
      </c>
      <c r="B4219" s="360">
        <f>DATE('Profit Calculation'!J$6,A$2,A$2+A4219-1)</f>
        <v>46222</v>
      </c>
      <c r="D4219" s="362">
        <f t="shared" ca="1" si="133"/>
        <v>326675497.22657174</v>
      </c>
    </row>
    <row r="4220" spans="1:4">
      <c r="A4220" s="348">
        <f t="shared" si="132"/>
        <v>4219</v>
      </c>
      <c r="B4220" s="360">
        <f>DATE('Profit Calculation'!J$6,A$2,A$2+A4220-1)</f>
        <v>46223</v>
      </c>
      <c r="D4220" s="362">
        <f t="shared" ca="1" si="133"/>
        <v>326800608.30696791</v>
      </c>
    </row>
    <row r="4221" spans="1:4">
      <c r="A4221" s="348">
        <f t="shared" si="132"/>
        <v>4220</v>
      </c>
      <c r="B4221" s="360">
        <f>DATE('Profit Calculation'!J$6,A$2,A$2+A4221-1)</f>
        <v>46224</v>
      </c>
      <c r="D4221" s="362">
        <f t="shared" ca="1" si="133"/>
        <v>326925767.30274975</v>
      </c>
    </row>
    <row r="4222" spans="1:4">
      <c r="A4222" s="348">
        <f t="shared" si="132"/>
        <v>4221</v>
      </c>
      <c r="B4222" s="360">
        <f>DATE('Profit Calculation'!J$6,A$2,A$2+A4222-1)</f>
        <v>46225</v>
      </c>
      <c r="D4222" s="362">
        <f t="shared" ca="1" si="133"/>
        <v>327050974.23226804</v>
      </c>
    </row>
    <row r="4223" spans="1:4">
      <c r="A4223" s="348">
        <f t="shared" si="132"/>
        <v>4222</v>
      </c>
      <c r="B4223" s="360">
        <f>DATE('Profit Calculation'!J$6,A$2,A$2+A4223-1)</f>
        <v>46226</v>
      </c>
      <c r="D4223" s="362">
        <f t="shared" ca="1" si="133"/>
        <v>327176229.11388057</v>
      </c>
    </row>
    <row r="4224" spans="1:4">
      <c r="A4224" s="348">
        <f t="shared" si="132"/>
        <v>4223</v>
      </c>
      <c r="B4224" s="360">
        <f>DATE('Profit Calculation'!J$6,A$2,A$2+A4224-1)</f>
        <v>46227</v>
      </c>
      <c r="D4224" s="362">
        <f t="shared" ca="1" si="133"/>
        <v>327301531.96595216</v>
      </c>
    </row>
    <row r="4225" spans="1:4">
      <c r="A4225" s="348">
        <f t="shared" si="132"/>
        <v>4224</v>
      </c>
      <c r="B4225" s="360">
        <f>DATE('Profit Calculation'!J$6,A$2,A$2+A4225-1)</f>
        <v>46228</v>
      </c>
      <c r="D4225" s="362">
        <f t="shared" ca="1" si="133"/>
        <v>327426882.80685467</v>
      </c>
    </row>
    <row r="4226" spans="1:4">
      <c r="A4226" s="348">
        <f t="shared" si="132"/>
        <v>4225</v>
      </c>
      <c r="B4226" s="360">
        <f>DATE('Profit Calculation'!J$6,A$2,A$2+A4226-1)</f>
        <v>46229</v>
      </c>
      <c r="D4226" s="362">
        <f t="shared" ca="1" si="133"/>
        <v>327552281.65496695</v>
      </c>
    </row>
    <row r="4227" spans="1:4">
      <c r="A4227" s="348">
        <f t="shared" si="132"/>
        <v>4226</v>
      </c>
      <c r="B4227" s="360">
        <f>DATE('Profit Calculation'!J$6,A$2,A$2+A4227-1)</f>
        <v>46230</v>
      </c>
      <c r="D4227" s="362">
        <f t="shared" ca="1" si="133"/>
        <v>327677728.52867496</v>
      </c>
    </row>
    <row r="4228" spans="1:4">
      <c r="A4228" s="348">
        <f t="shared" si="132"/>
        <v>4227</v>
      </c>
      <c r="B4228" s="360">
        <f>DATE('Profit Calculation'!J$6,A$2,A$2+A4228-1)</f>
        <v>46231</v>
      </c>
      <c r="D4228" s="362">
        <f t="shared" ca="1" si="133"/>
        <v>327803223.44637173</v>
      </c>
    </row>
    <row r="4229" spans="1:4">
      <c r="A4229" s="348">
        <f t="shared" ref="A4229:A4292" si="134">A4228+1</f>
        <v>4228</v>
      </c>
      <c r="B4229" s="360">
        <f>DATE('Profit Calculation'!J$6,A$2,A$2+A4229-1)</f>
        <v>46232</v>
      </c>
      <c r="D4229" s="362">
        <f t="shared" ref="D4229:D4292" ca="1" si="135">IF(OR(LOOKUP(B4229,W$1:W$35,W$1:W$35) = B4229, LOOKUP(B4229,X$1:X$35,X$1:X$35) = B4229),LOOKUP(B4229,F:F,G:G),D4228*(1+((IF($Q$18&lt;6,$R$14,IF($Q$18&lt;11,$R$15,$R$16)))))^(1/365))</f>
        <v>327928766.42645723</v>
      </c>
    </row>
    <row r="4230" spans="1:4">
      <c r="A4230" s="348">
        <f t="shared" si="134"/>
        <v>4229</v>
      </c>
      <c r="B4230" s="360">
        <f>DATE('Profit Calculation'!J$6,A$2,A$2+A4230-1)</f>
        <v>46233</v>
      </c>
      <c r="D4230" s="362">
        <f t="shared" ca="1" si="135"/>
        <v>328054357.48733848</v>
      </c>
    </row>
    <row r="4231" spans="1:4">
      <c r="A4231" s="348">
        <f t="shared" si="134"/>
        <v>4230</v>
      </c>
      <c r="B4231" s="360">
        <f>DATE('Profit Calculation'!J$6,A$2,A$2+A4231-1)</f>
        <v>46234</v>
      </c>
      <c r="D4231" s="362">
        <f t="shared" ca="1" si="135"/>
        <v>328179996.64742965</v>
      </c>
    </row>
    <row r="4232" spans="1:4">
      <c r="A4232" s="348">
        <f t="shared" si="134"/>
        <v>4231</v>
      </c>
      <c r="B4232" s="360">
        <f>DATE('Profit Calculation'!J$6,A$2,A$2+A4232-1)</f>
        <v>46235</v>
      </c>
      <c r="D4232" s="362">
        <f t="shared" ca="1" si="135"/>
        <v>328305683.92515194</v>
      </c>
    </row>
    <row r="4233" spans="1:4">
      <c r="A4233" s="348">
        <f t="shared" si="134"/>
        <v>4232</v>
      </c>
      <c r="B4233" s="360">
        <f>DATE('Profit Calculation'!J$6,A$2,A$2+A4233-1)</f>
        <v>46236</v>
      </c>
      <c r="D4233" s="362">
        <f t="shared" ca="1" si="135"/>
        <v>328431419.33893353</v>
      </c>
    </row>
    <row r="4234" spans="1:4">
      <c r="A4234" s="348">
        <f t="shared" si="134"/>
        <v>4233</v>
      </c>
      <c r="B4234" s="360">
        <f>DATE('Profit Calculation'!J$6,A$2,A$2+A4234-1)</f>
        <v>46237</v>
      </c>
      <c r="D4234" s="362">
        <f t="shared" ca="1" si="135"/>
        <v>328557202.90720969</v>
      </c>
    </row>
    <row r="4235" spans="1:4">
      <c r="A4235" s="348">
        <f t="shared" si="134"/>
        <v>4234</v>
      </c>
      <c r="B4235" s="360">
        <f>DATE('Profit Calculation'!J$6,A$2,A$2+A4235-1)</f>
        <v>46238</v>
      </c>
      <c r="D4235" s="362">
        <f t="shared" ca="1" si="135"/>
        <v>328683034.64842278</v>
      </c>
    </row>
    <row r="4236" spans="1:4">
      <c r="A4236" s="348">
        <f t="shared" si="134"/>
        <v>4235</v>
      </c>
      <c r="B4236" s="360">
        <f>DATE('Profit Calculation'!J$6,A$2,A$2+A4236-1)</f>
        <v>46239</v>
      </c>
      <c r="D4236" s="362">
        <f t="shared" ca="1" si="135"/>
        <v>328808914.5810222</v>
      </c>
    </row>
    <row r="4237" spans="1:4">
      <c r="A4237" s="348">
        <f t="shared" si="134"/>
        <v>4236</v>
      </c>
      <c r="B4237" s="360">
        <f>DATE('Profit Calculation'!J$6,A$2,A$2+A4237-1)</f>
        <v>46240</v>
      </c>
      <c r="D4237" s="362">
        <f t="shared" ca="1" si="135"/>
        <v>328934842.72346443</v>
      </c>
    </row>
    <row r="4238" spans="1:4">
      <c r="A4238" s="348">
        <f t="shared" si="134"/>
        <v>4237</v>
      </c>
      <c r="B4238" s="360">
        <f>DATE('Profit Calculation'!J$6,A$2,A$2+A4238-1)</f>
        <v>46241</v>
      </c>
      <c r="D4238" s="362">
        <f t="shared" ca="1" si="135"/>
        <v>329060819.09421301</v>
      </c>
    </row>
    <row r="4239" spans="1:4">
      <c r="A4239" s="348">
        <f t="shared" si="134"/>
        <v>4238</v>
      </c>
      <c r="B4239" s="360">
        <f>DATE('Profit Calculation'!J$6,A$2,A$2+A4239-1)</f>
        <v>46242</v>
      </c>
      <c r="D4239" s="362">
        <f t="shared" ca="1" si="135"/>
        <v>329186843.71173853</v>
      </c>
    </row>
    <row r="4240" spans="1:4">
      <c r="A4240" s="348">
        <f t="shared" si="134"/>
        <v>4239</v>
      </c>
      <c r="B4240" s="360">
        <f>DATE('Profit Calculation'!J$6,A$2,A$2+A4240-1)</f>
        <v>46243</v>
      </c>
      <c r="D4240" s="362">
        <f t="shared" ca="1" si="135"/>
        <v>329312916.59451866</v>
      </c>
    </row>
    <row r="4241" spans="1:4">
      <c r="A4241" s="348">
        <f t="shared" si="134"/>
        <v>4240</v>
      </c>
      <c r="B4241" s="360">
        <f>DATE('Profit Calculation'!J$6,A$2,A$2+A4241-1)</f>
        <v>46244</v>
      </c>
      <c r="D4241" s="362">
        <f t="shared" ca="1" si="135"/>
        <v>329439037.76103818</v>
      </c>
    </row>
    <row r="4242" spans="1:4">
      <c r="A4242" s="348">
        <f t="shared" si="134"/>
        <v>4241</v>
      </c>
      <c r="B4242" s="360">
        <f>DATE('Profit Calculation'!J$6,A$2,A$2+A4242-1)</f>
        <v>46245</v>
      </c>
      <c r="D4242" s="362">
        <f t="shared" ca="1" si="135"/>
        <v>329565207.22978896</v>
      </c>
    </row>
    <row r="4243" spans="1:4">
      <c r="A4243" s="348">
        <f t="shared" si="134"/>
        <v>4242</v>
      </c>
      <c r="B4243" s="360">
        <f>DATE('Profit Calculation'!J$6,A$2,A$2+A4243-1)</f>
        <v>46246</v>
      </c>
      <c r="D4243" s="362">
        <f t="shared" ca="1" si="135"/>
        <v>329691425.01926988</v>
      </c>
    </row>
    <row r="4244" spans="1:4">
      <c r="A4244" s="348">
        <f t="shared" si="134"/>
        <v>4243</v>
      </c>
      <c r="B4244" s="360">
        <f>DATE('Profit Calculation'!J$6,A$2,A$2+A4244-1)</f>
        <v>46247</v>
      </c>
      <c r="D4244" s="362">
        <f t="shared" ca="1" si="135"/>
        <v>329817691.14798695</v>
      </c>
    </row>
    <row r="4245" spans="1:4">
      <c r="A4245" s="348">
        <f t="shared" si="134"/>
        <v>4244</v>
      </c>
      <c r="B4245" s="360">
        <f>DATE('Profit Calculation'!J$6,A$2,A$2+A4245-1)</f>
        <v>46248</v>
      </c>
      <c r="D4245" s="362">
        <f t="shared" ca="1" si="135"/>
        <v>329944005.63445324</v>
      </c>
    </row>
    <row r="4246" spans="1:4">
      <c r="A4246" s="348">
        <f t="shared" si="134"/>
        <v>4245</v>
      </c>
      <c r="B4246" s="360">
        <f>DATE('Profit Calculation'!J$6,A$2,A$2+A4246-1)</f>
        <v>46249</v>
      </c>
      <c r="D4246" s="362">
        <f t="shared" ca="1" si="135"/>
        <v>330070368.49718899</v>
      </c>
    </row>
    <row r="4247" spans="1:4">
      <c r="A4247" s="348">
        <f t="shared" si="134"/>
        <v>4246</v>
      </c>
      <c r="B4247" s="360">
        <f>DATE('Profit Calculation'!J$6,A$2,A$2+A4247-1)</f>
        <v>46250</v>
      </c>
      <c r="D4247" s="362">
        <f t="shared" ca="1" si="135"/>
        <v>330196779.75472146</v>
      </c>
    </row>
    <row r="4248" spans="1:4">
      <c r="A4248" s="348">
        <f t="shared" si="134"/>
        <v>4247</v>
      </c>
      <c r="B4248" s="360">
        <f>DATE('Profit Calculation'!J$6,A$2,A$2+A4248-1)</f>
        <v>46251</v>
      </c>
      <c r="D4248" s="362">
        <f t="shared" ca="1" si="135"/>
        <v>330323239.42558503</v>
      </c>
    </row>
    <row r="4249" spans="1:4">
      <c r="A4249" s="348">
        <f t="shared" si="134"/>
        <v>4248</v>
      </c>
      <c r="B4249" s="360">
        <f>DATE('Profit Calculation'!J$6,A$2,A$2+A4249-1)</f>
        <v>46252</v>
      </c>
      <c r="D4249" s="362">
        <f t="shared" ca="1" si="135"/>
        <v>330449747.52832115</v>
      </c>
    </row>
    <row r="4250" spans="1:4">
      <c r="A4250" s="348">
        <f t="shared" si="134"/>
        <v>4249</v>
      </c>
      <c r="B4250" s="360">
        <f>DATE('Profit Calculation'!J$6,A$2,A$2+A4250-1)</f>
        <v>46253</v>
      </c>
      <c r="D4250" s="362">
        <f t="shared" ca="1" si="135"/>
        <v>330576304.08147836</v>
      </c>
    </row>
    <row r="4251" spans="1:4">
      <c r="A4251" s="348">
        <f t="shared" si="134"/>
        <v>4250</v>
      </c>
      <c r="B4251" s="360">
        <f>DATE('Profit Calculation'!J$6,A$2,A$2+A4251-1)</f>
        <v>46254</v>
      </c>
      <c r="D4251" s="362">
        <f t="shared" ca="1" si="135"/>
        <v>330702909.10361236</v>
      </c>
    </row>
    <row r="4252" spans="1:4">
      <c r="A4252" s="348">
        <f t="shared" si="134"/>
        <v>4251</v>
      </c>
      <c r="B4252" s="360">
        <f>DATE('Profit Calculation'!J$6,A$2,A$2+A4252-1)</f>
        <v>46255</v>
      </c>
      <c r="D4252" s="362">
        <f t="shared" ca="1" si="135"/>
        <v>330829562.61328596</v>
      </c>
    </row>
    <row r="4253" spans="1:4">
      <c r="A4253" s="348">
        <f t="shared" si="134"/>
        <v>4252</v>
      </c>
      <c r="B4253" s="360">
        <f>DATE('Profit Calculation'!J$6,A$2,A$2+A4253-1)</f>
        <v>46256</v>
      </c>
      <c r="D4253" s="362">
        <f t="shared" ca="1" si="135"/>
        <v>330956264.62906903</v>
      </c>
    </row>
    <row r="4254" spans="1:4">
      <c r="A4254" s="348">
        <f t="shared" si="134"/>
        <v>4253</v>
      </c>
      <c r="B4254" s="360">
        <f>DATE('Profit Calculation'!J$6,A$2,A$2+A4254-1)</f>
        <v>46257</v>
      </c>
      <c r="D4254" s="362">
        <f t="shared" ca="1" si="135"/>
        <v>331083015.16953862</v>
      </c>
    </row>
    <row r="4255" spans="1:4">
      <c r="A4255" s="348">
        <f t="shared" si="134"/>
        <v>4254</v>
      </c>
      <c r="B4255" s="360">
        <f>DATE('Profit Calculation'!J$6,A$2,A$2+A4255-1)</f>
        <v>46258</v>
      </c>
      <c r="D4255" s="362">
        <f t="shared" ca="1" si="135"/>
        <v>331209814.25327879</v>
      </c>
    </row>
    <row r="4256" spans="1:4">
      <c r="A4256" s="348">
        <f t="shared" si="134"/>
        <v>4255</v>
      </c>
      <c r="B4256" s="360">
        <f>DATE('Profit Calculation'!J$6,A$2,A$2+A4256-1)</f>
        <v>46259</v>
      </c>
      <c r="D4256" s="362">
        <f t="shared" ca="1" si="135"/>
        <v>331336661.89888078</v>
      </c>
    </row>
    <row r="4257" spans="1:4">
      <c r="A4257" s="348">
        <f t="shared" si="134"/>
        <v>4256</v>
      </c>
      <c r="B4257" s="360">
        <f>DATE('Profit Calculation'!J$6,A$2,A$2+A4257-1)</f>
        <v>46260</v>
      </c>
      <c r="D4257" s="362">
        <f t="shared" ca="1" si="135"/>
        <v>331463558.12494296</v>
      </c>
    </row>
    <row r="4258" spans="1:4">
      <c r="A4258" s="348">
        <f t="shared" si="134"/>
        <v>4257</v>
      </c>
      <c r="B4258" s="360">
        <f>DATE('Profit Calculation'!J$6,A$2,A$2+A4258-1)</f>
        <v>46261</v>
      </c>
      <c r="D4258" s="362">
        <f t="shared" ca="1" si="135"/>
        <v>331590502.9500708</v>
      </c>
    </row>
    <row r="4259" spans="1:4">
      <c r="A4259" s="348">
        <f t="shared" si="134"/>
        <v>4258</v>
      </c>
      <c r="B4259" s="360">
        <f>DATE('Profit Calculation'!J$6,A$2,A$2+A4259-1)</f>
        <v>46262</v>
      </c>
      <c r="D4259" s="362">
        <f t="shared" ca="1" si="135"/>
        <v>331717496.39287692</v>
      </c>
    </row>
    <row r="4260" spans="1:4">
      <c r="A4260" s="348">
        <f t="shared" si="134"/>
        <v>4259</v>
      </c>
      <c r="B4260" s="360">
        <f>DATE('Profit Calculation'!J$6,A$2,A$2+A4260-1)</f>
        <v>46263</v>
      </c>
      <c r="D4260" s="362">
        <f t="shared" ca="1" si="135"/>
        <v>331844538.47198105</v>
      </c>
    </row>
    <row r="4261" spans="1:4">
      <c r="A4261" s="348">
        <f t="shared" si="134"/>
        <v>4260</v>
      </c>
      <c r="B4261" s="360">
        <f>DATE('Profit Calculation'!J$6,A$2,A$2+A4261-1)</f>
        <v>46264</v>
      </c>
      <c r="D4261" s="362">
        <f t="shared" ca="1" si="135"/>
        <v>331971629.20601004</v>
      </c>
    </row>
    <row r="4262" spans="1:4">
      <c r="A4262" s="348">
        <f t="shared" si="134"/>
        <v>4261</v>
      </c>
      <c r="B4262" s="360">
        <f>DATE('Profit Calculation'!J$6,A$2,A$2+A4262-1)</f>
        <v>46265</v>
      </c>
      <c r="D4262" s="362">
        <f t="shared" ca="1" si="135"/>
        <v>332098768.61359787</v>
      </c>
    </row>
    <row r="4263" spans="1:4">
      <c r="A4263" s="348">
        <f t="shared" si="134"/>
        <v>4262</v>
      </c>
      <c r="B4263" s="360">
        <f>DATE('Profit Calculation'!J$6,A$2,A$2+A4263-1)</f>
        <v>46266</v>
      </c>
      <c r="D4263" s="362">
        <f t="shared" ca="1" si="135"/>
        <v>332225956.7133857</v>
      </c>
    </row>
    <row r="4264" spans="1:4">
      <c r="A4264" s="348">
        <f t="shared" si="134"/>
        <v>4263</v>
      </c>
      <c r="B4264" s="360">
        <f>DATE('Profit Calculation'!J$6,A$2,A$2+A4264-1)</f>
        <v>46267</v>
      </c>
      <c r="D4264" s="362">
        <f t="shared" ca="1" si="135"/>
        <v>332353193.5240218</v>
      </c>
    </row>
    <row r="4265" spans="1:4">
      <c r="A4265" s="348">
        <f t="shared" si="134"/>
        <v>4264</v>
      </c>
      <c r="B4265" s="360">
        <f>DATE('Profit Calculation'!J$6,A$2,A$2+A4265-1)</f>
        <v>46268</v>
      </c>
      <c r="D4265" s="362">
        <f t="shared" ca="1" si="135"/>
        <v>332480479.0641616</v>
      </c>
    </row>
    <row r="4266" spans="1:4">
      <c r="A4266" s="348">
        <f t="shared" si="134"/>
        <v>4265</v>
      </c>
      <c r="B4266" s="360">
        <f>DATE('Profit Calculation'!J$6,A$2,A$2+A4266-1)</f>
        <v>46269</v>
      </c>
      <c r="D4266" s="362">
        <f t="shared" ca="1" si="135"/>
        <v>332607813.3524676</v>
      </c>
    </row>
    <row r="4267" spans="1:4">
      <c r="A4267" s="348">
        <f t="shared" si="134"/>
        <v>4266</v>
      </c>
      <c r="B4267" s="360">
        <f>DATE('Profit Calculation'!J$6,A$2,A$2+A4267-1)</f>
        <v>46270</v>
      </c>
      <c r="D4267" s="362">
        <f t="shared" ca="1" si="135"/>
        <v>332735196.40760958</v>
      </c>
    </row>
    <row r="4268" spans="1:4">
      <c r="A4268" s="348">
        <f t="shared" si="134"/>
        <v>4267</v>
      </c>
      <c r="B4268" s="360">
        <f>DATE('Profit Calculation'!J$6,A$2,A$2+A4268-1)</f>
        <v>46271</v>
      </c>
      <c r="D4268" s="362">
        <f t="shared" ca="1" si="135"/>
        <v>332862628.24826437</v>
      </c>
    </row>
    <row r="4269" spans="1:4">
      <c r="A4269" s="348">
        <f t="shared" si="134"/>
        <v>4268</v>
      </c>
      <c r="B4269" s="360">
        <f>DATE('Profit Calculation'!J$6,A$2,A$2+A4269-1)</f>
        <v>46272</v>
      </c>
      <c r="D4269" s="362">
        <f t="shared" ca="1" si="135"/>
        <v>332990108.89311594</v>
      </c>
    </row>
    <row r="4270" spans="1:4">
      <c r="A4270" s="348">
        <f t="shared" si="134"/>
        <v>4269</v>
      </c>
      <c r="B4270" s="360">
        <f>DATE('Profit Calculation'!J$6,A$2,A$2+A4270-1)</f>
        <v>46273</v>
      </c>
      <c r="D4270" s="362">
        <f t="shared" ca="1" si="135"/>
        <v>333117638.36085552</v>
      </c>
    </row>
    <row r="4271" spans="1:4">
      <c r="A4271" s="348">
        <f t="shared" si="134"/>
        <v>4270</v>
      </c>
      <c r="B4271" s="360">
        <f>DATE('Profit Calculation'!J$6,A$2,A$2+A4271-1)</f>
        <v>46274</v>
      </c>
      <c r="D4271" s="362">
        <f t="shared" ca="1" si="135"/>
        <v>333245216.67018139</v>
      </c>
    </row>
    <row r="4272" spans="1:4">
      <c r="A4272" s="348">
        <f t="shared" si="134"/>
        <v>4271</v>
      </c>
      <c r="B4272" s="360">
        <f>DATE('Profit Calculation'!J$6,A$2,A$2+A4272-1)</f>
        <v>46275</v>
      </c>
      <c r="D4272" s="362">
        <f t="shared" ca="1" si="135"/>
        <v>333372843.83979905</v>
      </c>
    </row>
    <row r="4273" spans="1:4">
      <c r="A4273" s="348">
        <f t="shared" si="134"/>
        <v>4272</v>
      </c>
      <c r="B4273" s="360">
        <f>DATE('Profit Calculation'!J$6,A$2,A$2+A4273-1)</f>
        <v>46276</v>
      </c>
      <c r="D4273" s="362">
        <f t="shared" ca="1" si="135"/>
        <v>333500519.88842112</v>
      </c>
    </row>
    <row r="4274" spans="1:4">
      <c r="A4274" s="348">
        <f t="shared" si="134"/>
        <v>4273</v>
      </c>
      <c r="B4274" s="360">
        <f>DATE('Profit Calculation'!J$6,A$2,A$2+A4274-1)</f>
        <v>46277</v>
      </c>
      <c r="D4274" s="362">
        <f t="shared" ca="1" si="135"/>
        <v>333628244.83476746</v>
      </c>
    </row>
    <row r="4275" spans="1:4">
      <c r="A4275" s="348">
        <f t="shared" si="134"/>
        <v>4274</v>
      </c>
      <c r="B4275" s="360">
        <f>DATE('Profit Calculation'!J$6,A$2,A$2+A4275-1)</f>
        <v>46278</v>
      </c>
      <c r="D4275" s="362">
        <f t="shared" ca="1" si="135"/>
        <v>333756018.69756508</v>
      </c>
    </row>
    <row r="4276" spans="1:4">
      <c r="A4276" s="348">
        <f t="shared" si="134"/>
        <v>4275</v>
      </c>
      <c r="B4276" s="360">
        <f>DATE('Profit Calculation'!J$6,A$2,A$2+A4276-1)</f>
        <v>46279</v>
      </c>
      <c r="D4276" s="362">
        <f t="shared" ca="1" si="135"/>
        <v>333883841.49554807</v>
      </c>
    </row>
    <row r="4277" spans="1:4">
      <c r="A4277" s="348">
        <f t="shared" si="134"/>
        <v>4276</v>
      </c>
      <c r="B4277" s="360">
        <f>DATE('Profit Calculation'!J$6,A$2,A$2+A4277-1)</f>
        <v>46280</v>
      </c>
      <c r="D4277" s="362">
        <f t="shared" ca="1" si="135"/>
        <v>334011713.2474578</v>
      </c>
    </row>
    <row r="4278" spans="1:4">
      <c r="A4278" s="348">
        <f t="shared" si="134"/>
        <v>4277</v>
      </c>
      <c r="B4278" s="360">
        <f>DATE('Profit Calculation'!J$6,A$2,A$2+A4278-1)</f>
        <v>46281</v>
      </c>
      <c r="D4278" s="362">
        <f t="shared" ca="1" si="135"/>
        <v>334139633.97204274</v>
      </c>
    </row>
    <row r="4279" spans="1:4">
      <c r="A4279" s="348">
        <f t="shared" si="134"/>
        <v>4278</v>
      </c>
      <c r="B4279" s="360">
        <f>DATE('Profit Calculation'!J$6,A$2,A$2+A4279-1)</f>
        <v>46282</v>
      </c>
      <c r="D4279" s="362">
        <f t="shared" ca="1" si="135"/>
        <v>334267603.68805861</v>
      </c>
    </row>
    <row r="4280" spans="1:4">
      <c r="A4280" s="348">
        <f t="shared" si="134"/>
        <v>4279</v>
      </c>
      <c r="B4280" s="360">
        <f>DATE('Profit Calculation'!J$6,A$2,A$2+A4280-1)</f>
        <v>46283</v>
      </c>
      <c r="D4280" s="362">
        <f t="shared" ca="1" si="135"/>
        <v>334395622.41426831</v>
      </c>
    </row>
    <row r="4281" spans="1:4">
      <c r="A4281" s="348">
        <f t="shared" si="134"/>
        <v>4280</v>
      </c>
      <c r="B4281" s="360">
        <f>DATE('Profit Calculation'!J$6,A$2,A$2+A4281-1)</f>
        <v>46284</v>
      </c>
      <c r="D4281" s="362">
        <f t="shared" ca="1" si="135"/>
        <v>334523690.16944188</v>
      </c>
    </row>
    <row r="4282" spans="1:4">
      <c r="A4282" s="348">
        <f t="shared" si="134"/>
        <v>4281</v>
      </c>
      <c r="B4282" s="360">
        <f>DATE('Profit Calculation'!J$6,A$2,A$2+A4282-1)</f>
        <v>46285</v>
      </c>
      <c r="D4282" s="362">
        <f t="shared" ca="1" si="135"/>
        <v>334651806.9723565</v>
      </c>
    </row>
    <row r="4283" spans="1:4">
      <c r="A4283" s="348">
        <f t="shared" si="134"/>
        <v>4282</v>
      </c>
      <c r="B4283" s="360">
        <f>DATE('Profit Calculation'!J$6,A$2,A$2+A4283-1)</f>
        <v>46286</v>
      </c>
      <c r="D4283" s="362">
        <f t="shared" ca="1" si="135"/>
        <v>334779972.8417967</v>
      </c>
    </row>
    <row r="4284" spans="1:4">
      <c r="A4284" s="348">
        <f t="shared" si="134"/>
        <v>4283</v>
      </c>
      <c r="B4284" s="360">
        <f>DATE('Profit Calculation'!J$6,A$2,A$2+A4284-1)</f>
        <v>46287</v>
      </c>
      <c r="D4284" s="362">
        <f t="shared" ca="1" si="135"/>
        <v>334908187.79655409</v>
      </c>
    </row>
    <row r="4285" spans="1:4">
      <c r="A4285" s="348">
        <f t="shared" si="134"/>
        <v>4284</v>
      </c>
      <c r="B4285" s="360">
        <f>DATE('Profit Calculation'!J$6,A$2,A$2+A4285-1)</f>
        <v>46288</v>
      </c>
      <c r="D4285" s="362">
        <f t="shared" ca="1" si="135"/>
        <v>335036451.85542744</v>
      </c>
    </row>
    <row r="4286" spans="1:4">
      <c r="A4286" s="348">
        <f t="shared" si="134"/>
        <v>4285</v>
      </c>
      <c r="B4286" s="360">
        <f>DATE('Profit Calculation'!J$6,A$2,A$2+A4286-1)</f>
        <v>46289</v>
      </c>
      <c r="D4286" s="362">
        <f t="shared" ca="1" si="135"/>
        <v>335164765.03722286</v>
      </c>
    </row>
    <row r="4287" spans="1:4">
      <c r="A4287" s="348">
        <f t="shared" si="134"/>
        <v>4286</v>
      </c>
      <c r="B4287" s="360">
        <f>DATE('Profit Calculation'!J$6,A$2,A$2+A4287-1)</f>
        <v>46290</v>
      </c>
      <c r="D4287" s="362">
        <f t="shared" ca="1" si="135"/>
        <v>335293127.36075354</v>
      </c>
    </row>
    <row r="4288" spans="1:4">
      <c r="A4288" s="348">
        <f t="shared" si="134"/>
        <v>4287</v>
      </c>
      <c r="B4288" s="360">
        <f>DATE('Profit Calculation'!J$6,A$2,A$2+A4288-1)</f>
        <v>46291</v>
      </c>
      <c r="D4288" s="362">
        <f t="shared" ca="1" si="135"/>
        <v>335421538.84483993</v>
      </c>
    </row>
    <row r="4289" spans="1:4">
      <c r="A4289" s="348">
        <f t="shared" si="134"/>
        <v>4288</v>
      </c>
      <c r="B4289" s="360">
        <f>DATE('Profit Calculation'!J$6,A$2,A$2+A4289-1)</f>
        <v>46292</v>
      </c>
      <c r="D4289" s="362">
        <f t="shared" ca="1" si="135"/>
        <v>335549999.50830966</v>
      </c>
    </row>
    <row r="4290" spans="1:4">
      <c r="A4290" s="348">
        <f t="shared" si="134"/>
        <v>4289</v>
      </c>
      <c r="B4290" s="360">
        <f>DATE('Profit Calculation'!J$6,A$2,A$2+A4290-1)</f>
        <v>46293</v>
      </c>
      <c r="D4290" s="362">
        <f t="shared" ca="1" si="135"/>
        <v>335678509.36999762</v>
      </c>
    </row>
    <row r="4291" spans="1:4">
      <c r="A4291" s="348">
        <f t="shared" si="134"/>
        <v>4290</v>
      </c>
      <c r="B4291" s="360">
        <f>DATE('Profit Calculation'!J$6,A$2,A$2+A4291-1)</f>
        <v>46294</v>
      </c>
      <c r="D4291" s="362">
        <f t="shared" ca="1" si="135"/>
        <v>335807068.44874585</v>
      </c>
    </row>
    <row r="4292" spans="1:4">
      <c r="A4292" s="348">
        <f t="shared" si="134"/>
        <v>4291</v>
      </c>
      <c r="B4292" s="360">
        <f>DATE('Profit Calculation'!J$6,A$2,A$2+A4292-1)</f>
        <v>46295</v>
      </c>
      <c r="D4292" s="362">
        <f t="shared" ca="1" si="135"/>
        <v>335935676.76340359</v>
      </c>
    </row>
    <row r="4293" spans="1:4">
      <c r="A4293" s="348">
        <f t="shared" ref="A4293:A4356" si="136">A4292+1</f>
        <v>4292</v>
      </c>
      <c r="B4293" s="360">
        <f>DATE('Profit Calculation'!J$6,A$2,A$2+A4293-1)</f>
        <v>46296</v>
      </c>
      <c r="D4293" s="362">
        <f t="shared" ref="D4293:D4356" ca="1" si="137">IF(OR(LOOKUP(B4293,W$1:W$35,W$1:W$35) = B4293, LOOKUP(B4293,X$1:X$35,X$1:X$35) = B4293),LOOKUP(B4293,F:F,G:G),D4292*(1+((IF($Q$18&lt;6,$R$14,IF($Q$18&lt;11,$R$15,$R$16)))))^(1/365))</f>
        <v>336064334.33282745</v>
      </c>
    </row>
    <row r="4294" spans="1:4">
      <c r="A4294" s="348">
        <f t="shared" si="136"/>
        <v>4293</v>
      </c>
      <c r="B4294" s="360">
        <f>DATE('Profit Calculation'!J$6,A$2,A$2+A4294-1)</f>
        <v>46297</v>
      </c>
      <c r="D4294" s="362">
        <f t="shared" ca="1" si="137"/>
        <v>336193041.17588109</v>
      </c>
    </row>
    <row r="4295" spans="1:4">
      <c r="A4295" s="348">
        <f t="shared" si="136"/>
        <v>4294</v>
      </c>
      <c r="B4295" s="360">
        <f>DATE('Profit Calculation'!J$6,A$2,A$2+A4295-1)</f>
        <v>46298</v>
      </c>
      <c r="D4295" s="362">
        <f t="shared" ca="1" si="137"/>
        <v>336321797.31143546</v>
      </c>
    </row>
    <row r="4296" spans="1:4">
      <c r="A4296" s="348">
        <f t="shared" si="136"/>
        <v>4295</v>
      </c>
      <c r="B4296" s="360">
        <f>DATE('Profit Calculation'!J$6,A$2,A$2+A4296-1)</f>
        <v>46299</v>
      </c>
      <c r="D4296" s="362">
        <f t="shared" ca="1" si="137"/>
        <v>336450602.75836873</v>
      </c>
    </row>
    <row r="4297" spans="1:4">
      <c r="A4297" s="348">
        <f t="shared" si="136"/>
        <v>4296</v>
      </c>
      <c r="B4297" s="360">
        <f>DATE('Profit Calculation'!J$6,A$2,A$2+A4297-1)</f>
        <v>46300</v>
      </c>
      <c r="D4297" s="362">
        <f t="shared" ca="1" si="137"/>
        <v>336579457.53556633</v>
      </c>
    </row>
    <row r="4298" spans="1:4">
      <c r="A4298" s="348">
        <f t="shared" si="136"/>
        <v>4297</v>
      </c>
      <c r="B4298" s="360">
        <f>DATE('Profit Calculation'!J$6,A$2,A$2+A4298-1)</f>
        <v>46301</v>
      </c>
      <c r="D4298" s="362">
        <f t="shared" ca="1" si="137"/>
        <v>336708361.66192091</v>
      </c>
    </row>
    <row r="4299" spans="1:4">
      <c r="A4299" s="348">
        <f t="shared" si="136"/>
        <v>4298</v>
      </c>
      <c r="B4299" s="360">
        <f>DATE('Profit Calculation'!J$6,A$2,A$2+A4299-1)</f>
        <v>46302</v>
      </c>
      <c r="D4299" s="362">
        <f t="shared" ca="1" si="137"/>
        <v>336837315.15633231</v>
      </c>
    </row>
    <row r="4300" spans="1:4">
      <c r="A4300" s="348">
        <f t="shared" si="136"/>
        <v>4299</v>
      </c>
      <c r="B4300" s="360">
        <f>DATE('Profit Calculation'!J$6,A$2,A$2+A4300-1)</f>
        <v>46303</v>
      </c>
      <c r="D4300" s="362">
        <f t="shared" ca="1" si="137"/>
        <v>336966318.03770769</v>
      </c>
    </row>
    <row r="4301" spans="1:4">
      <c r="A4301" s="348">
        <f t="shared" si="136"/>
        <v>4300</v>
      </c>
      <c r="B4301" s="360">
        <f>DATE('Profit Calculation'!J$6,A$2,A$2+A4301-1)</f>
        <v>46304</v>
      </c>
      <c r="D4301" s="362">
        <f t="shared" ca="1" si="137"/>
        <v>337095370.32496136</v>
      </c>
    </row>
    <row r="4302" spans="1:4">
      <c r="A4302" s="348">
        <f t="shared" si="136"/>
        <v>4301</v>
      </c>
      <c r="B4302" s="360">
        <f>DATE('Profit Calculation'!J$6,A$2,A$2+A4302-1)</f>
        <v>46305</v>
      </c>
      <c r="D4302" s="362">
        <f t="shared" ca="1" si="137"/>
        <v>337224472.03701496</v>
      </c>
    </row>
    <row r="4303" spans="1:4">
      <c r="A4303" s="348">
        <f t="shared" si="136"/>
        <v>4302</v>
      </c>
      <c r="B4303" s="360">
        <f>DATE('Profit Calculation'!J$6,A$2,A$2+A4303-1)</f>
        <v>46306</v>
      </c>
      <c r="D4303" s="362">
        <f t="shared" ca="1" si="137"/>
        <v>337353623.1927973</v>
      </c>
    </row>
    <row r="4304" spans="1:4">
      <c r="A4304" s="348">
        <f t="shared" si="136"/>
        <v>4303</v>
      </c>
      <c r="B4304" s="360">
        <f>DATE('Profit Calculation'!J$6,A$2,A$2+A4304-1)</f>
        <v>46307</v>
      </c>
      <c r="D4304" s="362">
        <f t="shared" ca="1" si="137"/>
        <v>337482823.81124449</v>
      </c>
    </row>
    <row r="4305" spans="1:4">
      <c r="A4305" s="348">
        <f t="shared" si="136"/>
        <v>4304</v>
      </c>
      <c r="B4305" s="360">
        <f>DATE('Profit Calculation'!J$6,A$2,A$2+A4305-1)</f>
        <v>46308</v>
      </c>
      <c r="D4305" s="362">
        <f t="shared" ca="1" si="137"/>
        <v>337612073.91129988</v>
      </c>
    </row>
    <row r="4306" spans="1:4">
      <c r="A4306" s="348">
        <f t="shared" si="136"/>
        <v>4305</v>
      </c>
      <c r="B4306" s="360">
        <f>DATE('Profit Calculation'!J$6,A$2,A$2+A4306-1)</f>
        <v>46309</v>
      </c>
      <c r="D4306" s="362">
        <f t="shared" ca="1" si="137"/>
        <v>337741373.51191407</v>
      </c>
    </row>
    <row r="4307" spans="1:4">
      <c r="A4307" s="348">
        <f t="shared" si="136"/>
        <v>4306</v>
      </c>
      <c r="B4307" s="360">
        <f>DATE('Profit Calculation'!J$6,A$2,A$2+A4307-1)</f>
        <v>46310</v>
      </c>
      <c r="D4307" s="362">
        <f t="shared" ca="1" si="137"/>
        <v>337870722.63204491</v>
      </c>
    </row>
    <row r="4308" spans="1:4">
      <c r="A4308" s="348">
        <f t="shared" si="136"/>
        <v>4307</v>
      </c>
      <c r="B4308" s="360">
        <f>DATE('Profit Calculation'!J$6,A$2,A$2+A4308-1)</f>
        <v>46311</v>
      </c>
      <c r="D4308" s="362">
        <f t="shared" ca="1" si="137"/>
        <v>338000121.29065758</v>
      </c>
    </row>
    <row r="4309" spans="1:4">
      <c r="A4309" s="348">
        <f t="shared" si="136"/>
        <v>4308</v>
      </c>
      <c r="B4309" s="360">
        <f>DATE('Profit Calculation'!J$6,A$2,A$2+A4309-1)</f>
        <v>46312</v>
      </c>
      <c r="D4309" s="362">
        <f t="shared" ca="1" si="137"/>
        <v>338129569.50672442</v>
      </c>
    </row>
    <row r="4310" spans="1:4">
      <c r="A4310" s="348">
        <f t="shared" si="136"/>
        <v>4309</v>
      </c>
      <c r="B4310" s="360">
        <f>DATE('Profit Calculation'!J$6,A$2,A$2+A4310-1)</f>
        <v>46313</v>
      </c>
      <c r="D4310" s="362">
        <f t="shared" ca="1" si="137"/>
        <v>338259067.29922503</v>
      </c>
    </row>
    <row r="4311" spans="1:4">
      <c r="A4311" s="348">
        <f t="shared" si="136"/>
        <v>4310</v>
      </c>
      <c r="B4311" s="360">
        <f>DATE('Profit Calculation'!J$6,A$2,A$2+A4311-1)</f>
        <v>46314</v>
      </c>
      <c r="D4311" s="362">
        <f t="shared" ca="1" si="137"/>
        <v>338388614.68714637</v>
      </c>
    </row>
    <row r="4312" spans="1:4">
      <c r="A4312" s="348">
        <f t="shared" si="136"/>
        <v>4311</v>
      </c>
      <c r="B4312" s="360">
        <f>DATE('Profit Calculation'!J$6,A$2,A$2+A4312-1)</f>
        <v>46315</v>
      </c>
      <c r="D4312" s="362">
        <f t="shared" ca="1" si="137"/>
        <v>338518211.68948263</v>
      </c>
    </row>
    <row r="4313" spans="1:4">
      <c r="A4313" s="348">
        <f t="shared" si="136"/>
        <v>4312</v>
      </c>
      <c r="B4313" s="360">
        <f>DATE('Profit Calculation'!J$6,A$2,A$2+A4313-1)</f>
        <v>46316</v>
      </c>
      <c r="D4313" s="362">
        <f t="shared" ca="1" si="137"/>
        <v>338647858.32523531</v>
      </c>
    </row>
    <row r="4314" spans="1:4">
      <c r="A4314" s="348">
        <f t="shared" si="136"/>
        <v>4313</v>
      </c>
      <c r="B4314" s="360">
        <f>DATE('Profit Calculation'!J$6,A$2,A$2+A4314-1)</f>
        <v>46317</v>
      </c>
      <c r="D4314" s="362">
        <f t="shared" ca="1" si="137"/>
        <v>338777554.6134131</v>
      </c>
    </row>
    <row r="4315" spans="1:4">
      <c r="A4315" s="348">
        <f t="shared" si="136"/>
        <v>4314</v>
      </c>
      <c r="B4315" s="360">
        <f>DATE('Profit Calculation'!J$6,A$2,A$2+A4315-1)</f>
        <v>46318</v>
      </c>
      <c r="D4315" s="362">
        <f t="shared" ca="1" si="137"/>
        <v>338907300.57303208</v>
      </c>
    </row>
    <row r="4316" spans="1:4">
      <c r="A4316" s="348">
        <f t="shared" si="136"/>
        <v>4315</v>
      </c>
      <c r="B4316" s="360">
        <f>DATE('Profit Calculation'!J$6,A$2,A$2+A4316-1)</f>
        <v>46319</v>
      </c>
      <c r="D4316" s="362">
        <f t="shared" ca="1" si="137"/>
        <v>339037096.2231155</v>
      </c>
    </row>
    <row r="4317" spans="1:4">
      <c r="A4317" s="348">
        <f t="shared" si="136"/>
        <v>4316</v>
      </c>
      <c r="B4317" s="360">
        <f>DATE('Profit Calculation'!J$6,A$2,A$2+A4317-1)</f>
        <v>46320</v>
      </c>
      <c r="D4317" s="362">
        <f t="shared" ca="1" si="137"/>
        <v>339166941.58269399</v>
      </c>
    </row>
    <row r="4318" spans="1:4">
      <c r="A4318" s="348">
        <f t="shared" si="136"/>
        <v>4317</v>
      </c>
      <c r="B4318" s="360">
        <f>DATE('Profit Calculation'!J$6,A$2,A$2+A4318-1)</f>
        <v>46321</v>
      </c>
      <c r="D4318" s="362">
        <f t="shared" ca="1" si="137"/>
        <v>339296836.67080539</v>
      </c>
    </row>
    <row r="4319" spans="1:4">
      <c r="A4319" s="348">
        <f t="shared" si="136"/>
        <v>4318</v>
      </c>
      <c r="B4319" s="360">
        <f>DATE('Profit Calculation'!J$6,A$2,A$2+A4319-1)</f>
        <v>46322</v>
      </c>
      <c r="D4319" s="362">
        <f t="shared" ca="1" si="137"/>
        <v>339426781.50649488</v>
      </c>
    </row>
    <row r="4320" spans="1:4">
      <c r="A4320" s="348">
        <f t="shared" si="136"/>
        <v>4319</v>
      </c>
      <c r="B4320" s="360">
        <f>DATE('Profit Calculation'!J$6,A$2,A$2+A4320-1)</f>
        <v>46323</v>
      </c>
      <c r="D4320" s="362">
        <f t="shared" ca="1" si="137"/>
        <v>339556776.10881495</v>
      </c>
    </row>
    <row r="4321" spans="1:4">
      <c r="A4321" s="348">
        <f t="shared" si="136"/>
        <v>4320</v>
      </c>
      <c r="B4321" s="360">
        <f>DATE('Profit Calculation'!J$6,A$2,A$2+A4321-1)</f>
        <v>46324</v>
      </c>
      <c r="D4321" s="362">
        <f t="shared" ca="1" si="137"/>
        <v>339686820.49682534</v>
      </c>
    </row>
    <row r="4322" spans="1:4">
      <c r="A4322" s="348">
        <f t="shared" si="136"/>
        <v>4321</v>
      </c>
      <c r="B4322" s="360">
        <f>DATE('Profit Calculation'!J$6,A$2,A$2+A4322-1)</f>
        <v>46325</v>
      </c>
      <c r="D4322" s="362">
        <f t="shared" ca="1" si="137"/>
        <v>339816914.68959314</v>
      </c>
    </row>
    <row r="4323" spans="1:4">
      <c r="A4323" s="348">
        <f t="shared" si="136"/>
        <v>4322</v>
      </c>
      <c r="B4323" s="360">
        <f>DATE('Profit Calculation'!J$6,A$2,A$2+A4323-1)</f>
        <v>46326</v>
      </c>
      <c r="D4323" s="362">
        <f t="shared" ca="1" si="137"/>
        <v>339947058.70619267</v>
      </c>
    </row>
    <row r="4324" spans="1:4">
      <c r="A4324" s="348">
        <f t="shared" si="136"/>
        <v>4323</v>
      </c>
      <c r="B4324" s="360">
        <f>DATE('Profit Calculation'!J$6,A$2,A$2+A4324-1)</f>
        <v>46327</v>
      </c>
      <c r="D4324" s="362">
        <f t="shared" ca="1" si="137"/>
        <v>340077252.5657056</v>
      </c>
    </row>
    <row r="4325" spans="1:4">
      <c r="A4325" s="348">
        <f t="shared" si="136"/>
        <v>4324</v>
      </c>
      <c r="B4325" s="360">
        <f>DATE('Profit Calculation'!J$6,A$2,A$2+A4325-1)</f>
        <v>46328</v>
      </c>
      <c r="D4325" s="362">
        <f t="shared" ca="1" si="137"/>
        <v>340207496.28722095</v>
      </c>
    </row>
    <row r="4326" spans="1:4">
      <c r="A4326" s="348">
        <f t="shared" si="136"/>
        <v>4325</v>
      </c>
      <c r="B4326" s="360">
        <f>DATE('Profit Calculation'!J$6,A$2,A$2+A4326-1)</f>
        <v>46329</v>
      </c>
      <c r="D4326" s="362">
        <f t="shared" ca="1" si="137"/>
        <v>340337789.889835</v>
      </c>
    </row>
    <row r="4327" spans="1:4">
      <c r="A4327" s="348">
        <f t="shared" si="136"/>
        <v>4326</v>
      </c>
      <c r="B4327" s="360">
        <f>DATE('Profit Calculation'!J$6,A$2,A$2+A4327-1)</f>
        <v>46330</v>
      </c>
      <c r="D4327" s="362">
        <f t="shared" ca="1" si="137"/>
        <v>340468133.39265132</v>
      </c>
    </row>
    <row r="4328" spans="1:4">
      <c r="A4328" s="348">
        <f t="shared" si="136"/>
        <v>4327</v>
      </c>
      <c r="B4328" s="360">
        <f>DATE('Profit Calculation'!J$6,A$2,A$2+A4328-1)</f>
        <v>46331</v>
      </c>
      <c r="D4328" s="362">
        <f t="shared" ca="1" si="137"/>
        <v>340598526.81478083</v>
      </c>
    </row>
    <row r="4329" spans="1:4">
      <c r="A4329" s="348">
        <f t="shared" si="136"/>
        <v>4328</v>
      </c>
      <c r="B4329" s="360">
        <f>DATE('Profit Calculation'!J$6,A$2,A$2+A4329-1)</f>
        <v>46332</v>
      </c>
      <c r="D4329" s="362">
        <f t="shared" ca="1" si="137"/>
        <v>340728970.17534178</v>
      </c>
    </row>
    <row r="4330" spans="1:4">
      <c r="A4330" s="348">
        <f t="shared" si="136"/>
        <v>4329</v>
      </c>
      <c r="B4330" s="360">
        <f>DATE('Profit Calculation'!J$6,A$2,A$2+A4330-1)</f>
        <v>46333</v>
      </c>
      <c r="D4330" s="362">
        <f t="shared" ca="1" si="137"/>
        <v>340859463.4934597</v>
      </c>
    </row>
    <row r="4331" spans="1:4">
      <c r="A4331" s="348">
        <f t="shared" si="136"/>
        <v>4330</v>
      </c>
      <c r="B4331" s="360">
        <f>DATE('Profit Calculation'!J$6,A$2,A$2+A4331-1)</f>
        <v>46334</v>
      </c>
      <c r="D4331" s="362">
        <f t="shared" ca="1" si="137"/>
        <v>340990006.78826749</v>
      </c>
    </row>
    <row r="4332" spans="1:4">
      <c r="A4332" s="348">
        <f t="shared" si="136"/>
        <v>4331</v>
      </c>
      <c r="B4332" s="360">
        <f>DATE('Profit Calculation'!J$6,A$2,A$2+A4332-1)</f>
        <v>46335</v>
      </c>
      <c r="D4332" s="362">
        <f t="shared" ca="1" si="137"/>
        <v>341120600.0789054</v>
      </c>
    </row>
    <row r="4333" spans="1:4">
      <c r="A4333" s="348">
        <f t="shared" si="136"/>
        <v>4332</v>
      </c>
      <c r="B4333" s="360">
        <f>DATE('Profit Calculation'!J$6,A$2,A$2+A4333-1)</f>
        <v>46336</v>
      </c>
      <c r="D4333" s="362">
        <f t="shared" ca="1" si="137"/>
        <v>341251243.38452089</v>
      </c>
    </row>
    <row r="4334" spans="1:4">
      <c r="A4334" s="348">
        <f t="shared" si="136"/>
        <v>4333</v>
      </c>
      <c r="B4334" s="360">
        <f>DATE('Profit Calculation'!J$6,A$2,A$2+A4334-1)</f>
        <v>46337</v>
      </c>
      <c r="D4334" s="362">
        <f t="shared" ca="1" si="137"/>
        <v>341381936.72426891</v>
      </c>
    </row>
    <row r="4335" spans="1:4">
      <c r="A4335" s="348">
        <f t="shared" si="136"/>
        <v>4334</v>
      </c>
      <c r="B4335" s="360">
        <f>DATE('Profit Calculation'!J$6,A$2,A$2+A4335-1)</f>
        <v>46338</v>
      </c>
      <c r="D4335" s="362">
        <f t="shared" ca="1" si="137"/>
        <v>341512680.1173116</v>
      </c>
    </row>
    <row r="4336" spans="1:4">
      <c r="A4336" s="348">
        <f t="shared" si="136"/>
        <v>4335</v>
      </c>
      <c r="B4336" s="360">
        <f>DATE('Profit Calculation'!J$6,A$2,A$2+A4336-1)</f>
        <v>46339</v>
      </c>
      <c r="D4336" s="362">
        <f t="shared" ca="1" si="137"/>
        <v>341643473.58281857</v>
      </c>
    </row>
    <row r="4337" spans="1:4">
      <c r="A4337" s="348">
        <f t="shared" si="136"/>
        <v>4336</v>
      </c>
      <c r="B4337" s="360">
        <f>DATE('Profit Calculation'!J$6,A$2,A$2+A4337-1)</f>
        <v>46340</v>
      </c>
      <c r="D4337" s="362">
        <f t="shared" ca="1" si="137"/>
        <v>341774317.13996667</v>
      </c>
    </row>
    <row r="4338" spans="1:4">
      <c r="A4338" s="348">
        <f t="shared" si="136"/>
        <v>4337</v>
      </c>
      <c r="B4338" s="360">
        <f>DATE('Profit Calculation'!J$6,A$2,A$2+A4338-1)</f>
        <v>46341</v>
      </c>
      <c r="D4338" s="362">
        <f t="shared" ca="1" si="137"/>
        <v>341905210.80794019</v>
      </c>
    </row>
    <row r="4339" spans="1:4">
      <c r="A4339" s="348">
        <f t="shared" si="136"/>
        <v>4338</v>
      </c>
      <c r="B4339" s="360">
        <f>DATE('Profit Calculation'!J$6,A$2,A$2+A4339-1)</f>
        <v>46342</v>
      </c>
      <c r="D4339" s="362">
        <f t="shared" ca="1" si="137"/>
        <v>342036154.60593063</v>
      </c>
    </row>
    <row r="4340" spans="1:4">
      <c r="A4340" s="348">
        <f t="shared" si="136"/>
        <v>4339</v>
      </c>
      <c r="B4340" s="360">
        <f>DATE('Profit Calculation'!J$6,A$2,A$2+A4340-1)</f>
        <v>46343</v>
      </c>
      <c r="D4340" s="362">
        <f t="shared" ca="1" si="137"/>
        <v>342167148.553137</v>
      </c>
    </row>
    <row r="4341" spans="1:4">
      <c r="A4341" s="348">
        <f t="shared" si="136"/>
        <v>4340</v>
      </c>
      <c r="B4341" s="360">
        <f>DATE('Profit Calculation'!J$6,A$2,A$2+A4341-1)</f>
        <v>46344</v>
      </c>
      <c r="D4341" s="362">
        <f t="shared" ca="1" si="137"/>
        <v>342298192.66876554</v>
      </c>
    </row>
    <row r="4342" spans="1:4">
      <c r="A4342" s="348">
        <f t="shared" si="136"/>
        <v>4341</v>
      </c>
      <c r="B4342" s="360">
        <f>DATE('Profit Calculation'!J$6,A$2,A$2+A4342-1)</f>
        <v>46345</v>
      </c>
      <c r="D4342" s="362">
        <f t="shared" ca="1" si="137"/>
        <v>342429286.97202986</v>
      </c>
    </row>
    <row r="4343" spans="1:4">
      <c r="A4343" s="348">
        <f t="shared" si="136"/>
        <v>4342</v>
      </c>
      <c r="B4343" s="360">
        <f>DATE('Profit Calculation'!J$6,A$2,A$2+A4343-1)</f>
        <v>46346</v>
      </c>
      <c r="D4343" s="362">
        <f t="shared" ca="1" si="137"/>
        <v>342560431.48215103</v>
      </c>
    </row>
    <row r="4344" spans="1:4">
      <c r="A4344" s="348">
        <f t="shared" si="136"/>
        <v>4343</v>
      </c>
      <c r="B4344" s="360">
        <f>DATE('Profit Calculation'!J$6,A$2,A$2+A4344-1)</f>
        <v>46347</v>
      </c>
      <c r="D4344" s="362">
        <f t="shared" ca="1" si="137"/>
        <v>342691626.21835738</v>
      </c>
    </row>
    <row r="4345" spans="1:4">
      <c r="A4345" s="348">
        <f t="shared" si="136"/>
        <v>4344</v>
      </c>
      <c r="B4345" s="360">
        <f>DATE('Profit Calculation'!J$6,A$2,A$2+A4345-1)</f>
        <v>46348</v>
      </c>
      <c r="D4345" s="362">
        <f t="shared" ca="1" si="137"/>
        <v>342822871.19988465</v>
      </c>
    </row>
    <row r="4346" spans="1:4">
      <c r="A4346" s="348">
        <f t="shared" si="136"/>
        <v>4345</v>
      </c>
      <c r="B4346" s="360">
        <f>DATE('Profit Calculation'!J$6,A$2,A$2+A4346-1)</f>
        <v>46349</v>
      </c>
      <c r="D4346" s="362">
        <f t="shared" ca="1" si="137"/>
        <v>342954166.4459759</v>
      </c>
    </row>
    <row r="4347" spans="1:4">
      <c r="A4347" s="348">
        <f t="shared" si="136"/>
        <v>4346</v>
      </c>
      <c r="B4347" s="360">
        <f>DATE('Profit Calculation'!J$6,A$2,A$2+A4347-1)</f>
        <v>46350</v>
      </c>
      <c r="D4347" s="362">
        <f t="shared" ca="1" si="137"/>
        <v>343085511.97588158</v>
      </c>
    </row>
    <row r="4348" spans="1:4">
      <c r="A4348" s="348">
        <f t="shared" si="136"/>
        <v>4347</v>
      </c>
      <c r="B4348" s="360">
        <f>DATE('Profit Calculation'!J$6,A$2,A$2+A4348-1)</f>
        <v>46351</v>
      </c>
      <c r="D4348" s="362">
        <f t="shared" ca="1" si="137"/>
        <v>343216907.80885959</v>
      </c>
    </row>
    <row r="4349" spans="1:4">
      <c r="A4349" s="348">
        <f t="shared" si="136"/>
        <v>4348</v>
      </c>
      <c r="B4349" s="360">
        <f>DATE('Profit Calculation'!J$6,A$2,A$2+A4349-1)</f>
        <v>46352</v>
      </c>
      <c r="D4349" s="362">
        <f t="shared" ca="1" si="137"/>
        <v>343348353.96417505</v>
      </c>
    </row>
    <row r="4350" spans="1:4">
      <c r="A4350" s="348">
        <f t="shared" si="136"/>
        <v>4349</v>
      </c>
      <c r="B4350" s="360">
        <f>DATE('Profit Calculation'!J$6,A$2,A$2+A4350-1)</f>
        <v>46353</v>
      </c>
      <c r="D4350" s="362">
        <f t="shared" ca="1" si="137"/>
        <v>343479850.46110064</v>
      </c>
    </row>
    <row r="4351" spans="1:4">
      <c r="A4351" s="348">
        <f t="shared" si="136"/>
        <v>4350</v>
      </c>
      <c r="B4351" s="360">
        <f>DATE('Profit Calculation'!J$6,A$2,A$2+A4351-1)</f>
        <v>46354</v>
      </c>
      <c r="D4351" s="362">
        <f t="shared" ca="1" si="137"/>
        <v>343611397.31891626</v>
      </c>
    </row>
    <row r="4352" spans="1:4">
      <c r="A4352" s="348">
        <f t="shared" si="136"/>
        <v>4351</v>
      </c>
      <c r="B4352" s="360">
        <f>DATE('Profit Calculation'!J$6,A$2,A$2+A4352-1)</f>
        <v>46355</v>
      </c>
      <c r="D4352" s="362">
        <f t="shared" ca="1" si="137"/>
        <v>343742994.55690926</v>
      </c>
    </row>
    <row r="4353" spans="1:4">
      <c r="A4353" s="348">
        <f t="shared" si="136"/>
        <v>4352</v>
      </c>
      <c r="B4353" s="360">
        <f>DATE('Profit Calculation'!J$6,A$2,A$2+A4353-1)</f>
        <v>46356</v>
      </c>
      <c r="D4353" s="362">
        <f t="shared" ca="1" si="137"/>
        <v>343874642.19437444</v>
      </c>
    </row>
    <row r="4354" spans="1:4">
      <c r="A4354" s="348">
        <f t="shared" si="136"/>
        <v>4353</v>
      </c>
      <c r="B4354" s="360">
        <f>DATE('Profit Calculation'!J$6,A$2,A$2+A4354-1)</f>
        <v>46357</v>
      </c>
      <c r="D4354" s="362">
        <f t="shared" ca="1" si="137"/>
        <v>344006340.25061387</v>
      </c>
    </row>
    <row r="4355" spans="1:4">
      <c r="A4355" s="348">
        <f t="shared" si="136"/>
        <v>4354</v>
      </c>
      <c r="B4355" s="360">
        <f>DATE('Profit Calculation'!J$6,A$2,A$2+A4355-1)</f>
        <v>46358</v>
      </c>
      <c r="D4355" s="362">
        <f t="shared" ca="1" si="137"/>
        <v>344138088.74493712</v>
      </c>
    </row>
    <row r="4356" spans="1:4">
      <c r="A4356" s="348">
        <f t="shared" si="136"/>
        <v>4355</v>
      </c>
      <c r="B4356" s="360">
        <f>DATE('Profit Calculation'!J$6,A$2,A$2+A4356-1)</f>
        <v>46359</v>
      </c>
      <c r="D4356" s="362">
        <f t="shared" ca="1" si="137"/>
        <v>344269887.69666106</v>
      </c>
    </row>
    <row r="4357" spans="1:4">
      <c r="A4357" s="348">
        <f t="shared" ref="A4357:A4420" si="138">A4356+1</f>
        <v>4356</v>
      </c>
      <c r="B4357" s="360">
        <f>DATE('Profit Calculation'!J$6,A$2,A$2+A4357-1)</f>
        <v>46360</v>
      </c>
      <c r="D4357" s="362">
        <f t="shared" ref="D4357:D4420" ca="1" si="139">IF(OR(LOOKUP(B4357,W$1:W$35,W$1:W$35) = B4357, LOOKUP(B4357,X$1:X$35,X$1:X$35) = B4357),LOOKUP(B4357,F:F,G:G),D4356*(1+((IF($Q$18&lt;6,$R$14,IF($Q$18&lt;11,$R$15,$R$16)))))^(1/365))</f>
        <v>344401737.12511003</v>
      </c>
    </row>
    <row r="4358" spans="1:4">
      <c r="A4358" s="348">
        <f t="shared" si="138"/>
        <v>4357</v>
      </c>
      <c r="B4358" s="360">
        <f>DATE('Profit Calculation'!J$6,A$2,A$2+A4358-1)</f>
        <v>46361</v>
      </c>
      <c r="D4358" s="362">
        <f t="shared" ca="1" si="139"/>
        <v>344533637.04961574</v>
      </c>
    </row>
    <row r="4359" spans="1:4">
      <c r="A4359" s="348">
        <f t="shared" si="138"/>
        <v>4358</v>
      </c>
      <c r="B4359" s="360">
        <f>DATE('Profit Calculation'!J$6,A$2,A$2+A4359-1)</f>
        <v>46362</v>
      </c>
      <c r="D4359" s="362">
        <f t="shared" ca="1" si="139"/>
        <v>344665587.48951727</v>
      </c>
    </row>
    <row r="4360" spans="1:4">
      <c r="A4360" s="348">
        <f t="shared" si="138"/>
        <v>4359</v>
      </c>
      <c r="B4360" s="360">
        <f>DATE('Profit Calculation'!J$6,A$2,A$2+A4360-1)</f>
        <v>46363</v>
      </c>
      <c r="D4360" s="362">
        <f t="shared" ca="1" si="139"/>
        <v>344797588.46416122</v>
      </c>
    </row>
    <row r="4361" spans="1:4">
      <c r="A4361" s="348">
        <f t="shared" si="138"/>
        <v>4360</v>
      </c>
      <c r="B4361" s="360">
        <f>DATE('Profit Calculation'!J$6,A$2,A$2+A4361-1)</f>
        <v>46364</v>
      </c>
      <c r="D4361" s="362">
        <f t="shared" ca="1" si="139"/>
        <v>344929639.99290144</v>
      </c>
    </row>
    <row r="4362" spans="1:4">
      <c r="A4362" s="348">
        <f t="shared" si="138"/>
        <v>4361</v>
      </c>
      <c r="B4362" s="360">
        <f>DATE('Profit Calculation'!J$6,A$2,A$2+A4362-1)</f>
        <v>46365</v>
      </c>
      <c r="D4362" s="362">
        <f t="shared" ca="1" si="139"/>
        <v>345061742.09509939</v>
      </c>
    </row>
    <row r="4363" spans="1:4">
      <c r="A4363" s="348">
        <f t="shared" si="138"/>
        <v>4362</v>
      </c>
      <c r="B4363" s="360">
        <f>DATE('Profit Calculation'!J$6,A$2,A$2+A4363-1)</f>
        <v>46366</v>
      </c>
      <c r="D4363" s="362">
        <f t="shared" ca="1" si="139"/>
        <v>345193894.79012376</v>
      </c>
    </row>
    <row r="4364" spans="1:4">
      <c r="A4364" s="348">
        <f t="shared" si="138"/>
        <v>4363</v>
      </c>
      <c r="B4364" s="360">
        <f>DATE('Profit Calculation'!J$6,A$2,A$2+A4364-1)</f>
        <v>46367</v>
      </c>
      <c r="D4364" s="362">
        <f t="shared" ca="1" si="139"/>
        <v>345326098.09735072</v>
      </c>
    </row>
    <row r="4365" spans="1:4">
      <c r="A4365" s="348">
        <f t="shared" si="138"/>
        <v>4364</v>
      </c>
      <c r="B4365" s="360">
        <f>DATE('Profit Calculation'!J$6,A$2,A$2+A4365-1)</f>
        <v>46368</v>
      </c>
      <c r="D4365" s="362">
        <f t="shared" ca="1" si="139"/>
        <v>345458352.03616387</v>
      </c>
    </row>
    <row r="4366" spans="1:4">
      <c r="A4366" s="348">
        <f t="shared" si="138"/>
        <v>4365</v>
      </c>
      <c r="B4366" s="360">
        <f>DATE('Profit Calculation'!J$6,A$2,A$2+A4366-1)</f>
        <v>46369</v>
      </c>
      <c r="D4366" s="362">
        <f t="shared" ca="1" si="139"/>
        <v>345590656.62595427</v>
      </c>
    </row>
    <row r="4367" spans="1:4">
      <c r="A4367" s="348">
        <f t="shared" si="138"/>
        <v>4366</v>
      </c>
      <c r="B4367" s="360">
        <f>DATE('Profit Calculation'!J$6,A$2,A$2+A4367-1)</f>
        <v>46370</v>
      </c>
      <c r="D4367" s="362">
        <f t="shared" ca="1" si="139"/>
        <v>345723011.88612032</v>
      </c>
    </row>
    <row r="4368" spans="1:4">
      <c r="A4368" s="348">
        <f t="shared" si="138"/>
        <v>4367</v>
      </c>
      <c r="B4368" s="360">
        <f>DATE('Profit Calculation'!J$6,A$2,A$2+A4368-1)</f>
        <v>46371</v>
      </c>
      <c r="D4368" s="362">
        <f t="shared" ca="1" si="139"/>
        <v>345855417.83606797</v>
      </c>
    </row>
    <row r="4369" spans="1:4">
      <c r="A4369" s="348">
        <f t="shared" si="138"/>
        <v>4368</v>
      </c>
      <c r="B4369" s="360">
        <f>DATE('Profit Calculation'!J$6,A$2,A$2+A4369-1)</f>
        <v>46372</v>
      </c>
      <c r="D4369" s="362">
        <f t="shared" ca="1" si="139"/>
        <v>345987874.49521047</v>
      </c>
    </row>
    <row r="4370" spans="1:4">
      <c r="A4370" s="348">
        <f t="shared" si="138"/>
        <v>4369</v>
      </c>
      <c r="B4370" s="360">
        <f>DATE('Profit Calculation'!J$6,A$2,A$2+A4370-1)</f>
        <v>46373</v>
      </c>
      <c r="D4370" s="362">
        <f t="shared" ca="1" si="139"/>
        <v>346120381.8829686</v>
      </c>
    </row>
    <row r="4371" spans="1:4">
      <c r="A4371" s="348">
        <f t="shared" si="138"/>
        <v>4370</v>
      </c>
      <c r="B4371" s="360">
        <f>DATE('Profit Calculation'!J$6,A$2,A$2+A4371-1)</f>
        <v>46374</v>
      </c>
      <c r="D4371" s="362">
        <f t="shared" ca="1" si="139"/>
        <v>346252940.01877052</v>
      </c>
    </row>
    <row r="4372" spans="1:4">
      <c r="A4372" s="348">
        <f t="shared" si="138"/>
        <v>4371</v>
      </c>
      <c r="B4372" s="360">
        <f>DATE('Profit Calculation'!J$6,A$2,A$2+A4372-1)</f>
        <v>46375</v>
      </c>
      <c r="D4372" s="362">
        <f t="shared" ca="1" si="139"/>
        <v>346385548.92205185</v>
      </c>
    </row>
    <row r="4373" spans="1:4">
      <c r="A4373" s="348">
        <f t="shared" si="138"/>
        <v>4372</v>
      </c>
      <c r="B4373" s="360">
        <f>DATE('Profit Calculation'!J$6,A$2,A$2+A4373-1)</f>
        <v>46376</v>
      </c>
      <c r="D4373" s="362">
        <f t="shared" ca="1" si="139"/>
        <v>346518208.61225569</v>
      </c>
    </row>
    <row r="4374" spans="1:4">
      <c r="A4374" s="348">
        <f t="shared" si="138"/>
        <v>4373</v>
      </c>
      <c r="B4374" s="360">
        <f>DATE('Profit Calculation'!J$6,A$2,A$2+A4374-1)</f>
        <v>46377</v>
      </c>
      <c r="D4374" s="362">
        <f t="shared" ca="1" si="139"/>
        <v>346650919.10883254</v>
      </c>
    </row>
    <row r="4375" spans="1:4">
      <c r="A4375" s="348">
        <f t="shared" si="138"/>
        <v>4374</v>
      </c>
      <c r="B4375" s="360">
        <f>DATE('Profit Calculation'!J$6,A$2,A$2+A4375-1)</f>
        <v>46378</v>
      </c>
      <c r="D4375" s="362">
        <f t="shared" ca="1" si="139"/>
        <v>346783680.43124038</v>
      </c>
    </row>
    <row r="4376" spans="1:4">
      <c r="A4376" s="348">
        <f t="shared" si="138"/>
        <v>4375</v>
      </c>
      <c r="B4376" s="360">
        <f>DATE('Profit Calculation'!J$6,A$2,A$2+A4376-1)</f>
        <v>46379</v>
      </c>
      <c r="D4376" s="362">
        <f t="shared" ca="1" si="139"/>
        <v>346916492.5989446</v>
      </c>
    </row>
    <row r="4377" spans="1:4">
      <c r="A4377" s="348">
        <f t="shared" si="138"/>
        <v>4376</v>
      </c>
      <c r="B4377" s="360">
        <f>DATE('Profit Calculation'!J$6,A$2,A$2+A4377-1)</f>
        <v>46380</v>
      </c>
      <c r="D4377" s="362">
        <f t="shared" ca="1" si="139"/>
        <v>347049355.63141811</v>
      </c>
    </row>
    <row r="4378" spans="1:4">
      <c r="A4378" s="348">
        <f t="shared" si="138"/>
        <v>4377</v>
      </c>
      <c r="B4378" s="360">
        <f>DATE('Profit Calculation'!J$6,A$2,A$2+A4378-1)</f>
        <v>46381</v>
      </c>
      <c r="D4378" s="362">
        <f t="shared" ca="1" si="139"/>
        <v>347182269.54814118</v>
      </c>
    </row>
    <row r="4379" spans="1:4">
      <c r="A4379" s="348">
        <f t="shared" si="138"/>
        <v>4378</v>
      </c>
      <c r="B4379" s="360">
        <f>DATE('Profit Calculation'!J$6,A$2,A$2+A4379-1)</f>
        <v>46382</v>
      </c>
      <c r="D4379" s="362">
        <f t="shared" ca="1" si="139"/>
        <v>347315234.36860168</v>
      </c>
    </row>
    <row r="4380" spans="1:4">
      <c r="A4380" s="348">
        <f t="shared" si="138"/>
        <v>4379</v>
      </c>
      <c r="B4380" s="360">
        <f>DATE('Profit Calculation'!J$6,A$2,A$2+A4380-1)</f>
        <v>46383</v>
      </c>
      <c r="D4380" s="362">
        <f t="shared" ca="1" si="139"/>
        <v>347448250.11229479</v>
      </c>
    </row>
    <row r="4381" spans="1:4">
      <c r="A4381" s="348">
        <f t="shared" si="138"/>
        <v>4380</v>
      </c>
      <c r="B4381" s="360">
        <f>DATE('Profit Calculation'!J$6,A$2,A$2+A4381-1)</f>
        <v>46384</v>
      </c>
      <c r="D4381" s="362">
        <f t="shared" ca="1" si="139"/>
        <v>347581316.79872328</v>
      </c>
    </row>
    <row r="4382" spans="1:4">
      <c r="A4382" s="348">
        <f t="shared" si="138"/>
        <v>4381</v>
      </c>
      <c r="B4382" s="360">
        <f>DATE('Profit Calculation'!J$6,A$2,A$2+A4382-1)</f>
        <v>46385</v>
      </c>
      <c r="D4382" s="362">
        <f t="shared" ca="1" si="139"/>
        <v>347714434.44739729</v>
      </c>
    </row>
    <row r="4383" spans="1:4">
      <c r="A4383" s="348">
        <f t="shared" si="138"/>
        <v>4382</v>
      </c>
      <c r="B4383" s="360">
        <f>DATE('Profit Calculation'!J$6,A$2,A$2+A4383-1)</f>
        <v>46386</v>
      </c>
      <c r="D4383" s="362">
        <f t="shared" ca="1" si="139"/>
        <v>347847603.07783455</v>
      </c>
    </row>
    <row r="4384" spans="1:4">
      <c r="A4384" s="348">
        <f t="shared" si="138"/>
        <v>4383</v>
      </c>
      <c r="B4384" s="360">
        <f>DATE('Profit Calculation'!J$6,A$2,A$2+A4384-1)</f>
        <v>46387</v>
      </c>
      <c r="D4384" s="362">
        <f t="shared" ca="1" si="139"/>
        <v>347980822.7095601</v>
      </c>
    </row>
    <row r="4385" spans="1:4">
      <c r="A4385" s="348">
        <f t="shared" si="138"/>
        <v>4384</v>
      </c>
      <c r="B4385" s="360">
        <f>DATE('Profit Calculation'!J$6,A$2,A$2+A4385-1)</f>
        <v>46388</v>
      </c>
      <c r="D4385" s="362">
        <f t="shared" ca="1" si="139"/>
        <v>347947513</v>
      </c>
    </row>
    <row r="4386" spans="1:4">
      <c r="A4386" s="348">
        <f t="shared" si="138"/>
        <v>4385</v>
      </c>
      <c r="B4386" s="360">
        <f>DATE('Profit Calculation'!J$6,A$2,A$2+A4386-1)</f>
        <v>46389</v>
      </c>
      <c r="D4386" s="362">
        <f t="shared" ca="1" si="139"/>
        <v>348080770.89550233</v>
      </c>
    </row>
    <row r="4387" spans="1:4">
      <c r="A4387" s="348">
        <f t="shared" si="138"/>
        <v>4386</v>
      </c>
      <c r="B4387" s="360">
        <f>DATE('Profit Calculation'!J$6,A$2,A$2+A4387-1)</f>
        <v>46390</v>
      </c>
      <c r="D4387" s="362">
        <f t="shared" ca="1" si="139"/>
        <v>348214079.82648003</v>
      </c>
    </row>
    <row r="4388" spans="1:4">
      <c r="A4388" s="348">
        <f t="shared" si="138"/>
        <v>4387</v>
      </c>
      <c r="B4388" s="360">
        <f>DATE('Profit Calculation'!J$6,A$2,A$2+A4388-1)</f>
        <v>46391</v>
      </c>
      <c r="D4388" s="362">
        <f t="shared" ca="1" si="139"/>
        <v>348347439.81247872</v>
      </c>
    </row>
    <row r="4389" spans="1:4">
      <c r="A4389" s="348">
        <f t="shared" si="138"/>
        <v>4388</v>
      </c>
      <c r="B4389" s="360">
        <f>DATE('Profit Calculation'!J$6,A$2,A$2+A4389-1)</f>
        <v>46392</v>
      </c>
      <c r="D4389" s="362">
        <f t="shared" ca="1" si="139"/>
        <v>348480850.87305164</v>
      </c>
    </row>
    <row r="4390" spans="1:4">
      <c r="A4390" s="348">
        <f t="shared" si="138"/>
        <v>4389</v>
      </c>
      <c r="B4390" s="360">
        <f>DATE('Profit Calculation'!J$6,A$2,A$2+A4390-1)</f>
        <v>46393</v>
      </c>
      <c r="D4390" s="362">
        <f t="shared" ca="1" si="139"/>
        <v>348614313.02775949</v>
      </c>
    </row>
    <row r="4391" spans="1:4">
      <c r="A4391" s="348">
        <f t="shared" si="138"/>
        <v>4390</v>
      </c>
      <c r="B4391" s="360">
        <f>DATE('Profit Calculation'!J$6,A$2,A$2+A4391-1)</f>
        <v>46394</v>
      </c>
      <c r="D4391" s="362">
        <f t="shared" ca="1" si="139"/>
        <v>348747826.29617041</v>
      </c>
    </row>
    <row r="4392" spans="1:4">
      <c r="A4392" s="348">
        <f t="shared" si="138"/>
        <v>4391</v>
      </c>
      <c r="B4392" s="360">
        <f>DATE('Profit Calculation'!J$6,A$2,A$2+A4392-1)</f>
        <v>46395</v>
      </c>
      <c r="D4392" s="362">
        <f t="shared" ca="1" si="139"/>
        <v>348881390.69786006</v>
      </c>
    </row>
    <row r="4393" spans="1:4">
      <c r="A4393" s="348">
        <f t="shared" si="138"/>
        <v>4392</v>
      </c>
      <c r="B4393" s="360">
        <f>DATE('Profit Calculation'!J$6,A$2,A$2+A4393-1)</f>
        <v>46396</v>
      </c>
      <c r="D4393" s="362">
        <f t="shared" ca="1" si="139"/>
        <v>349015006.2524116</v>
      </c>
    </row>
    <row r="4394" spans="1:4">
      <c r="A4394" s="348">
        <f t="shared" si="138"/>
        <v>4393</v>
      </c>
      <c r="B4394" s="360">
        <f>DATE('Profit Calculation'!J$6,A$2,A$2+A4394-1)</f>
        <v>46397</v>
      </c>
      <c r="D4394" s="362">
        <f t="shared" ca="1" si="139"/>
        <v>349148672.97941571</v>
      </c>
    </row>
    <row r="4395" spans="1:4">
      <c r="A4395" s="348">
        <f t="shared" si="138"/>
        <v>4394</v>
      </c>
      <c r="B4395" s="360">
        <f>DATE('Profit Calculation'!J$6,A$2,A$2+A4395-1)</f>
        <v>46398</v>
      </c>
      <c r="D4395" s="362">
        <f t="shared" ca="1" si="139"/>
        <v>349282390.89847058</v>
      </c>
    </row>
    <row r="4396" spans="1:4">
      <c r="A4396" s="348">
        <f t="shared" si="138"/>
        <v>4395</v>
      </c>
      <c r="B4396" s="360">
        <f>DATE('Profit Calculation'!J$6,A$2,A$2+A4396-1)</f>
        <v>46399</v>
      </c>
      <c r="D4396" s="362">
        <f t="shared" ca="1" si="139"/>
        <v>349416160.02918184</v>
      </c>
    </row>
    <row r="4397" spans="1:4">
      <c r="A4397" s="348">
        <f t="shared" si="138"/>
        <v>4396</v>
      </c>
      <c r="B4397" s="360">
        <f>DATE('Profit Calculation'!J$6,A$2,A$2+A4397-1)</f>
        <v>46400</v>
      </c>
      <c r="D4397" s="362">
        <f t="shared" ca="1" si="139"/>
        <v>349549980.39116269</v>
      </c>
    </row>
    <row r="4398" spans="1:4">
      <c r="A4398" s="348">
        <f t="shared" si="138"/>
        <v>4397</v>
      </c>
      <c r="B4398" s="360">
        <f>DATE('Profit Calculation'!J$6,A$2,A$2+A4398-1)</f>
        <v>46401</v>
      </c>
      <c r="D4398" s="362">
        <f t="shared" ca="1" si="139"/>
        <v>349683852.00403386</v>
      </c>
    </row>
    <row r="4399" spans="1:4">
      <c r="A4399" s="348">
        <f t="shared" si="138"/>
        <v>4398</v>
      </c>
      <c r="B4399" s="360">
        <f>DATE('Profit Calculation'!J$6,A$2,A$2+A4399-1)</f>
        <v>46402</v>
      </c>
      <c r="D4399" s="362">
        <f t="shared" ca="1" si="139"/>
        <v>349817774.88742352</v>
      </c>
    </row>
    <row r="4400" spans="1:4">
      <c r="A4400" s="348">
        <f t="shared" si="138"/>
        <v>4399</v>
      </c>
      <c r="B4400" s="360">
        <f>DATE('Profit Calculation'!J$6,A$2,A$2+A4400-1)</f>
        <v>46403</v>
      </c>
      <c r="D4400" s="362">
        <f t="shared" ca="1" si="139"/>
        <v>349951749.06096739</v>
      </c>
    </row>
    <row r="4401" spans="1:4">
      <c r="A4401" s="348">
        <f t="shared" si="138"/>
        <v>4400</v>
      </c>
      <c r="B4401" s="360">
        <f>DATE('Profit Calculation'!J$6,A$2,A$2+A4401-1)</f>
        <v>46404</v>
      </c>
      <c r="D4401" s="362">
        <f t="shared" ca="1" si="139"/>
        <v>350085774.54430872</v>
      </c>
    </row>
    <row r="4402" spans="1:4">
      <c r="A4402" s="348">
        <f t="shared" si="138"/>
        <v>4401</v>
      </c>
      <c r="B4402" s="360">
        <f>DATE('Profit Calculation'!J$6,A$2,A$2+A4402-1)</f>
        <v>46405</v>
      </c>
      <c r="D4402" s="362">
        <f t="shared" ca="1" si="139"/>
        <v>350219851.35709828</v>
      </c>
    </row>
    <row r="4403" spans="1:4">
      <c r="A4403" s="348">
        <f t="shared" si="138"/>
        <v>4402</v>
      </c>
      <c r="B4403" s="360">
        <f>DATE('Profit Calculation'!J$6,A$2,A$2+A4403-1)</f>
        <v>46406</v>
      </c>
      <c r="D4403" s="362">
        <f t="shared" ca="1" si="139"/>
        <v>350353979.51899433</v>
      </c>
    </row>
    <row r="4404" spans="1:4">
      <c r="A4404" s="348">
        <f t="shared" si="138"/>
        <v>4403</v>
      </c>
      <c r="B4404" s="360">
        <f>DATE('Profit Calculation'!J$6,A$2,A$2+A4404-1)</f>
        <v>46407</v>
      </c>
      <c r="D4404" s="362">
        <f t="shared" ca="1" si="139"/>
        <v>350488159.04966271</v>
      </c>
    </row>
    <row r="4405" spans="1:4">
      <c r="A4405" s="348">
        <f t="shared" si="138"/>
        <v>4404</v>
      </c>
      <c r="B4405" s="360">
        <f>DATE('Profit Calculation'!J$6,A$2,A$2+A4405-1)</f>
        <v>46408</v>
      </c>
      <c r="D4405" s="362">
        <f t="shared" ca="1" si="139"/>
        <v>350622389.96877682</v>
      </c>
    </row>
    <row r="4406" spans="1:4">
      <c r="A4406" s="348">
        <f t="shared" si="138"/>
        <v>4405</v>
      </c>
      <c r="B4406" s="360">
        <f>DATE('Profit Calculation'!J$6,A$2,A$2+A4406-1)</f>
        <v>46409</v>
      </c>
      <c r="D4406" s="362">
        <f t="shared" ca="1" si="139"/>
        <v>350756672.29601747</v>
      </c>
    </row>
    <row r="4407" spans="1:4">
      <c r="A4407" s="348">
        <f t="shared" si="138"/>
        <v>4406</v>
      </c>
      <c r="B4407" s="360">
        <f>DATE('Profit Calculation'!J$6,A$2,A$2+A4407-1)</f>
        <v>46410</v>
      </c>
      <c r="D4407" s="362">
        <f t="shared" ca="1" si="139"/>
        <v>350891006.05107313</v>
      </c>
    </row>
    <row r="4408" spans="1:4">
      <c r="A4408" s="348">
        <f t="shared" si="138"/>
        <v>4407</v>
      </c>
      <c r="B4408" s="360">
        <f>DATE('Profit Calculation'!J$6,A$2,A$2+A4408-1)</f>
        <v>46411</v>
      </c>
      <c r="D4408" s="362">
        <f t="shared" ca="1" si="139"/>
        <v>351025391.25363982</v>
      </c>
    </row>
    <row r="4409" spans="1:4">
      <c r="A4409" s="348">
        <f t="shared" si="138"/>
        <v>4408</v>
      </c>
      <c r="B4409" s="360">
        <f>DATE('Profit Calculation'!J$6,A$2,A$2+A4409-1)</f>
        <v>46412</v>
      </c>
      <c r="D4409" s="362">
        <f t="shared" ca="1" si="139"/>
        <v>351159827.92342097</v>
      </c>
    </row>
    <row r="4410" spans="1:4">
      <c r="A4410" s="348">
        <f t="shared" si="138"/>
        <v>4409</v>
      </c>
      <c r="B4410" s="360">
        <f>DATE('Profit Calculation'!J$6,A$2,A$2+A4410-1)</f>
        <v>46413</v>
      </c>
      <c r="D4410" s="362">
        <f t="shared" ca="1" si="139"/>
        <v>351294316.08012766</v>
      </c>
    </row>
    <row r="4411" spans="1:4">
      <c r="A4411" s="348">
        <f t="shared" si="138"/>
        <v>4410</v>
      </c>
      <c r="B4411" s="360">
        <f>DATE('Profit Calculation'!J$6,A$2,A$2+A4411-1)</f>
        <v>46414</v>
      </c>
      <c r="D4411" s="362">
        <f t="shared" ca="1" si="139"/>
        <v>351428855.74347848</v>
      </c>
    </row>
    <row r="4412" spans="1:4">
      <c r="A4412" s="348">
        <f t="shared" si="138"/>
        <v>4411</v>
      </c>
      <c r="B4412" s="360">
        <f>DATE('Profit Calculation'!J$6,A$2,A$2+A4412-1)</f>
        <v>46415</v>
      </c>
      <c r="D4412" s="362">
        <f t="shared" ca="1" si="139"/>
        <v>351563446.93319958</v>
      </c>
    </row>
    <row r="4413" spans="1:4">
      <c r="A4413" s="348">
        <f t="shared" si="138"/>
        <v>4412</v>
      </c>
      <c r="B4413" s="360">
        <f>DATE('Profit Calculation'!J$6,A$2,A$2+A4413-1)</f>
        <v>46416</v>
      </c>
      <c r="D4413" s="362">
        <f t="shared" ca="1" si="139"/>
        <v>351698089.66902471</v>
      </c>
    </row>
    <row r="4414" spans="1:4">
      <c r="A4414" s="348">
        <f t="shared" si="138"/>
        <v>4413</v>
      </c>
      <c r="B4414" s="360">
        <f>DATE('Profit Calculation'!J$6,A$2,A$2+A4414-1)</f>
        <v>46417</v>
      </c>
      <c r="D4414" s="362">
        <f t="shared" ca="1" si="139"/>
        <v>351832783.97069514</v>
      </c>
    </row>
    <row r="4415" spans="1:4">
      <c r="A4415" s="348">
        <f t="shared" si="138"/>
        <v>4414</v>
      </c>
      <c r="B4415" s="360">
        <f>DATE('Profit Calculation'!J$6,A$2,A$2+A4415-1)</f>
        <v>46418</v>
      </c>
      <c r="D4415" s="362">
        <f t="shared" ca="1" si="139"/>
        <v>351967529.85795969</v>
      </c>
    </row>
    <row r="4416" spans="1:4">
      <c r="A4416" s="348">
        <f t="shared" si="138"/>
        <v>4415</v>
      </c>
      <c r="B4416" s="360">
        <f>DATE('Profit Calculation'!J$6,A$2,A$2+A4416-1)</f>
        <v>46419</v>
      </c>
      <c r="D4416" s="362">
        <f t="shared" ca="1" si="139"/>
        <v>352102327.35057473</v>
      </c>
    </row>
    <row r="4417" spans="1:4">
      <c r="A4417" s="348">
        <f t="shared" si="138"/>
        <v>4416</v>
      </c>
      <c r="B4417" s="360">
        <f>DATE('Profit Calculation'!J$6,A$2,A$2+A4417-1)</f>
        <v>46420</v>
      </c>
      <c r="D4417" s="362">
        <f t="shared" ca="1" si="139"/>
        <v>352237176.46830422</v>
      </c>
    </row>
    <row r="4418" spans="1:4">
      <c r="A4418" s="348">
        <f t="shared" si="138"/>
        <v>4417</v>
      </c>
      <c r="B4418" s="360">
        <f>DATE('Profit Calculation'!J$6,A$2,A$2+A4418-1)</f>
        <v>46421</v>
      </c>
      <c r="D4418" s="362">
        <f t="shared" ca="1" si="139"/>
        <v>352372077.23091966</v>
      </c>
    </row>
    <row r="4419" spans="1:4">
      <c r="A4419" s="348">
        <f t="shared" si="138"/>
        <v>4418</v>
      </c>
      <c r="B4419" s="360">
        <f>DATE('Profit Calculation'!J$6,A$2,A$2+A4419-1)</f>
        <v>46422</v>
      </c>
      <c r="D4419" s="362">
        <f t="shared" ca="1" si="139"/>
        <v>352507029.6582002</v>
      </c>
    </row>
    <row r="4420" spans="1:4">
      <c r="A4420" s="348">
        <f t="shared" si="138"/>
        <v>4419</v>
      </c>
      <c r="B4420" s="360">
        <f>DATE('Profit Calculation'!J$6,A$2,A$2+A4420-1)</f>
        <v>46423</v>
      </c>
      <c r="D4420" s="362">
        <f t="shared" ca="1" si="139"/>
        <v>352642033.76993251</v>
      </c>
    </row>
    <row r="4421" spans="1:4">
      <c r="A4421" s="348">
        <f t="shared" ref="A4421:A4484" si="140">A4420+1</f>
        <v>4420</v>
      </c>
      <c r="B4421" s="360">
        <f>DATE('Profit Calculation'!J$6,A$2,A$2+A4421-1)</f>
        <v>46424</v>
      </c>
      <c r="D4421" s="362">
        <f t="shared" ref="D4421:D4484" ca="1" si="141">IF(OR(LOOKUP(B4421,W$1:W$35,W$1:W$35) = B4421, LOOKUP(B4421,X$1:X$35,X$1:X$35) = B4421),LOOKUP(B4421,F:F,G:G),D4420*(1+((IF($Q$18&lt;6,$R$14,IF($Q$18&lt;11,$R$15,$R$16)))))^(1/365))</f>
        <v>352777089.58591086</v>
      </c>
    </row>
    <row r="4422" spans="1:4">
      <c r="A4422" s="348">
        <f t="shared" si="140"/>
        <v>4421</v>
      </c>
      <c r="B4422" s="360">
        <f>DATE('Profit Calculation'!J$6,A$2,A$2+A4422-1)</f>
        <v>46425</v>
      </c>
      <c r="D4422" s="362">
        <f t="shared" ca="1" si="141"/>
        <v>352912197.12593704</v>
      </c>
    </row>
    <row r="4423" spans="1:4">
      <c r="A4423" s="348">
        <f t="shared" si="140"/>
        <v>4422</v>
      </c>
      <c r="B4423" s="360">
        <f>DATE('Profit Calculation'!J$6,A$2,A$2+A4423-1)</f>
        <v>46426</v>
      </c>
      <c r="D4423" s="362">
        <f t="shared" ca="1" si="141"/>
        <v>353047356.4098205</v>
      </c>
    </row>
    <row r="4424" spans="1:4">
      <c r="A4424" s="348">
        <f t="shared" si="140"/>
        <v>4423</v>
      </c>
      <c r="B4424" s="360">
        <f>DATE('Profit Calculation'!J$6,A$2,A$2+A4424-1)</f>
        <v>46427</v>
      </c>
      <c r="D4424" s="362">
        <f t="shared" ca="1" si="141"/>
        <v>353182567.45737827</v>
      </c>
    </row>
    <row r="4425" spans="1:4">
      <c r="A4425" s="348">
        <f t="shared" si="140"/>
        <v>4424</v>
      </c>
      <c r="B4425" s="360">
        <f>DATE('Profit Calculation'!J$6,A$2,A$2+A4425-1)</f>
        <v>46428</v>
      </c>
      <c r="D4425" s="362">
        <f t="shared" ca="1" si="141"/>
        <v>353317830.28843486</v>
      </c>
    </row>
    <row r="4426" spans="1:4">
      <c r="A4426" s="348">
        <f t="shared" si="140"/>
        <v>4425</v>
      </c>
      <c r="B4426" s="360">
        <f>DATE('Profit Calculation'!J$6,A$2,A$2+A4426-1)</f>
        <v>46429</v>
      </c>
      <c r="D4426" s="362">
        <f t="shared" ca="1" si="141"/>
        <v>353453144.92282254</v>
      </c>
    </row>
    <row r="4427" spans="1:4">
      <c r="A4427" s="348">
        <f t="shared" si="140"/>
        <v>4426</v>
      </c>
      <c r="B4427" s="360">
        <f>DATE('Profit Calculation'!J$6,A$2,A$2+A4427-1)</f>
        <v>46430</v>
      </c>
      <c r="D4427" s="362">
        <f t="shared" ca="1" si="141"/>
        <v>353588511.38038105</v>
      </c>
    </row>
    <row r="4428" spans="1:4">
      <c r="A4428" s="348">
        <f t="shared" si="140"/>
        <v>4427</v>
      </c>
      <c r="B4428" s="360">
        <f>DATE('Profit Calculation'!J$6,A$2,A$2+A4428-1)</f>
        <v>46431</v>
      </c>
      <c r="D4428" s="362">
        <f t="shared" ca="1" si="141"/>
        <v>353723929.68095779</v>
      </c>
    </row>
    <row r="4429" spans="1:4">
      <c r="A4429" s="348">
        <f t="shared" si="140"/>
        <v>4428</v>
      </c>
      <c r="B4429" s="360">
        <f>DATE('Profit Calculation'!J$6,A$2,A$2+A4429-1)</f>
        <v>46432</v>
      </c>
      <c r="D4429" s="362">
        <f t="shared" ca="1" si="141"/>
        <v>353859399.84440774</v>
      </c>
    </row>
    <row r="4430" spans="1:4">
      <c r="A4430" s="348">
        <f t="shared" si="140"/>
        <v>4429</v>
      </c>
      <c r="B4430" s="360">
        <f>DATE('Profit Calculation'!J$6,A$2,A$2+A4430-1)</f>
        <v>46433</v>
      </c>
      <c r="D4430" s="362">
        <f t="shared" ca="1" si="141"/>
        <v>353994921.89059347</v>
      </c>
    </row>
    <row r="4431" spans="1:4">
      <c r="A4431" s="348">
        <f t="shared" si="140"/>
        <v>4430</v>
      </c>
      <c r="B4431" s="360">
        <f>DATE('Profit Calculation'!J$6,A$2,A$2+A4431-1)</f>
        <v>46434</v>
      </c>
      <c r="D4431" s="362">
        <f t="shared" ca="1" si="141"/>
        <v>354130495.83938515</v>
      </c>
    </row>
    <row r="4432" spans="1:4">
      <c r="A4432" s="348">
        <f t="shared" si="140"/>
        <v>4431</v>
      </c>
      <c r="B4432" s="360">
        <f>DATE('Profit Calculation'!J$6,A$2,A$2+A4432-1)</f>
        <v>46435</v>
      </c>
      <c r="D4432" s="362">
        <f t="shared" ca="1" si="141"/>
        <v>354266121.71066064</v>
      </c>
    </row>
    <row r="4433" spans="1:4">
      <c r="A4433" s="348">
        <f t="shared" si="140"/>
        <v>4432</v>
      </c>
      <c r="B4433" s="360">
        <f>DATE('Profit Calculation'!J$6,A$2,A$2+A4433-1)</f>
        <v>46436</v>
      </c>
      <c r="D4433" s="362">
        <f t="shared" ca="1" si="141"/>
        <v>354401799.52430528</v>
      </c>
    </row>
    <row r="4434" spans="1:4">
      <c r="A4434" s="348">
        <f t="shared" si="140"/>
        <v>4433</v>
      </c>
      <c r="B4434" s="360">
        <f>DATE('Profit Calculation'!J$6,A$2,A$2+A4434-1)</f>
        <v>46437</v>
      </c>
      <c r="D4434" s="362">
        <f t="shared" ca="1" si="141"/>
        <v>354537529.3002122</v>
      </c>
    </row>
    <row r="4435" spans="1:4">
      <c r="A4435" s="348">
        <f t="shared" si="140"/>
        <v>4434</v>
      </c>
      <c r="B4435" s="360">
        <f>DATE('Profit Calculation'!J$6,A$2,A$2+A4435-1)</f>
        <v>46438</v>
      </c>
      <c r="D4435" s="362">
        <f t="shared" ca="1" si="141"/>
        <v>354673311.05828202</v>
      </c>
    </row>
    <row r="4436" spans="1:4">
      <c r="A4436" s="348">
        <f t="shared" si="140"/>
        <v>4435</v>
      </c>
      <c r="B4436" s="360">
        <f>DATE('Profit Calculation'!J$6,A$2,A$2+A4436-1)</f>
        <v>46439</v>
      </c>
      <c r="D4436" s="362">
        <f t="shared" ca="1" si="141"/>
        <v>354809144.81842297</v>
      </c>
    </row>
    <row r="4437" spans="1:4">
      <c r="A4437" s="348">
        <f t="shared" si="140"/>
        <v>4436</v>
      </c>
      <c r="B4437" s="360">
        <f>DATE('Profit Calculation'!J$6,A$2,A$2+A4437-1)</f>
        <v>46440</v>
      </c>
      <c r="D4437" s="362">
        <f t="shared" ca="1" si="141"/>
        <v>354945030.60055095</v>
      </c>
    </row>
    <row r="4438" spans="1:4">
      <c r="A4438" s="348">
        <f t="shared" si="140"/>
        <v>4437</v>
      </c>
      <c r="B4438" s="360">
        <f>DATE('Profit Calculation'!J$6,A$2,A$2+A4438-1)</f>
        <v>46441</v>
      </c>
      <c r="D4438" s="362">
        <f t="shared" ca="1" si="141"/>
        <v>355080968.42458951</v>
      </c>
    </row>
    <row r="4439" spans="1:4">
      <c r="A4439" s="348">
        <f t="shared" si="140"/>
        <v>4438</v>
      </c>
      <c r="B4439" s="360">
        <f>DATE('Profit Calculation'!J$6,A$2,A$2+A4439-1)</f>
        <v>46442</v>
      </c>
      <c r="D4439" s="362">
        <f t="shared" ca="1" si="141"/>
        <v>355216958.31046981</v>
      </c>
    </row>
    <row r="4440" spans="1:4">
      <c r="A4440" s="348">
        <f t="shared" si="140"/>
        <v>4439</v>
      </c>
      <c r="B4440" s="360">
        <f>DATE('Profit Calculation'!J$6,A$2,A$2+A4440-1)</f>
        <v>46443</v>
      </c>
      <c r="D4440" s="362">
        <f t="shared" ca="1" si="141"/>
        <v>355353000.27813059</v>
      </c>
    </row>
    <row r="4441" spans="1:4">
      <c r="A4441" s="348">
        <f t="shared" si="140"/>
        <v>4440</v>
      </c>
      <c r="B4441" s="360">
        <f>DATE('Profit Calculation'!J$6,A$2,A$2+A4441-1)</f>
        <v>46444</v>
      </c>
      <c r="D4441" s="362">
        <f t="shared" ca="1" si="141"/>
        <v>355489094.34751832</v>
      </c>
    </row>
    <row r="4442" spans="1:4">
      <c r="A4442" s="348">
        <f t="shared" si="140"/>
        <v>4441</v>
      </c>
      <c r="B4442" s="360">
        <f>DATE('Profit Calculation'!J$6,A$2,A$2+A4442-1)</f>
        <v>46445</v>
      </c>
      <c r="D4442" s="362">
        <f t="shared" ca="1" si="141"/>
        <v>355625240.53858703</v>
      </c>
    </row>
    <row r="4443" spans="1:4">
      <c r="A4443" s="348">
        <f t="shared" si="140"/>
        <v>4442</v>
      </c>
      <c r="B4443" s="360">
        <f>DATE('Profit Calculation'!J$6,A$2,A$2+A4443-1)</f>
        <v>46446</v>
      </c>
      <c r="D4443" s="362">
        <f t="shared" ca="1" si="141"/>
        <v>355761438.87129849</v>
      </c>
    </row>
    <row r="4444" spans="1:4">
      <c r="A4444" s="348">
        <f t="shared" si="140"/>
        <v>4443</v>
      </c>
      <c r="B4444" s="360">
        <f>DATE('Profit Calculation'!J$6,A$2,A$2+A4444-1)</f>
        <v>46447</v>
      </c>
      <c r="D4444" s="362">
        <f t="shared" ca="1" si="141"/>
        <v>355897689.36562198</v>
      </c>
    </row>
    <row r="4445" spans="1:4">
      <c r="A4445" s="348">
        <f t="shared" si="140"/>
        <v>4444</v>
      </c>
      <c r="B4445" s="360">
        <f>DATE('Profit Calculation'!J$6,A$2,A$2+A4445-1)</f>
        <v>46448</v>
      </c>
      <c r="D4445" s="362">
        <f t="shared" ca="1" si="141"/>
        <v>356033992.04153454</v>
      </c>
    </row>
    <row r="4446" spans="1:4">
      <c r="A4446" s="348">
        <f t="shared" si="140"/>
        <v>4445</v>
      </c>
      <c r="B4446" s="360">
        <f>DATE('Profit Calculation'!J$6,A$2,A$2+A4446-1)</f>
        <v>46449</v>
      </c>
      <c r="D4446" s="362">
        <f t="shared" ca="1" si="141"/>
        <v>356170346.91902077</v>
      </c>
    </row>
    <row r="4447" spans="1:4">
      <c r="A4447" s="348">
        <f t="shared" si="140"/>
        <v>4446</v>
      </c>
      <c r="B4447" s="360">
        <f>DATE('Profit Calculation'!J$6,A$2,A$2+A4447-1)</f>
        <v>46450</v>
      </c>
      <c r="D4447" s="362">
        <f t="shared" ca="1" si="141"/>
        <v>356306754.01807302</v>
      </c>
    </row>
    <row r="4448" spans="1:4">
      <c r="A4448" s="348">
        <f t="shared" si="140"/>
        <v>4447</v>
      </c>
      <c r="B4448" s="360">
        <f>DATE('Profit Calculation'!J$6,A$2,A$2+A4448-1)</f>
        <v>46451</v>
      </c>
      <c r="D4448" s="362">
        <f t="shared" ca="1" si="141"/>
        <v>356443213.35869122</v>
      </c>
    </row>
    <row r="4449" spans="1:4">
      <c r="A4449" s="348">
        <f t="shared" si="140"/>
        <v>4448</v>
      </c>
      <c r="B4449" s="360">
        <f>DATE('Profit Calculation'!J$6,A$2,A$2+A4449-1)</f>
        <v>46452</v>
      </c>
      <c r="D4449" s="362">
        <f t="shared" ca="1" si="141"/>
        <v>356579724.96088302</v>
      </c>
    </row>
    <row r="4450" spans="1:4">
      <c r="A4450" s="348">
        <f t="shared" si="140"/>
        <v>4449</v>
      </c>
      <c r="B4450" s="360">
        <f>DATE('Profit Calculation'!J$6,A$2,A$2+A4450-1)</f>
        <v>46453</v>
      </c>
      <c r="D4450" s="362">
        <f t="shared" ca="1" si="141"/>
        <v>356716288.84466368</v>
      </c>
    </row>
    <row r="4451" spans="1:4">
      <c r="A4451" s="348">
        <f t="shared" si="140"/>
        <v>4450</v>
      </c>
      <c r="B4451" s="360">
        <f>DATE('Profit Calculation'!J$6,A$2,A$2+A4451-1)</f>
        <v>46454</v>
      </c>
      <c r="D4451" s="362">
        <f t="shared" ca="1" si="141"/>
        <v>356852905.03005612</v>
      </c>
    </row>
    <row r="4452" spans="1:4">
      <c r="A4452" s="348">
        <f t="shared" si="140"/>
        <v>4451</v>
      </c>
      <c r="B4452" s="360">
        <f>DATE('Profit Calculation'!J$6,A$2,A$2+A4452-1)</f>
        <v>46455</v>
      </c>
      <c r="D4452" s="362">
        <f t="shared" ca="1" si="141"/>
        <v>356989573.53709102</v>
      </c>
    </row>
    <row r="4453" spans="1:4">
      <c r="A4453" s="348">
        <f t="shared" si="140"/>
        <v>4452</v>
      </c>
      <c r="B4453" s="360">
        <f>DATE('Profit Calculation'!J$6,A$2,A$2+A4453-1)</f>
        <v>46456</v>
      </c>
      <c r="D4453" s="362">
        <f t="shared" ca="1" si="141"/>
        <v>357126294.38580662</v>
      </c>
    </row>
    <row r="4454" spans="1:4">
      <c r="A4454" s="348">
        <f t="shared" si="140"/>
        <v>4453</v>
      </c>
      <c r="B4454" s="360">
        <f>DATE('Profit Calculation'!J$6,A$2,A$2+A4454-1)</f>
        <v>46457</v>
      </c>
      <c r="D4454" s="362">
        <f t="shared" ca="1" si="141"/>
        <v>357263067.59624887</v>
      </c>
    </row>
    <row r="4455" spans="1:4">
      <c r="A4455" s="348">
        <f t="shared" si="140"/>
        <v>4454</v>
      </c>
      <c r="B4455" s="360">
        <f>DATE('Profit Calculation'!J$6,A$2,A$2+A4455-1)</f>
        <v>46458</v>
      </c>
      <c r="D4455" s="362">
        <f t="shared" ca="1" si="141"/>
        <v>357399893.18847144</v>
      </c>
    </row>
    <row r="4456" spans="1:4">
      <c r="A4456" s="348">
        <f t="shared" si="140"/>
        <v>4455</v>
      </c>
      <c r="B4456" s="360">
        <f>DATE('Profit Calculation'!J$6,A$2,A$2+A4456-1)</f>
        <v>46459</v>
      </c>
      <c r="D4456" s="362">
        <f t="shared" ca="1" si="141"/>
        <v>357536771.18253559</v>
      </c>
    </row>
    <row r="4457" spans="1:4">
      <c r="A4457" s="348">
        <f t="shared" si="140"/>
        <v>4456</v>
      </c>
      <c r="B4457" s="360">
        <f>DATE('Profit Calculation'!J$6,A$2,A$2+A4457-1)</f>
        <v>46460</v>
      </c>
      <c r="D4457" s="362">
        <f t="shared" ca="1" si="141"/>
        <v>357673701.59851038</v>
      </c>
    </row>
    <row r="4458" spans="1:4">
      <c r="A4458" s="348">
        <f t="shared" si="140"/>
        <v>4457</v>
      </c>
      <c r="B4458" s="360">
        <f>DATE('Profit Calculation'!J$6,A$2,A$2+A4458-1)</f>
        <v>46461</v>
      </c>
      <c r="D4458" s="362">
        <f t="shared" ca="1" si="141"/>
        <v>357810684.45647252</v>
      </c>
    </row>
    <row r="4459" spans="1:4">
      <c r="A4459" s="348">
        <f t="shared" si="140"/>
        <v>4458</v>
      </c>
      <c r="B4459" s="360">
        <f>DATE('Profit Calculation'!J$6,A$2,A$2+A4459-1)</f>
        <v>46462</v>
      </c>
      <c r="D4459" s="362">
        <f t="shared" ca="1" si="141"/>
        <v>357947719.7765063</v>
      </c>
    </row>
    <row r="4460" spans="1:4">
      <c r="A4460" s="348">
        <f t="shared" si="140"/>
        <v>4459</v>
      </c>
      <c r="B4460" s="360">
        <f>DATE('Profit Calculation'!J$6,A$2,A$2+A4460-1)</f>
        <v>46463</v>
      </c>
      <c r="D4460" s="362">
        <f t="shared" ca="1" si="141"/>
        <v>358084807.57870388</v>
      </c>
    </row>
    <row r="4461" spans="1:4">
      <c r="A4461" s="348">
        <f t="shared" si="140"/>
        <v>4460</v>
      </c>
      <c r="B4461" s="360">
        <f>DATE('Profit Calculation'!J$6,A$2,A$2+A4461-1)</f>
        <v>46464</v>
      </c>
      <c r="D4461" s="362">
        <f t="shared" ca="1" si="141"/>
        <v>358221947.883165</v>
      </c>
    </row>
    <row r="4462" spans="1:4">
      <c r="A4462" s="348">
        <f t="shared" si="140"/>
        <v>4461</v>
      </c>
      <c r="B4462" s="360">
        <f>DATE('Profit Calculation'!J$6,A$2,A$2+A4462-1)</f>
        <v>46465</v>
      </c>
      <c r="D4462" s="362">
        <f t="shared" ca="1" si="141"/>
        <v>358359140.70999706</v>
      </c>
    </row>
    <row r="4463" spans="1:4">
      <c r="A4463" s="348">
        <f t="shared" si="140"/>
        <v>4462</v>
      </c>
      <c r="B4463" s="360">
        <f>DATE('Profit Calculation'!J$6,A$2,A$2+A4463-1)</f>
        <v>46466</v>
      </c>
      <c r="D4463" s="362">
        <f t="shared" ca="1" si="141"/>
        <v>358496386.0793153</v>
      </c>
    </row>
    <row r="4464" spans="1:4">
      <c r="A4464" s="348">
        <f t="shared" si="140"/>
        <v>4463</v>
      </c>
      <c r="B4464" s="360">
        <f>DATE('Profit Calculation'!J$6,A$2,A$2+A4464-1)</f>
        <v>46467</v>
      </c>
      <c r="D4464" s="362">
        <f t="shared" ca="1" si="141"/>
        <v>358633684.01124257</v>
      </c>
    </row>
    <row r="4465" spans="1:4">
      <c r="A4465" s="348">
        <f t="shared" si="140"/>
        <v>4464</v>
      </c>
      <c r="B4465" s="360">
        <f>DATE('Profit Calculation'!J$6,A$2,A$2+A4465-1)</f>
        <v>46468</v>
      </c>
      <c r="D4465" s="362">
        <f t="shared" ca="1" si="141"/>
        <v>358771034.52590942</v>
      </c>
    </row>
    <row r="4466" spans="1:4">
      <c r="A4466" s="348">
        <f t="shared" si="140"/>
        <v>4465</v>
      </c>
      <c r="B4466" s="360">
        <f>DATE('Profit Calculation'!J$6,A$2,A$2+A4466-1)</f>
        <v>46469</v>
      </c>
      <c r="D4466" s="362">
        <f t="shared" ca="1" si="141"/>
        <v>358908437.64345413</v>
      </c>
    </row>
    <row r="4467" spans="1:4">
      <c r="A4467" s="348">
        <f t="shared" si="140"/>
        <v>4466</v>
      </c>
      <c r="B4467" s="360">
        <f>DATE('Profit Calculation'!J$6,A$2,A$2+A4467-1)</f>
        <v>46470</v>
      </c>
      <c r="D4467" s="362">
        <f t="shared" ca="1" si="141"/>
        <v>359045893.38402271</v>
      </c>
    </row>
    <row r="4468" spans="1:4">
      <c r="A4468" s="348">
        <f t="shared" si="140"/>
        <v>4467</v>
      </c>
      <c r="B4468" s="360">
        <f>DATE('Profit Calculation'!J$6,A$2,A$2+A4468-1)</f>
        <v>46471</v>
      </c>
      <c r="D4468" s="362">
        <f t="shared" ca="1" si="141"/>
        <v>359183401.76776886</v>
      </c>
    </row>
    <row r="4469" spans="1:4">
      <c r="A4469" s="348">
        <f t="shared" si="140"/>
        <v>4468</v>
      </c>
      <c r="B4469" s="360">
        <f>DATE('Profit Calculation'!J$6,A$2,A$2+A4469-1)</f>
        <v>46472</v>
      </c>
      <c r="D4469" s="362">
        <f t="shared" ca="1" si="141"/>
        <v>359320962.81485397</v>
      </c>
    </row>
    <row r="4470" spans="1:4">
      <c r="A4470" s="348">
        <f t="shared" si="140"/>
        <v>4469</v>
      </c>
      <c r="B4470" s="360">
        <f>DATE('Profit Calculation'!J$6,A$2,A$2+A4470-1)</f>
        <v>46473</v>
      </c>
      <c r="D4470" s="362">
        <f t="shared" ca="1" si="141"/>
        <v>359458576.54544723</v>
      </c>
    </row>
    <row r="4471" spans="1:4">
      <c r="A4471" s="348">
        <f t="shared" si="140"/>
        <v>4470</v>
      </c>
      <c r="B4471" s="360">
        <f>DATE('Profit Calculation'!J$6,A$2,A$2+A4471-1)</f>
        <v>46474</v>
      </c>
      <c r="D4471" s="362">
        <f t="shared" ca="1" si="141"/>
        <v>359596242.97972554</v>
      </c>
    </row>
    <row r="4472" spans="1:4">
      <c r="A4472" s="348">
        <f t="shared" si="140"/>
        <v>4471</v>
      </c>
      <c r="B4472" s="360">
        <f>DATE('Profit Calculation'!J$6,A$2,A$2+A4472-1)</f>
        <v>46475</v>
      </c>
      <c r="D4472" s="362">
        <f t="shared" ca="1" si="141"/>
        <v>359733962.13787347</v>
      </c>
    </row>
    <row r="4473" spans="1:4">
      <c r="A4473" s="348">
        <f t="shared" si="140"/>
        <v>4472</v>
      </c>
      <c r="B4473" s="360">
        <f>DATE('Profit Calculation'!J$6,A$2,A$2+A4473-1)</f>
        <v>46476</v>
      </c>
      <c r="D4473" s="362">
        <f t="shared" ca="1" si="141"/>
        <v>359871734.04008335</v>
      </c>
    </row>
    <row r="4474" spans="1:4">
      <c r="A4474" s="348">
        <f t="shared" si="140"/>
        <v>4473</v>
      </c>
      <c r="B4474" s="360">
        <f>DATE('Profit Calculation'!J$6,A$2,A$2+A4474-1)</f>
        <v>46477</v>
      </c>
      <c r="D4474" s="362">
        <f t="shared" ca="1" si="141"/>
        <v>360009558.70655531</v>
      </c>
    </row>
    <row r="4475" spans="1:4">
      <c r="A4475" s="348">
        <f t="shared" si="140"/>
        <v>4474</v>
      </c>
      <c r="B4475" s="360">
        <f>DATE('Profit Calculation'!J$6,A$2,A$2+A4475-1)</f>
        <v>46478</v>
      </c>
      <c r="D4475" s="362">
        <f t="shared" ca="1" si="141"/>
        <v>349548675</v>
      </c>
    </row>
    <row r="4476" spans="1:4">
      <c r="A4476" s="348">
        <f t="shared" si="140"/>
        <v>4475</v>
      </c>
      <c r="B4476" s="360">
        <f>DATE('Profit Calculation'!J$6,A$2,A$2+A4476-1)</f>
        <v>46479</v>
      </c>
      <c r="D4476" s="362">
        <f t="shared" ca="1" si="141"/>
        <v>349682546.11292887</v>
      </c>
    </row>
    <row r="4477" spans="1:4">
      <c r="A4477" s="348">
        <f t="shared" si="140"/>
        <v>4476</v>
      </c>
      <c r="B4477" s="360">
        <f>DATE('Profit Calculation'!J$6,A$2,A$2+A4477-1)</f>
        <v>46480</v>
      </c>
      <c r="D4477" s="362">
        <f t="shared" ca="1" si="141"/>
        <v>349816468.49618477</v>
      </c>
    </row>
    <row r="4478" spans="1:4">
      <c r="A4478" s="348">
        <f t="shared" si="140"/>
        <v>4477</v>
      </c>
      <c r="B4478" s="360">
        <f>DATE('Profit Calculation'!J$6,A$2,A$2+A4478-1)</f>
        <v>46481</v>
      </c>
      <c r="D4478" s="362">
        <f t="shared" ca="1" si="141"/>
        <v>349950442.16940331</v>
      </c>
    </row>
    <row r="4479" spans="1:4">
      <c r="A4479" s="348">
        <f t="shared" si="140"/>
        <v>4478</v>
      </c>
      <c r="B4479" s="360">
        <f>DATE('Profit Calculation'!J$6,A$2,A$2+A4479-1)</f>
        <v>46482</v>
      </c>
      <c r="D4479" s="362">
        <f t="shared" ca="1" si="141"/>
        <v>350084467.1522277</v>
      </c>
    </row>
    <row r="4480" spans="1:4">
      <c r="A4480" s="348">
        <f t="shared" si="140"/>
        <v>4479</v>
      </c>
      <c r="B4480" s="360">
        <f>DATE('Profit Calculation'!J$6,A$2,A$2+A4480-1)</f>
        <v>46483</v>
      </c>
      <c r="D4480" s="362">
        <f t="shared" ca="1" si="141"/>
        <v>350218543.46430862</v>
      </c>
    </row>
    <row r="4481" spans="1:4">
      <c r="A4481" s="348">
        <f t="shared" si="140"/>
        <v>4480</v>
      </c>
      <c r="B4481" s="360">
        <f>DATE('Profit Calculation'!J$6,A$2,A$2+A4481-1)</f>
        <v>46484</v>
      </c>
      <c r="D4481" s="362">
        <f t="shared" ca="1" si="141"/>
        <v>350352671.12530428</v>
      </c>
    </row>
    <row r="4482" spans="1:4">
      <c r="A4482" s="348">
        <f t="shared" si="140"/>
        <v>4481</v>
      </c>
      <c r="B4482" s="360">
        <f>DATE('Profit Calculation'!J$6,A$2,A$2+A4482-1)</f>
        <v>46485</v>
      </c>
      <c r="D4482" s="362">
        <f t="shared" ca="1" si="141"/>
        <v>350486850.15488046</v>
      </c>
    </row>
    <row r="4483" spans="1:4">
      <c r="A4483" s="348">
        <f t="shared" si="140"/>
        <v>4482</v>
      </c>
      <c r="B4483" s="360">
        <f>DATE('Profit Calculation'!J$6,A$2,A$2+A4483-1)</f>
        <v>46486</v>
      </c>
      <c r="D4483" s="362">
        <f t="shared" ca="1" si="141"/>
        <v>350621080.57271045</v>
      </c>
    </row>
    <row r="4484" spans="1:4">
      <c r="A4484" s="348">
        <f t="shared" si="140"/>
        <v>4483</v>
      </c>
      <c r="B4484" s="360">
        <f>DATE('Profit Calculation'!J$6,A$2,A$2+A4484-1)</f>
        <v>46487</v>
      </c>
      <c r="D4484" s="362">
        <f t="shared" ca="1" si="141"/>
        <v>350755362.39847499</v>
      </c>
    </row>
    <row r="4485" spans="1:4">
      <c r="A4485" s="348">
        <f t="shared" ref="A4485:A4548" si="142">A4484+1</f>
        <v>4484</v>
      </c>
      <c r="B4485" s="360">
        <f>DATE('Profit Calculation'!J$6,A$2,A$2+A4485-1)</f>
        <v>46488</v>
      </c>
      <c r="D4485" s="362">
        <f t="shared" ref="D4485:D4548" ca="1" si="143">IF(OR(LOOKUP(B4485,W$1:W$35,W$1:W$35) = B4485, LOOKUP(B4485,X$1:X$35,X$1:X$35) = B4485),LOOKUP(B4485,F:F,G:G),D4484*(1+((IF($Q$18&lt;6,$R$14,IF($Q$18&lt;11,$R$15,$R$16)))))^(1/365))</f>
        <v>350889695.6518625</v>
      </c>
    </row>
    <row r="4486" spans="1:4">
      <c r="A4486" s="348">
        <f t="shared" si="142"/>
        <v>4485</v>
      </c>
      <c r="B4486" s="360">
        <f>DATE('Profit Calculation'!J$6,A$2,A$2+A4486-1)</f>
        <v>46489</v>
      </c>
      <c r="D4486" s="362">
        <f t="shared" ca="1" si="143"/>
        <v>351024080.35256886</v>
      </c>
    </row>
    <row r="4487" spans="1:4">
      <c r="A4487" s="348">
        <f t="shared" si="142"/>
        <v>4486</v>
      </c>
      <c r="B4487" s="360">
        <f>DATE('Profit Calculation'!J$6,A$2,A$2+A4487-1)</f>
        <v>46490</v>
      </c>
      <c r="D4487" s="362">
        <f t="shared" ca="1" si="143"/>
        <v>351158516.52029753</v>
      </c>
    </row>
    <row r="4488" spans="1:4">
      <c r="A4488" s="348">
        <f t="shared" si="142"/>
        <v>4487</v>
      </c>
      <c r="B4488" s="360">
        <f>DATE('Profit Calculation'!J$6,A$2,A$2+A4488-1)</f>
        <v>46491</v>
      </c>
      <c r="D4488" s="362">
        <f t="shared" ca="1" si="143"/>
        <v>351293004.17475945</v>
      </c>
    </row>
    <row r="4489" spans="1:4">
      <c r="A4489" s="348">
        <f t="shared" si="142"/>
        <v>4488</v>
      </c>
      <c r="B4489" s="360">
        <f>DATE('Profit Calculation'!J$6,A$2,A$2+A4489-1)</f>
        <v>46492</v>
      </c>
      <c r="D4489" s="362">
        <f t="shared" ca="1" si="143"/>
        <v>351427543.33567315</v>
      </c>
    </row>
    <row r="4490" spans="1:4">
      <c r="A4490" s="348">
        <f t="shared" si="142"/>
        <v>4489</v>
      </c>
      <c r="B4490" s="360">
        <f>DATE('Profit Calculation'!J$6,A$2,A$2+A4490-1)</f>
        <v>46493</v>
      </c>
      <c r="D4490" s="362">
        <f t="shared" ca="1" si="143"/>
        <v>351562134.02276474</v>
      </c>
    </row>
    <row r="4491" spans="1:4">
      <c r="A4491" s="348">
        <f t="shared" si="142"/>
        <v>4490</v>
      </c>
      <c r="B4491" s="360">
        <f>DATE('Profit Calculation'!J$6,A$2,A$2+A4491-1)</f>
        <v>46494</v>
      </c>
      <c r="D4491" s="362">
        <f t="shared" ca="1" si="143"/>
        <v>351696776.25576782</v>
      </c>
    </row>
    <row r="4492" spans="1:4">
      <c r="A4492" s="348">
        <f t="shared" si="142"/>
        <v>4491</v>
      </c>
      <c r="B4492" s="360">
        <f>DATE('Profit Calculation'!J$6,A$2,A$2+A4492-1)</f>
        <v>46495</v>
      </c>
      <c r="D4492" s="362">
        <f t="shared" ca="1" si="143"/>
        <v>351831470.05442363</v>
      </c>
    </row>
    <row r="4493" spans="1:4">
      <c r="A4493" s="348">
        <f t="shared" si="142"/>
        <v>4492</v>
      </c>
      <c r="B4493" s="360">
        <f>DATE('Profit Calculation'!J$6,A$2,A$2+A4493-1)</f>
        <v>46496</v>
      </c>
      <c r="D4493" s="362">
        <f t="shared" ca="1" si="143"/>
        <v>351966215.43848085</v>
      </c>
    </row>
    <row r="4494" spans="1:4">
      <c r="A4494" s="348">
        <f t="shared" si="142"/>
        <v>4493</v>
      </c>
      <c r="B4494" s="360">
        <f>DATE('Profit Calculation'!J$6,A$2,A$2+A4494-1)</f>
        <v>46497</v>
      </c>
      <c r="D4494" s="362">
        <f t="shared" ca="1" si="143"/>
        <v>352101012.42769587</v>
      </c>
    </row>
    <row r="4495" spans="1:4">
      <c r="A4495" s="348">
        <f t="shared" si="142"/>
        <v>4494</v>
      </c>
      <c r="B4495" s="360">
        <f>DATE('Profit Calculation'!J$6,A$2,A$2+A4495-1)</f>
        <v>46498</v>
      </c>
      <c r="D4495" s="362">
        <f t="shared" ca="1" si="143"/>
        <v>352235861.04183257</v>
      </c>
    </row>
    <row r="4496" spans="1:4">
      <c r="A4496" s="348">
        <f t="shared" si="142"/>
        <v>4495</v>
      </c>
      <c r="B4496" s="360">
        <f>DATE('Profit Calculation'!J$6,A$2,A$2+A4496-1)</f>
        <v>46499</v>
      </c>
      <c r="D4496" s="362">
        <f t="shared" ca="1" si="143"/>
        <v>352370761.3006624</v>
      </c>
    </row>
    <row r="4497" spans="1:4">
      <c r="A4497" s="348">
        <f t="shared" si="142"/>
        <v>4496</v>
      </c>
      <c r="B4497" s="360">
        <f>DATE('Profit Calculation'!J$6,A$2,A$2+A4497-1)</f>
        <v>46500</v>
      </c>
      <c r="D4497" s="362">
        <f t="shared" ca="1" si="143"/>
        <v>352505713.22396439</v>
      </c>
    </row>
    <row r="4498" spans="1:4">
      <c r="A4498" s="348">
        <f t="shared" si="142"/>
        <v>4497</v>
      </c>
      <c r="B4498" s="360">
        <f>DATE('Profit Calculation'!J$6,A$2,A$2+A4498-1)</f>
        <v>46501</v>
      </c>
      <c r="D4498" s="362">
        <f t="shared" ca="1" si="143"/>
        <v>352640716.83152509</v>
      </c>
    </row>
    <row r="4499" spans="1:4">
      <c r="A4499" s="348">
        <f t="shared" si="142"/>
        <v>4498</v>
      </c>
      <c r="B4499" s="360">
        <f>DATE('Profit Calculation'!J$6,A$2,A$2+A4499-1)</f>
        <v>46502</v>
      </c>
      <c r="D4499" s="362">
        <f t="shared" ca="1" si="143"/>
        <v>352775772.14313877</v>
      </c>
    </row>
    <row r="4500" spans="1:4">
      <c r="A4500" s="348">
        <f t="shared" si="142"/>
        <v>4499</v>
      </c>
      <c r="B4500" s="360">
        <f>DATE('Profit Calculation'!J$6,A$2,A$2+A4500-1)</f>
        <v>46503</v>
      </c>
      <c r="D4500" s="362">
        <f t="shared" ca="1" si="143"/>
        <v>352910879.17860711</v>
      </c>
    </row>
    <row r="4501" spans="1:4">
      <c r="A4501" s="348">
        <f t="shared" si="142"/>
        <v>4500</v>
      </c>
      <c r="B4501" s="360">
        <f>DATE('Profit Calculation'!J$6,A$2,A$2+A4501-1)</f>
        <v>46504</v>
      </c>
      <c r="D4501" s="362">
        <f t="shared" ca="1" si="143"/>
        <v>353046037.95773947</v>
      </c>
    </row>
    <row r="4502" spans="1:4">
      <c r="A4502" s="348">
        <f t="shared" si="142"/>
        <v>4501</v>
      </c>
      <c r="B4502" s="360">
        <f>DATE('Profit Calculation'!J$6,A$2,A$2+A4502-1)</f>
        <v>46505</v>
      </c>
      <c r="D4502" s="362">
        <f t="shared" ca="1" si="143"/>
        <v>353181248.5003528</v>
      </c>
    </row>
    <row r="4503" spans="1:4">
      <c r="A4503" s="348">
        <f t="shared" si="142"/>
        <v>4502</v>
      </c>
      <c r="B4503" s="360">
        <f>DATE('Profit Calculation'!J$6,A$2,A$2+A4503-1)</f>
        <v>46506</v>
      </c>
      <c r="D4503" s="362">
        <f t="shared" ca="1" si="143"/>
        <v>353316510.82627159</v>
      </c>
    </row>
    <row r="4504" spans="1:4">
      <c r="A4504" s="348">
        <f t="shared" si="142"/>
        <v>4503</v>
      </c>
      <c r="B4504" s="360">
        <f>DATE('Profit Calculation'!J$6,A$2,A$2+A4504-1)</f>
        <v>46507</v>
      </c>
      <c r="D4504" s="362">
        <f t="shared" ca="1" si="143"/>
        <v>353451824.95532799</v>
      </c>
    </row>
    <row r="4505" spans="1:4">
      <c r="A4505" s="348">
        <f t="shared" si="142"/>
        <v>4504</v>
      </c>
      <c r="B4505" s="360">
        <f>DATE('Profit Calculation'!J$6,A$2,A$2+A4505-1)</f>
        <v>46508</v>
      </c>
      <c r="D4505" s="362">
        <f t="shared" ca="1" si="143"/>
        <v>353587190.90736169</v>
      </c>
    </row>
    <row r="4506" spans="1:4">
      <c r="A4506" s="348">
        <f t="shared" si="142"/>
        <v>4505</v>
      </c>
      <c r="B4506" s="360">
        <f>DATE('Profit Calculation'!J$6,A$2,A$2+A4506-1)</f>
        <v>46509</v>
      </c>
      <c r="D4506" s="362">
        <f t="shared" ca="1" si="143"/>
        <v>353722608.70222002</v>
      </c>
    </row>
    <row r="4507" spans="1:4">
      <c r="A4507" s="348">
        <f t="shared" si="142"/>
        <v>4506</v>
      </c>
      <c r="B4507" s="360">
        <f>DATE('Profit Calculation'!J$6,A$2,A$2+A4507-1)</f>
        <v>46510</v>
      </c>
      <c r="D4507" s="362">
        <f t="shared" ca="1" si="143"/>
        <v>353858078.3597579</v>
      </c>
    </row>
    <row r="4508" spans="1:4">
      <c r="A4508" s="348">
        <f t="shared" si="142"/>
        <v>4507</v>
      </c>
      <c r="B4508" s="360">
        <f>DATE('Profit Calculation'!J$6,A$2,A$2+A4508-1)</f>
        <v>46511</v>
      </c>
      <c r="D4508" s="362">
        <f t="shared" ca="1" si="143"/>
        <v>353993599.89983779</v>
      </c>
    </row>
    <row r="4509" spans="1:4">
      <c r="A4509" s="348">
        <f t="shared" si="142"/>
        <v>4508</v>
      </c>
      <c r="B4509" s="360">
        <f>DATE('Profit Calculation'!J$6,A$2,A$2+A4509-1)</f>
        <v>46512</v>
      </c>
      <c r="D4509" s="362">
        <f t="shared" ca="1" si="143"/>
        <v>354129173.34232986</v>
      </c>
    </row>
    <row r="4510" spans="1:4">
      <c r="A4510" s="348">
        <f t="shared" si="142"/>
        <v>4509</v>
      </c>
      <c r="B4510" s="360">
        <f>DATE('Profit Calculation'!J$6,A$2,A$2+A4510-1)</f>
        <v>46513</v>
      </c>
      <c r="D4510" s="362">
        <f t="shared" ca="1" si="143"/>
        <v>354264798.70711178</v>
      </c>
    </row>
    <row r="4511" spans="1:4">
      <c r="A4511" s="348">
        <f t="shared" si="142"/>
        <v>4510</v>
      </c>
      <c r="B4511" s="360">
        <f>DATE('Profit Calculation'!J$6,A$2,A$2+A4511-1)</f>
        <v>46514</v>
      </c>
      <c r="D4511" s="362">
        <f t="shared" ca="1" si="143"/>
        <v>354400476.0140689</v>
      </c>
    </row>
    <row r="4512" spans="1:4">
      <c r="A4512" s="348">
        <f t="shared" si="142"/>
        <v>4511</v>
      </c>
      <c r="B4512" s="360">
        <f>DATE('Profit Calculation'!J$6,A$2,A$2+A4512-1)</f>
        <v>46515</v>
      </c>
      <c r="D4512" s="362">
        <f t="shared" ca="1" si="143"/>
        <v>354536205.28309423</v>
      </c>
    </row>
    <row r="4513" spans="1:4">
      <c r="A4513" s="348">
        <f t="shared" si="142"/>
        <v>4512</v>
      </c>
      <c r="B4513" s="360">
        <f>DATE('Profit Calculation'!J$6,A$2,A$2+A4513-1)</f>
        <v>46516</v>
      </c>
      <c r="D4513" s="362">
        <f t="shared" ca="1" si="143"/>
        <v>354671986.53408831</v>
      </c>
    </row>
    <row r="4514" spans="1:4">
      <c r="A4514" s="348">
        <f t="shared" si="142"/>
        <v>4513</v>
      </c>
      <c r="B4514" s="360">
        <f>DATE('Profit Calculation'!J$6,A$2,A$2+A4514-1)</f>
        <v>46517</v>
      </c>
      <c r="D4514" s="362">
        <f t="shared" ca="1" si="143"/>
        <v>354807819.78695935</v>
      </c>
    </row>
    <row r="4515" spans="1:4">
      <c r="A4515" s="348">
        <f t="shared" si="142"/>
        <v>4514</v>
      </c>
      <c r="B4515" s="360">
        <f>DATE('Profit Calculation'!J$6,A$2,A$2+A4515-1)</f>
        <v>46518</v>
      </c>
      <c r="D4515" s="362">
        <f t="shared" ca="1" si="143"/>
        <v>354943705.06162316</v>
      </c>
    </row>
    <row r="4516" spans="1:4">
      <c r="A4516" s="348">
        <f t="shared" si="142"/>
        <v>4515</v>
      </c>
      <c r="B4516" s="360">
        <f>DATE('Profit Calculation'!J$6,A$2,A$2+A4516-1)</f>
        <v>46519</v>
      </c>
      <c r="D4516" s="362">
        <f t="shared" ca="1" si="143"/>
        <v>355079642.37800318</v>
      </c>
    </row>
    <row r="4517" spans="1:4">
      <c r="A4517" s="348">
        <f t="shared" si="142"/>
        <v>4516</v>
      </c>
      <c r="B4517" s="360">
        <f>DATE('Profit Calculation'!J$6,A$2,A$2+A4517-1)</f>
        <v>46520</v>
      </c>
      <c r="D4517" s="362">
        <f t="shared" ca="1" si="143"/>
        <v>355215631.7560305</v>
      </c>
    </row>
    <row r="4518" spans="1:4">
      <c r="A4518" s="348">
        <f t="shared" si="142"/>
        <v>4517</v>
      </c>
      <c r="B4518" s="360">
        <f>DATE('Profit Calculation'!J$6,A$2,A$2+A4518-1)</f>
        <v>46521</v>
      </c>
      <c r="D4518" s="362">
        <f t="shared" ca="1" si="143"/>
        <v>355351673.21564382</v>
      </c>
    </row>
    <row r="4519" spans="1:4">
      <c r="A4519" s="348">
        <f t="shared" si="142"/>
        <v>4518</v>
      </c>
      <c r="B4519" s="360">
        <f>DATE('Profit Calculation'!J$6,A$2,A$2+A4519-1)</f>
        <v>46522</v>
      </c>
      <c r="D4519" s="362">
        <f t="shared" ca="1" si="143"/>
        <v>355487766.77678949</v>
      </c>
    </row>
    <row r="4520" spans="1:4">
      <c r="A4520" s="348">
        <f t="shared" si="142"/>
        <v>4519</v>
      </c>
      <c r="B4520" s="360">
        <f>DATE('Profit Calculation'!J$6,A$2,A$2+A4520-1)</f>
        <v>46523</v>
      </c>
      <c r="D4520" s="362">
        <f t="shared" ca="1" si="143"/>
        <v>355623912.45942152</v>
      </c>
    </row>
    <row r="4521" spans="1:4">
      <c r="A4521" s="348">
        <f t="shared" si="142"/>
        <v>4520</v>
      </c>
      <c r="B4521" s="360">
        <f>DATE('Profit Calculation'!J$6,A$2,A$2+A4521-1)</f>
        <v>46524</v>
      </c>
      <c r="D4521" s="362">
        <f t="shared" ca="1" si="143"/>
        <v>355760110.28350157</v>
      </c>
    </row>
    <row r="4522" spans="1:4">
      <c r="A4522" s="348">
        <f t="shared" si="142"/>
        <v>4521</v>
      </c>
      <c r="B4522" s="360">
        <f>DATE('Profit Calculation'!J$6,A$2,A$2+A4522-1)</f>
        <v>46525</v>
      </c>
      <c r="D4522" s="362">
        <f t="shared" ca="1" si="143"/>
        <v>355896360.26899886</v>
      </c>
    </row>
    <row r="4523" spans="1:4">
      <c r="A4523" s="348">
        <f t="shared" si="142"/>
        <v>4522</v>
      </c>
      <c r="B4523" s="360">
        <f>DATE('Profit Calculation'!J$6,A$2,A$2+A4523-1)</f>
        <v>46526</v>
      </c>
      <c r="D4523" s="362">
        <f t="shared" ca="1" si="143"/>
        <v>356032662.43589032</v>
      </c>
    </row>
    <row r="4524" spans="1:4">
      <c r="A4524" s="348">
        <f t="shared" si="142"/>
        <v>4523</v>
      </c>
      <c r="B4524" s="360">
        <f>DATE('Profit Calculation'!J$6,A$2,A$2+A4524-1)</f>
        <v>46527</v>
      </c>
      <c r="D4524" s="362">
        <f t="shared" ca="1" si="143"/>
        <v>356169016.80416054</v>
      </c>
    </row>
    <row r="4525" spans="1:4">
      <c r="A4525" s="348">
        <f t="shared" si="142"/>
        <v>4524</v>
      </c>
      <c r="B4525" s="360">
        <f>DATE('Profit Calculation'!J$6,A$2,A$2+A4525-1)</f>
        <v>46528</v>
      </c>
      <c r="D4525" s="362">
        <f t="shared" ca="1" si="143"/>
        <v>356305423.39380175</v>
      </c>
    </row>
    <row r="4526" spans="1:4">
      <c r="A4526" s="348">
        <f t="shared" si="142"/>
        <v>4525</v>
      </c>
      <c r="B4526" s="360">
        <f>DATE('Profit Calculation'!J$6,A$2,A$2+A4526-1)</f>
        <v>46529</v>
      </c>
      <c r="D4526" s="362">
        <f t="shared" ca="1" si="143"/>
        <v>356441882.22481382</v>
      </c>
    </row>
    <row r="4527" spans="1:4">
      <c r="A4527" s="348">
        <f t="shared" si="142"/>
        <v>4526</v>
      </c>
      <c r="B4527" s="360">
        <f>DATE('Profit Calculation'!J$6,A$2,A$2+A4527-1)</f>
        <v>46530</v>
      </c>
      <c r="D4527" s="362">
        <f t="shared" ca="1" si="143"/>
        <v>356578393.3172043</v>
      </c>
    </row>
    <row r="4528" spans="1:4">
      <c r="A4528" s="348">
        <f t="shared" si="142"/>
        <v>4527</v>
      </c>
      <c r="B4528" s="360">
        <f>DATE('Profit Calculation'!J$6,A$2,A$2+A4528-1)</f>
        <v>46531</v>
      </c>
      <c r="D4528" s="362">
        <f t="shared" ca="1" si="143"/>
        <v>356714956.69098836</v>
      </c>
    </row>
    <row r="4529" spans="1:4">
      <c r="A4529" s="348">
        <f t="shared" si="142"/>
        <v>4528</v>
      </c>
      <c r="B4529" s="360">
        <f>DATE('Profit Calculation'!J$6,A$2,A$2+A4529-1)</f>
        <v>46532</v>
      </c>
      <c r="D4529" s="362">
        <f t="shared" ca="1" si="143"/>
        <v>356851572.36618894</v>
      </c>
    </row>
    <row r="4530" spans="1:4">
      <c r="A4530" s="348">
        <f t="shared" si="142"/>
        <v>4529</v>
      </c>
      <c r="B4530" s="360">
        <f>DATE('Profit Calculation'!J$6,A$2,A$2+A4530-1)</f>
        <v>46533</v>
      </c>
      <c r="D4530" s="362">
        <f t="shared" ca="1" si="143"/>
        <v>356988240.36283654</v>
      </c>
    </row>
    <row r="4531" spans="1:4">
      <c r="A4531" s="348">
        <f t="shared" si="142"/>
        <v>4530</v>
      </c>
      <c r="B4531" s="360">
        <f>DATE('Profit Calculation'!J$6,A$2,A$2+A4531-1)</f>
        <v>46534</v>
      </c>
      <c r="D4531" s="362">
        <f t="shared" ca="1" si="143"/>
        <v>357124960.7009694</v>
      </c>
    </row>
    <row r="4532" spans="1:4">
      <c r="A4532" s="348">
        <f t="shared" si="142"/>
        <v>4531</v>
      </c>
      <c r="B4532" s="360">
        <f>DATE('Profit Calculation'!J$6,A$2,A$2+A4532-1)</f>
        <v>46535</v>
      </c>
      <c r="D4532" s="362">
        <f t="shared" ca="1" si="143"/>
        <v>357261733.40063334</v>
      </c>
    </row>
    <row r="4533" spans="1:4">
      <c r="A4533" s="348">
        <f t="shared" si="142"/>
        <v>4532</v>
      </c>
      <c r="B4533" s="360">
        <f>DATE('Profit Calculation'!J$6,A$2,A$2+A4533-1)</f>
        <v>46536</v>
      </c>
      <c r="D4533" s="362">
        <f t="shared" ca="1" si="143"/>
        <v>357398558.48188198</v>
      </c>
    </row>
    <row r="4534" spans="1:4">
      <c r="A4534" s="348">
        <f t="shared" si="142"/>
        <v>4533</v>
      </c>
      <c r="B4534" s="360">
        <f>DATE('Profit Calculation'!J$6,A$2,A$2+A4534-1)</f>
        <v>46537</v>
      </c>
      <c r="D4534" s="362">
        <f t="shared" ca="1" si="143"/>
        <v>357535435.96477658</v>
      </c>
    </row>
    <row r="4535" spans="1:4">
      <c r="A4535" s="348">
        <f t="shared" si="142"/>
        <v>4534</v>
      </c>
      <c r="B4535" s="360">
        <f>DATE('Profit Calculation'!J$6,A$2,A$2+A4535-1)</f>
        <v>46538</v>
      </c>
      <c r="D4535" s="362">
        <f t="shared" ca="1" si="143"/>
        <v>357672365.86938602</v>
      </c>
    </row>
    <row r="4536" spans="1:4">
      <c r="A4536" s="348">
        <f t="shared" si="142"/>
        <v>4535</v>
      </c>
      <c r="B4536" s="360">
        <f>DATE('Profit Calculation'!J$6,A$2,A$2+A4536-1)</f>
        <v>46539</v>
      </c>
      <c r="D4536" s="362">
        <f t="shared" ca="1" si="143"/>
        <v>357809348.21578693</v>
      </c>
    </row>
    <row r="4537" spans="1:4">
      <c r="A4537" s="348">
        <f t="shared" si="142"/>
        <v>4536</v>
      </c>
      <c r="B4537" s="360">
        <f>DATE('Profit Calculation'!J$6,A$2,A$2+A4537-1)</f>
        <v>46540</v>
      </c>
      <c r="D4537" s="362">
        <f t="shared" ca="1" si="143"/>
        <v>357946383.02406365</v>
      </c>
    </row>
    <row r="4538" spans="1:4">
      <c r="A4538" s="348">
        <f t="shared" si="142"/>
        <v>4537</v>
      </c>
      <c r="B4538" s="360">
        <f>DATE('Profit Calculation'!J$6,A$2,A$2+A4538-1)</f>
        <v>46541</v>
      </c>
      <c r="D4538" s="362">
        <f t="shared" ca="1" si="143"/>
        <v>358083470.31430811</v>
      </c>
    </row>
    <row r="4539" spans="1:4">
      <c r="A4539" s="348">
        <f t="shared" si="142"/>
        <v>4538</v>
      </c>
      <c r="B4539" s="360">
        <f>DATE('Profit Calculation'!J$6,A$2,A$2+A4539-1)</f>
        <v>46542</v>
      </c>
      <c r="D4539" s="362">
        <f t="shared" ca="1" si="143"/>
        <v>358220610.10662001</v>
      </c>
    </row>
    <row r="4540" spans="1:4">
      <c r="A4540" s="348">
        <f t="shared" si="142"/>
        <v>4539</v>
      </c>
      <c r="B4540" s="360">
        <f>DATE('Profit Calculation'!J$6,A$2,A$2+A4540-1)</f>
        <v>46543</v>
      </c>
      <c r="D4540" s="362">
        <f t="shared" ca="1" si="143"/>
        <v>358357802.42110676</v>
      </c>
    </row>
    <row r="4541" spans="1:4">
      <c r="A4541" s="348">
        <f t="shared" si="142"/>
        <v>4540</v>
      </c>
      <c r="B4541" s="360">
        <f>DATE('Profit Calculation'!J$6,A$2,A$2+A4541-1)</f>
        <v>46544</v>
      </c>
      <c r="D4541" s="362">
        <f t="shared" ca="1" si="143"/>
        <v>358495047.27788341</v>
      </c>
    </row>
    <row r="4542" spans="1:4">
      <c r="A4542" s="348">
        <f t="shared" si="142"/>
        <v>4541</v>
      </c>
      <c r="B4542" s="360">
        <f>DATE('Profit Calculation'!J$6,A$2,A$2+A4542-1)</f>
        <v>46545</v>
      </c>
      <c r="D4542" s="362">
        <f t="shared" ca="1" si="143"/>
        <v>358632344.6970728</v>
      </c>
    </row>
    <row r="4543" spans="1:4">
      <c r="A4543" s="348">
        <f t="shared" si="142"/>
        <v>4542</v>
      </c>
      <c r="B4543" s="360">
        <f>DATE('Profit Calculation'!J$6,A$2,A$2+A4543-1)</f>
        <v>46546</v>
      </c>
      <c r="D4543" s="362">
        <f t="shared" ca="1" si="143"/>
        <v>358769694.69880539</v>
      </c>
    </row>
    <row r="4544" spans="1:4">
      <c r="A4544" s="348">
        <f t="shared" si="142"/>
        <v>4543</v>
      </c>
      <c r="B4544" s="360">
        <f>DATE('Profit Calculation'!J$6,A$2,A$2+A4544-1)</f>
        <v>46547</v>
      </c>
      <c r="D4544" s="362">
        <f t="shared" ca="1" si="143"/>
        <v>358907097.30321944</v>
      </c>
    </row>
    <row r="4545" spans="1:4">
      <c r="A4545" s="348">
        <f t="shared" si="142"/>
        <v>4544</v>
      </c>
      <c r="B4545" s="360">
        <f>DATE('Profit Calculation'!J$6,A$2,A$2+A4545-1)</f>
        <v>46548</v>
      </c>
      <c r="D4545" s="362">
        <f t="shared" ca="1" si="143"/>
        <v>359044552.53046083</v>
      </c>
    </row>
    <row r="4546" spans="1:4">
      <c r="A4546" s="348">
        <f t="shared" si="142"/>
        <v>4545</v>
      </c>
      <c r="B4546" s="360">
        <f>DATE('Profit Calculation'!J$6,A$2,A$2+A4546-1)</f>
        <v>46549</v>
      </c>
      <c r="D4546" s="362">
        <f t="shared" ca="1" si="143"/>
        <v>359182060.40068316</v>
      </c>
    </row>
    <row r="4547" spans="1:4">
      <c r="A4547" s="348">
        <f t="shared" si="142"/>
        <v>4546</v>
      </c>
      <c r="B4547" s="360">
        <f>DATE('Profit Calculation'!J$6,A$2,A$2+A4547-1)</f>
        <v>46550</v>
      </c>
      <c r="D4547" s="362">
        <f t="shared" ca="1" si="143"/>
        <v>359319620.93404782</v>
      </c>
    </row>
    <row r="4548" spans="1:4">
      <c r="A4548" s="348">
        <f t="shared" si="142"/>
        <v>4547</v>
      </c>
      <c r="B4548" s="360">
        <f>DATE('Profit Calculation'!J$6,A$2,A$2+A4548-1)</f>
        <v>46551</v>
      </c>
      <c r="D4548" s="362">
        <f t="shared" ca="1" si="143"/>
        <v>359457234.15072387</v>
      </c>
    </row>
    <row r="4549" spans="1:4">
      <c r="A4549" s="348">
        <f t="shared" ref="A4549:A4612" si="144">A4548+1</f>
        <v>4548</v>
      </c>
      <c r="B4549" s="360">
        <f>DATE('Profit Calculation'!J$6,A$2,A$2+A4549-1)</f>
        <v>46552</v>
      </c>
      <c r="D4549" s="362">
        <f t="shared" ref="D4549:D4612" ca="1" si="145">IF(OR(LOOKUP(B4549,W$1:W$35,W$1:W$35) = B4549, LOOKUP(B4549,X$1:X$35,X$1:X$35) = B4549),LOOKUP(B4549,F:F,G:G),D4548*(1+((IF($Q$18&lt;6,$R$14,IF($Q$18&lt;11,$R$15,$R$16)))))^(1/365))</f>
        <v>359594900.07088816</v>
      </c>
    </row>
    <row r="4550" spans="1:4">
      <c r="A4550" s="348">
        <f t="shared" si="144"/>
        <v>4549</v>
      </c>
      <c r="B4550" s="360">
        <f>DATE('Profit Calculation'!J$6,A$2,A$2+A4550-1)</f>
        <v>46553</v>
      </c>
      <c r="D4550" s="362">
        <f t="shared" ca="1" si="145"/>
        <v>359732618.7147252</v>
      </c>
    </row>
    <row r="4551" spans="1:4">
      <c r="A4551" s="348">
        <f t="shared" si="144"/>
        <v>4550</v>
      </c>
      <c r="B4551" s="360">
        <f>DATE('Profit Calculation'!J$6,A$2,A$2+A4551-1)</f>
        <v>46554</v>
      </c>
      <c r="D4551" s="362">
        <f t="shared" ca="1" si="145"/>
        <v>359870390.10242718</v>
      </c>
    </row>
    <row r="4552" spans="1:4">
      <c r="A4552" s="348">
        <f t="shared" si="144"/>
        <v>4551</v>
      </c>
      <c r="B4552" s="360">
        <f>DATE('Profit Calculation'!J$6,A$2,A$2+A4552-1)</f>
        <v>46555</v>
      </c>
      <c r="D4552" s="362">
        <f t="shared" ca="1" si="145"/>
        <v>360008214.2541942</v>
      </c>
    </row>
    <row r="4553" spans="1:4">
      <c r="A4553" s="348">
        <f t="shared" si="144"/>
        <v>4552</v>
      </c>
      <c r="B4553" s="360">
        <f>DATE('Profit Calculation'!J$6,A$2,A$2+A4553-1)</f>
        <v>46556</v>
      </c>
      <c r="D4553" s="362">
        <f t="shared" ca="1" si="145"/>
        <v>360146091.19023389</v>
      </c>
    </row>
    <row r="4554" spans="1:4">
      <c r="A4554" s="348">
        <f t="shared" si="144"/>
        <v>4553</v>
      </c>
      <c r="B4554" s="360">
        <f>DATE('Profit Calculation'!J$6,A$2,A$2+A4554-1)</f>
        <v>46557</v>
      </c>
      <c r="D4554" s="362">
        <f t="shared" ca="1" si="145"/>
        <v>360284020.93076175</v>
      </c>
    </row>
    <row r="4555" spans="1:4">
      <c r="A4555" s="348">
        <f t="shared" si="144"/>
        <v>4554</v>
      </c>
      <c r="B4555" s="360">
        <f>DATE('Profit Calculation'!J$6,A$2,A$2+A4555-1)</f>
        <v>46558</v>
      </c>
      <c r="D4555" s="362">
        <f t="shared" ca="1" si="145"/>
        <v>360422003.49600101</v>
      </c>
    </row>
    <row r="4556" spans="1:4">
      <c r="A4556" s="348">
        <f t="shared" si="144"/>
        <v>4555</v>
      </c>
      <c r="B4556" s="360">
        <f>DATE('Profit Calculation'!J$6,A$2,A$2+A4556-1)</f>
        <v>46559</v>
      </c>
      <c r="D4556" s="362">
        <f t="shared" ca="1" si="145"/>
        <v>360560038.90618259</v>
      </c>
    </row>
    <row r="4557" spans="1:4">
      <c r="A4557" s="348">
        <f t="shared" si="144"/>
        <v>4556</v>
      </c>
      <c r="B4557" s="360">
        <f>DATE('Profit Calculation'!J$6,A$2,A$2+A4557-1)</f>
        <v>46560</v>
      </c>
      <c r="D4557" s="362">
        <f t="shared" ca="1" si="145"/>
        <v>360698127.1815452</v>
      </c>
    </row>
    <row r="4558" spans="1:4">
      <c r="A4558" s="348">
        <f t="shared" si="144"/>
        <v>4557</v>
      </c>
      <c r="B4558" s="360">
        <f>DATE('Profit Calculation'!J$6,A$2,A$2+A4558-1)</f>
        <v>46561</v>
      </c>
      <c r="D4558" s="362">
        <f t="shared" ca="1" si="145"/>
        <v>360836268.34233528</v>
      </c>
    </row>
    <row r="4559" spans="1:4">
      <c r="A4559" s="348">
        <f t="shared" si="144"/>
        <v>4558</v>
      </c>
      <c r="B4559" s="360">
        <f>DATE('Profit Calculation'!J$6,A$2,A$2+A4559-1)</f>
        <v>46562</v>
      </c>
      <c r="D4559" s="362">
        <f t="shared" ca="1" si="145"/>
        <v>360974462.4088071</v>
      </c>
    </row>
    <row r="4560" spans="1:4">
      <c r="A4560" s="348">
        <f t="shared" si="144"/>
        <v>4559</v>
      </c>
      <c r="B4560" s="360">
        <f>DATE('Profit Calculation'!J$6,A$2,A$2+A4560-1)</f>
        <v>46563</v>
      </c>
      <c r="D4560" s="362">
        <f t="shared" ca="1" si="145"/>
        <v>361112709.40122259</v>
      </c>
    </row>
    <row r="4561" spans="1:4">
      <c r="A4561" s="348">
        <f t="shared" si="144"/>
        <v>4560</v>
      </c>
      <c r="B4561" s="360">
        <f>DATE('Profit Calculation'!J$6,A$2,A$2+A4561-1)</f>
        <v>46564</v>
      </c>
      <c r="D4561" s="362">
        <f t="shared" ca="1" si="145"/>
        <v>361251009.33985144</v>
      </c>
    </row>
    <row r="4562" spans="1:4">
      <c r="A4562" s="348">
        <f t="shared" si="144"/>
        <v>4561</v>
      </c>
      <c r="B4562" s="360">
        <f>DATE('Profit Calculation'!J$6,A$2,A$2+A4562-1)</f>
        <v>46565</v>
      </c>
      <c r="D4562" s="362">
        <f t="shared" ca="1" si="145"/>
        <v>361389362.24497116</v>
      </c>
    </row>
    <row r="4563" spans="1:4">
      <c r="A4563" s="348">
        <f t="shared" si="144"/>
        <v>4562</v>
      </c>
      <c r="B4563" s="360">
        <f>DATE('Profit Calculation'!J$6,A$2,A$2+A4563-1)</f>
        <v>46566</v>
      </c>
      <c r="D4563" s="362">
        <f t="shared" ca="1" si="145"/>
        <v>361527768.13686699</v>
      </c>
    </row>
    <row r="4564" spans="1:4">
      <c r="A4564" s="348">
        <f t="shared" si="144"/>
        <v>4563</v>
      </c>
      <c r="B4564" s="360">
        <f>DATE('Profit Calculation'!J$6,A$2,A$2+A4564-1)</f>
        <v>46567</v>
      </c>
      <c r="D4564" s="362">
        <f t="shared" ca="1" si="145"/>
        <v>361666227.03583199</v>
      </c>
    </row>
    <row r="4565" spans="1:4">
      <c r="A4565" s="348">
        <f t="shared" si="144"/>
        <v>4564</v>
      </c>
      <c r="B4565" s="360">
        <f>DATE('Profit Calculation'!J$6,A$2,A$2+A4565-1)</f>
        <v>46568</v>
      </c>
      <c r="D4565" s="362">
        <f t="shared" ca="1" si="145"/>
        <v>361804738.96216691</v>
      </c>
    </row>
    <row r="4566" spans="1:4">
      <c r="A4566" s="348">
        <f t="shared" si="144"/>
        <v>4565</v>
      </c>
      <c r="B4566" s="360">
        <f>DATE('Profit Calculation'!J$6,A$2,A$2+A4566-1)</f>
        <v>46569</v>
      </c>
      <c r="D4566" s="362">
        <f t="shared" ca="1" si="145"/>
        <v>361943303.93618029</v>
      </c>
    </row>
    <row r="4567" spans="1:4">
      <c r="A4567" s="348">
        <f t="shared" si="144"/>
        <v>4566</v>
      </c>
      <c r="B4567" s="360">
        <f>DATE('Profit Calculation'!J$6,A$2,A$2+A4567-1)</f>
        <v>46570</v>
      </c>
      <c r="D4567" s="362">
        <f t="shared" ca="1" si="145"/>
        <v>362081921.97818857</v>
      </c>
    </row>
    <row r="4568" spans="1:4">
      <c r="A4568" s="348">
        <f t="shared" si="144"/>
        <v>4567</v>
      </c>
      <c r="B4568" s="360">
        <f>DATE('Profit Calculation'!J$6,A$2,A$2+A4568-1)</f>
        <v>46571</v>
      </c>
      <c r="D4568" s="362">
        <f t="shared" ca="1" si="145"/>
        <v>362220593.1085158</v>
      </c>
    </row>
    <row r="4569" spans="1:4">
      <c r="A4569" s="348">
        <f t="shared" si="144"/>
        <v>4568</v>
      </c>
      <c r="B4569" s="360">
        <f>DATE('Profit Calculation'!J$6,A$2,A$2+A4569-1)</f>
        <v>46572</v>
      </c>
      <c r="D4569" s="362">
        <f t="shared" ca="1" si="145"/>
        <v>362359317.34749395</v>
      </c>
    </row>
    <row r="4570" spans="1:4">
      <c r="A4570" s="348">
        <f t="shared" si="144"/>
        <v>4569</v>
      </c>
      <c r="B4570" s="360">
        <f>DATE('Profit Calculation'!J$6,A$2,A$2+A4570-1)</f>
        <v>46573</v>
      </c>
      <c r="D4570" s="362">
        <f t="shared" ca="1" si="145"/>
        <v>362498094.71546263</v>
      </c>
    </row>
    <row r="4571" spans="1:4">
      <c r="A4571" s="348">
        <f t="shared" si="144"/>
        <v>4570</v>
      </c>
      <c r="B4571" s="360">
        <f>DATE('Profit Calculation'!J$6,A$2,A$2+A4571-1)</f>
        <v>46574</v>
      </c>
      <c r="D4571" s="362">
        <f t="shared" ca="1" si="145"/>
        <v>362636925.23276937</v>
      </c>
    </row>
    <row r="4572" spans="1:4">
      <c r="A4572" s="348">
        <f t="shared" si="144"/>
        <v>4571</v>
      </c>
      <c r="B4572" s="360">
        <f>DATE('Profit Calculation'!J$6,A$2,A$2+A4572-1)</f>
        <v>46575</v>
      </c>
      <c r="D4572" s="362">
        <f t="shared" ca="1" si="145"/>
        <v>362775808.91976947</v>
      </c>
    </row>
    <row r="4573" spans="1:4">
      <c r="A4573" s="348">
        <f t="shared" si="144"/>
        <v>4572</v>
      </c>
      <c r="B4573" s="360">
        <f>DATE('Profit Calculation'!J$6,A$2,A$2+A4573-1)</f>
        <v>46576</v>
      </c>
      <c r="D4573" s="362">
        <f t="shared" ca="1" si="145"/>
        <v>362914745.796826</v>
      </c>
    </row>
    <row r="4574" spans="1:4">
      <c r="A4574" s="348">
        <f t="shared" si="144"/>
        <v>4573</v>
      </c>
      <c r="B4574" s="360">
        <f>DATE('Profit Calculation'!J$6,A$2,A$2+A4574-1)</f>
        <v>46577</v>
      </c>
      <c r="D4574" s="362">
        <f t="shared" ca="1" si="145"/>
        <v>363053735.88430983</v>
      </c>
    </row>
    <row r="4575" spans="1:4">
      <c r="A4575" s="348">
        <f t="shared" si="144"/>
        <v>4574</v>
      </c>
      <c r="B4575" s="360">
        <f>DATE('Profit Calculation'!J$6,A$2,A$2+A4575-1)</f>
        <v>46578</v>
      </c>
      <c r="D4575" s="362">
        <f t="shared" ca="1" si="145"/>
        <v>363192779.20259964</v>
      </c>
    </row>
    <row r="4576" spans="1:4">
      <c r="A4576" s="348">
        <f t="shared" si="144"/>
        <v>4575</v>
      </c>
      <c r="B4576" s="360">
        <f>DATE('Profit Calculation'!J$6,A$2,A$2+A4576-1)</f>
        <v>46579</v>
      </c>
      <c r="D4576" s="362">
        <f t="shared" ca="1" si="145"/>
        <v>363331875.77208191</v>
      </c>
    </row>
    <row r="4577" spans="1:4">
      <c r="A4577" s="348">
        <f t="shared" si="144"/>
        <v>4576</v>
      </c>
      <c r="B4577" s="360">
        <f>DATE('Profit Calculation'!J$6,A$2,A$2+A4577-1)</f>
        <v>46580</v>
      </c>
      <c r="D4577" s="362">
        <f t="shared" ca="1" si="145"/>
        <v>363471025.61315095</v>
      </c>
    </row>
    <row r="4578" spans="1:4">
      <c r="A4578" s="348">
        <f t="shared" si="144"/>
        <v>4577</v>
      </c>
      <c r="B4578" s="360">
        <f>DATE('Profit Calculation'!J$6,A$2,A$2+A4578-1)</f>
        <v>46581</v>
      </c>
      <c r="D4578" s="362">
        <f t="shared" ca="1" si="145"/>
        <v>363610228.74620879</v>
      </c>
    </row>
    <row r="4579" spans="1:4">
      <c r="A4579" s="348">
        <f t="shared" si="144"/>
        <v>4578</v>
      </c>
      <c r="B4579" s="360">
        <f>DATE('Profit Calculation'!J$6,A$2,A$2+A4579-1)</f>
        <v>46582</v>
      </c>
      <c r="D4579" s="362">
        <f t="shared" ca="1" si="145"/>
        <v>363749485.19166541</v>
      </c>
    </row>
    <row r="4580" spans="1:4">
      <c r="A4580" s="348">
        <f t="shared" si="144"/>
        <v>4579</v>
      </c>
      <c r="B4580" s="360">
        <f>DATE('Profit Calculation'!J$6,A$2,A$2+A4580-1)</f>
        <v>46583</v>
      </c>
      <c r="D4580" s="362">
        <f t="shared" ca="1" si="145"/>
        <v>363888794.96993852</v>
      </c>
    </row>
    <row r="4581" spans="1:4">
      <c r="A4581" s="348">
        <f t="shared" si="144"/>
        <v>4580</v>
      </c>
      <c r="B4581" s="360">
        <f>DATE('Profit Calculation'!J$6,A$2,A$2+A4581-1)</f>
        <v>46584</v>
      </c>
      <c r="D4581" s="362">
        <f t="shared" ca="1" si="145"/>
        <v>364028158.10145366</v>
      </c>
    </row>
    <row r="4582" spans="1:4">
      <c r="A4582" s="348">
        <f t="shared" si="144"/>
        <v>4581</v>
      </c>
      <c r="B4582" s="360">
        <f>DATE('Profit Calculation'!J$6,A$2,A$2+A4582-1)</f>
        <v>46585</v>
      </c>
      <c r="D4582" s="362">
        <f t="shared" ca="1" si="145"/>
        <v>364167574.60664421</v>
      </c>
    </row>
    <row r="4583" spans="1:4">
      <c r="A4583" s="348">
        <f t="shared" si="144"/>
        <v>4582</v>
      </c>
      <c r="B4583" s="360">
        <f>DATE('Profit Calculation'!J$6,A$2,A$2+A4583-1)</f>
        <v>46586</v>
      </c>
      <c r="D4583" s="362">
        <f t="shared" ca="1" si="145"/>
        <v>364307044.50595134</v>
      </c>
    </row>
    <row r="4584" spans="1:4">
      <c r="A4584" s="348">
        <f t="shared" si="144"/>
        <v>4583</v>
      </c>
      <c r="B4584" s="360">
        <f>DATE('Profit Calculation'!J$6,A$2,A$2+A4584-1)</f>
        <v>46587</v>
      </c>
      <c r="D4584" s="362">
        <f t="shared" ca="1" si="145"/>
        <v>364446567.8198241</v>
      </c>
    </row>
    <row r="4585" spans="1:4">
      <c r="A4585" s="348">
        <f t="shared" si="144"/>
        <v>4584</v>
      </c>
      <c r="B4585" s="360">
        <f>DATE('Profit Calculation'!J$6,A$2,A$2+A4585-1)</f>
        <v>46588</v>
      </c>
      <c r="D4585" s="362">
        <f t="shared" ca="1" si="145"/>
        <v>364586144.56871933</v>
      </c>
    </row>
    <row r="4586" spans="1:4">
      <c r="A4586" s="348">
        <f t="shared" si="144"/>
        <v>4585</v>
      </c>
      <c r="B4586" s="360">
        <f>DATE('Profit Calculation'!J$6,A$2,A$2+A4586-1)</f>
        <v>46589</v>
      </c>
      <c r="D4586" s="362">
        <f t="shared" ca="1" si="145"/>
        <v>364725774.77310175</v>
      </c>
    </row>
    <row r="4587" spans="1:4">
      <c r="A4587" s="348">
        <f t="shared" si="144"/>
        <v>4586</v>
      </c>
      <c r="B4587" s="360">
        <f>DATE('Profit Calculation'!J$6,A$2,A$2+A4587-1)</f>
        <v>46590</v>
      </c>
      <c r="D4587" s="362">
        <f t="shared" ca="1" si="145"/>
        <v>364865458.45344388</v>
      </c>
    </row>
    <row r="4588" spans="1:4">
      <c r="A4588" s="348">
        <f t="shared" si="144"/>
        <v>4587</v>
      </c>
      <c r="B4588" s="360">
        <f>DATE('Profit Calculation'!J$6,A$2,A$2+A4588-1)</f>
        <v>46591</v>
      </c>
      <c r="D4588" s="362">
        <f t="shared" ca="1" si="145"/>
        <v>365005195.63022608</v>
      </c>
    </row>
    <row r="4589" spans="1:4">
      <c r="A4589" s="348">
        <f t="shared" si="144"/>
        <v>4588</v>
      </c>
      <c r="B4589" s="360">
        <f>DATE('Profit Calculation'!J$6,A$2,A$2+A4589-1)</f>
        <v>46592</v>
      </c>
      <c r="D4589" s="362">
        <f t="shared" ca="1" si="145"/>
        <v>365144986.32393658</v>
      </c>
    </row>
    <row r="4590" spans="1:4">
      <c r="A4590" s="348">
        <f t="shared" si="144"/>
        <v>4589</v>
      </c>
      <c r="B4590" s="360">
        <f>DATE('Profit Calculation'!J$6,A$2,A$2+A4590-1)</f>
        <v>46593</v>
      </c>
      <c r="D4590" s="362">
        <f t="shared" ca="1" si="145"/>
        <v>365284830.55507141</v>
      </c>
    </row>
    <row r="4591" spans="1:4">
      <c r="A4591" s="348">
        <f t="shared" si="144"/>
        <v>4590</v>
      </c>
      <c r="B4591" s="360">
        <f>DATE('Profit Calculation'!J$6,A$2,A$2+A4591-1)</f>
        <v>46594</v>
      </c>
      <c r="D4591" s="362">
        <f t="shared" ca="1" si="145"/>
        <v>365424728.34413451</v>
      </c>
    </row>
    <row r="4592" spans="1:4">
      <c r="A4592" s="348">
        <f t="shared" si="144"/>
        <v>4591</v>
      </c>
      <c r="B4592" s="360">
        <f>DATE('Profit Calculation'!J$6,A$2,A$2+A4592-1)</f>
        <v>46595</v>
      </c>
      <c r="D4592" s="362">
        <f t="shared" ca="1" si="145"/>
        <v>365564679.71163762</v>
      </c>
    </row>
    <row r="4593" spans="1:4">
      <c r="A4593" s="348">
        <f t="shared" si="144"/>
        <v>4592</v>
      </c>
      <c r="B4593" s="360">
        <f>DATE('Profit Calculation'!J$6,A$2,A$2+A4593-1)</f>
        <v>46596</v>
      </c>
      <c r="D4593" s="362">
        <f t="shared" ca="1" si="145"/>
        <v>365704684.67810035</v>
      </c>
    </row>
    <row r="4594" spans="1:4">
      <c r="A4594" s="348">
        <f t="shared" si="144"/>
        <v>4593</v>
      </c>
      <c r="B4594" s="360">
        <f>DATE('Profit Calculation'!J$6,A$2,A$2+A4594-1)</f>
        <v>46597</v>
      </c>
      <c r="D4594" s="362">
        <f t="shared" ca="1" si="145"/>
        <v>365844743.26405025</v>
      </c>
    </row>
    <row r="4595" spans="1:4">
      <c r="A4595" s="348">
        <f t="shared" si="144"/>
        <v>4594</v>
      </c>
      <c r="B4595" s="360">
        <f>DATE('Profit Calculation'!J$6,A$2,A$2+A4595-1)</f>
        <v>46598</v>
      </c>
      <c r="D4595" s="362">
        <f t="shared" ca="1" si="145"/>
        <v>365984855.4900226</v>
      </c>
    </row>
    <row r="4596" spans="1:4">
      <c r="A4596" s="348">
        <f t="shared" si="144"/>
        <v>4595</v>
      </c>
      <c r="B4596" s="360">
        <f>DATE('Profit Calculation'!J$6,A$2,A$2+A4596-1)</f>
        <v>46599</v>
      </c>
      <c r="D4596" s="362">
        <f t="shared" ca="1" si="145"/>
        <v>366125021.37656057</v>
      </c>
    </row>
    <row r="4597" spans="1:4">
      <c r="A4597" s="348">
        <f t="shared" si="144"/>
        <v>4596</v>
      </c>
      <c r="B4597" s="360">
        <f>DATE('Profit Calculation'!J$6,A$2,A$2+A4597-1)</f>
        <v>46600</v>
      </c>
      <c r="D4597" s="362">
        <f t="shared" ca="1" si="145"/>
        <v>366265240.9442153</v>
      </c>
    </row>
    <row r="4598" spans="1:4">
      <c r="A4598" s="348">
        <f t="shared" si="144"/>
        <v>4597</v>
      </c>
      <c r="B4598" s="360">
        <f>DATE('Profit Calculation'!J$6,A$2,A$2+A4598-1)</f>
        <v>46601</v>
      </c>
      <c r="D4598" s="362">
        <f t="shared" ca="1" si="145"/>
        <v>366405514.21354568</v>
      </c>
    </row>
    <row r="4599" spans="1:4">
      <c r="A4599" s="348">
        <f t="shared" si="144"/>
        <v>4598</v>
      </c>
      <c r="B4599" s="360">
        <f>DATE('Profit Calculation'!J$6,A$2,A$2+A4599-1)</f>
        <v>46602</v>
      </c>
      <c r="D4599" s="362">
        <f t="shared" ca="1" si="145"/>
        <v>366545841.20511854</v>
      </c>
    </row>
    <row r="4600" spans="1:4">
      <c r="A4600" s="348">
        <f t="shared" si="144"/>
        <v>4599</v>
      </c>
      <c r="B4600" s="360">
        <f>DATE('Profit Calculation'!J$6,A$2,A$2+A4600-1)</f>
        <v>46603</v>
      </c>
      <c r="D4600" s="362">
        <f t="shared" ca="1" si="145"/>
        <v>366686221.93950862</v>
      </c>
    </row>
    <row r="4601" spans="1:4">
      <c r="A4601" s="348">
        <f t="shared" si="144"/>
        <v>4600</v>
      </c>
      <c r="B4601" s="360">
        <f>DATE('Profit Calculation'!J$6,A$2,A$2+A4601-1)</f>
        <v>46604</v>
      </c>
      <c r="D4601" s="362">
        <f t="shared" ca="1" si="145"/>
        <v>366826656.43729842</v>
      </c>
    </row>
    <row r="4602" spans="1:4">
      <c r="A4602" s="348">
        <f t="shared" si="144"/>
        <v>4601</v>
      </c>
      <c r="B4602" s="360">
        <f>DATE('Profit Calculation'!J$6,A$2,A$2+A4602-1)</f>
        <v>46605</v>
      </c>
      <c r="D4602" s="362">
        <f t="shared" ca="1" si="145"/>
        <v>366967144.71907842</v>
      </c>
    </row>
    <row r="4603" spans="1:4">
      <c r="A4603" s="348">
        <f t="shared" si="144"/>
        <v>4602</v>
      </c>
      <c r="B4603" s="360">
        <f>DATE('Profit Calculation'!J$6,A$2,A$2+A4603-1)</f>
        <v>46606</v>
      </c>
      <c r="D4603" s="362">
        <f t="shared" ca="1" si="145"/>
        <v>367107686.80544698</v>
      </c>
    </row>
    <row r="4604" spans="1:4">
      <c r="A4604" s="348">
        <f t="shared" si="144"/>
        <v>4603</v>
      </c>
      <c r="B4604" s="360">
        <f>DATE('Profit Calculation'!J$6,A$2,A$2+A4604-1)</f>
        <v>46607</v>
      </c>
      <c r="D4604" s="362">
        <f t="shared" ca="1" si="145"/>
        <v>367248282.71701032</v>
      </c>
    </row>
    <row r="4605" spans="1:4">
      <c r="A4605" s="348">
        <f t="shared" si="144"/>
        <v>4604</v>
      </c>
      <c r="B4605" s="360">
        <f>DATE('Profit Calculation'!J$6,A$2,A$2+A4605-1)</f>
        <v>46608</v>
      </c>
      <c r="D4605" s="362">
        <f t="shared" ca="1" si="145"/>
        <v>367388932.47438258</v>
      </c>
    </row>
    <row r="4606" spans="1:4">
      <c r="A4606" s="348">
        <f t="shared" si="144"/>
        <v>4605</v>
      </c>
      <c r="B4606" s="360">
        <f>DATE('Profit Calculation'!J$6,A$2,A$2+A4606-1)</f>
        <v>46609</v>
      </c>
      <c r="D4606" s="362">
        <f t="shared" ca="1" si="145"/>
        <v>367529636.09818572</v>
      </c>
    </row>
    <row r="4607" spans="1:4">
      <c r="A4607" s="348">
        <f t="shared" si="144"/>
        <v>4606</v>
      </c>
      <c r="B4607" s="360">
        <f>DATE('Profit Calculation'!J$6,A$2,A$2+A4607-1)</f>
        <v>46610</v>
      </c>
      <c r="D4607" s="362">
        <f t="shared" ca="1" si="145"/>
        <v>367670393.60904968</v>
      </c>
    </row>
    <row r="4608" spans="1:4">
      <c r="A4608" s="348">
        <f t="shared" si="144"/>
        <v>4607</v>
      </c>
      <c r="B4608" s="360">
        <f>DATE('Profit Calculation'!J$6,A$2,A$2+A4608-1)</f>
        <v>46611</v>
      </c>
      <c r="D4608" s="362">
        <f t="shared" ca="1" si="145"/>
        <v>367811205.02761227</v>
      </c>
    </row>
    <row r="4609" spans="1:4">
      <c r="A4609" s="348">
        <f t="shared" si="144"/>
        <v>4608</v>
      </c>
      <c r="B4609" s="360">
        <f>DATE('Profit Calculation'!J$6,A$2,A$2+A4609-1)</f>
        <v>46612</v>
      </c>
      <c r="D4609" s="362">
        <f t="shared" ca="1" si="145"/>
        <v>367952070.37451923</v>
      </c>
    </row>
    <row r="4610" spans="1:4">
      <c r="A4610" s="348">
        <f t="shared" si="144"/>
        <v>4609</v>
      </c>
      <c r="B4610" s="360">
        <f>DATE('Profit Calculation'!J$6,A$2,A$2+A4610-1)</f>
        <v>46613</v>
      </c>
      <c r="D4610" s="362">
        <f t="shared" ca="1" si="145"/>
        <v>368092989.67042416</v>
      </c>
    </row>
    <row r="4611" spans="1:4">
      <c r="A4611" s="348">
        <f t="shared" si="144"/>
        <v>4610</v>
      </c>
      <c r="B4611" s="360">
        <f>DATE('Profit Calculation'!J$6,A$2,A$2+A4611-1)</f>
        <v>46614</v>
      </c>
      <c r="D4611" s="362">
        <f t="shared" ca="1" si="145"/>
        <v>368233962.93598866</v>
      </c>
    </row>
    <row r="4612" spans="1:4">
      <c r="A4612" s="348">
        <f t="shared" si="144"/>
        <v>4611</v>
      </c>
      <c r="B4612" s="360">
        <f>DATE('Profit Calculation'!J$6,A$2,A$2+A4612-1)</f>
        <v>46615</v>
      </c>
      <c r="D4612" s="362">
        <f t="shared" ca="1" si="145"/>
        <v>368374990.19188213</v>
      </c>
    </row>
    <row r="4613" spans="1:4">
      <c r="A4613" s="348">
        <f t="shared" ref="A4613:A4676" si="146">A4612+1</f>
        <v>4612</v>
      </c>
      <c r="B4613" s="360">
        <f>DATE('Profit Calculation'!J$6,A$2,A$2+A4613-1)</f>
        <v>46616</v>
      </c>
      <c r="D4613" s="362">
        <f t="shared" ref="D4613:D4676" ca="1" si="147">IF(OR(LOOKUP(B4613,W$1:W$35,W$1:W$35) = B4613, LOOKUP(B4613,X$1:X$35,X$1:X$35) = B4613),LOOKUP(B4613,F:F,G:G),D4612*(1+((IF($Q$18&lt;6,$R$14,IF($Q$18&lt;11,$R$15,$R$16)))))^(1/365))</f>
        <v>368516071.4587819</v>
      </c>
    </row>
    <row r="4614" spans="1:4">
      <c r="A4614" s="348">
        <f t="shared" si="146"/>
        <v>4613</v>
      </c>
      <c r="B4614" s="360">
        <f>DATE('Profit Calculation'!J$6,A$2,A$2+A4614-1)</f>
        <v>46617</v>
      </c>
      <c r="D4614" s="362">
        <f t="shared" ca="1" si="147"/>
        <v>368657206.75737327</v>
      </c>
    </row>
    <row r="4615" spans="1:4">
      <c r="A4615" s="348">
        <f t="shared" si="146"/>
        <v>4614</v>
      </c>
      <c r="B4615" s="360">
        <f>DATE('Profit Calculation'!J$6,A$2,A$2+A4615-1)</f>
        <v>46618</v>
      </c>
      <c r="D4615" s="362">
        <f t="shared" ca="1" si="147"/>
        <v>368798396.1083495</v>
      </c>
    </row>
    <row r="4616" spans="1:4">
      <c r="A4616" s="348">
        <f t="shared" si="146"/>
        <v>4615</v>
      </c>
      <c r="B4616" s="360">
        <f>DATE('Profit Calculation'!J$6,A$2,A$2+A4616-1)</f>
        <v>46619</v>
      </c>
      <c r="D4616" s="362">
        <f t="shared" ca="1" si="147"/>
        <v>368939639.53241169</v>
      </c>
    </row>
    <row r="4617" spans="1:4">
      <c r="A4617" s="348">
        <f t="shared" si="146"/>
        <v>4616</v>
      </c>
      <c r="B4617" s="360">
        <f>DATE('Profit Calculation'!J$6,A$2,A$2+A4617-1)</f>
        <v>46620</v>
      </c>
      <c r="D4617" s="362">
        <f t="shared" ca="1" si="147"/>
        <v>369080937.05026889</v>
      </c>
    </row>
    <row r="4618" spans="1:4">
      <c r="A4618" s="348">
        <f t="shared" si="146"/>
        <v>4617</v>
      </c>
      <c r="B4618" s="360">
        <f>DATE('Profit Calculation'!J$6,A$2,A$2+A4618-1)</f>
        <v>46621</v>
      </c>
      <c r="D4618" s="362">
        <f t="shared" ca="1" si="147"/>
        <v>369222288.68263811</v>
      </c>
    </row>
    <row r="4619" spans="1:4">
      <c r="A4619" s="348">
        <f t="shared" si="146"/>
        <v>4618</v>
      </c>
      <c r="B4619" s="360">
        <f>DATE('Profit Calculation'!J$6,A$2,A$2+A4619-1)</f>
        <v>46622</v>
      </c>
      <c r="D4619" s="362">
        <f t="shared" ca="1" si="147"/>
        <v>369363694.45024425</v>
      </c>
    </row>
    <row r="4620" spans="1:4">
      <c r="A4620" s="348">
        <f t="shared" si="146"/>
        <v>4619</v>
      </c>
      <c r="B4620" s="360">
        <f>DATE('Profit Calculation'!J$6,A$2,A$2+A4620-1)</f>
        <v>46623</v>
      </c>
      <c r="D4620" s="362">
        <f t="shared" ca="1" si="147"/>
        <v>369505154.37382019</v>
      </c>
    </row>
    <row r="4621" spans="1:4">
      <c r="A4621" s="348">
        <f t="shared" si="146"/>
        <v>4620</v>
      </c>
      <c r="B4621" s="360">
        <f>DATE('Profit Calculation'!J$6,A$2,A$2+A4621-1)</f>
        <v>46624</v>
      </c>
      <c r="D4621" s="362">
        <f t="shared" ca="1" si="147"/>
        <v>369646668.47410673</v>
      </c>
    </row>
    <row r="4622" spans="1:4">
      <c r="A4622" s="348">
        <f t="shared" si="146"/>
        <v>4621</v>
      </c>
      <c r="B4622" s="360">
        <f>DATE('Profit Calculation'!J$6,A$2,A$2+A4622-1)</f>
        <v>46625</v>
      </c>
      <c r="D4622" s="362">
        <f t="shared" ca="1" si="147"/>
        <v>369788236.77185261</v>
      </c>
    </row>
    <row r="4623" spans="1:4">
      <c r="A4623" s="348">
        <f t="shared" si="146"/>
        <v>4622</v>
      </c>
      <c r="B4623" s="360">
        <f>DATE('Profit Calculation'!J$6,A$2,A$2+A4623-1)</f>
        <v>46626</v>
      </c>
      <c r="D4623" s="362">
        <f t="shared" ca="1" si="147"/>
        <v>369929859.2878145</v>
      </c>
    </row>
    <row r="4624" spans="1:4">
      <c r="A4624" s="348">
        <f t="shared" si="146"/>
        <v>4623</v>
      </c>
      <c r="B4624" s="360">
        <f>DATE('Profit Calculation'!J$6,A$2,A$2+A4624-1)</f>
        <v>46627</v>
      </c>
      <c r="D4624" s="362">
        <f t="shared" ca="1" si="147"/>
        <v>370071536.04275703</v>
      </c>
    </row>
    <row r="4625" spans="1:4">
      <c r="A4625" s="348">
        <f t="shared" si="146"/>
        <v>4624</v>
      </c>
      <c r="B4625" s="360">
        <f>DATE('Profit Calculation'!J$6,A$2,A$2+A4625-1)</f>
        <v>46628</v>
      </c>
      <c r="D4625" s="362">
        <f t="shared" ca="1" si="147"/>
        <v>370213267.05745286</v>
      </c>
    </row>
    <row r="4626" spans="1:4">
      <c r="A4626" s="348">
        <f t="shared" si="146"/>
        <v>4625</v>
      </c>
      <c r="B4626" s="360">
        <f>DATE('Profit Calculation'!J$6,A$2,A$2+A4626-1)</f>
        <v>46629</v>
      </c>
      <c r="D4626" s="362">
        <f t="shared" ca="1" si="147"/>
        <v>370355052.35268253</v>
      </c>
    </row>
    <row r="4627" spans="1:4">
      <c r="A4627" s="348">
        <f t="shared" si="146"/>
        <v>4626</v>
      </c>
      <c r="B4627" s="360">
        <f>DATE('Profit Calculation'!J$6,A$2,A$2+A4627-1)</f>
        <v>46630</v>
      </c>
      <c r="D4627" s="362">
        <f t="shared" ca="1" si="147"/>
        <v>370496891.94923449</v>
      </c>
    </row>
    <row r="4628" spans="1:4">
      <c r="A4628" s="348">
        <f t="shared" si="146"/>
        <v>4627</v>
      </c>
      <c r="B4628" s="360">
        <f>DATE('Profit Calculation'!J$6,A$2,A$2+A4628-1)</f>
        <v>46631</v>
      </c>
      <c r="D4628" s="362">
        <f t="shared" ca="1" si="147"/>
        <v>370638785.86790526</v>
      </c>
    </row>
    <row r="4629" spans="1:4">
      <c r="A4629" s="348">
        <f t="shared" si="146"/>
        <v>4628</v>
      </c>
      <c r="B4629" s="360">
        <f>DATE('Profit Calculation'!J$6,A$2,A$2+A4629-1)</f>
        <v>46632</v>
      </c>
      <c r="D4629" s="362">
        <f t="shared" ca="1" si="147"/>
        <v>370780734.12949926</v>
      </c>
    </row>
    <row r="4630" spans="1:4">
      <c r="A4630" s="348">
        <f t="shared" si="146"/>
        <v>4629</v>
      </c>
      <c r="B4630" s="360">
        <f>DATE('Profit Calculation'!J$6,A$2,A$2+A4630-1)</f>
        <v>46633</v>
      </c>
      <c r="D4630" s="362">
        <f t="shared" ca="1" si="147"/>
        <v>370922736.75482887</v>
      </c>
    </row>
    <row r="4631" spans="1:4">
      <c r="A4631" s="348">
        <f t="shared" si="146"/>
        <v>4630</v>
      </c>
      <c r="B4631" s="360">
        <f>DATE('Profit Calculation'!J$6,A$2,A$2+A4631-1)</f>
        <v>46634</v>
      </c>
      <c r="D4631" s="362">
        <f t="shared" ca="1" si="147"/>
        <v>371064793.76471448</v>
      </c>
    </row>
    <row r="4632" spans="1:4">
      <c r="A4632" s="348">
        <f t="shared" si="146"/>
        <v>4631</v>
      </c>
      <c r="B4632" s="360">
        <f>DATE('Profit Calculation'!J$6,A$2,A$2+A4632-1)</f>
        <v>46635</v>
      </c>
      <c r="D4632" s="362">
        <f t="shared" ca="1" si="147"/>
        <v>371206905.17998445</v>
      </c>
    </row>
    <row r="4633" spans="1:4">
      <c r="A4633" s="348">
        <f t="shared" si="146"/>
        <v>4632</v>
      </c>
      <c r="B4633" s="360">
        <f>DATE('Profit Calculation'!J$6,A$2,A$2+A4633-1)</f>
        <v>46636</v>
      </c>
      <c r="D4633" s="362">
        <f t="shared" ca="1" si="147"/>
        <v>371349071.02147508</v>
      </c>
    </row>
    <row r="4634" spans="1:4">
      <c r="A4634" s="348">
        <f t="shared" si="146"/>
        <v>4633</v>
      </c>
      <c r="B4634" s="360">
        <f>DATE('Profit Calculation'!J$6,A$2,A$2+A4634-1)</f>
        <v>46637</v>
      </c>
      <c r="D4634" s="362">
        <f t="shared" ca="1" si="147"/>
        <v>371491291.3100307</v>
      </c>
    </row>
    <row r="4635" spans="1:4">
      <c r="A4635" s="348">
        <f t="shared" si="146"/>
        <v>4634</v>
      </c>
      <c r="B4635" s="360">
        <f>DATE('Profit Calculation'!J$6,A$2,A$2+A4635-1)</f>
        <v>46638</v>
      </c>
      <c r="D4635" s="362">
        <f t="shared" ca="1" si="147"/>
        <v>371633566.06650358</v>
      </c>
    </row>
    <row r="4636" spans="1:4">
      <c r="A4636" s="348">
        <f t="shared" si="146"/>
        <v>4635</v>
      </c>
      <c r="B4636" s="360">
        <f>DATE('Profit Calculation'!J$6,A$2,A$2+A4636-1)</f>
        <v>46639</v>
      </c>
      <c r="D4636" s="362">
        <f t="shared" ca="1" si="147"/>
        <v>371775895.31175405</v>
      </c>
    </row>
    <row r="4637" spans="1:4">
      <c r="A4637" s="348">
        <f t="shared" si="146"/>
        <v>4636</v>
      </c>
      <c r="B4637" s="360">
        <f>DATE('Profit Calculation'!J$6,A$2,A$2+A4637-1)</f>
        <v>46640</v>
      </c>
      <c r="D4637" s="362">
        <f t="shared" ca="1" si="147"/>
        <v>371918279.06665027</v>
      </c>
    </row>
    <row r="4638" spans="1:4">
      <c r="A4638" s="348">
        <f t="shared" si="146"/>
        <v>4637</v>
      </c>
      <c r="B4638" s="360">
        <f>DATE('Profit Calculation'!J$6,A$2,A$2+A4638-1)</f>
        <v>46641</v>
      </c>
      <c r="D4638" s="362">
        <f t="shared" ca="1" si="147"/>
        <v>372060717.35206854</v>
      </c>
    </row>
    <row r="4639" spans="1:4">
      <c r="A4639" s="348">
        <f t="shared" si="146"/>
        <v>4638</v>
      </c>
      <c r="B4639" s="360">
        <f>DATE('Profit Calculation'!J$6,A$2,A$2+A4639-1)</f>
        <v>46642</v>
      </c>
      <c r="D4639" s="362">
        <f t="shared" ca="1" si="147"/>
        <v>372203210.18889314</v>
      </c>
    </row>
    <row r="4640" spans="1:4">
      <c r="A4640" s="348">
        <f t="shared" si="146"/>
        <v>4639</v>
      </c>
      <c r="B4640" s="360">
        <f>DATE('Profit Calculation'!J$6,A$2,A$2+A4640-1)</f>
        <v>46643</v>
      </c>
      <c r="D4640" s="362">
        <f t="shared" ca="1" si="147"/>
        <v>372345757.59801626</v>
      </c>
    </row>
    <row r="4641" spans="1:4">
      <c r="A4641" s="348">
        <f t="shared" si="146"/>
        <v>4640</v>
      </c>
      <c r="B4641" s="360">
        <f>DATE('Profit Calculation'!J$6,A$2,A$2+A4641-1)</f>
        <v>46644</v>
      </c>
      <c r="D4641" s="362">
        <f t="shared" ca="1" si="147"/>
        <v>372488359.60033822</v>
      </c>
    </row>
    <row r="4642" spans="1:4">
      <c r="A4642" s="348">
        <f t="shared" si="146"/>
        <v>4641</v>
      </c>
      <c r="B4642" s="360">
        <f>DATE('Profit Calculation'!J$6,A$2,A$2+A4642-1)</f>
        <v>46645</v>
      </c>
      <c r="D4642" s="362">
        <f t="shared" ca="1" si="147"/>
        <v>372631016.21676719</v>
      </c>
    </row>
    <row r="4643" spans="1:4">
      <c r="A4643" s="348">
        <f t="shared" si="146"/>
        <v>4642</v>
      </c>
      <c r="B4643" s="360">
        <f>DATE('Profit Calculation'!J$6,A$2,A$2+A4643-1)</f>
        <v>46646</v>
      </c>
      <c r="D4643" s="362">
        <f t="shared" ca="1" si="147"/>
        <v>372773727.46821952</v>
      </c>
    </row>
    <row r="4644" spans="1:4">
      <c r="A4644" s="348">
        <f t="shared" si="146"/>
        <v>4643</v>
      </c>
      <c r="B4644" s="360">
        <f>DATE('Profit Calculation'!J$6,A$2,A$2+A4644-1)</f>
        <v>46647</v>
      </c>
      <c r="D4644" s="362">
        <f t="shared" ca="1" si="147"/>
        <v>372916493.37561941</v>
      </c>
    </row>
    <row r="4645" spans="1:4">
      <c r="A4645" s="348">
        <f t="shared" si="146"/>
        <v>4644</v>
      </c>
      <c r="B4645" s="360">
        <f>DATE('Profit Calculation'!J$6,A$2,A$2+A4645-1)</f>
        <v>46648</v>
      </c>
      <c r="D4645" s="362">
        <f t="shared" ca="1" si="147"/>
        <v>373059313.95989919</v>
      </c>
    </row>
    <row r="4646" spans="1:4">
      <c r="A4646" s="348">
        <f t="shared" si="146"/>
        <v>4645</v>
      </c>
      <c r="B4646" s="360">
        <f>DATE('Profit Calculation'!J$6,A$2,A$2+A4646-1)</f>
        <v>46649</v>
      </c>
      <c r="D4646" s="362">
        <f t="shared" ca="1" si="147"/>
        <v>373202189.24199915</v>
      </c>
    </row>
    <row r="4647" spans="1:4">
      <c r="A4647" s="348">
        <f t="shared" si="146"/>
        <v>4646</v>
      </c>
      <c r="B4647" s="360">
        <f>DATE('Profit Calculation'!J$6,A$2,A$2+A4647-1)</f>
        <v>46650</v>
      </c>
      <c r="D4647" s="362">
        <f t="shared" ca="1" si="147"/>
        <v>373345119.24286759</v>
      </c>
    </row>
    <row r="4648" spans="1:4">
      <c r="A4648" s="348">
        <f t="shared" si="146"/>
        <v>4647</v>
      </c>
      <c r="B4648" s="360">
        <f>DATE('Profit Calculation'!J$6,A$2,A$2+A4648-1)</f>
        <v>46651</v>
      </c>
      <c r="D4648" s="362">
        <f t="shared" ca="1" si="147"/>
        <v>373488103.98346084</v>
      </c>
    </row>
    <row r="4649" spans="1:4">
      <c r="A4649" s="348">
        <f t="shared" si="146"/>
        <v>4648</v>
      </c>
      <c r="B4649" s="360">
        <f>DATE('Profit Calculation'!J$6,A$2,A$2+A4649-1)</f>
        <v>46652</v>
      </c>
      <c r="D4649" s="362">
        <f t="shared" ca="1" si="147"/>
        <v>373631143.4847433</v>
      </c>
    </row>
    <row r="4650" spans="1:4">
      <c r="A4650" s="348">
        <f t="shared" si="146"/>
        <v>4649</v>
      </c>
      <c r="B4650" s="360">
        <f>DATE('Profit Calculation'!J$6,A$2,A$2+A4650-1)</f>
        <v>46653</v>
      </c>
      <c r="D4650" s="362">
        <f t="shared" ca="1" si="147"/>
        <v>373774237.76768738</v>
      </c>
    </row>
    <row r="4651" spans="1:4">
      <c r="A4651" s="348">
        <f t="shared" si="146"/>
        <v>4650</v>
      </c>
      <c r="B4651" s="360">
        <f>DATE('Profit Calculation'!J$6,A$2,A$2+A4651-1)</f>
        <v>46654</v>
      </c>
      <c r="D4651" s="362">
        <f t="shared" ca="1" si="147"/>
        <v>373917386.85327351</v>
      </c>
    </row>
    <row r="4652" spans="1:4">
      <c r="A4652" s="348">
        <f t="shared" si="146"/>
        <v>4651</v>
      </c>
      <c r="B4652" s="360">
        <f>DATE('Profit Calculation'!J$6,A$2,A$2+A4652-1)</f>
        <v>46655</v>
      </c>
      <c r="D4652" s="362">
        <f t="shared" ca="1" si="147"/>
        <v>374060590.76249015</v>
      </c>
    </row>
    <row r="4653" spans="1:4">
      <c r="A4653" s="348">
        <f t="shared" si="146"/>
        <v>4652</v>
      </c>
      <c r="B4653" s="360">
        <f>DATE('Profit Calculation'!J$6,A$2,A$2+A4653-1)</f>
        <v>46656</v>
      </c>
      <c r="D4653" s="362">
        <f t="shared" ca="1" si="147"/>
        <v>374203849.51633382</v>
      </c>
    </row>
    <row r="4654" spans="1:4">
      <c r="A4654" s="348">
        <f t="shared" si="146"/>
        <v>4653</v>
      </c>
      <c r="B4654" s="360">
        <f>DATE('Profit Calculation'!J$6,A$2,A$2+A4654-1)</f>
        <v>46657</v>
      </c>
      <c r="D4654" s="362">
        <f t="shared" ca="1" si="147"/>
        <v>374347163.135809</v>
      </c>
    </row>
    <row r="4655" spans="1:4">
      <c r="A4655" s="348">
        <f t="shared" si="146"/>
        <v>4654</v>
      </c>
      <c r="B4655" s="360">
        <f>DATE('Profit Calculation'!J$6,A$2,A$2+A4655-1)</f>
        <v>46658</v>
      </c>
      <c r="D4655" s="362">
        <f t="shared" ca="1" si="147"/>
        <v>374490531.64192837</v>
      </c>
    </row>
    <row r="4656" spans="1:4">
      <c r="A4656" s="348">
        <f t="shared" si="146"/>
        <v>4655</v>
      </c>
      <c r="B4656" s="360">
        <f>DATE('Profit Calculation'!J$6,A$2,A$2+A4656-1)</f>
        <v>46659</v>
      </c>
      <c r="D4656" s="362">
        <f t="shared" ca="1" si="147"/>
        <v>374633955.05571252</v>
      </c>
    </row>
    <row r="4657" spans="1:4">
      <c r="A4657" s="348">
        <f t="shared" si="146"/>
        <v>4656</v>
      </c>
      <c r="B4657" s="360">
        <f>DATE('Profit Calculation'!J$6,A$2,A$2+A4657-1)</f>
        <v>46660</v>
      </c>
      <c r="D4657" s="362">
        <f t="shared" ca="1" si="147"/>
        <v>374777433.39819014</v>
      </c>
    </row>
    <row r="4658" spans="1:4">
      <c r="A4658" s="348">
        <f t="shared" si="146"/>
        <v>4657</v>
      </c>
      <c r="B4658" s="360">
        <f>DATE('Profit Calculation'!J$6,A$2,A$2+A4658-1)</f>
        <v>46661</v>
      </c>
      <c r="D4658" s="362">
        <f t="shared" ca="1" si="147"/>
        <v>374920966.69039798</v>
      </c>
    </row>
    <row r="4659" spans="1:4">
      <c r="A4659" s="348">
        <f t="shared" si="146"/>
        <v>4658</v>
      </c>
      <c r="B4659" s="360">
        <f>DATE('Profit Calculation'!J$6,A$2,A$2+A4659-1)</f>
        <v>46662</v>
      </c>
      <c r="D4659" s="362">
        <f t="shared" ca="1" si="147"/>
        <v>375064554.95338082</v>
      </c>
    </row>
    <row r="4660" spans="1:4">
      <c r="A4660" s="348">
        <f t="shared" si="146"/>
        <v>4659</v>
      </c>
      <c r="B4660" s="360">
        <f>DATE('Profit Calculation'!J$6,A$2,A$2+A4660-1)</f>
        <v>46663</v>
      </c>
      <c r="D4660" s="362">
        <f t="shared" ca="1" si="147"/>
        <v>375208198.20819151</v>
      </c>
    </row>
    <row r="4661" spans="1:4">
      <c r="A4661" s="348">
        <f t="shared" si="146"/>
        <v>4660</v>
      </c>
      <c r="B4661" s="360">
        <f>DATE('Profit Calculation'!J$6,A$2,A$2+A4661-1)</f>
        <v>46664</v>
      </c>
      <c r="D4661" s="362">
        <f t="shared" ca="1" si="147"/>
        <v>375351896.47589099</v>
      </c>
    </row>
    <row r="4662" spans="1:4">
      <c r="A4662" s="348">
        <f t="shared" si="146"/>
        <v>4661</v>
      </c>
      <c r="B4662" s="360">
        <f>DATE('Profit Calculation'!J$6,A$2,A$2+A4662-1)</f>
        <v>46665</v>
      </c>
      <c r="D4662" s="362">
        <f t="shared" ca="1" si="147"/>
        <v>375495649.77754831</v>
      </c>
    </row>
    <row r="4663" spans="1:4">
      <c r="A4663" s="348">
        <f t="shared" si="146"/>
        <v>4662</v>
      </c>
      <c r="B4663" s="360">
        <f>DATE('Profit Calculation'!J$6,A$2,A$2+A4663-1)</f>
        <v>46666</v>
      </c>
      <c r="D4663" s="362">
        <f t="shared" ca="1" si="147"/>
        <v>375639458.13424045</v>
      </c>
    </row>
    <row r="4664" spans="1:4">
      <c r="A4664" s="348">
        <f t="shared" si="146"/>
        <v>4663</v>
      </c>
      <c r="B4664" s="360">
        <f>DATE('Profit Calculation'!J$6,A$2,A$2+A4664-1)</f>
        <v>46667</v>
      </c>
      <c r="D4664" s="362">
        <f t="shared" ca="1" si="147"/>
        <v>375783321.56705254</v>
      </c>
    </row>
    <row r="4665" spans="1:4">
      <c r="A4665" s="348">
        <f t="shared" si="146"/>
        <v>4664</v>
      </c>
      <c r="B4665" s="360">
        <f>DATE('Profit Calculation'!J$6,A$2,A$2+A4665-1)</f>
        <v>46668</v>
      </c>
      <c r="D4665" s="362">
        <f t="shared" ca="1" si="147"/>
        <v>375927240.09707779</v>
      </c>
    </row>
    <row r="4666" spans="1:4">
      <c r="A4666" s="348">
        <f t="shared" si="146"/>
        <v>4665</v>
      </c>
      <c r="B4666" s="360">
        <f>DATE('Profit Calculation'!J$6,A$2,A$2+A4666-1)</f>
        <v>46669</v>
      </c>
      <c r="D4666" s="362">
        <f t="shared" ca="1" si="147"/>
        <v>376071213.74541754</v>
      </c>
    </row>
    <row r="4667" spans="1:4">
      <c r="A4667" s="348">
        <f t="shared" si="146"/>
        <v>4666</v>
      </c>
      <c r="B4667" s="360">
        <f>DATE('Profit Calculation'!J$6,A$2,A$2+A4667-1)</f>
        <v>46670</v>
      </c>
      <c r="D4667" s="362">
        <f t="shared" ca="1" si="147"/>
        <v>376215242.53318107</v>
      </c>
    </row>
    <row r="4668" spans="1:4">
      <c r="A4668" s="348">
        <f t="shared" si="146"/>
        <v>4667</v>
      </c>
      <c r="B4668" s="360">
        <f>DATE('Profit Calculation'!J$6,A$2,A$2+A4668-1)</f>
        <v>46671</v>
      </c>
      <c r="D4668" s="362">
        <f t="shared" ca="1" si="147"/>
        <v>376359326.4814859</v>
      </c>
    </row>
    <row r="4669" spans="1:4">
      <c r="A4669" s="348">
        <f t="shared" si="146"/>
        <v>4668</v>
      </c>
      <c r="B4669" s="360">
        <f>DATE('Profit Calculation'!J$6,A$2,A$2+A4669-1)</f>
        <v>46672</v>
      </c>
      <c r="D4669" s="362">
        <f t="shared" ca="1" si="147"/>
        <v>376503465.61145753</v>
      </c>
    </row>
    <row r="4670" spans="1:4">
      <c r="A4670" s="348">
        <f t="shared" si="146"/>
        <v>4669</v>
      </c>
      <c r="B4670" s="360">
        <f>DATE('Profit Calculation'!J$6,A$2,A$2+A4670-1)</f>
        <v>46673</v>
      </c>
      <c r="D4670" s="362">
        <f t="shared" ca="1" si="147"/>
        <v>376647659.94422954</v>
      </c>
    </row>
    <row r="4671" spans="1:4">
      <c r="A4671" s="348">
        <f t="shared" si="146"/>
        <v>4670</v>
      </c>
      <c r="B4671" s="360">
        <f>DATE('Profit Calculation'!J$6,A$2,A$2+A4671-1)</f>
        <v>46674</v>
      </c>
      <c r="D4671" s="362">
        <f t="shared" ca="1" si="147"/>
        <v>376791909.50094372</v>
      </c>
    </row>
    <row r="4672" spans="1:4">
      <c r="A4672" s="348">
        <f t="shared" si="146"/>
        <v>4671</v>
      </c>
      <c r="B4672" s="360">
        <f>DATE('Profit Calculation'!J$6,A$2,A$2+A4672-1)</f>
        <v>46675</v>
      </c>
      <c r="D4672" s="362">
        <f t="shared" ca="1" si="147"/>
        <v>376936214.30274987</v>
      </c>
    </row>
    <row r="4673" spans="1:4">
      <c r="A4673" s="348">
        <f t="shared" si="146"/>
        <v>4672</v>
      </c>
      <c r="B4673" s="360">
        <f>DATE('Profit Calculation'!J$6,A$2,A$2+A4673-1)</f>
        <v>46676</v>
      </c>
      <c r="D4673" s="362">
        <f t="shared" ca="1" si="147"/>
        <v>377080574.37080592</v>
      </c>
    </row>
    <row r="4674" spans="1:4">
      <c r="A4674" s="348">
        <f t="shared" si="146"/>
        <v>4673</v>
      </c>
      <c r="B4674" s="360">
        <f>DATE('Profit Calculation'!J$6,A$2,A$2+A4674-1)</f>
        <v>46677</v>
      </c>
      <c r="D4674" s="362">
        <f t="shared" ca="1" si="147"/>
        <v>377224989.72627783</v>
      </c>
    </row>
    <row r="4675" spans="1:4">
      <c r="A4675" s="348">
        <f t="shared" si="146"/>
        <v>4674</v>
      </c>
      <c r="B4675" s="360">
        <f>DATE('Profit Calculation'!J$6,A$2,A$2+A4675-1)</f>
        <v>46678</v>
      </c>
      <c r="D4675" s="362">
        <f t="shared" ca="1" si="147"/>
        <v>377369460.39033979</v>
      </c>
    </row>
    <row r="4676" spans="1:4">
      <c r="A4676" s="348">
        <f t="shared" si="146"/>
        <v>4675</v>
      </c>
      <c r="B4676" s="360">
        <f>DATE('Profit Calculation'!J$6,A$2,A$2+A4676-1)</f>
        <v>46679</v>
      </c>
      <c r="D4676" s="362">
        <f t="shared" ca="1" si="147"/>
        <v>377513986.38417405</v>
      </c>
    </row>
    <row r="4677" spans="1:4">
      <c r="A4677" s="348">
        <f t="shared" ref="A4677:A4740" si="148">A4676+1</f>
        <v>4676</v>
      </c>
      <c r="B4677" s="360">
        <f>DATE('Profit Calculation'!J$6,A$2,A$2+A4677-1)</f>
        <v>46680</v>
      </c>
      <c r="D4677" s="362">
        <f t="shared" ref="D4677:D4740" ca="1" si="149">IF(OR(LOOKUP(B4677,W$1:W$35,W$1:W$35) = B4677, LOOKUP(B4677,X$1:X$35,X$1:X$35) = B4677),LOOKUP(B4677,F:F,G:G),D4676*(1+((IF($Q$18&lt;6,$R$14,IF($Q$18&lt;11,$R$15,$R$16)))))^(1/365))</f>
        <v>377658567.72897089</v>
      </c>
    </row>
    <row r="4678" spans="1:4">
      <c r="A4678" s="348">
        <f t="shared" si="148"/>
        <v>4677</v>
      </c>
      <c r="B4678" s="360">
        <f>DATE('Profit Calculation'!J$6,A$2,A$2+A4678-1)</f>
        <v>46681</v>
      </c>
      <c r="D4678" s="362">
        <f t="shared" ca="1" si="149"/>
        <v>377803204.44592881</v>
      </c>
    </row>
    <row r="4679" spans="1:4">
      <c r="A4679" s="348">
        <f t="shared" si="148"/>
        <v>4678</v>
      </c>
      <c r="B4679" s="360">
        <f>DATE('Profit Calculation'!J$6,A$2,A$2+A4679-1)</f>
        <v>46682</v>
      </c>
      <c r="D4679" s="362">
        <f t="shared" ca="1" si="149"/>
        <v>377947896.55625439</v>
      </c>
    </row>
    <row r="4680" spans="1:4">
      <c r="A4680" s="348">
        <f t="shared" si="148"/>
        <v>4679</v>
      </c>
      <c r="B4680" s="360">
        <f>DATE('Profit Calculation'!J$6,A$2,A$2+A4680-1)</f>
        <v>46683</v>
      </c>
      <c r="D4680" s="362">
        <f t="shared" ca="1" si="149"/>
        <v>378092644.08116233</v>
      </c>
    </row>
    <row r="4681" spans="1:4">
      <c r="A4681" s="348">
        <f t="shared" si="148"/>
        <v>4680</v>
      </c>
      <c r="B4681" s="360">
        <f>DATE('Profit Calculation'!J$6,A$2,A$2+A4681-1)</f>
        <v>46684</v>
      </c>
      <c r="D4681" s="362">
        <f t="shared" ca="1" si="149"/>
        <v>378237447.04187548</v>
      </c>
    </row>
    <row r="4682" spans="1:4">
      <c r="A4682" s="348">
        <f t="shared" si="148"/>
        <v>4681</v>
      </c>
      <c r="B4682" s="360">
        <f>DATE('Profit Calculation'!J$6,A$2,A$2+A4682-1)</f>
        <v>46685</v>
      </c>
      <c r="D4682" s="362">
        <f t="shared" ca="1" si="149"/>
        <v>378382305.45962477</v>
      </c>
    </row>
    <row r="4683" spans="1:4">
      <c r="A4683" s="348">
        <f t="shared" si="148"/>
        <v>4682</v>
      </c>
      <c r="B4683" s="360">
        <f>DATE('Profit Calculation'!J$6,A$2,A$2+A4683-1)</f>
        <v>46686</v>
      </c>
      <c r="D4683" s="362">
        <f t="shared" ca="1" si="149"/>
        <v>378527219.35564929</v>
      </c>
    </row>
    <row r="4684" spans="1:4">
      <c r="A4684" s="348">
        <f t="shared" si="148"/>
        <v>4683</v>
      </c>
      <c r="B4684" s="360">
        <f>DATE('Profit Calculation'!J$6,A$2,A$2+A4684-1)</f>
        <v>46687</v>
      </c>
      <c r="D4684" s="362">
        <f t="shared" ca="1" si="149"/>
        <v>378672188.75119627</v>
      </c>
    </row>
    <row r="4685" spans="1:4">
      <c r="A4685" s="348">
        <f t="shared" si="148"/>
        <v>4684</v>
      </c>
      <c r="B4685" s="360">
        <f>DATE('Profit Calculation'!J$6,A$2,A$2+A4685-1)</f>
        <v>46688</v>
      </c>
      <c r="D4685" s="362">
        <f t="shared" ca="1" si="149"/>
        <v>378817213.66752106</v>
      </c>
    </row>
    <row r="4686" spans="1:4">
      <c r="A4686" s="348">
        <f t="shared" si="148"/>
        <v>4685</v>
      </c>
      <c r="B4686" s="360">
        <f>DATE('Profit Calculation'!J$6,A$2,A$2+A4686-1)</f>
        <v>46689</v>
      </c>
      <c r="D4686" s="362">
        <f t="shared" ca="1" si="149"/>
        <v>378962294.12588722</v>
      </c>
    </row>
    <row r="4687" spans="1:4">
      <c r="A4687" s="348">
        <f t="shared" si="148"/>
        <v>4686</v>
      </c>
      <c r="B4687" s="360">
        <f>DATE('Profit Calculation'!J$6,A$2,A$2+A4687-1)</f>
        <v>46690</v>
      </c>
      <c r="D4687" s="362">
        <f t="shared" ca="1" si="149"/>
        <v>379107430.14756632</v>
      </c>
    </row>
    <row r="4688" spans="1:4">
      <c r="A4688" s="348">
        <f t="shared" si="148"/>
        <v>4687</v>
      </c>
      <c r="B4688" s="360">
        <f>DATE('Profit Calculation'!J$6,A$2,A$2+A4688-1)</f>
        <v>46691</v>
      </c>
      <c r="D4688" s="362">
        <f t="shared" ca="1" si="149"/>
        <v>379252621.75383818</v>
      </c>
    </row>
    <row r="4689" spans="1:4">
      <c r="A4689" s="348">
        <f t="shared" si="148"/>
        <v>4688</v>
      </c>
      <c r="B4689" s="360">
        <f>DATE('Profit Calculation'!J$6,A$2,A$2+A4689-1)</f>
        <v>46692</v>
      </c>
      <c r="D4689" s="362">
        <f t="shared" ca="1" si="149"/>
        <v>379397868.96599072</v>
      </c>
    </row>
    <row r="4690" spans="1:4">
      <c r="A4690" s="348">
        <f t="shared" si="148"/>
        <v>4689</v>
      </c>
      <c r="B4690" s="360">
        <f>DATE('Profit Calculation'!J$6,A$2,A$2+A4690-1)</f>
        <v>46693</v>
      </c>
      <c r="D4690" s="362">
        <f t="shared" ca="1" si="149"/>
        <v>379543171.80532008</v>
      </c>
    </row>
    <row r="4691" spans="1:4">
      <c r="A4691" s="348">
        <f t="shared" si="148"/>
        <v>4690</v>
      </c>
      <c r="B4691" s="360">
        <f>DATE('Profit Calculation'!J$6,A$2,A$2+A4691-1)</f>
        <v>46694</v>
      </c>
      <c r="D4691" s="362">
        <f t="shared" ca="1" si="149"/>
        <v>379688530.29313046</v>
      </c>
    </row>
    <row r="4692" spans="1:4">
      <c r="A4692" s="348">
        <f t="shared" si="148"/>
        <v>4691</v>
      </c>
      <c r="B4692" s="360">
        <f>DATE('Profit Calculation'!J$6,A$2,A$2+A4692-1)</f>
        <v>46695</v>
      </c>
      <c r="D4692" s="362">
        <f t="shared" ca="1" si="149"/>
        <v>379833944.45073432</v>
      </c>
    </row>
    <row r="4693" spans="1:4">
      <c r="A4693" s="348">
        <f t="shared" si="148"/>
        <v>4692</v>
      </c>
      <c r="B4693" s="360">
        <f>DATE('Profit Calculation'!J$6,A$2,A$2+A4693-1)</f>
        <v>46696</v>
      </c>
      <c r="D4693" s="362">
        <f t="shared" ca="1" si="149"/>
        <v>379979414.29945219</v>
      </c>
    </row>
    <row r="4694" spans="1:4">
      <c r="A4694" s="348">
        <f t="shared" si="148"/>
        <v>4693</v>
      </c>
      <c r="B4694" s="360">
        <f>DATE('Profit Calculation'!J$6,A$2,A$2+A4694-1)</f>
        <v>46697</v>
      </c>
      <c r="D4694" s="362">
        <f t="shared" ca="1" si="149"/>
        <v>380124939.86061281</v>
      </c>
    </row>
    <row r="4695" spans="1:4">
      <c r="A4695" s="348">
        <f t="shared" si="148"/>
        <v>4694</v>
      </c>
      <c r="B4695" s="360">
        <f>DATE('Profit Calculation'!J$6,A$2,A$2+A4695-1)</f>
        <v>46698</v>
      </c>
      <c r="D4695" s="362">
        <f t="shared" ca="1" si="149"/>
        <v>380270521.15555304</v>
      </c>
    </row>
    <row r="4696" spans="1:4">
      <c r="A4696" s="348">
        <f t="shared" si="148"/>
        <v>4695</v>
      </c>
      <c r="B4696" s="360">
        <f>DATE('Profit Calculation'!J$6,A$2,A$2+A4696-1)</f>
        <v>46699</v>
      </c>
      <c r="D4696" s="362">
        <f t="shared" ca="1" si="149"/>
        <v>380416158.20561802</v>
      </c>
    </row>
    <row r="4697" spans="1:4">
      <c r="A4697" s="348">
        <f t="shared" si="148"/>
        <v>4696</v>
      </c>
      <c r="B4697" s="360">
        <f>DATE('Profit Calculation'!J$6,A$2,A$2+A4697-1)</f>
        <v>46700</v>
      </c>
      <c r="D4697" s="362">
        <f t="shared" ca="1" si="149"/>
        <v>380561851.032161</v>
      </c>
    </row>
    <row r="4698" spans="1:4">
      <c r="A4698" s="348">
        <f t="shared" si="148"/>
        <v>4697</v>
      </c>
      <c r="B4698" s="360">
        <f>DATE('Profit Calculation'!J$6,A$2,A$2+A4698-1)</f>
        <v>46701</v>
      </c>
      <c r="D4698" s="362">
        <f t="shared" ca="1" si="149"/>
        <v>380707599.65654337</v>
      </c>
    </row>
    <row r="4699" spans="1:4">
      <c r="A4699" s="348">
        <f t="shared" si="148"/>
        <v>4698</v>
      </c>
      <c r="B4699" s="360">
        <f>DATE('Profit Calculation'!J$6,A$2,A$2+A4699-1)</f>
        <v>46702</v>
      </c>
      <c r="D4699" s="362">
        <f t="shared" ca="1" si="149"/>
        <v>380853404.10013479</v>
      </c>
    </row>
    <row r="4700" spans="1:4">
      <c r="A4700" s="348">
        <f t="shared" si="148"/>
        <v>4699</v>
      </c>
      <c r="B4700" s="360">
        <f>DATE('Profit Calculation'!J$6,A$2,A$2+A4700-1)</f>
        <v>46703</v>
      </c>
      <c r="D4700" s="362">
        <f t="shared" ca="1" si="149"/>
        <v>380999264.38431305</v>
      </c>
    </row>
    <row r="4701" spans="1:4">
      <c r="A4701" s="348">
        <f t="shared" si="148"/>
        <v>4700</v>
      </c>
      <c r="B4701" s="360">
        <f>DATE('Profit Calculation'!J$6,A$2,A$2+A4701-1)</f>
        <v>46704</v>
      </c>
      <c r="D4701" s="362">
        <f t="shared" ca="1" si="149"/>
        <v>381145180.53046405</v>
      </c>
    </row>
    <row r="4702" spans="1:4">
      <c r="A4702" s="348">
        <f t="shared" si="148"/>
        <v>4701</v>
      </c>
      <c r="B4702" s="360">
        <f>DATE('Profit Calculation'!J$6,A$2,A$2+A4702-1)</f>
        <v>46705</v>
      </c>
      <c r="D4702" s="362">
        <f t="shared" ca="1" si="149"/>
        <v>381291152.55998206</v>
      </c>
    </row>
    <row r="4703" spans="1:4">
      <c r="A4703" s="348">
        <f t="shared" si="148"/>
        <v>4702</v>
      </c>
      <c r="B4703" s="360">
        <f>DATE('Profit Calculation'!J$6,A$2,A$2+A4703-1)</f>
        <v>46706</v>
      </c>
      <c r="D4703" s="362">
        <f t="shared" ca="1" si="149"/>
        <v>381437180.49426943</v>
      </c>
    </row>
    <row r="4704" spans="1:4">
      <c r="A4704" s="348">
        <f t="shared" si="148"/>
        <v>4703</v>
      </c>
      <c r="B4704" s="360">
        <f>DATE('Profit Calculation'!J$6,A$2,A$2+A4704-1)</f>
        <v>46707</v>
      </c>
      <c r="D4704" s="362">
        <f t="shared" ca="1" si="149"/>
        <v>381583264.35473669</v>
      </c>
    </row>
    <row r="4705" spans="1:4">
      <c r="A4705" s="348">
        <f t="shared" si="148"/>
        <v>4704</v>
      </c>
      <c r="B4705" s="360">
        <f>DATE('Profit Calculation'!J$6,A$2,A$2+A4705-1)</f>
        <v>46708</v>
      </c>
      <c r="D4705" s="362">
        <f t="shared" ca="1" si="149"/>
        <v>381729404.16280258</v>
      </c>
    </row>
    <row r="4706" spans="1:4">
      <c r="A4706" s="348">
        <f t="shared" si="148"/>
        <v>4705</v>
      </c>
      <c r="B4706" s="360">
        <f>DATE('Profit Calculation'!J$6,A$2,A$2+A4706-1)</f>
        <v>46709</v>
      </c>
      <c r="D4706" s="362">
        <f t="shared" ca="1" si="149"/>
        <v>381875599.93989414</v>
      </c>
    </row>
    <row r="4707" spans="1:4">
      <c r="A4707" s="348">
        <f t="shared" si="148"/>
        <v>4706</v>
      </c>
      <c r="B4707" s="360">
        <f>DATE('Profit Calculation'!J$6,A$2,A$2+A4707-1)</f>
        <v>46710</v>
      </c>
      <c r="D4707" s="362">
        <f t="shared" ca="1" si="149"/>
        <v>382021851.70744646</v>
      </c>
    </row>
    <row r="4708" spans="1:4">
      <c r="A4708" s="348">
        <f t="shared" si="148"/>
        <v>4707</v>
      </c>
      <c r="B4708" s="360">
        <f>DATE('Profit Calculation'!J$6,A$2,A$2+A4708-1)</f>
        <v>46711</v>
      </c>
      <c r="D4708" s="362">
        <f t="shared" ca="1" si="149"/>
        <v>382168159.48690295</v>
      </c>
    </row>
    <row r="4709" spans="1:4">
      <c r="A4709" s="348">
        <f t="shared" si="148"/>
        <v>4708</v>
      </c>
      <c r="B4709" s="360">
        <f>DATE('Profit Calculation'!J$6,A$2,A$2+A4709-1)</f>
        <v>46712</v>
      </c>
      <c r="D4709" s="362">
        <f t="shared" ca="1" si="149"/>
        <v>382314523.29971522</v>
      </c>
    </row>
    <row r="4710" spans="1:4">
      <c r="A4710" s="348">
        <f t="shared" si="148"/>
        <v>4709</v>
      </c>
      <c r="B4710" s="360">
        <f>DATE('Profit Calculation'!J$6,A$2,A$2+A4710-1)</f>
        <v>46713</v>
      </c>
      <c r="D4710" s="362">
        <f t="shared" ca="1" si="149"/>
        <v>382460943.16734308</v>
      </c>
    </row>
    <row r="4711" spans="1:4">
      <c r="A4711" s="348">
        <f t="shared" si="148"/>
        <v>4710</v>
      </c>
      <c r="B4711" s="360">
        <f>DATE('Profit Calculation'!J$6,A$2,A$2+A4711-1)</f>
        <v>46714</v>
      </c>
      <c r="D4711" s="362">
        <f t="shared" ca="1" si="149"/>
        <v>382607419.11125457</v>
      </c>
    </row>
    <row r="4712" spans="1:4">
      <c r="A4712" s="348">
        <f t="shared" si="148"/>
        <v>4711</v>
      </c>
      <c r="B4712" s="360">
        <f>DATE('Profit Calculation'!J$6,A$2,A$2+A4712-1)</f>
        <v>46715</v>
      </c>
      <c r="D4712" s="362">
        <f t="shared" ca="1" si="149"/>
        <v>382753951.15292591</v>
      </c>
    </row>
    <row r="4713" spans="1:4">
      <c r="A4713" s="348">
        <f t="shared" si="148"/>
        <v>4712</v>
      </c>
      <c r="B4713" s="360">
        <f>DATE('Profit Calculation'!J$6,A$2,A$2+A4713-1)</f>
        <v>46716</v>
      </c>
      <c r="D4713" s="362">
        <f t="shared" ca="1" si="149"/>
        <v>382900539.31384158</v>
      </c>
    </row>
    <row r="4714" spans="1:4">
      <c r="A4714" s="348">
        <f t="shared" si="148"/>
        <v>4713</v>
      </c>
      <c r="B4714" s="360">
        <f>DATE('Profit Calculation'!J$6,A$2,A$2+A4714-1)</f>
        <v>46717</v>
      </c>
      <c r="D4714" s="362">
        <f t="shared" ca="1" si="149"/>
        <v>383047183.61549425</v>
      </c>
    </row>
    <row r="4715" spans="1:4">
      <c r="A4715" s="348">
        <f t="shared" si="148"/>
        <v>4714</v>
      </c>
      <c r="B4715" s="360">
        <f>DATE('Profit Calculation'!J$6,A$2,A$2+A4715-1)</f>
        <v>46718</v>
      </c>
      <c r="D4715" s="362">
        <f t="shared" ca="1" si="149"/>
        <v>383193884.07938492</v>
      </c>
    </row>
    <row r="4716" spans="1:4">
      <c r="A4716" s="348">
        <f t="shared" si="148"/>
        <v>4715</v>
      </c>
      <c r="B4716" s="360">
        <f>DATE('Profit Calculation'!J$6,A$2,A$2+A4716-1)</f>
        <v>46719</v>
      </c>
      <c r="D4716" s="362">
        <f t="shared" ca="1" si="149"/>
        <v>383340640.72702271</v>
      </c>
    </row>
    <row r="4717" spans="1:4">
      <c r="A4717" s="348">
        <f t="shared" si="148"/>
        <v>4716</v>
      </c>
      <c r="B4717" s="360">
        <f>DATE('Profit Calculation'!J$6,A$2,A$2+A4717-1)</f>
        <v>46720</v>
      </c>
      <c r="D4717" s="362">
        <f t="shared" ca="1" si="149"/>
        <v>383487453.57992506</v>
      </c>
    </row>
    <row r="4718" spans="1:4">
      <c r="A4718" s="348">
        <f t="shared" si="148"/>
        <v>4717</v>
      </c>
      <c r="B4718" s="360">
        <f>DATE('Profit Calculation'!J$6,A$2,A$2+A4718-1)</f>
        <v>46721</v>
      </c>
      <c r="D4718" s="362">
        <f t="shared" ca="1" si="149"/>
        <v>383634322.6596176</v>
      </c>
    </row>
    <row r="4719" spans="1:4">
      <c r="A4719" s="348">
        <f t="shared" si="148"/>
        <v>4718</v>
      </c>
      <c r="B4719" s="360">
        <f>DATE('Profit Calculation'!J$6,A$2,A$2+A4719-1)</f>
        <v>46722</v>
      </c>
      <c r="D4719" s="362">
        <f t="shared" ca="1" si="149"/>
        <v>383781247.98763424</v>
      </c>
    </row>
    <row r="4720" spans="1:4">
      <c r="A4720" s="348">
        <f t="shared" si="148"/>
        <v>4719</v>
      </c>
      <c r="B4720" s="360">
        <f>DATE('Profit Calculation'!J$6,A$2,A$2+A4720-1)</f>
        <v>46723</v>
      </c>
      <c r="D4720" s="362">
        <f t="shared" ca="1" si="149"/>
        <v>383928229.58551705</v>
      </c>
    </row>
    <row r="4721" spans="1:4">
      <c r="A4721" s="348">
        <f t="shared" si="148"/>
        <v>4720</v>
      </c>
      <c r="B4721" s="360">
        <f>DATE('Profit Calculation'!J$6,A$2,A$2+A4721-1)</f>
        <v>46724</v>
      </c>
      <c r="D4721" s="362">
        <f t="shared" ca="1" si="149"/>
        <v>384075267.4748165</v>
      </c>
    </row>
    <row r="4722" spans="1:4">
      <c r="A4722" s="348">
        <f t="shared" si="148"/>
        <v>4721</v>
      </c>
      <c r="B4722" s="360">
        <f>DATE('Profit Calculation'!J$6,A$2,A$2+A4722-1)</f>
        <v>46725</v>
      </c>
      <c r="D4722" s="362">
        <f t="shared" ca="1" si="149"/>
        <v>384222361.67709118</v>
      </c>
    </row>
    <row r="4723" spans="1:4">
      <c r="A4723" s="348">
        <f t="shared" si="148"/>
        <v>4722</v>
      </c>
      <c r="B4723" s="360">
        <f>DATE('Profit Calculation'!J$6,A$2,A$2+A4723-1)</f>
        <v>46726</v>
      </c>
      <c r="D4723" s="362">
        <f t="shared" ca="1" si="149"/>
        <v>384369512.21390802</v>
      </c>
    </row>
    <row r="4724" spans="1:4">
      <c r="A4724" s="348">
        <f t="shared" si="148"/>
        <v>4723</v>
      </c>
      <c r="B4724" s="360">
        <f>DATE('Profit Calculation'!J$6,A$2,A$2+A4724-1)</f>
        <v>46727</v>
      </c>
      <c r="D4724" s="362">
        <f t="shared" ca="1" si="149"/>
        <v>384516719.10684216</v>
      </c>
    </row>
    <row r="4725" spans="1:4">
      <c r="A4725" s="348">
        <f t="shared" si="148"/>
        <v>4724</v>
      </c>
      <c r="B4725" s="360">
        <f>DATE('Profit Calculation'!J$6,A$2,A$2+A4725-1)</f>
        <v>46728</v>
      </c>
      <c r="D4725" s="362">
        <f t="shared" ca="1" si="149"/>
        <v>384663982.37747705</v>
      </c>
    </row>
    <row r="4726" spans="1:4">
      <c r="A4726" s="348">
        <f t="shared" si="148"/>
        <v>4725</v>
      </c>
      <c r="B4726" s="360">
        <f>DATE('Profit Calculation'!J$6,A$2,A$2+A4726-1)</f>
        <v>46729</v>
      </c>
      <c r="D4726" s="362">
        <f t="shared" ca="1" si="149"/>
        <v>384811302.04740435</v>
      </c>
    </row>
    <row r="4727" spans="1:4">
      <c r="A4727" s="348">
        <f t="shared" si="148"/>
        <v>4726</v>
      </c>
      <c r="B4727" s="360">
        <f>DATE('Profit Calculation'!J$6,A$2,A$2+A4727-1)</f>
        <v>46730</v>
      </c>
      <c r="D4727" s="362">
        <f t="shared" ca="1" si="149"/>
        <v>384958678.13822401</v>
      </c>
    </row>
    <row r="4728" spans="1:4">
      <c r="A4728" s="348">
        <f t="shared" si="148"/>
        <v>4727</v>
      </c>
      <c r="B4728" s="360">
        <f>DATE('Profit Calculation'!J$6,A$2,A$2+A4728-1)</f>
        <v>46731</v>
      </c>
      <c r="D4728" s="362">
        <f t="shared" ca="1" si="149"/>
        <v>385106110.67154425</v>
      </c>
    </row>
    <row r="4729" spans="1:4">
      <c r="A4729" s="348">
        <f t="shared" si="148"/>
        <v>4728</v>
      </c>
      <c r="B4729" s="360">
        <f>DATE('Profit Calculation'!J$6,A$2,A$2+A4729-1)</f>
        <v>46732</v>
      </c>
      <c r="D4729" s="362">
        <f t="shared" ca="1" si="149"/>
        <v>385253599.66898161</v>
      </c>
    </row>
    <row r="4730" spans="1:4">
      <c r="A4730" s="348">
        <f t="shared" si="148"/>
        <v>4729</v>
      </c>
      <c r="B4730" s="360">
        <f>DATE('Profit Calculation'!J$6,A$2,A$2+A4730-1)</f>
        <v>46733</v>
      </c>
      <c r="D4730" s="362">
        <f t="shared" ca="1" si="149"/>
        <v>385401145.15216082</v>
      </c>
    </row>
    <row r="4731" spans="1:4">
      <c r="A4731" s="348">
        <f t="shared" si="148"/>
        <v>4730</v>
      </c>
      <c r="B4731" s="360">
        <f>DATE('Profit Calculation'!J$6,A$2,A$2+A4731-1)</f>
        <v>46734</v>
      </c>
      <c r="D4731" s="362">
        <f t="shared" ca="1" si="149"/>
        <v>385548747.14271498</v>
      </c>
    </row>
    <row r="4732" spans="1:4">
      <c r="A4732" s="348">
        <f t="shared" si="148"/>
        <v>4731</v>
      </c>
      <c r="B4732" s="360">
        <f>DATE('Profit Calculation'!J$6,A$2,A$2+A4732-1)</f>
        <v>46735</v>
      </c>
      <c r="D4732" s="362">
        <f t="shared" ca="1" si="149"/>
        <v>385696405.66228545</v>
      </c>
    </row>
    <row r="4733" spans="1:4">
      <c r="A4733" s="348">
        <f t="shared" si="148"/>
        <v>4732</v>
      </c>
      <c r="B4733" s="360">
        <f>DATE('Profit Calculation'!J$6,A$2,A$2+A4733-1)</f>
        <v>46736</v>
      </c>
      <c r="D4733" s="362">
        <f t="shared" ca="1" si="149"/>
        <v>385844120.73252183</v>
      </c>
    </row>
    <row r="4734" spans="1:4">
      <c r="A4734" s="348">
        <f t="shared" si="148"/>
        <v>4733</v>
      </c>
      <c r="B4734" s="360">
        <f>DATE('Profit Calculation'!J$6,A$2,A$2+A4734-1)</f>
        <v>46737</v>
      </c>
      <c r="D4734" s="362">
        <f t="shared" ca="1" si="149"/>
        <v>385991892.37508208</v>
      </c>
    </row>
    <row r="4735" spans="1:4">
      <c r="A4735" s="348">
        <f t="shared" si="148"/>
        <v>4734</v>
      </c>
      <c r="B4735" s="360">
        <f>DATE('Profit Calculation'!J$6,A$2,A$2+A4735-1)</f>
        <v>46738</v>
      </c>
      <c r="D4735" s="362">
        <f t="shared" ca="1" si="149"/>
        <v>386139720.61163241</v>
      </c>
    </row>
    <row r="4736" spans="1:4">
      <c r="A4736" s="348">
        <f t="shared" si="148"/>
        <v>4735</v>
      </c>
      <c r="B4736" s="360">
        <f>DATE('Profit Calculation'!J$6,A$2,A$2+A4736-1)</f>
        <v>46739</v>
      </c>
      <c r="D4736" s="362">
        <f t="shared" ca="1" si="149"/>
        <v>386287605.4638474</v>
      </c>
    </row>
    <row r="4737" spans="1:4">
      <c r="A4737" s="348">
        <f t="shared" si="148"/>
        <v>4736</v>
      </c>
      <c r="B4737" s="360">
        <f>DATE('Profit Calculation'!J$6,A$2,A$2+A4737-1)</f>
        <v>46740</v>
      </c>
      <c r="D4737" s="362">
        <f t="shared" ca="1" si="149"/>
        <v>386435546.95340979</v>
      </c>
    </row>
    <row r="4738" spans="1:4">
      <c r="A4738" s="348">
        <f t="shared" si="148"/>
        <v>4737</v>
      </c>
      <c r="B4738" s="360">
        <f>DATE('Profit Calculation'!J$6,A$2,A$2+A4738-1)</f>
        <v>46741</v>
      </c>
      <c r="D4738" s="362">
        <f t="shared" ca="1" si="149"/>
        <v>386583545.10201079</v>
      </c>
    </row>
    <row r="4739" spans="1:4">
      <c r="A4739" s="348">
        <f t="shared" si="148"/>
        <v>4738</v>
      </c>
      <c r="B4739" s="360">
        <f>DATE('Profit Calculation'!J$6,A$2,A$2+A4739-1)</f>
        <v>46742</v>
      </c>
      <c r="D4739" s="362">
        <f t="shared" ca="1" si="149"/>
        <v>386731599.93134975</v>
      </c>
    </row>
    <row r="4740" spans="1:4">
      <c r="A4740" s="348">
        <f t="shared" si="148"/>
        <v>4739</v>
      </c>
      <c r="B4740" s="360">
        <f>DATE('Profit Calculation'!J$6,A$2,A$2+A4740-1)</f>
        <v>46743</v>
      </c>
      <c r="D4740" s="362">
        <f t="shared" ca="1" si="149"/>
        <v>386879711.46313447</v>
      </c>
    </row>
    <row r="4741" spans="1:4">
      <c r="A4741" s="348">
        <f t="shared" ref="A4741:A4804" si="150">A4740+1</f>
        <v>4740</v>
      </c>
      <c r="B4741" s="360">
        <f>DATE('Profit Calculation'!J$6,A$2,A$2+A4741-1)</f>
        <v>46744</v>
      </c>
      <c r="D4741" s="362">
        <f t="shared" ref="D4741:D4804" ca="1" si="151">IF(OR(LOOKUP(B4741,W$1:W$35,W$1:W$35) = B4741, LOOKUP(B4741,X$1:X$35,X$1:X$35) = B4741),LOOKUP(B4741,F:F,G:G),D4740*(1+((IF($Q$18&lt;6,$R$14,IF($Q$18&lt;11,$R$15,$R$16)))))^(1/365))</f>
        <v>387027879.71908098</v>
      </c>
    </row>
    <row r="4742" spans="1:4">
      <c r="A4742" s="348">
        <f t="shared" si="150"/>
        <v>4741</v>
      </c>
      <c r="B4742" s="360">
        <f>DATE('Profit Calculation'!J$6,A$2,A$2+A4742-1)</f>
        <v>46745</v>
      </c>
      <c r="D4742" s="362">
        <f t="shared" ca="1" si="151"/>
        <v>387176104.72091365</v>
      </c>
    </row>
    <row r="4743" spans="1:4">
      <c r="A4743" s="348">
        <f t="shared" si="150"/>
        <v>4742</v>
      </c>
      <c r="B4743" s="360">
        <f>DATE('Profit Calculation'!J$6,A$2,A$2+A4743-1)</f>
        <v>46746</v>
      </c>
      <c r="D4743" s="362">
        <f t="shared" ca="1" si="151"/>
        <v>387324386.49036521</v>
      </c>
    </row>
    <row r="4744" spans="1:4">
      <c r="A4744" s="348">
        <f t="shared" si="150"/>
        <v>4743</v>
      </c>
      <c r="B4744" s="360">
        <f>DATE('Profit Calculation'!J$6,A$2,A$2+A4744-1)</f>
        <v>46747</v>
      </c>
      <c r="D4744" s="362">
        <f t="shared" ca="1" si="151"/>
        <v>387472725.04917663</v>
      </c>
    </row>
    <row r="4745" spans="1:4">
      <c r="A4745" s="348">
        <f t="shared" si="150"/>
        <v>4744</v>
      </c>
      <c r="B4745" s="360">
        <f>DATE('Profit Calculation'!J$6,A$2,A$2+A4745-1)</f>
        <v>46748</v>
      </c>
      <c r="D4745" s="362">
        <f t="shared" ca="1" si="151"/>
        <v>387621120.4190973</v>
      </c>
    </row>
    <row r="4746" spans="1:4">
      <c r="A4746" s="348">
        <f t="shared" si="150"/>
        <v>4745</v>
      </c>
      <c r="B4746" s="360">
        <f>DATE('Profit Calculation'!J$6,A$2,A$2+A4746-1)</f>
        <v>46749</v>
      </c>
      <c r="D4746" s="362">
        <f t="shared" ca="1" si="151"/>
        <v>387769572.62188488</v>
      </c>
    </row>
    <row r="4747" spans="1:4">
      <c r="A4747" s="348">
        <f t="shared" si="150"/>
        <v>4746</v>
      </c>
      <c r="B4747" s="360">
        <f>DATE('Profit Calculation'!J$6,A$2,A$2+A4747-1)</f>
        <v>46750</v>
      </c>
      <c r="D4747" s="362">
        <f t="shared" ca="1" si="151"/>
        <v>387918081.67930537</v>
      </c>
    </row>
    <row r="4748" spans="1:4">
      <c r="A4748" s="348">
        <f t="shared" si="150"/>
        <v>4747</v>
      </c>
      <c r="B4748" s="360">
        <f>DATE('Profit Calculation'!J$6,A$2,A$2+A4748-1)</f>
        <v>46751</v>
      </c>
      <c r="D4748" s="362">
        <f t="shared" ca="1" si="151"/>
        <v>388066647.61313313</v>
      </c>
    </row>
    <row r="4749" spans="1:4">
      <c r="A4749" s="348">
        <f t="shared" si="150"/>
        <v>4748</v>
      </c>
      <c r="B4749" s="360">
        <f>DATE('Profit Calculation'!J$6,A$2,A$2+A4749-1)</f>
        <v>46752</v>
      </c>
      <c r="D4749" s="362">
        <f t="shared" ca="1" si="151"/>
        <v>388215270.44515085</v>
      </c>
    </row>
    <row r="4750" spans="1:4">
      <c r="A4750" s="348">
        <f t="shared" si="150"/>
        <v>4749</v>
      </c>
      <c r="B4750" s="360">
        <f>DATE('Profit Calculation'!J$6,A$2,A$2+A4750-1)</f>
        <v>46753</v>
      </c>
      <c r="D4750" s="362">
        <f t="shared" ca="1" si="151"/>
        <v>388178109</v>
      </c>
    </row>
    <row r="4751" spans="1:4">
      <c r="A4751" s="348">
        <f t="shared" si="150"/>
        <v>4750</v>
      </c>
      <c r="B4751" s="360">
        <f>DATE('Profit Calculation'!J$6,A$2,A$2+A4751-1)</f>
        <v>46754</v>
      </c>
      <c r="D4751" s="362">
        <f t="shared" ca="1" si="151"/>
        <v>388326774.51980621</v>
      </c>
    </row>
    <row r="4752" spans="1:4">
      <c r="A4752" s="348">
        <f t="shared" si="150"/>
        <v>4751</v>
      </c>
      <c r="B4752" s="360">
        <f>DATE('Profit Calculation'!J$6,A$2,A$2+A4752-1)</f>
        <v>46755</v>
      </c>
      <c r="D4752" s="362">
        <f t="shared" ca="1" si="151"/>
        <v>388475496.97594208</v>
      </c>
    </row>
    <row r="4753" spans="1:4">
      <c r="A4753" s="348">
        <f t="shared" si="150"/>
        <v>4752</v>
      </c>
      <c r="B4753" s="360">
        <f>DATE('Profit Calculation'!J$6,A$2,A$2+A4753-1)</f>
        <v>46756</v>
      </c>
      <c r="D4753" s="362">
        <f t="shared" ca="1" si="151"/>
        <v>388624276.39021325</v>
      </c>
    </row>
    <row r="4754" spans="1:4">
      <c r="A4754" s="348">
        <f t="shared" si="150"/>
        <v>4753</v>
      </c>
      <c r="B4754" s="360">
        <f>DATE('Profit Calculation'!J$6,A$2,A$2+A4754-1)</f>
        <v>46757</v>
      </c>
      <c r="D4754" s="362">
        <f t="shared" ca="1" si="151"/>
        <v>388773112.78443366</v>
      </c>
    </row>
    <row r="4755" spans="1:4">
      <c r="A4755" s="348">
        <f t="shared" si="150"/>
        <v>4754</v>
      </c>
      <c r="B4755" s="360">
        <f>DATE('Profit Calculation'!J$6,A$2,A$2+A4755-1)</f>
        <v>46758</v>
      </c>
      <c r="D4755" s="362">
        <f t="shared" ca="1" si="151"/>
        <v>388922006.1804257</v>
      </c>
    </row>
    <row r="4756" spans="1:4">
      <c r="A4756" s="348">
        <f t="shared" si="150"/>
        <v>4755</v>
      </c>
      <c r="B4756" s="360">
        <f>DATE('Profit Calculation'!J$6,A$2,A$2+A4756-1)</f>
        <v>46759</v>
      </c>
      <c r="D4756" s="362">
        <f t="shared" ca="1" si="151"/>
        <v>389070956.60002005</v>
      </c>
    </row>
    <row r="4757" spans="1:4">
      <c r="A4757" s="348">
        <f t="shared" si="150"/>
        <v>4756</v>
      </c>
      <c r="B4757" s="360">
        <f>DATE('Profit Calculation'!J$6,A$2,A$2+A4757-1)</f>
        <v>46760</v>
      </c>
      <c r="D4757" s="362">
        <f t="shared" ca="1" si="151"/>
        <v>389219964.06505573</v>
      </c>
    </row>
    <row r="4758" spans="1:4">
      <c r="A4758" s="348">
        <f t="shared" si="150"/>
        <v>4757</v>
      </c>
      <c r="B4758" s="360">
        <f>DATE('Profit Calculation'!J$6,A$2,A$2+A4758-1)</f>
        <v>46761</v>
      </c>
      <c r="D4758" s="362">
        <f t="shared" ca="1" si="151"/>
        <v>389369028.59738022</v>
      </c>
    </row>
    <row r="4759" spans="1:4">
      <c r="A4759" s="348">
        <f t="shared" si="150"/>
        <v>4758</v>
      </c>
      <c r="B4759" s="360">
        <f>DATE('Profit Calculation'!J$6,A$2,A$2+A4759-1)</f>
        <v>46762</v>
      </c>
      <c r="D4759" s="362">
        <f t="shared" ca="1" si="151"/>
        <v>389518150.21884924</v>
      </c>
    </row>
    <row r="4760" spans="1:4">
      <c r="A4760" s="348">
        <f t="shared" si="150"/>
        <v>4759</v>
      </c>
      <c r="B4760" s="360">
        <f>DATE('Profit Calculation'!J$6,A$2,A$2+A4760-1)</f>
        <v>46763</v>
      </c>
      <c r="D4760" s="362">
        <f t="shared" ca="1" si="151"/>
        <v>389667328.95132703</v>
      </c>
    </row>
    <row r="4761" spans="1:4">
      <c r="A4761" s="348">
        <f t="shared" si="150"/>
        <v>4760</v>
      </c>
      <c r="B4761" s="360">
        <f>DATE('Profit Calculation'!J$6,A$2,A$2+A4761-1)</f>
        <v>46764</v>
      </c>
      <c r="D4761" s="362">
        <f t="shared" ca="1" si="151"/>
        <v>389816564.81668603</v>
      </c>
    </row>
    <row r="4762" spans="1:4">
      <c r="A4762" s="348">
        <f t="shared" si="150"/>
        <v>4761</v>
      </c>
      <c r="B4762" s="360">
        <f>DATE('Profit Calculation'!J$6,A$2,A$2+A4762-1)</f>
        <v>46765</v>
      </c>
      <c r="D4762" s="362">
        <f t="shared" ca="1" si="151"/>
        <v>389965857.83680725</v>
      </c>
    </row>
    <row r="4763" spans="1:4">
      <c r="A4763" s="348">
        <f t="shared" si="150"/>
        <v>4762</v>
      </c>
      <c r="B4763" s="360">
        <f>DATE('Profit Calculation'!J$6,A$2,A$2+A4763-1)</f>
        <v>46766</v>
      </c>
      <c r="D4763" s="362">
        <f t="shared" ca="1" si="151"/>
        <v>390115208.03357989</v>
      </c>
    </row>
    <row r="4764" spans="1:4">
      <c r="A4764" s="348">
        <f t="shared" si="150"/>
        <v>4763</v>
      </c>
      <c r="B4764" s="360">
        <f>DATE('Profit Calculation'!J$6,A$2,A$2+A4764-1)</f>
        <v>46767</v>
      </c>
      <c r="D4764" s="362">
        <f t="shared" ca="1" si="151"/>
        <v>390264615.42890167</v>
      </c>
    </row>
    <row r="4765" spans="1:4">
      <c r="A4765" s="348">
        <f t="shared" si="150"/>
        <v>4764</v>
      </c>
      <c r="B4765" s="360">
        <f>DATE('Profit Calculation'!J$6,A$2,A$2+A4765-1)</f>
        <v>46768</v>
      </c>
      <c r="D4765" s="362">
        <f t="shared" ca="1" si="151"/>
        <v>390414080.04467863</v>
      </c>
    </row>
    <row r="4766" spans="1:4">
      <c r="A4766" s="348">
        <f t="shared" si="150"/>
        <v>4765</v>
      </c>
      <c r="B4766" s="360">
        <f>DATE('Profit Calculation'!J$6,A$2,A$2+A4766-1)</f>
        <v>46769</v>
      </c>
      <c r="D4766" s="362">
        <f t="shared" ca="1" si="151"/>
        <v>390563601.90282518</v>
      </c>
    </row>
    <row r="4767" spans="1:4">
      <c r="A4767" s="348">
        <f t="shared" si="150"/>
        <v>4766</v>
      </c>
      <c r="B4767" s="360">
        <f>DATE('Profit Calculation'!J$6,A$2,A$2+A4767-1)</f>
        <v>46770</v>
      </c>
      <c r="D4767" s="362">
        <f t="shared" ca="1" si="151"/>
        <v>390713181.0252642</v>
      </c>
    </row>
    <row r="4768" spans="1:4">
      <c r="A4768" s="348">
        <f t="shared" si="150"/>
        <v>4767</v>
      </c>
      <c r="B4768" s="360">
        <f>DATE('Profit Calculation'!J$6,A$2,A$2+A4768-1)</f>
        <v>46771</v>
      </c>
      <c r="D4768" s="362">
        <f t="shared" ca="1" si="151"/>
        <v>390862817.43392694</v>
      </c>
    </row>
    <row r="4769" spans="1:4">
      <c r="A4769" s="348">
        <f t="shared" si="150"/>
        <v>4768</v>
      </c>
      <c r="B4769" s="360">
        <f>DATE('Profit Calculation'!J$6,A$2,A$2+A4769-1)</f>
        <v>46772</v>
      </c>
      <c r="D4769" s="362">
        <f t="shared" ca="1" si="151"/>
        <v>391012511.15075302</v>
      </c>
    </row>
    <row r="4770" spans="1:4">
      <c r="A4770" s="348">
        <f t="shared" si="150"/>
        <v>4769</v>
      </c>
      <c r="B4770" s="360">
        <f>DATE('Profit Calculation'!J$6,A$2,A$2+A4770-1)</f>
        <v>46773</v>
      </c>
      <c r="D4770" s="362">
        <f t="shared" ca="1" si="151"/>
        <v>391162262.19769049</v>
      </c>
    </row>
    <row r="4771" spans="1:4">
      <c r="A4771" s="348">
        <f t="shared" si="150"/>
        <v>4770</v>
      </c>
      <c r="B4771" s="360">
        <f>DATE('Profit Calculation'!J$6,A$2,A$2+A4771-1)</f>
        <v>46774</v>
      </c>
      <c r="D4771" s="362">
        <f t="shared" ca="1" si="151"/>
        <v>391312070.59669578</v>
      </c>
    </row>
    <row r="4772" spans="1:4">
      <c r="A4772" s="348">
        <f t="shared" si="150"/>
        <v>4771</v>
      </c>
      <c r="B4772" s="360">
        <f>DATE('Profit Calculation'!J$6,A$2,A$2+A4772-1)</f>
        <v>46775</v>
      </c>
      <c r="D4772" s="362">
        <f t="shared" ca="1" si="151"/>
        <v>391461936.36973375</v>
      </c>
    </row>
    <row r="4773" spans="1:4">
      <c r="A4773" s="348">
        <f t="shared" si="150"/>
        <v>4772</v>
      </c>
      <c r="B4773" s="360">
        <f>DATE('Profit Calculation'!J$6,A$2,A$2+A4773-1)</f>
        <v>46776</v>
      </c>
      <c r="D4773" s="362">
        <f t="shared" ca="1" si="151"/>
        <v>391611859.53877765</v>
      </c>
    </row>
    <row r="4774" spans="1:4">
      <c r="A4774" s="348">
        <f t="shared" si="150"/>
        <v>4773</v>
      </c>
      <c r="B4774" s="360">
        <f>DATE('Profit Calculation'!J$6,A$2,A$2+A4774-1)</f>
        <v>46777</v>
      </c>
      <c r="D4774" s="362">
        <f t="shared" ca="1" si="151"/>
        <v>391761840.12580919</v>
      </c>
    </row>
    <row r="4775" spans="1:4">
      <c r="A4775" s="348">
        <f t="shared" si="150"/>
        <v>4774</v>
      </c>
      <c r="B4775" s="360">
        <f>DATE('Profit Calculation'!J$6,A$2,A$2+A4775-1)</f>
        <v>46778</v>
      </c>
      <c r="D4775" s="362">
        <f t="shared" ca="1" si="151"/>
        <v>391911878.15281844</v>
      </c>
    </row>
    <row r="4776" spans="1:4">
      <c r="A4776" s="348">
        <f t="shared" si="150"/>
        <v>4775</v>
      </c>
      <c r="B4776" s="360">
        <f>DATE('Profit Calculation'!J$6,A$2,A$2+A4776-1)</f>
        <v>46779</v>
      </c>
      <c r="D4776" s="362">
        <f t="shared" ca="1" si="151"/>
        <v>392061973.64180392</v>
      </c>
    </row>
    <row r="4777" spans="1:4">
      <c r="A4777" s="348">
        <f t="shared" si="150"/>
        <v>4776</v>
      </c>
      <c r="B4777" s="360">
        <f>DATE('Profit Calculation'!J$6,A$2,A$2+A4777-1)</f>
        <v>46780</v>
      </c>
      <c r="D4777" s="362">
        <f t="shared" ca="1" si="151"/>
        <v>392212126.61477262</v>
      </c>
    </row>
    <row r="4778" spans="1:4">
      <c r="A4778" s="348">
        <f t="shared" si="150"/>
        <v>4777</v>
      </c>
      <c r="B4778" s="360">
        <f>DATE('Profit Calculation'!J$6,A$2,A$2+A4778-1)</f>
        <v>46781</v>
      </c>
      <c r="D4778" s="362">
        <f t="shared" ca="1" si="151"/>
        <v>392362337.09373987</v>
      </c>
    </row>
    <row r="4779" spans="1:4">
      <c r="A4779" s="348">
        <f t="shared" si="150"/>
        <v>4778</v>
      </c>
      <c r="B4779" s="360">
        <f>DATE('Profit Calculation'!J$6,A$2,A$2+A4779-1)</f>
        <v>46782</v>
      </c>
      <c r="D4779" s="362">
        <f t="shared" ca="1" si="151"/>
        <v>392512605.10072947</v>
      </c>
    </row>
    <row r="4780" spans="1:4">
      <c r="A4780" s="348">
        <f t="shared" si="150"/>
        <v>4779</v>
      </c>
      <c r="B4780" s="360">
        <f>DATE('Profit Calculation'!J$6,A$2,A$2+A4780-1)</f>
        <v>46783</v>
      </c>
      <c r="D4780" s="362">
        <f t="shared" ca="1" si="151"/>
        <v>392662930.65777367</v>
      </c>
    </row>
    <row r="4781" spans="1:4">
      <c r="A4781" s="348">
        <f t="shared" si="150"/>
        <v>4780</v>
      </c>
      <c r="B4781" s="360">
        <f>DATE('Profit Calculation'!J$6,A$2,A$2+A4781-1)</f>
        <v>46784</v>
      </c>
      <c r="D4781" s="362">
        <f t="shared" ca="1" si="151"/>
        <v>392813313.78691316</v>
      </c>
    </row>
    <row r="4782" spans="1:4">
      <c r="A4782" s="348">
        <f t="shared" si="150"/>
        <v>4781</v>
      </c>
      <c r="B4782" s="360">
        <f>DATE('Profit Calculation'!J$6,A$2,A$2+A4782-1)</f>
        <v>46785</v>
      </c>
      <c r="D4782" s="362">
        <f t="shared" ca="1" si="151"/>
        <v>392963754.51019704</v>
      </c>
    </row>
    <row r="4783" spans="1:4">
      <c r="A4783" s="348">
        <f t="shared" si="150"/>
        <v>4782</v>
      </c>
      <c r="B4783" s="360">
        <f>DATE('Profit Calculation'!J$6,A$2,A$2+A4783-1)</f>
        <v>46786</v>
      </c>
      <c r="D4783" s="362">
        <f t="shared" ca="1" si="151"/>
        <v>393114252.84968287</v>
      </c>
    </row>
    <row r="4784" spans="1:4">
      <c r="A4784" s="348">
        <f t="shared" si="150"/>
        <v>4783</v>
      </c>
      <c r="B4784" s="360">
        <f>DATE('Profit Calculation'!J$6,A$2,A$2+A4784-1)</f>
        <v>46787</v>
      </c>
      <c r="D4784" s="362">
        <f t="shared" ca="1" si="151"/>
        <v>393264808.82743669</v>
      </c>
    </row>
    <row r="4785" spans="1:4">
      <c r="A4785" s="348">
        <f t="shared" si="150"/>
        <v>4784</v>
      </c>
      <c r="B4785" s="360">
        <f>DATE('Profit Calculation'!J$6,A$2,A$2+A4785-1)</f>
        <v>46788</v>
      </c>
      <c r="D4785" s="362">
        <f t="shared" ca="1" si="151"/>
        <v>393415422.46553296</v>
      </c>
    </row>
    <row r="4786" spans="1:4">
      <c r="A4786" s="348">
        <f t="shared" si="150"/>
        <v>4785</v>
      </c>
      <c r="B4786" s="360">
        <f>DATE('Profit Calculation'!J$6,A$2,A$2+A4786-1)</f>
        <v>46789</v>
      </c>
      <c r="D4786" s="362">
        <f t="shared" ca="1" si="151"/>
        <v>393566093.78605461</v>
      </c>
    </row>
    <row r="4787" spans="1:4">
      <c r="A4787" s="348">
        <f t="shared" si="150"/>
        <v>4786</v>
      </c>
      <c r="B4787" s="360">
        <f>DATE('Profit Calculation'!J$6,A$2,A$2+A4787-1)</f>
        <v>46790</v>
      </c>
      <c r="D4787" s="362">
        <f t="shared" ca="1" si="151"/>
        <v>393716822.81109297</v>
      </c>
    </row>
    <row r="4788" spans="1:4">
      <c r="A4788" s="348">
        <f t="shared" si="150"/>
        <v>4787</v>
      </c>
      <c r="B4788" s="360">
        <f>DATE('Profit Calculation'!J$6,A$2,A$2+A4788-1)</f>
        <v>46791</v>
      </c>
      <c r="D4788" s="362">
        <f t="shared" ca="1" si="151"/>
        <v>393867609.5627479</v>
      </c>
    </row>
    <row r="4789" spans="1:4">
      <c r="A4789" s="348">
        <f t="shared" si="150"/>
        <v>4788</v>
      </c>
      <c r="B4789" s="360">
        <f>DATE('Profit Calculation'!J$6,A$2,A$2+A4789-1)</f>
        <v>46792</v>
      </c>
      <c r="D4789" s="362">
        <f t="shared" ca="1" si="151"/>
        <v>394018454.0631277</v>
      </c>
    </row>
    <row r="4790" spans="1:4">
      <c r="A4790" s="348">
        <f t="shared" si="150"/>
        <v>4789</v>
      </c>
      <c r="B4790" s="360">
        <f>DATE('Profit Calculation'!J$6,A$2,A$2+A4790-1)</f>
        <v>46793</v>
      </c>
      <c r="D4790" s="362">
        <f t="shared" ca="1" si="151"/>
        <v>394169356.3343491</v>
      </c>
    </row>
    <row r="4791" spans="1:4">
      <c r="A4791" s="348">
        <f t="shared" si="150"/>
        <v>4790</v>
      </c>
      <c r="B4791" s="360">
        <f>DATE('Profit Calculation'!J$6,A$2,A$2+A4791-1)</f>
        <v>46794</v>
      </c>
      <c r="D4791" s="362">
        <f t="shared" ca="1" si="151"/>
        <v>394320316.3985374</v>
      </c>
    </row>
    <row r="4792" spans="1:4">
      <c r="A4792" s="348">
        <f t="shared" si="150"/>
        <v>4791</v>
      </c>
      <c r="B4792" s="360">
        <f>DATE('Profit Calculation'!J$6,A$2,A$2+A4792-1)</f>
        <v>46795</v>
      </c>
      <c r="D4792" s="362">
        <f t="shared" ca="1" si="151"/>
        <v>394471334.27782625</v>
      </c>
    </row>
    <row r="4793" spans="1:4">
      <c r="A4793" s="348">
        <f t="shared" si="150"/>
        <v>4792</v>
      </c>
      <c r="B4793" s="360">
        <f>DATE('Profit Calculation'!J$6,A$2,A$2+A4793-1)</f>
        <v>46796</v>
      </c>
      <c r="D4793" s="362">
        <f t="shared" ca="1" si="151"/>
        <v>394622409.99435788</v>
      </c>
    </row>
    <row r="4794" spans="1:4">
      <c r="A4794" s="348">
        <f t="shared" si="150"/>
        <v>4793</v>
      </c>
      <c r="B4794" s="360">
        <f>DATE('Profit Calculation'!J$6,A$2,A$2+A4794-1)</f>
        <v>46797</v>
      </c>
      <c r="D4794" s="362">
        <f t="shared" ca="1" si="151"/>
        <v>394773543.57028294</v>
      </c>
    </row>
    <row r="4795" spans="1:4">
      <c r="A4795" s="348">
        <f t="shared" si="150"/>
        <v>4794</v>
      </c>
      <c r="B4795" s="360">
        <f>DATE('Profit Calculation'!J$6,A$2,A$2+A4795-1)</f>
        <v>46798</v>
      </c>
      <c r="D4795" s="362">
        <f t="shared" ca="1" si="151"/>
        <v>394924735.02776057</v>
      </c>
    </row>
    <row r="4796" spans="1:4">
      <c r="A4796" s="348">
        <f t="shared" si="150"/>
        <v>4795</v>
      </c>
      <c r="B4796" s="360">
        <f>DATE('Profit Calculation'!J$6,A$2,A$2+A4796-1)</f>
        <v>46799</v>
      </c>
      <c r="D4796" s="362">
        <f t="shared" ca="1" si="151"/>
        <v>395075984.38895839</v>
      </c>
    </row>
    <row r="4797" spans="1:4">
      <c r="A4797" s="348">
        <f t="shared" si="150"/>
        <v>4796</v>
      </c>
      <c r="B4797" s="360">
        <f>DATE('Profit Calculation'!J$6,A$2,A$2+A4797-1)</f>
        <v>46800</v>
      </c>
      <c r="D4797" s="362">
        <f t="shared" ca="1" si="151"/>
        <v>395227291.67605257</v>
      </c>
    </row>
    <row r="4798" spans="1:4">
      <c r="A4798" s="348">
        <f t="shared" si="150"/>
        <v>4797</v>
      </c>
      <c r="B4798" s="360">
        <f>DATE('Profit Calculation'!J$6,A$2,A$2+A4798-1)</f>
        <v>46801</v>
      </c>
      <c r="D4798" s="362">
        <f t="shared" ca="1" si="151"/>
        <v>395378656.9112277</v>
      </c>
    </row>
    <row r="4799" spans="1:4">
      <c r="A4799" s="348">
        <f t="shared" si="150"/>
        <v>4798</v>
      </c>
      <c r="B4799" s="360">
        <f>DATE('Profit Calculation'!J$6,A$2,A$2+A4799-1)</f>
        <v>46802</v>
      </c>
      <c r="D4799" s="362">
        <f t="shared" ca="1" si="151"/>
        <v>395530080.11667693</v>
      </c>
    </row>
    <row r="4800" spans="1:4">
      <c r="A4800" s="348">
        <f t="shared" si="150"/>
        <v>4799</v>
      </c>
      <c r="B4800" s="360">
        <f>DATE('Profit Calculation'!J$6,A$2,A$2+A4800-1)</f>
        <v>46803</v>
      </c>
      <c r="D4800" s="362">
        <f t="shared" ca="1" si="151"/>
        <v>395681561.31460184</v>
      </c>
    </row>
    <row r="4801" spans="1:4">
      <c r="A4801" s="348">
        <f t="shared" si="150"/>
        <v>4800</v>
      </c>
      <c r="B4801" s="360">
        <f>DATE('Profit Calculation'!J$6,A$2,A$2+A4801-1)</f>
        <v>46804</v>
      </c>
      <c r="D4801" s="362">
        <f t="shared" ca="1" si="151"/>
        <v>395833100.5272125</v>
      </c>
    </row>
    <row r="4802" spans="1:4">
      <c r="A4802" s="348">
        <f t="shared" si="150"/>
        <v>4801</v>
      </c>
      <c r="B4802" s="360">
        <f>DATE('Profit Calculation'!J$6,A$2,A$2+A4802-1)</f>
        <v>46805</v>
      </c>
      <c r="D4802" s="362">
        <f t="shared" ca="1" si="151"/>
        <v>395984697.77672762</v>
      </c>
    </row>
    <row r="4803" spans="1:4">
      <c r="A4803" s="348">
        <f t="shared" si="150"/>
        <v>4802</v>
      </c>
      <c r="B4803" s="360">
        <f>DATE('Profit Calculation'!J$6,A$2,A$2+A4803-1)</f>
        <v>46806</v>
      </c>
      <c r="D4803" s="362">
        <f t="shared" ca="1" si="151"/>
        <v>396136353.0853743</v>
      </c>
    </row>
    <row r="4804" spans="1:4">
      <c r="A4804" s="348">
        <f t="shared" si="150"/>
        <v>4803</v>
      </c>
      <c r="B4804" s="360">
        <f>DATE('Profit Calculation'!J$6,A$2,A$2+A4804-1)</f>
        <v>46807</v>
      </c>
      <c r="D4804" s="362">
        <f t="shared" ca="1" si="151"/>
        <v>396288066.47538817</v>
      </c>
    </row>
    <row r="4805" spans="1:4">
      <c r="A4805" s="348">
        <f t="shared" ref="A4805:A4868" si="152">A4804+1</f>
        <v>4804</v>
      </c>
      <c r="B4805" s="360">
        <f>DATE('Profit Calculation'!J$6,A$2,A$2+A4805-1)</f>
        <v>46808</v>
      </c>
      <c r="D4805" s="362">
        <f t="shared" ref="D4805:D4868" ca="1" si="153">IF(OR(LOOKUP(B4805,W$1:W$35,W$1:W$35) = B4805, LOOKUP(B4805,X$1:X$35,X$1:X$35) = B4805),LOOKUP(B4805,F:F,G:G),D4804*(1+((IF($Q$18&lt;6,$R$14,IF($Q$18&lt;11,$R$15,$R$16)))))^(1/365))</f>
        <v>396439837.96901345</v>
      </c>
    </row>
    <row r="4806" spans="1:4">
      <c r="A4806" s="348">
        <f t="shared" si="152"/>
        <v>4805</v>
      </c>
      <c r="B4806" s="360">
        <f>DATE('Profit Calculation'!J$6,A$2,A$2+A4806-1)</f>
        <v>46809</v>
      </c>
      <c r="D4806" s="362">
        <f t="shared" ca="1" si="153"/>
        <v>396591667.58850276</v>
      </c>
    </row>
    <row r="4807" spans="1:4">
      <c r="A4807" s="348">
        <f t="shared" si="152"/>
        <v>4806</v>
      </c>
      <c r="B4807" s="360">
        <f>DATE('Profit Calculation'!J$6,A$2,A$2+A4807-1)</f>
        <v>46810</v>
      </c>
      <c r="D4807" s="362">
        <f t="shared" ca="1" si="153"/>
        <v>396743555.35611731</v>
      </c>
    </row>
    <row r="4808" spans="1:4">
      <c r="A4808" s="348">
        <f t="shared" si="152"/>
        <v>4807</v>
      </c>
      <c r="B4808" s="360">
        <f>DATE('Profit Calculation'!J$6,A$2,A$2+A4808-1)</f>
        <v>46811</v>
      </c>
      <c r="D4808" s="362">
        <f t="shared" ca="1" si="153"/>
        <v>396895501.29412687</v>
      </c>
    </row>
    <row r="4809" spans="1:4">
      <c r="A4809" s="348">
        <f t="shared" si="152"/>
        <v>4808</v>
      </c>
      <c r="B4809" s="360">
        <f>DATE('Profit Calculation'!J$6,A$2,A$2+A4809-1)</f>
        <v>46812</v>
      </c>
      <c r="D4809" s="362">
        <f t="shared" ca="1" si="153"/>
        <v>397047505.42480969</v>
      </c>
    </row>
    <row r="4810" spans="1:4">
      <c r="A4810" s="348">
        <f t="shared" si="152"/>
        <v>4809</v>
      </c>
      <c r="B4810" s="360">
        <f>DATE('Profit Calculation'!J$6,A$2,A$2+A4810-1)</f>
        <v>46813</v>
      </c>
      <c r="D4810" s="362">
        <f t="shared" ca="1" si="153"/>
        <v>397199567.7704525</v>
      </c>
    </row>
    <row r="4811" spans="1:4">
      <c r="A4811" s="348">
        <f t="shared" si="152"/>
        <v>4810</v>
      </c>
      <c r="B4811" s="360">
        <f>DATE('Profit Calculation'!J$6,A$2,A$2+A4811-1)</f>
        <v>46814</v>
      </c>
      <c r="D4811" s="362">
        <f t="shared" ca="1" si="153"/>
        <v>397351688.3533507</v>
      </c>
    </row>
    <row r="4812" spans="1:4">
      <c r="A4812" s="348">
        <f t="shared" si="152"/>
        <v>4811</v>
      </c>
      <c r="B4812" s="360">
        <f>DATE('Profit Calculation'!J$6,A$2,A$2+A4812-1)</f>
        <v>46815</v>
      </c>
      <c r="D4812" s="362">
        <f t="shared" ca="1" si="153"/>
        <v>397503867.19580811</v>
      </c>
    </row>
    <row r="4813" spans="1:4">
      <c r="A4813" s="348">
        <f t="shared" si="152"/>
        <v>4812</v>
      </c>
      <c r="B4813" s="360">
        <f>DATE('Profit Calculation'!J$6,A$2,A$2+A4813-1)</f>
        <v>46816</v>
      </c>
      <c r="D4813" s="362">
        <f t="shared" ca="1" si="153"/>
        <v>397656104.32013714</v>
      </c>
    </row>
    <row r="4814" spans="1:4">
      <c r="A4814" s="348">
        <f t="shared" si="152"/>
        <v>4813</v>
      </c>
      <c r="B4814" s="360">
        <f>DATE('Profit Calculation'!J$6,A$2,A$2+A4814-1)</f>
        <v>46817</v>
      </c>
      <c r="D4814" s="362">
        <f t="shared" ca="1" si="153"/>
        <v>397808399.74865878</v>
      </c>
    </row>
    <row r="4815" spans="1:4">
      <c r="A4815" s="348">
        <f t="shared" si="152"/>
        <v>4814</v>
      </c>
      <c r="B4815" s="360">
        <f>DATE('Profit Calculation'!J$6,A$2,A$2+A4815-1)</f>
        <v>46818</v>
      </c>
      <c r="D4815" s="362">
        <f t="shared" ca="1" si="153"/>
        <v>397960753.50370246</v>
      </c>
    </row>
    <row r="4816" spans="1:4">
      <c r="A4816" s="348">
        <f t="shared" si="152"/>
        <v>4815</v>
      </c>
      <c r="B4816" s="360">
        <f>DATE('Profit Calculation'!J$6,A$2,A$2+A4816-1)</f>
        <v>46819</v>
      </c>
      <c r="D4816" s="362">
        <f t="shared" ca="1" si="153"/>
        <v>398113165.60760629</v>
      </c>
    </row>
    <row r="4817" spans="1:4">
      <c r="A4817" s="348">
        <f t="shared" si="152"/>
        <v>4816</v>
      </c>
      <c r="B4817" s="360">
        <f>DATE('Profit Calculation'!J$6,A$2,A$2+A4817-1)</f>
        <v>46820</v>
      </c>
      <c r="D4817" s="362">
        <f t="shared" ca="1" si="153"/>
        <v>398265636.08271688</v>
      </c>
    </row>
    <row r="4818" spans="1:4">
      <c r="A4818" s="348">
        <f t="shared" si="152"/>
        <v>4817</v>
      </c>
      <c r="B4818" s="360">
        <f>DATE('Profit Calculation'!J$6,A$2,A$2+A4818-1)</f>
        <v>46821</v>
      </c>
      <c r="D4818" s="362">
        <f t="shared" ca="1" si="153"/>
        <v>398418164.95138937</v>
      </c>
    </row>
    <row r="4819" spans="1:4">
      <c r="A4819" s="348">
        <f t="shared" si="152"/>
        <v>4818</v>
      </c>
      <c r="B4819" s="360">
        <f>DATE('Profit Calculation'!J$6,A$2,A$2+A4819-1)</f>
        <v>46822</v>
      </c>
      <c r="D4819" s="362">
        <f t="shared" ca="1" si="153"/>
        <v>398570752.23598748</v>
      </c>
    </row>
    <row r="4820" spans="1:4">
      <c r="A4820" s="348">
        <f t="shared" si="152"/>
        <v>4819</v>
      </c>
      <c r="B4820" s="360">
        <f>DATE('Profit Calculation'!J$6,A$2,A$2+A4820-1)</f>
        <v>46823</v>
      </c>
      <c r="D4820" s="362">
        <f t="shared" ca="1" si="153"/>
        <v>398723397.95888352</v>
      </c>
    </row>
    <row r="4821" spans="1:4">
      <c r="A4821" s="348">
        <f t="shared" si="152"/>
        <v>4820</v>
      </c>
      <c r="B4821" s="360">
        <f>DATE('Profit Calculation'!J$6,A$2,A$2+A4821-1)</f>
        <v>46824</v>
      </c>
      <c r="D4821" s="362">
        <f t="shared" ca="1" si="153"/>
        <v>398876102.14245832</v>
      </c>
    </row>
    <row r="4822" spans="1:4">
      <c r="A4822" s="348">
        <f t="shared" si="152"/>
        <v>4821</v>
      </c>
      <c r="B4822" s="360">
        <f>DATE('Profit Calculation'!J$6,A$2,A$2+A4822-1)</f>
        <v>46825</v>
      </c>
      <c r="D4822" s="362">
        <f t="shared" ca="1" si="153"/>
        <v>399028864.80910134</v>
      </c>
    </row>
    <row r="4823" spans="1:4">
      <c r="A4823" s="348">
        <f t="shared" si="152"/>
        <v>4822</v>
      </c>
      <c r="B4823" s="360">
        <f>DATE('Profit Calculation'!J$6,A$2,A$2+A4823-1)</f>
        <v>46826</v>
      </c>
      <c r="D4823" s="362">
        <f t="shared" ca="1" si="153"/>
        <v>399181685.98121059</v>
      </c>
    </row>
    <row r="4824" spans="1:4">
      <c r="A4824" s="348">
        <f t="shared" si="152"/>
        <v>4823</v>
      </c>
      <c r="B4824" s="360">
        <f>DATE('Profit Calculation'!J$6,A$2,A$2+A4824-1)</f>
        <v>46827</v>
      </c>
      <c r="D4824" s="362">
        <f t="shared" ca="1" si="153"/>
        <v>399334565.68119264</v>
      </c>
    </row>
    <row r="4825" spans="1:4">
      <c r="A4825" s="348">
        <f t="shared" si="152"/>
        <v>4824</v>
      </c>
      <c r="B4825" s="360">
        <f>DATE('Profit Calculation'!J$6,A$2,A$2+A4825-1)</f>
        <v>46828</v>
      </c>
      <c r="D4825" s="362">
        <f t="shared" ca="1" si="153"/>
        <v>399487503.93146265</v>
      </c>
    </row>
    <row r="4826" spans="1:4">
      <c r="A4826" s="348">
        <f t="shared" si="152"/>
        <v>4825</v>
      </c>
      <c r="B4826" s="360">
        <f>DATE('Profit Calculation'!J$6,A$2,A$2+A4826-1)</f>
        <v>46829</v>
      </c>
      <c r="D4826" s="362">
        <f t="shared" ca="1" si="153"/>
        <v>399640500.75444436</v>
      </c>
    </row>
    <row r="4827" spans="1:4">
      <c r="A4827" s="348">
        <f t="shared" si="152"/>
        <v>4826</v>
      </c>
      <c r="B4827" s="360">
        <f>DATE('Profit Calculation'!J$6,A$2,A$2+A4827-1)</f>
        <v>46830</v>
      </c>
      <c r="D4827" s="362">
        <f t="shared" ca="1" si="153"/>
        <v>399793556.17257017</v>
      </c>
    </row>
    <row r="4828" spans="1:4">
      <c r="A4828" s="348">
        <f t="shared" si="152"/>
        <v>4827</v>
      </c>
      <c r="B4828" s="360">
        <f>DATE('Profit Calculation'!J$6,A$2,A$2+A4828-1)</f>
        <v>46831</v>
      </c>
      <c r="D4828" s="362">
        <f t="shared" ca="1" si="153"/>
        <v>399946670.20828092</v>
      </c>
    </row>
    <row r="4829" spans="1:4">
      <c r="A4829" s="348">
        <f t="shared" si="152"/>
        <v>4828</v>
      </c>
      <c r="B4829" s="360">
        <f>DATE('Profit Calculation'!J$6,A$2,A$2+A4829-1)</f>
        <v>46832</v>
      </c>
      <c r="D4829" s="362">
        <f t="shared" ca="1" si="153"/>
        <v>400099842.88402623</v>
      </c>
    </row>
    <row r="4830" spans="1:4">
      <c r="A4830" s="348">
        <f t="shared" si="152"/>
        <v>4829</v>
      </c>
      <c r="B4830" s="360">
        <f>DATE('Profit Calculation'!J$6,A$2,A$2+A4830-1)</f>
        <v>46833</v>
      </c>
      <c r="D4830" s="362">
        <f t="shared" ca="1" si="153"/>
        <v>400253074.22226417</v>
      </c>
    </row>
    <row r="4831" spans="1:4">
      <c r="A4831" s="348">
        <f t="shared" si="152"/>
        <v>4830</v>
      </c>
      <c r="B4831" s="360">
        <f>DATE('Profit Calculation'!J$6,A$2,A$2+A4831-1)</f>
        <v>46834</v>
      </c>
      <c r="D4831" s="362">
        <f t="shared" ca="1" si="153"/>
        <v>400406364.24546146</v>
      </c>
    </row>
    <row r="4832" spans="1:4">
      <c r="A4832" s="348">
        <f t="shared" si="152"/>
        <v>4831</v>
      </c>
      <c r="B4832" s="360">
        <f>DATE('Profit Calculation'!J$6,A$2,A$2+A4832-1)</f>
        <v>46835</v>
      </c>
      <c r="D4832" s="362">
        <f t="shared" ca="1" si="153"/>
        <v>400559712.97609341</v>
      </c>
    </row>
    <row r="4833" spans="1:4">
      <c r="A4833" s="348">
        <f t="shared" si="152"/>
        <v>4832</v>
      </c>
      <c r="B4833" s="360">
        <f>DATE('Profit Calculation'!J$6,A$2,A$2+A4833-1)</f>
        <v>46836</v>
      </c>
      <c r="D4833" s="362">
        <f t="shared" ca="1" si="153"/>
        <v>400713120.43664402</v>
      </c>
    </row>
    <row r="4834" spans="1:4">
      <c r="A4834" s="348">
        <f t="shared" si="152"/>
        <v>4833</v>
      </c>
      <c r="B4834" s="360">
        <f>DATE('Profit Calculation'!J$6,A$2,A$2+A4834-1)</f>
        <v>46837</v>
      </c>
      <c r="D4834" s="362">
        <f t="shared" ca="1" si="153"/>
        <v>400866586.64960575</v>
      </c>
    </row>
    <row r="4835" spans="1:4">
      <c r="A4835" s="348">
        <f t="shared" si="152"/>
        <v>4834</v>
      </c>
      <c r="B4835" s="360">
        <f>DATE('Profit Calculation'!J$6,A$2,A$2+A4835-1)</f>
        <v>46838</v>
      </c>
      <c r="D4835" s="362">
        <f t="shared" ca="1" si="153"/>
        <v>401020111.63747984</v>
      </c>
    </row>
    <row r="4836" spans="1:4">
      <c r="A4836" s="348">
        <f t="shared" si="152"/>
        <v>4835</v>
      </c>
      <c r="B4836" s="360">
        <f>DATE('Profit Calculation'!J$6,A$2,A$2+A4836-1)</f>
        <v>46839</v>
      </c>
      <c r="D4836" s="362">
        <f t="shared" ca="1" si="153"/>
        <v>401173695.42277598</v>
      </c>
    </row>
    <row r="4837" spans="1:4">
      <c r="A4837" s="348">
        <f t="shared" si="152"/>
        <v>4836</v>
      </c>
      <c r="B4837" s="360">
        <f>DATE('Profit Calculation'!J$6,A$2,A$2+A4837-1)</f>
        <v>46840</v>
      </c>
      <c r="D4837" s="362">
        <f t="shared" ca="1" si="153"/>
        <v>401327338.02801263</v>
      </c>
    </row>
    <row r="4838" spans="1:4">
      <c r="A4838" s="348">
        <f t="shared" si="152"/>
        <v>4837</v>
      </c>
      <c r="B4838" s="360">
        <f>DATE('Profit Calculation'!J$6,A$2,A$2+A4838-1)</f>
        <v>46841</v>
      </c>
      <c r="D4838" s="362">
        <f t="shared" ca="1" si="153"/>
        <v>401481039.47571683</v>
      </c>
    </row>
    <row r="4839" spans="1:4">
      <c r="A4839" s="348">
        <f t="shared" si="152"/>
        <v>4838</v>
      </c>
      <c r="B4839" s="360">
        <f>DATE('Profit Calculation'!J$6,A$2,A$2+A4839-1)</f>
        <v>46842</v>
      </c>
      <c r="D4839" s="362">
        <f t="shared" ca="1" si="153"/>
        <v>401634799.78842419</v>
      </c>
    </row>
    <row r="4840" spans="1:4">
      <c r="A4840" s="348">
        <f t="shared" si="152"/>
        <v>4839</v>
      </c>
      <c r="B4840" s="360">
        <f>DATE('Profit Calculation'!J$6,A$2,A$2+A4840-1)</f>
        <v>46843</v>
      </c>
      <c r="D4840" s="362">
        <f t="shared" ca="1" si="153"/>
        <v>401788618.98867899</v>
      </c>
    </row>
    <row r="4841" spans="1:4">
      <c r="A4841" s="348">
        <f t="shared" si="152"/>
        <v>4840</v>
      </c>
      <c r="B4841" s="360">
        <f>DATE('Profit Calculation'!J$6,A$2,A$2+A4841-1)</f>
        <v>46844</v>
      </c>
      <c r="D4841" s="362">
        <f t="shared" ca="1" si="153"/>
        <v>391209793</v>
      </c>
    </row>
    <row r="4842" spans="1:4">
      <c r="A4842" s="348">
        <f t="shared" si="152"/>
        <v>4841</v>
      </c>
      <c r="B4842" s="360">
        <f>DATE('Profit Calculation'!J$6,A$2,A$2+A4842-1)</f>
        <v>46845</v>
      </c>
      <c r="D4842" s="362">
        <f t="shared" ca="1" si="153"/>
        <v>391359619.60248268</v>
      </c>
    </row>
    <row r="4843" spans="1:4">
      <c r="A4843" s="348">
        <f t="shared" si="152"/>
        <v>4842</v>
      </c>
      <c r="B4843" s="360">
        <f>DATE('Profit Calculation'!J$6,A$2,A$2+A4843-1)</f>
        <v>46846</v>
      </c>
      <c r="D4843" s="362">
        <f t="shared" ca="1" si="153"/>
        <v>391509503.58596963</v>
      </c>
    </row>
    <row r="4844" spans="1:4">
      <c r="A4844" s="348">
        <f t="shared" si="152"/>
        <v>4843</v>
      </c>
      <c r="B4844" s="360">
        <f>DATE('Profit Calculation'!J$6,A$2,A$2+A4844-1)</f>
        <v>46847</v>
      </c>
      <c r="D4844" s="362">
        <f t="shared" ca="1" si="153"/>
        <v>391659444.97243685</v>
      </c>
    </row>
    <row r="4845" spans="1:4">
      <c r="A4845" s="348">
        <f t="shared" si="152"/>
        <v>4844</v>
      </c>
      <c r="B4845" s="360">
        <f>DATE('Profit Calculation'!J$6,A$2,A$2+A4845-1)</f>
        <v>46848</v>
      </c>
      <c r="D4845" s="362">
        <f t="shared" ca="1" si="153"/>
        <v>391809443.78386861</v>
      </c>
    </row>
    <row r="4846" spans="1:4">
      <c r="A4846" s="348">
        <f t="shared" si="152"/>
        <v>4845</v>
      </c>
      <c r="B4846" s="360">
        <f>DATE('Profit Calculation'!J$6,A$2,A$2+A4846-1)</f>
        <v>46849</v>
      </c>
      <c r="D4846" s="362">
        <f t="shared" ca="1" si="153"/>
        <v>391959500.04225773</v>
      </c>
    </row>
    <row r="4847" spans="1:4">
      <c r="A4847" s="348">
        <f t="shared" si="152"/>
        <v>4846</v>
      </c>
      <c r="B4847" s="360">
        <f>DATE('Profit Calculation'!J$6,A$2,A$2+A4847-1)</f>
        <v>46850</v>
      </c>
      <c r="D4847" s="362">
        <f t="shared" ca="1" si="153"/>
        <v>392109613.7696054</v>
      </c>
    </row>
    <row r="4848" spans="1:4">
      <c r="A4848" s="348">
        <f t="shared" si="152"/>
        <v>4847</v>
      </c>
      <c r="B4848" s="360">
        <f>DATE('Profit Calculation'!J$6,A$2,A$2+A4848-1)</f>
        <v>46851</v>
      </c>
      <c r="D4848" s="362">
        <f t="shared" ca="1" si="153"/>
        <v>392259784.98792124</v>
      </c>
    </row>
    <row r="4849" spans="1:4">
      <c r="A4849" s="348">
        <f t="shared" si="152"/>
        <v>4848</v>
      </c>
      <c r="B4849" s="360">
        <f>DATE('Profit Calculation'!J$6,A$2,A$2+A4849-1)</f>
        <v>46852</v>
      </c>
      <c r="D4849" s="362">
        <f t="shared" ca="1" si="153"/>
        <v>392410013.71922332</v>
      </c>
    </row>
    <row r="4850" spans="1:4">
      <c r="A4850" s="348">
        <f t="shared" si="152"/>
        <v>4849</v>
      </c>
      <c r="B4850" s="360">
        <f>DATE('Profit Calculation'!J$6,A$2,A$2+A4850-1)</f>
        <v>46853</v>
      </c>
      <c r="D4850" s="362">
        <f t="shared" ca="1" si="153"/>
        <v>392560299.98553807</v>
      </c>
    </row>
    <row r="4851" spans="1:4">
      <c r="A4851" s="348">
        <f t="shared" si="152"/>
        <v>4850</v>
      </c>
      <c r="B4851" s="360">
        <f>DATE('Profit Calculation'!J$6,A$2,A$2+A4851-1)</f>
        <v>46854</v>
      </c>
      <c r="D4851" s="362">
        <f t="shared" ca="1" si="153"/>
        <v>392710643.80890042</v>
      </c>
    </row>
    <row r="4852" spans="1:4">
      <c r="A4852" s="348">
        <f t="shared" si="152"/>
        <v>4851</v>
      </c>
      <c r="B4852" s="360">
        <f>DATE('Profit Calculation'!J$6,A$2,A$2+A4852-1)</f>
        <v>46855</v>
      </c>
      <c r="D4852" s="362">
        <f t="shared" ca="1" si="153"/>
        <v>392861045.21135372</v>
      </c>
    </row>
    <row r="4853" spans="1:4">
      <c r="A4853" s="348">
        <f t="shared" si="152"/>
        <v>4852</v>
      </c>
      <c r="B4853" s="360">
        <f>DATE('Profit Calculation'!J$6,A$2,A$2+A4853-1)</f>
        <v>46856</v>
      </c>
      <c r="D4853" s="362">
        <f t="shared" ca="1" si="153"/>
        <v>393011504.21494979</v>
      </c>
    </row>
    <row r="4854" spans="1:4">
      <c r="A4854" s="348">
        <f t="shared" si="152"/>
        <v>4853</v>
      </c>
      <c r="B4854" s="360">
        <f>DATE('Profit Calculation'!J$6,A$2,A$2+A4854-1)</f>
        <v>46857</v>
      </c>
      <c r="D4854" s="362">
        <f t="shared" ca="1" si="153"/>
        <v>393162020.84174889</v>
      </c>
    </row>
    <row r="4855" spans="1:4">
      <c r="A4855" s="348">
        <f t="shared" si="152"/>
        <v>4854</v>
      </c>
      <c r="B4855" s="360">
        <f>DATE('Profit Calculation'!J$6,A$2,A$2+A4855-1)</f>
        <v>46858</v>
      </c>
      <c r="D4855" s="362">
        <f t="shared" ca="1" si="153"/>
        <v>393312595.11381972</v>
      </c>
    </row>
    <row r="4856" spans="1:4">
      <c r="A4856" s="348">
        <f t="shared" si="152"/>
        <v>4855</v>
      </c>
      <c r="B4856" s="360">
        <f>DATE('Profit Calculation'!J$6,A$2,A$2+A4856-1)</f>
        <v>46859</v>
      </c>
      <c r="D4856" s="362">
        <f t="shared" ca="1" si="153"/>
        <v>393463227.05323935</v>
      </c>
    </row>
    <row r="4857" spans="1:4">
      <c r="A4857" s="348">
        <f t="shared" si="152"/>
        <v>4856</v>
      </c>
      <c r="B4857" s="360">
        <f>DATE('Profit Calculation'!J$6,A$2,A$2+A4857-1)</f>
        <v>46860</v>
      </c>
      <c r="D4857" s="362">
        <f t="shared" ca="1" si="153"/>
        <v>393613916.68209344</v>
      </c>
    </row>
    <row r="4858" spans="1:4">
      <c r="A4858" s="348">
        <f t="shared" si="152"/>
        <v>4857</v>
      </c>
      <c r="B4858" s="360">
        <f>DATE('Profit Calculation'!J$6,A$2,A$2+A4858-1)</f>
        <v>46861</v>
      </c>
      <c r="D4858" s="362">
        <f t="shared" ca="1" si="153"/>
        <v>393764664.02247608</v>
      </c>
    </row>
    <row r="4859" spans="1:4">
      <c r="A4859" s="348">
        <f t="shared" si="152"/>
        <v>4858</v>
      </c>
      <c r="B4859" s="360">
        <f>DATE('Profit Calculation'!J$6,A$2,A$2+A4859-1)</f>
        <v>46862</v>
      </c>
      <c r="D4859" s="362">
        <f t="shared" ca="1" si="153"/>
        <v>393915469.09648973</v>
      </c>
    </row>
    <row r="4860" spans="1:4">
      <c r="A4860" s="348">
        <f t="shared" si="152"/>
        <v>4859</v>
      </c>
      <c r="B4860" s="360">
        <f>DATE('Profit Calculation'!J$6,A$2,A$2+A4860-1)</f>
        <v>46863</v>
      </c>
      <c r="D4860" s="362">
        <f t="shared" ca="1" si="153"/>
        <v>394066331.92624539</v>
      </c>
    </row>
    <row r="4861" spans="1:4">
      <c r="A4861" s="348">
        <f t="shared" si="152"/>
        <v>4860</v>
      </c>
      <c r="B4861" s="360">
        <f>DATE('Profit Calculation'!J$6,A$2,A$2+A4861-1)</f>
        <v>46864</v>
      </c>
      <c r="D4861" s="362">
        <f t="shared" ca="1" si="153"/>
        <v>394217252.53386253</v>
      </c>
    </row>
    <row r="4862" spans="1:4">
      <c r="A4862" s="348">
        <f t="shared" si="152"/>
        <v>4861</v>
      </c>
      <c r="B4862" s="360">
        <f>DATE('Profit Calculation'!J$6,A$2,A$2+A4862-1)</f>
        <v>46865</v>
      </c>
      <c r="D4862" s="362">
        <f t="shared" ca="1" si="153"/>
        <v>394368230.94146901</v>
      </c>
    </row>
    <row r="4863" spans="1:4">
      <c r="A4863" s="348">
        <f t="shared" si="152"/>
        <v>4862</v>
      </c>
      <c r="B4863" s="360">
        <f>DATE('Profit Calculation'!J$6,A$2,A$2+A4863-1)</f>
        <v>46866</v>
      </c>
      <c r="D4863" s="362">
        <f t="shared" ca="1" si="153"/>
        <v>394519267.17120129</v>
      </c>
    </row>
    <row r="4864" spans="1:4">
      <c r="A4864" s="348">
        <f t="shared" si="152"/>
        <v>4863</v>
      </c>
      <c r="B4864" s="360">
        <f>DATE('Profit Calculation'!J$6,A$2,A$2+A4864-1)</f>
        <v>46867</v>
      </c>
      <c r="D4864" s="362">
        <f t="shared" ca="1" si="153"/>
        <v>394670361.24520421</v>
      </c>
    </row>
    <row r="4865" spans="1:4">
      <c r="A4865" s="348">
        <f t="shared" si="152"/>
        <v>4864</v>
      </c>
      <c r="B4865" s="360">
        <f>DATE('Profit Calculation'!J$6,A$2,A$2+A4865-1)</f>
        <v>46868</v>
      </c>
      <c r="D4865" s="362">
        <f t="shared" ca="1" si="153"/>
        <v>394821513.18563116</v>
      </c>
    </row>
    <row r="4866" spans="1:4">
      <c r="A4866" s="348">
        <f t="shared" si="152"/>
        <v>4865</v>
      </c>
      <c r="B4866" s="360">
        <f>DATE('Profit Calculation'!J$6,A$2,A$2+A4866-1)</f>
        <v>46869</v>
      </c>
      <c r="D4866" s="362">
        <f t="shared" ca="1" si="153"/>
        <v>394972723.01464397</v>
      </c>
    </row>
    <row r="4867" spans="1:4">
      <c r="A4867" s="348">
        <f t="shared" si="152"/>
        <v>4866</v>
      </c>
      <c r="B4867" s="360">
        <f>DATE('Profit Calculation'!J$6,A$2,A$2+A4867-1)</f>
        <v>46870</v>
      </c>
      <c r="D4867" s="362">
        <f t="shared" ca="1" si="153"/>
        <v>395123990.75441301</v>
      </c>
    </row>
    <row r="4868" spans="1:4">
      <c r="A4868" s="348">
        <f t="shared" si="152"/>
        <v>4867</v>
      </c>
      <c r="B4868" s="360">
        <f>DATE('Profit Calculation'!J$6,A$2,A$2+A4868-1)</f>
        <v>46871</v>
      </c>
      <c r="D4868" s="362">
        <f t="shared" ca="1" si="153"/>
        <v>395275316.42711705</v>
      </c>
    </row>
    <row r="4869" spans="1:4">
      <c r="A4869" s="348">
        <f t="shared" ref="A4869:A4932" si="154">A4868+1</f>
        <v>4868</v>
      </c>
      <c r="B4869" s="360">
        <f>DATE('Profit Calculation'!J$6,A$2,A$2+A4869-1)</f>
        <v>46872</v>
      </c>
      <c r="D4869" s="362">
        <f t="shared" ref="D4869:D4932" ca="1" si="155">IF(OR(LOOKUP(B4869,W$1:W$35,W$1:W$35) = B4869, LOOKUP(B4869,X$1:X$35,X$1:X$35) = B4869),LOOKUP(B4869,F:F,G:G),D4868*(1+((IF($Q$18&lt;6,$R$14,IF($Q$18&lt;11,$R$15,$R$16)))))^(1/365))</f>
        <v>395426700.05494344</v>
      </c>
    </row>
    <row r="4870" spans="1:4">
      <c r="A4870" s="348">
        <f t="shared" si="154"/>
        <v>4869</v>
      </c>
      <c r="B4870" s="360">
        <f>DATE('Profit Calculation'!J$6,A$2,A$2+A4870-1)</f>
        <v>46873</v>
      </c>
      <c r="D4870" s="362">
        <f t="shared" ca="1" si="155"/>
        <v>395578141.66008794</v>
      </c>
    </row>
    <row r="4871" spans="1:4">
      <c r="A4871" s="348">
        <f t="shared" si="154"/>
        <v>4870</v>
      </c>
      <c r="B4871" s="360">
        <f>DATE('Profit Calculation'!J$6,A$2,A$2+A4871-1)</f>
        <v>46874</v>
      </c>
      <c r="D4871" s="362">
        <f t="shared" ca="1" si="155"/>
        <v>395729641.26475489</v>
      </c>
    </row>
    <row r="4872" spans="1:4">
      <c r="A4872" s="348">
        <f t="shared" si="154"/>
        <v>4871</v>
      </c>
      <c r="B4872" s="360">
        <f>DATE('Profit Calculation'!J$6,A$2,A$2+A4872-1)</f>
        <v>46875</v>
      </c>
      <c r="D4872" s="362">
        <f t="shared" ca="1" si="155"/>
        <v>395881198.89115715</v>
      </c>
    </row>
    <row r="4873" spans="1:4">
      <c r="A4873" s="348">
        <f t="shared" si="154"/>
        <v>4872</v>
      </c>
      <c r="B4873" s="360">
        <f>DATE('Profit Calculation'!J$6,A$2,A$2+A4873-1)</f>
        <v>46876</v>
      </c>
      <c r="D4873" s="362">
        <f t="shared" ca="1" si="155"/>
        <v>396032814.56151599</v>
      </c>
    </row>
    <row r="4874" spans="1:4">
      <c r="A4874" s="348">
        <f t="shared" si="154"/>
        <v>4873</v>
      </c>
      <c r="B4874" s="360">
        <f>DATE('Profit Calculation'!J$6,A$2,A$2+A4874-1)</f>
        <v>46877</v>
      </c>
      <c r="D4874" s="362">
        <f t="shared" ca="1" si="155"/>
        <v>396184488.29806125</v>
      </c>
    </row>
    <row r="4875" spans="1:4">
      <c r="A4875" s="348">
        <f t="shared" si="154"/>
        <v>4874</v>
      </c>
      <c r="B4875" s="360">
        <f>DATE('Profit Calculation'!J$6,A$2,A$2+A4875-1)</f>
        <v>46878</v>
      </c>
      <c r="D4875" s="362">
        <f t="shared" ca="1" si="155"/>
        <v>396336220.12303126</v>
      </c>
    </row>
    <row r="4876" spans="1:4">
      <c r="A4876" s="348">
        <f t="shared" si="154"/>
        <v>4875</v>
      </c>
      <c r="B4876" s="360">
        <f>DATE('Profit Calculation'!J$6,A$2,A$2+A4876-1)</f>
        <v>46879</v>
      </c>
      <c r="D4876" s="362">
        <f t="shared" ca="1" si="155"/>
        <v>396488010.05867296</v>
      </c>
    </row>
    <row r="4877" spans="1:4">
      <c r="A4877" s="348">
        <f t="shared" si="154"/>
        <v>4876</v>
      </c>
      <c r="B4877" s="360">
        <f>DATE('Profit Calculation'!J$6,A$2,A$2+A4877-1)</f>
        <v>46880</v>
      </c>
      <c r="D4877" s="362">
        <f t="shared" ca="1" si="155"/>
        <v>396639858.12724167</v>
      </c>
    </row>
    <row r="4878" spans="1:4">
      <c r="A4878" s="348">
        <f t="shared" si="154"/>
        <v>4877</v>
      </c>
      <c r="B4878" s="360">
        <f>DATE('Profit Calculation'!J$6,A$2,A$2+A4878-1)</f>
        <v>46881</v>
      </c>
      <c r="D4878" s="362">
        <f t="shared" ca="1" si="155"/>
        <v>396791764.35100132</v>
      </c>
    </row>
    <row r="4879" spans="1:4">
      <c r="A4879" s="348">
        <f t="shared" si="154"/>
        <v>4878</v>
      </c>
      <c r="B4879" s="360">
        <f>DATE('Profit Calculation'!J$6,A$2,A$2+A4879-1)</f>
        <v>46882</v>
      </c>
      <c r="D4879" s="362">
        <f t="shared" ca="1" si="155"/>
        <v>396943728.75222433</v>
      </c>
    </row>
    <row r="4880" spans="1:4">
      <c r="A4880" s="348">
        <f t="shared" si="154"/>
        <v>4879</v>
      </c>
      <c r="B4880" s="360">
        <f>DATE('Profit Calculation'!J$6,A$2,A$2+A4880-1)</f>
        <v>46883</v>
      </c>
      <c r="D4880" s="362">
        <f t="shared" ca="1" si="155"/>
        <v>397095751.35319167</v>
      </c>
    </row>
    <row r="4881" spans="1:4">
      <c r="A4881" s="348">
        <f t="shared" si="154"/>
        <v>4880</v>
      </c>
      <c r="B4881" s="360">
        <f>DATE('Profit Calculation'!J$6,A$2,A$2+A4881-1)</f>
        <v>46884</v>
      </c>
      <c r="D4881" s="362">
        <f t="shared" ca="1" si="155"/>
        <v>397247832.17619282</v>
      </c>
    </row>
    <row r="4882" spans="1:4">
      <c r="A4882" s="348">
        <f t="shared" si="154"/>
        <v>4881</v>
      </c>
      <c r="B4882" s="360">
        <f>DATE('Profit Calculation'!J$6,A$2,A$2+A4882-1)</f>
        <v>46885</v>
      </c>
      <c r="D4882" s="362">
        <f t="shared" ca="1" si="155"/>
        <v>397399971.24352586</v>
      </c>
    </row>
    <row r="4883" spans="1:4">
      <c r="A4883" s="348">
        <f t="shared" si="154"/>
        <v>4882</v>
      </c>
      <c r="B4883" s="360">
        <f>DATE('Profit Calculation'!J$6,A$2,A$2+A4883-1)</f>
        <v>46886</v>
      </c>
      <c r="D4883" s="362">
        <f t="shared" ca="1" si="155"/>
        <v>397552168.57749736</v>
      </c>
    </row>
    <row r="4884" spans="1:4">
      <c r="A4884" s="348">
        <f t="shared" si="154"/>
        <v>4883</v>
      </c>
      <c r="B4884" s="360">
        <f>DATE('Profit Calculation'!J$6,A$2,A$2+A4884-1)</f>
        <v>46887</v>
      </c>
      <c r="D4884" s="362">
        <f t="shared" ca="1" si="155"/>
        <v>397704424.20042241</v>
      </c>
    </row>
    <row r="4885" spans="1:4">
      <c r="A4885" s="348">
        <f t="shared" si="154"/>
        <v>4884</v>
      </c>
      <c r="B4885" s="360">
        <f>DATE('Profit Calculation'!J$6,A$2,A$2+A4885-1)</f>
        <v>46888</v>
      </c>
      <c r="D4885" s="362">
        <f t="shared" ca="1" si="155"/>
        <v>397856738.13462466</v>
      </c>
    </row>
    <row r="4886" spans="1:4">
      <c r="A4886" s="348">
        <f t="shared" si="154"/>
        <v>4885</v>
      </c>
      <c r="B4886" s="360">
        <f>DATE('Profit Calculation'!J$6,A$2,A$2+A4886-1)</f>
        <v>46889</v>
      </c>
      <c r="D4886" s="362">
        <f t="shared" ca="1" si="155"/>
        <v>398009110.40243638</v>
      </c>
    </row>
    <row r="4887" spans="1:4">
      <c r="A4887" s="348">
        <f t="shared" si="154"/>
        <v>4886</v>
      </c>
      <c r="B4887" s="360">
        <f>DATE('Profit Calculation'!J$6,A$2,A$2+A4887-1)</f>
        <v>46890</v>
      </c>
      <c r="D4887" s="362">
        <f t="shared" ca="1" si="155"/>
        <v>398161541.02619827</v>
      </c>
    </row>
    <row r="4888" spans="1:4">
      <c r="A4888" s="348">
        <f t="shared" si="154"/>
        <v>4887</v>
      </c>
      <c r="B4888" s="360">
        <f>DATE('Profit Calculation'!J$6,A$2,A$2+A4888-1)</f>
        <v>46891</v>
      </c>
      <c r="D4888" s="362">
        <f t="shared" ca="1" si="155"/>
        <v>398314030.02825969</v>
      </c>
    </row>
    <row r="4889" spans="1:4">
      <c r="A4889" s="348">
        <f t="shared" si="154"/>
        <v>4888</v>
      </c>
      <c r="B4889" s="360">
        <f>DATE('Profit Calculation'!J$6,A$2,A$2+A4889-1)</f>
        <v>46892</v>
      </c>
      <c r="D4889" s="362">
        <f t="shared" ca="1" si="155"/>
        <v>398466577.43097854</v>
      </c>
    </row>
    <row r="4890" spans="1:4">
      <c r="A4890" s="348">
        <f t="shared" si="154"/>
        <v>4889</v>
      </c>
      <c r="B4890" s="360">
        <f>DATE('Profit Calculation'!J$6,A$2,A$2+A4890-1)</f>
        <v>46893</v>
      </c>
      <c r="D4890" s="362">
        <f t="shared" ca="1" si="155"/>
        <v>398619183.2567212</v>
      </c>
    </row>
    <row r="4891" spans="1:4">
      <c r="A4891" s="348">
        <f t="shared" si="154"/>
        <v>4890</v>
      </c>
      <c r="B4891" s="360">
        <f>DATE('Profit Calculation'!J$6,A$2,A$2+A4891-1)</f>
        <v>46894</v>
      </c>
      <c r="D4891" s="362">
        <f t="shared" ca="1" si="155"/>
        <v>398771847.52786273</v>
      </c>
    </row>
    <row r="4892" spans="1:4">
      <c r="A4892" s="348">
        <f t="shared" si="154"/>
        <v>4891</v>
      </c>
      <c r="B4892" s="360">
        <f>DATE('Profit Calculation'!J$6,A$2,A$2+A4892-1)</f>
        <v>46895</v>
      </c>
      <c r="D4892" s="362">
        <f t="shared" ca="1" si="155"/>
        <v>398924570.26678669</v>
      </c>
    </row>
    <row r="4893" spans="1:4">
      <c r="A4893" s="348">
        <f t="shared" si="154"/>
        <v>4892</v>
      </c>
      <c r="B4893" s="360">
        <f>DATE('Profit Calculation'!J$6,A$2,A$2+A4893-1)</f>
        <v>46896</v>
      </c>
      <c r="D4893" s="362">
        <f t="shared" ca="1" si="155"/>
        <v>399077351.49588525</v>
      </c>
    </row>
    <row r="4894" spans="1:4">
      <c r="A4894" s="348">
        <f t="shared" si="154"/>
        <v>4893</v>
      </c>
      <c r="B4894" s="360">
        <f>DATE('Profit Calculation'!J$6,A$2,A$2+A4894-1)</f>
        <v>46897</v>
      </c>
      <c r="D4894" s="362">
        <f t="shared" ca="1" si="155"/>
        <v>399230191.23755914</v>
      </c>
    </row>
    <row r="4895" spans="1:4">
      <c r="A4895" s="348">
        <f t="shared" si="154"/>
        <v>4894</v>
      </c>
      <c r="B4895" s="360">
        <f>DATE('Profit Calculation'!J$6,A$2,A$2+A4895-1)</f>
        <v>46898</v>
      </c>
      <c r="D4895" s="362">
        <f t="shared" ca="1" si="155"/>
        <v>399383089.51421767</v>
      </c>
    </row>
    <row r="4896" spans="1:4">
      <c r="A4896" s="348">
        <f t="shared" si="154"/>
        <v>4895</v>
      </c>
      <c r="B4896" s="360">
        <f>DATE('Profit Calculation'!J$6,A$2,A$2+A4896-1)</f>
        <v>46899</v>
      </c>
      <c r="D4896" s="362">
        <f t="shared" ca="1" si="155"/>
        <v>399536046.3482787</v>
      </c>
    </row>
    <row r="4897" spans="1:4">
      <c r="A4897" s="348">
        <f t="shared" si="154"/>
        <v>4896</v>
      </c>
      <c r="B4897" s="360">
        <f>DATE('Profit Calculation'!J$6,A$2,A$2+A4897-1)</f>
        <v>46900</v>
      </c>
      <c r="D4897" s="362">
        <f t="shared" ca="1" si="155"/>
        <v>399689061.76216871</v>
      </c>
    </row>
    <row r="4898" spans="1:4">
      <c r="A4898" s="348">
        <f t="shared" si="154"/>
        <v>4897</v>
      </c>
      <c r="B4898" s="360">
        <f>DATE('Profit Calculation'!J$6,A$2,A$2+A4898-1)</f>
        <v>46901</v>
      </c>
      <c r="D4898" s="362">
        <f t="shared" ca="1" si="155"/>
        <v>399842135.77832282</v>
      </c>
    </row>
    <row r="4899" spans="1:4">
      <c r="A4899" s="348">
        <f t="shared" si="154"/>
        <v>4898</v>
      </c>
      <c r="B4899" s="360">
        <f>DATE('Profit Calculation'!J$6,A$2,A$2+A4899-1)</f>
        <v>46902</v>
      </c>
      <c r="D4899" s="362">
        <f t="shared" ca="1" si="155"/>
        <v>399995268.41918463</v>
      </c>
    </row>
    <row r="4900" spans="1:4">
      <c r="A4900" s="348">
        <f t="shared" si="154"/>
        <v>4899</v>
      </c>
      <c r="B4900" s="360">
        <f>DATE('Profit Calculation'!J$6,A$2,A$2+A4900-1)</f>
        <v>46903</v>
      </c>
      <c r="D4900" s="362">
        <f t="shared" ca="1" si="155"/>
        <v>400148459.70720637</v>
      </c>
    </row>
    <row r="4901" spans="1:4">
      <c r="A4901" s="348">
        <f t="shared" si="154"/>
        <v>4900</v>
      </c>
      <c r="B4901" s="360">
        <f>DATE('Profit Calculation'!J$6,A$2,A$2+A4901-1)</f>
        <v>46904</v>
      </c>
      <c r="D4901" s="362">
        <f t="shared" ca="1" si="155"/>
        <v>400301709.66484892</v>
      </c>
    </row>
    <row r="4902" spans="1:4">
      <c r="A4902" s="348">
        <f t="shared" si="154"/>
        <v>4901</v>
      </c>
      <c r="B4902" s="360">
        <f>DATE('Profit Calculation'!J$6,A$2,A$2+A4902-1)</f>
        <v>46905</v>
      </c>
      <c r="D4902" s="362">
        <f t="shared" ca="1" si="155"/>
        <v>400455018.31458175</v>
      </c>
    </row>
    <row r="4903" spans="1:4">
      <c r="A4903" s="348">
        <f t="shared" si="154"/>
        <v>4902</v>
      </c>
      <c r="B4903" s="360">
        <f>DATE('Profit Calculation'!J$6,A$2,A$2+A4903-1)</f>
        <v>46906</v>
      </c>
      <c r="D4903" s="362">
        <f t="shared" ca="1" si="155"/>
        <v>400608385.6788829</v>
      </c>
    </row>
    <row r="4904" spans="1:4">
      <c r="A4904" s="348">
        <f t="shared" si="154"/>
        <v>4903</v>
      </c>
      <c r="B4904" s="360">
        <f>DATE('Profit Calculation'!J$6,A$2,A$2+A4904-1)</f>
        <v>46907</v>
      </c>
      <c r="D4904" s="362">
        <f t="shared" ca="1" si="155"/>
        <v>400761811.78023905</v>
      </c>
    </row>
    <row r="4905" spans="1:4">
      <c r="A4905" s="348">
        <f t="shared" si="154"/>
        <v>4904</v>
      </c>
      <c r="B4905" s="360">
        <f>DATE('Profit Calculation'!J$6,A$2,A$2+A4905-1)</f>
        <v>46908</v>
      </c>
      <c r="D4905" s="362">
        <f t="shared" ca="1" si="155"/>
        <v>400915296.64114547</v>
      </c>
    </row>
    <row r="4906" spans="1:4">
      <c r="A4906" s="348">
        <f t="shared" si="154"/>
        <v>4905</v>
      </c>
      <c r="B4906" s="360">
        <f>DATE('Profit Calculation'!J$6,A$2,A$2+A4906-1)</f>
        <v>46909</v>
      </c>
      <c r="D4906" s="362">
        <f t="shared" ca="1" si="155"/>
        <v>401068840.28410608</v>
      </c>
    </row>
    <row r="4907" spans="1:4">
      <c r="A4907" s="348">
        <f t="shared" si="154"/>
        <v>4906</v>
      </c>
      <c r="B4907" s="360">
        <f>DATE('Profit Calculation'!J$6,A$2,A$2+A4907-1)</f>
        <v>46910</v>
      </c>
      <c r="D4907" s="362">
        <f t="shared" ca="1" si="155"/>
        <v>401222442.73163337</v>
      </c>
    </row>
    <row r="4908" spans="1:4">
      <c r="A4908" s="348">
        <f t="shared" si="154"/>
        <v>4907</v>
      </c>
      <c r="B4908" s="360">
        <f>DATE('Profit Calculation'!J$6,A$2,A$2+A4908-1)</f>
        <v>46911</v>
      </c>
      <c r="D4908" s="362">
        <f t="shared" ca="1" si="155"/>
        <v>401376104.00624847</v>
      </c>
    </row>
    <row r="4909" spans="1:4">
      <c r="A4909" s="348">
        <f t="shared" si="154"/>
        <v>4908</v>
      </c>
      <c r="B4909" s="360">
        <f>DATE('Profit Calculation'!J$6,A$2,A$2+A4909-1)</f>
        <v>46912</v>
      </c>
      <c r="D4909" s="362">
        <f t="shared" ca="1" si="155"/>
        <v>401529824.13048112</v>
      </c>
    </row>
    <row r="4910" spans="1:4">
      <c r="A4910" s="348">
        <f t="shared" si="154"/>
        <v>4909</v>
      </c>
      <c r="B4910" s="360">
        <f>DATE('Profit Calculation'!J$6,A$2,A$2+A4910-1)</f>
        <v>46913</v>
      </c>
      <c r="D4910" s="362">
        <f t="shared" ca="1" si="155"/>
        <v>401683603.12686974</v>
      </c>
    </row>
    <row r="4911" spans="1:4">
      <c r="A4911" s="348">
        <f t="shared" si="154"/>
        <v>4910</v>
      </c>
      <c r="B4911" s="360">
        <f>DATE('Profit Calculation'!J$6,A$2,A$2+A4911-1)</f>
        <v>46914</v>
      </c>
      <c r="D4911" s="362">
        <f t="shared" ca="1" si="155"/>
        <v>401837441.01796132</v>
      </c>
    </row>
    <row r="4912" spans="1:4">
      <c r="A4912" s="348">
        <f t="shared" si="154"/>
        <v>4911</v>
      </c>
      <c r="B4912" s="360">
        <f>DATE('Profit Calculation'!J$6,A$2,A$2+A4912-1)</f>
        <v>46915</v>
      </c>
      <c r="D4912" s="362">
        <f t="shared" ca="1" si="155"/>
        <v>401991337.82631159</v>
      </c>
    </row>
    <row r="4913" spans="1:4">
      <c r="A4913" s="348">
        <f t="shared" si="154"/>
        <v>4912</v>
      </c>
      <c r="B4913" s="360">
        <f>DATE('Profit Calculation'!J$6,A$2,A$2+A4913-1)</f>
        <v>46916</v>
      </c>
      <c r="D4913" s="362">
        <f t="shared" ca="1" si="155"/>
        <v>402145293.57448477</v>
      </c>
    </row>
    <row r="4914" spans="1:4">
      <c r="A4914" s="348">
        <f t="shared" si="154"/>
        <v>4913</v>
      </c>
      <c r="B4914" s="360">
        <f>DATE('Profit Calculation'!J$6,A$2,A$2+A4914-1)</f>
        <v>46917</v>
      </c>
      <c r="D4914" s="362">
        <f t="shared" ca="1" si="155"/>
        <v>402299308.28505379</v>
      </c>
    </row>
    <row r="4915" spans="1:4">
      <c r="A4915" s="348">
        <f t="shared" si="154"/>
        <v>4914</v>
      </c>
      <c r="B4915" s="360">
        <f>DATE('Profit Calculation'!J$6,A$2,A$2+A4915-1)</f>
        <v>46918</v>
      </c>
      <c r="D4915" s="362">
        <f t="shared" ca="1" si="155"/>
        <v>402453381.9806003</v>
      </c>
    </row>
    <row r="4916" spans="1:4">
      <c r="A4916" s="348">
        <f t="shared" si="154"/>
        <v>4915</v>
      </c>
      <c r="B4916" s="360">
        <f>DATE('Profit Calculation'!J$6,A$2,A$2+A4916-1)</f>
        <v>46919</v>
      </c>
      <c r="D4916" s="362">
        <f t="shared" ca="1" si="155"/>
        <v>402607514.68371445</v>
      </c>
    </row>
    <row r="4917" spans="1:4">
      <c r="A4917" s="348">
        <f t="shared" si="154"/>
        <v>4916</v>
      </c>
      <c r="B4917" s="360">
        <f>DATE('Profit Calculation'!J$6,A$2,A$2+A4917-1)</f>
        <v>46920</v>
      </c>
      <c r="D4917" s="362">
        <f t="shared" ca="1" si="155"/>
        <v>402761706.41699517</v>
      </c>
    </row>
    <row r="4918" spans="1:4">
      <c r="A4918" s="348">
        <f t="shared" si="154"/>
        <v>4917</v>
      </c>
      <c r="B4918" s="360">
        <f>DATE('Profit Calculation'!J$6,A$2,A$2+A4918-1)</f>
        <v>46921</v>
      </c>
      <c r="D4918" s="362">
        <f t="shared" ca="1" si="155"/>
        <v>402915957.20304996</v>
      </c>
    </row>
    <row r="4919" spans="1:4">
      <c r="A4919" s="348">
        <f t="shared" si="154"/>
        <v>4918</v>
      </c>
      <c r="B4919" s="360">
        <f>DATE('Profit Calculation'!J$6,A$2,A$2+A4919-1)</f>
        <v>46922</v>
      </c>
      <c r="D4919" s="362">
        <f t="shared" ca="1" si="155"/>
        <v>403070267.06449503</v>
      </c>
    </row>
    <row r="4920" spans="1:4">
      <c r="A4920" s="348">
        <f t="shared" si="154"/>
        <v>4919</v>
      </c>
      <c r="B4920" s="360">
        <f>DATE('Profit Calculation'!J$6,A$2,A$2+A4920-1)</f>
        <v>46923</v>
      </c>
      <c r="D4920" s="362">
        <f t="shared" ca="1" si="155"/>
        <v>403224636.02395529</v>
      </c>
    </row>
    <row r="4921" spans="1:4">
      <c r="A4921" s="348">
        <f t="shared" si="154"/>
        <v>4920</v>
      </c>
      <c r="B4921" s="360">
        <f>DATE('Profit Calculation'!J$6,A$2,A$2+A4921-1)</f>
        <v>46924</v>
      </c>
      <c r="D4921" s="362">
        <f t="shared" ca="1" si="155"/>
        <v>403379064.10406417</v>
      </c>
    </row>
    <row r="4922" spans="1:4">
      <c r="A4922" s="348">
        <f t="shared" si="154"/>
        <v>4921</v>
      </c>
      <c r="B4922" s="360">
        <f>DATE('Profit Calculation'!J$6,A$2,A$2+A4922-1)</f>
        <v>46925</v>
      </c>
      <c r="D4922" s="362">
        <f t="shared" ca="1" si="155"/>
        <v>403533551.32746392</v>
      </c>
    </row>
    <row r="4923" spans="1:4">
      <c r="A4923" s="348">
        <f t="shared" si="154"/>
        <v>4922</v>
      </c>
      <c r="B4923" s="360">
        <f>DATE('Profit Calculation'!J$6,A$2,A$2+A4923-1)</f>
        <v>46926</v>
      </c>
      <c r="D4923" s="362">
        <f t="shared" ca="1" si="155"/>
        <v>403688097.7168054</v>
      </c>
    </row>
    <row r="4924" spans="1:4">
      <c r="A4924" s="348">
        <f t="shared" si="154"/>
        <v>4923</v>
      </c>
      <c r="B4924" s="360">
        <f>DATE('Profit Calculation'!J$6,A$2,A$2+A4924-1)</f>
        <v>46927</v>
      </c>
      <c r="D4924" s="362">
        <f t="shared" ca="1" si="155"/>
        <v>403842703.29474807</v>
      </c>
    </row>
    <row r="4925" spans="1:4">
      <c r="A4925" s="348">
        <f t="shared" si="154"/>
        <v>4924</v>
      </c>
      <c r="B4925" s="360">
        <f>DATE('Profit Calculation'!J$6,A$2,A$2+A4925-1)</f>
        <v>46928</v>
      </c>
      <c r="D4925" s="362">
        <f t="shared" ca="1" si="155"/>
        <v>403997368.08396024</v>
      </c>
    </row>
    <row r="4926" spans="1:4">
      <c r="A4926" s="348">
        <f t="shared" si="154"/>
        <v>4925</v>
      </c>
      <c r="B4926" s="360">
        <f>DATE('Profit Calculation'!J$6,A$2,A$2+A4926-1)</f>
        <v>46929</v>
      </c>
      <c r="D4926" s="362">
        <f t="shared" ca="1" si="155"/>
        <v>404152092.10711873</v>
      </c>
    </row>
    <row r="4927" spans="1:4">
      <c r="A4927" s="348">
        <f t="shared" si="154"/>
        <v>4926</v>
      </c>
      <c r="B4927" s="360">
        <f>DATE('Profit Calculation'!J$6,A$2,A$2+A4927-1)</f>
        <v>46930</v>
      </c>
      <c r="D4927" s="362">
        <f t="shared" ca="1" si="155"/>
        <v>404306875.38690919</v>
      </c>
    </row>
    <row r="4928" spans="1:4">
      <c r="A4928" s="348">
        <f t="shared" si="154"/>
        <v>4927</v>
      </c>
      <c r="B4928" s="360">
        <f>DATE('Profit Calculation'!J$6,A$2,A$2+A4928-1)</f>
        <v>46931</v>
      </c>
      <c r="D4928" s="362">
        <f t="shared" ca="1" si="155"/>
        <v>404461717.94602585</v>
      </c>
    </row>
    <row r="4929" spans="1:4">
      <c r="A4929" s="348">
        <f t="shared" si="154"/>
        <v>4928</v>
      </c>
      <c r="B4929" s="360">
        <f>DATE('Profit Calculation'!J$6,A$2,A$2+A4929-1)</f>
        <v>46932</v>
      </c>
      <c r="D4929" s="362">
        <f t="shared" ca="1" si="155"/>
        <v>404616619.80717164</v>
      </c>
    </row>
    <row r="4930" spans="1:4">
      <c r="A4930" s="348">
        <f t="shared" si="154"/>
        <v>4929</v>
      </c>
      <c r="B4930" s="360">
        <f>DATE('Profit Calculation'!J$6,A$2,A$2+A4930-1)</f>
        <v>46933</v>
      </c>
      <c r="D4930" s="362">
        <f t="shared" ca="1" si="155"/>
        <v>404771580.99305826</v>
      </c>
    </row>
    <row r="4931" spans="1:4">
      <c r="A4931" s="348">
        <f t="shared" si="154"/>
        <v>4930</v>
      </c>
      <c r="B4931" s="360">
        <f>DATE('Profit Calculation'!J$6,A$2,A$2+A4931-1)</f>
        <v>46934</v>
      </c>
      <c r="D4931" s="362">
        <f t="shared" ca="1" si="155"/>
        <v>404926601.52640605</v>
      </c>
    </row>
    <row r="4932" spans="1:4">
      <c r="A4932" s="348">
        <f t="shared" si="154"/>
        <v>4931</v>
      </c>
      <c r="B4932" s="360">
        <f>DATE('Profit Calculation'!J$6,A$2,A$2+A4932-1)</f>
        <v>46935</v>
      </c>
      <c r="D4932" s="362">
        <f t="shared" ca="1" si="155"/>
        <v>405081681.42994404</v>
      </c>
    </row>
    <row r="4933" spans="1:4">
      <c r="A4933" s="348">
        <f t="shared" ref="A4933:A4996" si="156">A4932+1</f>
        <v>4932</v>
      </c>
      <c r="B4933" s="360">
        <f>DATE('Profit Calculation'!J$6,A$2,A$2+A4933-1)</f>
        <v>46936</v>
      </c>
      <c r="D4933" s="362">
        <f t="shared" ref="D4933:D4996" ca="1" si="157">IF(OR(LOOKUP(B4933,W$1:W$35,W$1:W$35) = B4933, LOOKUP(B4933,X$1:X$35,X$1:X$35) = B4933),LOOKUP(B4933,F:F,G:G),D4932*(1+((IF($Q$18&lt;6,$R$14,IF($Q$18&lt;11,$R$15,$R$16)))))^(1/365))</f>
        <v>405236820.72641003</v>
      </c>
    </row>
    <row r="4934" spans="1:4">
      <c r="A4934" s="348">
        <f t="shared" si="156"/>
        <v>4933</v>
      </c>
      <c r="B4934" s="360">
        <f>DATE('Profit Calculation'!J$6,A$2,A$2+A4934-1)</f>
        <v>46937</v>
      </c>
      <c r="D4934" s="362">
        <f t="shared" ca="1" si="157"/>
        <v>405392019.43855047</v>
      </c>
    </row>
    <row r="4935" spans="1:4">
      <c r="A4935" s="348">
        <f t="shared" si="156"/>
        <v>4934</v>
      </c>
      <c r="B4935" s="360">
        <f>DATE('Profit Calculation'!J$6,A$2,A$2+A4935-1)</f>
        <v>46938</v>
      </c>
      <c r="D4935" s="362">
        <f t="shared" ca="1" si="157"/>
        <v>405547277.58912051</v>
      </c>
    </row>
    <row r="4936" spans="1:4">
      <c r="A4936" s="348">
        <f t="shared" si="156"/>
        <v>4935</v>
      </c>
      <c r="B4936" s="360">
        <f>DATE('Profit Calculation'!J$6,A$2,A$2+A4936-1)</f>
        <v>46939</v>
      </c>
      <c r="D4936" s="362">
        <f t="shared" ca="1" si="157"/>
        <v>405702595.2008841</v>
      </c>
    </row>
    <row r="4937" spans="1:4">
      <c r="A4937" s="348">
        <f t="shared" si="156"/>
        <v>4936</v>
      </c>
      <c r="B4937" s="360">
        <f>DATE('Profit Calculation'!J$6,A$2,A$2+A4937-1)</f>
        <v>46940</v>
      </c>
      <c r="D4937" s="362">
        <f t="shared" ca="1" si="157"/>
        <v>405857972.29661381</v>
      </c>
    </row>
    <row r="4938" spans="1:4">
      <c r="A4938" s="348">
        <f t="shared" si="156"/>
        <v>4937</v>
      </c>
      <c r="B4938" s="360">
        <f>DATE('Profit Calculation'!J$6,A$2,A$2+A4938-1)</f>
        <v>46941</v>
      </c>
      <c r="D4938" s="362">
        <f t="shared" ca="1" si="157"/>
        <v>406013408.89909095</v>
      </c>
    </row>
    <row r="4939" spans="1:4">
      <c r="A4939" s="348">
        <f t="shared" si="156"/>
        <v>4938</v>
      </c>
      <c r="B4939" s="360">
        <f>DATE('Profit Calculation'!J$6,A$2,A$2+A4939-1)</f>
        <v>46942</v>
      </c>
      <c r="D4939" s="362">
        <f t="shared" ca="1" si="157"/>
        <v>406168905.03110564</v>
      </c>
    </row>
    <row r="4940" spans="1:4">
      <c r="A4940" s="348">
        <f t="shared" si="156"/>
        <v>4939</v>
      </c>
      <c r="B4940" s="360">
        <f>DATE('Profit Calculation'!J$6,A$2,A$2+A4940-1)</f>
        <v>46943</v>
      </c>
      <c r="D4940" s="362">
        <f t="shared" ca="1" si="157"/>
        <v>406324460.7154566</v>
      </c>
    </row>
    <row r="4941" spans="1:4">
      <c r="A4941" s="348">
        <f t="shared" si="156"/>
        <v>4940</v>
      </c>
      <c r="B4941" s="360">
        <f>DATE('Profit Calculation'!J$6,A$2,A$2+A4941-1)</f>
        <v>46944</v>
      </c>
      <c r="D4941" s="362">
        <f t="shared" ca="1" si="157"/>
        <v>406480075.97495145</v>
      </c>
    </row>
    <row r="4942" spans="1:4">
      <c r="A4942" s="348">
        <f t="shared" si="156"/>
        <v>4941</v>
      </c>
      <c r="B4942" s="360">
        <f>DATE('Profit Calculation'!J$6,A$2,A$2+A4942-1)</f>
        <v>46945</v>
      </c>
      <c r="D4942" s="362">
        <f t="shared" ca="1" si="157"/>
        <v>406635750.83240634</v>
      </c>
    </row>
    <row r="4943" spans="1:4">
      <c r="A4943" s="348">
        <f t="shared" si="156"/>
        <v>4942</v>
      </c>
      <c r="B4943" s="360">
        <f>DATE('Profit Calculation'!J$6,A$2,A$2+A4943-1)</f>
        <v>46946</v>
      </c>
      <c r="D4943" s="362">
        <f t="shared" ca="1" si="157"/>
        <v>406791485.3106463</v>
      </c>
    </row>
    <row r="4944" spans="1:4">
      <c r="A4944" s="348">
        <f t="shared" si="156"/>
        <v>4943</v>
      </c>
      <c r="B4944" s="360">
        <f>DATE('Profit Calculation'!J$6,A$2,A$2+A4944-1)</f>
        <v>46947</v>
      </c>
      <c r="D4944" s="362">
        <f t="shared" ca="1" si="157"/>
        <v>406947279.43250507</v>
      </c>
    </row>
    <row r="4945" spans="1:4">
      <c r="A4945" s="348">
        <f t="shared" si="156"/>
        <v>4944</v>
      </c>
      <c r="B4945" s="360">
        <f>DATE('Profit Calculation'!J$6,A$2,A$2+A4945-1)</f>
        <v>46948</v>
      </c>
      <c r="D4945" s="362">
        <f t="shared" ca="1" si="157"/>
        <v>407103133.22082508</v>
      </c>
    </row>
    <row r="4946" spans="1:4">
      <c r="A4946" s="348">
        <f t="shared" si="156"/>
        <v>4945</v>
      </c>
      <c r="B4946" s="360">
        <f>DATE('Profit Calculation'!J$6,A$2,A$2+A4946-1)</f>
        <v>46949</v>
      </c>
      <c r="D4946" s="362">
        <f t="shared" ca="1" si="157"/>
        <v>407259046.6984576</v>
      </c>
    </row>
    <row r="4947" spans="1:4">
      <c r="A4947" s="348">
        <f t="shared" si="156"/>
        <v>4946</v>
      </c>
      <c r="B4947" s="360">
        <f>DATE('Profit Calculation'!J$6,A$2,A$2+A4947-1)</f>
        <v>46950</v>
      </c>
      <c r="D4947" s="362">
        <f t="shared" ca="1" si="157"/>
        <v>407415019.88826263</v>
      </c>
    </row>
    <row r="4948" spans="1:4">
      <c r="A4948" s="348">
        <f t="shared" si="156"/>
        <v>4947</v>
      </c>
      <c r="B4948" s="360">
        <f>DATE('Profit Calculation'!J$6,A$2,A$2+A4948-1)</f>
        <v>46951</v>
      </c>
      <c r="D4948" s="362">
        <f t="shared" ca="1" si="157"/>
        <v>407571052.81310886</v>
      </c>
    </row>
    <row r="4949" spans="1:4">
      <c r="A4949" s="348">
        <f t="shared" si="156"/>
        <v>4948</v>
      </c>
      <c r="B4949" s="360">
        <f>DATE('Profit Calculation'!J$6,A$2,A$2+A4949-1)</f>
        <v>46952</v>
      </c>
      <c r="D4949" s="362">
        <f t="shared" ca="1" si="157"/>
        <v>407727145.49587381</v>
      </c>
    </row>
    <row r="4950" spans="1:4">
      <c r="A4950" s="348">
        <f t="shared" si="156"/>
        <v>4949</v>
      </c>
      <c r="B4950" s="360">
        <f>DATE('Profit Calculation'!J$6,A$2,A$2+A4950-1)</f>
        <v>46953</v>
      </c>
      <c r="D4950" s="362">
        <f t="shared" ca="1" si="157"/>
        <v>407883297.95944369</v>
      </c>
    </row>
    <row r="4951" spans="1:4">
      <c r="A4951" s="348">
        <f t="shared" si="156"/>
        <v>4950</v>
      </c>
      <c r="B4951" s="360">
        <f>DATE('Profit Calculation'!J$6,A$2,A$2+A4951-1)</f>
        <v>46954</v>
      </c>
      <c r="D4951" s="362">
        <f t="shared" ca="1" si="157"/>
        <v>408039510.22671354</v>
      </c>
    </row>
    <row r="4952" spans="1:4">
      <c r="A4952" s="348">
        <f t="shared" si="156"/>
        <v>4951</v>
      </c>
      <c r="B4952" s="360">
        <f>DATE('Profit Calculation'!J$6,A$2,A$2+A4952-1)</f>
        <v>46955</v>
      </c>
      <c r="D4952" s="362">
        <f t="shared" ca="1" si="157"/>
        <v>408195782.32058716</v>
      </c>
    </row>
    <row r="4953" spans="1:4">
      <c r="A4953" s="348">
        <f t="shared" si="156"/>
        <v>4952</v>
      </c>
      <c r="B4953" s="360">
        <f>DATE('Profit Calculation'!J$6,A$2,A$2+A4953-1)</f>
        <v>46956</v>
      </c>
      <c r="D4953" s="362">
        <f t="shared" ca="1" si="157"/>
        <v>408352114.26397705</v>
      </c>
    </row>
    <row r="4954" spans="1:4">
      <c r="A4954" s="348">
        <f t="shared" si="156"/>
        <v>4953</v>
      </c>
      <c r="B4954" s="360">
        <f>DATE('Profit Calculation'!J$6,A$2,A$2+A4954-1)</f>
        <v>46957</v>
      </c>
      <c r="D4954" s="362">
        <f t="shared" ca="1" si="157"/>
        <v>408508506.0798046</v>
      </c>
    </row>
    <row r="4955" spans="1:4">
      <c r="A4955" s="348">
        <f t="shared" si="156"/>
        <v>4954</v>
      </c>
      <c r="B4955" s="360">
        <f>DATE('Profit Calculation'!J$6,A$2,A$2+A4955-1)</f>
        <v>46958</v>
      </c>
      <c r="D4955" s="362">
        <f t="shared" ca="1" si="157"/>
        <v>408664957.79099989</v>
      </c>
    </row>
    <row r="4956" spans="1:4">
      <c r="A4956" s="348">
        <f t="shared" si="156"/>
        <v>4955</v>
      </c>
      <c r="B4956" s="360">
        <f>DATE('Profit Calculation'!J$6,A$2,A$2+A4956-1)</f>
        <v>46959</v>
      </c>
      <c r="D4956" s="362">
        <f t="shared" ca="1" si="157"/>
        <v>408821469.42050183</v>
      </c>
    </row>
    <row r="4957" spans="1:4">
      <c r="A4957" s="348">
        <f t="shared" si="156"/>
        <v>4956</v>
      </c>
      <c r="B4957" s="360">
        <f>DATE('Profit Calculation'!J$6,A$2,A$2+A4957-1)</f>
        <v>46960</v>
      </c>
      <c r="D4957" s="362">
        <f t="shared" ca="1" si="157"/>
        <v>408978040.99125814</v>
      </c>
    </row>
    <row r="4958" spans="1:4">
      <c r="A4958" s="348">
        <f t="shared" si="156"/>
        <v>4957</v>
      </c>
      <c r="B4958" s="360">
        <f>DATE('Profit Calculation'!J$6,A$2,A$2+A4958-1)</f>
        <v>46961</v>
      </c>
      <c r="D4958" s="362">
        <f t="shared" ca="1" si="157"/>
        <v>409134672.52622521</v>
      </c>
    </row>
    <row r="4959" spans="1:4">
      <c r="A4959" s="348">
        <f t="shared" si="156"/>
        <v>4958</v>
      </c>
      <c r="B4959" s="360">
        <f>DATE('Profit Calculation'!J$6,A$2,A$2+A4959-1)</f>
        <v>46962</v>
      </c>
      <c r="D4959" s="362">
        <f t="shared" ca="1" si="157"/>
        <v>409291364.04836833</v>
      </c>
    </row>
    <row r="4960" spans="1:4">
      <c r="A4960" s="348">
        <f t="shared" si="156"/>
        <v>4959</v>
      </c>
      <c r="B4960" s="360">
        <f>DATE('Profit Calculation'!J$6,A$2,A$2+A4960-1)</f>
        <v>46963</v>
      </c>
      <c r="D4960" s="362">
        <f t="shared" ca="1" si="157"/>
        <v>409448115.58066159</v>
      </c>
    </row>
    <row r="4961" spans="1:4">
      <c r="A4961" s="348">
        <f t="shared" si="156"/>
        <v>4960</v>
      </c>
      <c r="B4961" s="360">
        <f>DATE('Profit Calculation'!J$6,A$2,A$2+A4961-1)</f>
        <v>46964</v>
      </c>
      <c r="D4961" s="362">
        <f t="shared" ca="1" si="157"/>
        <v>409604927.14608777</v>
      </c>
    </row>
    <row r="4962" spans="1:4">
      <c r="A4962" s="348">
        <f t="shared" si="156"/>
        <v>4961</v>
      </c>
      <c r="B4962" s="360">
        <f>DATE('Profit Calculation'!J$6,A$2,A$2+A4962-1)</f>
        <v>46965</v>
      </c>
      <c r="D4962" s="362">
        <f t="shared" ca="1" si="157"/>
        <v>409761798.76763856</v>
      </c>
    </row>
    <row r="4963" spans="1:4">
      <c r="A4963" s="348">
        <f t="shared" si="156"/>
        <v>4962</v>
      </c>
      <c r="B4963" s="360">
        <f>DATE('Profit Calculation'!J$6,A$2,A$2+A4963-1)</f>
        <v>46966</v>
      </c>
      <c r="D4963" s="362">
        <f t="shared" ca="1" si="157"/>
        <v>409918730.46831447</v>
      </c>
    </row>
    <row r="4964" spans="1:4">
      <c r="A4964" s="348">
        <f t="shared" si="156"/>
        <v>4963</v>
      </c>
      <c r="B4964" s="360">
        <f>DATE('Profit Calculation'!J$6,A$2,A$2+A4964-1)</f>
        <v>46967</v>
      </c>
      <c r="D4964" s="362">
        <f t="shared" ca="1" si="157"/>
        <v>410075722.27112472</v>
      </c>
    </row>
    <row r="4965" spans="1:4">
      <c r="A4965" s="348">
        <f t="shared" si="156"/>
        <v>4964</v>
      </c>
      <c r="B4965" s="360">
        <f>DATE('Profit Calculation'!J$6,A$2,A$2+A4965-1)</f>
        <v>46968</v>
      </c>
      <c r="D4965" s="362">
        <f t="shared" ca="1" si="157"/>
        <v>410232774.19908738</v>
      </c>
    </row>
    <row r="4966" spans="1:4">
      <c r="A4966" s="348">
        <f t="shared" si="156"/>
        <v>4965</v>
      </c>
      <c r="B4966" s="360">
        <f>DATE('Profit Calculation'!J$6,A$2,A$2+A4966-1)</f>
        <v>46969</v>
      </c>
      <c r="D4966" s="362">
        <f t="shared" ca="1" si="157"/>
        <v>410389886.27522933</v>
      </c>
    </row>
    <row r="4967" spans="1:4">
      <c r="A4967" s="348">
        <f t="shared" si="156"/>
        <v>4966</v>
      </c>
      <c r="B4967" s="360">
        <f>DATE('Profit Calculation'!J$6,A$2,A$2+A4967-1)</f>
        <v>46970</v>
      </c>
      <c r="D4967" s="362">
        <f t="shared" ca="1" si="157"/>
        <v>410547058.52258635</v>
      </c>
    </row>
    <row r="4968" spans="1:4">
      <c r="A4968" s="348">
        <f t="shared" si="156"/>
        <v>4967</v>
      </c>
      <c r="B4968" s="360">
        <f>DATE('Profit Calculation'!J$6,A$2,A$2+A4968-1)</f>
        <v>46971</v>
      </c>
      <c r="D4968" s="362">
        <f t="shared" ca="1" si="157"/>
        <v>410704290.96420288</v>
      </c>
    </row>
    <row r="4969" spans="1:4">
      <c r="A4969" s="348">
        <f t="shared" si="156"/>
        <v>4968</v>
      </c>
      <c r="B4969" s="360">
        <f>DATE('Profit Calculation'!J$6,A$2,A$2+A4969-1)</f>
        <v>46972</v>
      </c>
      <c r="D4969" s="362">
        <f t="shared" ca="1" si="157"/>
        <v>410861583.62313235</v>
      </c>
    </row>
    <row r="4970" spans="1:4">
      <c r="A4970" s="348">
        <f t="shared" si="156"/>
        <v>4969</v>
      </c>
      <c r="B4970" s="360">
        <f>DATE('Profit Calculation'!J$6,A$2,A$2+A4970-1)</f>
        <v>46973</v>
      </c>
      <c r="D4970" s="362">
        <f t="shared" ca="1" si="157"/>
        <v>411018936.52243698</v>
      </c>
    </row>
    <row r="4971" spans="1:4">
      <c r="A4971" s="348">
        <f t="shared" si="156"/>
        <v>4970</v>
      </c>
      <c r="B4971" s="360">
        <f>DATE('Profit Calculation'!J$6,A$2,A$2+A4971-1)</f>
        <v>46974</v>
      </c>
      <c r="D4971" s="362">
        <f t="shared" ca="1" si="157"/>
        <v>411176349.68518776</v>
      </c>
    </row>
    <row r="4972" spans="1:4">
      <c r="A4972" s="348">
        <f t="shared" si="156"/>
        <v>4971</v>
      </c>
      <c r="B4972" s="360">
        <f>DATE('Profit Calculation'!J$6,A$2,A$2+A4972-1)</f>
        <v>46975</v>
      </c>
      <c r="D4972" s="362">
        <f t="shared" ca="1" si="157"/>
        <v>411333823.13446456</v>
      </c>
    </row>
    <row r="4973" spans="1:4">
      <c r="A4973" s="348">
        <f t="shared" si="156"/>
        <v>4972</v>
      </c>
      <c r="B4973" s="360">
        <f>DATE('Profit Calculation'!J$6,A$2,A$2+A4973-1)</f>
        <v>46976</v>
      </c>
      <c r="D4973" s="362">
        <f t="shared" ca="1" si="157"/>
        <v>411491356.89335603</v>
      </c>
    </row>
    <row r="4974" spans="1:4">
      <c r="A4974" s="348">
        <f t="shared" si="156"/>
        <v>4973</v>
      </c>
      <c r="B4974" s="360">
        <f>DATE('Profit Calculation'!J$6,A$2,A$2+A4974-1)</f>
        <v>46977</v>
      </c>
      <c r="D4974" s="362">
        <f t="shared" ca="1" si="157"/>
        <v>411648950.98495978</v>
      </c>
    </row>
    <row r="4975" spans="1:4">
      <c r="A4975" s="348">
        <f t="shared" si="156"/>
        <v>4974</v>
      </c>
      <c r="B4975" s="360">
        <f>DATE('Profit Calculation'!J$6,A$2,A$2+A4975-1)</f>
        <v>46978</v>
      </c>
      <c r="D4975" s="362">
        <f t="shared" ca="1" si="157"/>
        <v>411806605.43238217</v>
      </c>
    </row>
    <row r="4976" spans="1:4">
      <c r="A4976" s="348">
        <f t="shared" si="156"/>
        <v>4975</v>
      </c>
      <c r="B4976" s="360">
        <f>DATE('Profit Calculation'!J$6,A$2,A$2+A4976-1)</f>
        <v>46979</v>
      </c>
      <c r="D4976" s="362">
        <f t="shared" ca="1" si="157"/>
        <v>411964320.2587384</v>
      </c>
    </row>
    <row r="4977" spans="1:4">
      <c r="A4977" s="348">
        <f t="shared" si="156"/>
        <v>4976</v>
      </c>
      <c r="B4977" s="360">
        <f>DATE('Profit Calculation'!J$6,A$2,A$2+A4977-1)</f>
        <v>46980</v>
      </c>
      <c r="D4977" s="362">
        <f t="shared" ca="1" si="157"/>
        <v>412122095.48715264</v>
      </c>
    </row>
    <row r="4978" spans="1:4">
      <c r="A4978" s="348">
        <f t="shared" si="156"/>
        <v>4977</v>
      </c>
      <c r="B4978" s="360">
        <f>DATE('Profit Calculation'!J$6,A$2,A$2+A4978-1)</f>
        <v>46981</v>
      </c>
      <c r="D4978" s="362">
        <f t="shared" ca="1" si="157"/>
        <v>412279931.1407578</v>
      </c>
    </row>
    <row r="4979" spans="1:4">
      <c r="A4979" s="348">
        <f t="shared" si="156"/>
        <v>4978</v>
      </c>
      <c r="B4979" s="360">
        <f>DATE('Profit Calculation'!J$6,A$2,A$2+A4979-1)</f>
        <v>46982</v>
      </c>
      <c r="D4979" s="362">
        <f t="shared" ca="1" si="157"/>
        <v>412437827.24269563</v>
      </c>
    </row>
    <row r="4980" spans="1:4">
      <c r="A4980" s="348">
        <f t="shared" si="156"/>
        <v>4979</v>
      </c>
      <c r="B4980" s="360">
        <f>DATE('Profit Calculation'!J$6,A$2,A$2+A4980-1)</f>
        <v>46983</v>
      </c>
      <c r="D4980" s="362">
        <f t="shared" ca="1" si="157"/>
        <v>412595783.81611687</v>
      </c>
    </row>
    <row r="4981" spans="1:4">
      <c r="A4981" s="348">
        <f t="shared" si="156"/>
        <v>4980</v>
      </c>
      <c r="B4981" s="360">
        <f>DATE('Profit Calculation'!J$6,A$2,A$2+A4981-1)</f>
        <v>46984</v>
      </c>
      <c r="D4981" s="362">
        <f t="shared" ca="1" si="157"/>
        <v>412753800.88418102</v>
      </c>
    </row>
    <row r="4982" spans="1:4">
      <c r="A4982" s="348">
        <f t="shared" si="156"/>
        <v>4981</v>
      </c>
      <c r="B4982" s="360">
        <f>DATE('Profit Calculation'!J$6,A$2,A$2+A4982-1)</f>
        <v>46985</v>
      </c>
      <c r="D4982" s="362">
        <f t="shared" ca="1" si="157"/>
        <v>412911878.47005653</v>
      </c>
    </row>
    <row r="4983" spans="1:4">
      <c r="A4983" s="348">
        <f t="shared" si="156"/>
        <v>4982</v>
      </c>
      <c r="B4983" s="360">
        <f>DATE('Profit Calculation'!J$6,A$2,A$2+A4983-1)</f>
        <v>46986</v>
      </c>
      <c r="D4983" s="362">
        <f t="shared" ca="1" si="157"/>
        <v>413070016.59692061</v>
      </c>
    </row>
    <row r="4984" spans="1:4">
      <c r="A4984" s="348">
        <f t="shared" si="156"/>
        <v>4983</v>
      </c>
      <c r="B4984" s="360">
        <f>DATE('Profit Calculation'!J$6,A$2,A$2+A4984-1)</f>
        <v>46987</v>
      </c>
      <c r="D4984" s="362">
        <f t="shared" ca="1" si="157"/>
        <v>413228215.28795946</v>
      </c>
    </row>
    <row r="4985" spans="1:4">
      <c r="A4985" s="348">
        <f t="shared" si="156"/>
        <v>4984</v>
      </c>
      <c r="B4985" s="360">
        <f>DATE('Profit Calculation'!J$6,A$2,A$2+A4985-1)</f>
        <v>46988</v>
      </c>
      <c r="D4985" s="362">
        <f t="shared" ca="1" si="157"/>
        <v>413386474.5663681</v>
      </c>
    </row>
    <row r="4986" spans="1:4">
      <c r="A4986" s="348">
        <f t="shared" si="156"/>
        <v>4985</v>
      </c>
      <c r="B4986" s="360">
        <f>DATE('Profit Calculation'!J$6,A$2,A$2+A4986-1)</f>
        <v>46989</v>
      </c>
      <c r="D4986" s="362">
        <f t="shared" ca="1" si="157"/>
        <v>413544794.45535046</v>
      </c>
    </row>
    <row r="4987" spans="1:4">
      <c r="A4987" s="348">
        <f t="shared" si="156"/>
        <v>4986</v>
      </c>
      <c r="B4987" s="360">
        <f>DATE('Profit Calculation'!J$6,A$2,A$2+A4987-1)</f>
        <v>46990</v>
      </c>
      <c r="D4987" s="362">
        <f t="shared" ca="1" si="157"/>
        <v>413703174.97811931</v>
      </c>
    </row>
    <row r="4988" spans="1:4">
      <c r="A4988" s="348">
        <f t="shared" si="156"/>
        <v>4987</v>
      </c>
      <c r="B4988" s="360">
        <f>DATE('Profit Calculation'!J$6,A$2,A$2+A4988-1)</f>
        <v>46991</v>
      </c>
      <c r="D4988" s="362">
        <f t="shared" ca="1" si="157"/>
        <v>413861616.1578964</v>
      </c>
    </row>
    <row r="4989" spans="1:4">
      <c r="A4989" s="348">
        <f t="shared" si="156"/>
        <v>4988</v>
      </c>
      <c r="B4989" s="360">
        <f>DATE('Profit Calculation'!J$6,A$2,A$2+A4989-1)</f>
        <v>46992</v>
      </c>
      <c r="D4989" s="362">
        <f t="shared" ca="1" si="157"/>
        <v>414020118.01791227</v>
      </c>
    </row>
    <row r="4990" spans="1:4">
      <c r="A4990" s="348">
        <f t="shared" si="156"/>
        <v>4989</v>
      </c>
      <c r="B4990" s="360">
        <f>DATE('Profit Calculation'!J$6,A$2,A$2+A4990-1)</f>
        <v>46993</v>
      </c>
      <c r="D4990" s="362">
        <f t="shared" ca="1" si="157"/>
        <v>414178680.58140641</v>
      </c>
    </row>
    <row r="4991" spans="1:4">
      <c r="A4991" s="348">
        <f t="shared" si="156"/>
        <v>4990</v>
      </c>
      <c r="B4991" s="360">
        <f>DATE('Profit Calculation'!J$6,A$2,A$2+A4991-1)</f>
        <v>46994</v>
      </c>
      <c r="D4991" s="362">
        <f t="shared" ca="1" si="157"/>
        <v>414337303.87162727</v>
      </c>
    </row>
    <row r="4992" spans="1:4">
      <c r="A4992" s="348">
        <f t="shared" si="156"/>
        <v>4991</v>
      </c>
      <c r="B4992" s="360">
        <f>DATE('Profit Calculation'!J$6,A$2,A$2+A4992-1)</f>
        <v>46995</v>
      </c>
      <c r="D4992" s="362">
        <f t="shared" ca="1" si="157"/>
        <v>414495987.91183209</v>
      </c>
    </row>
    <row r="4993" spans="1:4">
      <c r="A4993" s="348">
        <f t="shared" si="156"/>
        <v>4992</v>
      </c>
      <c r="B4993" s="360">
        <f>DATE('Profit Calculation'!J$6,A$2,A$2+A4993-1)</f>
        <v>46996</v>
      </c>
      <c r="D4993" s="362">
        <f t="shared" ca="1" si="157"/>
        <v>414654732.72528702</v>
      </c>
    </row>
    <row r="4994" spans="1:4">
      <c r="A4994" s="348">
        <f t="shared" si="156"/>
        <v>4993</v>
      </c>
      <c r="B4994" s="360">
        <f>DATE('Profit Calculation'!J$6,A$2,A$2+A4994-1)</f>
        <v>46997</v>
      </c>
      <c r="D4994" s="362">
        <f t="shared" ca="1" si="157"/>
        <v>414813538.33526725</v>
      </c>
    </row>
    <row r="4995" spans="1:4">
      <c r="A4995" s="348">
        <f t="shared" si="156"/>
        <v>4994</v>
      </c>
      <c r="B4995" s="360">
        <f>DATE('Profit Calculation'!J$6,A$2,A$2+A4995-1)</f>
        <v>46998</v>
      </c>
      <c r="D4995" s="362">
        <f t="shared" ca="1" si="157"/>
        <v>414972404.76505673</v>
      </c>
    </row>
    <row r="4996" spans="1:4">
      <c r="A4996" s="348">
        <f t="shared" si="156"/>
        <v>4995</v>
      </c>
      <c r="B4996" s="360">
        <f>DATE('Profit Calculation'!J$6,A$2,A$2+A4996-1)</f>
        <v>46999</v>
      </c>
      <c r="D4996" s="362">
        <f t="shared" ca="1" si="157"/>
        <v>415131332.03794843</v>
      </c>
    </row>
    <row r="4997" spans="1:4">
      <c r="A4997" s="348">
        <f t="shared" ref="A4997:A5060" si="158">A4996+1</f>
        <v>4996</v>
      </c>
      <c r="B4997" s="360">
        <f>DATE('Profit Calculation'!J$6,A$2,A$2+A4997-1)</f>
        <v>47000</v>
      </c>
      <c r="D4997" s="362">
        <f t="shared" ref="D4997:D5060" ca="1" si="159">IF(OR(LOOKUP(B4997,W$1:W$35,W$1:W$35) = B4997, LOOKUP(B4997,X$1:X$35,X$1:X$35) = B4997),LOOKUP(B4997,F:F,G:G),D4996*(1+((IF($Q$18&lt;6,$R$14,IF($Q$18&lt;11,$R$15,$R$16)))))^(1/365))</f>
        <v>415290320.17724419</v>
      </c>
    </row>
    <row r="4998" spans="1:4">
      <c r="A4998" s="348">
        <f t="shared" si="158"/>
        <v>4997</v>
      </c>
      <c r="B4998" s="360">
        <f>DATE('Profit Calculation'!J$6,A$2,A$2+A4998-1)</f>
        <v>47001</v>
      </c>
      <c r="D4998" s="362">
        <f t="shared" ca="1" si="159"/>
        <v>415449369.20625484</v>
      </c>
    </row>
    <row r="4999" spans="1:4">
      <c r="A4999" s="348">
        <f t="shared" si="158"/>
        <v>4998</v>
      </c>
      <c r="B4999" s="360">
        <f>DATE('Profit Calculation'!J$6,A$2,A$2+A4999-1)</f>
        <v>47002</v>
      </c>
      <c r="D4999" s="362">
        <f t="shared" ca="1" si="159"/>
        <v>415608479.14830005</v>
      </c>
    </row>
    <row r="5000" spans="1:4">
      <c r="A5000" s="348">
        <f t="shared" si="158"/>
        <v>4999</v>
      </c>
      <c r="B5000" s="360">
        <f>DATE('Profit Calculation'!J$6,A$2,A$2+A5000-1)</f>
        <v>47003</v>
      </c>
      <c r="D5000" s="362">
        <f t="shared" ca="1" si="159"/>
        <v>415767650.02670848</v>
      </c>
    </row>
    <row r="5001" spans="1:4">
      <c r="A5001" s="348">
        <f t="shared" si="158"/>
        <v>5000</v>
      </c>
      <c r="B5001" s="360">
        <f>DATE('Profit Calculation'!J$6,A$2,A$2+A5001-1)</f>
        <v>47004</v>
      </c>
      <c r="D5001" s="362">
        <f t="shared" ca="1" si="159"/>
        <v>415926881.86481768</v>
      </c>
    </row>
    <row r="5002" spans="1:4">
      <c r="A5002" s="348">
        <f t="shared" si="158"/>
        <v>5001</v>
      </c>
      <c r="B5002" s="360">
        <f>DATE('Profit Calculation'!J$6,A$2,A$2+A5002-1)</f>
        <v>47005</v>
      </c>
      <c r="D5002" s="362">
        <f t="shared" ca="1" si="159"/>
        <v>416086174.68597418</v>
      </c>
    </row>
    <row r="5003" spans="1:4">
      <c r="A5003" s="348">
        <f t="shared" si="158"/>
        <v>5002</v>
      </c>
      <c r="B5003" s="360">
        <f>DATE('Profit Calculation'!J$6,A$2,A$2+A5003-1)</f>
        <v>47006</v>
      </c>
      <c r="D5003" s="362">
        <f t="shared" ca="1" si="159"/>
        <v>416245528.51353347</v>
      </c>
    </row>
    <row r="5004" spans="1:4">
      <c r="A5004" s="348">
        <f t="shared" si="158"/>
        <v>5003</v>
      </c>
      <c r="B5004" s="360">
        <f>DATE('Profit Calculation'!J$6,A$2,A$2+A5004-1)</f>
        <v>47007</v>
      </c>
      <c r="D5004" s="362">
        <f t="shared" ca="1" si="159"/>
        <v>416404943.37085992</v>
      </c>
    </row>
    <row r="5005" spans="1:4">
      <c r="A5005" s="348">
        <f t="shared" si="158"/>
        <v>5004</v>
      </c>
      <c r="B5005" s="360">
        <f>DATE('Profit Calculation'!J$6,A$2,A$2+A5005-1)</f>
        <v>47008</v>
      </c>
      <c r="D5005" s="362">
        <f t="shared" ca="1" si="159"/>
        <v>416564419.28132683</v>
      </c>
    </row>
    <row r="5006" spans="1:4">
      <c r="A5006" s="348">
        <f t="shared" si="158"/>
        <v>5005</v>
      </c>
      <c r="B5006" s="360">
        <f>DATE('Profit Calculation'!J$6,A$2,A$2+A5006-1)</f>
        <v>47009</v>
      </c>
      <c r="D5006" s="362">
        <f t="shared" ca="1" si="159"/>
        <v>416723956.26831657</v>
      </c>
    </row>
    <row r="5007" spans="1:4">
      <c r="A5007" s="348">
        <f t="shared" si="158"/>
        <v>5006</v>
      </c>
      <c r="B5007" s="360">
        <f>DATE('Profit Calculation'!J$6,A$2,A$2+A5007-1)</f>
        <v>47010</v>
      </c>
      <c r="D5007" s="362">
        <f t="shared" ca="1" si="159"/>
        <v>416883554.35522038</v>
      </c>
    </row>
    <row r="5008" spans="1:4">
      <c r="A5008" s="348">
        <f t="shared" si="158"/>
        <v>5007</v>
      </c>
      <c r="B5008" s="360">
        <f>DATE('Profit Calculation'!J$6,A$2,A$2+A5008-1)</f>
        <v>47011</v>
      </c>
      <c r="D5008" s="362">
        <f t="shared" ca="1" si="159"/>
        <v>417043213.56543845</v>
      </c>
    </row>
    <row r="5009" spans="1:4">
      <c r="A5009" s="348">
        <f t="shared" si="158"/>
        <v>5008</v>
      </c>
      <c r="B5009" s="360">
        <f>DATE('Profit Calculation'!J$6,A$2,A$2+A5009-1)</f>
        <v>47012</v>
      </c>
      <c r="D5009" s="362">
        <f t="shared" ca="1" si="159"/>
        <v>417202933.92237997</v>
      </c>
    </row>
    <row r="5010" spans="1:4">
      <c r="A5010" s="348">
        <f t="shared" si="158"/>
        <v>5009</v>
      </c>
      <c r="B5010" s="360">
        <f>DATE('Profit Calculation'!J$6,A$2,A$2+A5010-1)</f>
        <v>47013</v>
      </c>
      <c r="D5010" s="362">
        <f t="shared" ca="1" si="159"/>
        <v>417362715.44946307</v>
      </c>
    </row>
    <row r="5011" spans="1:4">
      <c r="A5011" s="348">
        <f t="shared" si="158"/>
        <v>5010</v>
      </c>
      <c r="B5011" s="360">
        <f>DATE('Profit Calculation'!J$6,A$2,A$2+A5011-1)</f>
        <v>47014</v>
      </c>
      <c r="D5011" s="362">
        <f t="shared" ca="1" si="159"/>
        <v>417522558.17011487</v>
      </c>
    </row>
    <row r="5012" spans="1:4">
      <c r="A5012" s="348">
        <f t="shared" si="158"/>
        <v>5011</v>
      </c>
      <c r="B5012" s="360">
        <f>DATE('Profit Calculation'!J$6,A$2,A$2+A5012-1)</f>
        <v>47015</v>
      </c>
      <c r="D5012" s="362">
        <f t="shared" ca="1" si="159"/>
        <v>417682462.10777146</v>
      </c>
    </row>
    <row r="5013" spans="1:4">
      <c r="A5013" s="348">
        <f t="shared" si="158"/>
        <v>5012</v>
      </c>
      <c r="B5013" s="360">
        <f>DATE('Profit Calculation'!J$6,A$2,A$2+A5013-1)</f>
        <v>47016</v>
      </c>
      <c r="D5013" s="362">
        <f t="shared" ca="1" si="159"/>
        <v>417842427.28587782</v>
      </c>
    </row>
    <row r="5014" spans="1:4">
      <c r="A5014" s="348">
        <f t="shared" si="158"/>
        <v>5013</v>
      </c>
      <c r="B5014" s="360">
        <f>DATE('Profit Calculation'!J$6,A$2,A$2+A5014-1)</f>
        <v>47017</v>
      </c>
      <c r="D5014" s="362">
        <f t="shared" ca="1" si="159"/>
        <v>418002453.72788811</v>
      </c>
    </row>
    <row r="5015" spans="1:4">
      <c r="A5015" s="348">
        <f t="shared" si="158"/>
        <v>5014</v>
      </c>
      <c r="B5015" s="360">
        <f>DATE('Profit Calculation'!J$6,A$2,A$2+A5015-1)</f>
        <v>47018</v>
      </c>
      <c r="D5015" s="362">
        <f t="shared" ca="1" si="159"/>
        <v>418162541.45726526</v>
      </c>
    </row>
    <row r="5016" spans="1:4">
      <c r="A5016" s="348">
        <f t="shared" si="158"/>
        <v>5015</v>
      </c>
      <c r="B5016" s="360">
        <f>DATE('Profit Calculation'!J$6,A$2,A$2+A5016-1)</f>
        <v>47019</v>
      </c>
      <c r="D5016" s="362">
        <f t="shared" ca="1" si="159"/>
        <v>418322690.49748129</v>
      </c>
    </row>
    <row r="5017" spans="1:4">
      <c r="A5017" s="348">
        <f t="shared" si="158"/>
        <v>5016</v>
      </c>
      <c r="B5017" s="360">
        <f>DATE('Profit Calculation'!J$6,A$2,A$2+A5017-1)</f>
        <v>47020</v>
      </c>
      <c r="D5017" s="362">
        <f t="shared" ca="1" si="159"/>
        <v>418482900.8720172</v>
      </c>
    </row>
    <row r="5018" spans="1:4">
      <c r="A5018" s="348">
        <f t="shared" si="158"/>
        <v>5017</v>
      </c>
      <c r="B5018" s="360">
        <f>DATE('Profit Calculation'!J$6,A$2,A$2+A5018-1)</f>
        <v>47021</v>
      </c>
      <c r="D5018" s="362">
        <f t="shared" ca="1" si="159"/>
        <v>418643172.60436302</v>
      </c>
    </row>
    <row r="5019" spans="1:4">
      <c r="A5019" s="348">
        <f t="shared" si="158"/>
        <v>5018</v>
      </c>
      <c r="B5019" s="360">
        <f>DATE('Profit Calculation'!J$6,A$2,A$2+A5019-1)</f>
        <v>47022</v>
      </c>
      <c r="D5019" s="362">
        <f t="shared" ca="1" si="159"/>
        <v>418803505.7180177</v>
      </c>
    </row>
    <row r="5020" spans="1:4">
      <c r="A5020" s="348">
        <f t="shared" si="158"/>
        <v>5019</v>
      </c>
      <c r="B5020" s="360">
        <f>DATE('Profit Calculation'!J$6,A$2,A$2+A5020-1)</f>
        <v>47023</v>
      </c>
      <c r="D5020" s="362">
        <f t="shared" ca="1" si="159"/>
        <v>418963900.23648918</v>
      </c>
    </row>
    <row r="5021" spans="1:4">
      <c r="A5021" s="348">
        <f t="shared" si="158"/>
        <v>5020</v>
      </c>
      <c r="B5021" s="360">
        <f>DATE('Profit Calculation'!J$6,A$2,A$2+A5021-1)</f>
        <v>47024</v>
      </c>
      <c r="D5021" s="362">
        <f t="shared" ca="1" si="159"/>
        <v>419124356.18329448</v>
      </c>
    </row>
    <row r="5022" spans="1:4">
      <c r="A5022" s="348">
        <f t="shared" si="158"/>
        <v>5021</v>
      </c>
      <c r="B5022" s="360">
        <f>DATE('Profit Calculation'!J$6,A$2,A$2+A5022-1)</f>
        <v>47025</v>
      </c>
      <c r="D5022" s="362">
        <f t="shared" ca="1" si="159"/>
        <v>419284873.58195961</v>
      </c>
    </row>
    <row r="5023" spans="1:4">
      <c r="A5023" s="348">
        <f t="shared" si="158"/>
        <v>5022</v>
      </c>
      <c r="B5023" s="360">
        <f>DATE('Profit Calculation'!J$6,A$2,A$2+A5023-1)</f>
        <v>47026</v>
      </c>
      <c r="D5023" s="362">
        <f t="shared" ca="1" si="159"/>
        <v>419445452.45601958</v>
      </c>
    </row>
    <row r="5024" spans="1:4">
      <c r="A5024" s="348">
        <f t="shared" si="158"/>
        <v>5023</v>
      </c>
      <c r="B5024" s="360">
        <f>DATE('Profit Calculation'!J$6,A$2,A$2+A5024-1)</f>
        <v>47027</v>
      </c>
      <c r="D5024" s="362">
        <f t="shared" ca="1" si="159"/>
        <v>419606092.82901835</v>
      </c>
    </row>
    <row r="5025" spans="1:4">
      <c r="A5025" s="348">
        <f t="shared" si="158"/>
        <v>5024</v>
      </c>
      <c r="B5025" s="360">
        <f>DATE('Profit Calculation'!J$6,A$2,A$2+A5025-1)</f>
        <v>47028</v>
      </c>
      <c r="D5025" s="362">
        <f t="shared" ca="1" si="159"/>
        <v>419766794.724509</v>
      </c>
    </row>
    <row r="5026" spans="1:4">
      <c r="A5026" s="348">
        <f t="shared" si="158"/>
        <v>5025</v>
      </c>
      <c r="B5026" s="360">
        <f>DATE('Profit Calculation'!J$6,A$2,A$2+A5026-1)</f>
        <v>47029</v>
      </c>
      <c r="D5026" s="362">
        <f t="shared" ca="1" si="159"/>
        <v>419927558.16605359</v>
      </c>
    </row>
    <row r="5027" spans="1:4">
      <c r="A5027" s="348">
        <f t="shared" si="158"/>
        <v>5026</v>
      </c>
      <c r="B5027" s="360">
        <f>DATE('Profit Calculation'!J$6,A$2,A$2+A5027-1)</f>
        <v>47030</v>
      </c>
      <c r="D5027" s="362">
        <f t="shared" ca="1" si="159"/>
        <v>420088383.17722315</v>
      </c>
    </row>
    <row r="5028" spans="1:4">
      <c r="A5028" s="348">
        <f t="shared" si="158"/>
        <v>5027</v>
      </c>
      <c r="B5028" s="360">
        <f>DATE('Profit Calculation'!J$6,A$2,A$2+A5028-1)</f>
        <v>47031</v>
      </c>
      <c r="D5028" s="362">
        <f t="shared" ca="1" si="159"/>
        <v>420249269.78159779</v>
      </c>
    </row>
    <row r="5029" spans="1:4">
      <c r="A5029" s="348">
        <f t="shared" si="158"/>
        <v>5028</v>
      </c>
      <c r="B5029" s="360">
        <f>DATE('Profit Calculation'!J$6,A$2,A$2+A5029-1)</f>
        <v>47032</v>
      </c>
      <c r="D5029" s="362">
        <f t="shared" ca="1" si="159"/>
        <v>420410218.00276673</v>
      </c>
    </row>
    <row r="5030" spans="1:4">
      <c r="A5030" s="348">
        <f t="shared" si="158"/>
        <v>5029</v>
      </c>
      <c r="B5030" s="360">
        <f>DATE('Profit Calculation'!J$6,A$2,A$2+A5030-1)</f>
        <v>47033</v>
      </c>
      <c r="D5030" s="362">
        <f t="shared" ca="1" si="159"/>
        <v>420571227.86432803</v>
      </c>
    </row>
    <row r="5031" spans="1:4">
      <c r="A5031" s="348">
        <f t="shared" si="158"/>
        <v>5030</v>
      </c>
      <c r="B5031" s="360">
        <f>DATE('Profit Calculation'!J$6,A$2,A$2+A5031-1)</f>
        <v>47034</v>
      </c>
      <c r="D5031" s="362">
        <f t="shared" ca="1" si="159"/>
        <v>420732299.38988894</v>
      </c>
    </row>
    <row r="5032" spans="1:4">
      <c r="A5032" s="348">
        <f t="shared" si="158"/>
        <v>5031</v>
      </c>
      <c r="B5032" s="360">
        <f>DATE('Profit Calculation'!J$6,A$2,A$2+A5032-1)</f>
        <v>47035</v>
      </c>
      <c r="D5032" s="362">
        <f t="shared" ca="1" si="159"/>
        <v>420893432.60306573</v>
      </c>
    </row>
    <row r="5033" spans="1:4">
      <c r="A5033" s="348">
        <f t="shared" si="158"/>
        <v>5032</v>
      </c>
      <c r="B5033" s="360">
        <f>DATE('Profit Calculation'!J$6,A$2,A$2+A5033-1)</f>
        <v>47036</v>
      </c>
      <c r="D5033" s="362">
        <f t="shared" ca="1" si="159"/>
        <v>421054627.52748364</v>
      </c>
    </row>
    <row r="5034" spans="1:4">
      <c r="A5034" s="348">
        <f t="shared" si="158"/>
        <v>5033</v>
      </c>
      <c r="B5034" s="360">
        <f>DATE('Profit Calculation'!J$6,A$2,A$2+A5034-1)</f>
        <v>47037</v>
      </c>
      <c r="D5034" s="362">
        <f t="shared" ca="1" si="159"/>
        <v>421215884.18677706</v>
      </c>
    </row>
    <row r="5035" spans="1:4">
      <c r="A5035" s="348">
        <f t="shared" si="158"/>
        <v>5034</v>
      </c>
      <c r="B5035" s="360">
        <f>DATE('Profit Calculation'!J$6,A$2,A$2+A5035-1)</f>
        <v>47038</v>
      </c>
      <c r="D5035" s="362">
        <f t="shared" ca="1" si="159"/>
        <v>421377202.6045894</v>
      </c>
    </row>
    <row r="5036" spans="1:4">
      <c r="A5036" s="348">
        <f t="shared" si="158"/>
        <v>5035</v>
      </c>
      <c r="B5036" s="360">
        <f>DATE('Profit Calculation'!J$6,A$2,A$2+A5036-1)</f>
        <v>47039</v>
      </c>
      <c r="D5036" s="362">
        <f t="shared" ca="1" si="159"/>
        <v>421538582.80457306</v>
      </c>
    </row>
    <row r="5037" spans="1:4">
      <c r="A5037" s="348">
        <f t="shared" si="158"/>
        <v>5036</v>
      </c>
      <c r="B5037" s="360">
        <f>DATE('Profit Calculation'!J$6,A$2,A$2+A5037-1)</f>
        <v>47040</v>
      </c>
      <c r="D5037" s="362">
        <f t="shared" ca="1" si="159"/>
        <v>421700024.81038958</v>
      </c>
    </row>
    <row r="5038" spans="1:4">
      <c r="A5038" s="348">
        <f t="shared" si="158"/>
        <v>5037</v>
      </c>
      <c r="B5038" s="360">
        <f>DATE('Profit Calculation'!J$6,A$2,A$2+A5038-1)</f>
        <v>47041</v>
      </c>
      <c r="D5038" s="362">
        <f t="shared" ca="1" si="159"/>
        <v>421861528.64570946</v>
      </c>
    </row>
    <row r="5039" spans="1:4">
      <c r="A5039" s="348">
        <f t="shared" si="158"/>
        <v>5038</v>
      </c>
      <c r="B5039" s="360">
        <f>DATE('Profit Calculation'!J$6,A$2,A$2+A5039-1)</f>
        <v>47042</v>
      </c>
      <c r="D5039" s="362">
        <f t="shared" ca="1" si="159"/>
        <v>422023094.33421242</v>
      </c>
    </row>
    <row r="5040" spans="1:4">
      <c r="A5040" s="348">
        <f t="shared" si="158"/>
        <v>5039</v>
      </c>
      <c r="B5040" s="360">
        <f>DATE('Profit Calculation'!J$6,A$2,A$2+A5040-1)</f>
        <v>47043</v>
      </c>
      <c r="D5040" s="362">
        <f t="shared" ca="1" si="159"/>
        <v>422184721.89958709</v>
      </c>
    </row>
    <row r="5041" spans="1:4">
      <c r="A5041" s="348">
        <f t="shared" si="158"/>
        <v>5040</v>
      </c>
      <c r="B5041" s="360">
        <f>DATE('Profit Calculation'!J$6,A$2,A$2+A5041-1)</f>
        <v>47044</v>
      </c>
      <c r="D5041" s="362">
        <f t="shared" ca="1" si="159"/>
        <v>422346411.36553133</v>
      </c>
    </row>
    <row r="5042" spans="1:4">
      <c r="A5042" s="348">
        <f t="shared" si="158"/>
        <v>5041</v>
      </c>
      <c r="B5042" s="360">
        <f>DATE('Profit Calculation'!J$6,A$2,A$2+A5042-1)</f>
        <v>47045</v>
      </c>
      <c r="D5042" s="362">
        <f t="shared" ca="1" si="159"/>
        <v>422508162.75575191</v>
      </c>
    </row>
    <row r="5043" spans="1:4">
      <c r="A5043" s="348">
        <f t="shared" si="158"/>
        <v>5042</v>
      </c>
      <c r="B5043" s="360">
        <f>DATE('Profit Calculation'!J$6,A$2,A$2+A5043-1)</f>
        <v>47046</v>
      </c>
      <c r="D5043" s="362">
        <f t="shared" ca="1" si="159"/>
        <v>422669976.09396476</v>
      </c>
    </row>
    <row r="5044" spans="1:4">
      <c r="A5044" s="348">
        <f t="shared" si="158"/>
        <v>5043</v>
      </c>
      <c r="B5044" s="360">
        <f>DATE('Profit Calculation'!J$6,A$2,A$2+A5044-1)</f>
        <v>47047</v>
      </c>
      <c r="D5044" s="362">
        <f t="shared" ca="1" si="159"/>
        <v>422831851.40389496</v>
      </c>
    </row>
    <row r="5045" spans="1:4">
      <c r="A5045" s="348">
        <f t="shared" si="158"/>
        <v>5044</v>
      </c>
      <c r="B5045" s="360">
        <f>DATE('Profit Calculation'!J$6,A$2,A$2+A5045-1)</f>
        <v>47048</v>
      </c>
      <c r="D5045" s="362">
        <f t="shared" ca="1" si="159"/>
        <v>422993788.70927656</v>
      </c>
    </row>
    <row r="5046" spans="1:4">
      <c r="A5046" s="348">
        <f t="shared" si="158"/>
        <v>5045</v>
      </c>
      <c r="B5046" s="360">
        <f>DATE('Profit Calculation'!J$6,A$2,A$2+A5046-1)</f>
        <v>47049</v>
      </c>
      <c r="D5046" s="362">
        <f t="shared" ca="1" si="159"/>
        <v>423155788.03385276</v>
      </c>
    </row>
    <row r="5047" spans="1:4">
      <c r="A5047" s="348">
        <f t="shared" si="158"/>
        <v>5046</v>
      </c>
      <c r="B5047" s="360">
        <f>DATE('Profit Calculation'!J$6,A$2,A$2+A5047-1)</f>
        <v>47050</v>
      </c>
      <c r="D5047" s="362">
        <f t="shared" ca="1" si="159"/>
        <v>423317849.40137583</v>
      </c>
    </row>
    <row r="5048" spans="1:4">
      <c r="A5048" s="348">
        <f t="shared" si="158"/>
        <v>5047</v>
      </c>
      <c r="B5048" s="360">
        <f>DATE('Profit Calculation'!J$6,A$2,A$2+A5048-1)</f>
        <v>47051</v>
      </c>
      <c r="D5048" s="362">
        <f t="shared" ca="1" si="159"/>
        <v>423479972.83560717</v>
      </c>
    </row>
    <row r="5049" spans="1:4">
      <c r="A5049" s="348">
        <f t="shared" si="158"/>
        <v>5048</v>
      </c>
      <c r="B5049" s="360">
        <f>DATE('Profit Calculation'!J$6,A$2,A$2+A5049-1)</f>
        <v>47052</v>
      </c>
      <c r="D5049" s="362">
        <f t="shared" ca="1" si="159"/>
        <v>423642158.36031723</v>
      </c>
    </row>
    <row r="5050" spans="1:4">
      <c r="A5050" s="348">
        <f t="shared" si="158"/>
        <v>5049</v>
      </c>
      <c r="B5050" s="360">
        <f>DATE('Profit Calculation'!J$6,A$2,A$2+A5050-1)</f>
        <v>47053</v>
      </c>
      <c r="D5050" s="362">
        <f t="shared" ca="1" si="159"/>
        <v>423804405.99928564</v>
      </c>
    </row>
    <row r="5051" spans="1:4">
      <c r="A5051" s="348">
        <f t="shared" si="158"/>
        <v>5050</v>
      </c>
      <c r="B5051" s="360">
        <f>DATE('Profit Calculation'!J$6,A$2,A$2+A5051-1)</f>
        <v>47054</v>
      </c>
      <c r="D5051" s="362">
        <f t="shared" ca="1" si="159"/>
        <v>423966715.77630103</v>
      </c>
    </row>
    <row r="5052" spans="1:4">
      <c r="A5052" s="348">
        <f t="shared" si="158"/>
        <v>5051</v>
      </c>
      <c r="B5052" s="360">
        <f>DATE('Profit Calculation'!J$6,A$2,A$2+A5052-1)</f>
        <v>47055</v>
      </c>
      <c r="D5052" s="362">
        <f t="shared" ca="1" si="159"/>
        <v>424129087.7151612</v>
      </c>
    </row>
    <row r="5053" spans="1:4">
      <c r="A5053" s="348">
        <f t="shared" si="158"/>
        <v>5052</v>
      </c>
      <c r="B5053" s="360">
        <f>DATE('Profit Calculation'!J$6,A$2,A$2+A5053-1)</f>
        <v>47056</v>
      </c>
      <c r="D5053" s="362">
        <f t="shared" ca="1" si="159"/>
        <v>424291521.8396731</v>
      </c>
    </row>
    <row r="5054" spans="1:4">
      <c r="A5054" s="348">
        <f t="shared" si="158"/>
        <v>5053</v>
      </c>
      <c r="B5054" s="360">
        <f>DATE('Profit Calculation'!J$6,A$2,A$2+A5054-1)</f>
        <v>47057</v>
      </c>
      <c r="D5054" s="362">
        <f t="shared" ca="1" si="159"/>
        <v>424454018.17365277</v>
      </c>
    </row>
    <row r="5055" spans="1:4">
      <c r="A5055" s="348">
        <f t="shared" si="158"/>
        <v>5054</v>
      </c>
      <c r="B5055" s="360">
        <f>DATE('Profit Calculation'!J$6,A$2,A$2+A5055-1)</f>
        <v>47058</v>
      </c>
      <c r="D5055" s="362">
        <f t="shared" ca="1" si="159"/>
        <v>424616576.74092537</v>
      </c>
    </row>
    <row r="5056" spans="1:4">
      <c r="A5056" s="348">
        <f t="shared" si="158"/>
        <v>5055</v>
      </c>
      <c r="B5056" s="360">
        <f>DATE('Profit Calculation'!J$6,A$2,A$2+A5056-1)</f>
        <v>47059</v>
      </c>
      <c r="D5056" s="362">
        <f t="shared" ca="1" si="159"/>
        <v>424779197.56532514</v>
      </c>
    </row>
    <row r="5057" spans="1:4">
      <c r="A5057" s="348">
        <f t="shared" si="158"/>
        <v>5056</v>
      </c>
      <c r="B5057" s="360">
        <f>DATE('Profit Calculation'!J$6,A$2,A$2+A5057-1)</f>
        <v>47060</v>
      </c>
      <c r="D5057" s="362">
        <f t="shared" ca="1" si="159"/>
        <v>424941880.67069548</v>
      </c>
    </row>
    <row r="5058" spans="1:4">
      <c r="A5058" s="348">
        <f t="shared" si="158"/>
        <v>5057</v>
      </c>
      <c r="B5058" s="360">
        <f>DATE('Profit Calculation'!J$6,A$2,A$2+A5058-1)</f>
        <v>47061</v>
      </c>
      <c r="D5058" s="362">
        <f t="shared" ca="1" si="159"/>
        <v>425104626.08088899</v>
      </c>
    </row>
    <row r="5059" spans="1:4">
      <c r="A5059" s="348">
        <f t="shared" si="158"/>
        <v>5058</v>
      </c>
      <c r="B5059" s="360">
        <f>DATE('Profit Calculation'!J$6,A$2,A$2+A5059-1)</f>
        <v>47062</v>
      </c>
      <c r="D5059" s="362">
        <f t="shared" ca="1" si="159"/>
        <v>425267433.8197673</v>
      </c>
    </row>
    <row r="5060" spans="1:4">
      <c r="A5060" s="348">
        <f t="shared" si="158"/>
        <v>5059</v>
      </c>
      <c r="B5060" s="360">
        <f>DATE('Profit Calculation'!J$6,A$2,A$2+A5060-1)</f>
        <v>47063</v>
      </c>
      <c r="D5060" s="362">
        <f t="shared" ca="1" si="159"/>
        <v>425430303.91120118</v>
      </c>
    </row>
    <row r="5061" spans="1:4">
      <c r="A5061" s="348">
        <f t="shared" ref="A5061:A5124" si="160">A5060+1</f>
        <v>5060</v>
      </c>
      <c r="B5061" s="360">
        <f>DATE('Profit Calculation'!J$6,A$2,A$2+A5061-1)</f>
        <v>47064</v>
      </c>
      <c r="D5061" s="362">
        <f t="shared" ref="D5061:D5124" ca="1" si="161">IF(OR(LOOKUP(B5061,W$1:W$35,W$1:W$35) = B5061, LOOKUP(B5061,X$1:X$35,X$1:X$35) = B5061),LOOKUP(B5061,F:F,G:G),D5060*(1+((IF($Q$18&lt;6,$R$14,IF($Q$18&lt;11,$R$15,$R$16)))))^(1/365))</f>
        <v>425593236.37907064</v>
      </c>
    </row>
    <row r="5062" spans="1:4">
      <c r="A5062" s="348">
        <f t="shared" si="160"/>
        <v>5061</v>
      </c>
      <c r="B5062" s="360">
        <f>DATE('Profit Calculation'!J$6,A$2,A$2+A5062-1)</f>
        <v>47065</v>
      </c>
      <c r="D5062" s="362">
        <f t="shared" ca="1" si="161"/>
        <v>425756231.24726474</v>
      </c>
    </row>
    <row r="5063" spans="1:4">
      <c r="A5063" s="348">
        <f t="shared" si="160"/>
        <v>5062</v>
      </c>
      <c r="B5063" s="360">
        <f>DATE('Profit Calculation'!J$6,A$2,A$2+A5063-1)</f>
        <v>47066</v>
      </c>
      <c r="D5063" s="362">
        <f t="shared" ca="1" si="161"/>
        <v>425919288.53968179</v>
      </c>
    </row>
    <row r="5064" spans="1:4">
      <c r="A5064" s="348">
        <f t="shared" si="160"/>
        <v>5063</v>
      </c>
      <c r="B5064" s="360">
        <f>DATE('Profit Calculation'!J$6,A$2,A$2+A5064-1)</f>
        <v>47067</v>
      </c>
      <c r="D5064" s="362">
        <f t="shared" ca="1" si="161"/>
        <v>426082408.28022915</v>
      </c>
    </row>
    <row r="5065" spans="1:4">
      <c r="A5065" s="348">
        <f t="shared" si="160"/>
        <v>5064</v>
      </c>
      <c r="B5065" s="360">
        <f>DATE('Profit Calculation'!J$6,A$2,A$2+A5065-1)</f>
        <v>47068</v>
      </c>
      <c r="D5065" s="362">
        <f t="shared" ca="1" si="161"/>
        <v>426245590.49282336</v>
      </c>
    </row>
    <row r="5066" spans="1:4">
      <c r="A5066" s="348">
        <f t="shared" si="160"/>
        <v>5065</v>
      </c>
      <c r="B5066" s="360">
        <f>DATE('Profit Calculation'!J$6,A$2,A$2+A5066-1)</f>
        <v>47069</v>
      </c>
      <c r="D5066" s="362">
        <f t="shared" ca="1" si="161"/>
        <v>426408835.20139015</v>
      </c>
    </row>
    <row r="5067" spans="1:4">
      <c r="A5067" s="348">
        <f t="shared" si="160"/>
        <v>5066</v>
      </c>
      <c r="B5067" s="360">
        <f>DATE('Profit Calculation'!J$6,A$2,A$2+A5067-1)</f>
        <v>47070</v>
      </c>
      <c r="D5067" s="362">
        <f t="shared" ca="1" si="161"/>
        <v>426572142.42986441</v>
      </c>
    </row>
    <row r="5068" spans="1:4">
      <c r="A5068" s="348">
        <f t="shared" si="160"/>
        <v>5067</v>
      </c>
      <c r="B5068" s="360">
        <f>DATE('Profit Calculation'!J$6,A$2,A$2+A5068-1)</f>
        <v>47071</v>
      </c>
      <c r="D5068" s="362">
        <f t="shared" ca="1" si="161"/>
        <v>426735512.20219022</v>
      </c>
    </row>
    <row r="5069" spans="1:4">
      <c r="A5069" s="348">
        <f t="shared" si="160"/>
        <v>5068</v>
      </c>
      <c r="B5069" s="360">
        <f>DATE('Profit Calculation'!J$6,A$2,A$2+A5069-1)</f>
        <v>47072</v>
      </c>
      <c r="D5069" s="362">
        <f t="shared" ca="1" si="161"/>
        <v>426898944.54232073</v>
      </c>
    </row>
    <row r="5070" spans="1:4">
      <c r="A5070" s="348">
        <f t="shared" si="160"/>
        <v>5069</v>
      </c>
      <c r="B5070" s="360">
        <f>DATE('Profit Calculation'!J$6,A$2,A$2+A5070-1)</f>
        <v>47073</v>
      </c>
      <c r="D5070" s="362">
        <f t="shared" ca="1" si="161"/>
        <v>427062439.47421837</v>
      </c>
    </row>
    <row r="5071" spans="1:4">
      <c r="A5071" s="348">
        <f t="shared" si="160"/>
        <v>5070</v>
      </c>
      <c r="B5071" s="360">
        <f>DATE('Profit Calculation'!J$6,A$2,A$2+A5071-1)</f>
        <v>47074</v>
      </c>
      <c r="D5071" s="362">
        <f t="shared" ca="1" si="161"/>
        <v>427225997.0218547</v>
      </c>
    </row>
    <row r="5072" spans="1:4">
      <c r="A5072" s="348">
        <f t="shared" si="160"/>
        <v>5071</v>
      </c>
      <c r="B5072" s="360">
        <f>DATE('Profit Calculation'!J$6,A$2,A$2+A5072-1)</f>
        <v>47075</v>
      </c>
      <c r="D5072" s="362">
        <f t="shared" ca="1" si="161"/>
        <v>427389617.20921046</v>
      </c>
    </row>
    <row r="5073" spans="1:4">
      <c r="A5073" s="348">
        <f t="shared" si="160"/>
        <v>5072</v>
      </c>
      <c r="B5073" s="360">
        <f>DATE('Profit Calculation'!J$6,A$2,A$2+A5073-1)</f>
        <v>47076</v>
      </c>
      <c r="D5073" s="362">
        <f t="shared" ca="1" si="161"/>
        <v>427553300.06027555</v>
      </c>
    </row>
    <row r="5074" spans="1:4">
      <c r="A5074" s="348">
        <f t="shared" si="160"/>
        <v>5073</v>
      </c>
      <c r="B5074" s="360">
        <f>DATE('Profit Calculation'!J$6,A$2,A$2+A5074-1)</f>
        <v>47077</v>
      </c>
      <c r="D5074" s="362">
        <f t="shared" ca="1" si="161"/>
        <v>427717045.59904915</v>
      </c>
    </row>
    <row r="5075" spans="1:4">
      <c r="A5075" s="348">
        <f t="shared" si="160"/>
        <v>5074</v>
      </c>
      <c r="B5075" s="360">
        <f>DATE('Profit Calculation'!J$6,A$2,A$2+A5075-1)</f>
        <v>47078</v>
      </c>
      <c r="D5075" s="362">
        <f t="shared" ca="1" si="161"/>
        <v>427880853.84953952</v>
      </c>
    </row>
    <row r="5076" spans="1:4">
      <c r="A5076" s="348">
        <f t="shared" si="160"/>
        <v>5075</v>
      </c>
      <c r="B5076" s="360">
        <f>DATE('Profit Calculation'!J$6,A$2,A$2+A5076-1)</f>
        <v>47079</v>
      </c>
      <c r="D5076" s="362">
        <f t="shared" ca="1" si="161"/>
        <v>428044724.83576423</v>
      </c>
    </row>
    <row r="5077" spans="1:4">
      <c r="A5077" s="348">
        <f t="shared" si="160"/>
        <v>5076</v>
      </c>
      <c r="B5077" s="360">
        <f>DATE('Profit Calculation'!J$6,A$2,A$2+A5077-1)</f>
        <v>47080</v>
      </c>
      <c r="D5077" s="362">
        <f t="shared" ca="1" si="161"/>
        <v>428208658.58174992</v>
      </c>
    </row>
    <row r="5078" spans="1:4">
      <c r="A5078" s="348">
        <f t="shared" si="160"/>
        <v>5077</v>
      </c>
      <c r="B5078" s="360">
        <f>DATE('Profit Calculation'!J$6,A$2,A$2+A5078-1)</f>
        <v>47081</v>
      </c>
      <c r="D5078" s="362">
        <f t="shared" ca="1" si="161"/>
        <v>428372655.11153251</v>
      </c>
    </row>
    <row r="5079" spans="1:4">
      <c r="A5079" s="348">
        <f t="shared" si="160"/>
        <v>5078</v>
      </c>
      <c r="B5079" s="360">
        <f>DATE('Profit Calculation'!J$6,A$2,A$2+A5079-1)</f>
        <v>47082</v>
      </c>
      <c r="D5079" s="362">
        <f t="shared" ca="1" si="161"/>
        <v>428536714.44915712</v>
      </c>
    </row>
    <row r="5080" spans="1:4">
      <c r="A5080" s="348">
        <f t="shared" si="160"/>
        <v>5079</v>
      </c>
      <c r="B5080" s="360">
        <f>DATE('Profit Calculation'!J$6,A$2,A$2+A5080-1)</f>
        <v>47083</v>
      </c>
      <c r="D5080" s="362">
        <f t="shared" ca="1" si="161"/>
        <v>428700836.61867809</v>
      </c>
    </row>
    <row r="5081" spans="1:4">
      <c r="A5081" s="348">
        <f t="shared" si="160"/>
        <v>5080</v>
      </c>
      <c r="B5081" s="360">
        <f>DATE('Profit Calculation'!J$6,A$2,A$2+A5081-1)</f>
        <v>47084</v>
      </c>
      <c r="D5081" s="362">
        <f t="shared" ca="1" si="161"/>
        <v>428865021.64415896</v>
      </c>
    </row>
    <row r="5082" spans="1:4">
      <c r="A5082" s="348">
        <f t="shared" si="160"/>
        <v>5081</v>
      </c>
      <c r="B5082" s="360">
        <f>DATE('Profit Calculation'!J$6,A$2,A$2+A5082-1)</f>
        <v>47085</v>
      </c>
      <c r="D5082" s="362">
        <f t="shared" ca="1" si="161"/>
        <v>429029269.54967242</v>
      </c>
    </row>
    <row r="5083" spans="1:4">
      <c r="A5083" s="348">
        <f t="shared" si="160"/>
        <v>5082</v>
      </c>
      <c r="B5083" s="360">
        <f>DATE('Profit Calculation'!J$6,A$2,A$2+A5083-1)</f>
        <v>47086</v>
      </c>
      <c r="D5083" s="362">
        <f t="shared" ca="1" si="161"/>
        <v>429193580.35930049</v>
      </c>
    </row>
    <row r="5084" spans="1:4">
      <c r="A5084" s="348">
        <f t="shared" si="160"/>
        <v>5083</v>
      </c>
      <c r="B5084" s="360">
        <f>DATE('Profit Calculation'!J$6,A$2,A$2+A5084-1)</f>
        <v>47087</v>
      </c>
      <c r="D5084" s="362">
        <f t="shared" ca="1" si="161"/>
        <v>429357954.09713435</v>
      </c>
    </row>
    <row r="5085" spans="1:4">
      <c r="A5085" s="348">
        <f t="shared" si="160"/>
        <v>5084</v>
      </c>
      <c r="B5085" s="360">
        <f>DATE('Profit Calculation'!J$6,A$2,A$2+A5085-1)</f>
        <v>47088</v>
      </c>
      <c r="D5085" s="362">
        <f t="shared" ca="1" si="161"/>
        <v>429522390.78727442</v>
      </c>
    </row>
    <row r="5086" spans="1:4">
      <c r="A5086" s="348">
        <f t="shared" si="160"/>
        <v>5085</v>
      </c>
      <c r="B5086" s="360">
        <f>DATE('Profit Calculation'!J$6,A$2,A$2+A5086-1)</f>
        <v>47089</v>
      </c>
      <c r="D5086" s="362">
        <f t="shared" ca="1" si="161"/>
        <v>429686890.4538303</v>
      </c>
    </row>
    <row r="5087" spans="1:4">
      <c r="A5087" s="348">
        <f t="shared" si="160"/>
        <v>5086</v>
      </c>
      <c r="B5087" s="360">
        <f>DATE('Profit Calculation'!J$6,A$2,A$2+A5087-1)</f>
        <v>47090</v>
      </c>
      <c r="D5087" s="362">
        <f t="shared" ca="1" si="161"/>
        <v>429851453.1209209</v>
      </c>
    </row>
    <row r="5088" spans="1:4">
      <c r="A5088" s="348">
        <f t="shared" si="160"/>
        <v>5087</v>
      </c>
      <c r="B5088" s="360">
        <f>DATE('Profit Calculation'!J$6,A$2,A$2+A5088-1)</f>
        <v>47091</v>
      </c>
      <c r="D5088" s="362">
        <f t="shared" ca="1" si="161"/>
        <v>430016078.81267434</v>
      </c>
    </row>
    <row r="5089" spans="1:4">
      <c r="A5089" s="348">
        <f t="shared" si="160"/>
        <v>5088</v>
      </c>
      <c r="B5089" s="360">
        <f>DATE('Profit Calculation'!J$6,A$2,A$2+A5089-1)</f>
        <v>47092</v>
      </c>
      <c r="D5089" s="362">
        <f t="shared" ca="1" si="161"/>
        <v>430180767.55322802</v>
      </c>
    </row>
    <row r="5090" spans="1:4">
      <c r="A5090" s="348">
        <f t="shared" si="160"/>
        <v>5089</v>
      </c>
      <c r="B5090" s="360">
        <f>DATE('Profit Calculation'!J$6,A$2,A$2+A5090-1)</f>
        <v>47093</v>
      </c>
      <c r="D5090" s="362">
        <f t="shared" ca="1" si="161"/>
        <v>430345519.36672848</v>
      </c>
    </row>
    <row r="5091" spans="1:4">
      <c r="A5091" s="348">
        <f t="shared" si="160"/>
        <v>5090</v>
      </c>
      <c r="B5091" s="360">
        <f>DATE('Profit Calculation'!J$6,A$2,A$2+A5091-1)</f>
        <v>47094</v>
      </c>
      <c r="D5091" s="362">
        <f t="shared" ca="1" si="161"/>
        <v>430510334.27733159</v>
      </c>
    </row>
    <row r="5092" spans="1:4">
      <c r="A5092" s="348">
        <f t="shared" si="160"/>
        <v>5091</v>
      </c>
      <c r="B5092" s="360">
        <f>DATE('Profit Calculation'!J$6,A$2,A$2+A5092-1)</f>
        <v>47095</v>
      </c>
      <c r="D5092" s="362">
        <f t="shared" ca="1" si="161"/>
        <v>430675212.30920249</v>
      </c>
    </row>
    <row r="5093" spans="1:4">
      <c r="A5093" s="348">
        <f t="shared" si="160"/>
        <v>5092</v>
      </c>
      <c r="B5093" s="360">
        <f>DATE('Profit Calculation'!J$6,A$2,A$2+A5093-1)</f>
        <v>47096</v>
      </c>
      <c r="D5093" s="362">
        <f t="shared" ca="1" si="161"/>
        <v>430840153.48651552</v>
      </c>
    </row>
    <row r="5094" spans="1:4">
      <c r="A5094" s="348">
        <f t="shared" si="160"/>
        <v>5093</v>
      </c>
      <c r="B5094" s="360">
        <f>DATE('Profit Calculation'!J$6,A$2,A$2+A5094-1)</f>
        <v>47097</v>
      </c>
      <c r="D5094" s="362">
        <f t="shared" ca="1" si="161"/>
        <v>431005157.83345425</v>
      </c>
    </row>
    <row r="5095" spans="1:4">
      <c r="A5095" s="348">
        <f t="shared" si="160"/>
        <v>5094</v>
      </c>
      <c r="B5095" s="360">
        <f>DATE('Profit Calculation'!J$6,A$2,A$2+A5095-1)</f>
        <v>47098</v>
      </c>
      <c r="D5095" s="362">
        <f t="shared" ca="1" si="161"/>
        <v>431170225.37421161</v>
      </c>
    </row>
    <row r="5096" spans="1:4">
      <c r="A5096" s="348">
        <f t="shared" si="160"/>
        <v>5095</v>
      </c>
      <c r="B5096" s="360">
        <f>DATE('Profit Calculation'!J$6,A$2,A$2+A5096-1)</f>
        <v>47099</v>
      </c>
      <c r="D5096" s="362">
        <f t="shared" ca="1" si="161"/>
        <v>431335356.1329897</v>
      </c>
    </row>
    <row r="5097" spans="1:4">
      <c r="A5097" s="348">
        <f t="shared" si="160"/>
        <v>5096</v>
      </c>
      <c r="B5097" s="360">
        <f>DATE('Profit Calculation'!J$6,A$2,A$2+A5097-1)</f>
        <v>47100</v>
      </c>
      <c r="D5097" s="362">
        <f t="shared" ca="1" si="161"/>
        <v>431500550.13399994</v>
      </c>
    </row>
    <row r="5098" spans="1:4">
      <c r="A5098" s="348">
        <f t="shared" si="160"/>
        <v>5097</v>
      </c>
      <c r="B5098" s="360">
        <f>DATE('Profit Calculation'!J$6,A$2,A$2+A5098-1)</f>
        <v>47101</v>
      </c>
      <c r="D5098" s="362">
        <f t="shared" ca="1" si="161"/>
        <v>431665807.40146303</v>
      </c>
    </row>
    <row r="5099" spans="1:4">
      <c r="A5099" s="348">
        <f t="shared" si="160"/>
        <v>5098</v>
      </c>
      <c r="B5099" s="360">
        <f>DATE('Profit Calculation'!J$6,A$2,A$2+A5099-1)</f>
        <v>47102</v>
      </c>
      <c r="D5099" s="362">
        <f t="shared" ca="1" si="161"/>
        <v>431831127.95960897</v>
      </c>
    </row>
    <row r="5100" spans="1:4">
      <c r="A5100" s="348">
        <f t="shared" si="160"/>
        <v>5099</v>
      </c>
      <c r="B5100" s="360">
        <f>DATE('Profit Calculation'!J$6,A$2,A$2+A5100-1)</f>
        <v>47103</v>
      </c>
      <c r="D5100" s="362">
        <f t="shared" ca="1" si="161"/>
        <v>431996511.83267695</v>
      </c>
    </row>
    <row r="5101" spans="1:4">
      <c r="A5101" s="348">
        <f t="shared" si="160"/>
        <v>5100</v>
      </c>
      <c r="B5101" s="360">
        <f>DATE('Profit Calculation'!J$6,A$2,A$2+A5101-1)</f>
        <v>47104</v>
      </c>
      <c r="D5101" s="362">
        <f t="shared" ca="1" si="161"/>
        <v>432161959.0449155</v>
      </c>
    </row>
    <row r="5102" spans="1:4">
      <c r="A5102" s="348">
        <f t="shared" si="160"/>
        <v>5101</v>
      </c>
      <c r="B5102" s="360">
        <f>DATE('Profit Calculation'!J$6,A$2,A$2+A5102-1)</f>
        <v>47105</v>
      </c>
      <c r="D5102" s="362">
        <f t="shared" ca="1" si="161"/>
        <v>432327469.6205824</v>
      </c>
    </row>
    <row r="5103" spans="1:4">
      <c r="A5103" s="348">
        <f t="shared" si="160"/>
        <v>5102</v>
      </c>
      <c r="B5103" s="360">
        <f>DATE('Profit Calculation'!J$6,A$2,A$2+A5103-1)</f>
        <v>47106</v>
      </c>
      <c r="D5103" s="362">
        <f t="shared" ca="1" si="161"/>
        <v>432493043.5839448</v>
      </c>
    </row>
    <row r="5104" spans="1:4">
      <c r="A5104" s="348">
        <f t="shared" si="160"/>
        <v>5103</v>
      </c>
      <c r="B5104" s="360">
        <f>DATE('Profit Calculation'!J$6,A$2,A$2+A5104-1)</f>
        <v>47107</v>
      </c>
      <c r="D5104" s="362">
        <f t="shared" ca="1" si="161"/>
        <v>432658680.95927906</v>
      </c>
    </row>
    <row r="5105" spans="1:4">
      <c r="A5105" s="348">
        <f t="shared" si="160"/>
        <v>5104</v>
      </c>
      <c r="B5105" s="360">
        <f>DATE('Profit Calculation'!J$6,A$2,A$2+A5105-1)</f>
        <v>47108</v>
      </c>
      <c r="D5105" s="362">
        <f t="shared" ca="1" si="161"/>
        <v>432824381.77087086</v>
      </c>
    </row>
    <row r="5106" spans="1:4">
      <c r="A5106" s="348">
        <f t="shared" si="160"/>
        <v>5105</v>
      </c>
      <c r="B5106" s="360">
        <f>DATE('Profit Calculation'!J$6,A$2,A$2+A5106-1)</f>
        <v>47109</v>
      </c>
      <c r="D5106" s="362">
        <f t="shared" ca="1" si="161"/>
        <v>432990146.04301524</v>
      </c>
    </row>
    <row r="5107" spans="1:4">
      <c r="A5107" s="348">
        <f t="shared" si="160"/>
        <v>5106</v>
      </c>
      <c r="B5107" s="360">
        <f>DATE('Profit Calculation'!J$6,A$2,A$2+A5107-1)</f>
        <v>47110</v>
      </c>
      <c r="D5107" s="362">
        <f t="shared" ca="1" si="161"/>
        <v>433155973.80001646</v>
      </c>
    </row>
    <row r="5108" spans="1:4">
      <c r="A5108" s="348">
        <f t="shared" si="160"/>
        <v>5107</v>
      </c>
      <c r="B5108" s="360">
        <f>DATE('Profit Calculation'!J$6,A$2,A$2+A5108-1)</f>
        <v>47111</v>
      </c>
      <c r="D5108" s="362">
        <f t="shared" ca="1" si="161"/>
        <v>433321865.06618816</v>
      </c>
    </row>
    <row r="5109" spans="1:4">
      <c r="A5109" s="348">
        <f t="shared" si="160"/>
        <v>5108</v>
      </c>
      <c r="B5109" s="360">
        <f>DATE('Profit Calculation'!J$6,A$2,A$2+A5109-1)</f>
        <v>47112</v>
      </c>
      <c r="D5109" s="362">
        <f t="shared" ca="1" si="161"/>
        <v>433487819.86585325</v>
      </c>
    </row>
    <row r="5110" spans="1:4">
      <c r="A5110" s="348">
        <f t="shared" si="160"/>
        <v>5109</v>
      </c>
      <c r="B5110" s="360">
        <f>DATE('Profit Calculation'!J$6,A$2,A$2+A5110-1)</f>
        <v>47113</v>
      </c>
      <c r="D5110" s="362">
        <f t="shared" ca="1" si="161"/>
        <v>433653838.22334391</v>
      </c>
    </row>
    <row r="5111" spans="1:4">
      <c r="A5111" s="348">
        <f t="shared" si="160"/>
        <v>5110</v>
      </c>
      <c r="B5111" s="360">
        <f>DATE('Profit Calculation'!J$6,A$2,A$2+A5111-1)</f>
        <v>47114</v>
      </c>
      <c r="D5111" s="362">
        <f t="shared" ca="1" si="161"/>
        <v>433819920.16300172</v>
      </c>
    </row>
    <row r="5112" spans="1:4">
      <c r="A5112" s="348">
        <f t="shared" si="160"/>
        <v>5111</v>
      </c>
      <c r="B5112" s="360">
        <f>DATE('Profit Calculation'!J$6,A$2,A$2+A5112-1)</f>
        <v>47115</v>
      </c>
      <c r="D5112" s="362">
        <f t="shared" ca="1" si="161"/>
        <v>433986065.70917755</v>
      </c>
    </row>
    <row r="5113" spans="1:4">
      <c r="A5113" s="348">
        <f t="shared" si="160"/>
        <v>5112</v>
      </c>
      <c r="B5113" s="360">
        <f>DATE('Profit Calculation'!J$6,A$2,A$2+A5113-1)</f>
        <v>47116</v>
      </c>
      <c r="D5113" s="362">
        <f t="shared" ca="1" si="161"/>
        <v>434152274.88623166</v>
      </c>
    </row>
    <row r="5114" spans="1:4">
      <c r="A5114" s="348">
        <f t="shared" si="160"/>
        <v>5113</v>
      </c>
      <c r="B5114" s="360">
        <f>DATE('Profit Calculation'!J$6,A$2,A$2+A5114-1)</f>
        <v>47117</v>
      </c>
      <c r="D5114" s="362">
        <f t="shared" ca="1" si="161"/>
        <v>434318547.71853352</v>
      </c>
    </row>
    <row r="5115" spans="1:4">
      <c r="A5115" s="348">
        <f t="shared" si="160"/>
        <v>5114</v>
      </c>
      <c r="B5115" s="360">
        <f>DATE('Profit Calculation'!J$6,A$2,A$2+A5115-1)</f>
        <v>47118</v>
      </c>
      <c r="D5115" s="362">
        <f t="shared" ca="1" si="161"/>
        <v>434484884.23046201</v>
      </c>
    </row>
    <row r="5116" spans="1:4">
      <c r="A5116" s="348">
        <f t="shared" si="160"/>
        <v>5115</v>
      </c>
      <c r="B5116" s="360">
        <f>DATE('Profit Calculation'!J$6,A$2,A$2+A5116-1)</f>
        <v>47119</v>
      </c>
      <c r="D5116" s="362">
        <f t="shared" ca="1" si="161"/>
        <v>434443294</v>
      </c>
    </row>
    <row r="5117" spans="1:4">
      <c r="A5117" s="348">
        <f t="shared" si="160"/>
        <v>5116</v>
      </c>
      <c r="B5117" s="360">
        <f>DATE('Profit Calculation'!J$6,A$2,A$2+A5117-1)</f>
        <v>47120</v>
      </c>
      <c r="D5117" s="362">
        <f t="shared" ca="1" si="161"/>
        <v>434609678.28760242</v>
      </c>
    </row>
    <row r="5118" spans="1:4">
      <c r="A5118" s="348">
        <f t="shared" si="160"/>
        <v>5117</v>
      </c>
      <c r="B5118" s="360">
        <f>DATE('Profit Calculation'!J$6,A$2,A$2+A5118-1)</f>
        <v>47121</v>
      </c>
      <c r="D5118" s="362">
        <f t="shared" ca="1" si="161"/>
        <v>434776126.29751694</v>
      </c>
    </row>
    <row r="5119" spans="1:4">
      <c r="A5119" s="348">
        <f t="shared" si="160"/>
        <v>5118</v>
      </c>
      <c r="B5119" s="360">
        <f>DATE('Profit Calculation'!J$6,A$2,A$2+A5119-1)</f>
        <v>47122</v>
      </c>
      <c r="D5119" s="362">
        <f t="shared" ca="1" si="161"/>
        <v>434942638.05414808</v>
      </c>
    </row>
    <row r="5120" spans="1:4">
      <c r="A5120" s="348">
        <f t="shared" si="160"/>
        <v>5119</v>
      </c>
      <c r="B5120" s="360">
        <f>DATE('Profit Calculation'!J$6,A$2,A$2+A5120-1)</f>
        <v>47123</v>
      </c>
      <c r="D5120" s="362">
        <f t="shared" ca="1" si="161"/>
        <v>435109213.58190978</v>
      </c>
    </row>
    <row r="5121" spans="1:4">
      <c r="A5121" s="348">
        <f t="shared" si="160"/>
        <v>5120</v>
      </c>
      <c r="B5121" s="360">
        <f>DATE('Profit Calculation'!J$6,A$2,A$2+A5121-1)</f>
        <v>47124</v>
      </c>
      <c r="D5121" s="362">
        <f t="shared" ca="1" si="161"/>
        <v>435275852.90522522</v>
      </c>
    </row>
    <row r="5122" spans="1:4">
      <c r="A5122" s="348">
        <f t="shared" si="160"/>
        <v>5121</v>
      </c>
      <c r="B5122" s="360">
        <f>DATE('Profit Calculation'!J$6,A$2,A$2+A5122-1)</f>
        <v>47125</v>
      </c>
      <c r="D5122" s="362">
        <f t="shared" ca="1" si="161"/>
        <v>435442556.048527</v>
      </c>
    </row>
    <row r="5123" spans="1:4">
      <c r="A5123" s="348">
        <f t="shared" si="160"/>
        <v>5122</v>
      </c>
      <c r="B5123" s="360">
        <f>DATE('Profit Calculation'!J$6,A$2,A$2+A5123-1)</f>
        <v>47126</v>
      </c>
      <c r="D5123" s="362">
        <f t="shared" ca="1" si="161"/>
        <v>435609323.03625709</v>
      </c>
    </row>
    <row r="5124" spans="1:4">
      <c r="A5124" s="348">
        <f t="shared" si="160"/>
        <v>5123</v>
      </c>
      <c r="B5124" s="360">
        <f>DATE('Profit Calculation'!J$6,A$2,A$2+A5124-1)</f>
        <v>47127</v>
      </c>
      <c r="D5124" s="362">
        <f t="shared" ca="1" si="161"/>
        <v>435776153.89286679</v>
      </c>
    </row>
    <row r="5125" spans="1:4">
      <c r="A5125" s="348">
        <f t="shared" ref="A5125:A5188" si="162">A5124+1</f>
        <v>5124</v>
      </c>
      <c r="B5125" s="360">
        <f>DATE('Profit Calculation'!J$6,A$2,A$2+A5125-1)</f>
        <v>47128</v>
      </c>
      <c r="D5125" s="362">
        <f t="shared" ref="D5125:D5188" ca="1" si="163">IF(OR(LOOKUP(B5125,W$1:W$35,W$1:W$35) = B5125, LOOKUP(B5125,X$1:X$35,X$1:X$35) = B5125),LOOKUP(B5125,F:F,G:G),D5124*(1+((IF($Q$18&lt;6,$R$14,IF($Q$18&lt;11,$R$15,$R$16)))))^(1/365))</f>
        <v>435943048.64281684</v>
      </c>
    </row>
    <row r="5126" spans="1:4">
      <c r="A5126" s="348">
        <f t="shared" si="162"/>
        <v>5125</v>
      </c>
      <c r="B5126" s="360">
        <f>DATE('Profit Calculation'!J$6,A$2,A$2+A5126-1)</f>
        <v>47129</v>
      </c>
      <c r="D5126" s="362">
        <f t="shared" ca="1" si="163"/>
        <v>436110007.31057721</v>
      </c>
    </row>
    <row r="5127" spans="1:4">
      <c r="A5127" s="348">
        <f t="shared" si="162"/>
        <v>5126</v>
      </c>
      <c r="B5127" s="360">
        <f>DATE('Profit Calculation'!J$6,A$2,A$2+A5127-1)</f>
        <v>47130</v>
      </c>
      <c r="D5127" s="362">
        <f t="shared" ca="1" si="163"/>
        <v>436277029.92062736</v>
      </c>
    </row>
    <row r="5128" spans="1:4">
      <c r="A5128" s="348">
        <f t="shared" si="162"/>
        <v>5127</v>
      </c>
      <c r="B5128" s="360">
        <f>DATE('Profit Calculation'!J$6,A$2,A$2+A5128-1)</f>
        <v>47131</v>
      </c>
      <c r="D5128" s="362">
        <f t="shared" ca="1" si="163"/>
        <v>436444116.49745607</v>
      </c>
    </row>
    <row r="5129" spans="1:4">
      <c r="A5129" s="348">
        <f t="shared" si="162"/>
        <v>5128</v>
      </c>
      <c r="B5129" s="360">
        <f>DATE('Profit Calculation'!J$6,A$2,A$2+A5129-1)</f>
        <v>47132</v>
      </c>
      <c r="D5129" s="362">
        <f t="shared" ca="1" si="163"/>
        <v>436611267.06556153</v>
      </c>
    </row>
    <row r="5130" spans="1:4">
      <c r="A5130" s="348">
        <f t="shared" si="162"/>
        <v>5129</v>
      </c>
      <c r="B5130" s="360">
        <f>DATE('Profit Calculation'!J$6,A$2,A$2+A5130-1)</f>
        <v>47133</v>
      </c>
      <c r="D5130" s="362">
        <f t="shared" ca="1" si="163"/>
        <v>436778481.64945132</v>
      </c>
    </row>
    <row r="5131" spans="1:4">
      <c r="A5131" s="348">
        <f t="shared" si="162"/>
        <v>5130</v>
      </c>
      <c r="B5131" s="360">
        <f>DATE('Profit Calculation'!J$6,A$2,A$2+A5131-1)</f>
        <v>47134</v>
      </c>
      <c r="D5131" s="362">
        <f t="shared" ca="1" si="163"/>
        <v>436945760.2736423</v>
      </c>
    </row>
    <row r="5132" spans="1:4">
      <c r="A5132" s="348">
        <f t="shared" si="162"/>
        <v>5131</v>
      </c>
      <c r="B5132" s="360">
        <f>DATE('Profit Calculation'!J$6,A$2,A$2+A5132-1)</f>
        <v>47135</v>
      </c>
      <c r="D5132" s="362">
        <f t="shared" ca="1" si="163"/>
        <v>437113102.96266085</v>
      </c>
    </row>
    <row r="5133" spans="1:4">
      <c r="A5133" s="348">
        <f t="shared" si="162"/>
        <v>5132</v>
      </c>
      <c r="B5133" s="360">
        <f>DATE('Profit Calculation'!J$6,A$2,A$2+A5133-1)</f>
        <v>47136</v>
      </c>
      <c r="D5133" s="362">
        <f t="shared" ca="1" si="163"/>
        <v>437280509.74104267</v>
      </c>
    </row>
    <row r="5134" spans="1:4">
      <c r="A5134" s="348">
        <f t="shared" si="162"/>
        <v>5133</v>
      </c>
      <c r="B5134" s="360">
        <f>DATE('Profit Calculation'!J$6,A$2,A$2+A5134-1)</f>
        <v>47137</v>
      </c>
      <c r="D5134" s="362">
        <f t="shared" ca="1" si="163"/>
        <v>437447980.63333291</v>
      </c>
    </row>
    <row r="5135" spans="1:4">
      <c r="A5135" s="348">
        <f t="shared" si="162"/>
        <v>5134</v>
      </c>
      <c r="B5135" s="360">
        <f>DATE('Profit Calculation'!J$6,A$2,A$2+A5135-1)</f>
        <v>47138</v>
      </c>
      <c r="D5135" s="362">
        <f t="shared" ca="1" si="163"/>
        <v>437615515.6640861</v>
      </c>
    </row>
    <row r="5136" spans="1:4">
      <c r="A5136" s="348">
        <f t="shared" si="162"/>
        <v>5135</v>
      </c>
      <c r="B5136" s="360">
        <f>DATE('Profit Calculation'!J$6,A$2,A$2+A5136-1)</f>
        <v>47139</v>
      </c>
      <c r="D5136" s="362">
        <f t="shared" ca="1" si="163"/>
        <v>437783114.85786617</v>
      </c>
    </row>
    <row r="5137" spans="1:4">
      <c r="A5137" s="348">
        <f t="shared" si="162"/>
        <v>5136</v>
      </c>
      <c r="B5137" s="360">
        <f>DATE('Profit Calculation'!J$6,A$2,A$2+A5137-1)</f>
        <v>47140</v>
      </c>
      <c r="D5137" s="362">
        <f t="shared" ca="1" si="163"/>
        <v>437950778.23924643</v>
      </c>
    </row>
    <row r="5138" spans="1:4">
      <c r="A5138" s="348">
        <f t="shared" si="162"/>
        <v>5137</v>
      </c>
      <c r="B5138" s="360">
        <f>DATE('Profit Calculation'!J$6,A$2,A$2+A5138-1)</f>
        <v>47141</v>
      </c>
      <c r="D5138" s="362">
        <f t="shared" ca="1" si="163"/>
        <v>438118505.83280957</v>
      </c>
    </row>
    <row r="5139" spans="1:4">
      <c r="A5139" s="348">
        <f t="shared" si="162"/>
        <v>5138</v>
      </c>
      <c r="B5139" s="360">
        <f>DATE('Profit Calculation'!J$6,A$2,A$2+A5139-1)</f>
        <v>47142</v>
      </c>
      <c r="D5139" s="362">
        <f t="shared" ca="1" si="163"/>
        <v>438286297.66314781</v>
      </c>
    </row>
    <row r="5140" spans="1:4">
      <c r="A5140" s="348">
        <f t="shared" si="162"/>
        <v>5139</v>
      </c>
      <c r="B5140" s="360">
        <f>DATE('Profit Calculation'!J$6,A$2,A$2+A5140-1)</f>
        <v>47143</v>
      </c>
      <c r="D5140" s="362">
        <f t="shared" ca="1" si="163"/>
        <v>438454153.75486273</v>
      </c>
    </row>
    <row r="5141" spans="1:4">
      <c r="A5141" s="348">
        <f t="shared" si="162"/>
        <v>5140</v>
      </c>
      <c r="B5141" s="360">
        <f>DATE('Profit Calculation'!J$6,A$2,A$2+A5141-1)</f>
        <v>47144</v>
      </c>
      <c r="D5141" s="362">
        <f t="shared" ca="1" si="163"/>
        <v>438622074.13256532</v>
      </c>
    </row>
    <row r="5142" spans="1:4">
      <c r="A5142" s="348">
        <f t="shared" si="162"/>
        <v>5141</v>
      </c>
      <c r="B5142" s="360">
        <f>DATE('Profit Calculation'!J$6,A$2,A$2+A5142-1)</f>
        <v>47145</v>
      </c>
      <c r="D5142" s="362">
        <f t="shared" ca="1" si="163"/>
        <v>438790058.820876</v>
      </c>
    </row>
    <row r="5143" spans="1:4">
      <c r="A5143" s="348">
        <f t="shared" si="162"/>
        <v>5142</v>
      </c>
      <c r="B5143" s="360">
        <f>DATE('Profit Calculation'!J$6,A$2,A$2+A5143-1)</f>
        <v>47146</v>
      </c>
      <c r="D5143" s="362">
        <f t="shared" ca="1" si="163"/>
        <v>438958107.84442461</v>
      </c>
    </row>
    <row r="5144" spans="1:4">
      <c r="A5144" s="348">
        <f t="shared" si="162"/>
        <v>5143</v>
      </c>
      <c r="B5144" s="360">
        <f>DATE('Profit Calculation'!J$6,A$2,A$2+A5144-1)</f>
        <v>47147</v>
      </c>
      <c r="D5144" s="362">
        <f t="shared" ca="1" si="163"/>
        <v>439126221.22785044</v>
      </c>
    </row>
    <row r="5145" spans="1:4">
      <c r="A5145" s="348">
        <f t="shared" si="162"/>
        <v>5144</v>
      </c>
      <c r="B5145" s="360">
        <f>DATE('Profit Calculation'!J$6,A$2,A$2+A5145-1)</f>
        <v>47148</v>
      </c>
      <c r="D5145" s="362">
        <f t="shared" ca="1" si="163"/>
        <v>439294398.99580222</v>
      </c>
    </row>
    <row r="5146" spans="1:4">
      <c r="A5146" s="348">
        <f t="shared" si="162"/>
        <v>5145</v>
      </c>
      <c r="B5146" s="360">
        <f>DATE('Profit Calculation'!J$6,A$2,A$2+A5146-1)</f>
        <v>47149</v>
      </c>
      <c r="D5146" s="362">
        <f t="shared" ca="1" si="163"/>
        <v>439462641.17293817</v>
      </c>
    </row>
    <row r="5147" spans="1:4">
      <c r="A5147" s="348">
        <f t="shared" si="162"/>
        <v>5146</v>
      </c>
      <c r="B5147" s="360">
        <f>DATE('Profit Calculation'!J$6,A$2,A$2+A5147-1)</f>
        <v>47150</v>
      </c>
      <c r="D5147" s="362">
        <f t="shared" ca="1" si="163"/>
        <v>439630947.78392583</v>
      </c>
    </row>
    <row r="5148" spans="1:4">
      <c r="A5148" s="348">
        <f t="shared" si="162"/>
        <v>5147</v>
      </c>
      <c r="B5148" s="360">
        <f>DATE('Profit Calculation'!J$6,A$2,A$2+A5148-1)</f>
        <v>47151</v>
      </c>
      <c r="D5148" s="362">
        <f t="shared" ca="1" si="163"/>
        <v>439799318.85344225</v>
      </c>
    </row>
    <row r="5149" spans="1:4">
      <c r="A5149" s="348">
        <f t="shared" si="162"/>
        <v>5148</v>
      </c>
      <c r="B5149" s="360">
        <f>DATE('Profit Calculation'!J$6,A$2,A$2+A5149-1)</f>
        <v>47152</v>
      </c>
      <c r="D5149" s="362">
        <f t="shared" ca="1" si="163"/>
        <v>439967754.40617394</v>
      </c>
    </row>
    <row r="5150" spans="1:4">
      <c r="A5150" s="348">
        <f t="shared" si="162"/>
        <v>5149</v>
      </c>
      <c r="B5150" s="360">
        <f>DATE('Profit Calculation'!J$6,A$2,A$2+A5150-1)</f>
        <v>47153</v>
      </c>
      <c r="D5150" s="362">
        <f t="shared" ca="1" si="163"/>
        <v>440136254.4668169</v>
      </c>
    </row>
    <row r="5151" spans="1:4">
      <c r="A5151" s="348">
        <f t="shared" si="162"/>
        <v>5150</v>
      </c>
      <c r="B5151" s="360">
        <f>DATE('Profit Calculation'!J$6,A$2,A$2+A5151-1)</f>
        <v>47154</v>
      </c>
      <c r="D5151" s="362">
        <f t="shared" ca="1" si="163"/>
        <v>440304819.06007653</v>
      </c>
    </row>
    <row r="5152" spans="1:4">
      <c r="A5152" s="348">
        <f t="shared" si="162"/>
        <v>5151</v>
      </c>
      <c r="B5152" s="360">
        <f>DATE('Profit Calculation'!J$6,A$2,A$2+A5152-1)</f>
        <v>47155</v>
      </c>
      <c r="D5152" s="362">
        <f t="shared" ca="1" si="163"/>
        <v>440473448.21066767</v>
      </c>
    </row>
    <row r="5153" spans="1:4">
      <c r="A5153" s="348">
        <f t="shared" si="162"/>
        <v>5152</v>
      </c>
      <c r="B5153" s="360">
        <f>DATE('Profit Calculation'!J$6,A$2,A$2+A5153-1)</f>
        <v>47156</v>
      </c>
      <c r="D5153" s="362">
        <f t="shared" ca="1" si="163"/>
        <v>440642141.94331467</v>
      </c>
    </row>
    <row r="5154" spans="1:4">
      <c r="A5154" s="348">
        <f t="shared" si="162"/>
        <v>5153</v>
      </c>
      <c r="B5154" s="360">
        <f>DATE('Profit Calculation'!J$6,A$2,A$2+A5154-1)</f>
        <v>47157</v>
      </c>
      <c r="D5154" s="362">
        <f t="shared" ca="1" si="163"/>
        <v>440810900.28275138</v>
      </c>
    </row>
    <row r="5155" spans="1:4">
      <c r="A5155" s="348">
        <f t="shared" si="162"/>
        <v>5154</v>
      </c>
      <c r="B5155" s="360">
        <f>DATE('Profit Calculation'!J$6,A$2,A$2+A5155-1)</f>
        <v>47158</v>
      </c>
      <c r="D5155" s="362">
        <f t="shared" ca="1" si="163"/>
        <v>440979723.25372106</v>
      </c>
    </row>
    <row r="5156" spans="1:4">
      <c r="A5156" s="348">
        <f t="shared" si="162"/>
        <v>5155</v>
      </c>
      <c r="B5156" s="360">
        <f>DATE('Profit Calculation'!J$6,A$2,A$2+A5156-1)</f>
        <v>47159</v>
      </c>
      <c r="D5156" s="362">
        <f t="shared" ca="1" si="163"/>
        <v>441148610.8809765</v>
      </c>
    </row>
    <row r="5157" spans="1:4">
      <c r="A5157" s="348">
        <f t="shared" si="162"/>
        <v>5156</v>
      </c>
      <c r="B5157" s="360">
        <f>DATE('Profit Calculation'!J$6,A$2,A$2+A5157-1)</f>
        <v>47160</v>
      </c>
      <c r="D5157" s="362">
        <f t="shared" ca="1" si="163"/>
        <v>441317563.18927991</v>
      </c>
    </row>
    <row r="5158" spans="1:4">
      <c r="A5158" s="348">
        <f t="shared" si="162"/>
        <v>5157</v>
      </c>
      <c r="B5158" s="360">
        <f>DATE('Profit Calculation'!J$6,A$2,A$2+A5158-1)</f>
        <v>47161</v>
      </c>
      <c r="D5158" s="362">
        <f t="shared" ca="1" si="163"/>
        <v>441486580.20340306</v>
      </c>
    </row>
    <row r="5159" spans="1:4">
      <c r="A5159" s="348">
        <f t="shared" si="162"/>
        <v>5158</v>
      </c>
      <c r="B5159" s="360">
        <f>DATE('Profit Calculation'!J$6,A$2,A$2+A5159-1)</f>
        <v>47162</v>
      </c>
      <c r="D5159" s="362">
        <f t="shared" ca="1" si="163"/>
        <v>441655661.94812709</v>
      </c>
    </row>
    <row r="5160" spans="1:4">
      <c r="A5160" s="348">
        <f t="shared" si="162"/>
        <v>5159</v>
      </c>
      <c r="B5160" s="360">
        <f>DATE('Profit Calculation'!J$6,A$2,A$2+A5160-1)</f>
        <v>47163</v>
      </c>
      <c r="D5160" s="362">
        <f t="shared" ca="1" si="163"/>
        <v>441824808.44824278</v>
      </c>
    </row>
    <row r="5161" spans="1:4">
      <c r="A5161" s="348">
        <f t="shared" si="162"/>
        <v>5160</v>
      </c>
      <c r="B5161" s="360">
        <f>DATE('Profit Calculation'!J$6,A$2,A$2+A5161-1)</f>
        <v>47164</v>
      </c>
      <c r="D5161" s="362">
        <f t="shared" ca="1" si="163"/>
        <v>441994019.72855031</v>
      </c>
    </row>
    <row r="5162" spans="1:4">
      <c r="A5162" s="348">
        <f t="shared" si="162"/>
        <v>5161</v>
      </c>
      <c r="B5162" s="360">
        <f>DATE('Profit Calculation'!J$6,A$2,A$2+A5162-1)</f>
        <v>47165</v>
      </c>
      <c r="D5162" s="362">
        <f t="shared" ca="1" si="163"/>
        <v>442163295.81385934</v>
      </c>
    </row>
    <row r="5163" spans="1:4">
      <c r="A5163" s="348">
        <f t="shared" si="162"/>
        <v>5162</v>
      </c>
      <c r="B5163" s="360">
        <f>DATE('Profit Calculation'!J$6,A$2,A$2+A5163-1)</f>
        <v>47166</v>
      </c>
      <c r="D5163" s="362">
        <f t="shared" ca="1" si="163"/>
        <v>442332636.72898906</v>
      </c>
    </row>
    <row r="5164" spans="1:4">
      <c r="A5164" s="348">
        <f t="shared" si="162"/>
        <v>5163</v>
      </c>
      <c r="B5164" s="360">
        <f>DATE('Profit Calculation'!J$6,A$2,A$2+A5164-1)</f>
        <v>47167</v>
      </c>
      <c r="D5164" s="362">
        <f t="shared" ca="1" si="163"/>
        <v>442502042.49876821</v>
      </c>
    </row>
    <row r="5165" spans="1:4">
      <c r="A5165" s="348">
        <f t="shared" si="162"/>
        <v>5164</v>
      </c>
      <c r="B5165" s="360">
        <f>DATE('Profit Calculation'!J$6,A$2,A$2+A5165-1)</f>
        <v>47168</v>
      </c>
      <c r="D5165" s="362">
        <f t="shared" ca="1" si="163"/>
        <v>442671513.14803499</v>
      </c>
    </row>
    <row r="5166" spans="1:4">
      <c r="A5166" s="348">
        <f t="shared" si="162"/>
        <v>5165</v>
      </c>
      <c r="B5166" s="360">
        <f>DATE('Profit Calculation'!J$6,A$2,A$2+A5166-1)</f>
        <v>47169</v>
      </c>
      <c r="D5166" s="362">
        <f t="shared" ca="1" si="163"/>
        <v>442841048.70163715</v>
      </c>
    </row>
    <row r="5167" spans="1:4">
      <c r="A5167" s="348">
        <f t="shared" si="162"/>
        <v>5166</v>
      </c>
      <c r="B5167" s="360">
        <f>DATE('Profit Calculation'!J$6,A$2,A$2+A5167-1)</f>
        <v>47170</v>
      </c>
      <c r="D5167" s="362">
        <f t="shared" ca="1" si="163"/>
        <v>443010649.18443191</v>
      </c>
    </row>
    <row r="5168" spans="1:4">
      <c r="A5168" s="348">
        <f t="shared" si="162"/>
        <v>5167</v>
      </c>
      <c r="B5168" s="360">
        <f>DATE('Profit Calculation'!J$6,A$2,A$2+A5168-1)</f>
        <v>47171</v>
      </c>
      <c r="D5168" s="362">
        <f t="shared" ca="1" si="163"/>
        <v>443180314.62128603</v>
      </c>
    </row>
    <row r="5169" spans="1:4">
      <c r="A5169" s="348">
        <f t="shared" si="162"/>
        <v>5168</v>
      </c>
      <c r="B5169" s="360">
        <f>DATE('Profit Calculation'!J$6,A$2,A$2+A5169-1)</f>
        <v>47172</v>
      </c>
      <c r="D5169" s="362">
        <f t="shared" ca="1" si="163"/>
        <v>443350045.03707582</v>
      </c>
    </row>
    <row r="5170" spans="1:4">
      <c r="A5170" s="348">
        <f t="shared" si="162"/>
        <v>5169</v>
      </c>
      <c r="B5170" s="360">
        <f>DATE('Profit Calculation'!J$6,A$2,A$2+A5170-1)</f>
        <v>47173</v>
      </c>
      <c r="D5170" s="362">
        <f t="shared" ca="1" si="163"/>
        <v>443519840.45668703</v>
      </c>
    </row>
    <row r="5171" spans="1:4">
      <c r="A5171" s="348">
        <f t="shared" si="162"/>
        <v>5170</v>
      </c>
      <c r="B5171" s="360">
        <f>DATE('Profit Calculation'!J$6,A$2,A$2+A5171-1)</f>
        <v>47174</v>
      </c>
      <c r="D5171" s="362">
        <f t="shared" ca="1" si="163"/>
        <v>443689700.90501505</v>
      </c>
    </row>
    <row r="5172" spans="1:4">
      <c r="A5172" s="348">
        <f t="shared" si="162"/>
        <v>5171</v>
      </c>
      <c r="B5172" s="360">
        <f>DATE('Profit Calculation'!J$6,A$2,A$2+A5172-1)</f>
        <v>47175</v>
      </c>
      <c r="D5172" s="362">
        <f t="shared" ca="1" si="163"/>
        <v>443859626.40696472</v>
      </c>
    </row>
    <row r="5173" spans="1:4">
      <c r="A5173" s="348">
        <f t="shared" si="162"/>
        <v>5172</v>
      </c>
      <c r="B5173" s="360">
        <f>DATE('Profit Calculation'!J$6,A$2,A$2+A5173-1)</f>
        <v>47176</v>
      </c>
      <c r="D5173" s="362">
        <f t="shared" ca="1" si="163"/>
        <v>444029616.98745048</v>
      </c>
    </row>
    <row r="5174" spans="1:4">
      <c r="A5174" s="348">
        <f t="shared" si="162"/>
        <v>5173</v>
      </c>
      <c r="B5174" s="360">
        <f>DATE('Profit Calculation'!J$6,A$2,A$2+A5174-1)</f>
        <v>47177</v>
      </c>
      <c r="D5174" s="362">
        <f t="shared" ca="1" si="163"/>
        <v>444199672.67139632</v>
      </c>
    </row>
    <row r="5175" spans="1:4">
      <c r="A5175" s="348">
        <f t="shared" si="162"/>
        <v>5174</v>
      </c>
      <c r="B5175" s="360">
        <f>DATE('Profit Calculation'!J$6,A$2,A$2+A5175-1)</f>
        <v>47178</v>
      </c>
      <c r="D5175" s="362">
        <f t="shared" ca="1" si="163"/>
        <v>444369793.48373568</v>
      </c>
    </row>
    <row r="5176" spans="1:4">
      <c r="A5176" s="348">
        <f t="shared" si="162"/>
        <v>5175</v>
      </c>
      <c r="B5176" s="360">
        <f>DATE('Profit Calculation'!J$6,A$2,A$2+A5176-1)</f>
        <v>47179</v>
      </c>
      <c r="D5176" s="362">
        <f t="shared" ca="1" si="163"/>
        <v>444539979.44941163</v>
      </c>
    </row>
    <row r="5177" spans="1:4">
      <c r="A5177" s="348">
        <f t="shared" si="162"/>
        <v>5176</v>
      </c>
      <c r="B5177" s="360">
        <f>DATE('Profit Calculation'!J$6,A$2,A$2+A5177-1)</f>
        <v>47180</v>
      </c>
      <c r="D5177" s="362">
        <f t="shared" ca="1" si="163"/>
        <v>444710230.59337682</v>
      </c>
    </row>
    <row r="5178" spans="1:4">
      <c r="A5178" s="348">
        <f t="shared" si="162"/>
        <v>5177</v>
      </c>
      <c r="B5178" s="360">
        <f>DATE('Profit Calculation'!J$6,A$2,A$2+A5178-1)</f>
        <v>47181</v>
      </c>
      <c r="D5178" s="362">
        <f t="shared" ca="1" si="163"/>
        <v>444880546.94059336</v>
      </c>
    </row>
    <row r="5179" spans="1:4">
      <c r="A5179" s="348">
        <f t="shared" si="162"/>
        <v>5178</v>
      </c>
      <c r="B5179" s="360">
        <f>DATE('Profit Calculation'!J$6,A$2,A$2+A5179-1)</f>
        <v>47182</v>
      </c>
      <c r="D5179" s="362">
        <f t="shared" ca="1" si="163"/>
        <v>445050928.51603299</v>
      </c>
    </row>
    <row r="5180" spans="1:4">
      <c r="A5180" s="348">
        <f t="shared" si="162"/>
        <v>5179</v>
      </c>
      <c r="B5180" s="360">
        <f>DATE('Profit Calculation'!J$6,A$2,A$2+A5180-1)</f>
        <v>47183</v>
      </c>
      <c r="D5180" s="362">
        <f t="shared" ca="1" si="163"/>
        <v>445221375.34467697</v>
      </c>
    </row>
    <row r="5181" spans="1:4">
      <c r="A5181" s="348">
        <f t="shared" si="162"/>
        <v>5180</v>
      </c>
      <c r="B5181" s="360">
        <f>DATE('Profit Calculation'!J$6,A$2,A$2+A5181-1)</f>
        <v>47184</v>
      </c>
      <c r="D5181" s="362">
        <f t="shared" ca="1" si="163"/>
        <v>445391887.45151621</v>
      </c>
    </row>
    <row r="5182" spans="1:4">
      <c r="A5182" s="348">
        <f t="shared" si="162"/>
        <v>5181</v>
      </c>
      <c r="B5182" s="360">
        <f>DATE('Profit Calculation'!J$6,A$2,A$2+A5182-1)</f>
        <v>47185</v>
      </c>
      <c r="D5182" s="362">
        <f t="shared" ca="1" si="163"/>
        <v>445562464.86155105</v>
      </c>
    </row>
    <row r="5183" spans="1:4">
      <c r="A5183" s="348">
        <f t="shared" si="162"/>
        <v>5182</v>
      </c>
      <c r="B5183" s="360">
        <f>DATE('Profit Calculation'!J$6,A$2,A$2+A5183-1)</f>
        <v>47186</v>
      </c>
      <c r="D5183" s="362">
        <f t="shared" ca="1" si="163"/>
        <v>445733107.59979153</v>
      </c>
    </row>
    <row r="5184" spans="1:4">
      <c r="A5184" s="348">
        <f t="shared" si="162"/>
        <v>5183</v>
      </c>
      <c r="B5184" s="360">
        <f>DATE('Profit Calculation'!J$6,A$2,A$2+A5184-1)</f>
        <v>47187</v>
      </c>
      <c r="D5184" s="362">
        <f t="shared" ca="1" si="163"/>
        <v>445903815.69125724</v>
      </c>
    </row>
    <row r="5185" spans="1:4">
      <c r="A5185" s="348">
        <f t="shared" si="162"/>
        <v>5184</v>
      </c>
      <c r="B5185" s="360">
        <f>DATE('Profit Calculation'!J$6,A$2,A$2+A5185-1)</f>
        <v>47188</v>
      </c>
      <c r="D5185" s="362">
        <f t="shared" ca="1" si="163"/>
        <v>446074589.1609773</v>
      </c>
    </row>
    <row r="5186" spans="1:4">
      <c r="A5186" s="348">
        <f t="shared" si="162"/>
        <v>5185</v>
      </c>
      <c r="B5186" s="360">
        <f>DATE('Profit Calculation'!J$6,A$2,A$2+A5186-1)</f>
        <v>47189</v>
      </c>
      <c r="D5186" s="362">
        <f t="shared" ca="1" si="163"/>
        <v>446245428.0339905</v>
      </c>
    </row>
    <row r="5187" spans="1:4">
      <c r="A5187" s="348">
        <f t="shared" si="162"/>
        <v>5186</v>
      </c>
      <c r="B5187" s="360">
        <f>DATE('Profit Calculation'!J$6,A$2,A$2+A5187-1)</f>
        <v>47190</v>
      </c>
      <c r="D5187" s="362">
        <f t="shared" ca="1" si="163"/>
        <v>446416332.33534515</v>
      </c>
    </row>
    <row r="5188" spans="1:4">
      <c r="A5188" s="348">
        <f t="shared" si="162"/>
        <v>5187</v>
      </c>
      <c r="B5188" s="360">
        <f>DATE('Profit Calculation'!J$6,A$2,A$2+A5188-1)</f>
        <v>47191</v>
      </c>
      <c r="D5188" s="362">
        <f t="shared" ca="1" si="163"/>
        <v>446587302.09009916</v>
      </c>
    </row>
    <row r="5189" spans="1:4">
      <c r="A5189" s="348">
        <f t="shared" ref="A5189:A5252" si="164">A5188+1</f>
        <v>5188</v>
      </c>
      <c r="B5189" s="360">
        <f>DATE('Profit Calculation'!J$6,A$2,A$2+A5189-1)</f>
        <v>47192</v>
      </c>
      <c r="D5189" s="362">
        <f t="shared" ref="D5189:D5252" ca="1" si="165">IF(OR(LOOKUP(B5189,W$1:W$35,W$1:W$35) = B5189, LOOKUP(B5189,X$1:X$35,X$1:X$35) = B5189),LOOKUP(B5189,F:F,G:G),D5188*(1+((IF($Q$18&lt;6,$R$14,IF($Q$18&lt;11,$R$15,$R$16)))))^(1/365))</f>
        <v>446758337.32332009</v>
      </c>
    </row>
    <row r="5190" spans="1:4">
      <c r="A5190" s="348">
        <f t="shared" si="164"/>
        <v>5189</v>
      </c>
      <c r="B5190" s="360">
        <f>DATE('Profit Calculation'!J$6,A$2,A$2+A5190-1)</f>
        <v>47193</v>
      </c>
      <c r="D5190" s="362">
        <f t="shared" ca="1" si="165"/>
        <v>446929438.06008506</v>
      </c>
    </row>
    <row r="5191" spans="1:4">
      <c r="A5191" s="348">
        <f t="shared" si="164"/>
        <v>5190</v>
      </c>
      <c r="B5191" s="360">
        <f>DATE('Profit Calculation'!J$6,A$2,A$2+A5191-1)</f>
        <v>47194</v>
      </c>
      <c r="D5191" s="362">
        <f t="shared" ca="1" si="165"/>
        <v>447100604.32548076</v>
      </c>
    </row>
    <row r="5192" spans="1:4">
      <c r="A5192" s="348">
        <f t="shared" si="164"/>
        <v>5191</v>
      </c>
      <c r="B5192" s="360">
        <f>DATE('Profit Calculation'!J$6,A$2,A$2+A5192-1)</f>
        <v>47195</v>
      </c>
      <c r="D5192" s="362">
        <f t="shared" ca="1" si="165"/>
        <v>447271836.14460355</v>
      </c>
    </row>
    <row r="5193" spans="1:4">
      <c r="A5193" s="348">
        <f t="shared" si="164"/>
        <v>5192</v>
      </c>
      <c r="B5193" s="360">
        <f>DATE('Profit Calculation'!J$6,A$2,A$2+A5193-1)</f>
        <v>47196</v>
      </c>
      <c r="D5193" s="362">
        <f t="shared" ca="1" si="165"/>
        <v>447443133.54255939</v>
      </c>
    </row>
    <row r="5194" spans="1:4">
      <c r="A5194" s="348">
        <f t="shared" si="164"/>
        <v>5193</v>
      </c>
      <c r="B5194" s="360">
        <f>DATE('Profit Calculation'!J$6,A$2,A$2+A5194-1)</f>
        <v>47197</v>
      </c>
      <c r="D5194" s="362">
        <f t="shared" ca="1" si="165"/>
        <v>447614496.54446381</v>
      </c>
    </row>
    <row r="5195" spans="1:4">
      <c r="A5195" s="348">
        <f t="shared" si="164"/>
        <v>5194</v>
      </c>
      <c r="B5195" s="360">
        <f>DATE('Profit Calculation'!J$6,A$2,A$2+A5195-1)</f>
        <v>47198</v>
      </c>
      <c r="D5195" s="362">
        <f t="shared" ca="1" si="165"/>
        <v>447785925.17544204</v>
      </c>
    </row>
    <row r="5196" spans="1:4">
      <c r="A5196" s="348">
        <f t="shared" si="164"/>
        <v>5195</v>
      </c>
      <c r="B5196" s="360">
        <f>DATE('Profit Calculation'!J$6,A$2,A$2+A5196-1)</f>
        <v>47199</v>
      </c>
      <c r="D5196" s="362">
        <f t="shared" ca="1" si="165"/>
        <v>447957419.46062881</v>
      </c>
    </row>
    <row r="5197" spans="1:4">
      <c r="A5197" s="348">
        <f t="shared" si="164"/>
        <v>5196</v>
      </c>
      <c r="B5197" s="360">
        <f>DATE('Profit Calculation'!J$6,A$2,A$2+A5197-1)</f>
        <v>47200</v>
      </c>
      <c r="D5197" s="362">
        <f t="shared" ca="1" si="165"/>
        <v>448128979.42516857</v>
      </c>
    </row>
    <row r="5198" spans="1:4">
      <c r="A5198" s="348">
        <f t="shared" si="164"/>
        <v>5197</v>
      </c>
      <c r="B5198" s="360">
        <f>DATE('Profit Calculation'!J$6,A$2,A$2+A5198-1)</f>
        <v>47201</v>
      </c>
      <c r="D5198" s="362">
        <f t="shared" ca="1" si="165"/>
        <v>448300605.09421545</v>
      </c>
    </row>
    <row r="5199" spans="1:4">
      <c r="A5199" s="348">
        <f t="shared" si="164"/>
        <v>5198</v>
      </c>
      <c r="B5199" s="360">
        <f>DATE('Profit Calculation'!J$6,A$2,A$2+A5199-1)</f>
        <v>47202</v>
      </c>
      <c r="D5199" s="362">
        <f t="shared" ca="1" si="165"/>
        <v>448472296.49293309</v>
      </c>
    </row>
    <row r="5200" spans="1:4">
      <c r="A5200" s="348">
        <f t="shared" si="164"/>
        <v>5199</v>
      </c>
      <c r="B5200" s="360">
        <f>DATE('Profit Calculation'!J$6,A$2,A$2+A5200-1)</f>
        <v>47203</v>
      </c>
      <c r="D5200" s="362">
        <f t="shared" ca="1" si="165"/>
        <v>448644053.64649481</v>
      </c>
    </row>
    <row r="5201" spans="1:4">
      <c r="A5201" s="348">
        <f t="shared" si="164"/>
        <v>5200</v>
      </c>
      <c r="B5201" s="360">
        <f>DATE('Profit Calculation'!J$6,A$2,A$2+A5201-1)</f>
        <v>47204</v>
      </c>
      <c r="D5201" s="362">
        <f t="shared" ca="1" si="165"/>
        <v>448815876.58008355</v>
      </c>
    </row>
    <row r="5202" spans="1:4">
      <c r="A5202" s="348">
        <f t="shared" si="164"/>
        <v>5201</v>
      </c>
      <c r="B5202" s="360">
        <f>DATE('Profit Calculation'!J$6,A$2,A$2+A5202-1)</f>
        <v>47205</v>
      </c>
      <c r="D5202" s="362">
        <f t="shared" ca="1" si="165"/>
        <v>448987765.318892</v>
      </c>
    </row>
    <row r="5203" spans="1:4">
      <c r="A5203" s="348">
        <f t="shared" si="164"/>
        <v>5202</v>
      </c>
      <c r="B5203" s="360">
        <f>DATE('Profit Calculation'!J$6,A$2,A$2+A5203-1)</f>
        <v>47206</v>
      </c>
      <c r="D5203" s="362">
        <f t="shared" ca="1" si="165"/>
        <v>449159719.88812238</v>
      </c>
    </row>
    <row r="5204" spans="1:4">
      <c r="A5204" s="348">
        <f t="shared" si="164"/>
        <v>5203</v>
      </c>
      <c r="B5204" s="360">
        <f>DATE('Profit Calculation'!J$6,A$2,A$2+A5204-1)</f>
        <v>47207</v>
      </c>
      <c r="D5204" s="362">
        <f t="shared" ca="1" si="165"/>
        <v>449331740.31298661</v>
      </c>
    </row>
    <row r="5205" spans="1:4">
      <c r="A5205" s="348">
        <f t="shared" si="164"/>
        <v>5204</v>
      </c>
      <c r="B5205" s="360">
        <f>DATE('Profit Calculation'!J$6,A$2,A$2+A5205-1)</f>
        <v>47208</v>
      </c>
      <c r="D5205" s="362">
        <f t="shared" ca="1" si="165"/>
        <v>449503826.61870629</v>
      </c>
    </row>
    <row r="5206" spans="1:4">
      <c r="A5206" s="348">
        <f t="shared" si="164"/>
        <v>5205</v>
      </c>
      <c r="B5206" s="360">
        <f>DATE('Profit Calculation'!J$6,A$2,A$2+A5206-1)</f>
        <v>47209</v>
      </c>
      <c r="D5206" s="362">
        <f t="shared" ca="1" si="165"/>
        <v>438501652</v>
      </c>
    </row>
    <row r="5207" spans="1:4">
      <c r="A5207" s="348">
        <f t="shared" si="164"/>
        <v>5206</v>
      </c>
      <c r="B5207" s="360">
        <f>DATE('Profit Calculation'!J$6,A$2,A$2+A5207-1)</f>
        <v>47210</v>
      </c>
      <c r="D5207" s="362">
        <f t="shared" ca="1" si="165"/>
        <v>438669590.56871116</v>
      </c>
    </row>
    <row r="5208" spans="1:4">
      <c r="A5208" s="348">
        <f t="shared" si="164"/>
        <v>5207</v>
      </c>
      <c r="B5208" s="360">
        <f>DATE('Profit Calculation'!J$6,A$2,A$2+A5208-1)</f>
        <v>47211</v>
      </c>
      <c r="D5208" s="362">
        <f t="shared" ca="1" si="165"/>
        <v>438837593.45499724</v>
      </c>
    </row>
    <row r="5209" spans="1:4">
      <c r="A5209" s="348">
        <f t="shared" si="164"/>
        <v>5208</v>
      </c>
      <c r="B5209" s="360">
        <f>DATE('Profit Calculation'!J$6,A$2,A$2+A5209-1)</f>
        <v>47212</v>
      </c>
      <c r="D5209" s="362">
        <f t="shared" ca="1" si="165"/>
        <v>439005660.68349075</v>
      </c>
    </row>
    <row r="5210" spans="1:4">
      <c r="A5210" s="348">
        <f t="shared" si="164"/>
        <v>5209</v>
      </c>
      <c r="B5210" s="360">
        <f>DATE('Profit Calculation'!J$6,A$2,A$2+A5210-1)</f>
        <v>47213</v>
      </c>
      <c r="D5210" s="362">
        <f t="shared" ca="1" si="165"/>
        <v>439173792.27883369</v>
      </c>
    </row>
    <row r="5211" spans="1:4">
      <c r="A5211" s="348">
        <f t="shared" si="164"/>
        <v>5210</v>
      </c>
      <c r="B5211" s="360">
        <f>DATE('Profit Calculation'!J$6,A$2,A$2+A5211-1)</f>
        <v>47214</v>
      </c>
      <c r="D5211" s="362">
        <f t="shared" ca="1" si="165"/>
        <v>439341988.26567745</v>
      </c>
    </row>
    <row r="5212" spans="1:4">
      <c r="A5212" s="348">
        <f t="shared" si="164"/>
        <v>5211</v>
      </c>
      <c r="B5212" s="360">
        <f>DATE('Profit Calculation'!J$6,A$2,A$2+A5212-1)</f>
        <v>47215</v>
      </c>
      <c r="D5212" s="362">
        <f t="shared" ca="1" si="165"/>
        <v>439510248.66868281</v>
      </c>
    </row>
    <row r="5213" spans="1:4">
      <c r="A5213" s="348">
        <f t="shared" si="164"/>
        <v>5212</v>
      </c>
      <c r="B5213" s="360">
        <f>DATE('Profit Calculation'!J$6,A$2,A$2+A5213-1)</f>
        <v>47216</v>
      </c>
      <c r="D5213" s="362">
        <f t="shared" ca="1" si="165"/>
        <v>439678573.51252013</v>
      </c>
    </row>
    <row r="5214" spans="1:4">
      <c r="A5214" s="348">
        <f t="shared" si="164"/>
        <v>5213</v>
      </c>
      <c r="B5214" s="360">
        <f>DATE('Profit Calculation'!J$6,A$2,A$2+A5214-1)</f>
        <v>47217</v>
      </c>
      <c r="D5214" s="362">
        <f t="shared" ca="1" si="165"/>
        <v>439846962.82186908</v>
      </c>
    </row>
    <row r="5215" spans="1:4">
      <c r="A5215" s="348">
        <f t="shared" si="164"/>
        <v>5214</v>
      </c>
      <c r="B5215" s="360">
        <f>DATE('Profit Calculation'!J$6,A$2,A$2+A5215-1)</f>
        <v>47218</v>
      </c>
      <c r="D5215" s="362">
        <f t="shared" ca="1" si="165"/>
        <v>440015416.62141883</v>
      </c>
    </row>
    <row r="5216" spans="1:4">
      <c r="A5216" s="348">
        <f t="shared" si="164"/>
        <v>5215</v>
      </c>
      <c r="B5216" s="360">
        <f>DATE('Profit Calculation'!J$6,A$2,A$2+A5216-1)</f>
        <v>47219</v>
      </c>
      <c r="D5216" s="362">
        <f t="shared" ca="1" si="165"/>
        <v>440183934.93586808</v>
      </c>
    </row>
    <row r="5217" spans="1:4">
      <c r="A5217" s="348">
        <f t="shared" si="164"/>
        <v>5216</v>
      </c>
      <c r="B5217" s="360">
        <f>DATE('Profit Calculation'!J$6,A$2,A$2+A5217-1)</f>
        <v>47220</v>
      </c>
      <c r="D5217" s="362">
        <f t="shared" ca="1" si="165"/>
        <v>440352517.78992486</v>
      </c>
    </row>
    <row r="5218" spans="1:4">
      <c r="A5218" s="348">
        <f t="shared" si="164"/>
        <v>5217</v>
      </c>
      <c r="B5218" s="360">
        <f>DATE('Profit Calculation'!J$6,A$2,A$2+A5218-1)</f>
        <v>47221</v>
      </c>
      <c r="D5218" s="362">
        <f t="shared" ca="1" si="165"/>
        <v>440521165.20830673</v>
      </c>
    </row>
    <row r="5219" spans="1:4">
      <c r="A5219" s="348">
        <f t="shared" si="164"/>
        <v>5218</v>
      </c>
      <c r="B5219" s="360">
        <f>DATE('Profit Calculation'!J$6,A$2,A$2+A5219-1)</f>
        <v>47222</v>
      </c>
      <c r="D5219" s="362">
        <f t="shared" ca="1" si="165"/>
        <v>440689877.21574074</v>
      </c>
    </row>
    <row r="5220" spans="1:4">
      <c r="A5220" s="348">
        <f t="shared" si="164"/>
        <v>5219</v>
      </c>
      <c r="B5220" s="360">
        <f>DATE('Profit Calculation'!J$6,A$2,A$2+A5220-1)</f>
        <v>47223</v>
      </c>
      <c r="D5220" s="362">
        <f t="shared" ca="1" si="165"/>
        <v>440858653.83696336</v>
      </c>
    </row>
    <row r="5221" spans="1:4">
      <c r="A5221" s="348">
        <f t="shared" si="164"/>
        <v>5220</v>
      </c>
      <c r="B5221" s="360">
        <f>DATE('Profit Calculation'!J$6,A$2,A$2+A5221-1)</f>
        <v>47224</v>
      </c>
      <c r="D5221" s="362">
        <f t="shared" ca="1" si="165"/>
        <v>441027495.09672058</v>
      </c>
    </row>
    <row r="5222" spans="1:4">
      <c r="A5222" s="348">
        <f t="shared" si="164"/>
        <v>5221</v>
      </c>
      <c r="B5222" s="360">
        <f>DATE('Profit Calculation'!J$6,A$2,A$2+A5222-1)</f>
        <v>47225</v>
      </c>
      <c r="D5222" s="362">
        <f t="shared" ca="1" si="165"/>
        <v>441196401.01976782</v>
      </c>
    </row>
    <row r="5223" spans="1:4">
      <c r="A5223" s="348">
        <f t="shared" si="164"/>
        <v>5222</v>
      </c>
      <c r="B5223" s="360">
        <f>DATE('Profit Calculation'!J$6,A$2,A$2+A5223-1)</f>
        <v>47226</v>
      </c>
      <c r="D5223" s="362">
        <f t="shared" ca="1" si="165"/>
        <v>441365371.63087004</v>
      </c>
    </row>
    <row r="5224" spans="1:4">
      <c r="A5224" s="348">
        <f t="shared" si="164"/>
        <v>5223</v>
      </c>
      <c r="B5224" s="360">
        <f>DATE('Profit Calculation'!J$6,A$2,A$2+A5224-1)</f>
        <v>47227</v>
      </c>
      <c r="D5224" s="362">
        <f t="shared" ca="1" si="165"/>
        <v>441534406.95480162</v>
      </c>
    </row>
    <row r="5225" spans="1:4">
      <c r="A5225" s="348">
        <f t="shared" si="164"/>
        <v>5224</v>
      </c>
      <c r="B5225" s="360">
        <f>DATE('Profit Calculation'!J$6,A$2,A$2+A5225-1)</f>
        <v>47228</v>
      </c>
      <c r="D5225" s="362">
        <f t="shared" ca="1" si="165"/>
        <v>441703507.01634645</v>
      </c>
    </row>
    <row r="5226" spans="1:4">
      <c r="A5226" s="348">
        <f t="shared" si="164"/>
        <v>5225</v>
      </c>
      <c r="B5226" s="360">
        <f>DATE('Profit Calculation'!J$6,A$2,A$2+A5226-1)</f>
        <v>47229</v>
      </c>
      <c r="D5226" s="362">
        <f t="shared" ca="1" si="165"/>
        <v>441872671.84029794</v>
      </c>
    </row>
    <row r="5227" spans="1:4">
      <c r="A5227" s="348">
        <f t="shared" si="164"/>
        <v>5226</v>
      </c>
      <c r="B5227" s="360">
        <f>DATE('Profit Calculation'!J$6,A$2,A$2+A5227-1)</f>
        <v>47230</v>
      </c>
      <c r="D5227" s="362">
        <f t="shared" ca="1" si="165"/>
        <v>442041901.45145899</v>
      </c>
    </row>
    <row r="5228" spans="1:4">
      <c r="A5228" s="348">
        <f t="shared" si="164"/>
        <v>5227</v>
      </c>
      <c r="B5228" s="360">
        <f>DATE('Profit Calculation'!J$6,A$2,A$2+A5228-1)</f>
        <v>47231</v>
      </c>
      <c r="D5228" s="362">
        <f t="shared" ca="1" si="165"/>
        <v>442211195.87464195</v>
      </c>
    </row>
    <row r="5229" spans="1:4">
      <c r="A5229" s="348">
        <f t="shared" si="164"/>
        <v>5228</v>
      </c>
      <c r="B5229" s="360">
        <f>DATE('Profit Calculation'!J$6,A$2,A$2+A5229-1)</f>
        <v>47232</v>
      </c>
      <c r="D5229" s="362">
        <f t="shared" ca="1" si="165"/>
        <v>442380555.13466871</v>
      </c>
    </row>
    <row r="5230" spans="1:4">
      <c r="A5230" s="348">
        <f t="shared" si="164"/>
        <v>5229</v>
      </c>
      <c r="B5230" s="360">
        <f>DATE('Profit Calculation'!J$6,A$2,A$2+A5230-1)</f>
        <v>47233</v>
      </c>
      <c r="D5230" s="362">
        <f t="shared" ca="1" si="165"/>
        <v>442549979.25637066</v>
      </c>
    </row>
    <row r="5231" spans="1:4">
      <c r="A5231" s="348">
        <f t="shared" si="164"/>
        <v>5230</v>
      </c>
      <c r="B5231" s="360">
        <f>DATE('Profit Calculation'!J$6,A$2,A$2+A5231-1)</f>
        <v>47234</v>
      </c>
      <c r="D5231" s="362">
        <f t="shared" ca="1" si="165"/>
        <v>442719468.26458871</v>
      </c>
    </row>
    <row r="5232" spans="1:4">
      <c r="A5232" s="348">
        <f t="shared" si="164"/>
        <v>5231</v>
      </c>
      <c r="B5232" s="360">
        <f>DATE('Profit Calculation'!J$6,A$2,A$2+A5232-1)</f>
        <v>47235</v>
      </c>
      <c r="D5232" s="362">
        <f t="shared" ca="1" si="165"/>
        <v>442889022.18417329</v>
      </c>
    </row>
    <row r="5233" spans="1:4">
      <c r="A5233" s="348">
        <f t="shared" si="164"/>
        <v>5232</v>
      </c>
      <c r="B5233" s="360">
        <f>DATE('Profit Calculation'!J$6,A$2,A$2+A5233-1)</f>
        <v>47236</v>
      </c>
      <c r="D5233" s="362">
        <f t="shared" ca="1" si="165"/>
        <v>443058641.03998435</v>
      </c>
    </row>
    <row r="5234" spans="1:4">
      <c r="A5234" s="348">
        <f t="shared" si="164"/>
        <v>5233</v>
      </c>
      <c r="B5234" s="360">
        <f>DATE('Profit Calculation'!J$6,A$2,A$2+A5234-1)</f>
        <v>47237</v>
      </c>
      <c r="D5234" s="362">
        <f t="shared" ca="1" si="165"/>
        <v>443228324.85689127</v>
      </c>
    </row>
    <row r="5235" spans="1:4">
      <c r="A5235" s="348">
        <f t="shared" si="164"/>
        <v>5234</v>
      </c>
      <c r="B5235" s="360">
        <f>DATE('Profit Calculation'!J$6,A$2,A$2+A5235-1)</f>
        <v>47238</v>
      </c>
      <c r="D5235" s="362">
        <f t="shared" ca="1" si="165"/>
        <v>443398073.65977311</v>
      </c>
    </row>
    <row r="5236" spans="1:4">
      <c r="A5236" s="348">
        <f t="shared" si="164"/>
        <v>5235</v>
      </c>
      <c r="B5236" s="360">
        <f>DATE('Profit Calculation'!J$6,A$2,A$2+A5236-1)</f>
        <v>47239</v>
      </c>
      <c r="D5236" s="362">
        <f t="shared" ca="1" si="165"/>
        <v>443567887.47351831</v>
      </c>
    </row>
    <row r="5237" spans="1:4">
      <c r="A5237" s="348">
        <f t="shared" si="164"/>
        <v>5236</v>
      </c>
      <c r="B5237" s="360">
        <f>DATE('Profit Calculation'!J$6,A$2,A$2+A5237-1)</f>
        <v>47240</v>
      </c>
      <c r="D5237" s="362">
        <f t="shared" ca="1" si="165"/>
        <v>443737766.32302499</v>
      </c>
    </row>
    <row r="5238" spans="1:4">
      <c r="A5238" s="348">
        <f t="shared" si="164"/>
        <v>5237</v>
      </c>
      <c r="B5238" s="360">
        <f>DATE('Profit Calculation'!J$6,A$2,A$2+A5238-1)</f>
        <v>47241</v>
      </c>
      <c r="D5238" s="362">
        <f t="shared" ca="1" si="165"/>
        <v>443907710.23320067</v>
      </c>
    </row>
    <row r="5239" spans="1:4">
      <c r="A5239" s="348">
        <f t="shared" si="164"/>
        <v>5238</v>
      </c>
      <c r="B5239" s="360">
        <f>DATE('Profit Calculation'!J$6,A$2,A$2+A5239-1)</f>
        <v>47242</v>
      </c>
      <c r="D5239" s="362">
        <f t="shared" ca="1" si="165"/>
        <v>444077719.22896248</v>
      </c>
    </row>
    <row r="5240" spans="1:4">
      <c r="A5240" s="348">
        <f t="shared" si="164"/>
        <v>5239</v>
      </c>
      <c r="B5240" s="360">
        <f>DATE('Profit Calculation'!J$6,A$2,A$2+A5240-1)</f>
        <v>47243</v>
      </c>
      <c r="D5240" s="362">
        <f t="shared" ca="1" si="165"/>
        <v>444247793.33523703</v>
      </c>
    </row>
    <row r="5241" spans="1:4">
      <c r="A5241" s="348">
        <f t="shared" si="164"/>
        <v>5240</v>
      </c>
      <c r="B5241" s="360">
        <f>DATE('Profit Calculation'!J$6,A$2,A$2+A5241-1)</f>
        <v>47244</v>
      </c>
      <c r="D5241" s="362">
        <f t="shared" ca="1" si="165"/>
        <v>444417932.57696056</v>
      </c>
    </row>
    <row r="5242" spans="1:4">
      <c r="A5242" s="348">
        <f t="shared" si="164"/>
        <v>5241</v>
      </c>
      <c r="B5242" s="360">
        <f>DATE('Profit Calculation'!J$6,A$2,A$2+A5242-1)</f>
        <v>47245</v>
      </c>
      <c r="D5242" s="362">
        <f t="shared" ca="1" si="165"/>
        <v>444588136.97907883</v>
      </c>
    </row>
    <row r="5243" spans="1:4">
      <c r="A5243" s="348">
        <f t="shared" si="164"/>
        <v>5242</v>
      </c>
      <c r="B5243" s="360">
        <f>DATE('Profit Calculation'!J$6,A$2,A$2+A5243-1)</f>
        <v>47246</v>
      </c>
      <c r="D5243" s="362">
        <f t="shared" ca="1" si="165"/>
        <v>444758406.56654716</v>
      </c>
    </row>
    <row r="5244" spans="1:4">
      <c r="A5244" s="348">
        <f t="shared" si="164"/>
        <v>5243</v>
      </c>
      <c r="B5244" s="360">
        <f>DATE('Profit Calculation'!J$6,A$2,A$2+A5244-1)</f>
        <v>47247</v>
      </c>
      <c r="D5244" s="362">
        <f t="shared" ca="1" si="165"/>
        <v>444928741.36433041</v>
      </c>
    </row>
    <row r="5245" spans="1:4">
      <c r="A5245" s="348">
        <f t="shared" si="164"/>
        <v>5244</v>
      </c>
      <c r="B5245" s="360">
        <f>DATE('Profit Calculation'!J$6,A$2,A$2+A5245-1)</f>
        <v>47248</v>
      </c>
      <c r="D5245" s="362">
        <f t="shared" ca="1" si="165"/>
        <v>445099141.397403</v>
      </c>
    </row>
    <row r="5246" spans="1:4">
      <c r="A5246" s="348">
        <f t="shared" si="164"/>
        <v>5245</v>
      </c>
      <c r="B5246" s="360">
        <f>DATE('Profit Calculation'!J$6,A$2,A$2+A5246-1)</f>
        <v>47249</v>
      </c>
      <c r="D5246" s="362">
        <f t="shared" ca="1" si="165"/>
        <v>445269606.69074893</v>
      </c>
    </row>
    <row r="5247" spans="1:4">
      <c r="A5247" s="348">
        <f t="shared" si="164"/>
        <v>5246</v>
      </c>
      <c r="B5247" s="360">
        <f>DATE('Profit Calculation'!J$6,A$2,A$2+A5247-1)</f>
        <v>47250</v>
      </c>
      <c r="D5247" s="362">
        <f t="shared" ca="1" si="165"/>
        <v>445440137.26936173</v>
      </c>
    </row>
    <row r="5248" spans="1:4">
      <c r="A5248" s="348">
        <f t="shared" si="164"/>
        <v>5247</v>
      </c>
      <c r="B5248" s="360">
        <f>DATE('Profit Calculation'!J$6,A$2,A$2+A5248-1)</f>
        <v>47251</v>
      </c>
      <c r="D5248" s="362">
        <f t="shared" ca="1" si="165"/>
        <v>445610733.15824455</v>
      </c>
    </row>
    <row r="5249" spans="1:4">
      <c r="A5249" s="348">
        <f t="shared" si="164"/>
        <v>5248</v>
      </c>
      <c r="B5249" s="360">
        <f>DATE('Profit Calculation'!J$6,A$2,A$2+A5249-1)</f>
        <v>47252</v>
      </c>
      <c r="D5249" s="362">
        <f t="shared" ca="1" si="165"/>
        <v>445781394.38241005</v>
      </c>
    </row>
    <row r="5250" spans="1:4">
      <c r="A5250" s="348">
        <f t="shared" si="164"/>
        <v>5249</v>
      </c>
      <c r="B5250" s="360">
        <f>DATE('Profit Calculation'!J$6,A$2,A$2+A5250-1)</f>
        <v>47253</v>
      </c>
      <c r="D5250" s="362">
        <f t="shared" ca="1" si="165"/>
        <v>445952120.96688056</v>
      </c>
    </row>
    <row r="5251" spans="1:4">
      <c r="A5251" s="348">
        <f t="shared" si="164"/>
        <v>5250</v>
      </c>
      <c r="B5251" s="360">
        <f>DATE('Profit Calculation'!J$6,A$2,A$2+A5251-1)</f>
        <v>47254</v>
      </c>
      <c r="D5251" s="362">
        <f t="shared" ca="1" si="165"/>
        <v>446122912.93668795</v>
      </c>
    </row>
    <row r="5252" spans="1:4">
      <c r="A5252" s="348">
        <f t="shared" si="164"/>
        <v>5251</v>
      </c>
      <c r="B5252" s="360">
        <f>DATE('Profit Calculation'!J$6,A$2,A$2+A5252-1)</f>
        <v>47255</v>
      </c>
      <c r="D5252" s="362">
        <f t="shared" ca="1" si="165"/>
        <v>446293770.31687367</v>
      </c>
    </row>
    <row r="5253" spans="1:4">
      <c r="A5253" s="348">
        <f t="shared" ref="A5253:A5316" si="166">A5252+1</f>
        <v>5252</v>
      </c>
      <c r="B5253" s="360">
        <f>DATE('Profit Calculation'!J$6,A$2,A$2+A5253-1)</f>
        <v>47256</v>
      </c>
      <c r="D5253" s="362">
        <f t="shared" ref="D5253:D5316" ca="1" si="167">IF(OR(LOOKUP(B5253,W$1:W$35,W$1:W$35) = B5253, LOOKUP(B5253,X$1:X$35,X$1:X$35) = B5253),LOOKUP(B5253,F:F,G:G),D5252*(1+((IF($Q$18&lt;6,$R$14,IF($Q$18&lt;11,$R$15,$R$16)))))^(1/365))</f>
        <v>446464693.13248879</v>
      </c>
    </row>
    <row r="5254" spans="1:4">
      <c r="A5254" s="348">
        <f t="shared" si="166"/>
        <v>5253</v>
      </c>
      <c r="B5254" s="360">
        <f>DATE('Profit Calculation'!J$6,A$2,A$2+A5254-1)</f>
        <v>47257</v>
      </c>
      <c r="D5254" s="362">
        <f t="shared" ca="1" si="167"/>
        <v>446635681.40859389</v>
      </c>
    </row>
    <row r="5255" spans="1:4">
      <c r="A5255" s="348">
        <f t="shared" si="166"/>
        <v>5254</v>
      </c>
      <c r="B5255" s="360">
        <f>DATE('Profit Calculation'!J$6,A$2,A$2+A5255-1)</f>
        <v>47258</v>
      </c>
      <c r="D5255" s="362">
        <f t="shared" ca="1" si="167"/>
        <v>446806735.1702593</v>
      </c>
    </row>
    <row r="5256" spans="1:4">
      <c r="A5256" s="348">
        <f t="shared" si="166"/>
        <v>5255</v>
      </c>
      <c r="B5256" s="360">
        <f>DATE('Profit Calculation'!J$6,A$2,A$2+A5256-1)</f>
        <v>47259</v>
      </c>
      <c r="D5256" s="362">
        <f t="shared" ca="1" si="167"/>
        <v>446977854.44256479</v>
      </c>
    </row>
    <row r="5257" spans="1:4">
      <c r="A5257" s="348">
        <f t="shared" si="166"/>
        <v>5256</v>
      </c>
      <c r="B5257" s="360">
        <f>DATE('Profit Calculation'!J$6,A$2,A$2+A5257-1)</f>
        <v>47260</v>
      </c>
      <c r="D5257" s="362">
        <f t="shared" ca="1" si="167"/>
        <v>447149039.2505998</v>
      </c>
    </row>
    <row r="5258" spans="1:4">
      <c r="A5258" s="348">
        <f t="shared" si="166"/>
        <v>5257</v>
      </c>
      <c r="B5258" s="360">
        <f>DATE('Profit Calculation'!J$6,A$2,A$2+A5258-1)</f>
        <v>47261</v>
      </c>
      <c r="D5258" s="362">
        <f t="shared" ca="1" si="167"/>
        <v>447320289.61946344</v>
      </c>
    </row>
    <row r="5259" spans="1:4">
      <c r="A5259" s="348">
        <f t="shared" si="166"/>
        <v>5258</v>
      </c>
      <c r="B5259" s="360">
        <f>DATE('Profit Calculation'!J$6,A$2,A$2+A5259-1)</f>
        <v>47262</v>
      </c>
      <c r="D5259" s="362">
        <f t="shared" ca="1" si="167"/>
        <v>447491605.57426435</v>
      </c>
    </row>
    <row r="5260" spans="1:4">
      <c r="A5260" s="348">
        <f t="shared" si="166"/>
        <v>5259</v>
      </c>
      <c r="B5260" s="360">
        <f>DATE('Profit Calculation'!J$6,A$2,A$2+A5260-1)</f>
        <v>47263</v>
      </c>
      <c r="D5260" s="362">
        <f t="shared" ca="1" si="167"/>
        <v>447662987.1401208</v>
      </c>
    </row>
    <row r="5261" spans="1:4">
      <c r="A5261" s="348">
        <f t="shared" si="166"/>
        <v>5260</v>
      </c>
      <c r="B5261" s="360">
        <f>DATE('Profit Calculation'!J$6,A$2,A$2+A5261-1)</f>
        <v>47264</v>
      </c>
      <c r="D5261" s="362">
        <f t="shared" ca="1" si="167"/>
        <v>447834434.3421607</v>
      </c>
    </row>
    <row r="5262" spans="1:4">
      <c r="A5262" s="348">
        <f t="shared" si="166"/>
        <v>5261</v>
      </c>
      <c r="B5262" s="360">
        <f>DATE('Profit Calculation'!J$6,A$2,A$2+A5262-1)</f>
        <v>47265</v>
      </c>
      <c r="D5262" s="362">
        <f t="shared" ca="1" si="167"/>
        <v>448005947.20552158</v>
      </c>
    </row>
    <row r="5263" spans="1:4">
      <c r="A5263" s="348">
        <f t="shared" si="166"/>
        <v>5262</v>
      </c>
      <c r="B5263" s="360">
        <f>DATE('Profit Calculation'!J$6,A$2,A$2+A5263-1)</f>
        <v>47266</v>
      </c>
      <c r="D5263" s="362">
        <f t="shared" ca="1" si="167"/>
        <v>448177525.75535059</v>
      </c>
    </row>
    <row r="5264" spans="1:4">
      <c r="A5264" s="348">
        <f t="shared" si="166"/>
        <v>5263</v>
      </c>
      <c r="B5264" s="360">
        <f>DATE('Profit Calculation'!J$6,A$2,A$2+A5264-1)</f>
        <v>47267</v>
      </c>
      <c r="D5264" s="362">
        <f t="shared" ca="1" si="167"/>
        <v>448349170.01680452</v>
      </c>
    </row>
    <row r="5265" spans="1:4">
      <c r="A5265" s="348">
        <f t="shared" si="166"/>
        <v>5264</v>
      </c>
      <c r="B5265" s="360">
        <f>DATE('Profit Calculation'!J$6,A$2,A$2+A5265-1)</f>
        <v>47268</v>
      </c>
      <c r="D5265" s="362">
        <f t="shared" ca="1" si="167"/>
        <v>448520880.01504976</v>
      </c>
    </row>
    <row r="5266" spans="1:4">
      <c r="A5266" s="348">
        <f t="shared" si="166"/>
        <v>5265</v>
      </c>
      <c r="B5266" s="360">
        <f>DATE('Profit Calculation'!J$6,A$2,A$2+A5266-1)</f>
        <v>47269</v>
      </c>
      <c r="D5266" s="362">
        <f t="shared" ca="1" si="167"/>
        <v>448692655.77526236</v>
      </c>
    </row>
    <row r="5267" spans="1:4">
      <c r="A5267" s="348">
        <f t="shared" si="166"/>
        <v>5266</v>
      </c>
      <c r="B5267" s="360">
        <f>DATE('Profit Calculation'!J$6,A$2,A$2+A5267-1)</f>
        <v>47270</v>
      </c>
      <c r="D5267" s="362">
        <f t="shared" ca="1" si="167"/>
        <v>448864497.32262808</v>
      </c>
    </row>
    <row r="5268" spans="1:4">
      <c r="A5268" s="348">
        <f t="shared" si="166"/>
        <v>5267</v>
      </c>
      <c r="B5268" s="360">
        <f>DATE('Profit Calculation'!J$6,A$2,A$2+A5268-1)</f>
        <v>47271</v>
      </c>
      <c r="D5268" s="362">
        <f t="shared" ca="1" si="167"/>
        <v>449036404.68234223</v>
      </c>
    </row>
    <row r="5269" spans="1:4">
      <c r="A5269" s="348">
        <f t="shared" si="166"/>
        <v>5268</v>
      </c>
      <c r="B5269" s="360">
        <f>DATE('Profit Calculation'!J$6,A$2,A$2+A5269-1)</f>
        <v>47272</v>
      </c>
      <c r="D5269" s="362">
        <f t="shared" ca="1" si="167"/>
        <v>449208377.87960982</v>
      </c>
    </row>
    <row r="5270" spans="1:4">
      <c r="A5270" s="348">
        <f t="shared" si="166"/>
        <v>5269</v>
      </c>
      <c r="B5270" s="360">
        <f>DATE('Profit Calculation'!J$6,A$2,A$2+A5270-1)</f>
        <v>47273</v>
      </c>
      <c r="D5270" s="362">
        <f t="shared" ca="1" si="167"/>
        <v>449380416.93964547</v>
      </c>
    </row>
    <row r="5271" spans="1:4">
      <c r="A5271" s="348">
        <f t="shared" si="166"/>
        <v>5270</v>
      </c>
      <c r="B5271" s="360">
        <f>DATE('Profit Calculation'!J$6,A$2,A$2+A5271-1)</f>
        <v>47274</v>
      </c>
      <c r="D5271" s="362">
        <f t="shared" ca="1" si="167"/>
        <v>449552521.8876735</v>
      </c>
    </row>
    <row r="5272" spans="1:4">
      <c r="A5272" s="348">
        <f t="shared" si="166"/>
        <v>5271</v>
      </c>
      <c r="B5272" s="360">
        <f>DATE('Profit Calculation'!J$6,A$2,A$2+A5272-1)</f>
        <v>47275</v>
      </c>
      <c r="D5272" s="362">
        <f t="shared" ca="1" si="167"/>
        <v>449724692.74892789</v>
      </c>
    </row>
    <row r="5273" spans="1:4">
      <c r="A5273" s="348">
        <f t="shared" si="166"/>
        <v>5272</v>
      </c>
      <c r="B5273" s="360">
        <f>DATE('Profit Calculation'!J$6,A$2,A$2+A5273-1)</f>
        <v>47276</v>
      </c>
      <c r="D5273" s="362">
        <f t="shared" ca="1" si="167"/>
        <v>449896929.54865223</v>
      </c>
    </row>
    <row r="5274" spans="1:4">
      <c r="A5274" s="348">
        <f t="shared" si="166"/>
        <v>5273</v>
      </c>
      <c r="B5274" s="360">
        <f>DATE('Profit Calculation'!J$6,A$2,A$2+A5274-1)</f>
        <v>47277</v>
      </c>
      <c r="D5274" s="362">
        <f t="shared" ca="1" si="167"/>
        <v>450069232.31209981</v>
      </c>
    </row>
    <row r="5275" spans="1:4">
      <c r="A5275" s="348">
        <f t="shared" si="166"/>
        <v>5274</v>
      </c>
      <c r="B5275" s="360">
        <f>DATE('Profit Calculation'!J$6,A$2,A$2+A5275-1)</f>
        <v>47278</v>
      </c>
      <c r="D5275" s="362">
        <f t="shared" ca="1" si="167"/>
        <v>450241601.06453365</v>
      </c>
    </row>
    <row r="5276" spans="1:4">
      <c r="A5276" s="348">
        <f t="shared" si="166"/>
        <v>5275</v>
      </c>
      <c r="B5276" s="360">
        <f>DATE('Profit Calculation'!J$6,A$2,A$2+A5276-1)</f>
        <v>47279</v>
      </c>
      <c r="D5276" s="362">
        <f t="shared" ca="1" si="167"/>
        <v>450414035.83122635</v>
      </c>
    </row>
    <row r="5277" spans="1:4">
      <c r="A5277" s="348">
        <f t="shared" si="166"/>
        <v>5276</v>
      </c>
      <c r="B5277" s="360">
        <f>DATE('Profit Calculation'!J$6,A$2,A$2+A5277-1)</f>
        <v>47280</v>
      </c>
      <c r="D5277" s="362">
        <f t="shared" ca="1" si="167"/>
        <v>450586536.63746029</v>
      </c>
    </row>
    <row r="5278" spans="1:4">
      <c r="A5278" s="348">
        <f t="shared" si="166"/>
        <v>5277</v>
      </c>
      <c r="B5278" s="360">
        <f>DATE('Profit Calculation'!J$6,A$2,A$2+A5278-1)</f>
        <v>47281</v>
      </c>
      <c r="D5278" s="362">
        <f t="shared" ca="1" si="167"/>
        <v>450759103.5085274</v>
      </c>
    </row>
    <row r="5279" spans="1:4">
      <c r="A5279" s="348">
        <f t="shared" si="166"/>
        <v>5278</v>
      </c>
      <c r="B5279" s="360">
        <f>DATE('Profit Calculation'!J$6,A$2,A$2+A5279-1)</f>
        <v>47282</v>
      </c>
      <c r="D5279" s="362">
        <f t="shared" ca="1" si="167"/>
        <v>450931736.46972942</v>
      </c>
    </row>
    <row r="5280" spans="1:4">
      <c r="A5280" s="348">
        <f t="shared" si="166"/>
        <v>5279</v>
      </c>
      <c r="B5280" s="360">
        <f>DATE('Profit Calculation'!J$6,A$2,A$2+A5280-1)</f>
        <v>47283</v>
      </c>
      <c r="D5280" s="362">
        <f t="shared" ca="1" si="167"/>
        <v>451104435.54637772</v>
      </c>
    </row>
    <row r="5281" spans="1:4">
      <c r="A5281" s="348">
        <f t="shared" si="166"/>
        <v>5280</v>
      </c>
      <c r="B5281" s="360">
        <f>DATE('Profit Calculation'!J$6,A$2,A$2+A5281-1)</f>
        <v>47284</v>
      </c>
      <c r="D5281" s="362">
        <f t="shared" ca="1" si="167"/>
        <v>451277200.76379341</v>
      </c>
    </row>
    <row r="5282" spans="1:4">
      <c r="A5282" s="348">
        <f t="shared" si="166"/>
        <v>5281</v>
      </c>
      <c r="B5282" s="360">
        <f>DATE('Profit Calculation'!J$6,A$2,A$2+A5282-1)</f>
        <v>47285</v>
      </c>
      <c r="D5282" s="362">
        <f t="shared" ca="1" si="167"/>
        <v>451450032.14730722</v>
      </c>
    </row>
    <row r="5283" spans="1:4">
      <c r="A5283" s="348">
        <f t="shared" si="166"/>
        <v>5282</v>
      </c>
      <c r="B5283" s="360">
        <f>DATE('Profit Calculation'!J$6,A$2,A$2+A5283-1)</f>
        <v>47286</v>
      </c>
      <c r="D5283" s="362">
        <f t="shared" ca="1" si="167"/>
        <v>451622929.72225964</v>
      </c>
    </row>
    <row r="5284" spans="1:4">
      <c r="A5284" s="348">
        <f t="shared" si="166"/>
        <v>5283</v>
      </c>
      <c r="B5284" s="360">
        <f>DATE('Profit Calculation'!J$6,A$2,A$2+A5284-1)</f>
        <v>47287</v>
      </c>
      <c r="D5284" s="362">
        <f t="shared" ca="1" si="167"/>
        <v>451795893.51400083</v>
      </c>
    </row>
    <row r="5285" spans="1:4">
      <c r="A5285" s="348">
        <f t="shared" si="166"/>
        <v>5284</v>
      </c>
      <c r="B5285" s="360">
        <f>DATE('Profit Calculation'!J$6,A$2,A$2+A5285-1)</f>
        <v>47288</v>
      </c>
      <c r="D5285" s="362">
        <f t="shared" ca="1" si="167"/>
        <v>451968923.54789066</v>
      </c>
    </row>
    <row r="5286" spans="1:4">
      <c r="A5286" s="348">
        <f t="shared" si="166"/>
        <v>5285</v>
      </c>
      <c r="B5286" s="360">
        <f>DATE('Profit Calculation'!J$6,A$2,A$2+A5286-1)</f>
        <v>47289</v>
      </c>
      <c r="D5286" s="362">
        <f t="shared" ca="1" si="167"/>
        <v>452142019.84929878</v>
      </c>
    </row>
    <row r="5287" spans="1:4">
      <c r="A5287" s="348">
        <f t="shared" si="166"/>
        <v>5286</v>
      </c>
      <c r="B5287" s="360">
        <f>DATE('Profit Calculation'!J$6,A$2,A$2+A5287-1)</f>
        <v>47290</v>
      </c>
      <c r="D5287" s="362">
        <f t="shared" ca="1" si="167"/>
        <v>452315182.44360447</v>
      </c>
    </row>
    <row r="5288" spans="1:4">
      <c r="A5288" s="348">
        <f t="shared" si="166"/>
        <v>5287</v>
      </c>
      <c r="B5288" s="360">
        <f>DATE('Profit Calculation'!J$6,A$2,A$2+A5288-1)</f>
        <v>47291</v>
      </c>
      <c r="D5288" s="362">
        <f t="shared" ca="1" si="167"/>
        <v>452488411.35619682</v>
      </c>
    </row>
    <row r="5289" spans="1:4">
      <c r="A5289" s="348">
        <f t="shared" si="166"/>
        <v>5288</v>
      </c>
      <c r="B5289" s="360">
        <f>DATE('Profit Calculation'!J$6,A$2,A$2+A5289-1)</f>
        <v>47292</v>
      </c>
      <c r="D5289" s="362">
        <f t="shared" ca="1" si="167"/>
        <v>452661706.61247456</v>
      </c>
    </row>
    <row r="5290" spans="1:4">
      <c r="A5290" s="348">
        <f t="shared" si="166"/>
        <v>5289</v>
      </c>
      <c r="B5290" s="360">
        <f>DATE('Profit Calculation'!J$6,A$2,A$2+A5290-1)</f>
        <v>47293</v>
      </c>
      <c r="D5290" s="362">
        <f t="shared" ca="1" si="167"/>
        <v>452835068.23784614</v>
      </c>
    </row>
    <row r="5291" spans="1:4">
      <c r="A5291" s="348">
        <f t="shared" si="166"/>
        <v>5290</v>
      </c>
      <c r="B5291" s="360">
        <f>DATE('Profit Calculation'!J$6,A$2,A$2+A5291-1)</f>
        <v>47294</v>
      </c>
      <c r="D5291" s="362">
        <f t="shared" ca="1" si="167"/>
        <v>453008496.25772983</v>
      </c>
    </row>
    <row r="5292" spans="1:4">
      <c r="A5292" s="348">
        <f t="shared" si="166"/>
        <v>5291</v>
      </c>
      <c r="B5292" s="360">
        <f>DATE('Profit Calculation'!J$6,A$2,A$2+A5292-1)</f>
        <v>47295</v>
      </c>
      <c r="D5292" s="362">
        <f t="shared" ca="1" si="167"/>
        <v>453181990.69755352</v>
      </c>
    </row>
    <row r="5293" spans="1:4">
      <c r="A5293" s="348">
        <f t="shared" si="166"/>
        <v>5292</v>
      </c>
      <c r="B5293" s="360">
        <f>DATE('Profit Calculation'!J$6,A$2,A$2+A5293-1)</f>
        <v>47296</v>
      </c>
      <c r="D5293" s="362">
        <f t="shared" ca="1" si="167"/>
        <v>453355551.58275497</v>
      </c>
    </row>
    <row r="5294" spans="1:4">
      <c r="A5294" s="348">
        <f t="shared" si="166"/>
        <v>5293</v>
      </c>
      <c r="B5294" s="360">
        <f>DATE('Profit Calculation'!J$6,A$2,A$2+A5294-1)</f>
        <v>47297</v>
      </c>
      <c r="D5294" s="362">
        <f t="shared" ca="1" si="167"/>
        <v>453529178.93878156</v>
      </c>
    </row>
    <row r="5295" spans="1:4">
      <c r="A5295" s="348">
        <f t="shared" si="166"/>
        <v>5294</v>
      </c>
      <c r="B5295" s="360">
        <f>DATE('Profit Calculation'!J$6,A$2,A$2+A5295-1)</f>
        <v>47298</v>
      </c>
      <c r="D5295" s="362">
        <f t="shared" ca="1" si="167"/>
        <v>453702872.79109049</v>
      </c>
    </row>
    <row r="5296" spans="1:4">
      <c r="A5296" s="348">
        <f t="shared" si="166"/>
        <v>5295</v>
      </c>
      <c r="B5296" s="360">
        <f>DATE('Profit Calculation'!J$6,A$2,A$2+A5296-1)</f>
        <v>47299</v>
      </c>
      <c r="D5296" s="362">
        <f t="shared" ca="1" si="167"/>
        <v>453876633.16514874</v>
      </c>
    </row>
    <row r="5297" spans="1:4">
      <c r="A5297" s="348">
        <f t="shared" si="166"/>
        <v>5296</v>
      </c>
      <c r="B5297" s="360">
        <f>DATE('Profit Calculation'!J$6,A$2,A$2+A5297-1)</f>
        <v>47300</v>
      </c>
      <c r="D5297" s="362">
        <f t="shared" ca="1" si="167"/>
        <v>454050460.08643293</v>
      </c>
    </row>
    <row r="5298" spans="1:4">
      <c r="A5298" s="348">
        <f t="shared" si="166"/>
        <v>5297</v>
      </c>
      <c r="B5298" s="360">
        <f>DATE('Profit Calculation'!J$6,A$2,A$2+A5298-1)</f>
        <v>47301</v>
      </c>
      <c r="D5298" s="362">
        <f t="shared" ca="1" si="167"/>
        <v>454224353.58042949</v>
      </c>
    </row>
    <row r="5299" spans="1:4">
      <c r="A5299" s="348">
        <f t="shared" si="166"/>
        <v>5298</v>
      </c>
      <c r="B5299" s="360">
        <f>DATE('Profit Calculation'!J$6,A$2,A$2+A5299-1)</f>
        <v>47302</v>
      </c>
      <c r="D5299" s="362">
        <f t="shared" ca="1" si="167"/>
        <v>454398313.67263466</v>
      </c>
    </row>
    <row r="5300" spans="1:4">
      <c r="A5300" s="348">
        <f t="shared" si="166"/>
        <v>5299</v>
      </c>
      <c r="B5300" s="360">
        <f>DATE('Profit Calculation'!J$6,A$2,A$2+A5300-1)</f>
        <v>47303</v>
      </c>
      <c r="D5300" s="362">
        <f t="shared" ca="1" si="167"/>
        <v>454572340.38855439</v>
      </c>
    </row>
    <row r="5301" spans="1:4">
      <c r="A5301" s="348">
        <f t="shared" si="166"/>
        <v>5300</v>
      </c>
      <c r="B5301" s="360">
        <f>DATE('Profit Calculation'!J$6,A$2,A$2+A5301-1)</f>
        <v>47304</v>
      </c>
      <c r="D5301" s="362">
        <f t="shared" ca="1" si="167"/>
        <v>454746433.75370443</v>
      </c>
    </row>
    <row r="5302" spans="1:4">
      <c r="A5302" s="348">
        <f t="shared" si="166"/>
        <v>5301</v>
      </c>
      <c r="B5302" s="360">
        <f>DATE('Profit Calculation'!J$6,A$2,A$2+A5302-1)</f>
        <v>47305</v>
      </c>
      <c r="D5302" s="362">
        <f t="shared" ca="1" si="167"/>
        <v>454920593.79361027</v>
      </c>
    </row>
    <row r="5303" spans="1:4">
      <c r="A5303" s="348">
        <f t="shared" si="166"/>
        <v>5302</v>
      </c>
      <c r="B5303" s="360">
        <f>DATE('Profit Calculation'!J$6,A$2,A$2+A5303-1)</f>
        <v>47306</v>
      </c>
      <c r="D5303" s="362">
        <f t="shared" ca="1" si="167"/>
        <v>455094820.53380722</v>
      </c>
    </row>
    <row r="5304" spans="1:4">
      <c r="A5304" s="348">
        <f t="shared" si="166"/>
        <v>5303</v>
      </c>
      <c r="B5304" s="360">
        <f>DATE('Profit Calculation'!J$6,A$2,A$2+A5304-1)</f>
        <v>47307</v>
      </c>
      <c r="D5304" s="362">
        <f t="shared" ca="1" si="167"/>
        <v>455269113.99984026</v>
      </c>
    </row>
    <row r="5305" spans="1:4">
      <c r="A5305" s="348">
        <f t="shared" si="166"/>
        <v>5304</v>
      </c>
      <c r="B5305" s="360">
        <f>DATE('Profit Calculation'!J$6,A$2,A$2+A5305-1)</f>
        <v>47308</v>
      </c>
      <c r="D5305" s="362">
        <f t="shared" ca="1" si="167"/>
        <v>455443474.21726429</v>
      </c>
    </row>
    <row r="5306" spans="1:4">
      <c r="A5306" s="348">
        <f t="shared" si="166"/>
        <v>5305</v>
      </c>
      <c r="B5306" s="360">
        <f>DATE('Profit Calculation'!J$6,A$2,A$2+A5306-1)</f>
        <v>47309</v>
      </c>
      <c r="D5306" s="362">
        <f t="shared" ca="1" si="167"/>
        <v>455617901.21164399</v>
      </c>
    </row>
    <row r="5307" spans="1:4">
      <c r="A5307" s="348">
        <f t="shared" si="166"/>
        <v>5306</v>
      </c>
      <c r="B5307" s="360">
        <f>DATE('Profit Calculation'!J$6,A$2,A$2+A5307-1)</f>
        <v>47310</v>
      </c>
      <c r="D5307" s="362">
        <f t="shared" ca="1" si="167"/>
        <v>455792395.00855368</v>
      </c>
    </row>
    <row r="5308" spans="1:4">
      <c r="A5308" s="348">
        <f t="shared" si="166"/>
        <v>5307</v>
      </c>
      <c r="B5308" s="360">
        <f>DATE('Profit Calculation'!J$6,A$2,A$2+A5308-1)</f>
        <v>47311</v>
      </c>
      <c r="D5308" s="362">
        <f t="shared" ca="1" si="167"/>
        <v>455966955.63357764</v>
      </c>
    </row>
    <row r="5309" spans="1:4">
      <c r="A5309" s="348">
        <f t="shared" si="166"/>
        <v>5308</v>
      </c>
      <c r="B5309" s="360">
        <f>DATE('Profit Calculation'!J$6,A$2,A$2+A5309-1)</f>
        <v>47312</v>
      </c>
      <c r="D5309" s="362">
        <f t="shared" ca="1" si="167"/>
        <v>456141583.11230987</v>
      </c>
    </row>
    <row r="5310" spans="1:4">
      <c r="A5310" s="348">
        <f t="shared" si="166"/>
        <v>5309</v>
      </c>
      <c r="B5310" s="360">
        <f>DATE('Profit Calculation'!J$6,A$2,A$2+A5310-1)</f>
        <v>47313</v>
      </c>
      <c r="D5310" s="362">
        <f t="shared" ca="1" si="167"/>
        <v>456316277.4703542</v>
      </c>
    </row>
    <row r="5311" spans="1:4">
      <c r="A5311" s="348">
        <f t="shared" si="166"/>
        <v>5310</v>
      </c>
      <c r="B5311" s="360">
        <f>DATE('Profit Calculation'!J$6,A$2,A$2+A5311-1)</f>
        <v>47314</v>
      </c>
      <c r="D5311" s="362">
        <f t="shared" ca="1" si="167"/>
        <v>456491038.73332423</v>
      </c>
    </row>
    <row r="5312" spans="1:4">
      <c r="A5312" s="348">
        <f t="shared" si="166"/>
        <v>5311</v>
      </c>
      <c r="B5312" s="360">
        <f>DATE('Profit Calculation'!J$6,A$2,A$2+A5312-1)</f>
        <v>47315</v>
      </c>
      <c r="D5312" s="362">
        <f t="shared" ca="1" si="167"/>
        <v>456665866.9268434</v>
      </c>
    </row>
    <row r="5313" spans="1:4">
      <c r="A5313" s="348">
        <f t="shared" si="166"/>
        <v>5312</v>
      </c>
      <c r="B5313" s="360">
        <f>DATE('Profit Calculation'!J$6,A$2,A$2+A5313-1)</f>
        <v>47316</v>
      </c>
      <c r="D5313" s="362">
        <f t="shared" ca="1" si="167"/>
        <v>456840762.076545</v>
      </c>
    </row>
    <row r="5314" spans="1:4">
      <c r="A5314" s="348">
        <f t="shared" si="166"/>
        <v>5313</v>
      </c>
      <c r="B5314" s="360">
        <f>DATE('Profit Calculation'!J$6,A$2,A$2+A5314-1)</f>
        <v>47317</v>
      </c>
      <c r="D5314" s="362">
        <f t="shared" ca="1" si="167"/>
        <v>457015724.20807201</v>
      </c>
    </row>
    <row r="5315" spans="1:4">
      <c r="A5315" s="348">
        <f t="shared" si="166"/>
        <v>5314</v>
      </c>
      <c r="B5315" s="360">
        <f>DATE('Profit Calculation'!J$6,A$2,A$2+A5315-1)</f>
        <v>47318</v>
      </c>
      <c r="D5315" s="362">
        <f t="shared" ca="1" si="167"/>
        <v>457190753.34707737</v>
      </c>
    </row>
    <row r="5316" spans="1:4">
      <c r="A5316" s="348">
        <f t="shared" si="166"/>
        <v>5315</v>
      </c>
      <c r="B5316" s="360">
        <f>DATE('Profit Calculation'!J$6,A$2,A$2+A5316-1)</f>
        <v>47319</v>
      </c>
      <c r="D5316" s="362">
        <f t="shared" ca="1" si="167"/>
        <v>457365849.51922381</v>
      </c>
    </row>
    <row r="5317" spans="1:4">
      <c r="A5317" s="348">
        <f t="shared" ref="A5317:A5380" si="168">A5316+1</f>
        <v>5316</v>
      </c>
      <c r="B5317" s="360">
        <f>DATE('Profit Calculation'!J$6,A$2,A$2+A5317-1)</f>
        <v>47320</v>
      </c>
      <c r="D5317" s="362">
        <f t="shared" ref="D5317:D5380" ca="1" si="169">IF(OR(LOOKUP(B5317,W$1:W$35,W$1:W$35) = B5317, LOOKUP(B5317,X$1:X$35,X$1:X$35) = B5317),LOOKUP(B5317,F:F,G:G),D5316*(1+((IF($Q$18&lt;6,$R$14,IF($Q$18&lt;11,$R$15,$R$16)))))^(1/365))</f>
        <v>457541012.75018382</v>
      </c>
    </row>
    <row r="5318" spans="1:4">
      <c r="A5318" s="348">
        <f t="shared" si="168"/>
        <v>5317</v>
      </c>
      <c r="B5318" s="360">
        <f>DATE('Profit Calculation'!J$6,A$2,A$2+A5318-1)</f>
        <v>47321</v>
      </c>
      <c r="D5318" s="362">
        <f t="shared" ca="1" si="169"/>
        <v>457716243.06563979</v>
      </c>
    </row>
    <row r="5319" spans="1:4">
      <c r="A5319" s="348">
        <f t="shared" si="168"/>
        <v>5318</v>
      </c>
      <c r="B5319" s="360">
        <f>DATE('Profit Calculation'!J$6,A$2,A$2+A5319-1)</f>
        <v>47322</v>
      </c>
      <c r="D5319" s="362">
        <f t="shared" ca="1" si="169"/>
        <v>457891540.49128389</v>
      </c>
    </row>
    <row r="5320" spans="1:4">
      <c r="A5320" s="348">
        <f t="shared" si="168"/>
        <v>5319</v>
      </c>
      <c r="B5320" s="360">
        <f>DATE('Profit Calculation'!J$6,A$2,A$2+A5320-1)</f>
        <v>47323</v>
      </c>
      <c r="D5320" s="362">
        <f t="shared" ca="1" si="169"/>
        <v>458066905.05281818</v>
      </c>
    </row>
    <row r="5321" spans="1:4">
      <c r="A5321" s="348">
        <f t="shared" si="168"/>
        <v>5320</v>
      </c>
      <c r="B5321" s="360">
        <f>DATE('Profit Calculation'!J$6,A$2,A$2+A5321-1)</f>
        <v>47324</v>
      </c>
      <c r="D5321" s="362">
        <f t="shared" ca="1" si="169"/>
        <v>458242336.7759546</v>
      </c>
    </row>
    <row r="5322" spans="1:4">
      <c r="A5322" s="348">
        <f t="shared" si="168"/>
        <v>5321</v>
      </c>
      <c r="B5322" s="360">
        <f>DATE('Profit Calculation'!J$6,A$2,A$2+A5322-1)</f>
        <v>47325</v>
      </c>
      <c r="D5322" s="362">
        <f t="shared" ca="1" si="169"/>
        <v>458417835.68641484</v>
      </c>
    </row>
    <row r="5323" spans="1:4">
      <c r="A5323" s="348">
        <f t="shared" si="168"/>
        <v>5322</v>
      </c>
      <c r="B5323" s="360">
        <f>DATE('Profit Calculation'!J$6,A$2,A$2+A5323-1)</f>
        <v>47326</v>
      </c>
      <c r="D5323" s="362">
        <f t="shared" ca="1" si="169"/>
        <v>458593401.80993044</v>
      </c>
    </row>
    <row r="5324" spans="1:4">
      <c r="A5324" s="348">
        <f t="shared" si="168"/>
        <v>5323</v>
      </c>
      <c r="B5324" s="360">
        <f>DATE('Profit Calculation'!J$6,A$2,A$2+A5324-1)</f>
        <v>47327</v>
      </c>
      <c r="D5324" s="362">
        <f t="shared" ca="1" si="169"/>
        <v>458769035.17224294</v>
      </c>
    </row>
    <row r="5325" spans="1:4">
      <c r="A5325" s="348">
        <f t="shared" si="168"/>
        <v>5324</v>
      </c>
      <c r="B5325" s="360">
        <f>DATE('Profit Calculation'!J$6,A$2,A$2+A5325-1)</f>
        <v>47328</v>
      </c>
      <c r="D5325" s="362">
        <f t="shared" ca="1" si="169"/>
        <v>458944735.79910356</v>
      </c>
    </row>
    <row r="5326" spans="1:4">
      <c r="A5326" s="348">
        <f t="shared" si="168"/>
        <v>5325</v>
      </c>
      <c r="B5326" s="360">
        <f>DATE('Profit Calculation'!J$6,A$2,A$2+A5326-1)</f>
        <v>47329</v>
      </c>
      <c r="D5326" s="362">
        <f t="shared" ca="1" si="169"/>
        <v>459120503.71627349</v>
      </c>
    </row>
    <row r="5327" spans="1:4">
      <c r="A5327" s="348">
        <f t="shared" si="168"/>
        <v>5326</v>
      </c>
      <c r="B5327" s="360">
        <f>DATE('Profit Calculation'!J$6,A$2,A$2+A5327-1)</f>
        <v>47330</v>
      </c>
      <c r="D5327" s="362">
        <f t="shared" ca="1" si="169"/>
        <v>459296338.94952375</v>
      </c>
    </row>
    <row r="5328" spans="1:4">
      <c r="A5328" s="348">
        <f t="shared" si="168"/>
        <v>5327</v>
      </c>
      <c r="B5328" s="360">
        <f>DATE('Profit Calculation'!J$6,A$2,A$2+A5328-1)</f>
        <v>47331</v>
      </c>
      <c r="D5328" s="362">
        <f t="shared" ca="1" si="169"/>
        <v>459472241.52463526</v>
      </c>
    </row>
    <row r="5329" spans="1:4">
      <c r="A5329" s="348">
        <f t="shared" si="168"/>
        <v>5328</v>
      </c>
      <c r="B5329" s="360">
        <f>DATE('Profit Calculation'!J$6,A$2,A$2+A5329-1)</f>
        <v>47332</v>
      </c>
      <c r="D5329" s="362">
        <f t="shared" ca="1" si="169"/>
        <v>459648211.46739876</v>
      </c>
    </row>
    <row r="5330" spans="1:4">
      <c r="A5330" s="348">
        <f t="shared" si="168"/>
        <v>5329</v>
      </c>
      <c r="B5330" s="360">
        <f>DATE('Profit Calculation'!J$6,A$2,A$2+A5330-1)</f>
        <v>47333</v>
      </c>
      <c r="D5330" s="362">
        <f t="shared" ca="1" si="169"/>
        <v>459824248.80361497</v>
      </c>
    </row>
    <row r="5331" spans="1:4">
      <c r="A5331" s="348">
        <f t="shared" si="168"/>
        <v>5330</v>
      </c>
      <c r="B5331" s="360">
        <f>DATE('Profit Calculation'!J$6,A$2,A$2+A5331-1)</f>
        <v>47334</v>
      </c>
      <c r="D5331" s="362">
        <f t="shared" ca="1" si="169"/>
        <v>460000353.55909437</v>
      </c>
    </row>
    <row r="5332" spans="1:4">
      <c r="A5332" s="348">
        <f t="shared" si="168"/>
        <v>5331</v>
      </c>
      <c r="B5332" s="360">
        <f>DATE('Profit Calculation'!J$6,A$2,A$2+A5332-1)</f>
        <v>47335</v>
      </c>
      <c r="D5332" s="362">
        <f t="shared" ca="1" si="169"/>
        <v>460176525.75965732</v>
      </c>
    </row>
    <row r="5333" spans="1:4">
      <c r="A5333" s="348">
        <f t="shared" si="168"/>
        <v>5332</v>
      </c>
      <c r="B5333" s="360">
        <f>DATE('Profit Calculation'!J$6,A$2,A$2+A5333-1)</f>
        <v>47336</v>
      </c>
      <c r="D5333" s="362">
        <f t="shared" ca="1" si="169"/>
        <v>460352765.43113422</v>
      </c>
    </row>
    <row r="5334" spans="1:4">
      <c r="A5334" s="348">
        <f t="shared" si="168"/>
        <v>5333</v>
      </c>
      <c r="B5334" s="360">
        <f>DATE('Profit Calculation'!J$6,A$2,A$2+A5334-1)</f>
        <v>47337</v>
      </c>
      <c r="D5334" s="362">
        <f t="shared" ca="1" si="169"/>
        <v>460529072.59936517</v>
      </c>
    </row>
    <row r="5335" spans="1:4">
      <c r="A5335" s="348">
        <f t="shared" si="168"/>
        <v>5334</v>
      </c>
      <c r="B5335" s="360">
        <f>DATE('Profit Calculation'!J$6,A$2,A$2+A5335-1)</f>
        <v>47338</v>
      </c>
      <c r="D5335" s="362">
        <f t="shared" ca="1" si="169"/>
        <v>460705447.29020035</v>
      </c>
    </row>
    <row r="5336" spans="1:4">
      <c r="A5336" s="348">
        <f t="shared" si="168"/>
        <v>5335</v>
      </c>
      <c r="B5336" s="360">
        <f>DATE('Profit Calculation'!J$6,A$2,A$2+A5336-1)</f>
        <v>47339</v>
      </c>
      <c r="D5336" s="362">
        <f t="shared" ca="1" si="169"/>
        <v>460881889.52949971</v>
      </c>
    </row>
    <row r="5337" spans="1:4">
      <c r="A5337" s="348">
        <f t="shared" si="168"/>
        <v>5336</v>
      </c>
      <c r="B5337" s="360">
        <f>DATE('Profit Calculation'!J$6,A$2,A$2+A5337-1)</f>
        <v>47340</v>
      </c>
      <c r="D5337" s="362">
        <f t="shared" ca="1" si="169"/>
        <v>461058399.34313315</v>
      </c>
    </row>
    <row r="5338" spans="1:4">
      <c r="A5338" s="348">
        <f t="shared" si="168"/>
        <v>5337</v>
      </c>
      <c r="B5338" s="360">
        <f>DATE('Profit Calculation'!J$6,A$2,A$2+A5338-1)</f>
        <v>47341</v>
      </c>
      <c r="D5338" s="362">
        <f t="shared" ca="1" si="169"/>
        <v>461234976.75698048</v>
      </c>
    </row>
    <row r="5339" spans="1:4">
      <c r="A5339" s="348">
        <f t="shared" si="168"/>
        <v>5338</v>
      </c>
      <c r="B5339" s="360">
        <f>DATE('Profit Calculation'!J$6,A$2,A$2+A5339-1)</f>
        <v>47342</v>
      </c>
      <c r="D5339" s="362">
        <f t="shared" ca="1" si="169"/>
        <v>461411621.79693139</v>
      </c>
    </row>
    <row r="5340" spans="1:4">
      <c r="A5340" s="348">
        <f t="shared" si="168"/>
        <v>5339</v>
      </c>
      <c r="B5340" s="360">
        <f>DATE('Profit Calculation'!J$6,A$2,A$2+A5340-1)</f>
        <v>47343</v>
      </c>
      <c r="D5340" s="362">
        <f t="shared" ca="1" si="169"/>
        <v>461588334.48888552</v>
      </c>
    </row>
    <row r="5341" spans="1:4">
      <c r="A5341" s="348">
        <f t="shared" si="168"/>
        <v>5340</v>
      </c>
      <c r="B5341" s="360">
        <f>DATE('Profit Calculation'!J$6,A$2,A$2+A5341-1)</f>
        <v>47344</v>
      </c>
      <c r="D5341" s="362">
        <f t="shared" ca="1" si="169"/>
        <v>461765114.85875249</v>
      </c>
    </row>
    <row r="5342" spans="1:4">
      <c r="A5342" s="348">
        <f t="shared" si="168"/>
        <v>5341</v>
      </c>
      <c r="B5342" s="360">
        <f>DATE('Profit Calculation'!J$6,A$2,A$2+A5342-1)</f>
        <v>47345</v>
      </c>
      <c r="D5342" s="362">
        <f t="shared" ca="1" si="169"/>
        <v>461941962.93245167</v>
      </c>
    </row>
    <row r="5343" spans="1:4">
      <c r="A5343" s="348">
        <f t="shared" si="168"/>
        <v>5342</v>
      </c>
      <c r="B5343" s="360">
        <f>DATE('Profit Calculation'!J$6,A$2,A$2+A5343-1)</f>
        <v>47346</v>
      </c>
      <c r="D5343" s="362">
        <f t="shared" ca="1" si="169"/>
        <v>462118878.7359125</v>
      </c>
    </row>
    <row r="5344" spans="1:4">
      <c r="A5344" s="348">
        <f t="shared" si="168"/>
        <v>5343</v>
      </c>
      <c r="B5344" s="360">
        <f>DATE('Profit Calculation'!J$6,A$2,A$2+A5344-1)</f>
        <v>47347</v>
      </c>
      <c r="D5344" s="362">
        <f t="shared" ca="1" si="169"/>
        <v>462295862.29507434</v>
      </c>
    </row>
    <row r="5345" spans="1:4">
      <c r="A5345" s="348">
        <f t="shared" si="168"/>
        <v>5344</v>
      </c>
      <c r="B5345" s="360">
        <f>DATE('Profit Calculation'!J$6,A$2,A$2+A5345-1)</f>
        <v>47348</v>
      </c>
      <c r="D5345" s="362">
        <f t="shared" ca="1" si="169"/>
        <v>462472913.63588643</v>
      </c>
    </row>
    <row r="5346" spans="1:4">
      <c r="A5346" s="348">
        <f t="shared" si="168"/>
        <v>5345</v>
      </c>
      <c r="B5346" s="360">
        <f>DATE('Profit Calculation'!J$6,A$2,A$2+A5346-1)</f>
        <v>47349</v>
      </c>
      <c r="D5346" s="362">
        <f t="shared" ca="1" si="169"/>
        <v>462650032.78430802</v>
      </c>
    </row>
    <row r="5347" spans="1:4">
      <c r="A5347" s="348">
        <f t="shared" si="168"/>
        <v>5346</v>
      </c>
      <c r="B5347" s="360">
        <f>DATE('Profit Calculation'!J$6,A$2,A$2+A5347-1)</f>
        <v>47350</v>
      </c>
      <c r="D5347" s="362">
        <f t="shared" ca="1" si="169"/>
        <v>462827219.76630819</v>
      </c>
    </row>
    <row r="5348" spans="1:4">
      <c r="A5348" s="348">
        <f t="shared" si="168"/>
        <v>5347</v>
      </c>
      <c r="B5348" s="360">
        <f>DATE('Profit Calculation'!J$6,A$2,A$2+A5348-1)</f>
        <v>47351</v>
      </c>
      <c r="D5348" s="362">
        <f t="shared" ca="1" si="169"/>
        <v>463004474.60786605</v>
      </c>
    </row>
    <row r="5349" spans="1:4">
      <c r="A5349" s="348">
        <f t="shared" si="168"/>
        <v>5348</v>
      </c>
      <c r="B5349" s="360">
        <f>DATE('Profit Calculation'!J$6,A$2,A$2+A5349-1)</f>
        <v>47352</v>
      </c>
      <c r="D5349" s="362">
        <f t="shared" ca="1" si="169"/>
        <v>463181797.33497065</v>
      </c>
    </row>
    <row r="5350" spans="1:4">
      <c r="A5350" s="348">
        <f t="shared" si="168"/>
        <v>5349</v>
      </c>
      <c r="B5350" s="360">
        <f>DATE('Profit Calculation'!J$6,A$2,A$2+A5350-1)</f>
        <v>47353</v>
      </c>
      <c r="D5350" s="362">
        <f t="shared" ca="1" si="169"/>
        <v>463359187.97362095</v>
      </c>
    </row>
    <row r="5351" spans="1:4">
      <c r="A5351" s="348">
        <f t="shared" si="168"/>
        <v>5350</v>
      </c>
      <c r="B5351" s="360">
        <f>DATE('Profit Calculation'!J$6,A$2,A$2+A5351-1)</f>
        <v>47354</v>
      </c>
      <c r="D5351" s="362">
        <f t="shared" ca="1" si="169"/>
        <v>463536646.54982591</v>
      </c>
    </row>
    <row r="5352" spans="1:4">
      <c r="A5352" s="348">
        <f t="shared" si="168"/>
        <v>5351</v>
      </c>
      <c r="B5352" s="360">
        <f>DATE('Profit Calculation'!J$6,A$2,A$2+A5352-1)</f>
        <v>47355</v>
      </c>
      <c r="D5352" s="362">
        <f t="shared" ca="1" si="169"/>
        <v>463714173.0896045</v>
      </c>
    </row>
    <row r="5353" spans="1:4">
      <c r="A5353" s="348">
        <f t="shared" si="168"/>
        <v>5352</v>
      </c>
      <c r="B5353" s="360">
        <f>DATE('Profit Calculation'!J$6,A$2,A$2+A5353-1)</f>
        <v>47356</v>
      </c>
      <c r="D5353" s="362">
        <f t="shared" ca="1" si="169"/>
        <v>463891767.61898553</v>
      </c>
    </row>
    <row r="5354" spans="1:4">
      <c r="A5354" s="348">
        <f t="shared" si="168"/>
        <v>5353</v>
      </c>
      <c r="B5354" s="360">
        <f>DATE('Profit Calculation'!J$6,A$2,A$2+A5354-1)</f>
        <v>47357</v>
      </c>
      <c r="D5354" s="362">
        <f t="shared" ca="1" si="169"/>
        <v>464069430.16400784</v>
      </c>
    </row>
    <row r="5355" spans="1:4">
      <c r="A5355" s="348">
        <f t="shared" si="168"/>
        <v>5354</v>
      </c>
      <c r="B5355" s="360">
        <f>DATE('Profit Calculation'!J$6,A$2,A$2+A5355-1)</f>
        <v>47358</v>
      </c>
      <c r="D5355" s="362">
        <f t="shared" ca="1" si="169"/>
        <v>464247160.75072032</v>
      </c>
    </row>
    <row r="5356" spans="1:4">
      <c r="A5356" s="348">
        <f t="shared" si="168"/>
        <v>5355</v>
      </c>
      <c r="B5356" s="360">
        <f>DATE('Profit Calculation'!J$6,A$2,A$2+A5356-1)</f>
        <v>47359</v>
      </c>
      <c r="D5356" s="362">
        <f t="shared" ca="1" si="169"/>
        <v>464424959.40518171</v>
      </c>
    </row>
    <row r="5357" spans="1:4">
      <c r="A5357" s="348">
        <f t="shared" si="168"/>
        <v>5356</v>
      </c>
      <c r="B5357" s="360">
        <f>DATE('Profit Calculation'!J$6,A$2,A$2+A5357-1)</f>
        <v>47360</v>
      </c>
      <c r="D5357" s="362">
        <f t="shared" ca="1" si="169"/>
        <v>464602826.1534608</v>
      </c>
    </row>
    <row r="5358" spans="1:4">
      <c r="A5358" s="348">
        <f t="shared" si="168"/>
        <v>5357</v>
      </c>
      <c r="B5358" s="360">
        <f>DATE('Profit Calculation'!J$6,A$2,A$2+A5358-1)</f>
        <v>47361</v>
      </c>
      <c r="D5358" s="362">
        <f t="shared" ca="1" si="169"/>
        <v>464780761.02163631</v>
      </c>
    </row>
    <row r="5359" spans="1:4">
      <c r="A5359" s="348">
        <f t="shared" si="168"/>
        <v>5358</v>
      </c>
      <c r="B5359" s="360">
        <f>DATE('Profit Calculation'!J$6,A$2,A$2+A5359-1)</f>
        <v>47362</v>
      </c>
      <c r="D5359" s="362">
        <f t="shared" ca="1" si="169"/>
        <v>464958764.035797</v>
      </c>
    </row>
    <row r="5360" spans="1:4">
      <c r="A5360" s="348">
        <f t="shared" si="168"/>
        <v>5359</v>
      </c>
      <c r="B5360" s="360">
        <f>DATE('Profit Calculation'!J$6,A$2,A$2+A5360-1)</f>
        <v>47363</v>
      </c>
      <c r="D5360" s="362">
        <f t="shared" ca="1" si="169"/>
        <v>465136835.22204167</v>
      </c>
    </row>
    <row r="5361" spans="1:4">
      <c r="A5361" s="348">
        <f t="shared" si="168"/>
        <v>5360</v>
      </c>
      <c r="B5361" s="360">
        <f>DATE('Profit Calculation'!J$6,A$2,A$2+A5361-1)</f>
        <v>47364</v>
      </c>
      <c r="D5361" s="362">
        <f t="shared" ca="1" si="169"/>
        <v>465314974.60647899</v>
      </c>
    </row>
    <row r="5362" spans="1:4">
      <c r="A5362" s="348">
        <f t="shared" si="168"/>
        <v>5361</v>
      </c>
      <c r="B5362" s="360">
        <f>DATE('Profit Calculation'!J$6,A$2,A$2+A5362-1)</f>
        <v>47365</v>
      </c>
      <c r="D5362" s="362">
        <f t="shared" ca="1" si="169"/>
        <v>465493182.21522772</v>
      </c>
    </row>
    <row r="5363" spans="1:4">
      <c r="A5363" s="348">
        <f t="shared" si="168"/>
        <v>5362</v>
      </c>
      <c r="B5363" s="360">
        <f>DATE('Profit Calculation'!J$6,A$2,A$2+A5363-1)</f>
        <v>47366</v>
      </c>
      <c r="D5363" s="362">
        <f t="shared" ca="1" si="169"/>
        <v>465671458.07441658</v>
      </c>
    </row>
    <row r="5364" spans="1:4">
      <c r="A5364" s="348">
        <f t="shared" si="168"/>
        <v>5363</v>
      </c>
      <c r="B5364" s="360">
        <f>DATE('Profit Calculation'!J$6,A$2,A$2+A5364-1)</f>
        <v>47367</v>
      </c>
      <c r="D5364" s="362">
        <f t="shared" ca="1" si="169"/>
        <v>465849802.21018428</v>
      </c>
    </row>
    <row r="5365" spans="1:4">
      <c r="A5365" s="348">
        <f t="shared" si="168"/>
        <v>5364</v>
      </c>
      <c r="B5365" s="360">
        <f>DATE('Profit Calculation'!J$6,A$2,A$2+A5365-1)</f>
        <v>47368</v>
      </c>
      <c r="D5365" s="362">
        <f t="shared" ca="1" si="169"/>
        <v>466028214.64867961</v>
      </c>
    </row>
    <row r="5366" spans="1:4">
      <c r="A5366" s="348">
        <f t="shared" si="168"/>
        <v>5365</v>
      </c>
      <c r="B5366" s="360">
        <f>DATE('Profit Calculation'!J$6,A$2,A$2+A5366-1)</f>
        <v>47369</v>
      </c>
      <c r="D5366" s="362">
        <f t="shared" ca="1" si="169"/>
        <v>466206695.41606134</v>
      </c>
    </row>
    <row r="5367" spans="1:4">
      <c r="A5367" s="348">
        <f t="shared" si="168"/>
        <v>5366</v>
      </c>
      <c r="B5367" s="360">
        <f>DATE('Profit Calculation'!J$6,A$2,A$2+A5367-1)</f>
        <v>47370</v>
      </c>
      <c r="D5367" s="362">
        <f t="shared" ca="1" si="169"/>
        <v>466385244.53849822</v>
      </c>
    </row>
    <row r="5368" spans="1:4">
      <c r="A5368" s="348">
        <f t="shared" si="168"/>
        <v>5367</v>
      </c>
      <c r="B5368" s="360">
        <f>DATE('Profit Calculation'!J$6,A$2,A$2+A5368-1)</f>
        <v>47371</v>
      </c>
      <c r="D5368" s="362">
        <f t="shared" ca="1" si="169"/>
        <v>466563862.04216909</v>
      </c>
    </row>
    <row r="5369" spans="1:4">
      <c r="A5369" s="348">
        <f t="shared" si="168"/>
        <v>5368</v>
      </c>
      <c r="B5369" s="360">
        <f>DATE('Profit Calculation'!J$6,A$2,A$2+A5369-1)</f>
        <v>47372</v>
      </c>
      <c r="D5369" s="362">
        <f t="shared" ca="1" si="169"/>
        <v>466742547.95326281</v>
      </c>
    </row>
    <row r="5370" spans="1:4">
      <c r="A5370" s="348">
        <f t="shared" si="168"/>
        <v>5369</v>
      </c>
      <c r="B5370" s="360">
        <f>DATE('Profit Calculation'!J$6,A$2,A$2+A5370-1)</f>
        <v>47373</v>
      </c>
      <c r="D5370" s="362">
        <f t="shared" ca="1" si="169"/>
        <v>466921302.29797816</v>
      </c>
    </row>
    <row r="5371" spans="1:4">
      <c r="A5371" s="348">
        <f t="shared" si="168"/>
        <v>5370</v>
      </c>
      <c r="B5371" s="360">
        <f>DATE('Profit Calculation'!J$6,A$2,A$2+A5371-1)</f>
        <v>47374</v>
      </c>
      <c r="D5371" s="362">
        <f t="shared" ca="1" si="169"/>
        <v>467100125.1025241</v>
      </c>
    </row>
    <row r="5372" spans="1:4">
      <c r="A5372" s="348">
        <f t="shared" si="168"/>
        <v>5371</v>
      </c>
      <c r="B5372" s="360">
        <f>DATE('Profit Calculation'!J$6,A$2,A$2+A5372-1)</f>
        <v>47375</v>
      </c>
      <c r="D5372" s="362">
        <f t="shared" ca="1" si="169"/>
        <v>467279016.39311957</v>
      </c>
    </row>
    <row r="5373" spans="1:4">
      <c r="A5373" s="348">
        <f t="shared" si="168"/>
        <v>5372</v>
      </c>
      <c r="B5373" s="360">
        <f>DATE('Profit Calculation'!J$6,A$2,A$2+A5373-1)</f>
        <v>47376</v>
      </c>
      <c r="D5373" s="362">
        <f t="shared" ca="1" si="169"/>
        <v>467457976.19599348</v>
      </c>
    </row>
    <row r="5374" spans="1:4">
      <c r="A5374" s="348">
        <f t="shared" si="168"/>
        <v>5373</v>
      </c>
      <c r="B5374" s="360">
        <f>DATE('Profit Calculation'!J$6,A$2,A$2+A5374-1)</f>
        <v>47377</v>
      </c>
      <c r="D5374" s="362">
        <f t="shared" ca="1" si="169"/>
        <v>467637004.53738493</v>
      </c>
    </row>
    <row r="5375" spans="1:4">
      <c r="A5375" s="348">
        <f t="shared" si="168"/>
        <v>5374</v>
      </c>
      <c r="B5375" s="360">
        <f>DATE('Profit Calculation'!J$6,A$2,A$2+A5375-1)</f>
        <v>47378</v>
      </c>
      <c r="D5375" s="362">
        <f t="shared" ca="1" si="169"/>
        <v>467816101.44354296</v>
      </c>
    </row>
    <row r="5376" spans="1:4">
      <c r="A5376" s="348">
        <f t="shared" si="168"/>
        <v>5375</v>
      </c>
      <c r="B5376" s="360">
        <f>DATE('Profit Calculation'!J$6,A$2,A$2+A5376-1)</f>
        <v>47379</v>
      </c>
      <c r="D5376" s="362">
        <f t="shared" ca="1" si="169"/>
        <v>467995266.9407267</v>
      </c>
    </row>
    <row r="5377" spans="1:4">
      <c r="A5377" s="348">
        <f t="shared" si="168"/>
        <v>5376</v>
      </c>
      <c r="B5377" s="360">
        <f>DATE('Profit Calculation'!J$6,A$2,A$2+A5377-1)</f>
        <v>47380</v>
      </c>
      <c r="D5377" s="362">
        <f t="shared" ca="1" si="169"/>
        <v>468174501.05520529</v>
      </c>
    </row>
    <row r="5378" spans="1:4">
      <c r="A5378" s="348">
        <f t="shared" si="168"/>
        <v>5377</v>
      </c>
      <c r="B5378" s="360">
        <f>DATE('Profit Calculation'!J$6,A$2,A$2+A5378-1)</f>
        <v>47381</v>
      </c>
      <c r="D5378" s="362">
        <f t="shared" ca="1" si="169"/>
        <v>468353803.81325799</v>
      </c>
    </row>
    <row r="5379" spans="1:4">
      <c r="A5379" s="348">
        <f t="shared" si="168"/>
        <v>5378</v>
      </c>
      <c r="B5379" s="360">
        <f>DATE('Profit Calculation'!J$6,A$2,A$2+A5379-1)</f>
        <v>47382</v>
      </c>
      <c r="D5379" s="362">
        <f t="shared" ca="1" si="169"/>
        <v>468533175.2411741</v>
      </c>
    </row>
    <row r="5380" spans="1:4">
      <c r="A5380" s="348">
        <f t="shared" si="168"/>
        <v>5379</v>
      </c>
      <c r="B5380" s="360">
        <f>DATE('Profit Calculation'!J$6,A$2,A$2+A5380-1)</f>
        <v>47383</v>
      </c>
      <c r="D5380" s="362">
        <f t="shared" ca="1" si="169"/>
        <v>468712615.36525303</v>
      </c>
    </row>
    <row r="5381" spans="1:4">
      <c r="A5381" s="348">
        <f t="shared" ref="A5381:A5444" si="170">A5380+1</f>
        <v>5380</v>
      </c>
      <c r="B5381" s="360">
        <f>DATE('Profit Calculation'!J$6,A$2,A$2+A5381-1)</f>
        <v>47384</v>
      </c>
      <c r="D5381" s="362">
        <f t="shared" ref="D5381:D5444" ca="1" si="171">IF(OR(LOOKUP(B5381,W$1:W$35,W$1:W$35) = B5381, LOOKUP(B5381,X$1:X$35,X$1:X$35) = B5381),LOOKUP(B5381,F:F,G:G),D5380*(1+((IF($Q$18&lt;6,$R$14,IF($Q$18&lt;11,$R$15,$R$16)))))^(1/365))</f>
        <v>468892124.21180421</v>
      </c>
    </row>
    <row r="5382" spans="1:4">
      <c r="A5382" s="348">
        <f t="shared" si="170"/>
        <v>5381</v>
      </c>
      <c r="B5382" s="360">
        <f>DATE('Profit Calculation'!J$6,A$2,A$2+A5382-1)</f>
        <v>47385</v>
      </c>
      <c r="D5382" s="362">
        <f t="shared" ca="1" si="171"/>
        <v>469071701.80714715</v>
      </c>
    </row>
    <row r="5383" spans="1:4">
      <c r="A5383" s="348">
        <f t="shared" si="170"/>
        <v>5382</v>
      </c>
      <c r="B5383" s="360">
        <f>DATE('Profit Calculation'!J$6,A$2,A$2+A5383-1)</f>
        <v>47386</v>
      </c>
      <c r="D5383" s="362">
        <f t="shared" ca="1" si="171"/>
        <v>469251348.17761141</v>
      </c>
    </row>
    <row r="5384" spans="1:4">
      <c r="A5384" s="348">
        <f t="shared" si="170"/>
        <v>5383</v>
      </c>
      <c r="B5384" s="360">
        <f>DATE('Profit Calculation'!J$6,A$2,A$2+A5384-1)</f>
        <v>47387</v>
      </c>
      <c r="D5384" s="362">
        <f t="shared" ca="1" si="171"/>
        <v>469431063.34953678</v>
      </c>
    </row>
    <row r="5385" spans="1:4">
      <c r="A5385" s="348">
        <f t="shared" si="170"/>
        <v>5384</v>
      </c>
      <c r="B5385" s="360">
        <f>DATE('Profit Calculation'!J$6,A$2,A$2+A5385-1)</f>
        <v>47388</v>
      </c>
      <c r="D5385" s="362">
        <f t="shared" ca="1" si="171"/>
        <v>469610847.34927297</v>
      </c>
    </row>
    <row r="5386" spans="1:4">
      <c r="A5386" s="348">
        <f t="shared" si="170"/>
        <v>5385</v>
      </c>
      <c r="B5386" s="360">
        <f>DATE('Profit Calculation'!J$6,A$2,A$2+A5386-1)</f>
        <v>47389</v>
      </c>
      <c r="D5386" s="362">
        <f t="shared" ca="1" si="171"/>
        <v>469790700.20317984</v>
      </c>
    </row>
    <row r="5387" spans="1:4">
      <c r="A5387" s="348">
        <f t="shared" si="170"/>
        <v>5386</v>
      </c>
      <c r="B5387" s="360">
        <f>DATE('Profit Calculation'!J$6,A$2,A$2+A5387-1)</f>
        <v>47390</v>
      </c>
      <c r="D5387" s="362">
        <f t="shared" ca="1" si="171"/>
        <v>469970621.93762732</v>
      </c>
    </row>
    <row r="5388" spans="1:4">
      <c r="A5388" s="348">
        <f t="shared" si="170"/>
        <v>5387</v>
      </c>
      <c r="B5388" s="360">
        <f>DATE('Profit Calculation'!J$6,A$2,A$2+A5388-1)</f>
        <v>47391</v>
      </c>
      <c r="D5388" s="362">
        <f t="shared" ca="1" si="171"/>
        <v>470150612.57899553</v>
      </c>
    </row>
    <row r="5389" spans="1:4">
      <c r="A5389" s="348">
        <f t="shared" si="170"/>
        <v>5388</v>
      </c>
      <c r="B5389" s="360">
        <f>DATE('Profit Calculation'!J$6,A$2,A$2+A5389-1)</f>
        <v>47392</v>
      </c>
      <c r="D5389" s="362">
        <f t="shared" ca="1" si="171"/>
        <v>470330672.1536746</v>
      </c>
    </row>
    <row r="5390" spans="1:4">
      <c r="A5390" s="348">
        <f t="shared" si="170"/>
        <v>5389</v>
      </c>
      <c r="B5390" s="360">
        <f>DATE('Profit Calculation'!J$6,A$2,A$2+A5390-1)</f>
        <v>47393</v>
      </c>
      <c r="D5390" s="362">
        <f t="shared" ca="1" si="171"/>
        <v>470510800.68806481</v>
      </c>
    </row>
    <row r="5391" spans="1:4">
      <c r="A5391" s="348">
        <f t="shared" si="170"/>
        <v>5390</v>
      </c>
      <c r="B5391" s="360">
        <f>DATE('Profit Calculation'!J$6,A$2,A$2+A5391-1)</f>
        <v>47394</v>
      </c>
      <c r="D5391" s="362">
        <f t="shared" ca="1" si="171"/>
        <v>470690998.2085765</v>
      </c>
    </row>
    <row r="5392" spans="1:4">
      <c r="A5392" s="348">
        <f t="shared" si="170"/>
        <v>5391</v>
      </c>
      <c r="B5392" s="360">
        <f>DATE('Profit Calculation'!J$6,A$2,A$2+A5392-1)</f>
        <v>47395</v>
      </c>
      <c r="D5392" s="362">
        <f t="shared" ca="1" si="171"/>
        <v>470871264.7416302</v>
      </c>
    </row>
    <row r="5393" spans="1:4">
      <c r="A5393" s="348">
        <f t="shared" si="170"/>
        <v>5392</v>
      </c>
      <c r="B5393" s="360">
        <f>DATE('Profit Calculation'!J$6,A$2,A$2+A5393-1)</f>
        <v>47396</v>
      </c>
      <c r="D5393" s="362">
        <f t="shared" ca="1" si="171"/>
        <v>471051600.31365657</v>
      </c>
    </row>
    <row r="5394" spans="1:4">
      <c r="A5394" s="348">
        <f t="shared" si="170"/>
        <v>5393</v>
      </c>
      <c r="B5394" s="360">
        <f>DATE('Profit Calculation'!J$6,A$2,A$2+A5394-1)</f>
        <v>47397</v>
      </c>
      <c r="D5394" s="362">
        <f t="shared" ca="1" si="171"/>
        <v>471232004.9510963</v>
      </c>
    </row>
    <row r="5395" spans="1:4">
      <c r="A5395" s="348">
        <f t="shared" si="170"/>
        <v>5394</v>
      </c>
      <c r="B5395" s="360">
        <f>DATE('Profit Calculation'!J$6,A$2,A$2+A5395-1)</f>
        <v>47398</v>
      </c>
      <c r="D5395" s="362">
        <f t="shared" ca="1" si="171"/>
        <v>471412478.68040025</v>
      </c>
    </row>
    <row r="5396" spans="1:4">
      <c r="A5396" s="348">
        <f t="shared" si="170"/>
        <v>5395</v>
      </c>
      <c r="B5396" s="360">
        <f>DATE('Profit Calculation'!J$6,A$2,A$2+A5396-1)</f>
        <v>47399</v>
      </c>
      <c r="D5396" s="362">
        <f t="shared" ca="1" si="171"/>
        <v>471593021.52802938</v>
      </c>
    </row>
    <row r="5397" spans="1:4">
      <c r="A5397" s="348">
        <f t="shared" si="170"/>
        <v>5396</v>
      </c>
      <c r="B5397" s="360">
        <f>DATE('Profit Calculation'!J$6,A$2,A$2+A5397-1)</f>
        <v>47400</v>
      </c>
      <c r="D5397" s="362">
        <f t="shared" ca="1" si="171"/>
        <v>471773633.52045488</v>
      </c>
    </row>
    <row r="5398" spans="1:4">
      <c r="A5398" s="348">
        <f t="shared" si="170"/>
        <v>5397</v>
      </c>
      <c r="B5398" s="360">
        <f>DATE('Profit Calculation'!J$6,A$2,A$2+A5398-1)</f>
        <v>47401</v>
      </c>
      <c r="D5398" s="362">
        <f t="shared" ca="1" si="171"/>
        <v>471954314.68415797</v>
      </c>
    </row>
    <row r="5399" spans="1:4">
      <c r="A5399" s="348">
        <f t="shared" si="170"/>
        <v>5398</v>
      </c>
      <c r="B5399" s="360">
        <f>DATE('Profit Calculation'!J$6,A$2,A$2+A5399-1)</f>
        <v>47402</v>
      </c>
      <c r="D5399" s="362">
        <f t="shared" ca="1" si="171"/>
        <v>472135065.04563004</v>
      </c>
    </row>
    <row r="5400" spans="1:4">
      <c r="A5400" s="348">
        <f t="shared" si="170"/>
        <v>5399</v>
      </c>
      <c r="B5400" s="360">
        <f>DATE('Profit Calculation'!J$6,A$2,A$2+A5400-1)</f>
        <v>47403</v>
      </c>
      <c r="D5400" s="362">
        <f t="shared" ca="1" si="171"/>
        <v>472315884.63137269</v>
      </c>
    </row>
    <row r="5401" spans="1:4">
      <c r="A5401" s="348">
        <f t="shared" si="170"/>
        <v>5400</v>
      </c>
      <c r="B5401" s="360">
        <f>DATE('Profit Calculation'!J$6,A$2,A$2+A5401-1)</f>
        <v>47404</v>
      </c>
      <c r="D5401" s="362">
        <f t="shared" ca="1" si="171"/>
        <v>472496773.46789759</v>
      </c>
    </row>
    <row r="5402" spans="1:4">
      <c r="A5402" s="348">
        <f t="shared" si="170"/>
        <v>5401</v>
      </c>
      <c r="B5402" s="360">
        <f>DATE('Profit Calculation'!J$6,A$2,A$2+A5402-1)</f>
        <v>47405</v>
      </c>
      <c r="D5402" s="362">
        <f t="shared" ca="1" si="171"/>
        <v>472677731.58172661</v>
      </c>
    </row>
    <row r="5403" spans="1:4">
      <c r="A5403" s="348">
        <f t="shared" si="170"/>
        <v>5402</v>
      </c>
      <c r="B5403" s="360">
        <f>DATE('Profit Calculation'!J$6,A$2,A$2+A5403-1)</f>
        <v>47406</v>
      </c>
      <c r="D5403" s="362">
        <f t="shared" ca="1" si="171"/>
        <v>472858758.99939179</v>
      </c>
    </row>
    <row r="5404" spans="1:4">
      <c r="A5404" s="348">
        <f t="shared" si="170"/>
        <v>5403</v>
      </c>
      <c r="B5404" s="360">
        <f>DATE('Profit Calculation'!J$6,A$2,A$2+A5404-1)</f>
        <v>47407</v>
      </c>
      <c r="D5404" s="362">
        <f t="shared" ca="1" si="171"/>
        <v>473039855.74743527</v>
      </c>
    </row>
    <row r="5405" spans="1:4">
      <c r="A5405" s="348">
        <f t="shared" si="170"/>
        <v>5404</v>
      </c>
      <c r="B5405" s="360">
        <f>DATE('Profit Calculation'!J$6,A$2,A$2+A5405-1)</f>
        <v>47408</v>
      </c>
      <c r="D5405" s="362">
        <f t="shared" ca="1" si="171"/>
        <v>473221021.85240936</v>
      </c>
    </row>
    <row r="5406" spans="1:4">
      <c r="A5406" s="348">
        <f t="shared" si="170"/>
        <v>5405</v>
      </c>
      <c r="B5406" s="360">
        <f>DATE('Profit Calculation'!J$6,A$2,A$2+A5406-1)</f>
        <v>47409</v>
      </c>
      <c r="D5406" s="362">
        <f t="shared" ca="1" si="171"/>
        <v>473402257.34087664</v>
      </c>
    </row>
    <row r="5407" spans="1:4">
      <c r="A5407" s="348">
        <f t="shared" si="170"/>
        <v>5406</v>
      </c>
      <c r="B5407" s="360">
        <f>DATE('Profit Calculation'!J$6,A$2,A$2+A5407-1)</f>
        <v>47410</v>
      </c>
      <c r="D5407" s="362">
        <f t="shared" ca="1" si="171"/>
        <v>473583562.23940974</v>
      </c>
    </row>
    <row r="5408" spans="1:4">
      <c r="A5408" s="348">
        <f t="shared" si="170"/>
        <v>5407</v>
      </c>
      <c r="B5408" s="360">
        <f>DATE('Profit Calculation'!J$6,A$2,A$2+A5408-1)</f>
        <v>47411</v>
      </c>
      <c r="D5408" s="362">
        <f t="shared" ca="1" si="171"/>
        <v>473764936.57459152</v>
      </c>
    </row>
    <row r="5409" spans="1:4">
      <c r="A5409" s="348">
        <f t="shared" si="170"/>
        <v>5408</v>
      </c>
      <c r="B5409" s="360">
        <f>DATE('Profit Calculation'!J$6,A$2,A$2+A5409-1)</f>
        <v>47412</v>
      </c>
      <c r="D5409" s="362">
        <f t="shared" ca="1" si="171"/>
        <v>473946380.37301505</v>
      </c>
    </row>
    <row r="5410" spans="1:4">
      <c r="A5410" s="348">
        <f t="shared" si="170"/>
        <v>5409</v>
      </c>
      <c r="B5410" s="360">
        <f>DATE('Profit Calculation'!J$6,A$2,A$2+A5410-1)</f>
        <v>47413</v>
      </c>
      <c r="D5410" s="362">
        <f t="shared" ca="1" si="171"/>
        <v>474127893.66128349</v>
      </c>
    </row>
    <row r="5411" spans="1:4">
      <c r="A5411" s="348">
        <f t="shared" si="170"/>
        <v>5410</v>
      </c>
      <c r="B5411" s="360">
        <f>DATE('Profit Calculation'!J$6,A$2,A$2+A5411-1)</f>
        <v>47414</v>
      </c>
      <c r="D5411" s="362">
        <f t="shared" ca="1" si="171"/>
        <v>474309476.46601033</v>
      </c>
    </row>
    <row r="5412" spans="1:4">
      <c r="A5412" s="348">
        <f t="shared" si="170"/>
        <v>5411</v>
      </c>
      <c r="B5412" s="360">
        <f>DATE('Profit Calculation'!J$6,A$2,A$2+A5412-1)</f>
        <v>47415</v>
      </c>
      <c r="D5412" s="362">
        <f t="shared" ca="1" si="171"/>
        <v>474491128.81381911</v>
      </c>
    </row>
    <row r="5413" spans="1:4">
      <c r="A5413" s="348">
        <f t="shared" si="170"/>
        <v>5412</v>
      </c>
      <c r="B5413" s="360">
        <f>DATE('Profit Calculation'!J$6,A$2,A$2+A5413-1)</f>
        <v>47416</v>
      </c>
      <c r="D5413" s="362">
        <f t="shared" ca="1" si="171"/>
        <v>474672850.73134369</v>
      </c>
    </row>
    <row r="5414" spans="1:4">
      <c r="A5414" s="348">
        <f t="shared" si="170"/>
        <v>5413</v>
      </c>
      <c r="B5414" s="360">
        <f>DATE('Profit Calculation'!J$6,A$2,A$2+A5414-1)</f>
        <v>47417</v>
      </c>
      <c r="D5414" s="362">
        <f t="shared" ca="1" si="171"/>
        <v>474854642.24522805</v>
      </c>
    </row>
    <row r="5415" spans="1:4">
      <c r="A5415" s="348">
        <f t="shared" si="170"/>
        <v>5414</v>
      </c>
      <c r="B5415" s="360">
        <f>DATE('Profit Calculation'!J$6,A$2,A$2+A5415-1)</f>
        <v>47418</v>
      </c>
      <c r="D5415" s="362">
        <f t="shared" ca="1" si="171"/>
        <v>475036503.38212639</v>
      </c>
    </row>
    <row r="5416" spans="1:4">
      <c r="A5416" s="348">
        <f t="shared" si="170"/>
        <v>5415</v>
      </c>
      <c r="B5416" s="360">
        <f>DATE('Profit Calculation'!J$6,A$2,A$2+A5416-1)</f>
        <v>47419</v>
      </c>
      <c r="D5416" s="362">
        <f t="shared" ca="1" si="171"/>
        <v>475218434.16870308</v>
      </c>
    </row>
    <row r="5417" spans="1:4">
      <c r="A5417" s="348">
        <f t="shared" si="170"/>
        <v>5416</v>
      </c>
      <c r="B5417" s="360">
        <f>DATE('Profit Calculation'!J$6,A$2,A$2+A5417-1)</f>
        <v>47420</v>
      </c>
      <c r="D5417" s="362">
        <f t="shared" ca="1" si="171"/>
        <v>475400434.6316328</v>
      </c>
    </row>
    <row r="5418" spans="1:4">
      <c r="A5418" s="348">
        <f t="shared" si="170"/>
        <v>5417</v>
      </c>
      <c r="B5418" s="360">
        <f>DATE('Profit Calculation'!J$6,A$2,A$2+A5418-1)</f>
        <v>47421</v>
      </c>
      <c r="D5418" s="362">
        <f t="shared" ca="1" si="171"/>
        <v>475582504.79760039</v>
      </c>
    </row>
    <row r="5419" spans="1:4">
      <c r="A5419" s="348">
        <f t="shared" si="170"/>
        <v>5418</v>
      </c>
      <c r="B5419" s="360">
        <f>DATE('Profit Calculation'!J$6,A$2,A$2+A5419-1)</f>
        <v>47422</v>
      </c>
      <c r="D5419" s="362">
        <f t="shared" ca="1" si="171"/>
        <v>475764644.6933009</v>
      </c>
    </row>
    <row r="5420" spans="1:4">
      <c r="A5420" s="348">
        <f t="shared" si="170"/>
        <v>5419</v>
      </c>
      <c r="B5420" s="360">
        <f>DATE('Profit Calculation'!J$6,A$2,A$2+A5420-1)</f>
        <v>47423</v>
      </c>
      <c r="D5420" s="362">
        <f t="shared" ca="1" si="171"/>
        <v>475946854.34543961</v>
      </c>
    </row>
    <row r="5421" spans="1:4">
      <c r="A5421" s="348">
        <f t="shared" si="170"/>
        <v>5420</v>
      </c>
      <c r="B5421" s="360">
        <f>DATE('Profit Calculation'!J$6,A$2,A$2+A5421-1)</f>
        <v>47424</v>
      </c>
      <c r="D5421" s="362">
        <f t="shared" ca="1" si="171"/>
        <v>476129133.78073204</v>
      </c>
    </row>
    <row r="5422" spans="1:4">
      <c r="A5422" s="348">
        <f t="shared" si="170"/>
        <v>5421</v>
      </c>
      <c r="B5422" s="360">
        <f>DATE('Profit Calculation'!J$6,A$2,A$2+A5422-1)</f>
        <v>47425</v>
      </c>
      <c r="D5422" s="362">
        <f t="shared" ca="1" si="171"/>
        <v>476311483.02590388</v>
      </c>
    </row>
    <row r="5423" spans="1:4">
      <c r="A5423" s="348">
        <f t="shared" si="170"/>
        <v>5422</v>
      </c>
      <c r="B5423" s="360">
        <f>DATE('Profit Calculation'!J$6,A$2,A$2+A5423-1)</f>
        <v>47426</v>
      </c>
      <c r="D5423" s="362">
        <f t="shared" ca="1" si="171"/>
        <v>476493902.10769117</v>
      </c>
    </row>
    <row r="5424" spans="1:4">
      <c r="A5424" s="348">
        <f t="shared" si="170"/>
        <v>5423</v>
      </c>
      <c r="B5424" s="360">
        <f>DATE('Profit Calculation'!J$6,A$2,A$2+A5424-1)</f>
        <v>47427</v>
      </c>
      <c r="D5424" s="362">
        <f t="shared" ca="1" si="171"/>
        <v>476676391.05284011</v>
      </c>
    </row>
    <row r="5425" spans="1:4">
      <c r="A5425" s="348">
        <f t="shared" si="170"/>
        <v>5424</v>
      </c>
      <c r="B5425" s="360">
        <f>DATE('Profit Calculation'!J$6,A$2,A$2+A5425-1)</f>
        <v>47428</v>
      </c>
      <c r="D5425" s="362">
        <f t="shared" ca="1" si="171"/>
        <v>476858949.88810718</v>
      </c>
    </row>
    <row r="5426" spans="1:4">
      <c r="A5426" s="348">
        <f t="shared" si="170"/>
        <v>5425</v>
      </c>
      <c r="B5426" s="360">
        <f>DATE('Profit Calculation'!J$6,A$2,A$2+A5426-1)</f>
        <v>47429</v>
      </c>
      <c r="D5426" s="362">
        <f t="shared" ca="1" si="171"/>
        <v>477041578.64025909</v>
      </c>
    </row>
    <row r="5427" spans="1:4">
      <c r="A5427" s="348">
        <f t="shared" si="170"/>
        <v>5426</v>
      </c>
      <c r="B5427" s="360">
        <f>DATE('Profit Calculation'!J$6,A$2,A$2+A5427-1)</f>
        <v>47430</v>
      </c>
      <c r="D5427" s="362">
        <f t="shared" ca="1" si="171"/>
        <v>477224277.3360728</v>
      </c>
    </row>
    <row r="5428" spans="1:4">
      <c r="A5428" s="348">
        <f t="shared" si="170"/>
        <v>5427</v>
      </c>
      <c r="B5428" s="360">
        <f>DATE('Profit Calculation'!J$6,A$2,A$2+A5428-1)</f>
        <v>47431</v>
      </c>
      <c r="D5428" s="362">
        <f t="shared" ca="1" si="171"/>
        <v>477407046.00233549</v>
      </c>
    </row>
    <row r="5429" spans="1:4">
      <c r="A5429" s="348">
        <f t="shared" si="170"/>
        <v>5428</v>
      </c>
      <c r="B5429" s="360">
        <f>DATE('Profit Calculation'!J$6,A$2,A$2+A5429-1)</f>
        <v>47432</v>
      </c>
      <c r="D5429" s="362">
        <f t="shared" ca="1" si="171"/>
        <v>477589884.66584468</v>
      </c>
    </row>
    <row r="5430" spans="1:4">
      <c r="A5430" s="348">
        <f t="shared" si="170"/>
        <v>5429</v>
      </c>
      <c r="B5430" s="360">
        <f>DATE('Profit Calculation'!J$6,A$2,A$2+A5430-1)</f>
        <v>47433</v>
      </c>
      <c r="D5430" s="362">
        <f t="shared" ca="1" si="171"/>
        <v>477772793.3534081</v>
      </c>
    </row>
    <row r="5431" spans="1:4">
      <c r="A5431" s="348">
        <f t="shared" si="170"/>
        <v>5430</v>
      </c>
      <c r="B5431" s="360">
        <f>DATE('Profit Calculation'!J$6,A$2,A$2+A5431-1)</f>
        <v>47434</v>
      </c>
      <c r="D5431" s="362">
        <f t="shared" ca="1" si="171"/>
        <v>477955772.09184372</v>
      </c>
    </row>
    <row r="5432" spans="1:4">
      <c r="A5432" s="348">
        <f t="shared" si="170"/>
        <v>5431</v>
      </c>
      <c r="B5432" s="360">
        <f>DATE('Profit Calculation'!J$6,A$2,A$2+A5432-1)</f>
        <v>47435</v>
      </c>
      <c r="D5432" s="362">
        <f t="shared" ca="1" si="171"/>
        <v>478138820.90797985</v>
      </c>
    </row>
    <row r="5433" spans="1:4">
      <c r="A5433" s="348">
        <f t="shared" si="170"/>
        <v>5432</v>
      </c>
      <c r="B5433" s="360">
        <f>DATE('Profit Calculation'!J$6,A$2,A$2+A5433-1)</f>
        <v>47436</v>
      </c>
      <c r="D5433" s="362">
        <f t="shared" ca="1" si="171"/>
        <v>478321939.828655</v>
      </c>
    </row>
    <row r="5434" spans="1:4">
      <c r="A5434" s="348">
        <f t="shared" si="170"/>
        <v>5433</v>
      </c>
      <c r="B5434" s="360">
        <f>DATE('Profit Calculation'!J$6,A$2,A$2+A5434-1)</f>
        <v>47437</v>
      </c>
      <c r="D5434" s="362">
        <f t="shared" ca="1" si="171"/>
        <v>478505128.88071805</v>
      </c>
    </row>
    <row r="5435" spans="1:4">
      <c r="A5435" s="348">
        <f t="shared" si="170"/>
        <v>5434</v>
      </c>
      <c r="B5435" s="360">
        <f>DATE('Profit Calculation'!J$6,A$2,A$2+A5435-1)</f>
        <v>47438</v>
      </c>
      <c r="D5435" s="362">
        <f t="shared" ca="1" si="171"/>
        <v>478688388.09102809</v>
      </c>
    </row>
    <row r="5436" spans="1:4">
      <c r="A5436" s="348">
        <f t="shared" si="170"/>
        <v>5435</v>
      </c>
      <c r="B5436" s="360">
        <f>DATE('Profit Calculation'!J$6,A$2,A$2+A5436-1)</f>
        <v>47439</v>
      </c>
      <c r="D5436" s="362">
        <f t="shared" ca="1" si="171"/>
        <v>478871717.48645455</v>
      </c>
    </row>
    <row r="5437" spans="1:4">
      <c r="A5437" s="348">
        <f t="shared" si="170"/>
        <v>5436</v>
      </c>
      <c r="B5437" s="360">
        <f>DATE('Profit Calculation'!J$6,A$2,A$2+A5437-1)</f>
        <v>47440</v>
      </c>
      <c r="D5437" s="362">
        <f t="shared" ca="1" si="171"/>
        <v>479055117.09387708</v>
      </c>
    </row>
    <row r="5438" spans="1:4">
      <c r="A5438" s="348">
        <f t="shared" si="170"/>
        <v>5437</v>
      </c>
      <c r="B5438" s="360">
        <f>DATE('Profit Calculation'!J$6,A$2,A$2+A5438-1)</f>
        <v>47441</v>
      </c>
      <c r="D5438" s="362">
        <f t="shared" ca="1" si="171"/>
        <v>479238586.94018567</v>
      </c>
    </row>
    <row r="5439" spans="1:4">
      <c r="A5439" s="348">
        <f t="shared" si="170"/>
        <v>5438</v>
      </c>
      <c r="B5439" s="360">
        <f>DATE('Profit Calculation'!J$6,A$2,A$2+A5439-1)</f>
        <v>47442</v>
      </c>
      <c r="D5439" s="362">
        <f t="shared" ca="1" si="171"/>
        <v>479422127.0522806</v>
      </c>
    </row>
    <row r="5440" spans="1:4">
      <c r="A5440" s="348">
        <f t="shared" si="170"/>
        <v>5439</v>
      </c>
      <c r="B5440" s="360">
        <f>DATE('Profit Calculation'!J$6,A$2,A$2+A5440-1)</f>
        <v>47443</v>
      </c>
      <c r="D5440" s="362">
        <f t="shared" ca="1" si="171"/>
        <v>479605737.45707244</v>
      </c>
    </row>
    <row r="5441" spans="1:4">
      <c r="A5441" s="348">
        <f t="shared" si="170"/>
        <v>5440</v>
      </c>
      <c r="B5441" s="360">
        <f>DATE('Profit Calculation'!J$6,A$2,A$2+A5441-1)</f>
        <v>47444</v>
      </c>
      <c r="D5441" s="362">
        <f t="shared" ca="1" si="171"/>
        <v>479789418.18148208</v>
      </c>
    </row>
    <row r="5442" spans="1:4">
      <c r="A5442" s="348">
        <f t="shared" si="170"/>
        <v>5441</v>
      </c>
      <c r="B5442" s="360">
        <f>DATE('Profit Calculation'!J$6,A$2,A$2+A5442-1)</f>
        <v>47445</v>
      </c>
      <c r="D5442" s="362">
        <f t="shared" ca="1" si="171"/>
        <v>479973169.25244075</v>
      </c>
    </row>
    <row r="5443" spans="1:4">
      <c r="A5443" s="348">
        <f t="shared" si="170"/>
        <v>5442</v>
      </c>
      <c r="B5443" s="360">
        <f>DATE('Profit Calculation'!J$6,A$2,A$2+A5443-1)</f>
        <v>47446</v>
      </c>
      <c r="D5443" s="362">
        <f t="shared" ca="1" si="171"/>
        <v>480156990.69689</v>
      </c>
    </row>
    <row r="5444" spans="1:4">
      <c r="A5444" s="348">
        <f t="shared" si="170"/>
        <v>5443</v>
      </c>
      <c r="B5444" s="360">
        <f>DATE('Profit Calculation'!J$6,A$2,A$2+A5444-1)</f>
        <v>47447</v>
      </c>
      <c r="D5444" s="362">
        <f t="shared" ca="1" si="171"/>
        <v>480340882.5417816</v>
      </c>
    </row>
    <row r="5445" spans="1:4">
      <c r="A5445" s="348">
        <f t="shared" ref="A5445:A5508" si="172">A5444+1</f>
        <v>5444</v>
      </c>
      <c r="B5445" s="360">
        <f>DATE('Profit Calculation'!J$6,A$2,A$2+A5445-1)</f>
        <v>47448</v>
      </c>
      <c r="D5445" s="362">
        <f t="shared" ref="D5445:D5508" ca="1" si="173">IF(OR(LOOKUP(B5445,W$1:W$35,W$1:W$35) = B5445, LOOKUP(B5445,X$1:X$35,X$1:X$35) = B5445),LOOKUP(B5445,F:F,G:G),D5444*(1+((IF($Q$18&lt;6,$R$14,IF($Q$18&lt;11,$R$15,$R$16)))))^(1/365))</f>
        <v>480524844.81407773</v>
      </c>
    </row>
    <row r="5446" spans="1:4">
      <c r="A5446" s="348">
        <f t="shared" si="172"/>
        <v>5445</v>
      </c>
      <c r="B5446" s="360">
        <f>DATE('Profit Calculation'!J$6,A$2,A$2+A5446-1)</f>
        <v>47449</v>
      </c>
      <c r="D5446" s="362">
        <f t="shared" ca="1" si="173"/>
        <v>480708877.54075086</v>
      </c>
    </row>
    <row r="5447" spans="1:4">
      <c r="A5447" s="348">
        <f t="shared" si="172"/>
        <v>5446</v>
      </c>
      <c r="B5447" s="360">
        <f>DATE('Profit Calculation'!J$6,A$2,A$2+A5447-1)</f>
        <v>47450</v>
      </c>
      <c r="D5447" s="362">
        <f t="shared" ca="1" si="173"/>
        <v>480892980.74878377</v>
      </c>
    </row>
    <row r="5448" spans="1:4">
      <c r="A5448" s="348">
        <f t="shared" si="172"/>
        <v>5447</v>
      </c>
      <c r="B5448" s="360">
        <f>DATE('Profit Calculation'!J$6,A$2,A$2+A5448-1)</f>
        <v>47451</v>
      </c>
      <c r="D5448" s="362">
        <f t="shared" ca="1" si="173"/>
        <v>481077154.46516967</v>
      </c>
    </row>
    <row r="5449" spans="1:4">
      <c r="A5449" s="348">
        <f t="shared" si="172"/>
        <v>5448</v>
      </c>
      <c r="B5449" s="360">
        <f>DATE('Profit Calculation'!J$6,A$2,A$2+A5449-1)</f>
        <v>47452</v>
      </c>
      <c r="D5449" s="362">
        <f t="shared" ca="1" si="173"/>
        <v>481261398.71691197</v>
      </c>
    </row>
    <row r="5450" spans="1:4">
      <c r="A5450" s="348">
        <f t="shared" si="172"/>
        <v>5449</v>
      </c>
      <c r="B5450" s="360">
        <f>DATE('Profit Calculation'!J$6,A$2,A$2+A5450-1)</f>
        <v>47453</v>
      </c>
      <c r="D5450" s="362">
        <f t="shared" ca="1" si="173"/>
        <v>481445713.53102458</v>
      </c>
    </row>
    <row r="5451" spans="1:4">
      <c r="A5451" s="348">
        <f t="shared" si="172"/>
        <v>5450</v>
      </c>
      <c r="B5451" s="360">
        <f>DATE('Profit Calculation'!J$6,A$2,A$2+A5451-1)</f>
        <v>47454</v>
      </c>
      <c r="D5451" s="362">
        <f t="shared" ca="1" si="173"/>
        <v>481630098.93453163</v>
      </c>
    </row>
    <row r="5452" spans="1:4">
      <c r="A5452" s="348">
        <f t="shared" si="172"/>
        <v>5451</v>
      </c>
      <c r="B5452" s="360">
        <f>DATE('Profit Calculation'!J$6,A$2,A$2+A5452-1)</f>
        <v>47455</v>
      </c>
      <c r="D5452" s="362">
        <f t="shared" ca="1" si="173"/>
        <v>481814554.95446759</v>
      </c>
    </row>
    <row r="5453" spans="1:4">
      <c r="A5453" s="348">
        <f t="shared" si="172"/>
        <v>5452</v>
      </c>
      <c r="B5453" s="360">
        <f>DATE('Profit Calculation'!J$6,A$2,A$2+A5453-1)</f>
        <v>47456</v>
      </c>
      <c r="D5453" s="362">
        <f t="shared" ca="1" si="173"/>
        <v>481999081.61787742</v>
      </c>
    </row>
    <row r="5454" spans="1:4">
      <c r="A5454" s="348">
        <f t="shared" si="172"/>
        <v>5453</v>
      </c>
      <c r="B5454" s="360">
        <f>DATE('Profit Calculation'!J$6,A$2,A$2+A5454-1)</f>
        <v>47457</v>
      </c>
      <c r="D5454" s="362">
        <f t="shared" ca="1" si="173"/>
        <v>482183678.95181632</v>
      </c>
    </row>
    <row r="5455" spans="1:4">
      <c r="A5455" s="348">
        <f t="shared" si="172"/>
        <v>5454</v>
      </c>
      <c r="B5455" s="360">
        <f>DATE('Profit Calculation'!J$6,A$2,A$2+A5455-1)</f>
        <v>47458</v>
      </c>
      <c r="D5455" s="362">
        <f t="shared" ca="1" si="173"/>
        <v>482368346.98334986</v>
      </c>
    </row>
    <row r="5456" spans="1:4">
      <c r="A5456" s="348">
        <f t="shared" si="172"/>
        <v>5455</v>
      </c>
      <c r="B5456" s="360">
        <f>DATE('Profit Calculation'!J$6,A$2,A$2+A5456-1)</f>
        <v>47459</v>
      </c>
      <c r="D5456" s="362">
        <f t="shared" ca="1" si="173"/>
        <v>482553085.73955399</v>
      </c>
    </row>
    <row r="5457" spans="1:4">
      <c r="A5457" s="348">
        <f t="shared" si="172"/>
        <v>5456</v>
      </c>
      <c r="B5457" s="360">
        <f>DATE('Profit Calculation'!J$6,A$2,A$2+A5457-1)</f>
        <v>47460</v>
      </c>
      <c r="D5457" s="362">
        <f t="shared" ca="1" si="173"/>
        <v>482737895.24751508</v>
      </c>
    </row>
    <row r="5458" spans="1:4">
      <c r="A5458" s="348">
        <f t="shared" si="172"/>
        <v>5457</v>
      </c>
      <c r="B5458" s="360">
        <f>DATE('Profit Calculation'!J$6,A$2,A$2+A5458-1)</f>
        <v>47461</v>
      </c>
      <c r="D5458" s="362">
        <f t="shared" ca="1" si="173"/>
        <v>482922775.53432983</v>
      </c>
    </row>
    <row r="5459" spans="1:4">
      <c r="A5459" s="348">
        <f t="shared" si="172"/>
        <v>5458</v>
      </c>
      <c r="B5459" s="360">
        <f>DATE('Profit Calculation'!J$6,A$2,A$2+A5459-1)</f>
        <v>47462</v>
      </c>
      <c r="D5459" s="362">
        <f t="shared" ca="1" si="173"/>
        <v>483107726.6271053</v>
      </c>
    </row>
    <row r="5460" spans="1:4">
      <c r="A5460" s="348">
        <f t="shared" si="172"/>
        <v>5459</v>
      </c>
      <c r="B5460" s="360">
        <f>DATE('Profit Calculation'!J$6,A$2,A$2+A5460-1)</f>
        <v>47463</v>
      </c>
      <c r="D5460" s="362">
        <f t="shared" ca="1" si="173"/>
        <v>483292748.55295897</v>
      </c>
    </row>
    <row r="5461" spans="1:4">
      <c r="A5461" s="348">
        <f t="shared" si="172"/>
        <v>5460</v>
      </c>
      <c r="B5461" s="360">
        <f>DATE('Profit Calculation'!J$6,A$2,A$2+A5461-1)</f>
        <v>47464</v>
      </c>
      <c r="D5461" s="362">
        <f t="shared" ca="1" si="173"/>
        <v>483477841.33901864</v>
      </c>
    </row>
    <row r="5462" spans="1:4">
      <c r="A5462" s="348">
        <f t="shared" si="172"/>
        <v>5461</v>
      </c>
      <c r="B5462" s="360">
        <f>DATE('Profit Calculation'!J$6,A$2,A$2+A5462-1)</f>
        <v>47465</v>
      </c>
      <c r="D5462" s="362">
        <f t="shared" ca="1" si="173"/>
        <v>483663005.01242262</v>
      </c>
    </row>
    <row r="5463" spans="1:4">
      <c r="A5463" s="348">
        <f t="shared" si="172"/>
        <v>5462</v>
      </c>
      <c r="B5463" s="360">
        <f>DATE('Profit Calculation'!J$6,A$2,A$2+A5463-1)</f>
        <v>47466</v>
      </c>
      <c r="D5463" s="362">
        <f t="shared" ca="1" si="173"/>
        <v>483848239.6003195</v>
      </c>
    </row>
    <row r="5464" spans="1:4">
      <c r="A5464" s="348">
        <f t="shared" si="172"/>
        <v>5463</v>
      </c>
      <c r="B5464" s="360">
        <f>DATE('Profit Calculation'!J$6,A$2,A$2+A5464-1)</f>
        <v>47467</v>
      </c>
      <c r="D5464" s="362">
        <f t="shared" ca="1" si="173"/>
        <v>484033545.12986833</v>
      </c>
    </row>
    <row r="5465" spans="1:4">
      <c r="A5465" s="348">
        <f t="shared" si="172"/>
        <v>5464</v>
      </c>
      <c r="B5465" s="360">
        <f>DATE('Profit Calculation'!J$6,A$2,A$2+A5465-1)</f>
        <v>47468</v>
      </c>
      <c r="D5465" s="362">
        <f t="shared" ca="1" si="173"/>
        <v>484218921.6282385</v>
      </c>
    </row>
    <row r="5466" spans="1:4">
      <c r="A5466" s="348">
        <f t="shared" si="172"/>
        <v>5465</v>
      </c>
      <c r="B5466" s="360">
        <f>DATE('Profit Calculation'!J$6,A$2,A$2+A5466-1)</f>
        <v>47469</v>
      </c>
      <c r="D5466" s="362">
        <f t="shared" ca="1" si="173"/>
        <v>484404369.12260985</v>
      </c>
    </row>
    <row r="5467" spans="1:4">
      <c r="A5467" s="348">
        <f t="shared" si="172"/>
        <v>5466</v>
      </c>
      <c r="B5467" s="360">
        <f>DATE('Profit Calculation'!J$6,A$2,A$2+A5467-1)</f>
        <v>47470</v>
      </c>
      <c r="D5467" s="362">
        <f t="shared" ca="1" si="173"/>
        <v>484589887.64017266</v>
      </c>
    </row>
    <row r="5468" spans="1:4">
      <c r="A5468" s="348">
        <f t="shared" si="172"/>
        <v>5467</v>
      </c>
      <c r="B5468" s="360">
        <f>DATE('Profit Calculation'!J$6,A$2,A$2+A5468-1)</f>
        <v>47471</v>
      </c>
      <c r="D5468" s="362">
        <f t="shared" ca="1" si="173"/>
        <v>484775477.20812756</v>
      </c>
    </row>
    <row r="5469" spans="1:4">
      <c r="A5469" s="348">
        <f t="shared" si="172"/>
        <v>5468</v>
      </c>
      <c r="B5469" s="360">
        <f>DATE('Profit Calculation'!J$6,A$2,A$2+A5469-1)</f>
        <v>47472</v>
      </c>
      <c r="D5469" s="362">
        <f t="shared" ca="1" si="173"/>
        <v>484961137.85368562</v>
      </c>
    </row>
    <row r="5470" spans="1:4">
      <c r="A5470" s="348">
        <f t="shared" si="172"/>
        <v>5469</v>
      </c>
      <c r="B5470" s="360">
        <f>DATE('Profit Calculation'!J$6,A$2,A$2+A5470-1)</f>
        <v>47473</v>
      </c>
      <c r="D5470" s="362">
        <f t="shared" ca="1" si="173"/>
        <v>485146869.60406834</v>
      </c>
    </row>
    <row r="5471" spans="1:4">
      <c r="A5471" s="348">
        <f t="shared" si="172"/>
        <v>5470</v>
      </c>
      <c r="B5471" s="360">
        <f>DATE('Profit Calculation'!J$6,A$2,A$2+A5471-1)</f>
        <v>47474</v>
      </c>
      <c r="D5471" s="362">
        <f t="shared" ca="1" si="173"/>
        <v>485332672.48650765</v>
      </c>
    </row>
    <row r="5472" spans="1:4">
      <c r="A5472" s="348">
        <f t="shared" si="172"/>
        <v>5471</v>
      </c>
      <c r="B5472" s="360">
        <f>DATE('Profit Calculation'!J$6,A$2,A$2+A5472-1)</f>
        <v>47475</v>
      </c>
      <c r="D5472" s="362">
        <f t="shared" ca="1" si="173"/>
        <v>485518546.52824593</v>
      </c>
    </row>
    <row r="5473" spans="1:4">
      <c r="A5473" s="348">
        <f t="shared" si="172"/>
        <v>5472</v>
      </c>
      <c r="B5473" s="360">
        <f>DATE('Profit Calculation'!J$6,A$2,A$2+A5473-1)</f>
        <v>47476</v>
      </c>
      <c r="D5473" s="362">
        <f t="shared" ca="1" si="173"/>
        <v>485704491.75653589</v>
      </c>
    </row>
    <row r="5474" spans="1:4">
      <c r="A5474" s="348">
        <f t="shared" si="172"/>
        <v>5473</v>
      </c>
      <c r="B5474" s="360">
        <f>DATE('Profit Calculation'!J$6,A$2,A$2+A5474-1)</f>
        <v>47477</v>
      </c>
      <c r="D5474" s="362">
        <f t="shared" ca="1" si="173"/>
        <v>485890508.19864082</v>
      </c>
    </row>
    <row r="5475" spans="1:4">
      <c r="A5475" s="348">
        <f t="shared" si="172"/>
        <v>5474</v>
      </c>
      <c r="B5475" s="360">
        <f>DATE('Profit Calculation'!J$6,A$2,A$2+A5475-1)</f>
        <v>47478</v>
      </c>
      <c r="D5475" s="362">
        <f t="shared" ca="1" si="173"/>
        <v>486076595.88183433</v>
      </c>
    </row>
    <row r="5476" spans="1:4">
      <c r="A5476" s="348">
        <f t="shared" si="172"/>
        <v>5475</v>
      </c>
      <c r="B5476" s="360">
        <f>DATE('Profit Calculation'!J$6,A$2,A$2+A5476-1)</f>
        <v>47479</v>
      </c>
      <c r="D5476" s="362">
        <f t="shared" ca="1" si="173"/>
        <v>486262754.83340055</v>
      </c>
    </row>
    <row r="5477" spans="1:4">
      <c r="A5477" s="348">
        <f t="shared" si="172"/>
        <v>5476</v>
      </c>
      <c r="B5477" s="360">
        <f>DATE('Profit Calculation'!J$6,A$2,A$2+A5477-1)</f>
        <v>47480</v>
      </c>
      <c r="D5477" s="362">
        <f t="shared" ca="1" si="173"/>
        <v>486448985.08063406</v>
      </c>
    </row>
    <row r="5478" spans="1:4">
      <c r="A5478" s="348">
        <f t="shared" si="172"/>
        <v>5477</v>
      </c>
      <c r="B5478" s="360">
        <f>DATE('Profit Calculation'!J$6,A$2,A$2+A5478-1)</f>
        <v>47481</v>
      </c>
      <c r="D5478" s="362">
        <f t="shared" ca="1" si="173"/>
        <v>486635286.65083987</v>
      </c>
    </row>
    <row r="5479" spans="1:4">
      <c r="A5479" s="348">
        <f t="shared" si="172"/>
        <v>5478</v>
      </c>
      <c r="B5479" s="360">
        <f>DATE('Profit Calculation'!J$6,A$2,A$2+A5479-1)</f>
        <v>47482</v>
      </c>
      <c r="D5479" s="362">
        <f t="shared" ca="1" si="173"/>
        <v>486821659.57133341</v>
      </c>
    </row>
    <row r="5480" spans="1:4">
      <c r="A5480" s="348">
        <f t="shared" si="172"/>
        <v>5479</v>
      </c>
      <c r="B5480" s="360">
        <f>DATE('Profit Calculation'!J$6,A$2,A$2+A5480-1)</f>
        <v>47483</v>
      </c>
      <c r="D5480" s="362">
        <f t="shared" ca="1" si="173"/>
        <v>487008103.86944062</v>
      </c>
    </row>
    <row r="5481" spans="1:4">
      <c r="A5481" s="348">
        <f t="shared" si="172"/>
        <v>5480</v>
      </c>
      <c r="B5481" s="360">
        <f>DATE('Profit Calculation'!J$6,A$2,A$2+A5481-1)</f>
        <v>47484</v>
      </c>
      <c r="D5481" s="362">
        <f t="shared" ca="1" si="173"/>
        <v>486961486</v>
      </c>
    </row>
    <row r="5482" spans="1:4">
      <c r="A5482" s="348">
        <f t="shared" si="172"/>
        <v>5481</v>
      </c>
      <c r="B5482" s="360">
        <f>DATE('Profit Calculation'!J$6,A$2,A$2+A5482-1)</f>
        <v>47485</v>
      </c>
      <c r="D5482" s="362">
        <f t="shared" ca="1" si="173"/>
        <v>487147983.84921741</v>
      </c>
    </row>
    <row r="5483" spans="1:4">
      <c r="A5483" s="348">
        <f t="shared" si="172"/>
        <v>5482</v>
      </c>
      <c r="B5483" s="360">
        <f>DATE('Profit Calculation'!J$6,A$2,A$2+A5483-1)</f>
        <v>47486</v>
      </c>
      <c r="D5483" s="362">
        <f t="shared" ca="1" si="173"/>
        <v>487334553.1238941</v>
      </c>
    </row>
    <row r="5484" spans="1:4">
      <c r="A5484" s="348">
        <f t="shared" si="172"/>
        <v>5483</v>
      </c>
      <c r="B5484" s="360">
        <f>DATE('Profit Calculation'!J$6,A$2,A$2+A5484-1)</f>
        <v>47487</v>
      </c>
      <c r="D5484" s="362">
        <f t="shared" ca="1" si="173"/>
        <v>487521193.8513847</v>
      </c>
    </row>
    <row r="5485" spans="1:4">
      <c r="A5485" s="348">
        <f t="shared" si="172"/>
        <v>5484</v>
      </c>
      <c r="B5485" s="360">
        <f>DATE('Profit Calculation'!J$6,A$2,A$2+A5485-1)</f>
        <v>47488</v>
      </c>
      <c r="D5485" s="362">
        <f t="shared" ca="1" si="173"/>
        <v>487707906.05905443</v>
      </c>
    </row>
    <row r="5486" spans="1:4">
      <c r="A5486" s="348">
        <f t="shared" si="172"/>
        <v>5485</v>
      </c>
      <c r="B5486" s="360">
        <f>DATE('Profit Calculation'!J$6,A$2,A$2+A5486-1)</f>
        <v>47489</v>
      </c>
      <c r="D5486" s="362">
        <f t="shared" ca="1" si="173"/>
        <v>487894689.774279</v>
      </c>
    </row>
    <row r="5487" spans="1:4">
      <c r="A5487" s="348">
        <f t="shared" si="172"/>
        <v>5486</v>
      </c>
      <c r="B5487" s="360">
        <f>DATE('Profit Calculation'!J$6,A$2,A$2+A5487-1)</f>
        <v>47490</v>
      </c>
      <c r="D5487" s="362">
        <f t="shared" ca="1" si="173"/>
        <v>488081545.02444452</v>
      </c>
    </row>
    <row r="5488" spans="1:4">
      <c r="A5488" s="348">
        <f t="shared" si="172"/>
        <v>5487</v>
      </c>
      <c r="B5488" s="360">
        <f>DATE('Profit Calculation'!J$6,A$2,A$2+A5488-1)</f>
        <v>47491</v>
      </c>
      <c r="D5488" s="362">
        <f t="shared" ca="1" si="173"/>
        <v>488268471.83694768</v>
      </c>
    </row>
    <row r="5489" spans="1:4">
      <c r="A5489" s="348">
        <f t="shared" si="172"/>
        <v>5488</v>
      </c>
      <c r="B5489" s="360">
        <f>DATE('Profit Calculation'!J$6,A$2,A$2+A5489-1)</f>
        <v>47492</v>
      </c>
      <c r="D5489" s="362">
        <f t="shared" ca="1" si="173"/>
        <v>488455470.23919559</v>
      </c>
    </row>
    <row r="5490" spans="1:4">
      <c r="A5490" s="348">
        <f t="shared" si="172"/>
        <v>5489</v>
      </c>
      <c r="B5490" s="360">
        <f>DATE('Profit Calculation'!J$6,A$2,A$2+A5490-1)</f>
        <v>47493</v>
      </c>
      <c r="D5490" s="362">
        <f t="shared" ca="1" si="173"/>
        <v>488642540.2586059</v>
      </c>
    </row>
    <row r="5491" spans="1:4">
      <c r="A5491" s="348">
        <f t="shared" si="172"/>
        <v>5490</v>
      </c>
      <c r="B5491" s="360">
        <f>DATE('Profit Calculation'!J$6,A$2,A$2+A5491-1)</f>
        <v>47494</v>
      </c>
      <c r="D5491" s="362">
        <f t="shared" ca="1" si="173"/>
        <v>488829681.92260677</v>
      </c>
    </row>
    <row r="5492" spans="1:4">
      <c r="A5492" s="348">
        <f t="shared" si="172"/>
        <v>5491</v>
      </c>
      <c r="B5492" s="360">
        <f>DATE('Profit Calculation'!J$6,A$2,A$2+A5492-1)</f>
        <v>47495</v>
      </c>
      <c r="D5492" s="362">
        <f t="shared" ca="1" si="173"/>
        <v>489016895.25863683</v>
      </c>
    </row>
    <row r="5493" spans="1:4">
      <c r="A5493" s="348">
        <f t="shared" si="172"/>
        <v>5492</v>
      </c>
      <c r="B5493" s="360">
        <f>DATE('Profit Calculation'!J$6,A$2,A$2+A5493-1)</f>
        <v>47496</v>
      </c>
      <c r="D5493" s="362">
        <f t="shared" ca="1" si="173"/>
        <v>489204180.29414523</v>
      </c>
    </row>
    <row r="5494" spans="1:4">
      <c r="A5494" s="348">
        <f t="shared" si="172"/>
        <v>5493</v>
      </c>
      <c r="B5494" s="360">
        <f>DATE('Profit Calculation'!J$6,A$2,A$2+A5494-1)</f>
        <v>47497</v>
      </c>
      <c r="D5494" s="362">
        <f t="shared" ca="1" si="173"/>
        <v>489391537.05659163</v>
      </c>
    </row>
    <row r="5495" spans="1:4">
      <c r="A5495" s="348">
        <f t="shared" si="172"/>
        <v>5494</v>
      </c>
      <c r="B5495" s="360">
        <f>DATE('Profit Calculation'!J$6,A$2,A$2+A5495-1)</f>
        <v>47498</v>
      </c>
      <c r="D5495" s="362">
        <f t="shared" ca="1" si="173"/>
        <v>489578965.57344621</v>
      </c>
    </row>
    <row r="5496" spans="1:4">
      <c r="A5496" s="348">
        <f t="shared" si="172"/>
        <v>5495</v>
      </c>
      <c r="B5496" s="360">
        <f>DATE('Profit Calculation'!J$6,A$2,A$2+A5496-1)</f>
        <v>47499</v>
      </c>
      <c r="D5496" s="362">
        <f t="shared" ca="1" si="173"/>
        <v>489766465.87218964</v>
      </c>
    </row>
    <row r="5497" spans="1:4">
      <c r="A5497" s="348">
        <f t="shared" si="172"/>
        <v>5496</v>
      </c>
      <c r="B5497" s="360">
        <f>DATE('Profit Calculation'!J$6,A$2,A$2+A5497-1)</f>
        <v>47500</v>
      </c>
      <c r="D5497" s="362">
        <f t="shared" ca="1" si="173"/>
        <v>489954037.98031318</v>
      </c>
    </row>
    <row r="5498" spans="1:4">
      <c r="A5498" s="348">
        <f t="shared" si="172"/>
        <v>5497</v>
      </c>
      <c r="B5498" s="360">
        <f>DATE('Profit Calculation'!J$6,A$2,A$2+A5498-1)</f>
        <v>47501</v>
      </c>
      <c r="D5498" s="362">
        <f t="shared" ca="1" si="173"/>
        <v>490141681.9253186</v>
      </c>
    </row>
    <row r="5499" spans="1:4">
      <c r="A5499" s="348">
        <f t="shared" si="172"/>
        <v>5498</v>
      </c>
      <c r="B5499" s="360">
        <f>DATE('Profit Calculation'!J$6,A$2,A$2+A5499-1)</f>
        <v>47502</v>
      </c>
      <c r="D5499" s="362">
        <f t="shared" ca="1" si="173"/>
        <v>490329397.73471814</v>
      </c>
    </row>
    <row r="5500" spans="1:4">
      <c r="A5500" s="348">
        <f t="shared" si="172"/>
        <v>5499</v>
      </c>
      <c r="B5500" s="360">
        <f>DATE('Profit Calculation'!J$6,A$2,A$2+A5500-1)</f>
        <v>47503</v>
      </c>
      <c r="D5500" s="362">
        <f t="shared" ca="1" si="173"/>
        <v>490517185.43603462</v>
      </c>
    </row>
    <row r="5501" spans="1:4">
      <c r="A5501" s="348">
        <f t="shared" si="172"/>
        <v>5500</v>
      </c>
      <c r="B5501" s="360">
        <f>DATE('Profit Calculation'!J$6,A$2,A$2+A5501-1)</f>
        <v>47504</v>
      </c>
      <c r="D5501" s="362">
        <f t="shared" ca="1" si="173"/>
        <v>490705045.05680144</v>
      </c>
    </row>
    <row r="5502" spans="1:4">
      <c r="A5502" s="348">
        <f t="shared" si="172"/>
        <v>5501</v>
      </c>
      <c r="B5502" s="360">
        <f>DATE('Profit Calculation'!J$6,A$2,A$2+A5502-1)</f>
        <v>47505</v>
      </c>
      <c r="D5502" s="362">
        <f t="shared" ca="1" si="173"/>
        <v>490892976.6245625</v>
      </c>
    </row>
    <row r="5503" spans="1:4">
      <c r="A5503" s="348">
        <f t="shared" si="172"/>
        <v>5502</v>
      </c>
      <c r="B5503" s="360">
        <f>DATE('Profit Calculation'!J$6,A$2,A$2+A5503-1)</f>
        <v>47506</v>
      </c>
      <c r="D5503" s="362">
        <f t="shared" ca="1" si="173"/>
        <v>491080980.16687226</v>
      </c>
    </row>
    <row r="5504" spans="1:4">
      <c r="A5504" s="348">
        <f t="shared" si="172"/>
        <v>5503</v>
      </c>
      <c r="B5504" s="360">
        <f>DATE('Profit Calculation'!J$6,A$2,A$2+A5504-1)</f>
        <v>47507</v>
      </c>
      <c r="D5504" s="362">
        <f t="shared" ca="1" si="173"/>
        <v>491269055.71129572</v>
      </c>
    </row>
    <row r="5505" spans="1:4">
      <c r="A5505" s="348">
        <f t="shared" si="172"/>
        <v>5504</v>
      </c>
      <c r="B5505" s="360">
        <f>DATE('Profit Calculation'!J$6,A$2,A$2+A5505-1)</f>
        <v>47508</v>
      </c>
      <c r="D5505" s="362">
        <f t="shared" ca="1" si="173"/>
        <v>491457203.2854085</v>
      </c>
    </row>
    <row r="5506" spans="1:4">
      <c r="A5506" s="348">
        <f t="shared" si="172"/>
        <v>5505</v>
      </c>
      <c r="B5506" s="360">
        <f>DATE('Profit Calculation'!J$6,A$2,A$2+A5506-1)</f>
        <v>47509</v>
      </c>
      <c r="D5506" s="362">
        <f t="shared" ca="1" si="173"/>
        <v>491645422.91679662</v>
      </c>
    </row>
    <row r="5507" spans="1:4">
      <c r="A5507" s="348">
        <f t="shared" si="172"/>
        <v>5506</v>
      </c>
      <c r="B5507" s="360">
        <f>DATE('Profit Calculation'!J$6,A$2,A$2+A5507-1)</f>
        <v>47510</v>
      </c>
      <c r="D5507" s="362">
        <f t="shared" ca="1" si="173"/>
        <v>491833714.63305688</v>
      </c>
    </row>
    <row r="5508" spans="1:4">
      <c r="A5508" s="348">
        <f t="shared" si="172"/>
        <v>5507</v>
      </c>
      <c r="B5508" s="360">
        <f>DATE('Profit Calculation'!J$6,A$2,A$2+A5508-1)</f>
        <v>47511</v>
      </c>
      <c r="D5508" s="362">
        <f t="shared" ca="1" si="173"/>
        <v>492022078.46179646</v>
      </c>
    </row>
    <row r="5509" spans="1:4">
      <c r="A5509" s="348">
        <f t="shared" ref="A5509:A5572" si="174">A5508+1</f>
        <v>5508</v>
      </c>
      <c r="B5509" s="360">
        <f>DATE('Profit Calculation'!J$6,A$2,A$2+A5509-1)</f>
        <v>47512</v>
      </c>
      <c r="D5509" s="362">
        <f t="shared" ref="D5509:D5572" ca="1" si="175">IF(OR(LOOKUP(B5509,W$1:W$35,W$1:W$35) = B5509, LOOKUP(B5509,X$1:X$35,X$1:X$35) = B5509),LOOKUP(B5509,F:F,G:G),D5508*(1+((IF($Q$18&lt;6,$R$14,IF($Q$18&lt;11,$R$15,$R$16)))))^(1/365))</f>
        <v>492210514.43063325</v>
      </c>
    </row>
    <row r="5510" spans="1:4">
      <c r="A5510" s="348">
        <f t="shared" si="174"/>
        <v>5509</v>
      </c>
      <c r="B5510" s="360">
        <f>DATE('Profit Calculation'!J$6,A$2,A$2+A5510-1)</f>
        <v>47513</v>
      </c>
      <c r="D5510" s="362">
        <f t="shared" ca="1" si="175"/>
        <v>492399022.56719565</v>
      </c>
    </row>
    <row r="5511" spans="1:4">
      <c r="A5511" s="348">
        <f t="shared" si="174"/>
        <v>5510</v>
      </c>
      <c r="B5511" s="360">
        <f>DATE('Profit Calculation'!J$6,A$2,A$2+A5511-1)</f>
        <v>47514</v>
      </c>
      <c r="D5511" s="362">
        <f t="shared" ca="1" si="175"/>
        <v>492587602.89912266</v>
      </c>
    </row>
    <row r="5512" spans="1:4">
      <c r="A5512" s="348">
        <f t="shared" si="174"/>
        <v>5511</v>
      </c>
      <c r="B5512" s="360">
        <f>DATE('Profit Calculation'!J$6,A$2,A$2+A5512-1)</f>
        <v>47515</v>
      </c>
      <c r="D5512" s="362">
        <f t="shared" ca="1" si="175"/>
        <v>492776255.45406383</v>
      </c>
    </row>
    <row r="5513" spans="1:4">
      <c r="A5513" s="348">
        <f t="shared" si="174"/>
        <v>5512</v>
      </c>
      <c r="B5513" s="360">
        <f>DATE('Profit Calculation'!J$6,A$2,A$2+A5513-1)</f>
        <v>47516</v>
      </c>
      <c r="D5513" s="362">
        <f t="shared" ca="1" si="175"/>
        <v>492964980.25967938</v>
      </c>
    </row>
    <row r="5514" spans="1:4">
      <c r="A5514" s="348">
        <f t="shared" si="174"/>
        <v>5513</v>
      </c>
      <c r="B5514" s="360">
        <f>DATE('Profit Calculation'!J$6,A$2,A$2+A5514-1)</f>
        <v>47517</v>
      </c>
      <c r="D5514" s="362">
        <f t="shared" ca="1" si="175"/>
        <v>493153777.34364003</v>
      </c>
    </row>
    <row r="5515" spans="1:4">
      <c r="A5515" s="348">
        <f t="shared" si="174"/>
        <v>5514</v>
      </c>
      <c r="B5515" s="360">
        <f>DATE('Profit Calculation'!J$6,A$2,A$2+A5515-1)</f>
        <v>47518</v>
      </c>
      <c r="D5515" s="362">
        <f t="shared" ca="1" si="175"/>
        <v>493342646.73362714</v>
      </c>
    </row>
    <row r="5516" spans="1:4">
      <c r="A5516" s="348">
        <f t="shared" si="174"/>
        <v>5515</v>
      </c>
      <c r="B5516" s="360">
        <f>DATE('Profit Calculation'!J$6,A$2,A$2+A5516-1)</f>
        <v>47519</v>
      </c>
      <c r="D5516" s="362">
        <f t="shared" ca="1" si="175"/>
        <v>493531588.45733273</v>
      </c>
    </row>
    <row r="5517" spans="1:4">
      <c r="A5517" s="348">
        <f t="shared" si="174"/>
        <v>5516</v>
      </c>
      <c r="B5517" s="360">
        <f>DATE('Profit Calculation'!J$6,A$2,A$2+A5517-1)</f>
        <v>47520</v>
      </c>
      <c r="D5517" s="362">
        <f t="shared" ca="1" si="175"/>
        <v>493720602.54245931</v>
      </c>
    </row>
    <row r="5518" spans="1:4">
      <c r="A5518" s="348">
        <f t="shared" si="174"/>
        <v>5517</v>
      </c>
      <c r="B5518" s="360">
        <f>DATE('Profit Calculation'!J$6,A$2,A$2+A5518-1)</f>
        <v>47521</v>
      </c>
      <c r="D5518" s="362">
        <f t="shared" ca="1" si="175"/>
        <v>493909689.01672006</v>
      </c>
    </row>
    <row r="5519" spans="1:4">
      <c r="A5519" s="348">
        <f t="shared" si="174"/>
        <v>5518</v>
      </c>
      <c r="B5519" s="360">
        <f>DATE('Profit Calculation'!J$6,A$2,A$2+A5519-1)</f>
        <v>47522</v>
      </c>
      <c r="D5519" s="362">
        <f t="shared" ca="1" si="175"/>
        <v>494098847.90783876</v>
      </c>
    </row>
    <row r="5520" spans="1:4">
      <c r="A5520" s="348">
        <f t="shared" si="174"/>
        <v>5519</v>
      </c>
      <c r="B5520" s="360">
        <f>DATE('Profit Calculation'!J$6,A$2,A$2+A5520-1)</f>
        <v>47523</v>
      </c>
      <c r="D5520" s="362">
        <f t="shared" ca="1" si="175"/>
        <v>494288079.24354982</v>
      </c>
    </row>
    <row r="5521" spans="1:4">
      <c r="A5521" s="348">
        <f t="shared" si="174"/>
        <v>5520</v>
      </c>
      <c r="B5521" s="360">
        <f>DATE('Profit Calculation'!J$6,A$2,A$2+A5521-1)</f>
        <v>47524</v>
      </c>
      <c r="D5521" s="362">
        <f t="shared" ca="1" si="175"/>
        <v>494477383.05159831</v>
      </c>
    </row>
    <row r="5522" spans="1:4">
      <c r="A5522" s="348">
        <f t="shared" si="174"/>
        <v>5521</v>
      </c>
      <c r="B5522" s="360">
        <f>DATE('Profit Calculation'!J$6,A$2,A$2+A5522-1)</f>
        <v>47525</v>
      </c>
      <c r="D5522" s="362">
        <f t="shared" ca="1" si="175"/>
        <v>494666759.35973984</v>
      </c>
    </row>
    <row r="5523" spans="1:4">
      <c r="A5523" s="348">
        <f t="shared" si="174"/>
        <v>5522</v>
      </c>
      <c r="B5523" s="360">
        <f>DATE('Profit Calculation'!J$6,A$2,A$2+A5523-1)</f>
        <v>47526</v>
      </c>
      <c r="D5523" s="362">
        <f t="shared" ca="1" si="175"/>
        <v>494856208.1957407</v>
      </c>
    </row>
    <row r="5524" spans="1:4">
      <c r="A5524" s="348">
        <f t="shared" si="174"/>
        <v>5523</v>
      </c>
      <c r="B5524" s="360">
        <f>DATE('Profit Calculation'!J$6,A$2,A$2+A5524-1)</f>
        <v>47527</v>
      </c>
      <c r="D5524" s="362">
        <f t="shared" ca="1" si="175"/>
        <v>495045729.58737785</v>
      </c>
    </row>
    <row r="5525" spans="1:4">
      <c r="A5525" s="348">
        <f t="shared" si="174"/>
        <v>5524</v>
      </c>
      <c r="B5525" s="360">
        <f>DATE('Profit Calculation'!J$6,A$2,A$2+A5525-1)</f>
        <v>47528</v>
      </c>
      <c r="D5525" s="362">
        <f t="shared" ca="1" si="175"/>
        <v>495235323.56243879</v>
      </c>
    </row>
    <row r="5526" spans="1:4">
      <c r="A5526" s="348">
        <f t="shared" si="174"/>
        <v>5525</v>
      </c>
      <c r="B5526" s="360">
        <f>DATE('Profit Calculation'!J$6,A$2,A$2+A5526-1)</f>
        <v>47529</v>
      </c>
      <c r="D5526" s="362">
        <f t="shared" ca="1" si="175"/>
        <v>495424990.14872175</v>
      </c>
    </row>
    <row r="5527" spans="1:4">
      <c r="A5527" s="348">
        <f t="shared" si="174"/>
        <v>5526</v>
      </c>
      <c r="B5527" s="360">
        <f>DATE('Profit Calculation'!J$6,A$2,A$2+A5527-1)</f>
        <v>47530</v>
      </c>
      <c r="D5527" s="362">
        <f t="shared" ca="1" si="175"/>
        <v>495614729.3740356</v>
      </c>
    </row>
    <row r="5528" spans="1:4">
      <c r="A5528" s="348">
        <f t="shared" si="174"/>
        <v>5527</v>
      </c>
      <c r="B5528" s="360">
        <f>DATE('Profit Calculation'!J$6,A$2,A$2+A5528-1)</f>
        <v>47531</v>
      </c>
      <c r="D5528" s="362">
        <f t="shared" ca="1" si="175"/>
        <v>495804541.26619977</v>
      </c>
    </row>
    <row r="5529" spans="1:4">
      <c r="A5529" s="348">
        <f t="shared" si="174"/>
        <v>5528</v>
      </c>
      <c r="B5529" s="360">
        <f>DATE('Profit Calculation'!J$6,A$2,A$2+A5529-1)</f>
        <v>47532</v>
      </c>
      <c r="D5529" s="362">
        <f t="shared" ca="1" si="175"/>
        <v>495994425.85304445</v>
      </c>
    </row>
    <row r="5530" spans="1:4">
      <c r="A5530" s="348">
        <f t="shared" si="174"/>
        <v>5529</v>
      </c>
      <c r="B5530" s="360">
        <f>DATE('Profit Calculation'!J$6,A$2,A$2+A5530-1)</f>
        <v>47533</v>
      </c>
      <c r="D5530" s="362">
        <f t="shared" ca="1" si="175"/>
        <v>496184383.16241044</v>
      </c>
    </row>
    <row r="5531" spans="1:4">
      <c r="A5531" s="348">
        <f t="shared" si="174"/>
        <v>5530</v>
      </c>
      <c r="B5531" s="360">
        <f>DATE('Profit Calculation'!J$6,A$2,A$2+A5531-1)</f>
        <v>47534</v>
      </c>
      <c r="D5531" s="362">
        <f t="shared" ca="1" si="175"/>
        <v>496374413.22214925</v>
      </c>
    </row>
    <row r="5532" spans="1:4">
      <c r="A5532" s="348">
        <f t="shared" si="174"/>
        <v>5531</v>
      </c>
      <c r="B5532" s="360">
        <f>DATE('Profit Calculation'!J$6,A$2,A$2+A5532-1)</f>
        <v>47535</v>
      </c>
      <c r="D5532" s="362">
        <f t="shared" ca="1" si="175"/>
        <v>496564516.06012297</v>
      </c>
    </row>
    <row r="5533" spans="1:4">
      <c r="A5533" s="348">
        <f t="shared" si="174"/>
        <v>5532</v>
      </c>
      <c r="B5533" s="360">
        <f>DATE('Profit Calculation'!J$6,A$2,A$2+A5533-1)</f>
        <v>47536</v>
      </c>
      <c r="D5533" s="362">
        <f t="shared" ca="1" si="175"/>
        <v>496754691.70420444</v>
      </c>
    </row>
    <row r="5534" spans="1:4">
      <c r="A5534" s="348">
        <f t="shared" si="174"/>
        <v>5533</v>
      </c>
      <c r="B5534" s="360">
        <f>DATE('Profit Calculation'!J$6,A$2,A$2+A5534-1)</f>
        <v>47537</v>
      </c>
      <c r="D5534" s="362">
        <f t="shared" ca="1" si="175"/>
        <v>496944940.18227708</v>
      </c>
    </row>
    <row r="5535" spans="1:4">
      <c r="A5535" s="348">
        <f t="shared" si="174"/>
        <v>5534</v>
      </c>
      <c r="B5535" s="360">
        <f>DATE('Profit Calculation'!J$6,A$2,A$2+A5535-1)</f>
        <v>47538</v>
      </c>
      <c r="D5535" s="362">
        <f t="shared" ca="1" si="175"/>
        <v>497135261.52223516</v>
      </c>
    </row>
    <row r="5536" spans="1:4">
      <c r="A5536" s="348">
        <f t="shared" si="174"/>
        <v>5535</v>
      </c>
      <c r="B5536" s="360">
        <f>DATE('Profit Calculation'!J$6,A$2,A$2+A5536-1)</f>
        <v>47539</v>
      </c>
      <c r="D5536" s="362">
        <f t="shared" ca="1" si="175"/>
        <v>497325655.7519834</v>
      </c>
    </row>
    <row r="5537" spans="1:4">
      <c r="A5537" s="348">
        <f t="shared" si="174"/>
        <v>5536</v>
      </c>
      <c r="B5537" s="360">
        <f>DATE('Profit Calculation'!J$6,A$2,A$2+A5537-1)</f>
        <v>47540</v>
      </c>
      <c r="D5537" s="362">
        <f t="shared" ca="1" si="175"/>
        <v>497516122.89943743</v>
      </c>
    </row>
    <row r="5538" spans="1:4">
      <c r="A5538" s="348">
        <f t="shared" si="174"/>
        <v>5537</v>
      </c>
      <c r="B5538" s="360">
        <f>DATE('Profit Calculation'!J$6,A$2,A$2+A5538-1)</f>
        <v>47541</v>
      </c>
      <c r="D5538" s="362">
        <f t="shared" ca="1" si="175"/>
        <v>497706662.99252343</v>
      </c>
    </row>
    <row r="5539" spans="1:4">
      <c r="A5539" s="348">
        <f t="shared" si="174"/>
        <v>5538</v>
      </c>
      <c r="B5539" s="360">
        <f>DATE('Profit Calculation'!J$6,A$2,A$2+A5539-1)</f>
        <v>47542</v>
      </c>
      <c r="D5539" s="362">
        <f t="shared" ca="1" si="175"/>
        <v>497897276.05917835</v>
      </c>
    </row>
    <row r="5540" spans="1:4">
      <c r="A5540" s="348">
        <f t="shared" si="174"/>
        <v>5539</v>
      </c>
      <c r="B5540" s="360">
        <f>DATE('Profit Calculation'!J$6,A$2,A$2+A5540-1)</f>
        <v>47543</v>
      </c>
      <c r="D5540" s="362">
        <f t="shared" ca="1" si="175"/>
        <v>498087962.12734979</v>
      </c>
    </row>
    <row r="5541" spans="1:4">
      <c r="A5541" s="348">
        <f t="shared" si="174"/>
        <v>5540</v>
      </c>
      <c r="B5541" s="360">
        <f>DATE('Profit Calculation'!J$6,A$2,A$2+A5541-1)</f>
        <v>47544</v>
      </c>
      <c r="D5541" s="362">
        <f t="shared" ca="1" si="175"/>
        <v>498278721.22499609</v>
      </c>
    </row>
    <row r="5542" spans="1:4">
      <c r="A5542" s="348">
        <f t="shared" si="174"/>
        <v>5541</v>
      </c>
      <c r="B5542" s="360">
        <f>DATE('Profit Calculation'!J$6,A$2,A$2+A5542-1)</f>
        <v>47545</v>
      </c>
      <c r="D5542" s="362">
        <f t="shared" ca="1" si="175"/>
        <v>498469553.38008624</v>
      </c>
    </row>
    <row r="5543" spans="1:4">
      <c r="A5543" s="348">
        <f t="shared" si="174"/>
        <v>5542</v>
      </c>
      <c r="B5543" s="360">
        <f>DATE('Profit Calculation'!J$6,A$2,A$2+A5543-1)</f>
        <v>47546</v>
      </c>
      <c r="D5543" s="362">
        <f t="shared" ca="1" si="175"/>
        <v>498660458.62059999</v>
      </c>
    </row>
    <row r="5544" spans="1:4">
      <c r="A5544" s="348">
        <f t="shared" si="174"/>
        <v>5543</v>
      </c>
      <c r="B5544" s="360">
        <f>DATE('Profit Calculation'!J$6,A$2,A$2+A5544-1)</f>
        <v>47547</v>
      </c>
      <c r="D5544" s="362">
        <f t="shared" ca="1" si="175"/>
        <v>498851436.97452778</v>
      </c>
    </row>
    <row r="5545" spans="1:4">
      <c r="A5545" s="348">
        <f t="shared" si="174"/>
        <v>5544</v>
      </c>
      <c r="B5545" s="360">
        <f>DATE('Profit Calculation'!J$6,A$2,A$2+A5545-1)</f>
        <v>47548</v>
      </c>
      <c r="D5545" s="362">
        <f t="shared" ca="1" si="175"/>
        <v>499042488.46987087</v>
      </c>
    </row>
    <row r="5546" spans="1:4">
      <c r="A5546" s="348">
        <f t="shared" si="174"/>
        <v>5545</v>
      </c>
      <c r="B5546" s="360">
        <f>DATE('Profit Calculation'!J$6,A$2,A$2+A5546-1)</f>
        <v>47549</v>
      </c>
      <c r="D5546" s="362">
        <f t="shared" ca="1" si="175"/>
        <v>499233613.13464105</v>
      </c>
    </row>
    <row r="5547" spans="1:4">
      <c r="A5547" s="348">
        <f t="shared" si="174"/>
        <v>5546</v>
      </c>
      <c r="B5547" s="360">
        <f>DATE('Profit Calculation'!J$6,A$2,A$2+A5547-1)</f>
        <v>47550</v>
      </c>
      <c r="D5547" s="362">
        <f t="shared" ca="1" si="175"/>
        <v>499424810.99686104</v>
      </c>
    </row>
    <row r="5548" spans="1:4">
      <c r="A5548" s="348">
        <f t="shared" si="174"/>
        <v>5547</v>
      </c>
      <c r="B5548" s="360">
        <f>DATE('Profit Calculation'!J$6,A$2,A$2+A5548-1)</f>
        <v>47551</v>
      </c>
      <c r="D5548" s="362">
        <f t="shared" ca="1" si="175"/>
        <v>499616082.08456415</v>
      </c>
    </row>
    <row r="5549" spans="1:4">
      <c r="A5549" s="348">
        <f t="shared" si="174"/>
        <v>5548</v>
      </c>
      <c r="B5549" s="360">
        <f>DATE('Profit Calculation'!J$6,A$2,A$2+A5549-1)</f>
        <v>47552</v>
      </c>
      <c r="D5549" s="362">
        <f t="shared" ca="1" si="175"/>
        <v>499807426.42579448</v>
      </c>
    </row>
    <row r="5550" spans="1:4">
      <c r="A5550" s="348">
        <f t="shared" si="174"/>
        <v>5549</v>
      </c>
      <c r="B5550" s="360">
        <f>DATE('Profit Calculation'!J$6,A$2,A$2+A5550-1)</f>
        <v>47553</v>
      </c>
      <c r="D5550" s="362">
        <f t="shared" ca="1" si="175"/>
        <v>499998844.04860687</v>
      </c>
    </row>
    <row r="5551" spans="1:4">
      <c r="A5551" s="348">
        <f t="shared" si="174"/>
        <v>5550</v>
      </c>
      <c r="B5551" s="360">
        <f>DATE('Profit Calculation'!J$6,A$2,A$2+A5551-1)</f>
        <v>47554</v>
      </c>
      <c r="D5551" s="362">
        <f t="shared" ca="1" si="175"/>
        <v>500190334.98106694</v>
      </c>
    </row>
    <row r="5552" spans="1:4">
      <c r="A5552" s="348">
        <f t="shared" si="174"/>
        <v>5551</v>
      </c>
      <c r="B5552" s="360">
        <f>DATE('Profit Calculation'!J$6,A$2,A$2+A5552-1)</f>
        <v>47555</v>
      </c>
      <c r="D5552" s="362">
        <f t="shared" ca="1" si="175"/>
        <v>500381899.25125098</v>
      </c>
    </row>
    <row r="5553" spans="1:4">
      <c r="A5553" s="348">
        <f t="shared" si="174"/>
        <v>5552</v>
      </c>
      <c r="B5553" s="360">
        <f>DATE('Profit Calculation'!J$6,A$2,A$2+A5553-1)</f>
        <v>47556</v>
      </c>
      <c r="D5553" s="362">
        <f t="shared" ca="1" si="175"/>
        <v>500573536.88724607</v>
      </c>
    </row>
    <row r="5554" spans="1:4">
      <c r="A5554" s="348">
        <f t="shared" si="174"/>
        <v>5553</v>
      </c>
      <c r="B5554" s="360">
        <f>DATE('Profit Calculation'!J$6,A$2,A$2+A5554-1)</f>
        <v>47557</v>
      </c>
      <c r="D5554" s="362">
        <f t="shared" ca="1" si="175"/>
        <v>500765247.91715008</v>
      </c>
    </row>
    <row r="5555" spans="1:4">
      <c r="A5555" s="348">
        <f t="shared" si="174"/>
        <v>5554</v>
      </c>
      <c r="B5555" s="360">
        <f>DATE('Profit Calculation'!J$6,A$2,A$2+A5555-1)</f>
        <v>47558</v>
      </c>
      <c r="D5555" s="362">
        <f t="shared" ca="1" si="175"/>
        <v>500957032.3690716</v>
      </c>
    </row>
    <row r="5556" spans="1:4">
      <c r="A5556" s="348">
        <f t="shared" si="174"/>
        <v>5555</v>
      </c>
      <c r="B5556" s="360">
        <f>DATE('Profit Calculation'!J$6,A$2,A$2+A5556-1)</f>
        <v>47559</v>
      </c>
      <c r="D5556" s="362">
        <f t="shared" ca="1" si="175"/>
        <v>501148890.27112997</v>
      </c>
    </row>
    <row r="5557" spans="1:4">
      <c r="A5557" s="348">
        <f t="shared" si="174"/>
        <v>5556</v>
      </c>
      <c r="B5557" s="360">
        <f>DATE('Profit Calculation'!J$6,A$2,A$2+A5557-1)</f>
        <v>47560</v>
      </c>
      <c r="D5557" s="362">
        <f t="shared" ca="1" si="175"/>
        <v>501340821.65145534</v>
      </c>
    </row>
    <row r="5558" spans="1:4">
      <c r="A5558" s="348">
        <f t="shared" si="174"/>
        <v>5557</v>
      </c>
      <c r="B5558" s="360">
        <f>DATE('Profit Calculation'!J$6,A$2,A$2+A5558-1)</f>
        <v>47561</v>
      </c>
      <c r="D5558" s="362">
        <f t="shared" ca="1" si="175"/>
        <v>501532826.53818864</v>
      </c>
    </row>
    <row r="5559" spans="1:4">
      <c r="A5559" s="348">
        <f t="shared" si="174"/>
        <v>5558</v>
      </c>
      <c r="B5559" s="360">
        <f>DATE('Profit Calculation'!J$6,A$2,A$2+A5559-1)</f>
        <v>47562</v>
      </c>
      <c r="D5559" s="362">
        <f t="shared" ca="1" si="175"/>
        <v>501724904.95948154</v>
      </c>
    </row>
    <row r="5560" spans="1:4">
      <c r="A5560" s="348">
        <f t="shared" si="174"/>
        <v>5559</v>
      </c>
      <c r="B5560" s="360">
        <f>DATE('Profit Calculation'!J$6,A$2,A$2+A5560-1)</f>
        <v>47563</v>
      </c>
      <c r="D5560" s="362">
        <f t="shared" ca="1" si="175"/>
        <v>501917056.94349647</v>
      </c>
    </row>
    <row r="5561" spans="1:4">
      <c r="A5561" s="348">
        <f t="shared" si="174"/>
        <v>5560</v>
      </c>
      <c r="B5561" s="360">
        <f>DATE('Profit Calculation'!J$6,A$2,A$2+A5561-1)</f>
        <v>47564</v>
      </c>
      <c r="D5561" s="362">
        <f t="shared" ca="1" si="175"/>
        <v>502109282.51840675</v>
      </c>
    </row>
    <row r="5562" spans="1:4">
      <c r="A5562" s="348">
        <f t="shared" si="174"/>
        <v>5561</v>
      </c>
      <c r="B5562" s="360">
        <f>DATE('Profit Calculation'!J$6,A$2,A$2+A5562-1)</f>
        <v>47565</v>
      </c>
      <c r="D5562" s="362">
        <f t="shared" ca="1" si="175"/>
        <v>502301581.71239638</v>
      </c>
    </row>
    <row r="5563" spans="1:4">
      <c r="A5563" s="348">
        <f t="shared" si="174"/>
        <v>5562</v>
      </c>
      <c r="B5563" s="360">
        <f>DATE('Profit Calculation'!J$6,A$2,A$2+A5563-1)</f>
        <v>47566</v>
      </c>
      <c r="D5563" s="362">
        <f t="shared" ca="1" si="175"/>
        <v>502493954.55366021</v>
      </c>
    </row>
    <row r="5564" spans="1:4">
      <c r="A5564" s="348">
        <f t="shared" si="174"/>
        <v>5563</v>
      </c>
      <c r="B5564" s="360">
        <f>DATE('Profit Calculation'!J$6,A$2,A$2+A5564-1)</f>
        <v>47567</v>
      </c>
      <c r="D5564" s="362">
        <f t="shared" ca="1" si="175"/>
        <v>502686401.07040387</v>
      </c>
    </row>
    <row r="5565" spans="1:4">
      <c r="A5565" s="348">
        <f t="shared" si="174"/>
        <v>5564</v>
      </c>
      <c r="B5565" s="360">
        <f>DATE('Profit Calculation'!J$6,A$2,A$2+A5565-1)</f>
        <v>47568</v>
      </c>
      <c r="D5565" s="362">
        <f t="shared" ca="1" si="175"/>
        <v>502878921.29084384</v>
      </c>
    </row>
    <row r="5566" spans="1:4">
      <c r="A5566" s="348">
        <f t="shared" si="174"/>
        <v>5565</v>
      </c>
      <c r="B5566" s="360">
        <f>DATE('Profit Calculation'!J$6,A$2,A$2+A5566-1)</f>
        <v>47569</v>
      </c>
      <c r="D5566" s="362">
        <f t="shared" ca="1" si="175"/>
        <v>503071515.24320734</v>
      </c>
    </row>
    <row r="5567" spans="1:4">
      <c r="A5567" s="348">
        <f t="shared" si="174"/>
        <v>5566</v>
      </c>
      <c r="B5567" s="360">
        <f>DATE('Profit Calculation'!J$6,A$2,A$2+A5567-1)</f>
        <v>47570</v>
      </c>
      <c r="D5567" s="362">
        <f t="shared" ca="1" si="175"/>
        <v>503264182.95573241</v>
      </c>
    </row>
    <row r="5568" spans="1:4">
      <c r="A5568" s="348">
        <f t="shared" si="174"/>
        <v>5567</v>
      </c>
      <c r="B5568" s="360">
        <f>DATE('Profit Calculation'!J$6,A$2,A$2+A5568-1)</f>
        <v>47571</v>
      </c>
      <c r="D5568" s="362">
        <f t="shared" ca="1" si="175"/>
        <v>503456924.4566679</v>
      </c>
    </row>
    <row r="5569" spans="1:4">
      <c r="A5569" s="348">
        <f t="shared" si="174"/>
        <v>5568</v>
      </c>
      <c r="B5569" s="360">
        <f>DATE('Profit Calculation'!J$6,A$2,A$2+A5569-1)</f>
        <v>47572</v>
      </c>
      <c r="D5569" s="362">
        <f t="shared" ca="1" si="175"/>
        <v>503649739.77427351</v>
      </c>
    </row>
    <row r="5570" spans="1:4">
      <c r="A5570" s="348">
        <f t="shared" si="174"/>
        <v>5569</v>
      </c>
      <c r="B5570" s="360">
        <f>DATE('Profit Calculation'!J$6,A$2,A$2+A5570-1)</f>
        <v>47573</v>
      </c>
      <c r="D5570" s="362">
        <f t="shared" ca="1" si="175"/>
        <v>503842628.93681979</v>
      </c>
    </row>
    <row r="5571" spans="1:4">
      <c r="A5571" s="348">
        <f t="shared" si="174"/>
        <v>5570</v>
      </c>
      <c r="B5571" s="360">
        <f>DATE('Profit Calculation'!J$6,A$2,A$2+A5571-1)</f>
        <v>47574</v>
      </c>
      <c r="D5571" s="362">
        <f t="shared" ca="1" si="175"/>
        <v>0</v>
      </c>
    </row>
    <row r="5572" spans="1:4">
      <c r="A5572" s="348">
        <f t="shared" si="174"/>
        <v>5571</v>
      </c>
      <c r="B5572" s="360">
        <f>DATE('Profit Calculation'!J$6,A$2,A$2+A5572-1)</f>
        <v>47575</v>
      </c>
      <c r="D5572" s="362">
        <f t="shared" ca="1" si="175"/>
        <v>0</v>
      </c>
    </row>
    <row r="5573" spans="1:4">
      <c r="A5573" s="348">
        <f t="shared" ref="A5573:A5636" si="176">A5572+1</f>
        <v>5572</v>
      </c>
      <c r="B5573" s="360">
        <f>DATE('Profit Calculation'!J$6,A$2,A$2+A5573-1)</f>
        <v>47576</v>
      </c>
      <c r="D5573" s="362">
        <f t="shared" ref="D5573:D5636" ca="1" si="177">IF(OR(LOOKUP(B5573,W$1:W$35,W$1:W$35) = B5573, LOOKUP(B5573,X$1:X$35,X$1:X$35) = B5573),LOOKUP(B5573,F:F,G:G),D5572*(1+((IF($Q$18&lt;6,$R$14,IF($Q$18&lt;11,$R$15,$R$16)))))^(1/365))</f>
        <v>0</v>
      </c>
    </row>
    <row r="5574" spans="1:4">
      <c r="A5574" s="348">
        <f t="shared" si="176"/>
        <v>5573</v>
      </c>
      <c r="B5574" s="360">
        <f>DATE('Profit Calculation'!J$6,A$2,A$2+A5574-1)</f>
        <v>47577</v>
      </c>
      <c r="D5574" s="362">
        <f t="shared" ca="1" si="177"/>
        <v>0</v>
      </c>
    </row>
    <row r="5575" spans="1:4">
      <c r="A5575" s="348">
        <f t="shared" si="176"/>
        <v>5574</v>
      </c>
      <c r="B5575" s="360">
        <f>DATE('Profit Calculation'!J$6,A$2,A$2+A5575-1)</f>
        <v>47578</v>
      </c>
      <c r="D5575" s="362">
        <f t="shared" ca="1" si="177"/>
        <v>0</v>
      </c>
    </row>
    <row r="5576" spans="1:4">
      <c r="A5576" s="348">
        <f t="shared" si="176"/>
        <v>5575</v>
      </c>
      <c r="B5576" s="360">
        <f>DATE('Profit Calculation'!J$6,A$2,A$2+A5576-1)</f>
        <v>47579</v>
      </c>
      <c r="D5576" s="362">
        <f t="shared" ca="1" si="177"/>
        <v>0</v>
      </c>
    </row>
    <row r="5577" spans="1:4">
      <c r="A5577" s="348">
        <f t="shared" si="176"/>
        <v>5576</v>
      </c>
      <c r="B5577" s="360">
        <f>DATE('Profit Calculation'!J$6,A$2,A$2+A5577-1)</f>
        <v>47580</v>
      </c>
      <c r="D5577" s="362">
        <f t="shared" ca="1" si="177"/>
        <v>0</v>
      </c>
    </row>
    <row r="5578" spans="1:4">
      <c r="A5578" s="348">
        <f t="shared" si="176"/>
        <v>5577</v>
      </c>
      <c r="B5578" s="360">
        <f>DATE('Profit Calculation'!J$6,A$2,A$2+A5578-1)</f>
        <v>47581</v>
      </c>
      <c r="D5578" s="362">
        <f t="shared" ca="1" si="177"/>
        <v>0</v>
      </c>
    </row>
    <row r="5579" spans="1:4">
      <c r="A5579" s="348">
        <f t="shared" si="176"/>
        <v>5578</v>
      </c>
      <c r="B5579" s="360">
        <f>DATE('Profit Calculation'!J$6,A$2,A$2+A5579-1)</f>
        <v>47582</v>
      </c>
      <c r="D5579" s="362">
        <f t="shared" ca="1" si="177"/>
        <v>0</v>
      </c>
    </row>
    <row r="5580" spans="1:4">
      <c r="A5580" s="348">
        <f t="shared" si="176"/>
        <v>5579</v>
      </c>
      <c r="B5580" s="360">
        <f>DATE('Profit Calculation'!J$6,A$2,A$2+A5580-1)</f>
        <v>47583</v>
      </c>
      <c r="D5580" s="362">
        <f t="shared" ca="1" si="177"/>
        <v>0</v>
      </c>
    </row>
    <row r="5581" spans="1:4">
      <c r="A5581" s="348">
        <f t="shared" si="176"/>
        <v>5580</v>
      </c>
      <c r="B5581" s="360">
        <f>DATE('Profit Calculation'!J$6,A$2,A$2+A5581-1)</f>
        <v>47584</v>
      </c>
      <c r="D5581" s="362">
        <f t="shared" ca="1" si="177"/>
        <v>0</v>
      </c>
    </row>
    <row r="5582" spans="1:4">
      <c r="A5582" s="348">
        <f t="shared" si="176"/>
        <v>5581</v>
      </c>
      <c r="B5582" s="360">
        <f>DATE('Profit Calculation'!J$6,A$2,A$2+A5582-1)</f>
        <v>47585</v>
      </c>
      <c r="D5582" s="362">
        <f t="shared" ca="1" si="177"/>
        <v>0</v>
      </c>
    </row>
    <row r="5583" spans="1:4">
      <c r="A5583" s="348">
        <f t="shared" si="176"/>
        <v>5582</v>
      </c>
      <c r="B5583" s="360">
        <f>DATE('Profit Calculation'!J$6,A$2,A$2+A5583-1)</f>
        <v>47586</v>
      </c>
      <c r="D5583" s="362">
        <f t="shared" ca="1" si="177"/>
        <v>0</v>
      </c>
    </row>
    <row r="5584" spans="1:4">
      <c r="A5584" s="348">
        <f t="shared" si="176"/>
        <v>5583</v>
      </c>
      <c r="B5584" s="360">
        <f>DATE('Profit Calculation'!J$6,A$2,A$2+A5584-1)</f>
        <v>47587</v>
      </c>
      <c r="D5584" s="362">
        <f t="shared" ca="1" si="177"/>
        <v>0</v>
      </c>
    </row>
    <row r="5585" spans="1:4">
      <c r="A5585" s="348">
        <f t="shared" si="176"/>
        <v>5584</v>
      </c>
      <c r="B5585" s="360">
        <f>DATE('Profit Calculation'!J$6,A$2,A$2+A5585-1)</f>
        <v>47588</v>
      </c>
      <c r="D5585" s="362">
        <f t="shared" ca="1" si="177"/>
        <v>0</v>
      </c>
    </row>
    <row r="5586" spans="1:4">
      <c r="A5586" s="348">
        <f t="shared" si="176"/>
        <v>5585</v>
      </c>
      <c r="B5586" s="360">
        <f>DATE('Profit Calculation'!J$6,A$2,A$2+A5586-1)</f>
        <v>47589</v>
      </c>
      <c r="D5586" s="362">
        <f t="shared" ca="1" si="177"/>
        <v>0</v>
      </c>
    </row>
    <row r="5587" spans="1:4">
      <c r="A5587" s="348">
        <f t="shared" si="176"/>
        <v>5586</v>
      </c>
      <c r="B5587" s="360">
        <f>DATE('Profit Calculation'!J$6,A$2,A$2+A5587-1)</f>
        <v>47590</v>
      </c>
      <c r="D5587" s="362">
        <f t="shared" ca="1" si="177"/>
        <v>0</v>
      </c>
    </row>
    <row r="5588" spans="1:4">
      <c r="A5588" s="348">
        <f t="shared" si="176"/>
        <v>5587</v>
      </c>
      <c r="B5588" s="360">
        <f>DATE('Profit Calculation'!J$6,A$2,A$2+A5588-1)</f>
        <v>47591</v>
      </c>
      <c r="D5588" s="362">
        <f t="shared" ca="1" si="177"/>
        <v>0</v>
      </c>
    </row>
    <row r="5589" spans="1:4">
      <c r="A5589" s="348">
        <f t="shared" si="176"/>
        <v>5588</v>
      </c>
      <c r="B5589" s="360">
        <f>DATE('Profit Calculation'!J$6,A$2,A$2+A5589-1)</f>
        <v>47592</v>
      </c>
      <c r="D5589" s="362">
        <f t="shared" ca="1" si="177"/>
        <v>0</v>
      </c>
    </row>
    <row r="5590" spans="1:4">
      <c r="A5590" s="348">
        <f t="shared" si="176"/>
        <v>5589</v>
      </c>
      <c r="B5590" s="360">
        <f>DATE('Profit Calculation'!J$6,A$2,A$2+A5590-1)</f>
        <v>47593</v>
      </c>
      <c r="D5590" s="362">
        <f t="shared" ca="1" si="177"/>
        <v>0</v>
      </c>
    </row>
    <row r="5591" spans="1:4">
      <c r="A5591" s="348">
        <f t="shared" si="176"/>
        <v>5590</v>
      </c>
      <c r="B5591" s="360">
        <f>DATE('Profit Calculation'!J$6,A$2,A$2+A5591-1)</f>
        <v>47594</v>
      </c>
      <c r="D5591" s="362">
        <f t="shared" ca="1" si="177"/>
        <v>0</v>
      </c>
    </row>
    <row r="5592" spans="1:4">
      <c r="A5592" s="348">
        <f t="shared" si="176"/>
        <v>5591</v>
      </c>
      <c r="B5592" s="360">
        <f>DATE('Profit Calculation'!J$6,A$2,A$2+A5592-1)</f>
        <v>47595</v>
      </c>
      <c r="D5592" s="362">
        <f t="shared" ca="1" si="177"/>
        <v>0</v>
      </c>
    </row>
    <row r="5593" spans="1:4">
      <c r="A5593" s="348">
        <f t="shared" si="176"/>
        <v>5592</v>
      </c>
      <c r="B5593" s="360">
        <f>DATE('Profit Calculation'!J$6,A$2,A$2+A5593-1)</f>
        <v>47596</v>
      </c>
      <c r="D5593" s="362">
        <f t="shared" ca="1" si="177"/>
        <v>0</v>
      </c>
    </row>
    <row r="5594" spans="1:4">
      <c r="A5594" s="348">
        <f t="shared" si="176"/>
        <v>5593</v>
      </c>
      <c r="B5594" s="360">
        <f>DATE('Profit Calculation'!J$6,A$2,A$2+A5594-1)</f>
        <v>47597</v>
      </c>
      <c r="D5594" s="362">
        <f t="shared" ca="1" si="177"/>
        <v>0</v>
      </c>
    </row>
    <row r="5595" spans="1:4">
      <c r="A5595" s="348">
        <f t="shared" si="176"/>
        <v>5594</v>
      </c>
      <c r="B5595" s="360">
        <f>DATE('Profit Calculation'!J$6,A$2,A$2+A5595-1)</f>
        <v>47598</v>
      </c>
      <c r="D5595" s="362">
        <f t="shared" ca="1" si="177"/>
        <v>0</v>
      </c>
    </row>
    <row r="5596" spans="1:4">
      <c r="A5596" s="348">
        <f t="shared" si="176"/>
        <v>5595</v>
      </c>
      <c r="B5596" s="360">
        <f>DATE('Profit Calculation'!J$6,A$2,A$2+A5596-1)</f>
        <v>47599</v>
      </c>
      <c r="D5596" s="362">
        <f t="shared" ca="1" si="177"/>
        <v>0</v>
      </c>
    </row>
    <row r="5597" spans="1:4">
      <c r="A5597" s="348">
        <f t="shared" si="176"/>
        <v>5596</v>
      </c>
      <c r="B5597" s="360">
        <f>DATE('Profit Calculation'!J$6,A$2,A$2+A5597-1)</f>
        <v>47600</v>
      </c>
      <c r="D5597" s="362">
        <f t="shared" ca="1" si="177"/>
        <v>0</v>
      </c>
    </row>
    <row r="5598" spans="1:4">
      <c r="A5598" s="348">
        <f t="shared" si="176"/>
        <v>5597</v>
      </c>
      <c r="B5598" s="360">
        <f>DATE('Profit Calculation'!J$6,A$2,A$2+A5598-1)</f>
        <v>47601</v>
      </c>
      <c r="D5598" s="362">
        <f t="shared" ca="1" si="177"/>
        <v>0</v>
      </c>
    </row>
    <row r="5599" spans="1:4">
      <c r="A5599" s="348">
        <f t="shared" si="176"/>
        <v>5598</v>
      </c>
      <c r="B5599" s="360">
        <f>DATE('Profit Calculation'!J$6,A$2,A$2+A5599-1)</f>
        <v>47602</v>
      </c>
      <c r="D5599" s="362">
        <f t="shared" ca="1" si="177"/>
        <v>0</v>
      </c>
    </row>
    <row r="5600" spans="1:4">
      <c r="A5600" s="348">
        <f t="shared" si="176"/>
        <v>5599</v>
      </c>
      <c r="B5600" s="360">
        <f>DATE('Profit Calculation'!J$6,A$2,A$2+A5600-1)</f>
        <v>47603</v>
      </c>
      <c r="D5600" s="362">
        <f t="shared" ca="1" si="177"/>
        <v>0</v>
      </c>
    </row>
    <row r="5601" spans="1:4">
      <c r="A5601" s="348">
        <f t="shared" si="176"/>
        <v>5600</v>
      </c>
      <c r="B5601" s="360">
        <f>DATE('Profit Calculation'!J$6,A$2,A$2+A5601-1)</f>
        <v>47604</v>
      </c>
      <c r="D5601" s="362">
        <f t="shared" ca="1" si="177"/>
        <v>0</v>
      </c>
    </row>
    <row r="5602" spans="1:4">
      <c r="A5602" s="348">
        <f t="shared" si="176"/>
        <v>5601</v>
      </c>
      <c r="B5602" s="360">
        <f>DATE('Profit Calculation'!J$6,A$2,A$2+A5602-1)</f>
        <v>47605</v>
      </c>
      <c r="D5602" s="362">
        <f t="shared" ca="1" si="177"/>
        <v>0</v>
      </c>
    </row>
    <row r="5603" spans="1:4">
      <c r="A5603" s="348">
        <f t="shared" si="176"/>
        <v>5602</v>
      </c>
      <c r="B5603" s="360">
        <f>DATE('Profit Calculation'!J$6,A$2,A$2+A5603-1)</f>
        <v>47606</v>
      </c>
      <c r="D5603" s="362">
        <f t="shared" ca="1" si="177"/>
        <v>0</v>
      </c>
    </row>
    <row r="5604" spans="1:4">
      <c r="A5604" s="348">
        <f t="shared" si="176"/>
        <v>5603</v>
      </c>
      <c r="B5604" s="360">
        <f>DATE('Profit Calculation'!J$6,A$2,A$2+A5604-1)</f>
        <v>47607</v>
      </c>
      <c r="D5604" s="362">
        <f t="shared" ca="1" si="177"/>
        <v>0</v>
      </c>
    </row>
    <row r="5605" spans="1:4">
      <c r="A5605" s="348">
        <f t="shared" si="176"/>
        <v>5604</v>
      </c>
      <c r="B5605" s="360">
        <f>DATE('Profit Calculation'!J$6,A$2,A$2+A5605-1)</f>
        <v>47608</v>
      </c>
      <c r="D5605" s="362">
        <f t="shared" ca="1" si="177"/>
        <v>0</v>
      </c>
    </row>
    <row r="5606" spans="1:4">
      <c r="A5606" s="348">
        <f t="shared" si="176"/>
        <v>5605</v>
      </c>
      <c r="B5606" s="360">
        <f>DATE('Profit Calculation'!J$6,A$2,A$2+A5606-1)</f>
        <v>47609</v>
      </c>
      <c r="D5606" s="362">
        <f t="shared" ca="1" si="177"/>
        <v>0</v>
      </c>
    </row>
    <row r="5607" spans="1:4">
      <c r="A5607" s="348">
        <f t="shared" si="176"/>
        <v>5606</v>
      </c>
      <c r="B5607" s="360">
        <f>DATE('Profit Calculation'!J$6,A$2,A$2+A5607-1)</f>
        <v>47610</v>
      </c>
      <c r="D5607" s="362">
        <f t="shared" ca="1" si="177"/>
        <v>0</v>
      </c>
    </row>
    <row r="5608" spans="1:4">
      <c r="A5608" s="348">
        <f t="shared" si="176"/>
        <v>5607</v>
      </c>
      <c r="B5608" s="360">
        <f>DATE('Profit Calculation'!J$6,A$2,A$2+A5608-1)</f>
        <v>47611</v>
      </c>
      <c r="D5608" s="362">
        <f t="shared" ca="1" si="177"/>
        <v>0</v>
      </c>
    </row>
    <row r="5609" spans="1:4">
      <c r="A5609" s="348">
        <f t="shared" si="176"/>
        <v>5608</v>
      </c>
      <c r="B5609" s="360">
        <f>DATE('Profit Calculation'!J$6,A$2,A$2+A5609-1)</f>
        <v>47612</v>
      </c>
      <c r="D5609" s="362">
        <f t="shared" ca="1" si="177"/>
        <v>0</v>
      </c>
    </row>
    <row r="5610" spans="1:4">
      <c r="A5610" s="348">
        <f t="shared" si="176"/>
        <v>5609</v>
      </c>
      <c r="B5610" s="360">
        <f>DATE('Profit Calculation'!J$6,A$2,A$2+A5610-1)</f>
        <v>47613</v>
      </c>
      <c r="D5610" s="362">
        <f t="shared" ca="1" si="177"/>
        <v>0</v>
      </c>
    </row>
    <row r="5611" spans="1:4">
      <c r="A5611" s="348">
        <f t="shared" si="176"/>
        <v>5610</v>
      </c>
      <c r="B5611" s="360">
        <f>DATE('Profit Calculation'!J$6,A$2,A$2+A5611-1)</f>
        <v>47614</v>
      </c>
      <c r="D5611" s="362">
        <f t="shared" ca="1" si="177"/>
        <v>0</v>
      </c>
    </row>
    <row r="5612" spans="1:4">
      <c r="A5612" s="348">
        <f t="shared" si="176"/>
        <v>5611</v>
      </c>
      <c r="B5612" s="360">
        <f>DATE('Profit Calculation'!J$6,A$2,A$2+A5612-1)</f>
        <v>47615</v>
      </c>
      <c r="D5612" s="362">
        <f t="shared" ca="1" si="177"/>
        <v>0</v>
      </c>
    </row>
    <row r="5613" spans="1:4">
      <c r="A5613" s="348">
        <f t="shared" si="176"/>
        <v>5612</v>
      </c>
      <c r="B5613" s="360">
        <f>DATE('Profit Calculation'!J$6,A$2,A$2+A5613-1)</f>
        <v>47616</v>
      </c>
      <c r="D5613" s="362">
        <f t="shared" ca="1" si="177"/>
        <v>0</v>
      </c>
    </row>
    <row r="5614" spans="1:4">
      <c r="A5614" s="348">
        <f t="shared" si="176"/>
        <v>5613</v>
      </c>
      <c r="B5614" s="360">
        <f>DATE('Profit Calculation'!J$6,A$2,A$2+A5614-1)</f>
        <v>47617</v>
      </c>
      <c r="D5614" s="362">
        <f t="shared" ca="1" si="177"/>
        <v>0</v>
      </c>
    </row>
    <row r="5615" spans="1:4">
      <c r="A5615" s="348">
        <f t="shared" si="176"/>
        <v>5614</v>
      </c>
      <c r="B5615" s="360">
        <f>DATE('Profit Calculation'!J$6,A$2,A$2+A5615-1)</f>
        <v>47618</v>
      </c>
      <c r="D5615" s="362">
        <f t="shared" ca="1" si="177"/>
        <v>0</v>
      </c>
    </row>
    <row r="5616" spans="1:4">
      <c r="A5616" s="348">
        <f t="shared" si="176"/>
        <v>5615</v>
      </c>
      <c r="B5616" s="360">
        <f>DATE('Profit Calculation'!J$6,A$2,A$2+A5616-1)</f>
        <v>47619</v>
      </c>
      <c r="D5616" s="362">
        <f t="shared" ca="1" si="177"/>
        <v>0</v>
      </c>
    </row>
    <row r="5617" spans="1:4">
      <c r="A5617" s="348">
        <f t="shared" si="176"/>
        <v>5616</v>
      </c>
      <c r="B5617" s="360">
        <f>DATE('Profit Calculation'!J$6,A$2,A$2+A5617-1)</f>
        <v>47620</v>
      </c>
      <c r="D5617" s="362">
        <f t="shared" ca="1" si="177"/>
        <v>0</v>
      </c>
    </row>
    <row r="5618" spans="1:4">
      <c r="A5618" s="348">
        <f t="shared" si="176"/>
        <v>5617</v>
      </c>
      <c r="B5618" s="360">
        <f>DATE('Profit Calculation'!J$6,A$2,A$2+A5618-1)</f>
        <v>47621</v>
      </c>
      <c r="D5618" s="362">
        <f t="shared" ca="1" si="177"/>
        <v>0</v>
      </c>
    </row>
    <row r="5619" spans="1:4">
      <c r="A5619" s="348">
        <f t="shared" si="176"/>
        <v>5618</v>
      </c>
      <c r="B5619" s="360">
        <f>DATE('Profit Calculation'!J$6,A$2,A$2+A5619-1)</f>
        <v>47622</v>
      </c>
      <c r="D5619" s="362">
        <f t="shared" ca="1" si="177"/>
        <v>0</v>
      </c>
    </row>
    <row r="5620" spans="1:4">
      <c r="A5620" s="348">
        <f t="shared" si="176"/>
        <v>5619</v>
      </c>
      <c r="B5620" s="360">
        <f>DATE('Profit Calculation'!J$6,A$2,A$2+A5620-1)</f>
        <v>47623</v>
      </c>
      <c r="D5620" s="362">
        <f t="shared" ca="1" si="177"/>
        <v>0</v>
      </c>
    </row>
    <row r="5621" spans="1:4">
      <c r="A5621" s="348">
        <f t="shared" si="176"/>
        <v>5620</v>
      </c>
      <c r="B5621" s="360">
        <f>DATE('Profit Calculation'!J$6,A$2,A$2+A5621-1)</f>
        <v>47624</v>
      </c>
      <c r="D5621" s="362">
        <f t="shared" ca="1" si="177"/>
        <v>0</v>
      </c>
    </row>
    <row r="5622" spans="1:4">
      <c r="A5622" s="348">
        <f t="shared" si="176"/>
        <v>5621</v>
      </c>
      <c r="B5622" s="360">
        <f>DATE('Profit Calculation'!J$6,A$2,A$2+A5622-1)</f>
        <v>47625</v>
      </c>
      <c r="D5622" s="362">
        <f t="shared" ca="1" si="177"/>
        <v>0</v>
      </c>
    </row>
    <row r="5623" spans="1:4">
      <c r="A5623" s="348">
        <f t="shared" si="176"/>
        <v>5622</v>
      </c>
      <c r="B5623" s="360">
        <f>DATE('Profit Calculation'!J$6,A$2,A$2+A5623-1)</f>
        <v>47626</v>
      </c>
      <c r="D5623" s="362">
        <f t="shared" ca="1" si="177"/>
        <v>0</v>
      </c>
    </row>
    <row r="5624" spans="1:4">
      <c r="A5624" s="348">
        <f t="shared" si="176"/>
        <v>5623</v>
      </c>
      <c r="B5624" s="360">
        <f>DATE('Profit Calculation'!J$6,A$2,A$2+A5624-1)</f>
        <v>47627</v>
      </c>
      <c r="D5624" s="362">
        <f t="shared" ca="1" si="177"/>
        <v>0</v>
      </c>
    </row>
    <row r="5625" spans="1:4">
      <c r="A5625" s="348">
        <f t="shared" si="176"/>
        <v>5624</v>
      </c>
      <c r="B5625" s="360">
        <f>DATE('Profit Calculation'!J$6,A$2,A$2+A5625-1)</f>
        <v>47628</v>
      </c>
      <c r="D5625" s="362">
        <f t="shared" ca="1" si="177"/>
        <v>0</v>
      </c>
    </row>
    <row r="5626" spans="1:4">
      <c r="A5626" s="348">
        <f t="shared" si="176"/>
        <v>5625</v>
      </c>
      <c r="B5626" s="360">
        <f>DATE('Profit Calculation'!J$6,A$2,A$2+A5626-1)</f>
        <v>47629</v>
      </c>
      <c r="D5626" s="362">
        <f t="shared" ca="1" si="177"/>
        <v>0</v>
      </c>
    </row>
    <row r="5627" spans="1:4">
      <c r="A5627" s="348">
        <f t="shared" si="176"/>
        <v>5626</v>
      </c>
      <c r="B5627" s="360">
        <f>DATE('Profit Calculation'!J$6,A$2,A$2+A5627-1)</f>
        <v>47630</v>
      </c>
      <c r="D5627" s="362">
        <f t="shared" ca="1" si="177"/>
        <v>0</v>
      </c>
    </row>
    <row r="5628" spans="1:4">
      <c r="A5628" s="348">
        <f t="shared" si="176"/>
        <v>5627</v>
      </c>
      <c r="B5628" s="360">
        <f>DATE('Profit Calculation'!J$6,A$2,A$2+A5628-1)</f>
        <v>47631</v>
      </c>
      <c r="D5628" s="362">
        <f t="shared" ca="1" si="177"/>
        <v>0</v>
      </c>
    </row>
    <row r="5629" spans="1:4">
      <c r="A5629" s="348">
        <f t="shared" si="176"/>
        <v>5628</v>
      </c>
      <c r="B5629" s="360">
        <f>DATE('Profit Calculation'!J$6,A$2,A$2+A5629-1)</f>
        <v>47632</v>
      </c>
      <c r="D5629" s="362">
        <f t="shared" ca="1" si="177"/>
        <v>0</v>
      </c>
    </row>
    <row r="5630" spans="1:4">
      <c r="A5630" s="348">
        <f t="shared" si="176"/>
        <v>5629</v>
      </c>
      <c r="B5630" s="360">
        <f>DATE('Profit Calculation'!J$6,A$2,A$2+A5630-1)</f>
        <v>47633</v>
      </c>
      <c r="D5630" s="362">
        <f t="shared" ca="1" si="177"/>
        <v>0</v>
      </c>
    </row>
    <row r="5631" spans="1:4">
      <c r="A5631" s="348">
        <f t="shared" si="176"/>
        <v>5630</v>
      </c>
      <c r="B5631" s="360">
        <f>DATE('Profit Calculation'!J$6,A$2,A$2+A5631-1)</f>
        <v>47634</v>
      </c>
      <c r="D5631" s="362">
        <f t="shared" ca="1" si="177"/>
        <v>0</v>
      </c>
    </row>
    <row r="5632" spans="1:4">
      <c r="A5632" s="348">
        <f t="shared" si="176"/>
        <v>5631</v>
      </c>
      <c r="B5632" s="360">
        <f>DATE('Profit Calculation'!J$6,A$2,A$2+A5632-1)</f>
        <v>47635</v>
      </c>
      <c r="D5632" s="362">
        <f t="shared" ca="1" si="177"/>
        <v>0</v>
      </c>
    </row>
    <row r="5633" spans="1:4">
      <c r="A5633" s="348">
        <f t="shared" si="176"/>
        <v>5632</v>
      </c>
      <c r="B5633" s="360">
        <f>DATE('Profit Calculation'!J$6,A$2,A$2+A5633-1)</f>
        <v>47636</v>
      </c>
      <c r="D5633" s="362">
        <f t="shared" ca="1" si="177"/>
        <v>0</v>
      </c>
    </row>
    <row r="5634" spans="1:4">
      <c r="A5634" s="348">
        <f t="shared" si="176"/>
        <v>5633</v>
      </c>
      <c r="B5634" s="360">
        <f>DATE('Profit Calculation'!J$6,A$2,A$2+A5634-1)</f>
        <v>47637</v>
      </c>
      <c r="D5634" s="362">
        <f t="shared" ca="1" si="177"/>
        <v>0</v>
      </c>
    </row>
    <row r="5635" spans="1:4">
      <c r="A5635" s="348">
        <f t="shared" si="176"/>
        <v>5634</v>
      </c>
      <c r="B5635" s="360">
        <f>DATE('Profit Calculation'!J$6,A$2,A$2+A5635-1)</f>
        <v>47638</v>
      </c>
      <c r="D5635" s="362">
        <f t="shared" ca="1" si="177"/>
        <v>0</v>
      </c>
    </row>
    <row r="5636" spans="1:4">
      <c r="A5636" s="348">
        <f t="shared" si="176"/>
        <v>5635</v>
      </c>
      <c r="B5636" s="360">
        <f>DATE('Profit Calculation'!J$6,A$2,A$2+A5636-1)</f>
        <v>47639</v>
      </c>
      <c r="D5636" s="362">
        <f t="shared" ca="1" si="177"/>
        <v>0</v>
      </c>
    </row>
    <row r="5637" spans="1:4">
      <c r="A5637" s="348">
        <f t="shared" ref="A5637:A5700" si="178">A5636+1</f>
        <v>5636</v>
      </c>
      <c r="B5637" s="360">
        <f>DATE('Profit Calculation'!J$6,A$2,A$2+A5637-1)</f>
        <v>47640</v>
      </c>
      <c r="D5637" s="362">
        <f t="shared" ref="D5637:D5700" ca="1" si="179">IF(OR(LOOKUP(B5637,W$1:W$35,W$1:W$35) = B5637, LOOKUP(B5637,X$1:X$35,X$1:X$35) = B5637),LOOKUP(B5637,F:F,G:G),D5636*(1+((IF($Q$18&lt;6,$R$14,IF($Q$18&lt;11,$R$15,$R$16)))))^(1/365))</f>
        <v>0</v>
      </c>
    </row>
    <row r="5638" spans="1:4">
      <c r="A5638" s="348">
        <f t="shared" si="178"/>
        <v>5637</v>
      </c>
      <c r="B5638" s="360">
        <f>DATE('Profit Calculation'!J$6,A$2,A$2+A5638-1)</f>
        <v>47641</v>
      </c>
      <c r="D5638" s="362">
        <f t="shared" ca="1" si="179"/>
        <v>0</v>
      </c>
    </row>
    <row r="5639" spans="1:4">
      <c r="A5639" s="348">
        <f t="shared" si="178"/>
        <v>5638</v>
      </c>
      <c r="B5639" s="360">
        <f>DATE('Profit Calculation'!J$6,A$2,A$2+A5639-1)</f>
        <v>47642</v>
      </c>
      <c r="D5639" s="362">
        <f t="shared" ca="1" si="179"/>
        <v>0</v>
      </c>
    </row>
    <row r="5640" spans="1:4">
      <c r="A5640" s="348">
        <f t="shared" si="178"/>
        <v>5639</v>
      </c>
      <c r="B5640" s="360">
        <f>DATE('Profit Calculation'!J$6,A$2,A$2+A5640-1)</f>
        <v>47643</v>
      </c>
      <c r="D5640" s="362">
        <f t="shared" ca="1" si="179"/>
        <v>0</v>
      </c>
    </row>
    <row r="5641" spans="1:4">
      <c r="A5641" s="348">
        <f t="shared" si="178"/>
        <v>5640</v>
      </c>
      <c r="B5641" s="360">
        <f>DATE('Profit Calculation'!J$6,A$2,A$2+A5641-1)</f>
        <v>47644</v>
      </c>
      <c r="D5641" s="362">
        <f t="shared" ca="1" si="179"/>
        <v>0</v>
      </c>
    </row>
    <row r="5642" spans="1:4">
      <c r="A5642" s="348">
        <f t="shared" si="178"/>
        <v>5641</v>
      </c>
      <c r="B5642" s="360">
        <f>DATE('Profit Calculation'!J$6,A$2,A$2+A5642-1)</f>
        <v>47645</v>
      </c>
      <c r="D5642" s="362">
        <f t="shared" ca="1" si="179"/>
        <v>0</v>
      </c>
    </row>
    <row r="5643" spans="1:4">
      <c r="A5643" s="348">
        <f t="shared" si="178"/>
        <v>5642</v>
      </c>
      <c r="B5643" s="360">
        <f>DATE('Profit Calculation'!J$6,A$2,A$2+A5643-1)</f>
        <v>47646</v>
      </c>
      <c r="D5643" s="362">
        <f t="shared" ca="1" si="179"/>
        <v>0</v>
      </c>
    </row>
    <row r="5644" spans="1:4">
      <c r="A5644" s="348">
        <f t="shared" si="178"/>
        <v>5643</v>
      </c>
      <c r="B5644" s="360">
        <f>DATE('Profit Calculation'!J$6,A$2,A$2+A5644-1)</f>
        <v>47647</v>
      </c>
      <c r="D5644" s="362">
        <f t="shared" ca="1" si="179"/>
        <v>0</v>
      </c>
    </row>
    <row r="5645" spans="1:4">
      <c r="A5645" s="348">
        <f t="shared" si="178"/>
        <v>5644</v>
      </c>
      <c r="B5645" s="360">
        <f>DATE('Profit Calculation'!J$6,A$2,A$2+A5645-1)</f>
        <v>47648</v>
      </c>
      <c r="D5645" s="362">
        <f t="shared" ca="1" si="179"/>
        <v>0</v>
      </c>
    </row>
    <row r="5646" spans="1:4">
      <c r="A5646" s="348">
        <f t="shared" si="178"/>
        <v>5645</v>
      </c>
      <c r="B5646" s="360">
        <f>DATE('Profit Calculation'!J$6,A$2,A$2+A5646-1)</f>
        <v>47649</v>
      </c>
      <c r="D5646" s="362">
        <f t="shared" ca="1" si="179"/>
        <v>0</v>
      </c>
    </row>
    <row r="5647" spans="1:4">
      <c r="A5647" s="348">
        <f t="shared" si="178"/>
        <v>5646</v>
      </c>
      <c r="B5647" s="360">
        <f>DATE('Profit Calculation'!J$6,A$2,A$2+A5647-1)</f>
        <v>47650</v>
      </c>
      <c r="D5647" s="362">
        <f t="shared" ca="1" si="179"/>
        <v>0</v>
      </c>
    </row>
    <row r="5648" spans="1:4">
      <c r="A5648" s="348">
        <f t="shared" si="178"/>
        <v>5647</v>
      </c>
      <c r="B5648" s="360">
        <f>DATE('Profit Calculation'!J$6,A$2,A$2+A5648-1)</f>
        <v>47651</v>
      </c>
      <c r="D5648" s="362">
        <f t="shared" ca="1" si="179"/>
        <v>0</v>
      </c>
    </row>
    <row r="5649" spans="1:4">
      <c r="A5649" s="348">
        <f t="shared" si="178"/>
        <v>5648</v>
      </c>
      <c r="B5649" s="360">
        <f>DATE('Profit Calculation'!J$6,A$2,A$2+A5649-1)</f>
        <v>47652</v>
      </c>
      <c r="D5649" s="362">
        <f t="shared" ca="1" si="179"/>
        <v>0</v>
      </c>
    </row>
    <row r="5650" spans="1:4">
      <c r="A5650" s="348">
        <f t="shared" si="178"/>
        <v>5649</v>
      </c>
      <c r="B5650" s="360">
        <f>DATE('Profit Calculation'!J$6,A$2,A$2+A5650-1)</f>
        <v>47653</v>
      </c>
      <c r="D5650" s="362">
        <f t="shared" ca="1" si="179"/>
        <v>0</v>
      </c>
    </row>
    <row r="5651" spans="1:4">
      <c r="A5651" s="348">
        <f t="shared" si="178"/>
        <v>5650</v>
      </c>
      <c r="B5651" s="360">
        <f>DATE('Profit Calculation'!J$6,A$2,A$2+A5651-1)</f>
        <v>47654</v>
      </c>
      <c r="D5651" s="362">
        <f t="shared" ca="1" si="179"/>
        <v>0</v>
      </c>
    </row>
    <row r="5652" spans="1:4">
      <c r="A5652" s="348">
        <f t="shared" si="178"/>
        <v>5651</v>
      </c>
      <c r="B5652" s="360">
        <f>DATE('Profit Calculation'!J$6,A$2,A$2+A5652-1)</f>
        <v>47655</v>
      </c>
      <c r="D5652" s="362">
        <f t="shared" ca="1" si="179"/>
        <v>0</v>
      </c>
    </row>
    <row r="5653" spans="1:4">
      <c r="A5653" s="348">
        <f t="shared" si="178"/>
        <v>5652</v>
      </c>
      <c r="B5653" s="360">
        <f>DATE('Profit Calculation'!J$6,A$2,A$2+A5653-1)</f>
        <v>47656</v>
      </c>
      <c r="D5653" s="362">
        <f t="shared" ca="1" si="179"/>
        <v>0</v>
      </c>
    </row>
    <row r="5654" spans="1:4">
      <c r="A5654" s="348">
        <f t="shared" si="178"/>
        <v>5653</v>
      </c>
      <c r="B5654" s="360">
        <f>DATE('Profit Calculation'!J$6,A$2,A$2+A5654-1)</f>
        <v>47657</v>
      </c>
      <c r="D5654" s="362">
        <f t="shared" ca="1" si="179"/>
        <v>0</v>
      </c>
    </row>
    <row r="5655" spans="1:4">
      <c r="A5655" s="348">
        <f t="shared" si="178"/>
        <v>5654</v>
      </c>
      <c r="B5655" s="360">
        <f>DATE('Profit Calculation'!J$6,A$2,A$2+A5655-1)</f>
        <v>47658</v>
      </c>
      <c r="D5655" s="362">
        <f t="shared" ca="1" si="179"/>
        <v>0</v>
      </c>
    </row>
    <row r="5656" spans="1:4">
      <c r="A5656" s="348">
        <f t="shared" si="178"/>
        <v>5655</v>
      </c>
      <c r="B5656" s="360">
        <f>DATE('Profit Calculation'!J$6,A$2,A$2+A5656-1)</f>
        <v>47659</v>
      </c>
      <c r="D5656" s="362">
        <f t="shared" ca="1" si="179"/>
        <v>0</v>
      </c>
    </row>
    <row r="5657" spans="1:4">
      <c r="A5657" s="348">
        <f t="shared" si="178"/>
        <v>5656</v>
      </c>
      <c r="B5657" s="360">
        <f>DATE('Profit Calculation'!J$6,A$2,A$2+A5657-1)</f>
        <v>47660</v>
      </c>
      <c r="D5657" s="362">
        <f t="shared" ca="1" si="179"/>
        <v>0</v>
      </c>
    </row>
    <row r="5658" spans="1:4">
      <c r="A5658" s="348">
        <f t="shared" si="178"/>
        <v>5657</v>
      </c>
      <c r="B5658" s="360">
        <f>DATE('Profit Calculation'!J$6,A$2,A$2+A5658-1)</f>
        <v>47661</v>
      </c>
      <c r="D5658" s="362">
        <f t="shared" ca="1" si="179"/>
        <v>0</v>
      </c>
    </row>
    <row r="5659" spans="1:4">
      <c r="A5659" s="348">
        <f t="shared" si="178"/>
        <v>5658</v>
      </c>
      <c r="B5659" s="360">
        <f>DATE('Profit Calculation'!J$6,A$2,A$2+A5659-1)</f>
        <v>47662</v>
      </c>
      <c r="D5659" s="362">
        <f t="shared" ca="1" si="179"/>
        <v>0</v>
      </c>
    </row>
    <row r="5660" spans="1:4">
      <c r="A5660" s="348">
        <f t="shared" si="178"/>
        <v>5659</v>
      </c>
      <c r="B5660" s="360">
        <f>DATE('Profit Calculation'!J$6,A$2,A$2+A5660-1)</f>
        <v>47663</v>
      </c>
      <c r="D5660" s="362">
        <f t="shared" ca="1" si="179"/>
        <v>0</v>
      </c>
    </row>
    <row r="5661" spans="1:4">
      <c r="A5661" s="348">
        <f t="shared" si="178"/>
        <v>5660</v>
      </c>
      <c r="B5661" s="360">
        <f>DATE('Profit Calculation'!J$6,A$2,A$2+A5661-1)</f>
        <v>47664</v>
      </c>
      <c r="D5661" s="362">
        <f t="shared" ca="1" si="179"/>
        <v>0</v>
      </c>
    </row>
    <row r="5662" spans="1:4">
      <c r="A5662" s="348">
        <f t="shared" si="178"/>
        <v>5661</v>
      </c>
      <c r="B5662" s="360">
        <f>DATE('Profit Calculation'!J$6,A$2,A$2+A5662-1)</f>
        <v>47665</v>
      </c>
      <c r="D5662" s="362">
        <f t="shared" ca="1" si="179"/>
        <v>0</v>
      </c>
    </row>
    <row r="5663" spans="1:4">
      <c r="A5663" s="348">
        <f t="shared" si="178"/>
        <v>5662</v>
      </c>
      <c r="B5663" s="360">
        <f>DATE('Profit Calculation'!J$6,A$2,A$2+A5663-1)</f>
        <v>47666</v>
      </c>
      <c r="D5663" s="362">
        <f t="shared" ca="1" si="179"/>
        <v>0</v>
      </c>
    </row>
    <row r="5664" spans="1:4">
      <c r="A5664" s="348">
        <f t="shared" si="178"/>
        <v>5663</v>
      </c>
      <c r="B5664" s="360">
        <f>DATE('Profit Calculation'!J$6,A$2,A$2+A5664-1)</f>
        <v>47667</v>
      </c>
      <c r="D5664" s="362">
        <f t="shared" ca="1" si="179"/>
        <v>0</v>
      </c>
    </row>
    <row r="5665" spans="1:4">
      <c r="A5665" s="348">
        <f t="shared" si="178"/>
        <v>5664</v>
      </c>
      <c r="B5665" s="360">
        <f>DATE('Profit Calculation'!J$6,A$2,A$2+A5665-1)</f>
        <v>47668</v>
      </c>
      <c r="D5665" s="362">
        <f t="shared" ca="1" si="179"/>
        <v>0</v>
      </c>
    </row>
    <row r="5666" spans="1:4">
      <c r="A5666" s="348">
        <f t="shared" si="178"/>
        <v>5665</v>
      </c>
      <c r="B5666" s="360">
        <f>DATE('Profit Calculation'!J$6,A$2,A$2+A5666-1)</f>
        <v>47669</v>
      </c>
      <c r="D5666" s="362">
        <f t="shared" ca="1" si="179"/>
        <v>0</v>
      </c>
    </row>
    <row r="5667" spans="1:4">
      <c r="A5667" s="348">
        <f t="shared" si="178"/>
        <v>5666</v>
      </c>
      <c r="B5667" s="360">
        <f>DATE('Profit Calculation'!J$6,A$2,A$2+A5667-1)</f>
        <v>47670</v>
      </c>
      <c r="D5667" s="362">
        <f t="shared" ca="1" si="179"/>
        <v>0</v>
      </c>
    </row>
    <row r="5668" spans="1:4">
      <c r="A5668" s="348">
        <f t="shared" si="178"/>
        <v>5667</v>
      </c>
      <c r="B5668" s="360">
        <f>DATE('Profit Calculation'!J$6,A$2,A$2+A5668-1)</f>
        <v>47671</v>
      </c>
      <c r="D5668" s="362">
        <f t="shared" ca="1" si="179"/>
        <v>0</v>
      </c>
    </row>
    <row r="5669" spans="1:4">
      <c r="A5669" s="348">
        <f t="shared" si="178"/>
        <v>5668</v>
      </c>
      <c r="B5669" s="360">
        <f>DATE('Profit Calculation'!J$6,A$2,A$2+A5669-1)</f>
        <v>47672</v>
      </c>
      <c r="D5669" s="362">
        <f t="shared" ca="1" si="179"/>
        <v>0</v>
      </c>
    </row>
    <row r="5670" spans="1:4">
      <c r="A5670" s="348">
        <f t="shared" si="178"/>
        <v>5669</v>
      </c>
      <c r="B5670" s="360">
        <f>DATE('Profit Calculation'!J$6,A$2,A$2+A5670-1)</f>
        <v>47673</v>
      </c>
      <c r="D5670" s="362">
        <f t="shared" ca="1" si="179"/>
        <v>0</v>
      </c>
    </row>
    <row r="5671" spans="1:4">
      <c r="A5671" s="348">
        <f t="shared" si="178"/>
        <v>5670</v>
      </c>
      <c r="B5671" s="360">
        <f>DATE('Profit Calculation'!J$6,A$2,A$2+A5671-1)</f>
        <v>47674</v>
      </c>
      <c r="D5671" s="362">
        <f t="shared" ca="1" si="179"/>
        <v>0</v>
      </c>
    </row>
    <row r="5672" spans="1:4">
      <c r="A5672" s="348">
        <f t="shared" si="178"/>
        <v>5671</v>
      </c>
      <c r="B5672" s="360">
        <f>DATE('Profit Calculation'!J$6,A$2,A$2+A5672-1)</f>
        <v>47675</v>
      </c>
      <c r="D5672" s="362">
        <f t="shared" ca="1" si="179"/>
        <v>0</v>
      </c>
    </row>
    <row r="5673" spans="1:4">
      <c r="A5673" s="348">
        <f t="shared" si="178"/>
        <v>5672</v>
      </c>
      <c r="B5673" s="360">
        <f>DATE('Profit Calculation'!J$6,A$2,A$2+A5673-1)</f>
        <v>47676</v>
      </c>
      <c r="D5673" s="362">
        <f t="shared" ca="1" si="179"/>
        <v>0</v>
      </c>
    </row>
    <row r="5674" spans="1:4">
      <c r="A5674" s="348">
        <f t="shared" si="178"/>
        <v>5673</v>
      </c>
      <c r="B5674" s="360">
        <f>DATE('Profit Calculation'!J$6,A$2,A$2+A5674-1)</f>
        <v>47677</v>
      </c>
      <c r="D5674" s="362">
        <f t="shared" ca="1" si="179"/>
        <v>0</v>
      </c>
    </row>
    <row r="5675" spans="1:4">
      <c r="A5675" s="348">
        <f t="shared" si="178"/>
        <v>5674</v>
      </c>
      <c r="B5675" s="360">
        <f>DATE('Profit Calculation'!J$6,A$2,A$2+A5675-1)</f>
        <v>47678</v>
      </c>
      <c r="D5675" s="362">
        <f t="shared" ca="1" si="179"/>
        <v>0</v>
      </c>
    </row>
    <row r="5676" spans="1:4">
      <c r="A5676" s="348">
        <f t="shared" si="178"/>
        <v>5675</v>
      </c>
      <c r="B5676" s="360">
        <f>DATE('Profit Calculation'!J$6,A$2,A$2+A5676-1)</f>
        <v>47679</v>
      </c>
      <c r="D5676" s="362">
        <f t="shared" ca="1" si="179"/>
        <v>0</v>
      </c>
    </row>
    <row r="5677" spans="1:4">
      <c r="A5677" s="348">
        <f t="shared" si="178"/>
        <v>5676</v>
      </c>
      <c r="B5677" s="360">
        <f>DATE('Profit Calculation'!J$6,A$2,A$2+A5677-1)</f>
        <v>47680</v>
      </c>
      <c r="D5677" s="362">
        <f t="shared" ca="1" si="179"/>
        <v>0</v>
      </c>
    </row>
    <row r="5678" spans="1:4">
      <c r="A5678" s="348">
        <f t="shared" si="178"/>
        <v>5677</v>
      </c>
      <c r="B5678" s="360">
        <f>DATE('Profit Calculation'!J$6,A$2,A$2+A5678-1)</f>
        <v>47681</v>
      </c>
      <c r="D5678" s="362">
        <f t="shared" ca="1" si="179"/>
        <v>0</v>
      </c>
    </row>
    <row r="5679" spans="1:4">
      <c r="A5679" s="348">
        <f t="shared" si="178"/>
        <v>5678</v>
      </c>
      <c r="B5679" s="360">
        <f>DATE('Profit Calculation'!J$6,A$2,A$2+A5679-1)</f>
        <v>47682</v>
      </c>
      <c r="D5679" s="362">
        <f t="shared" ca="1" si="179"/>
        <v>0</v>
      </c>
    </row>
    <row r="5680" spans="1:4">
      <c r="A5680" s="348">
        <f t="shared" si="178"/>
        <v>5679</v>
      </c>
      <c r="B5680" s="360">
        <f>DATE('Profit Calculation'!J$6,A$2,A$2+A5680-1)</f>
        <v>47683</v>
      </c>
      <c r="D5680" s="362">
        <f t="shared" ca="1" si="179"/>
        <v>0</v>
      </c>
    </row>
    <row r="5681" spans="1:4">
      <c r="A5681" s="348">
        <f t="shared" si="178"/>
        <v>5680</v>
      </c>
      <c r="B5681" s="360">
        <f>DATE('Profit Calculation'!J$6,A$2,A$2+A5681-1)</f>
        <v>47684</v>
      </c>
      <c r="D5681" s="362">
        <f t="shared" ca="1" si="179"/>
        <v>0</v>
      </c>
    </row>
    <row r="5682" spans="1:4">
      <c r="A5682" s="348">
        <f t="shared" si="178"/>
        <v>5681</v>
      </c>
      <c r="B5682" s="360">
        <f>DATE('Profit Calculation'!J$6,A$2,A$2+A5682-1)</f>
        <v>47685</v>
      </c>
      <c r="D5682" s="362">
        <f t="shared" ca="1" si="179"/>
        <v>0</v>
      </c>
    </row>
    <row r="5683" spans="1:4">
      <c r="A5683" s="348">
        <f t="shared" si="178"/>
        <v>5682</v>
      </c>
      <c r="B5683" s="360">
        <f>DATE('Profit Calculation'!J$6,A$2,A$2+A5683-1)</f>
        <v>47686</v>
      </c>
      <c r="D5683" s="362">
        <f t="shared" ca="1" si="179"/>
        <v>0</v>
      </c>
    </row>
    <row r="5684" spans="1:4">
      <c r="A5684" s="348">
        <f t="shared" si="178"/>
        <v>5683</v>
      </c>
      <c r="B5684" s="360">
        <f>DATE('Profit Calculation'!J$6,A$2,A$2+A5684-1)</f>
        <v>47687</v>
      </c>
      <c r="D5684" s="362">
        <f t="shared" ca="1" si="179"/>
        <v>0</v>
      </c>
    </row>
    <row r="5685" spans="1:4">
      <c r="A5685" s="348">
        <f t="shared" si="178"/>
        <v>5684</v>
      </c>
      <c r="B5685" s="360">
        <f>DATE('Profit Calculation'!J$6,A$2,A$2+A5685-1)</f>
        <v>47688</v>
      </c>
      <c r="D5685" s="362">
        <f t="shared" ca="1" si="179"/>
        <v>0</v>
      </c>
    </row>
    <row r="5686" spans="1:4">
      <c r="A5686" s="348">
        <f t="shared" si="178"/>
        <v>5685</v>
      </c>
      <c r="B5686" s="360">
        <f>DATE('Profit Calculation'!J$6,A$2,A$2+A5686-1)</f>
        <v>47689</v>
      </c>
      <c r="D5686" s="362">
        <f t="shared" ca="1" si="179"/>
        <v>0</v>
      </c>
    </row>
    <row r="5687" spans="1:4">
      <c r="A5687" s="348">
        <f t="shared" si="178"/>
        <v>5686</v>
      </c>
      <c r="B5687" s="360">
        <f>DATE('Profit Calculation'!J$6,A$2,A$2+A5687-1)</f>
        <v>47690</v>
      </c>
      <c r="D5687" s="362">
        <f t="shared" ca="1" si="179"/>
        <v>0</v>
      </c>
    </row>
    <row r="5688" spans="1:4">
      <c r="A5688" s="348">
        <f t="shared" si="178"/>
        <v>5687</v>
      </c>
      <c r="B5688" s="360">
        <f>DATE('Profit Calculation'!J$6,A$2,A$2+A5688-1)</f>
        <v>47691</v>
      </c>
      <c r="D5688" s="362">
        <f t="shared" ca="1" si="179"/>
        <v>0</v>
      </c>
    </row>
    <row r="5689" spans="1:4">
      <c r="A5689" s="348">
        <f t="shared" si="178"/>
        <v>5688</v>
      </c>
      <c r="B5689" s="360">
        <f>DATE('Profit Calculation'!J$6,A$2,A$2+A5689-1)</f>
        <v>47692</v>
      </c>
      <c r="D5689" s="362">
        <f t="shared" ca="1" si="179"/>
        <v>0</v>
      </c>
    </row>
    <row r="5690" spans="1:4">
      <c r="A5690" s="348">
        <f t="shared" si="178"/>
        <v>5689</v>
      </c>
      <c r="B5690" s="360">
        <f>DATE('Profit Calculation'!J$6,A$2,A$2+A5690-1)</f>
        <v>47693</v>
      </c>
      <c r="D5690" s="362">
        <f t="shared" ca="1" si="179"/>
        <v>0</v>
      </c>
    </row>
    <row r="5691" spans="1:4">
      <c r="A5691" s="348">
        <f t="shared" si="178"/>
        <v>5690</v>
      </c>
      <c r="B5691" s="360">
        <f>DATE('Profit Calculation'!J$6,A$2,A$2+A5691-1)</f>
        <v>47694</v>
      </c>
      <c r="D5691" s="362">
        <f t="shared" ca="1" si="179"/>
        <v>0</v>
      </c>
    </row>
    <row r="5692" spans="1:4">
      <c r="A5692" s="348">
        <f t="shared" si="178"/>
        <v>5691</v>
      </c>
      <c r="B5692" s="360">
        <f>DATE('Profit Calculation'!J$6,A$2,A$2+A5692-1)</f>
        <v>47695</v>
      </c>
      <c r="D5692" s="362">
        <f t="shared" ca="1" si="179"/>
        <v>0</v>
      </c>
    </row>
    <row r="5693" spans="1:4">
      <c r="A5693" s="348">
        <f t="shared" si="178"/>
        <v>5692</v>
      </c>
      <c r="B5693" s="360">
        <f>DATE('Profit Calculation'!J$6,A$2,A$2+A5693-1)</f>
        <v>47696</v>
      </c>
      <c r="D5693" s="362">
        <f t="shared" ca="1" si="179"/>
        <v>0</v>
      </c>
    </row>
    <row r="5694" spans="1:4">
      <c r="A5694" s="348">
        <f t="shared" si="178"/>
        <v>5693</v>
      </c>
      <c r="B5694" s="360">
        <f>DATE('Profit Calculation'!J$6,A$2,A$2+A5694-1)</f>
        <v>47697</v>
      </c>
      <c r="D5694" s="362">
        <f t="shared" ca="1" si="179"/>
        <v>0</v>
      </c>
    </row>
    <row r="5695" spans="1:4">
      <c r="A5695" s="348">
        <f t="shared" si="178"/>
        <v>5694</v>
      </c>
      <c r="B5695" s="360">
        <f>DATE('Profit Calculation'!J$6,A$2,A$2+A5695-1)</f>
        <v>47698</v>
      </c>
      <c r="D5695" s="362">
        <f t="shared" ca="1" si="179"/>
        <v>0</v>
      </c>
    </row>
    <row r="5696" spans="1:4">
      <c r="A5696" s="348">
        <f t="shared" si="178"/>
        <v>5695</v>
      </c>
      <c r="B5696" s="360">
        <f>DATE('Profit Calculation'!J$6,A$2,A$2+A5696-1)</f>
        <v>47699</v>
      </c>
      <c r="D5696" s="362">
        <f t="shared" ca="1" si="179"/>
        <v>0</v>
      </c>
    </row>
    <row r="5697" spans="1:4">
      <c r="A5697" s="348">
        <f t="shared" si="178"/>
        <v>5696</v>
      </c>
      <c r="B5697" s="360">
        <f>DATE('Profit Calculation'!J$6,A$2,A$2+A5697-1)</f>
        <v>47700</v>
      </c>
      <c r="D5697" s="362">
        <f t="shared" ca="1" si="179"/>
        <v>0</v>
      </c>
    </row>
    <row r="5698" spans="1:4">
      <c r="A5698" s="348">
        <f t="shared" si="178"/>
        <v>5697</v>
      </c>
      <c r="B5698" s="360">
        <f>DATE('Profit Calculation'!J$6,A$2,A$2+A5698-1)</f>
        <v>47701</v>
      </c>
      <c r="D5698" s="362">
        <f t="shared" ca="1" si="179"/>
        <v>0</v>
      </c>
    </row>
    <row r="5699" spans="1:4">
      <c r="A5699" s="348">
        <f t="shared" si="178"/>
        <v>5698</v>
      </c>
      <c r="B5699" s="360">
        <f>DATE('Profit Calculation'!J$6,A$2,A$2+A5699-1)</f>
        <v>47702</v>
      </c>
      <c r="D5699" s="362">
        <f t="shared" ca="1" si="179"/>
        <v>0</v>
      </c>
    </row>
    <row r="5700" spans="1:4">
      <c r="A5700" s="348">
        <f t="shared" si="178"/>
        <v>5699</v>
      </c>
      <c r="B5700" s="360">
        <f>DATE('Profit Calculation'!J$6,A$2,A$2+A5700-1)</f>
        <v>47703</v>
      </c>
      <c r="D5700" s="362">
        <f t="shared" ca="1" si="179"/>
        <v>0</v>
      </c>
    </row>
    <row r="5701" spans="1:4">
      <c r="A5701" s="348">
        <f t="shared" ref="A5701:A5764" si="180">A5700+1</f>
        <v>5700</v>
      </c>
      <c r="B5701" s="360">
        <f>DATE('Profit Calculation'!J$6,A$2,A$2+A5701-1)</f>
        <v>47704</v>
      </c>
      <c r="D5701" s="362">
        <f t="shared" ref="D5701:D5764" ca="1" si="181">IF(OR(LOOKUP(B5701,W$1:W$35,W$1:W$35) = B5701, LOOKUP(B5701,X$1:X$35,X$1:X$35) = B5701),LOOKUP(B5701,F:F,G:G),D5700*(1+((IF($Q$18&lt;6,$R$14,IF($Q$18&lt;11,$R$15,$R$16)))))^(1/365))</f>
        <v>0</v>
      </c>
    </row>
    <row r="5702" spans="1:4">
      <c r="A5702" s="348">
        <f t="shared" si="180"/>
        <v>5701</v>
      </c>
      <c r="B5702" s="360">
        <f>DATE('Profit Calculation'!J$6,A$2,A$2+A5702-1)</f>
        <v>47705</v>
      </c>
      <c r="D5702" s="362">
        <f t="shared" ca="1" si="181"/>
        <v>0</v>
      </c>
    </row>
    <row r="5703" spans="1:4">
      <c r="A5703" s="348">
        <f t="shared" si="180"/>
        <v>5702</v>
      </c>
      <c r="B5703" s="360">
        <f>DATE('Profit Calculation'!J$6,A$2,A$2+A5703-1)</f>
        <v>47706</v>
      </c>
      <c r="D5703" s="362">
        <f t="shared" ca="1" si="181"/>
        <v>0</v>
      </c>
    </row>
    <row r="5704" spans="1:4">
      <c r="A5704" s="348">
        <f t="shared" si="180"/>
        <v>5703</v>
      </c>
      <c r="B5704" s="360">
        <f>DATE('Profit Calculation'!J$6,A$2,A$2+A5704-1)</f>
        <v>47707</v>
      </c>
      <c r="D5704" s="362">
        <f t="shared" ca="1" si="181"/>
        <v>0</v>
      </c>
    </row>
    <row r="5705" spans="1:4">
      <c r="A5705" s="348">
        <f t="shared" si="180"/>
        <v>5704</v>
      </c>
      <c r="B5705" s="360">
        <f>DATE('Profit Calculation'!J$6,A$2,A$2+A5705-1)</f>
        <v>47708</v>
      </c>
      <c r="D5705" s="362">
        <f t="shared" ca="1" si="181"/>
        <v>0</v>
      </c>
    </row>
    <row r="5706" spans="1:4">
      <c r="A5706" s="348">
        <f t="shared" si="180"/>
        <v>5705</v>
      </c>
      <c r="B5706" s="360">
        <f>DATE('Profit Calculation'!J$6,A$2,A$2+A5706-1)</f>
        <v>47709</v>
      </c>
      <c r="D5706" s="362">
        <f t="shared" ca="1" si="181"/>
        <v>0</v>
      </c>
    </row>
    <row r="5707" spans="1:4">
      <c r="A5707" s="348">
        <f t="shared" si="180"/>
        <v>5706</v>
      </c>
      <c r="B5707" s="360">
        <f>DATE('Profit Calculation'!J$6,A$2,A$2+A5707-1)</f>
        <v>47710</v>
      </c>
      <c r="D5707" s="362">
        <f t="shared" ca="1" si="181"/>
        <v>0</v>
      </c>
    </row>
    <row r="5708" spans="1:4">
      <c r="A5708" s="348">
        <f t="shared" si="180"/>
        <v>5707</v>
      </c>
      <c r="B5708" s="360">
        <f>DATE('Profit Calculation'!J$6,A$2,A$2+A5708-1)</f>
        <v>47711</v>
      </c>
      <c r="D5708" s="362">
        <f t="shared" ca="1" si="181"/>
        <v>0</v>
      </c>
    </row>
    <row r="5709" spans="1:4">
      <c r="A5709" s="348">
        <f t="shared" si="180"/>
        <v>5708</v>
      </c>
      <c r="B5709" s="360">
        <f>DATE('Profit Calculation'!J$6,A$2,A$2+A5709-1)</f>
        <v>47712</v>
      </c>
      <c r="D5709" s="362">
        <f t="shared" ca="1" si="181"/>
        <v>0</v>
      </c>
    </row>
    <row r="5710" spans="1:4">
      <c r="A5710" s="348">
        <f t="shared" si="180"/>
        <v>5709</v>
      </c>
      <c r="B5710" s="360">
        <f>DATE('Profit Calculation'!J$6,A$2,A$2+A5710-1)</f>
        <v>47713</v>
      </c>
      <c r="D5710" s="362">
        <f t="shared" ca="1" si="181"/>
        <v>0</v>
      </c>
    </row>
    <row r="5711" spans="1:4">
      <c r="A5711" s="348">
        <f t="shared" si="180"/>
        <v>5710</v>
      </c>
      <c r="B5711" s="360">
        <f>DATE('Profit Calculation'!J$6,A$2,A$2+A5711-1)</f>
        <v>47714</v>
      </c>
      <c r="D5711" s="362">
        <f t="shared" ca="1" si="181"/>
        <v>0</v>
      </c>
    </row>
    <row r="5712" spans="1:4">
      <c r="A5712" s="348">
        <f t="shared" si="180"/>
        <v>5711</v>
      </c>
      <c r="B5712" s="360">
        <f>DATE('Profit Calculation'!J$6,A$2,A$2+A5712-1)</f>
        <v>47715</v>
      </c>
      <c r="D5712" s="362">
        <f t="shared" ca="1" si="181"/>
        <v>0</v>
      </c>
    </row>
    <row r="5713" spans="1:4">
      <c r="A5713" s="348">
        <f t="shared" si="180"/>
        <v>5712</v>
      </c>
      <c r="B5713" s="360">
        <f>DATE('Profit Calculation'!J$6,A$2,A$2+A5713-1)</f>
        <v>47716</v>
      </c>
      <c r="D5713" s="362">
        <f t="shared" ca="1" si="181"/>
        <v>0</v>
      </c>
    </row>
    <row r="5714" spans="1:4">
      <c r="A5714" s="348">
        <f t="shared" si="180"/>
        <v>5713</v>
      </c>
      <c r="B5714" s="360">
        <f>DATE('Profit Calculation'!J$6,A$2,A$2+A5714-1)</f>
        <v>47717</v>
      </c>
      <c r="D5714" s="362">
        <f t="shared" ca="1" si="181"/>
        <v>0</v>
      </c>
    </row>
    <row r="5715" spans="1:4">
      <c r="A5715" s="348">
        <f t="shared" si="180"/>
        <v>5714</v>
      </c>
      <c r="B5715" s="360">
        <f>DATE('Profit Calculation'!J$6,A$2,A$2+A5715-1)</f>
        <v>47718</v>
      </c>
      <c r="D5715" s="362">
        <f t="shared" ca="1" si="181"/>
        <v>0</v>
      </c>
    </row>
    <row r="5716" spans="1:4">
      <c r="A5716" s="348">
        <f t="shared" si="180"/>
        <v>5715</v>
      </c>
      <c r="B5716" s="360">
        <f>DATE('Profit Calculation'!J$6,A$2,A$2+A5716-1)</f>
        <v>47719</v>
      </c>
      <c r="D5716" s="362">
        <f t="shared" ca="1" si="181"/>
        <v>0</v>
      </c>
    </row>
    <row r="5717" spans="1:4">
      <c r="A5717" s="348">
        <f t="shared" si="180"/>
        <v>5716</v>
      </c>
      <c r="B5717" s="360">
        <f>DATE('Profit Calculation'!J$6,A$2,A$2+A5717-1)</f>
        <v>47720</v>
      </c>
      <c r="D5717" s="362">
        <f t="shared" ca="1" si="181"/>
        <v>0</v>
      </c>
    </row>
    <row r="5718" spans="1:4">
      <c r="A5718" s="348">
        <f t="shared" si="180"/>
        <v>5717</v>
      </c>
      <c r="B5718" s="360">
        <f>DATE('Profit Calculation'!J$6,A$2,A$2+A5718-1)</f>
        <v>47721</v>
      </c>
      <c r="D5718" s="362">
        <f t="shared" ca="1" si="181"/>
        <v>0</v>
      </c>
    </row>
    <row r="5719" spans="1:4">
      <c r="A5719" s="348">
        <f t="shared" si="180"/>
        <v>5718</v>
      </c>
      <c r="B5719" s="360">
        <f>DATE('Profit Calculation'!J$6,A$2,A$2+A5719-1)</f>
        <v>47722</v>
      </c>
      <c r="D5719" s="362">
        <f t="shared" ca="1" si="181"/>
        <v>0</v>
      </c>
    </row>
    <row r="5720" spans="1:4">
      <c r="A5720" s="348">
        <f t="shared" si="180"/>
        <v>5719</v>
      </c>
      <c r="B5720" s="360">
        <f>DATE('Profit Calculation'!J$6,A$2,A$2+A5720-1)</f>
        <v>47723</v>
      </c>
      <c r="D5720" s="362">
        <f t="shared" ca="1" si="181"/>
        <v>0</v>
      </c>
    </row>
    <row r="5721" spans="1:4">
      <c r="A5721" s="348">
        <f t="shared" si="180"/>
        <v>5720</v>
      </c>
      <c r="B5721" s="360">
        <f>DATE('Profit Calculation'!J$6,A$2,A$2+A5721-1)</f>
        <v>47724</v>
      </c>
      <c r="D5721" s="362">
        <f t="shared" ca="1" si="181"/>
        <v>0</v>
      </c>
    </row>
    <row r="5722" spans="1:4">
      <c r="A5722" s="348">
        <f t="shared" si="180"/>
        <v>5721</v>
      </c>
      <c r="B5722" s="360">
        <f>DATE('Profit Calculation'!J$6,A$2,A$2+A5722-1)</f>
        <v>47725</v>
      </c>
      <c r="D5722" s="362">
        <f t="shared" ca="1" si="181"/>
        <v>0</v>
      </c>
    </row>
    <row r="5723" spans="1:4">
      <c r="A5723" s="348">
        <f t="shared" si="180"/>
        <v>5722</v>
      </c>
      <c r="B5723" s="360">
        <f>DATE('Profit Calculation'!J$6,A$2,A$2+A5723-1)</f>
        <v>47726</v>
      </c>
      <c r="D5723" s="362">
        <f t="shared" ca="1" si="181"/>
        <v>0</v>
      </c>
    </row>
    <row r="5724" spans="1:4">
      <c r="A5724" s="348">
        <f t="shared" si="180"/>
        <v>5723</v>
      </c>
      <c r="B5724" s="360">
        <f>DATE('Profit Calculation'!J$6,A$2,A$2+A5724-1)</f>
        <v>47727</v>
      </c>
      <c r="D5724" s="362">
        <f t="shared" ca="1" si="181"/>
        <v>0</v>
      </c>
    </row>
    <row r="5725" spans="1:4">
      <c r="A5725" s="348">
        <f t="shared" si="180"/>
        <v>5724</v>
      </c>
      <c r="B5725" s="360">
        <f>DATE('Profit Calculation'!J$6,A$2,A$2+A5725-1)</f>
        <v>47728</v>
      </c>
      <c r="D5725" s="362">
        <f t="shared" ca="1" si="181"/>
        <v>0</v>
      </c>
    </row>
    <row r="5726" spans="1:4">
      <c r="A5726" s="348">
        <f t="shared" si="180"/>
        <v>5725</v>
      </c>
      <c r="B5726" s="360">
        <f>DATE('Profit Calculation'!J$6,A$2,A$2+A5726-1)</f>
        <v>47729</v>
      </c>
      <c r="D5726" s="362">
        <f t="shared" ca="1" si="181"/>
        <v>0</v>
      </c>
    </row>
    <row r="5727" spans="1:4">
      <c r="A5727" s="348">
        <f t="shared" si="180"/>
        <v>5726</v>
      </c>
      <c r="B5727" s="360">
        <f>DATE('Profit Calculation'!J$6,A$2,A$2+A5727-1)</f>
        <v>47730</v>
      </c>
      <c r="D5727" s="362">
        <f t="shared" ca="1" si="181"/>
        <v>0</v>
      </c>
    </row>
    <row r="5728" spans="1:4">
      <c r="A5728" s="348">
        <f t="shared" si="180"/>
        <v>5727</v>
      </c>
      <c r="B5728" s="360">
        <f>DATE('Profit Calculation'!J$6,A$2,A$2+A5728-1)</f>
        <v>47731</v>
      </c>
      <c r="D5728" s="362">
        <f t="shared" ca="1" si="181"/>
        <v>0</v>
      </c>
    </row>
    <row r="5729" spans="1:4">
      <c r="A5729" s="348">
        <f t="shared" si="180"/>
        <v>5728</v>
      </c>
      <c r="B5729" s="360">
        <f>DATE('Profit Calculation'!J$6,A$2,A$2+A5729-1)</f>
        <v>47732</v>
      </c>
      <c r="D5729" s="362">
        <f t="shared" ca="1" si="181"/>
        <v>0</v>
      </c>
    </row>
    <row r="5730" spans="1:4">
      <c r="A5730" s="348">
        <f t="shared" si="180"/>
        <v>5729</v>
      </c>
      <c r="B5730" s="360">
        <f>DATE('Profit Calculation'!J$6,A$2,A$2+A5730-1)</f>
        <v>47733</v>
      </c>
      <c r="D5730" s="362">
        <f t="shared" ca="1" si="181"/>
        <v>0</v>
      </c>
    </row>
    <row r="5731" spans="1:4">
      <c r="A5731" s="348">
        <f t="shared" si="180"/>
        <v>5730</v>
      </c>
      <c r="B5731" s="360">
        <f>DATE('Profit Calculation'!J$6,A$2,A$2+A5731-1)</f>
        <v>47734</v>
      </c>
      <c r="D5731" s="362">
        <f t="shared" ca="1" si="181"/>
        <v>0</v>
      </c>
    </row>
    <row r="5732" spans="1:4">
      <c r="A5732" s="348">
        <f t="shared" si="180"/>
        <v>5731</v>
      </c>
      <c r="B5732" s="360">
        <f>DATE('Profit Calculation'!J$6,A$2,A$2+A5732-1)</f>
        <v>47735</v>
      </c>
      <c r="D5732" s="362">
        <f t="shared" ca="1" si="181"/>
        <v>0</v>
      </c>
    </row>
    <row r="5733" spans="1:4">
      <c r="A5733" s="348">
        <f t="shared" si="180"/>
        <v>5732</v>
      </c>
      <c r="B5733" s="360">
        <f>DATE('Profit Calculation'!J$6,A$2,A$2+A5733-1)</f>
        <v>47736</v>
      </c>
      <c r="D5733" s="362">
        <f t="shared" ca="1" si="181"/>
        <v>0</v>
      </c>
    </row>
    <row r="5734" spans="1:4">
      <c r="A5734" s="348">
        <f t="shared" si="180"/>
        <v>5733</v>
      </c>
      <c r="B5734" s="360">
        <f>DATE('Profit Calculation'!J$6,A$2,A$2+A5734-1)</f>
        <v>47737</v>
      </c>
      <c r="D5734" s="362">
        <f t="shared" ca="1" si="181"/>
        <v>0</v>
      </c>
    </row>
    <row r="5735" spans="1:4">
      <c r="A5735" s="348">
        <f t="shared" si="180"/>
        <v>5734</v>
      </c>
      <c r="B5735" s="360">
        <f>DATE('Profit Calculation'!J$6,A$2,A$2+A5735-1)</f>
        <v>47738</v>
      </c>
      <c r="D5735" s="362">
        <f t="shared" ca="1" si="181"/>
        <v>0</v>
      </c>
    </row>
    <row r="5736" spans="1:4">
      <c r="A5736" s="348">
        <f t="shared" si="180"/>
        <v>5735</v>
      </c>
      <c r="B5736" s="360">
        <f>DATE('Profit Calculation'!J$6,A$2,A$2+A5736-1)</f>
        <v>47739</v>
      </c>
      <c r="D5736" s="362">
        <f t="shared" ca="1" si="181"/>
        <v>0</v>
      </c>
    </row>
    <row r="5737" spans="1:4">
      <c r="A5737" s="348">
        <f t="shared" si="180"/>
        <v>5736</v>
      </c>
      <c r="B5737" s="360">
        <f>DATE('Profit Calculation'!J$6,A$2,A$2+A5737-1)</f>
        <v>47740</v>
      </c>
      <c r="D5737" s="362">
        <f t="shared" ca="1" si="181"/>
        <v>0</v>
      </c>
    </row>
    <row r="5738" spans="1:4">
      <c r="A5738" s="348">
        <f t="shared" si="180"/>
        <v>5737</v>
      </c>
      <c r="B5738" s="360">
        <f>DATE('Profit Calculation'!J$6,A$2,A$2+A5738-1)</f>
        <v>47741</v>
      </c>
      <c r="D5738" s="362">
        <f t="shared" ca="1" si="181"/>
        <v>0</v>
      </c>
    </row>
    <row r="5739" spans="1:4">
      <c r="A5739" s="348">
        <f t="shared" si="180"/>
        <v>5738</v>
      </c>
      <c r="B5739" s="360">
        <f>DATE('Profit Calculation'!J$6,A$2,A$2+A5739-1)</f>
        <v>47742</v>
      </c>
      <c r="D5739" s="362">
        <f t="shared" ca="1" si="181"/>
        <v>0</v>
      </c>
    </row>
    <row r="5740" spans="1:4">
      <c r="A5740" s="348">
        <f t="shared" si="180"/>
        <v>5739</v>
      </c>
      <c r="B5740" s="360">
        <f>DATE('Profit Calculation'!J$6,A$2,A$2+A5740-1)</f>
        <v>47743</v>
      </c>
      <c r="D5740" s="362">
        <f t="shared" ca="1" si="181"/>
        <v>0</v>
      </c>
    </row>
    <row r="5741" spans="1:4">
      <c r="A5741" s="348">
        <f t="shared" si="180"/>
        <v>5740</v>
      </c>
      <c r="B5741" s="360">
        <f>DATE('Profit Calculation'!J$6,A$2,A$2+A5741-1)</f>
        <v>47744</v>
      </c>
      <c r="D5741" s="362">
        <f t="shared" ca="1" si="181"/>
        <v>0</v>
      </c>
    </row>
    <row r="5742" spans="1:4">
      <c r="A5742" s="348">
        <f t="shared" si="180"/>
        <v>5741</v>
      </c>
      <c r="B5742" s="360">
        <f>DATE('Profit Calculation'!J$6,A$2,A$2+A5742-1)</f>
        <v>47745</v>
      </c>
      <c r="D5742" s="362">
        <f t="shared" ca="1" si="181"/>
        <v>0</v>
      </c>
    </row>
    <row r="5743" spans="1:4">
      <c r="A5743" s="348">
        <f t="shared" si="180"/>
        <v>5742</v>
      </c>
      <c r="B5743" s="360">
        <f>DATE('Profit Calculation'!J$6,A$2,A$2+A5743-1)</f>
        <v>47746</v>
      </c>
      <c r="D5743" s="362">
        <f t="shared" ca="1" si="181"/>
        <v>0</v>
      </c>
    </row>
    <row r="5744" spans="1:4">
      <c r="A5744" s="348">
        <f t="shared" si="180"/>
        <v>5743</v>
      </c>
      <c r="B5744" s="360">
        <f>DATE('Profit Calculation'!J$6,A$2,A$2+A5744-1)</f>
        <v>47747</v>
      </c>
      <c r="D5744" s="362">
        <f t="shared" ca="1" si="181"/>
        <v>0</v>
      </c>
    </row>
    <row r="5745" spans="1:4">
      <c r="A5745" s="348">
        <f t="shared" si="180"/>
        <v>5744</v>
      </c>
      <c r="B5745" s="360">
        <f>DATE('Profit Calculation'!J$6,A$2,A$2+A5745-1)</f>
        <v>47748</v>
      </c>
      <c r="D5745" s="362">
        <f t="shared" ca="1" si="181"/>
        <v>0</v>
      </c>
    </row>
    <row r="5746" spans="1:4">
      <c r="A5746" s="348">
        <f t="shared" si="180"/>
        <v>5745</v>
      </c>
      <c r="B5746" s="360">
        <f>DATE('Profit Calculation'!J$6,A$2,A$2+A5746-1)</f>
        <v>47749</v>
      </c>
      <c r="D5746" s="362">
        <f t="shared" ca="1" si="181"/>
        <v>0</v>
      </c>
    </row>
    <row r="5747" spans="1:4">
      <c r="A5747" s="348">
        <f t="shared" si="180"/>
        <v>5746</v>
      </c>
      <c r="B5747" s="360">
        <f>DATE('Profit Calculation'!J$6,A$2,A$2+A5747-1)</f>
        <v>47750</v>
      </c>
      <c r="D5747" s="362">
        <f t="shared" ca="1" si="181"/>
        <v>0</v>
      </c>
    </row>
    <row r="5748" spans="1:4">
      <c r="A5748" s="348">
        <f t="shared" si="180"/>
        <v>5747</v>
      </c>
      <c r="B5748" s="360">
        <f>DATE('Profit Calculation'!J$6,A$2,A$2+A5748-1)</f>
        <v>47751</v>
      </c>
      <c r="D5748" s="362">
        <f t="shared" ca="1" si="181"/>
        <v>0</v>
      </c>
    </row>
    <row r="5749" spans="1:4">
      <c r="A5749" s="348">
        <f t="shared" si="180"/>
        <v>5748</v>
      </c>
      <c r="B5749" s="360">
        <f>DATE('Profit Calculation'!J$6,A$2,A$2+A5749-1)</f>
        <v>47752</v>
      </c>
      <c r="D5749" s="362">
        <f t="shared" ca="1" si="181"/>
        <v>0</v>
      </c>
    </row>
    <row r="5750" spans="1:4">
      <c r="A5750" s="348">
        <f t="shared" si="180"/>
        <v>5749</v>
      </c>
      <c r="B5750" s="360">
        <f>DATE('Profit Calculation'!J$6,A$2,A$2+A5750-1)</f>
        <v>47753</v>
      </c>
      <c r="D5750" s="362">
        <f t="shared" ca="1" si="181"/>
        <v>0</v>
      </c>
    </row>
    <row r="5751" spans="1:4">
      <c r="A5751" s="348">
        <f t="shared" si="180"/>
        <v>5750</v>
      </c>
      <c r="B5751" s="360">
        <f>DATE('Profit Calculation'!J$6,A$2,A$2+A5751-1)</f>
        <v>47754</v>
      </c>
      <c r="D5751" s="362">
        <f t="shared" ca="1" si="181"/>
        <v>0</v>
      </c>
    </row>
    <row r="5752" spans="1:4">
      <c r="A5752" s="348">
        <f t="shared" si="180"/>
        <v>5751</v>
      </c>
      <c r="B5752" s="360">
        <f>DATE('Profit Calculation'!J$6,A$2,A$2+A5752-1)</f>
        <v>47755</v>
      </c>
      <c r="D5752" s="362">
        <f t="shared" ca="1" si="181"/>
        <v>0</v>
      </c>
    </row>
    <row r="5753" spans="1:4">
      <c r="A5753" s="348">
        <f t="shared" si="180"/>
        <v>5752</v>
      </c>
      <c r="B5753" s="360">
        <f>DATE('Profit Calculation'!J$6,A$2,A$2+A5753-1)</f>
        <v>47756</v>
      </c>
      <c r="D5753" s="362">
        <f t="shared" ca="1" si="181"/>
        <v>0</v>
      </c>
    </row>
    <row r="5754" spans="1:4">
      <c r="A5754" s="348">
        <f t="shared" si="180"/>
        <v>5753</v>
      </c>
      <c r="B5754" s="360">
        <f>DATE('Profit Calculation'!J$6,A$2,A$2+A5754-1)</f>
        <v>47757</v>
      </c>
      <c r="D5754" s="362">
        <f t="shared" ca="1" si="181"/>
        <v>0</v>
      </c>
    </row>
    <row r="5755" spans="1:4">
      <c r="A5755" s="348">
        <f t="shared" si="180"/>
        <v>5754</v>
      </c>
      <c r="B5755" s="360">
        <f>DATE('Profit Calculation'!J$6,A$2,A$2+A5755-1)</f>
        <v>47758</v>
      </c>
      <c r="D5755" s="362">
        <f t="shared" ca="1" si="181"/>
        <v>0</v>
      </c>
    </row>
    <row r="5756" spans="1:4">
      <c r="A5756" s="348">
        <f t="shared" si="180"/>
        <v>5755</v>
      </c>
      <c r="B5756" s="360">
        <f>DATE('Profit Calculation'!J$6,A$2,A$2+A5756-1)</f>
        <v>47759</v>
      </c>
      <c r="D5756" s="362">
        <f t="shared" ca="1" si="181"/>
        <v>0</v>
      </c>
    </row>
    <row r="5757" spans="1:4">
      <c r="A5757" s="348">
        <f t="shared" si="180"/>
        <v>5756</v>
      </c>
      <c r="B5757" s="360">
        <f>DATE('Profit Calculation'!J$6,A$2,A$2+A5757-1)</f>
        <v>47760</v>
      </c>
      <c r="D5757" s="362">
        <f t="shared" ca="1" si="181"/>
        <v>0</v>
      </c>
    </row>
    <row r="5758" spans="1:4">
      <c r="A5758" s="348">
        <f t="shared" si="180"/>
        <v>5757</v>
      </c>
      <c r="B5758" s="360">
        <f>DATE('Profit Calculation'!J$6,A$2,A$2+A5758-1)</f>
        <v>47761</v>
      </c>
      <c r="D5758" s="362">
        <f t="shared" ca="1" si="181"/>
        <v>0</v>
      </c>
    </row>
    <row r="5759" spans="1:4">
      <c r="A5759" s="348">
        <f t="shared" si="180"/>
        <v>5758</v>
      </c>
      <c r="B5759" s="360">
        <f>DATE('Profit Calculation'!J$6,A$2,A$2+A5759-1)</f>
        <v>47762</v>
      </c>
      <c r="D5759" s="362">
        <f t="shared" ca="1" si="181"/>
        <v>0</v>
      </c>
    </row>
    <row r="5760" spans="1:4">
      <c r="A5760" s="348">
        <f t="shared" si="180"/>
        <v>5759</v>
      </c>
      <c r="B5760" s="360">
        <f>DATE('Profit Calculation'!J$6,A$2,A$2+A5760-1)</f>
        <v>47763</v>
      </c>
      <c r="D5760" s="362">
        <f t="shared" ca="1" si="181"/>
        <v>0</v>
      </c>
    </row>
    <row r="5761" spans="1:4">
      <c r="A5761" s="348">
        <f t="shared" si="180"/>
        <v>5760</v>
      </c>
      <c r="B5761" s="360">
        <f>DATE('Profit Calculation'!J$6,A$2,A$2+A5761-1)</f>
        <v>47764</v>
      </c>
      <c r="D5761" s="362">
        <f t="shared" ca="1" si="181"/>
        <v>0</v>
      </c>
    </row>
    <row r="5762" spans="1:4">
      <c r="A5762" s="348">
        <f t="shared" si="180"/>
        <v>5761</v>
      </c>
      <c r="B5762" s="360">
        <f>DATE('Profit Calculation'!J$6,A$2,A$2+A5762-1)</f>
        <v>47765</v>
      </c>
      <c r="D5762" s="362">
        <f t="shared" ca="1" si="181"/>
        <v>0</v>
      </c>
    </row>
    <row r="5763" spans="1:4">
      <c r="A5763" s="348">
        <f t="shared" si="180"/>
        <v>5762</v>
      </c>
      <c r="B5763" s="360">
        <f>DATE('Profit Calculation'!J$6,A$2,A$2+A5763-1)</f>
        <v>47766</v>
      </c>
      <c r="D5763" s="362">
        <f t="shared" ca="1" si="181"/>
        <v>0</v>
      </c>
    </row>
    <row r="5764" spans="1:4">
      <c r="A5764" s="348">
        <f t="shared" si="180"/>
        <v>5763</v>
      </c>
      <c r="B5764" s="360">
        <f>DATE('Profit Calculation'!J$6,A$2,A$2+A5764-1)</f>
        <v>47767</v>
      </c>
      <c r="D5764" s="362">
        <f t="shared" ca="1" si="181"/>
        <v>0</v>
      </c>
    </row>
    <row r="5765" spans="1:4">
      <c r="A5765" s="348">
        <f t="shared" ref="A5765:A5828" si="182">A5764+1</f>
        <v>5764</v>
      </c>
      <c r="B5765" s="360">
        <f>DATE('Profit Calculation'!J$6,A$2,A$2+A5765-1)</f>
        <v>47768</v>
      </c>
      <c r="D5765" s="362">
        <f t="shared" ref="D5765:D5828" ca="1" si="183">IF(OR(LOOKUP(B5765,W$1:W$35,W$1:W$35) = B5765, LOOKUP(B5765,X$1:X$35,X$1:X$35) = B5765),LOOKUP(B5765,F:F,G:G),D5764*(1+((IF($Q$18&lt;6,$R$14,IF($Q$18&lt;11,$R$15,$R$16)))))^(1/365))</f>
        <v>0</v>
      </c>
    </row>
    <row r="5766" spans="1:4">
      <c r="A5766" s="348">
        <f t="shared" si="182"/>
        <v>5765</v>
      </c>
      <c r="B5766" s="360">
        <f>DATE('Profit Calculation'!J$6,A$2,A$2+A5766-1)</f>
        <v>47769</v>
      </c>
      <c r="D5766" s="362">
        <f t="shared" ca="1" si="183"/>
        <v>0</v>
      </c>
    </row>
    <row r="5767" spans="1:4">
      <c r="A5767" s="348">
        <f t="shared" si="182"/>
        <v>5766</v>
      </c>
      <c r="B5767" s="360">
        <f>DATE('Profit Calculation'!J$6,A$2,A$2+A5767-1)</f>
        <v>47770</v>
      </c>
      <c r="D5767" s="362">
        <f t="shared" ca="1" si="183"/>
        <v>0</v>
      </c>
    </row>
    <row r="5768" spans="1:4">
      <c r="A5768" s="348">
        <f t="shared" si="182"/>
        <v>5767</v>
      </c>
      <c r="B5768" s="360">
        <f>DATE('Profit Calculation'!J$6,A$2,A$2+A5768-1)</f>
        <v>47771</v>
      </c>
      <c r="D5768" s="362">
        <f t="shared" ca="1" si="183"/>
        <v>0</v>
      </c>
    </row>
    <row r="5769" spans="1:4">
      <c r="A5769" s="348">
        <f t="shared" si="182"/>
        <v>5768</v>
      </c>
      <c r="B5769" s="360">
        <f>DATE('Profit Calculation'!J$6,A$2,A$2+A5769-1)</f>
        <v>47772</v>
      </c>
      <c r="D5769" s="362">
        <f t="shared" ca="1" si="183"/>
        <v>0</v>
      </c>
    </row>
    <row r="5770" spans="1:4">
      <c r="A5770" s="348">
        <f t="shared" si="182"/>
        <v>5769</v>
      </c>
      <c r="B5770" s="360">
        <f>DATE('Profit Calculation'!J$6,A$2,A$2+A5770-1)</f>
        <v>47773</v>
      </c>
      <c r="D5770" s="362">
        <f t="shared" ca="1" si="183"/>
        <v>0</v>
      </c>
    </row>
    <row r="5771" spans="1:4">
      <c r="A5771" s="348">
        <f t="shared" si="182"/>
        <v>5770</v>
      </c>
      <c r="B5771" s="360">
        <f>DATE('Profit Calculation'!J$6,A$2,A$2+A5771-1)</f>
        <v>47774</v>
      </c>
      <c r="D5771" s="362">
        <f t="shared" ca="1" si="183"/>
        <v>0</v>
      </c>
    </row>
    <row r="5772" spans="1:4">
      <c r="A5772" s="348">
        <f t="shared" si="182"/>
        <v>5771</v>
      </c>
      <c r="B5772" s="360">
        <f>DATE('Profit Calculation'!J$6,A$2,A$2+A5772-1)</f>
        <v>47775</v>
      </c>
      <c r="D5772" s="362">
        <f t="shared" ca="1" si="183"/>
        <v>0</v>
      </c>
    </row>
    <row r="5773" spans="1:4">
      <c r="A5773" s="348">
        <f t="shared" si="182"/>
        <v>5772</v>
      </c>
      <c r="B5773" s="360">
        <f>DATE('Profit Calculation'!J$6,A$2,A$2+A5773-1)</f>
        <v>47776</v>
      </c>
      <c r="D5773" s="362">
        <f t="shared" ca="1" si="183"/>
        <v>0</v>
      </c>
    </row>
    <row r="5774" spans="1:4">
      <c r="A5774" s="348">
        <f t="shared" si="182"/>
        <v>5773</v>
      </c>
      <c r="B5774" s="360">
        <f>DATE('Profit Calculation'!J$6,A$2,A$2+A5774-1)</f>
        <v>47777</v>
      </c>
      <c r="D5774" s="362">
        <f t="shared" ca="1" si="183"/>
        <v>0</v>
      </c>
    </row>
    <row r="5775" spans="1:4">
      <c r="A5775" s="348">
        <f t="shared" si="182"/>
        <v>5774</v>
      </c>
      <c r="B5775" s="360">
        <f>DATE('Profit Calculation'!J$6,A$2,A$2+A5775-1)</f>
        <v>47778</v>
      </c>
      <c r="D5775" s="362">
        <f t="shared" ca="1" si="183"/>
        <v>0</v>
      </c>
    </row>
    <row r="5776" spans="1:4">
      <c r="A5776" s="348">
        <f t="shared" si="182"/>
        <v>5775</v>
      </c>
      <c r="B5776" s="360">
        <f>DATE('Profit Calculation'!J$6,A$2,A$2+A5776-1)</f>
        <v>47779</v>
      </c>
      <c r="D5776" s="362">
        <f t="shared" ca="1" si="183"/>
        <v>0</v>
      </c>
    </row>
    <row r="5777" spans="1:4">
      <c r="A5777" s="348">
        <f t="shared" si="182"/>
        <v>5776</v>
      </c>
      <c r="B5777" s="360">
        <f>DATE('Profit Calculation'!J$6,A$2,A$2+A5777-1)</f>
        <v>47780</v>
      </c>
      <c r="D5777" s="362">
        <f t="shared" ca="1" si="183"/>
        <v>0</v>
      </c>
    </row>
    <row r="5778" spans="1:4">
      <c r="A5778" s="348">
        <f t="shared" si="182"/>
        <v>5777</v>
      </c>
      <c r="B5778" s="360">
        <f>DATE('Profit Calculation'!J$6,A$2,A$2+A5778-1)</f>
        <v>47781</v>
      </c>
      <c r="D5778" s="362">
        <f t="shared" ca="1" si="183"/>
        <v>0</v>
      </c>
    </row>
    <row r="5779" spans="1:4">
      <c r="A5779" s="348">
        <f t="shared" si="182"/>
        <v>5778</v>
      </c>
      <c r="B5779" s="360">
        <f>DATE('Profit Calculation'!J$6,A$2,A$2+A5779-1)</f>
        <v>47782</v>
      </c>
      <c r="D5779" s="362">
        <f t="shared" ca="1" si="183"/>
        <v>0</v>
      </c>
    </row>
    <row r="5780" spans="1:4">
      <c r="A5780" s="348">
        <f t="shared" si="182"/>
        <v>5779</v>
      </c>
      <c r="B5780" s="360">
        <f>DATE('Profit Calculation'!J$6,A$2,A$2+A5780-1)</f>
        <v>47783</v>
      </c>
      <c r="D5780" s="362">
        <f t="shared" ca="1" si="183"/>
        <v>0</v>
      </c>
    </row>
    <row r="5781" spans="1:4">
      <c r="A5781" s="348">
        <f t="shared" si="182"/>
        <v>5780</v>
      </c>
      <c r="B5781" s="360">
        <f>DATE('Profit Calculation'!J$6,A$2,A$2+A5781-1)</f>
        <v>47784</v>
      </c>
      <c r="D5781" s="362">
        <f t="shared" ca="1" si="183"/>
        <v>0</v>
      </c>
    </row>
    <row r="5782" spans="1:4">
      <c r="A5782" s="348">
        <f t="shared" si="182"/>
        <v>5781</v>
      </c>
      <c r="B5782" s="360">
        <f>DATE('Profit Calculation'!J$6,A$2,A$2+A5782-1)</f>
        <v>47785</v>
      </c>
      <c r="D5782" s="362">
        <f t="shared" ca="1" si="183"/>
        <v>0</v>
      </c>
    </row>
    <row r="5783" spans="1:4">
      <c r="A5783" s="348">
        <f t="shared" si="182"/>
        <v>5782</v>
      </c>
      <c r="B5783" s="360">
        <f>DATE('Profit Calculation'!J$6,A$2,A$2+A5783-1)</f>
        <v>47786</v>
      </c>
      <c r="D5783" s="362">
        <f t="shared" ca="1" si="183"/>
        <v>0</v>
      </c>
    </row>
    <row r="5784" spans="1:4">
      <c r="A5784" s="348">
        <f t="shared" si="182"/>
        <v>5783</v>
      </c>
      <c r="B5784" s="360">
        <f>DATE('Profit Calculation'!J$6,A$2,A$2+A5784-1)</f>
        <v>47787</v>
      </c>
      <c r="D5784" s="362">
        <f t="shared" ca="1" si="183"/>
        <v>0</v>
      </c>
    </row>
    <row r="5785" spans="1:4">
      <c r="A5785" s="348">
        <f t="shared" si="182"/>
        <v>5784</v>
      </c>
      <c r="B5785" s="360">
        <f>DATE('Profit Calculation'!J$6,A$2,A$2+A5785-1)</f>
        <v>47788</v>
      </c>
      <c r="D5785" s="362">
        <f t="shared" ca="1" si="183"/>
        <v>0</v>
      </c>
    </row>
    <row r="5786" spans="1:4">
      <c r="A5786" s="348">
        <f t="shared" si="182"/>
        <v>5785</v>
      </c>
      <c r="B5786" s="360">
        <f>DATE('Profit Calculation'!J$6,A$2,A$2+A5786-1)</f>
        <v>47789</v>
      </c>
      <c r="D5786" s="362">
        <f t="shared" ca="1" si="183"/>
        <v>0</v>
      </c>
    </row>
    <row r="5787" spans="1:4">
      <c r="A5787" s="348">
        <f t="shared" si="182"/>
        <v>5786</v>
      </c>
      <c r="B5787" s="360">
        <f>DATE('Profit Calculation'!J$6,A$2,A$2+A5787-1)</f>
        <v>47790</v>
      </c>
      <c r="D5787" s="362">
        <f t="shared" ca="1" si="183"/>
        <v>0</v>
      </c>
    </row>
    <row r="5788" spans="1:4">
      <c r="A5788" s="348">
        <f t="shared" si="182"/>
        <v>5787</v>
      </c>
      <c r="B5788" s="360">
        <f>DATE('Profit Calculation'!J$6,A$2,A$2+A5788-1)</f>
        <v>47791</v>
      </c>
      <c r="D5788" s="362">
        <f t="shared" ca="1" si="183"/>
        <v>0</v>
      </c>
    </row>
    <row r="5789" spans="1:4">
      <c r="A5789" s="348">
        <f t="shared" si="182"/>
        <v>5788</v>
      </c>
      <c r="B5789" s="360">
        <f>DATE('Profit Calculation'!J$6,A$2,A$2+A5789-1)</f>
        <v>47792</v>
      </c>
      <c r="D5789" s="362">
        <f t="shared" ca="1" si="183"/>
        <v>0</v>
      </c>
    </row>
    <row r="5790" spans="1:4">
      <c r="A5790" s="348">
        <f t="shared" si="182"/>
        <v>5789</v>
      </c>
      <c r="B5790" s="360">
        <f>DATE('Profit Calculation'!J$6,A$2,A$2+A5790-1)</f>
        <v>47793</v>
      </c>
      <c r="D5790" s="362">
        <f t="shared" ca="1" si="183"/>
        <v>0</v>
      </c>
    </row>
    <row r="5791" spans="1:4">
      <c r="A5791" s="348">
        <f t="shared" si="182"/>
        <v>5790</v>
      </c>
      <c r="B5791" s="360">
        <f>DATE('Profit Calculation'!J$6,A$2,A$2+A5791-1)</f>
        <v>47794</v>
      </c>
      <c r="D5791" s="362">
        <f t="shared" ca="1" si="183"/>
        <v>0</v>
      </c>
    </row>
    <row r="5792" spans="1:4">
      <c r="A5792" s="348">
        <f t="shared" si="182"/>
        <v>5791</v>
      </c>
      <c r="B5792" s="360">
        <f>DATE('Profit Calculation'!J$6,A$2,A$2+A5792-1)</f>
        <v>47795</v>
      </c>
      <c r="D5792" s="362">
        <f t="shared" ca="1" si="183"/>
        <v>0</v>
      </c>
    </row>
    <row r="5793" spans="1:4">
      <c r="A5793" s="348">
        <f t="shared" si="182"/>
        <v>5792</v>
      </c>
      <c r="B5793" s="360">
        <f>DATE('Profit Calculation'!J$6,A$2,A$2+A5793-1)</f>
        <v>47796</v>
      </c>
      <c r="D5793" s="362">
        <f t="shared" ca="1" si="183"/>
        <v>0</v>
      </c>
    </row>
    <row r="5794" spans="1:4">
      <c r="A5794" s="348">
        <f t="shared" si="182"/>
        <v>5793</v>
      </c>
      <c r="B5794" s="360">
        <f>DATE('Profit Calculation'!J$6,A$2,A$2+A5794-1)</f>
        <v>47797</v>
      </c>
      <c r="D5794" s="362">
        <f t="shared" ca="1" si="183"/>
        <v>0</v>
      </c>
    </row>
    <row r="5795" spans="1:4">
      <c r="A5795" s="348">
        <f t="shared" si="182"/>
        <v>5794</v>
      </c>
      <c r="B5795" s="360">
        <f>DATE('Profit Calculation'!J$6,A$2,A$2+A5795-1)</f>
        <v>47798</v>
      </c>
      <c r="D5795" s="362">
        <f t="shared" ca="1" si="183"/>
        <v>0</v>
      </c>
    </row>
    <row r="5796" spans="1:4">
      <c r="A5796" s="348">
        <f t="shared" si="182"/>
        <v>5795</v>
      </c>
      <c r="B5796" s="360">
        <f>DATE('Profit Calculation'!J$6,A$2,A$2+A5796-1)</f>
        <v>47799</v>
      </c>
      <c r="D5796" s="362">
        <f t="shared" ca="1" si="183"/>
        <v>0</v>
      </c>
    </row>
    <row r="5797" spans="1:4">
      <c r="A5797" s="348">
        <f t="shared" si="182"/>
        <v>5796</v>
      </c>
      <c r="B5797" s="360">
        <f>DATE('Profit Calculation'!J$6,A$2,A$2+A5797-1)</f>
        <v>47800</v>
      </c>
      <c r="D5797" s="362">
        <f t="shared" ca="1" si="183"/>
        <v>0</v>
      </c>
    </row>
    <row r="5798" spans="1:4">
      <c r="A5798" s="348">
        <f t="shared" si="182"/>
        <v>5797</v>
      </c>
      <c r="B5798" s="360">
        <f>DATE('Profit Calculation'!J$6,A$2,A$2+A5798-1)</f>
        <v>47801</v>
      </c>
      <c r="D5798" s="362">
        <f t="shared" ca="1" si="183"/>
        <v>0</v>
      </c>
    </row>
    <row r="5799" spans="1:4">
      <c r="A5799" s="348">
        <f t="shared" si="182"/>
        <v>5798</v>
      </c>
      <c r="B5799" s="360">
        <f>DATE('Profit Calculation'!J$6,A$2,A$2+A5799-1)</f>
        <v>47802</v>
      </c>
      <c r="D5799" s="362">
        <f t="shared" ca="1" si="183"/>
        <v>0</v>
      </c>
    </row>
    <row r="5800" spans="1:4">
      <c r="A5800" s="348">
        <f t="shared" si="182"/>
        <v>5799</v>
      </c>
      <c r="B5800" s="360">
        <f>DATE('Profit Calculation'!J$6,A$2,A$2+A5800-1)</f>
        <v>47803</v>
      </c>
      <c r="D5800" s="362">
        <f t="shared" ca="1" si="183"/>
        <v>0</v>
      </c>
    </row>
    <row r="5801" spans="1:4">
      <c r="A5801" s="348">
        <f t="shared" si="182"/>
        <v>5800</v>
      </c>
      <c r="B5801" s="360">
        <f>DATE('Profit Calculation'!J$6,A$2,A$2+A5801-1)</f>
        <v>47804</v>
      </c>
      <c r="D5801" s="362">
        <f t="shared" ca="1" si="183"/>
        <v>0</v>
      </c>
    </row>
    <row r="5802" spans="1:4">
      <c r="A5802" s="348">
        <f t="shared" si="182"/>
        <v>5801</v>
      </c>
      <c r="B5802" s="360">
        <f>DATE('Profit Calculation'!J$6,A$2,A$2+A5802-1)</f>
        <v>47805</v>
      </c>
      <c r="D5802" s="362">
        <f t="shared" ca="1" si="183"/>
        <v>0</v>
      </c>
    </row>
    <row r="5803" spans="1:4">
      <c r="A5803" s="348">
        <f t="shared" si="182"/>
        <v>5802</v>
      </c>
      <c r="B5803" s="360">
        <f>DATE('Profit Calculation'!J$6,A$2,A$2+A5803-1)</f>
        <v>47806</v>
      </c>
      <c r="D5803" s="362">
        <f t="shared" ca="1" si="183"/>
        <v>0</v>
      </c>
    </row>
    <row r="5804" spans="1:4">
      <c r="A5804" s="348">
        <f t="shared" si="182"/>
        <v>5803</v>
      </c>
      <c r="B5804" s="360">
        <f>DATE('Profit Calculation'!J$6,A$2,A$2+A5804-1)</f>
        <v>47807</v>
      </c>
      <c r="D5804" s="362">
        <f t="shared" ca="1" si="183"/>
        <v>0</v>
      </c>
    </row>
    <row r="5805" spans="1:4">
      <c r="A5805" s="348">
        <f t="shared" si="182"/>
        <v>5804</v>
      </c>
      <c r="B5805" s="360">
        <f>DATE('Profit Calculation'!J$6,A$2,A$2+A5805-1)</f>
        <v>47808</v>
      </c>
      <c r="D5805" s="362">
        <f t="shared" ca="1" si="183"/>
        <v>0</v>
      </c>
    </row>
    <row r="5806" spans="1:4">
      <c r="A5806" s="348">
        <f t="shared" si="182"/>
        <v>5805</v>
      </c>
      <c r="B5806" s="360">
        <f>DATE('Profit Calculation'!J$6,A$2,A$2+A5806-1)</f>
        <v>47809</v>
      </c>
      <c r="D5806" s="362">
        <f t="shared" ca="1" si="183"/>
        <v>0</v>
      </c>
    </row>
    <row r="5807" spans="1:4">
      <c r="A5807" s="348">
        <f t="shared" si="182"/>
        <v>5806</v>
      </c>
      <c r="B5807" s="360">
        <f>DATE('Profit Calculation'!J$6,A$2,A$2+A5807-1)</f>
        <v>47810</v>
      </c>
      <c r="D5807" s="362">
        <f t="shared" ca="1" si="183"/>
        <v>0</v>
      </c>
    </row>
    <row r="5808" spans="1:4">
      <c r="A5808" s="348">
        <f t="shared" si="182"/>
        <v>5807</v>
      </c>
      <c r="B5808" s="360">
        <f>DATE('Profit Calculation'!J$6,A$2,A$2+A5808-1)</f>
        <v>47811</v>
      </c>
      <c r="D5808" s="362">
        <f t="shared" ca="1" si="183"/>
        <v>0</v>
      </c>
    </row>
    <row r="5809" spans="1:4">
      <c r="A5809" s="348">
        <f t="shared" si="182"/>
        <v>5808</v>
      </c>
      <c r="B5809" s="360">
        <f>DATE('Profit Calculation'!J$6,A$2,A$2+A5809-1)</f>
        <v>47812</v>
      </c>
      <c r="D5809" s="362">
        <f t="shared" ca="1" si="183"/>
        <v>0</v>
      </c>
    </row>
    <row r="5810" spans="1:4">
      <c r="A5810" s="348">
        <f t="shared" si="182"/>
        <v>5809</v>
      </c>
      <c r="B5810" s="360">
        <f>DATE('Profit Calculation'!J$6,A$2,A$2+A5810-1)</f>
        <v>47813</v>
      </c>
      <c r="D5810" s="362">
        <f t="shared" ca="1" si="183"/>
        <v>0</v>
      </c>
    </row>
    <row r="5811" spans="1:4">
      <c r="A5811" s="348">
        <f t="shared" si="182"/>
        <v>5810</v>
      </c>
      <c r="B5811" s="360">
        <f>DATE('Profit Calculation'!J$6,A$2,A$2+A5811-1)</f>
        <v>47814</v>
      </c>
      <c r="D5811" s="362">
        <f t="shared" ca="1" si="183"/>
        <v>0</v>
      </c>
    </row>
    <row r="5812" spans="1:4">
      <c r="A5812" s="348">
        <f t="shared" si="182"/>
        <v>5811</v>
      </c>
      <c r="B5812" s="360">
        <f>DATE('Profit Calculation'!J$6,A$2,A$2+A5812-1)</f>
        <v>47815</v>
      </c>
      <c r="D5812" s="362">
        <f t="shared" ca="1" si="183"/>
        <v>0</v>
      </c>
    </row>
    <row r="5813" spans="1:4">
      <c r="A5813" s="348">
        <f t="shared" si="182"/>
        <v>5812</v>
      </c>
      <c r="B5813" s="360">
        <f>DATE('Profit Calculation'!J$6,A$2,A$2+A5813-1)</f>
        <v>47816</v>
      </c>
      <c r="D5813" s="362">
        <f t="shared" ca="1" si="183"/>
        <v>0</v>
      </c>
    </row>
    <row r="5814" spans="1:4">
      <c r="A5814" s="348">
        <f t="shared" si="182"/>
        <v>5813</v>
      </c>
      <c r="B5814" s="360">
        <f>DATE('Profit Calculation'!J$6,A$2,A$2+A5814-1)</f>
        <v>47817</v>
      </c>
      <c r="D5814" s="362">
        <f t="shared" ca="1" si="183"/>
        <v>0</v>
      </c>
    </row>
    <row r="5815" spans="1:4">
      <c r="A5815" s="348">
        <f t="shared" si="182"/>
        <v>5814</v>
      </c>
      <c r="B5815" s="360">
        <f>DATE('Profit Calculation'!J$6,A$2,A$2+A5815-1)</f>
        <v>47818</v>
      </c>
      <c r="D5815" s="362">
        <f t="shared" ca="1" si="183"/>
        <v>0</v>
      </c>
    </row>
    <row r="5816" spans="1:4">
      <c r="A5816" s="348">
        <f t="shared" si="182"/>
        <v>5815</v>
      </c>
      <c r="B5816" s="360">
        <f>DATE('Profit Calculation'!J$6,A$2,A$2+A5816-1)</f>
        <v>47819</v>
      </c>
      <c r="D5816" s="362">
        <f t="shared" ca="1" si="183"/>
        <v>0</v>
      </c>
    </row>
    <row r="5817" spans="1:4">
      <c r="A5817" s="348">
        <f t="shared" si="182"/>
        <v>5816</v>
      </c>
      <c r="B5817" s="360">
        <f>DATE('Profit Calculation'!J$6,A$2,A$2+A5817-1)</f>
        <v>47820</v>
      </c>
      <c r="D5817" s="362">
        <f t="shared" ca="1" si="183"/>
        <v>0</v>
      </c>
    </row>
    <row r="5818" spans="1:4">
      <c r="A5818" s="348">
        <f t="shared" si="182"/>
        <v>5817</v>
      </c>
      <c r="B5818" s="360">
        <f>DATE('Profit Calculation'!J$6,A$2,A$2+A5818-1)</f>
        <v>47821</v>
      </c>
      <c r="D5818" s="362">
        <f t="shared" ca="1" si="183"/>
        <v>0</v>
      </c>
    </row>
    <row r="5819" spans="1:4">
      <c r="A5819" s="348">
        <f t="shared" si="182"/>
        <v>5818</v>
      </c>
      <c r="B5819" s="360">
        <f>DATE('Profit Calculation'!J$6,A$2,A$2+A5819-1)</f>
        <v>47822</v>
      </c>
      <c r="D5819" s="362">
        <f t="shared" ca="1" si="183"/>
        <v>0</v>
      </c>
    </row>
    <row r="5820" spans="1:4">
      <c r="A5820" s="348">
        <f t="shared" si="182"/>
        <v>5819</v>
      </c>
      <c r="B5820" s="360">
        <f>DATE('Profit Calculation'!J$6,A$2,A$2+A5820-1)</f>
        <v>47823</v>
      </c>
      <c r="D5820" s="362">
        <f t="shared" ca="1" si="183"/>
        <v>0</v>
      </c>
    </row>
    <row r="5821" spans="1:4">
      <c r="A5821" s="348">
        <f t="shared" si="182"/>
        <v>5820</v>
      </c>
      <c r="B5821" s="360">
        <f>DATE('Profit Calculation'!J$6,A$2,A$2+A5821-1)</f>
        <v>47824</v>
      </c>
      <c r="D5821" s="362">
        <f t="shared" ca="1" si="183"/>
        <v>0</v>
      </c>
    </row>
    <row r="5822" spans="1:4">
      <c r="A5822" s="348">
        <f t="shared" si="182"/>
        <v>5821</v>
      </c>
      <c r="B5822" s="360">
        <f>DATE('Profit Calculation'!J$6,A$2,A$2+A5822-1)</f>
        <v>47825</v>
      </c>
      <c r="D5822" s="362">
        <f t="shared" ca="1" si="183"/>
        <v>0</v>
      </c>
    </row>
    <row r="5823" spans="1:4">
      <c r="A5823" s="348">
        <f t="shared" si="182"/>
        <v>5822</v>
      </c>
      <c r="B5823" s="360">
        <f>DATE('Profit Calculation'!J$6,A$2,A$2+A5823-1)</f>
        <v>47826</v>
      </c>
      <c r="D5823" s="362">
        <f t="shared" ca="1" si="183"/>
        <v>0</v>
      </c>
    </row>
    <row r="5824" spans="1:4">
      <c r="A5824" s="348">
        <f t="shared" si="182"/>
        <v>5823</v>
      </c>
      <c r="B5824" s="360">
        <f>DATE('Profit Calculation'!J$6,A$2,A$2+A5824-1)</f>
        <v>47827</v>
      </c>
      <c r="D5824" s="362">
        <f t="shared" ca="1" si="183"/>
        <v>0</v>
      </c>
    </row>
    <row r="5825" spans="1:4">
      <c r="A5825" s="348">
        <f t="shared" si="182"/>
        <v>5824</v>
      </c>
      <c r="B5825" s="360">
        <f>DATE('Profit Calculation'!J$6,A$2,A$2+A5825-1)</f>
        <v>47828</v>
      </c>
      <c r="D5825" s="362">
        <f t="shared" ca="1" si="183"/>
        <v>0</v>
      </c>
    </row>
    <row r="5826" spans="1:4">
      <c r="A5826" s="348">
        <f t="shared" si="182"/>
        <v>5825</v>
      </c>
      <c r="B5826" s="360">
        <f>DATE('Profit Calculation'!J$6,A$2,A$2+A5826-1)</f>
        <v>47829</v>
      </c>
      <c r="D5826" s="362">
        <f t="shared" ca="1" si="183"/>
        <v>0</v>
      </c>
    </row>
    <row r="5827" spans="1:4">
      <c r="A5827" s="348">
        <f t="shared" si="182"/>
        <v>5826</v>
      </c>
      <c r="B5827" s="360">
        <f>DATE('Profit Calculation'!J$6,A$2,A$2+A5827-1)</f>
        <v>47830</v>
      </c>
      <c r="D5827" s="362">
        <f t="shared" ca="1" si="183"/>
        <v>0</v>
      </c>
    </row>
    <row r="5828" spans="1:4">
      <c r="A5828" s="348">
        <f t="shared" si="182"/>
        <v>5827</v>
      </c>
      <c r="B5828" s="360">
        <f>DATE('Profit Calculation'!J$6,A$2,A$2+A5828-1)</f>
        <v>47831</v>
      </c>
      <c r="D5828" s="362">
        <f t="shared" ca="1" si="183"/>
        <v>0</v>
      </c>
    </row>
    <row r="5829" spans="1:4">
      <c r="A5829" s="348">
        <f t="shared" ref="A5829:A5892" si="184">A5828+1</f>
        <v>5828</v>
      </c>
      <c r="B5829" s="360">
        <f>DATE('Profit Calculation'!J$6,A$2,A$2+A5829-1)</f>
        <v>47832</v>
      </c>
      <c r="D5829" s="362">
        <f t="shared" ref="D5829:D5892" ca="1" si="185">IF(OR(LOOKUP(B5829,W$1:W$35,W$1:W$35) = B5829, LOOKUP(B5829,X$1:X$35,X$1:X$35) = B5829),LOOKUP(B5829,F:F,G:G),D5828*(1+((IF($Q$18&lt;6,$R$14,IF($Q$18&lt;11,$R$15,$R$16)))))^(1/365))</f>
        <v>0</v>
      </c>
    </row>
    <row r="5830" spans="1:4">
      <c r="A5830" s="348">
        <f t="shared" si="184"/>
        <v>5829</v>
      </c>
      <c r="B5830" s="360">
        <f>DATE('Profit Calculation'!J$6,A$2,A$2+A5830-1)</f>
        <v>47833</v>
      </c>
      <c r="D5830" s="362">
        <f t="shared" ca="1" si="185"/>
        <v>0</v>
      </c>
    </row>
    <row r="5831" spans="1:4">
      <c r="A5831" s="348">
        <f t="shared" si="184"/>
        <v>5830</v>
      </c>
      <c r="B5831" s="360">
        <f>DATE('Profit Calculation'!J$6,A$2,A$2+A5831-1)</f>
        <v>47834</v>
      </c>
      <c r="D5831" s="362">
        <f t="shared" ca="1" si="185"/>
        <v>0</v>
      </c>
    </row>
    <row r="5832" spans="1:4">
      <c r="A5832" s="348">
        <f t="shared" si="184"/>
        <v>5831</v>
      </c>
      <c r="B5832" s="360">
        <f>DATE('Profit Calculation'!J$6,A$2,A$2+A5832-1)</f>
        <v>47835</v>
      </c>
      <c r="D5832" s="362">
        <f t="shared" ca="1" si="185"/>
        <v>0</v>
      </c>
    </row>
    <row r="5833" spans="1:4">
      <c r="A5833" s="348">
        <f t="shared" si="184"/>
        <v>5832</v>
      </c>
      <c r="B5833" s="360">
        <f>DATE('Profit Calculation'!J$6,A$2,A$2+A5833-1)</f>
        <v>47836</v>
      </c>
      <c r="D5833" s="362">
        <f t="shared" ca="1" si="185"/>
        <v>0</v>
      </c>
    </row>
    <row r="5834" spans="1:4">
      <c r="A5834" s="348">
        <f t="shared" si="184"/>
        <v>5833</v>
      </c>
      <c r="B5834" s="360">
        <f>DATE('Profit Calculation'!J$6,A$2,A$2+A5834-1)</f>
        <v>47837</v>
      </c>
      <c r="D5834" s="362">
        <f t="shared" ca="1" si="185"/>
        <v>0</v>
      </c>
    </row>
    <row r="5835" spans="1:4">
      <c r="A5835" s="348">
        <f t="shared" si="184"/>
        <v>5834</v>
      </c>
      <c r="B5835" s="360">
        <f>DATE('Profit Calculation'!J$6,A$2,A$2+A5835-1)</f>
        <v>47838</v>
      </c>
      <c r="D5835" s="362">
        <f t="shared" ca="1" si="185"/>
        <v>0</v>
      </c>
    </row>
    <row r="5836" spans="1:4">
      <c r="A5836" s="348">
        <f t="shared" si="184"/>
        <v>5835</v>
      </c>
      <c r="B5836" s="360">
        <f>DATE('Profit Calculation'!J$6,A$2,A$2+A5836-1)</f>
        <v>47839</v>
      </c>
      <c r="D5836" s="362">
        <f t="shared" ca="1" si="185"/>
        <v>0</v>
      </c>
    </row>
    <row r="5837" spans="1:4">
      <c r="A5837" s="348">
        <f t="shared" si="184"/>
        <v>5836</v>
      </c>
      <c r="B5837" s="360">
        <f>DATE('Profit Calculation'!J$6,A$2,A$2+A5837-1)</f>
        <v>47840</v>
      </c>
      <c r="D5837" s="362">
        <f t="shared" ca="1" si="185"/>
        <v>0</v>
      </c>
    </row>
    <row r="5838" spans="1:4">
      <c r="A5838" s="348">
        <f t="shared" si="184"/>
        <v>5837</v>
      </c>
      <c r="B5838" s="360">
        <f>DATE('Profit Calculation'!J$6,A$2,A$2+A5838-1)</f>
        <v>47841</v>
      </c>
      <c r="D5838" s="362">
        <f t="shared" ca="1" si="185"/>
        <v>0</v>
      </c>
    </row>
    <row r="5839" spans="1:4">
      <c r="A5839" s="348">
        <f t="shared" si="184"/>
        <v>5838</v>
      </c>
      <c r="B5839" s="360">
        <f>DATE('Profit Calculation'!J$6,A$2,A$2+A5839-1)</f>
        <v>47842</v>
      </c>
      <c r="D5839" s="362">
        <f t="shared" ca="1" si="185"/>
        <v>0</v>
      </c>
    </row>
    <row r="5840" spans="1:4">
      <c r="A5840" s="348">
        <f t="shared" si="184"/>
        <v>5839</v>
      </c>
      <c r="B5840" s="360">
        <f>DATE('Profit Calculation'!J$6,A$2,A$2+A5840-1)</f>
        <v>47843</v>
      </c>
      <c r="D5840" s="362">
        <f t="shared" ca="1" si="185"/>
        <v>0</v>
      </c>
    </row>
    <row r="5841" spans="1:4">
      <c r="A5841" s="348">
        <f t="shared" si="184"/>
        <v>5840</v>
      </c>
      <c r="B5841" s="360">
        <f>DATE('Profit Calculation'!J$6,A$2,A$2+A5841-1)</f>
        <v>47844</v>
      </c>
      <c r="D5841" s="362">
        <f t="shared" ca="1" si="185"/>
        <v>0</v>
      </c>
    </row>
    <row r="5842" spans="1:4">
      <c r="A5842" s="348">
        <f t="shared" si="184"/>
        <v>5841</v>
      </c>
      <c r="B5842" s="360">
        <f>DATE('Profit Calculation'!J$6,A$2,A$2+A5842-1)</f>
        <v>47845</v>
      </c>
      <c r="D5842" s="362">
        <f t="shared" ca="1" si="185"/>
        <v>0</v>
      </c>
    </row>
    <row r="5843" spans="1:4">
      <c r="A5843" s="348">
        <f t="shared" si="184"/>
        <v>5842</v>
      </c>
      <c r="B5843" s="360">
        <f>DATE('Profit Calculation'!J$6,A$2,A$2+A5843-1)</f>
        <v>47846</v>
      </c>
      <c r="D5843" s="362">
        <f t="shared" ca="1" si="185"/>
        <v>0</v>
      </c>
    </row>
    <row r="5844" spans="1:4">
      <c r="A5844" s="348">
        <f t="shared" si="184"/>
        <v>5843</v>
      </c>
      <c r="B5844" s="360">
        <f>DATE('Profit Calculation'!J$6,A$2,A$2+A5844-1)</f>
        <v>47847</v>
      </c>
      <c r="D5844" s="362">
        <f t="shared" ca="1" si="185"/>
        <v>0</v>
      </c>
    </row>
    <row r="5845" spans="1:4">
      <c r="A5845" s="348">
        <f t="shared" si="184"/>
        <v>5844</v>
      </c>
      <c r="B5845" s="360">
        <f>DATE('Profit Calculation'!J$6,A$2,A$2+A5845-1)</f>
        <v>47848</v>
      </c>
      <c r="D5845" s="362">
        <f t="shared" ca="1" si="185"/>
        <v>0</v>
      </c>
    </row>
    <row r="5846" spans="1:4">
      <c r="A5846" s="348">
        <f t="shared" si="184"/>
        <v>5845</v>
      </c>
      <c r="B5846" s="360">
        <f>DATE('Profit Calculation'!J$6,A$2,A$2+A5846-1)</f>
        <v>47849</v>
      </c>
      <c r="D5846" s="362">
        <f t="shared" ca="1" si="185"/>
        <v>0</v>
      </c>
    </row>
    <row r="5847" spans="1:4">
      <c r="A5847" s="348">
        <f t="shared" si="184"/>
        <v>5846</v>
      </c>
      <c r="B5847" s="360">
        <f>DATE('Profit Calculation'!J$6,A$2,A$2+A5847-1)</f>
        <v>47850</v>
      </c>
      <c r="D5847" s="362">
        <f t="shared" ca="1" si="185"/>
        <v>0</v>
      </c>
    </row>
    <row r="5848" spans="1:4">
      <c r="A5848" s="348">
        <f t="shared" si="184"/>
        <v>5847</v>
      </c>
      <c r="B5848" s="360">
        <f>DATE('Profit Calculation'!J$6,A$2,A$2+A5848-1)</f>
        <v>47851</v>
      </c>
      <c r="D5848" s="362">
        <f t="shared" ca="1" si="185"/>
        <v>0</v>
      </c>
    </row>
    <row r="5849" spans="1:4">
      <c r="A5849" s="348">
        <f t="shared" si="184"/>
        <v>5848</v>
      </c>
      <c r="B5849" s="360">
        <f>DATE('Profit Calculation'!J$6,A$2,A$2+A5849-1)</f>
        <v>47852</v>
      </c>
      <c r="D5849" s="362">
        <f t="shared" ca="1" si="185"/>
        <v>0</v>
      </c>
    </row>
    <row r="5850" spans="1:4">
      <c r="A5850" s="348">
        <f t="shared" si="184"/>
        <v>5849</v>
      </c>
      <c r="B5850" s="360">
        <f>DATE('Profit Calculation'!J$6,A$2,A$2+A5850-1)</f>
        <v>47853</v>
      </c>
      <c r="D5850" s="362">
        <f t="shared" ca="1" si="185"/>
        <v>0</v>
      </c>
    </row>
    <row r="5851" spans="1:4">
      <c r="A5851" s="348">
        <f t="shared" si="184"/>
        <v>5850</v>
      </c>
      <c r="B5851" s="360">
        <f>DATE('Profit Calculation'!J$6,A$2,A$2+A5851-1)</f>
        <v>47854</v>
      </c>
      <c r="D5851" s="362">
        <f t="shared" ca="1" si="185"/>
        <v>0</v>
      </c>
    </row>
    <row r="5852" spans="1:4">
      <c r="A5852" s="348">
        <f t="shared" si="184"/>
        <v>5851</v>
      </c>
      <c r="B5852" s="360">
        <f>DATE('Profit Calculation'!J$6,A$2,A$2+A5852-1)</f>
        <v>47855</v>
      </c>
      <c r="D5852" s="362">
        <f t="shared" ca="1" si="185"/>
        <v>0</v>
      </c>
    </row>
    <row r="5853" spans="1:4">
      <c r="A5853" s="348">
        <f t="shared" si="184"/>
        <v>5852</v>
      </c>
      <c r="B5853" s="360">
        <f>DATE('Profit Calculation'!J$6,A$2,A$2+A5853-1)</f>
        <v>47856</v>
      </c>
      <c r="D5853" s="362">
        <f t="shared" ca="1" si="185"/>
        <v>0</v>
      </c>
    </row>
    <row r="5854" spans="1:4">
      <c r="A5854" s="348">
        <f t="shared" si="184"/>
        <v>5853</v>
      </c>
      <c r="B5854" s="360">
        <f>DATE('Profit Calculation'!J$6,A$2,A$2+A5854-1)</f>
        <v>47857</v>
      </c>
      <c r="D5854" s="362">
        <f t="shared" ca="1" si="185"/>
        <v>0</v>
      </c>
    </row>
    <row r="5855" spans="1:4">
      <c r="A5855" s="348">
        <f t="shared" si="184"/>
        <v>5854</v>
      </c>
      <c r="B5855" s="360">
        <f>DATE('Profit Calculation'!J$6,A$2,A$2+A5855-1)</f>
        <v>47858</v>
      </c>
      <c r="D5855" s="362">
        <f t="shared" ca="1" si="185"/>
        <v>0</v>
      </c>
    </row>
    <row r="5856" spans="1:4">
      <c r="A5856" s="348">
        <f t="shared" si="184"/>
        <v>5855</v>
      </c>
      <c r="B5856" s="360">
        <f>DATE('Profit Calculation'!J$6,A$2,A$2+A5856-1)</f>
        <v>47859</v>
      </c>
      <c r="D5856" s="362">
        <f t="shared" ca="1" si="185"/>
        <v>0</v>
      </c>
    </row>
    <row r="5857" spans="1:4">
      <c r="A5857" s="348">
        <f t="shared" si="184"/>
        <v>5856</v>
      </c>
      <c r="B5857" s="360">
        <f>DATE('Profit Calculation'!J$6,A$2,A$2+A5857-1)</f>
        <v>47860</v>
      </c>
      <c r="D5857" s="362">
        <f t="shared" ca="1" si="185"/>
        <v>0</v>
      </c>
    </row>
    <row r="5858" spans="1:4">
      <c r="A5858" s="348">
        <f t="shared" si="184"/>
        <v>5857</v>
      </c>
      <c r="B5858" s="360">
        <f>DATE('Profit Calculation'!J$6,A$2,A$2+A5858-1)</f>
        <v>47861</v>
      </c>
      <c r="D5858" s="362">
        <f t="shared" ca="1" si="185"/>
        <v>0</v>
      </c>
    </row>
    <row r="5859" spans="1:4">
      <c r="A5859" s="348">
        <f t="shared" si="184"/>
        <v>5858</v>
      </c>
      <c r="B5859" s="360">
        <f>DATE('Profit Calculation'!J$6,A$2,A$2+A5859-1)</f>
        <v>47862</v>
      </c>
      <c r="D5859" s="362">
        <f t="shared" ca="1" si="185"/>
        <v>0</v>
      </c>
    </row>
    <row r="5860" spans="1:4">
      <c r="A5860" s="348">
        <f t="shared" si="184"/>
        <v>5859</v>
      </c>
      <c r="B5860" s="360">
        <f>DATE('Profit Calculation'!J$6,A$2,A$2+A5860-1)</f>
        <v>47863</v>
      </c>
      <c r="D5860" s="362">
        <f t="shared" ca="1" si="185"/>
        <v>0</v>
      </c>
    </row>
    <row r="5861" spans="1:4">
      <c r="A5861" s="348">
        <f t="shared" si="184"/>
        <v>5860</v>
      </c>
      <c r="B5861" s="360">
        <f>DATE('Profit Calculation'!J$6,A$2,A$2+A5861-1)</f>
        <v>47864</v>
      </c>
      <c r="D5861" s="362">
        <f t="shared" ca="1" si="185"/>
        <v>0</v>
      </c>
    </row>
    <row r="5862" spans="1:4">
      <c r="A5862" s="348">
        <f t="shared" si="184"/>
        <v>5861</v>
      </c>
      <c r="B5862" s="360">
        <f>DATE('Profit Calculation'!J$6,A$2,A$2+A5862-1)</f>
        <v>47865</v>
      </c>
      <c r="D5862" s="362">
        <f t="shared" ca="1" si="185"/>
        <v>0</v>
      </c>
    </row>
    <row r="5863" spans="1:4">
      <c r="A5863" s="348">
        <f t="shared" si="184"/>
        <v>5862</v>
      </c>
      <c r="B5863" s="360">
        <f>DATE('Profit Calculation'!J$6,A$2,A$2+A5863-1)</f>
        <v>47866</v>
      </c>
      <c r="D5863" s="362">
        <f t="shared" ca="1" si="185"/>
        <v>0</v>
      </c>
    </row>
    <row r="5864" spans="1:4">
      <c r="A5864" s="348">
        <f t="shared" si="184"/>
        <v>5863</v>
      </c>
      <c r="B5864" s="360">
        <f>DATE('Profit Calculation'!J$6,A$2,A$2+A5864-1)</f>
        <v>47867</v>
      </c>
      <c r="D5864" s="362">
        <f t="shared" ca="1" si="185"/>
        <v>0</v>
      </c>
    </row>
    <row r="5865" spans="1:4">
      <c r="A5865" s="348">
        <f t="shared" si="184"/>
        <v>5864</v>
      </c>
      <c r="B5865" s="360">
        <f>DATE('Profit Calculation'!J$6,A$2,A$2+A5865-1)</f>
        <v>47868</v>
      </c>
      <c r="D5865" s="362">
        <f t="shared" ca="1" si="185"/>
        <v>0</v>
      </c>
    </row>
    <row r="5866" spans="1:4">
      <c r="A5866" s="348">
        <f t="shared" si="184"/>
        <v>5865</v>
      </c>
      <c r="B5866" s="360">
        <f>DATE('Profit Calculation'!J$6,A$2,A$2+A5866-1)</f>
        <v>47869</v>
      </c>
      <c r="D5866" s="362">
        <f t="shared" ca="1" si="185"/>
        <v>0</v>
      </c>
    </row>
    <row r="5867" spans="1:4">
      <c r="A5867" s="348">
        <f t="shared" si="184"/>
        <v>5866</v>
      </c>
      <c r="B5867" s="360">
        <f>DATE('Profit Calculation'!J$6,A$2,A$2+A5867-1)</f>
        <v>47870</v>
      </c>
      <c r="D5867" s="362">
        <f t="shared" ca="1" si="185"/>
        <v>0</v>
      </c>
    </row>
    <row r="5868" spans="1:4">
      <c r="A5868" s="348">
        <f t="shared" si="184"/>
        <v>5867</v>
      </c>
      <c r="B5868" s="360">
        <f>DATE('Profit Calculation'!J$6,A$2,A$2+A5868-1)</f>
        <v>47871</v>
      </c>
      <c r="D5868" s="362">
        <f t="shared" ca="1" si="185"/>
        <v>0</v>
      </c>
    </row>
    <row r="5869" spans="1:4">
      <c r="A5869" s="348">
        <f t="shared" si="184"/>
        <v>5868</v>
      </c>
      <c r="B5869" s="360">
        <f>DATE('Profit Calculation'!J$6,A$2,A$2+A5869-1)</f>
        <v>47872</v>
      </c>
      <c r="D5869" s="362">
        <f t="shared" ca="1" si="185"/>
        <v>0</v>
      </c>
    </row>
    <row r="5870" spans="1:4">
      <c r="A5870" s="348">
        <f t="shared" si="184"/>
        <v>5869</v>
      </c>
      <c r="B5870" s="360">
        <f>DATE('Profit Calculation'!J$6,A$2,A$2+A5870-1)</f>
        <v>47873</v>
      </c>
      <c r="D5870" s="362">
        <f t="shared" ca="1" si="185"/>
        <v>0</v>
      </c>
    </row>
    <row r="5871" spans="1:4">
      <c r="A5871" s="348">
        <f t="shared" si="184"/>
        <v>5870</v>
      </c>
      <c r="B5871" s="360">
        <f>DATE('Profit Calculation'!J$6,A$2,A$2+A5871-1)</f>
        <v>47874</v>
      </c>
      <c r="D5871" s="362">
        <f t="shared" ca="1" si="185"/>
        <v>0</v>
      </c>
    </row>
    <row r="5872" spans="1:4">
      <c r="A5872" s="348">
        <f t="shared" si="184"/>
        <v>5871</v>
      </c>
      <c r="B5872" s="360">
        <f>DATE('Profit Calculation'!J$6,A$2,A$2+A5872-1)</f>
        <v>47875</v>
      </c>
      <c r="D5872" s="362">
        <f t="shared" ca="1" si="185"/>
        <v>0</v>
      </c>
    </row>
    <row r="5873" spans="1:4">
      <c r="A5873" s="348">
        <f t="shared" si="184"/>
        <v>5872</v>
      </c>
      <c r="B5873" s="360">
        <f>DATE('Profit Calculation'!J$6,A$2,A$2+A5873-1)</f>
        <v>47876</v>
      </c>
      <c r="D5873" s="362">
        <f t="shared" ca="1" si="185"/>
        <v>0</v>
      </c>
    </row>
    <row r="5874" spans="1:4">
      <c r="A5874" s="348">
        <f t="shared" si="184"/>
        <v>5873</v>
      </c>
      <c r="B5874" s="360">
        <f>DATE('Profit Calculation'!J$6,A$2,A$2+A5874-1)</f>
        <v>47877</v>
      </c>
      <c r="D5874" s="362">
        <f t="shared" ca="1" si="185"/>
        <v>0</v>
      </c>
    </row>
    <row r="5875" spans="1:4">
      <c r="A5875" s="348">
        <f t="shared" si="184"/>
        <v>5874</v>
      </c>
      <c r="B5875" s="360">
        <f>DATE('Profit Calculation'!J$6,A$2,A$2+A5875-1)</f>
        <v>47878</v>
      </c>
      <c r="D5875" s="362">
        <f t="shared" ca="1" si="185"/>
        <v>0</v>
      </c>
    </row>
    <row r="5876" spans="1:4">
      <c r="A5876" s="348">
        <f t="shared" si="184"/>
        <v>5875</v>
      </c>
      <c r="B5876" s="360">
        <f>DATE('Profit Calculation'!J$6,A$2,A$2+A5876-1)</f>
        <v>47879</v>
      </c>
      <c r="D5876" s="362">
        <f t="shared" ca="1" si="185"/>
        <v>0</v>
      </c>
    </row>
    <row r="5877" spans="1:4">
      <c r="A5877" s="348">
        <f t="shared" si="184"/>
        <v>5876</v>
      </c>
      <c r="B5877" s="360">
        <f>DATE('Profit Calculation'!J$6,A$2,A$2+A5877-1)</f>
        <v>47880</v>
      </c>
      <c r="D5877" s="362">
        <f t="shared" ca="1" si="185"/>
        <v>0</v>
      </c>
    </row>
    <row r="5878" spans="1:4">
      <c r="A5878" s="348">
        <f t="shared" si="184"/>
        <v>5877</v>
      </c>
      <c r="B5878" s="360">
        <f>DATE('Profit Calculation'!J$6,A$2,A$2+A5878-1)</f>
        <v>47881</v>
      </c>
      <c r="D5878" s="362">
        <f t="shared" ca="1" si="185"/>
        <v>0</v>
      </c>
    </row>
    <row r="5879" spans="1:4">
      <c r="A5879" s="348">
        <f t="shared" si="184"/>
        <v>5878</v>
      </c>
      <c r="B5879" s="360">
        <f>DATE('Profit Calculation'!J$6,A$2,A$2+A5879-1)</f>
        <v>47882</v>
      </c>
      <c r="D5879" s="362">
        <f t="shared" ca="1" si="185"/>
        <v>0</v>
      </c>
    </row>
    <row r="5880" spans="1:4">
      <c r="A5880" s="348">
        <f t="shared" si="184"/>
        <v>5879</v>
      </c>
      <c r="B5880" s="360">
        <f>DATE('Profit Calculation'!J$6,A$2,A$2+A5880-1)</f>
        <v>47883</v>
      </c>
      <c r="D5880" s="362">
        <f t="shared" ca="1" si="185"/>
        <v>0</v>
      </c>
    </row>
    <row r="5881" spans="1:4">
      <c r="A5881" s="348">
        <f t="shared" si="184"/>
        <v>5880</v>
      </c>
      <c r="B5881" s="360">
        <f>DATE('Profit Calculation'!J$6,A$2,A$2+A5881-1)</f>
        <v>47884</v>
      </c>
      <c r="D5881" s="362">
        <f t="shared" ca="1" si="185"/>
        <v>0</v>
      </c>
    </row>
    <row r="5882" spans="1:4">
      <c r="A5882" s="348">
        <f t="shared" si="184"/>
        <v>5881</v>
      </c>
      <c r="B5882" s="360">
        <f>DATE('Profit Calculation'!J$6,A$2,A$2+A5882-1)</f>
        <v>47885</v>
      </c>
      <c r="D5882" s="362">
        <f t="shared" ca="1" si="185"/>
        <v>0</v>
      </c>
    </row>
    <row r="5883" spans="1:4">
      <c r="A5883" s="348">
        <f t="shared" si="184"/>
        <v>5882</v>
      </c>
      <c r="B5883" s="360">
        <f>DATE('Profit Calculation'!J$6,A$2,A$2+A5883-1)</f>
        <v>47886</v>
      </c>
      <c r="D5883" s="362">
        <f t="shared" ca="1" si="185"/>
        <v>0</v>
      </c>
    </row>
    <row r="5884" spans="1:4">
      <c r="A5884" s="348">
        <f t="shared" si="184"/>
        <v>5883</v>
      </c>
      <c r="B5884" s="360">
        <f>DATE('Profit Calculation'!J$6,A$2,A$2+A5884-1)</f>
        <v>47887</v>
      </c>
      <c r="D5884" s="362">
        <f t="shared" ca="1" si="185"/>
        <v>0</v>
      </c>
    </row>
    <row r="5885" spans="1:4">
      <c r="A5885" s="348">
        <f t="shared" si="184"/>
        <v>5884</v>
      </c>
      <c r="B5885" s="360">
        <f>DATE('Profit Calculation'!J$6,A$2,A$2+A5885-1)</f>
        <v>47888</v>
      </c>
      <c r="D5885" s="362">
        <f t="shared" ca="1" si="185"/>
        <v>0</v>
      </c>
    </row>
    <row r="5886" spans="1:4">
      <c r="A5886" s="348">
        <f t="shared" si="184"/>
        <v>5885</v>
      </c>
      <c r="B5886" s="360">
        <f>DATE('Profit Calculation'!J$6,A$2,A$2+A5886-1)</f>
        <v>47889</v>
      </c>
      <c r="D5886" s="362">
        <f t="shared" ca="1" si="185"/>
        <v>0</v>
      </c>
    </row>
    <row r="5887" spans="1:4">
      <c r="A5887" s="348">
        <f t="shared" si="184"/>
        <v>5886</v>
      </c>
      <c r="B5887" s="360">
        <f>DATE('Profit Calculation'!J$6,A$2,A$2+A5887-1)</f>
        <v>47890</v>
      </c>
      <c r="D5887" s="362">
        <f t="shared" ca="1" si="185"/>
        <v>0</v>
      </c>
    </row>
    <row r="5888" spans="1:4">
      <c r="A5888" s="348">
        <f t="shared" si="184"/>
        <v>5887</v>
      </c>
      <c r="B5888" s="360">
        <f>DATE('Profit Calculation'!J$6,A$2,A$2+A5888-1)</f>
        <v>47891</v>
      </c>
      <c r="D5888" s="362">
        <f t="shared" ca="1" si="185"/>
        <v>0</v>
      </c>
    </row>
    <row r="5889" spans="1:4">
      <c r="A5889" s="348">
        <f t="shared" si="184"/>
        <v>5888</v>
      </c>
      <c r="B5889" s="360">
        <f>DATE('Profit Calculation'!J$6,A$2,A$2+A5889-1)</f>
        <v>47892</v>
      </c>
      <c r="D5889" s="362">
        <f t="shared" ca="1" si="185"/>
        <v>0</v>
      </c>
    </row>
    <row r="5890" spans="1:4">
      <c r="A5890" s="348">
        <f t="shared" si="184"/>
        <v>5889</v>
      </c>
      <c r="B5890" s="360">
        <f>DATE('Profit Calculation'!J$6,A$2,A$2+A5890-1)</f>
        <v>47893</v>
      </c>
      <c r="D5890" s="362">
        <f t="shared" ca="1" si="185"/>
        <v>0</v>
      </c>
    </row>
    <row r="5891" spans="1:4">
      <c r="A5891" s="348">
        <f t="shared" si="184"/>
        <v>5890</v>
      </c>
      <c r="B5891" s="360">
        <f>DATE('Profit Calculation'!J$6,A$2,A$2+A5891-1)</f>
        <v>47894</v>
      </c>
      <c r="D5891" s="362">
        <f t="shared" ca="1" si="185"/>
        <v>0</v>
      </c>
    </row>
    <row r="5892" spans="1:4">
      <c r="A5892" s="348">
        <f t="shared" si="184"/>
        <v>5891</v>
      </c>
      <c r="B5892" s="360">
        <f>DATE('Profit Calculation'!J$6,A$2,A$2+A5892-1)</f>
        <v>47895</v>
      </c>
      <c r="D5892" s="362">
        <f t="shared" ca="1" si="185"/>
        <v>0</v>
      </c>
    </row>
    <row r="5893" spans="1:4">
      <c r="A5893" s="348">
        <f t="shared" ref="A5893:A5956" si="186">A5892+1</f>
        <v>5892</v>
      </c>
      <c r="B5893" s="360">
        <f>DATE('Profit Calculation'!J$6,A$2,A$2+A5893-1)</f>
        <v>47896</v>
      </c>
      <c r="D5893" s="362">
        <f t="shared" ref="D5893:D5956" ca="1" si="187">IF(OR(LOOKUP(B5893,W$1:W$35,W$1:W$35) = B5893, LOOKUP(B5893,X$1:X$35,X$1:X$35) = B5893),LOOKUP(B5893,F:F,G:G),D5892*(1+((IF($Q$18&lt;6,$R$14,IF($Q$18&lt;11,$R$15,$R$16)))))^(1/365))</f>
        <v>0</v>
      </c>
    </row>
    <row r="5894" spans="1:4">
      <c r="A5894" s="348">
        <f t="shared" si="186"/>
        <v>5893</v>
      </c>
      <c r="B5894" s="360">
        <f>DATE('Profit Calculation'!J$6,A$2,A$2+A5894-1)</f>
        <v>47897</v>
      </c>
      <c r="D5894" s="362">
        <f t="shared" ca="1" si="187"/>
        <v>0</v>
      </c>
    </row>
    <row r="5895" spans="1:4">
      <c r="A5895" s="348">
        <f t="shared" si="186"/>
        <v>5894</v>
      </c>
      <c r="B5895" s="360">
        <f>DATE('Profit Calculation'!J$6,A$2,A$2+A5895-1)</f>
        <v>47898</v>
      </c>
      <c r="D5895" s="362">
        <f t="shared" ca="1" si="187"/>
        <v>0</v>
      </c>
    </row>
    <row r="5896" spans="1:4">
      <c r="A5896" s="348">
        <f t="shared" si="186"/>
        <v>5895</v>
      </c>
      <c r="B5896" s="360">
        <f>DATE('Profit Calculation'!J$6,A$2,A$2+A5896-1)</f>
        <v>47899</v>
      </c>
      <c r="D5896" s="362">
        <f t="shared" ca="1" si="187"/>
        <v>0</v>
      </c>
    </row>
    <row r="5897" spans="1:4">
      <c r="A5897" s="348">
        <f t="shared" si="186"/>
        <v>5896</v>
      </c>
      <c r="B5897" s="360">
        <f>DATE('Profit Calculation'!J$6,A$2,A$2+A5897-1)</f>
        <v>47900</v>
      </c>
      <c r="D5897" s="362">
        <f t="shared" ca="1" si="187"/>
        <v>0</v>
      </c>
    </row>
    <row r="5898" spans="1:4">
      <c r="A5898" s="348">
        <f t="shared" si="186"/>
        <v>5897</v>
      </c>
      <c r="B5898" s="360">
        <f>DATE('Profit Calculation'!J$6,A$2,A$2+A5898-1)</f>
        <v>47901</v>
      </c>
      <c r="D5898" s="362">
        <f t="shared" ca="1" si="187"/>
        <v>0</v>
      </c>
    </row>
    <row r="5899" spans="1:4">
      <c r="A5899" s="348">
        <f t="shared" si="186"/>
        <v>5898</v>
      </c>
      <c r="B5899" s="360">
        <f>DATE('Profit Calculation'!J$6,A$2,A$2+A5899-1)</f>
        <v>47902</v>
      </c>
      <c r="D5899" s="362">
        <f t="shared" ca="1" si="187"/>
        <v>0</v>
      </c>
    </row>
    <row r="5900" spans="1:4">
      <c r="A5900" s="348">
        <f t="shared" si="186"/>
        <v>5899</v>
      </c>
      <c r="B5900" s="360">
        <f>DATE('Profit Calculation'!J$6,A$2,A$2+A5900-1)</f>
        <v>47903</v>
      </c>
      <c r="D5900" s="362">
        <f t="shared" ca="1" si="187"/>
        <v>0</v>
      </c>
    </row>
    <row r="5901" spans="1:4">
      <c r="A5901" s="348">
        <f t="shared" si="186"/>
        <v>5900</v>
      </c>
      <c r="B5901" s="360">
        <f>DATE('Profit Calculation'!J$6,A$2,A$2+A5901-1)</f>
        <v>47904</v>
      </c>
      <c r="D5901" s="362">
        <f t="shared" ca="1" si="187"/>
        <v>0</v>
      </c>
    </row>
    <row r="5902" spans="1:4">
      <c r="A5902" s="348">
        <f t="shared" si="186"/>
        <v>5901</v>
      </c>
      <c r="B5902" s="360">
        <f>DATE('Profit Calculation'!J$6,A$2,A$2+A5902-1)</f>
        <v>47905</v>
      </c>
      <c r="D5902" s="362">
        <f t="shared" ca="1" si="187"/>
        <v>0</v>
      </c>
    </row>
    <row r="5903" spans="1:4">
      <c r="A5903" s="348">
        <f t="shared" si="186"/>
        <v>5902</v>
      </c>
      <c r="B5903" s="360">
        <f>DATE('Profit Calculation'!J$6,A$2,A$2+A5903-1)</f>
        <v>47906</v>
      </c>
      <c r="D5903" s="362">
        <f t="shared" ca="1" si="187"/>
        <v>0</v>
      </c>
    </row>
    <row r="5904" spans="1:4">
      <c r="A5904" s="348">
        <f t="shared" si="186"/>
        <v>5903</v>
      </c>
      <c r="B5904" s="360">
        <f>DATE('Profit Calculation'!J$6,A$2,A$2+A5904-1)</f>
        <v>47907</v>
      </c>
      <c r="D5904" s="362">
        <f t="shared" ca="1" si="187"/>
        <v>0</v>
      </c>
    </row>
    <row r="5905" spans="1:4">
      <c r="A5905" s="348">
        <f t="shared" si="186"/>
        <v>5904</v>
      </c>
      <c r="B5905" s="360">
        <f>DATE('Profit Calculation'!J$6,A$2,A$2+A5905-1)</f>
        <v>47908</v>
      </c>
      <c r="D5905" s="362">
        <f t="shared" ca="1" si="187"/>
        <v>0</v>
      </c>
    </row>
    <row r="5906" spans="1:4">
      <c r="A5906" s="348">
        <f t="shared" si="186"/>
        <v>5905</v>
      </c>
      <c r="B5906" s="360">
        <f>DATE('Profit Calculation'!J$6,A$2,A$2+A5906-1)</f>
        <v>47909</v>
      </c>
      <c r="D5906" s="362">
        <f t="shared" ca="1" si="187"/>
        <v>0</v>
      </c>
    </row>
    <row r="5907" spans="1:4">
      <c r="A5907" s="348">
        <f t="shared" si="186"/>
        <v>5906</v>
      </c>
      <c r="B5907" s="360">
        <f>DATE('Profit Calculation'!J$6,A$2,A$2+A5907-1)</f>
        <v>47910</v>
      </c>
      <c r="D5907" s="362">
        <f t="shared" ca="1" si="187"/>
        <v>0</v>
      </c>
    </row>
    <row r="5908" spans="1:4">
      <c r="A5908" s="348">
        <f t="shared" si="186"/>
        <v>5907</v>
      </c>
      <c r="B5908" s="360">
        <f>DATE('Profit Calculation'!J$6,A$2,A$2+A5908-1)</f>
        <v>47911</v>
      </c>
      <c r="D5908" s="362">
        <f t="shared" ca="1" si="187"/>
        <v>0</v>
      </c>
    </row>
    <row r="5909" spans="1:4">
      <c r="A5909" s="348">
        <f t="shared" si="186"/>
        <v>5908</v>
      </c>
      <c r="B5909" s="360">
        <f>DATE('Profit Calculation'!J$6,A$2,A$2+A5909-1)</f>
        <v>47912</v>
      </c>
      <c r="D5909" s="362">
        <f t="shared" ca="1" si="187"/>
        <v>0</v>
      </c>
    </row>
    <row r="5910" spans="1:4">
      <c r="A5910" s="348">
        <f t="shared" si="186"/>
        <v>5909</v>
      </c>
      <c r="B5910" s="360">
        <f>DATE('Profit Calculation'!J$6,A$2,A$2+A5910-1)</f>
        <v>47913</v>
      </c>
      <c r="D5910" s="362">
        <f t="shared" ca="1" si="187"/>
        <v>0</v>
      </c>
    </row>
    <row r="5911" spans="1:4">
      <c r="A5911" s="348">
        <f t="shared" si="186"/>
        <v>5910</v>
      </c>
      <c r="B5911" s="360">
        <f>DATE('Profit Calculation'!J$6,A$2,A$2+A5911-1)</f>
        <v>47914</v>
      </c>
      <c r="D5911" s="362">
        <f t="shared" ca="1" si="187"/>
        <v>0</v>
      </c>
    </row>
    <row r="5912" spans="1:4">
      <c r="A5912" s="348">
        <f t="shared" si="186"/>
        <v>5911</v>
      </c>
      <c r="B5912" s="360">
        <f>DATE('Profit Calculation'!J$6,A$2,A$2+A5912-1)</f>
        <v>47915</v>
      </c>
      <c r="D5912" s="362">
        <f t="shared" ca="1" si="187"/>
        <v>0</v>
      </c>
    </row>
    <row r="5913" spans="1:4">
      <c r="A5913" s="348">
        <f t="shared" si="186"/>
        <v>5912</v>
      </c>
      <c r="B5913" s="360">
        <f>DATE('Profit Calculation'!J$6,A$2,A$2+A5913-1)</f>
        <v>47916</v>
      </c>
      <c r="D5913" s="362">
        <f t="shared" ca="1" si="187"/>
        <v>0</v>
      </c>
    </row>
    <row r="5914" spans="1:4">
      <c r="A5914" s="348">
        <f t="shared" si="186"/>
        <v>5913</v>
      </c>
      <c r="B5914" s="360">
        <f>DATE('Profit Calculation'!J$6,A$2,A$2+A5914-1)</f>
        <v>47917</v>
      </c>
      <c r="D5914" s="362">
        <f t="shared" ca="1" si="187"/>
        <v>0</v>
      </c>
    </row>
    <row r="5915" spans="1:4">
      <c r="A5915" s="348">
        <f t="shared" si="186"/>
        <v>5914</v>
      </c>
      <c r="B5915" s="360">
        <f>DATE('Profit Calculation'!J$6,A$2,A$2+A5915-1)</f>
        <v>47918</v>
      </c>
      <c r="D5915" s="362">
        <f t="shared" ca="1" si="187"/>
        <v>0</v>
      </c>
    </row>
    <row r="5916" spans="1:4">
      <c r="A5916" s="348">
        <f t="shared" si="186"/>
        <v>5915</v>
      </c>
      <c r="B5916" s="360">
        <f>DATE('Profit Calculation'!J$6,A$2,A$2+A5916-1)</f>
        <v>47919</v>
      </c>
      <c r="D5916" s="362">
        <f t="shared" ca="1" si="187"/>
        <v>0</v>
      </c>
    </row>
    <row r="5917" spans="1:4">
      <c r="A5917" s="348">
        <f t="shared" si="186"/>
        <v>5916</v>
      </c>
      <c r="B5917" s="360">
        <f>DATE('Profit Calculation'!J$6,A$2,A$2+A5917-1)</f>
        <v>47920</v>
      </c>
      <c r="D5917" s="362">
        <f t="shared" ca="1" si="187"/>
        <v>0</v>
      </c>
    </row>
    <row r="5918" spans="1:4">
      <c r="A5918" s="348">
        <f t="shared" si="186"/>
        <v>5917</v>
      </c>
      <c r="B5918" s="360">
        <f>DATE('Profit Calculation'!J$6,A$2,A$2+A5918-1)</f>
        <v>47921</v>
      </c>
      <c r="D5918" s="362">
        <f t="shared" ca="1" si="187"/>
        <v>0</v>
      </c>
    </row>
    <row r="5919" spans="1:4">
      <c r="A5919" s="348">
        <f t="shared" si="186"/>
        <v>5918</v>
      </c>
      <c r="B5919" s="360">
        <f>DATE('Profit Calculation'!J$6,A$2,A$2+A5919-1)</f>
        <v>47922</v>
      </c>
      <c r="D5919" s="362">
        <f t="shared" ca="1" si="187"/>
        <v>0</v>
      </c>
    </row>
    <row r="5920" spans="1:4">
      <c r="A5920" s="348">
        <f t="shared" si="186"/>
        <v>5919</v>
      </c>
      <c r="B5920" s="360">
        <f>DATE('Profit Calculation'!J$6,A$2,A$2+A5920-1)</f>
        <v>47923</v>
      </c>
      <c r="D5920" s="362">
        <f t="shared" ca="1" si="187"/>
        <v>0</v>
      </c>
    </row>
    <row r="5921" spans="1:4">
      <c r="A5921" s="348">
        <f t="shared" si="186"/>
        <v>5920</v>
      </c>
      <c r="B5921" s="360">
        <f>DATE('Profit Calculation'!J$6,A$2,A$2+A5921-1)</f>
        <v>47924</v>
      </c>
      <c r="D5921" s="362">
        <f t="shared" ca="1" si="187"/>
        <v>0</v>
      </c>
    </row>
    <row r="5922" spans="1:4">
      <c r="A5922" s="348">
        <f t="shared" si="186"/>
        <v>5921</v>
      </c>
      <c r="B5922" s="360">
        <f>DATE('Profit Calculation'!J$6,A$2,A$2+A5922-1)</f>
        <v>47925</v>
      </c>
      <c r="D5922" s="362">
        <f t="shared" ca="1" si="187"/>
        <v>0</v>
      </c>
    </row>
    <row r="5923" spans="1:4">
      <c r="A5923" s="348">
        <f t="shared" si="186"/>
        <v>5922</v>
      </c>
      <c r="B5923" s="360">
        <f>DATE('Profit Calculation'!J$6,A$2,A$2+A5923-1)</f>
        <v>47926</v>
      </c>
      <c r="D5923" s="362">
        <f t="shared" ca="1" si="187"/>
        <v>0</v>
      </c>
    </row>
    <row r="5924" spans="1:4">
      <c r="A5924" s="348">
        <f t="shared" si="186"/>
        <v>5923</v>
      </c>
      <c r="B5924" s="360">
        <f>DATE('Profit Calculation'!J$6,A$2,A$2+A5924-1)</f>
        <v>47927</v>
      </c>
      <c r="D5924" s="362">
        <f t="shared" ca="1" si="187"/>
        <v>0</v>
      </c>
    </row>
    <row r="5925" spans="1:4">
      <c r="A5925" s="348">
        <f t="shared" si="186"/>
        <v>5924</v>
      </c>
      <c r="B5925" s="360">
        <f>DATE('Profit Calculation'!J$6,A$2,A$2+A5925-1)</f>
        <v>47928</v>
      </c>
      <c r="D5925" s="362">
        <f t="shared" ca="1" si="187"/>
        <v>0</v>
      </c>
    </row>
    <row r="5926" spans="1:4">
      <c r="A5926" s="348">
        <f t="shared" si="186"/>
        <v>5925</v>
      </c>
      <c r="B5926" s="360">
        <f>DATE('Profit Calculation'!J$6,A$2,A$2+A5926-1)</f>
        <v>47929</v>
      </c>
      <c r="D5926" s="362">
        <f t="shared" ca="1" si="187"/>
        <v>0</v>
      </c>
    </row>
    <row r="5927" spans="1:4">
      <c r="A5927" s="348">
        <f t="shared" si="186"/>
        <v>5926</v>
      </c>
      <c r="B5927" s="360">
        <f>DATE('Profit Calculation'!J$6,A$2,A$2+A5927-1)</f>
        <v>47930</v>
      </c>
      <c r="D5927" s="362">
        <f t="shared" ca="1" si="187"/>
        <v>0</v>
      </c>
    </row>
    <row r="5928" spans="1:4">
      <c r="A5928" s="348">
        <f t="shared" si="186"/>
        <v>5927</v>
      </c>
      <c r="B5928" s="360">
        <f>DATE('Profit Calculation'!J$6,A$2,A$2+A5928-1)</f>
        <v>47931</v>
      </c>
      <c r="D5928" s="362">
        <f t="shared" ca="1" si="187"/>
        <v>0</v>
      </c>
    </row>
    <row r="5929" spans="1:4">
      <c r="A5929" s="348">
        <f t="shared" si="186"/>
        <v>5928</v>
      </c>
      <c r="B5929" s="360">
        <f>DATE('Profit Calculation'!J$6,A$2,A$2+A5929-1)</f>
        <v>47932</v>
      </c>
      <c r="D5929" s="362">
        <f t="shared" ca="1" si="187"/>
        <v>0</v>
      </c>
    </row>
    <row r="5930" spans="1:4">
      <c r="A5930" s="348">
        <f t="shared" si="186"/>
        <v>5929</v>
      </c>
      <c r="B5930" s="360">
        <f>DATE('Profit Calculation'!J$6,A$2,A$2+A5930-1)</f>
        <v>47933</v>
      </c>
      <c r="D5930" s="362">
        <f t="shared" ca="1" si="187"/>
        <v>0</v>
      </c>
    </row>
    <row r="5931" spans="1:4">
      <c r="A5931" s="348">
        <f t="shared" si="186"/>
        <v>5930</v>
      </c>
      <c r="B5931" s="360">
        <f>DATE('Profit Calculation'!J$6,A$2,A$2+A5931-1)</f>
        <v>47934</v>
      </c>
      <c r="D5931" s="362">
        <f t="shared" ca="1" si="187"/>
        <v>0</v>
      </c>
    </row>
    <row r="5932" spans="1:4">
      <c r="A5932" s="348">
        <f t="shared" si="186"/>
        <v>5931</v>
      </c>
      <c r="B5932" s="360">
        <f>DATE('Profit Calculation'!J$6,A$2,A$2+A5932-1)</f>
        <v>47935</v>
      </c>
      <c r="D5932" s="362">
        <f t="shared" ca="1" si="187"/>
        <v>0</v>
      </c>
    </row>
    <row r="5933" spans="1:4">
      <c r="A5933" s="348">
        <f t="shared" si="186"/>
        <v>5932</v>
      </c>
      <c r="B5933" s="360">
        <f>DATE('Profit Calculation'!J$6,A$2,A$2+A5933-1)</f>
        <v>47936</v>
      </c>
      <c r="D5933" s="362">
        <f t="shared" ca="1" si="187"/>
        <v>0</v>
      </c>
    </row>
    <row r="5934" spans="1:4">
      <c r="A5934" s="348">
        <f t="shared" si="186"/>
        <v>5933</v>
      </c>
      <c r="B5934" s="360">
        <f>DATE('Profit Calculation'!J$6,A$2,A$2+A5934-1)</f>
        <v>47937</v>
      </c>
      <c r="D5934" s="362">
        <f t="shared" ca="1" si="187"/>
        <v>0</v>
      </c>
    </row>
    <row r="5935" spans="1:4">
      <c r="A5935" s="348">
        <f t="shared" si="186"/>
        <v>5934</v>
      </c>
      <c r="B5935" s="360">
        <f>DATE('Profit Calculation'!J$6,A$2,A$2+A5935-1)</f>
        <v>47938</v>
      </c>
      <c r="D5935" s="362">
        <f t="shared" ca="1" si="187"/>
        <v>0</v>
      </c>
    </row>
    <row r="5936" spans="1:4">
      <c r="A5936" s="348">
        <f t="shared" si="186"/>
        <v>5935</v>
      </c>
      <c r="B5936" s="360">
        <f>DATE('Profit Calculation'!J$6,A$2,A$2+A5936-1)</f>
        <v>47939</v>
      </c>
      <c r="D5936" s="362">
        <f t="shared" ca="1" si="187"/>
        <v>0</v>
      </c>
    </row>
    <row r="5937" spans="1:4">
      <c r="A5937" s="348">
        <f t="shared" si="186"/>
        <v>5936</v>
      </c>
      <c r="B5937" s="360">
        <f>DATE('Profit Calculation'!J$6,A$2,A$2+A5937-1)</f>
        <v>47940</v>
      </c>
      <c r="D5937" s="362">
        <f t="shared" ca="1" si="187"/>
        <v>0</v>
      </c>
    </row>
    <row r="5938" spans="1:4">
      <c r="A5938" s="348">
        <f t="shared" si="186"/>
        <v>5937</v>
      </c>
      <c r="B5938" s="360">
        <f>DATE('Profit Calculation'!J$6,A$2,A$2+A5938-1)</f>
        <v>47941</v>
      </c>
      <c r="D5938" s="362">
        <f t="shared" ca="1" si="187"/>
        <v>0</v>
      </c>
    </row>
    <row r="5939" spans="1:4">
      <c r="A5939" s="348">
        <f t="shared" si="186"/>
        <v>5938</v>
      </c>
      <c r="B5939" s="360">
        <f>DATE('Profit Calculation'!J$6,A$2,A$2+A5939-1)</f>
        <v>47942</v>
      </c>
      <c r="D5939" s="362">
        <f t="shared" ca="1" si="187"/>
        <v>0</v>
      </c>
    </row>
    <row r="5940" spans="1:4">
      <c r="A5940" s="348">
        <f t="shared" si="186"/>
        <v>5939</v>
      </c>
      <c r="B5940" s="360">
        <f>DATE('Profit Calculation'!J$6,A$2,A$2+A5940-1)</f>
        <v>47943</v>
      </c>
      <c r="D5940" s="362">
        <f t="shared" ca="1" si="187"/>
        <v>0</v>
      </c>
    </row>
    <row r="5941" spans="1:4">
      <c r="A5941" s="348">
        <f t="shared" si="186"/>
        <v>5940</v>
      </c>
      <c r="B5941" s="360">
        <f>DATE('Profit Calculation'!J$6,A$2,A$2+A5941-1)</f>
        <v>47944</v>
      </c>
      <c r="D5941" s="362">
        <f t="shared" ca="1" si="187"/>
        <v>0</v>
      </c>
    </row>
    <row r="5942" spans="1:4">
      <c r="A5942" s="348">
        <f t="shared" si="186"/>
        <v>5941</v>
      </c>
      <c r="B5942" s="360">
        <f>DATE('Profit Calculation'!J$6,A$2,A$2+A5942-1)</f>
        <v>47945</v>
      </c>
      <c r="D5942" s="362">
        <f t="shared" ca="1" si="187"/>
        <v>0</v>
      </c>
    </row>
    <row r="5943" spans="1:4">
      <c r="A5943" s="348">
        <f t="shared" si="186"/>
        <v>5942</v>
      </c>
      <c r="B5943" s="360">
        <f>DATE('Profit Calculation'!J$6,A$2,A$2+A5943-1)</f>
        <v>47946</v>
      </c>
      <c r="D5943" s="362">
        <f t="shared" ca="1" si="187"/>
        <v>0</v>
      </c>
    </row>
    <row r="5944" spans="1:4">
      <c r="A5944" s="348">
        <f t="shared" si="186"/>
        <v>5943</v>
      </c>
      <c r="B5944" s="360">
        <f>DATE('Profit Calculation'!J$6,A$2,A$2+A5944-1)</f>
        <v>47947</v>
      </c>
      <c r="D5944" s="362">
        <f t="shared" ca="1" si="187"/>
        <v>0</v>
      </c>
    </row>
    <row r="5945" spans="1:4">
      <c r="A5945" s="348">
        <f t="shared" si="186"/>
        <v>5944</v>
      </c>
      <c r="B5945" s="360">
        <f>DATE('Profit Calculation'!J$6,A$2,A$2+A5945-1)</f>
        <v>47948</v>
      </c>
      <c r="D5945" s="362">
        <f t="shared" ca="1" si="187"/>
        <v>0</v>
      </c>
    </row>
    <row r="5946" spans="1:4">
      <c r="A5946" s="348">
        <f t="shared" si="186"/>
        <v>5945</v>
      </c>
      <c r="B5946" s="360">
        <f>DATE('Profit Calculation'!J$6,A$2,A$2+A5946-1)</f>
        <v>47949</v>
      </c>
      <c r="D5946" s="362">
        <f t="shared" ca="1" si="187"/>
        <v>0</v>
      </c>
    </row>
    <row r="5947" spans="1:4">
      <c r="A5947" s="348">
        <f t="shared" si="186"/>
        <v>5946</v>
      </c>
      <c r="B5947" s="360">
        <f>DATE('Profit Calculation'!J$6,A$2,A$2+A5947-1)</f>
        <v>47950</v>
      </c>
      <c r="D5947" s="362">
        <f t="shared" ca="1" si="187"/>
        <v>0</v>
      </c>
    </row>
    <row r="5948" spans="1:4">
      <c r="A5948" s="348">
        <f t="shared" si="186"/>
        <v>5947</v>
      </c>
      <c r="B5948" s="360">
        <f>DATE('Profit Calculation'!J$6,A$2,A$2+A5948-1)</f>
        <v>47951</v>
      </c>
      <c r="D5948" s="362">
        <f t="shared" ca="1" si="187"/>
        <v>0</v>
      </c>
    </row>
    <row r="5949" spans="1:4">
      <c r="A5949" s="348">
        <f t="shared" si="186"/>
        <v>5948</v>
      </c>
      <c r="B5949" s="360">
        <f>DATE('Profit Calculation'!J$6,A$2,A$2+A5949-1)</f>
        <v>47952</v>
      </c>
      <c r="D5949" s="362">
        <f t="shared" ca="1" si="187"/>
        <v>0</v>
      </c>
    </row>
    <row r="5950" spans="1:4">
      <c r="A5950" s="348">
        <f t="shared" si="186"/>
        <v>5949</v>
      </c>
      <c r="B5950" s="360">
        <f>DATE('Profit Calculation'!J$6,A$2,A$2+A5950-1)</f>
        <v>47953</v>
      </c>
      <c r="D5950" s="362">
        <f t="shared" ca="1" si="187"/>
        <v>0</v>
      </c>
    </row>
    <row r="5951" spans="1:4">
      <c r="A5951" s="348">
        <f t="shared" si="186"/>
        <v>5950</v>
      </c>
      <c r="B5951" s="360">
        <f>DATE('Profit Calculation'!J$6,A$2,A$2+A5951-1)</f>
        <v>47954</v>
      </c>
      <c r="D5951" s="362">
        <f t="shared" ca="1" si="187"/>
        <v>0</v>
      </c>
    </row>
    <row r="5952" spans="1:4">
      <c r="A5952" s="348">
        <f t="shared" si="186"/>
        <v>5951</v>
      </c>
      <c r="B5952" s="360">
        <f>DATE('Profit Calculation'!J$6,A$2,A$2+A5952-1)</f>
        <v>47955</v>
      </c>
      <c r="D5952" s="362">
        <f t="shared" ca="1" si="187"/>
        <v>0</v>
      </c>
    </row>
    <row r="5953" spans="1:4">
      <c r="A5953" s="348">
        <f t="shared" si="186"/>
        <v>5952</v>
      </c>
      <c r="B5953" s="360">
        <f>DATE('Profit Calculation'!J$6,A$2,A$2+A5953-1)</f>
        <v>47956</v>
      </c>
      <c r="D5953" s="362">
        <f t="shared" ca="1" si="187"/>
        <v>0</v>
      </c>
    </row>
    <row r="5954" spans="1:4">
      <c r="A5954" s="348">
        <f t="shared" si="186"/>
        <v>5953</v>
      </c>
      <c r="B5954" s="360">
        <f>DATE('Profit Calculation'!J$6,A$2,A$2+A5954-1)</f>
        <v>47957</v>
      </c>
      <c r="D5954" s="362">
        <f t="shared" ca="1" si="187"/>
        <v>0</v>
      </c>
    </row>
    <row r="5955" spans="1:4">
      <c r="A5955" s="348">
        <f t="shared" si="186"/>
        <v>5954</v>
      </c>
      <c r="B5955" s="360">
        <f>DATE('Profit Calculation'!J$6,A$2,A$2+A5955-1)</f>
        <v>47958</v>
      </c>
      <c r="D5955" s="362">
        <f t="shared" ca="1" si="187"/>
        <v>0</v>
      </c>
    </row>
    <row r="5956" spans="1:4">
      <c r="A5956" s="348">
        <f t="shared" si="186"/>
        <v>5955</v>
      </c>
      <c r="B5956" s="360">
        <f>DATE('Profit Calculation'!J$6,A$2,A$2+A5956-1)</f>
        <v>47959</v>
      </c>
      <c r="D5956" s="362">
        <f t="shared" ca="1" si="187"/>
        <v>0</v>
      </c>
    </row>
    <row r="5957" spans="1:4">
      <c r="A5957" s="348">
        <f t="shared" ref="A5957:A6020" si="188">A5956+1</f>
        <v>5956</v>
      </c>
      <c r="B5957" s="360">
        <f>DATE('Profit Calculation'!J$6,A$2,A$2+A5957-1)</f>
        <v>47960</v>
      </c>
      <c r="D5957" s="362">
        <f t="shared" ref="D5957:D6020" ca="1" si="189">IF(OR(LOOKUP(B5957,W$1:W$35,W$1:W$35) = B5957, LOOKUP(B5957,X$1:X$35,X$1:X$35) = B5957),LOOKUP(B5957,F:F,G:G),D5956*(1+((IF($Q$18&lt;6,$R$14,IF($Q$18&lt;11,$R$15,$R$16)))))^(1/365))</f>
        <v>0</v>
      </c>
    </row>
    <row r="5958" spans="1:4">
      <c r="A5958" s="348">
        <f t="shared" si="188"/>
        <v>5957</v>
      </c>
      <c r="B5958" s="360">
        <f>DATE('Profit Calculation'!J$6,A$2,A$2+A5958-1)</f>
        <v>47961</v>
      </c>
      <c r="D5958" s="362">
        <f t="shared" ca="1" si="189"/>
        <v>0</v>
      </c>
    </row>
    <row r="5959" spans="1:4">
      <c r="A5959" s="348">
        <f t="shared" si="188"/>
        <v>5958</v>
      </c>
      <c r="B5959" s="360">
        <f>DATE('Profit Calculation'!J$6,A$2,A$2+A5959-1)</f>
        <v>47962</v>
      </c>
      <c r="D5959" s="362">
        <f t="shared" ca="1" si="189"/>
        <v>0</v>
      </c>
    </row>
    <row r="5960" spans="1:4">
      <c r="A5960" s="348">
        <f t="shared" si="188"/>
        <v>5959</v>
      </c>
      <c r="B5960" s="360">
        <f>DATE('Profit Calculation'!J$6,A$2,A$2+A5960-1)</f>
        <v>47963</v>
      </c>
      <c r="D5960" s="362">
        <f t="shared" ca="1" si="189"/>
        <v>0</v>
      </c>
    </row>
    <row r="5961" spans="1:4">
      <c r="A5961" s="348">
        <f t="shared" si="188"/>
        <v>5960</v>
      </c>
      <c r="B5961" s="360">
        <f>DATE('Profit Calculation'!J$6,A$2,A$2+A5961-1)</f>
        <v>47964</v>
      </c>
      <c r="D5961" s="362">
        <f t="shared" ca="1" si="189"/>
        <v>0</v>
      </c>
    </row>
    <row r="5962" spans="1:4">
      <c r="A5962" s="348">
        <f t="shared" si="188"/>
        <v>5961</v>
      </c>
      <c r="B5962" s="360">
        <f>DATE('Profit Calculation'!J$6,A$2,A$2+A5962-1)</f>
        <v>47965</v>
      </c>
      <c r="D5962" s="362">
        <f t="shared" ca="1" si="189"/>
        <v>0</v>
      </c>
    </row>
    <row r="5963" spans="1:4">
      <c r="A5963" s="348">
        <f t="shared" si="188"/>
        <v>5962</v>
      </c>
      <c r="B5963" s="360">
        <f>DATE('Profit Calculation'!J$6,A$2,A$2+A5963-1)</f>
        <v>47966</v>
      </c>
      <c r="D5963" s="362">
        <f t="shared" ca="1" si="189"/>
        <v>0</v>
      </c>
    </row>
    <row r="5964" spans="1:4">
      <c r="A5964" s="348">
        <f t="shared" si="188"/>
        <v>5963</v>
      </c>
      <c r="B5964" s="360">
        <f>DATE('Profit Calculation'!J$6,A$2,A$2+A5964-1)</f>
        <v>47967</v>
      </c>
      <c r="D5964" s="362">
        <f t="shared" ca="1" si="189"/>
        <v>0</v>
      </c>
    </row>
    <row r="5965" spans="1:4">
      <c r="A5965" s="348">
        <f t="shared" si="188"/>
        <v>5964</v>
      </c>
      <c r="B5965" s="360">
        <f>DATE('Profit Calculation'!J$6,A$2,A$2+A5965-1)</f>
        <v>47968</v>
      </c>
      <c r="D5965" s="362">
        <f t="shared" ca="1" si="189"/>
        <v>0</v>
      </c>
    </row>
    <row r="5966" spans="1:4">
      <c r="A5966" s="348">
        <f t="shared" si="188"/>
        <v>5965</v>
      </c>
      <c r="B5966" s="360">
        <f>DATE('Profit Calculation'!J$6,A$2,A$2+A5966-1)</f>
        <v>47969</v>
      </c>
      <c r="D5966" s="362">
        <f t="shared" ca="1" si="189"/>
        <v>0</v>
      </c>
    </row>
    <row r="5967" spans="1:4">
      <c r="A5967" s="348">
        <f t="shared" si="188"/>
        <v>5966</v>
      </c>
      <c r="B5967" s="360">
        <f>DATE('Profit Calculation'!J$6,A$2,A$2+A5967-1)</f>
        <v>47970</v>
      </c>
      <c r="D5967" s="362">
        <f t="shared" ca="1" si="189"/>
        <v>0</v>
      </c>
    </row>
    <row r="5968" spans="1:4">
      <c r="A5968" s="348">
        <f t="shared" si="188"/>
        <v>5967</v>
      </c>
      <c r="B5968" s="360">
        <f>DATE('Profit Calculation'!J$6,A$2,A$2+A5968-1)</f>
        <v>47971</v>
      </c>
      <c r="D5968" s="362">
        <f t="shared" ca="1" si="189"/>
        <v>0</v>
      </c>
    </row>
    <row r="5969" spans="1:4">
      <c r="A5969" s="348">
        <f t="shared" si="188"/>
        <v>5968</v>
      </c>
      <c r="B5969" s="360">
        <f>DATE('Profit Calculation'!J$6,A$2,A$2+A5969-1)</f>
        <v>47972</v>
      </c>
      <c r="D5969" s="362">
        <f t="shared" ca="1" si="189"/>
        <v>0</v>
      </c>
    </row>
    <row r="5970" spans="1:4">
      <c r="A5970" s="348">
        <f t="shared" si="188"/>
        <v>5969</v>
      </c>
      <c r="B5970" s="360">
        <f>DATE('Profit Calculation'!J$6,A$2,A$2+A5970-1)</f>
        <v>47973</v>
      </c>
      <c r="D5970" s="362">
        <f t="shared" ca="1" si="189"/>
        <v>0</v>
      </c>
    </row>
    <row r="5971" spans="1:4">
      <c r="A5971" s="348">
        <f t="shared" si="188"/>
        <v>5970</v>
      </c>
      <c r="B5971" s="360">
        <f>DATE('Profit Calculation'!J$6,A$2,A$2+A5971-1)</f>
        <v>47974</v>
      </c>
      <c r="D5971" s="362">
        <f t="shared" ca="1" si="189"/>
        <v>0</v>
      </c>
    </row>
    <row r="5972" spans="1:4">
      <c r="A5972" s="348">
        <f t="shared" si="188"/>
        <v>5971</v>
      </c>
      <c r="B5972" s="360">
        <f>DATE('Profit Calculation'!J$6,A$2,A$2+A5972-1)</f>
        <v>47975</v>
      </c>
      <c r="D5972" s="362">
        <f t="shared" ca="1" si="189"/>
        <v>0</v>
      </c>
    </row>
    <row r="5973" spans="1:4">
      <c r="A5973" s="348">
        <f t="shared" si="188"/>
        <v>5972</v>
      </c>
      <c r="B5973" s="360">
        <f>DATE('Profit Calculation'!J$6,A$2,A$2+A5973-1)</f>
        <v>47976</v>
      </c>
      <c r="D5973" s="362">
        <f t="shared" ca="1" si="189"/>
        <v>0</v>
      </c>
    </row>
    <row r="5974" spans="1:4">
      <c r="A5974" s="348">
        <f t="shared" si="188"/>
        <v>5973</v>
      </c>
      <c r="B5974" s="360">
        <f>DATE('Profit Calculation'!J$6,A$2,A$2+A5974-1)</f>
        <v>47977</v>
      </c>
      <c r="D5974" s="362">
        <f t="shared" ca="1" si="189"/>
        <v>0</v>
      </c>
    </row>
    <row r="5975" spans="1:4">
      <c r="A5975" s="348">
        <f t="shared" si="188"/>
        <v>5974</v>
      </c>
      <c r="B5975" s="360">
        <f>DATE('Profit Calculation'!J$6,A$2,A$2+A5975-1)</f>
        <v>47978</v>
      </c>
      <c r="D5975" s="362">
        <f t="shared" ca="1" si="189"/>
        <v>0</v>
      </c>
    </row>
    <row r="5976" spans="1:4">
      <c r="A5976" s="348">
        <f t="shared" si="188"/>
        <v>5975</v>
      </c>
      <c r="B5976" s="360">
        <f>DATE('Profit Calculation'!J$6,A$2,A$2+A5976-1)</f>
        <v>47979</v>
      </c>
      <c r="D5976" s="362">
        <f t="shared" ca="1" si="189"/>
        <v>0</v>
      </c>
    </row>
    <row r="5977" spans="1:4">
      <c r="A5977" s="348">
        <f t="shared" si="188"/>
        <v>5976</v>
      </c>
      <c r="B5977" s="360">
        <f>DATE('Profit Calculation'!J$6,A$2,A$2+A5977-1)</f>
        <v>47980</v>
      </c>
      <c r="D5977" s="362">
        <f t="shared" ca="1" si="189"/>
        <v>0</v>
      </c>
    </row>
    <row r="5978" spans="1:4">
      <c r="A5978" s="348">
        <f t="shared" si="188"/>
        <v>5977</v>
      </c>
      <c r="B5978" s="360">
        <f>DATE('Profit Calculation'!J$6,A$2,A$2+A5978-1)</f>
        <v>47981</v>
      </c>
      <c r="D5978" s="362">
        <f t="shared" ca="1" si="189"/>
        <v>0</v>
      </c>
    </row>
    <row r="5979" spans="1:4">
      <c r="A5979" s="348">
        <f t="shared" si="188"/>
        <v>5978</v>
      </c>
      <c r="B5979" s="360">
        <f>DATE('Profit Calculation'!J$6,A$2,A$2+A5979-1)</f>
        <v>47982</v>
      </c>
      <c r="D5979" s="362">
        <f t="shared" ca="1" si="189"/>
        <v>0</v>
      </c>
    </row>
    <row r="5980" spans="1:4">
      <c r="A5980" s="348">
        <f t="shared" si="188"/>
        <v>5979</v>
      </c>
      <c r="B5980" s="360">
        <f>DATE('Profit Calculation'!J$6,A$2,A$2+A5980-1)</f>
        <v>47983</v>
      </c>
      <c r="D5980" s="362">
        <f t="shared" ca="1" si="189"/>
        <v>0</v>
      </c>
    </row>
    <row r="5981" spans="1:4">
      <c r="A5981" s="348">
        <f t="shared" si="188"/>
        <v>5980</v>
      </c>
      <c r="B5981" s="360">
        <f>DATE('Profit Calculation'!J$6,A$2,A$2+A5981-1)</f>
        <v>47984</v>
      </c>
      <c r="D5981" s="362">
        <f t="shared" ca="1" si="189"/>
        <v>0</v>
      </c>
    </row>
    <row r="5982" spans="1:4">
      <c r="A5982" s="348">
        <f t="shared" si="188"/>
        <v>5981</v>
      </c>
      <c r="B5982" s="360">
        <f>DATE('Profit Calculation'!J$6,A$2,A$2+A5982-1)</f>
        <v>47985</v>
      </c>
      <c r="D5982" s="362">
        <f t="shared" ca="1" si="189"/>
        <v>0</v>
      </c>
    </row>
    <row r="5983" spans="1:4">
      <c r="A5983" s="348">
        <f t="shared" si="188"/>
        <v>5982</v>
      </c>
      <c r="B5983" s="360">
        <f>DATE('Profit Calculation'!J$6,A$2,A$2+A5983-1)</f>
        <v>47986</v>
      </c>
      <c r="D5983" s="362">
        <f t="shared" ca="1" si="189"/>
        <v>0</v>
      </c>
    </row>
    <row r="5984" spans="1:4">
      <c r="A5984" s="348">
        <f t="shared" si="188"/>
        <v>5983</v>
      </c>
      <c r="B5984" s="360">
        <f>DATE('Profit Calculation'!J$6,A$2,A$2+A5984-1)</f>
        <v>47987</v>
      </c>
      <c r="D5984" s="362">
        <f t="shared" ca="1" si="189"/>
        <v>0</v>
      </c>
    </row>
    <row r="5985" spans="1:4">
      <c r="A5985" s="348">
        <f t="shared" si="188"/>
        <v>5984</v>
      </c>
      <c r="B5985" s="360">
        <f>DATE('Profit Calculation'!J$6,A$2,A$2+A5985-1)</f>
        <v>47988</v>
      </c>
      <c r="D5985" s="362">
        <f t="shared" ca="1" si="189"/>
        <v>0</v>
      </c>
    </row>
    <row r="5986" spans="1:4">
      <c r="A5986" s="348">
        <f t="shared" si="188"/>
        <v>5985</v>
      </c>
      <c r="B5986" s="360">
        <f>DATE('Profit Calculation'!J$6,A$2,A$2+A5986-1)</f>
        <v>47989</v>
      </c>
      <c r="D5986" s="362">
        <f t="shared" ca="1" si="189"/>
        <v>0</v>
      </c>
    </row>
    <row r="5987" spans="1:4">
      <c r="A5987" s="348">
        <f t="shared" si="188"/>
        <v>5986</v>
      </c>
      <c r="B5987" s="360">
        <f>DATE('Profit Calculation'!J$6,A$2,A$2+A5987-1)</f>
        <v>47990</v>
      </c>
      <c r="D5987" s="362">
        <f t="shared" ca="1" si="189"/>
        <v>0</v>
      </c>
    </row>
    <row r="5988" spans="1:4">
      <c r="A5988" s="348">
        <f t="shared" si="188"/>
        <v>5987</v>
      </c>
      <c r="B5988" s="360">
        <f>DATE('Profit Calculation'!J$6,A$2,A$2+A5988-1)</f>
        <v>47991</v>
      </c>
      <c r="D5988" s="362">
        <f t="shared" ca="1" si="189"/>
        <v>0</v>
      </c>
    </row>
    <row r="5989" spans="1:4">
      <c r="A5989" s="348">
        <f t="shared" si="188"/>
        <v>5988</v>
      </c>
      <c r="B5989" s="360">
        <f>DATE('Profit Calculation'!J$6,A$2,A$2+A5989-1)</f>
        <v>47992</v>
      </c>
      <c r="D5989" s="362">
        <f t="shared" ca="1" si="189"/>
        <v>0</v>
      </c>
    </row>
    <row r="5990" spans="1:4">
      <c r="A5990" s="348">
        <f t="shared" si="188"/>
        <v>5989</v>
      </c>
      <c r="B5990" s="360">
        <f>DATE('Profit Calculation'!J$6,A$2,A$2+A5990-1)</f>
        <v>47993</v>
      </c>
      <c r="D5990" s="362">
        <f t="shared" ca="1" si="189"/>
        <v>0</v>
      </c>
    </row>
    <row r="5991" spans="1:4">
      <c r="A5991" s="348">
        <f t="shared" si="188"/>
        <v>5990</v>
      </c>
      <c r="B5991" s="360">
        <f>DATE('Profit Calculation'!J$6,A$2,A$2+A5991-1)</f>
        <v>47994</v>
      </c>
      <c r="D5991" s="362">
        <f t="shared" ca="1" si="189"/>
        <v>0</v>
      </c>
    </row>
    <row r="5992" spans="1:4">
      <c r="A5992" s="348">
        <f t="shared" si="188"/>
        <v>5991</v>
      </c>
      <c r="B5992" s="360">
        <f>DATE('Profit Calculation'!J$6,A$2,A$2+A5992-1)</f>
        <v>47995</v>
      </c>
      <c r="D5992" s="362">
        <f t="shared" ca="1" si="189"/>
        <v>0</v>
      </c>
    </row>
    <row r="5993" spans="1:4">
      <c r="A5993" s="348">
        <f t="shared" si="188"/>
        <v>5992</v>
      </c>
      <c r="B5993" s="360">
        <f>DATE('Profit Calculation'!J$6,A$2,A$2+A5993-1)</f>
        <v>47996</v>
      </c>
      <c r="D5993" s="362">
        <f t="shared" ca="1" si="189"/>
        <v>0</v>
      </c>
    </row>
    <row r="5994" spans="1:4">
      <c r="A5994" s="348">
        <f t="shared" si="188"/>
        <v>5993</v>
      </c>
      <c r="B5994" s="360">
        <f>DATE('Profit Calculation'!J$6,A$2,A$2+A5994-1)</f>
        <v>47997</v>
      </c>
      <c r="D5994" s="362">
        <f t="shared" ca="1" si="189"/>
        <v>0</v>
      </c>
    </row>
    <row r="5995" spans="1:4">
      <c r="A5995" s="348">
        <f t="shared" si="188"/>
        <v>5994</v>
      </c>
      <c r="B5995" s="360">
        <f>DATE('Profit Calculation'!J$6,A$2,A$2+A5995-1)</f>
        <v>47998</v>
      </c>
      <c r="D5995" s="362">
        <f t="shared" ca="1" si="189"/>
        <v>0</v>
      </c>
    </row>
    <row r="5996" spans="1:4">
      <c r="A5996" s="348">
        <f t="shared" si="188"/>
        <v>5995</v>
      </c>
      <c r="B5996" s="360">
        <f>DATE('Profit Calculation'!J$6,A$2,A$2+A5996-1)</f>
        <v>47999</v>
      </c>
      <c r="D5996" s="362">
        <f t="shared" ca="1" si="189"/>
        <v>0</v>
      </c>
    </row>
    <row r="5997" spans="1:4">
      <c r="A5997" s="348">
        <f t="shared" si="188"/>
        <v>5996</v>
      </c>
      <c r="B5997" s="360">
        <f>DATE('Profit Calculation'!J$6,A$2,A$2+A5997-1)</f>
        <v>48000</v>
      </c>
      <c r="D5997" s="362">
        <f t="shared" ca="1" si="189"/>
        <v>0</v>
      </c>
    </row>
    <row r="5998" spans="1:4">
      <c r="A5998" s="348">
        <f t="shared" si="188"/>
        <v>5997</v>
      </c>
      <c r="B5998" s="360">
        <f>DATE('Profit Calculation'!J$6,A$2,A$2+A5998-1)</f>
        <v>48001</v>
      </c>
      <c r="D5998" s="362">
        <f t="shared" ca="1" si="189"/>
        <v>0</v>
      </c>
    </row>
    <row r="5999" spans="1:4">
      <c r="A5999" s="348">
        <f t="shared" si="188"/>
        <v>5998</v>
      </c>
      <c r="B5999" s="360">
        <f>DATE('Profit Calculation'!J$6,A$2,A$2+A5999-1)</f>
        <v>48002</v>
      </c>
      <c r="D5999" s="362">
        <f t="shared" ca="1" si="189"/>
        <v>0</v>
      </c>
    </row>
    <row r="6000" spans="1:4">
      <c r="A6000" s="348">
        <f t="shared" si="188"/>
        <v>5999</v>
      </c>
      <c r="B6000" s="360">
        <f>DATE('Profit Calculation'!J$6,A$2,A$2+A6000-1)</f>
        <v>48003</v>
      </c>
      <c r="D6000" s="362">
        <f t="shared" ca="1" si="189"/>
        <v>0</v>
      </c>
    </row>
    <row r="6001" spans="1:4">
      <c r="A6001" s="348">
        <f t="shared" si="188"/>
        <v>6000</v>
      </c>
      <c r="B6001" s="360">
        <f>DATE('Profit Calculation'!J$6,A$2,A$2+A6001-1)</f>
        <v>48004</v>
      </c>
      <c r="D6001" s="362">
        <f t="shared" ca="1" si="189"/>
        <v>0</v>
      </c>
    </row>
    <row r="6002" spans="1:4">
      <c r="A6002" s="348">
        <f t="shared" si="188"/>
        <v>6001</v>
      </c>
      <c r="B6002" s="360">
        <f>DATE('Profit Calculation'!J$6,A$2,A$2+A6002-1)</f>
        <v>48005</v>
      </c>
      <c r="D6002" s="362">
        <f t="shared" ca="1" si="189"/>
        <v>0</v>
      </c>
    </row>
    <row r="6003" spans="1:4">
      <c r="A6003" s="348">
        <f t="shared" si="188"/>
        <v>6002</v>
      </c>
      <c r="B6003" s="360">
        <f>DATE('Profit Calculation'!J$6,A$2,A$2+A6003-1)</f>
        <v>48006</v>
      </c>
      <c r="D6003" s="362">
        <f t="shared" ca="1" si="189"/>
        <v>0</v>
      </c>
    </row>
    <row r="6004" spans="1:4">
      <c r="A6004" s="348">
        <f t="shared" si="188"/>
        <v>6003</v>
      </c>
      <c r="B6004" s="360">
        <f>DATE('Profit Calculation'!J$6,A$2,A$2+A6004-1)</f>
        <v>48007</v>
      </c>
      <c r="D6004" s="362">
        <f t="shared" ca="1" si="189"/>
        <v>0</v>
      </c>
    </row>
    <row r="6005" spans="1:4">
      <c r="A6005" s="348">
        <f t="shared" si="188"/>
        <v>6004</v>
      </c>
      <c r="B6005" s="360">
        <f>DATE('Profit Calculation'!J$6,A$2,A$2+A6005-1)</f>
        <v>48008</v>
      </c>
      <c r="D6005" s="362">
        <f t="shared" ca="1" si="189"/>
        <v>0</v>
      </c>
    </row>
    <row r="6006" spans="1:4">
      <c r="A6006" s="348">
        <f t="shared" si="188"/>
        <v>6005</v>
      </c>
      <c r="B6006" s="360">
        <f>DATE('Profit Calculation'!J$6,A$2,A$2+A6006-1)</f>
        <v>48009</v>
      </c>
      <c r="D6006" s="362">
        <f t="shared" ca="1" si="189"/>
        <v>0</v>
      </c>
    </row>
    <row r="6007" spans="1:4">
      <c r="A6007" s="348">
        <f t="shared" si="188"/>
        <v>6006</v>
      </c>
      <c r="B6007" s="360">
        <f>DATE('Profit Calculation'!J$6,A$2,A$2+A6007-1)</f>
        <v>48010</v>
      </c>
      <c r="D6007" s="362">
        <f t="shared" ca="1" si="189"/>
        <v>0</v>
      </c>
    </row>
    <row r="6008" spans="1:4">
      <c r="A6008" s="348">
        <f t="shared" si="188"/>
        <v>6007</v>
      </c>
      <c r="B6008" s="360">
        <f>DATE('Profit Calculation'!J$6,A$2,A$2+A6008-1)</f>
        <v>48011</v>
      </c>
      <c r="D6008" s="362">
        <f t="shared" ca="1" si="189"/>
        <v>0</v>
      </c>
    </row>
    <row r="6009" spans="1:4">
      <c r="A6009" s="348">
        <f t="shared" si="188"/>
        <v>6008</v>
      </c>
      <c r="B6009" s="360">
        <f>DATE('Profit Calculation'!J$6,A$2,A$2+A6009-1)</f>
        <v>48012</v>
      </c>
      <c r="D6009" s="362">
        <f t="shared" ca="1" si="189"/>
        <v>0</v>
      </c>
    </row>
    <row r="6010" spans="1:4">
      <c r="A6010" s="348">
        <f t="shared" si="188"/>
        <v>6009</v>
      </c>
      <c r="B6010" s="360">
        <f>DATE('Profit Calculation'!J$6,A$2,A$2+A6010-1)</f>
        <v>48013</v>
      </c>
      <c r="D6010" s="362">
        <f t="shared" ca="1" si="189"/>
        <v>0</v>
      </c>
    </row>
    <row r="6011" spans="1:4">
      <c r="A6011" s="348">
        <f t="shared" si="188"/>
        <v>6010</v>
      </c>
      <c r="B6011" s="360">
        <f>DATE('Profit Calculation'!J$6,A$2,A$2+A6011-1)</f>
        <v>48014</v>
      </c>
      <c r="D6011" s="362">
        <f t="shared" ca="1" si="189"/>
        <v>0</v>
      </c>
    </row>
    <row r="6012" spans="1:4">
      <c r="A6012" s="348">
        <f t="shared" si="188"/>
        <v>6011</v>
      </c>
      <c r="B6012" s="360">
        <f>DATE('Profit Calculation'!J$6,A$2,A$2+A6012-1)</f>
        <v>48015</v>
      </c>
      <c r="D6012" s="362">
        <f t="shared" ca="1" si="189"/>
        <v>0</v>
      </c>
    </row>
    <row r="6013" spans="1:4">
      <c r="A6013" s="348">
        <f t="shared" si="188"/>
        <v>6012</v>
      </c>
      <c r="B6013" s="360">
        <f>DATE('Profit Calculation'!J$6,A$2,A$2+A6013-1)</f>
        <v>48016</v>
      </c>
      <c r="D6013" s="362">
        <f t="shared" ca="1" si="189"/>
        <v>0</v>
      </c>
    </row>
    <row r="6014" spans="1:4">
      <c r="A6014" s="348">
        <f t="shared" si="188"/>
        <v>6013</v>
      </c>
      <c r="B6014" s="360">
        <f>DATE('Profit Calculation'!J$6,A$2,A$2+A6014-1)</f>
        <v>48017</v>
      </c>
      <c r="D6014" s="362">
        <f t="shared" ca="1" si="189"/>
        <v>0</v>
      </c>
    </row>
    <row r="6015" spans="1:4">
      <c r="A6015" s="348">
        <f t="shared" si="188"/>
        <v>6014</v>
      </c>
      <c r="B6015" s="360">
        <f>DATE('Profit Calculation'!J$6,A$2,A$2+A6015-1)</f>
        <v>48018</v>
      </c>
      <c r="D6015" s="362">
        <f t="shared" ca="1" si="189"/>
        <v>0</v>
      </c>
    </row>
    <row r="6016" spans="1:4">
      <c r="A6016" s="348">
        <f t="shared" si="188"/>
        <v>6015</v>
      </c>
      <c r="B6016" s="360">
        <f>DATE('Profit Calculation'!J$6,A$2,A$2+A6016-1)</f>
        <v>48019</v>
      </c>
      <c r="D6016" s="362">
        <f t="shared" ca="1" si="189"/>
        <v>0</v>
      </c>
    </row>
    <row r="6017" spans="1:4">
      <c r="A6017" s="348">
        <f t="shared" si="188"/>
        <v>6016</v>
      </c>
      <c r="B6017" s="360">
        <f>DATE('Profit Calculation'!J$6,A$2,A$2+A6017-1)</f>
        <v>48020</v>
      </c>
      <c r="D6017" s="362">
        <f t="shared" ca="1" si="189"/>
        <v>0</v>
      </c>
    </row>
    <row r="6018" spans="1:4">
      <c r="A6018" s="348">
        <f t="shared" si="188"/>
        <v>6017</v>
      </c>
      <c r="B6018" s="360">
        <f>DATE('Profit Calculation'!J$6,A$2,A$2+A6018-1)</f>
        <v>48021</v>
      </c>
      <c r="D6018" s="362">
        <f t="shared" ca="1" si="189"/>
        <v>0</v>
      </c>
    </row>
    <row r="6019" spans="1:4">
      <c r="A6019" s="348">
        <f t="shared" si="188"/>
        <v>6018</v>
      </c>
      <c r="B6019" s="360">
        <f>DATE('Profit Calculation'!J$6,A$2,A$2+A6019-1)</f>
        <v>48022</v>
      </c>
      <c r="D6019" s="362">
        <f t="shared" ca="1" si="189"/>
        <v>0</v>
      </c>
    </row>
    <row r="6020" spans="1:4">
      <c r="A6020" s="348">
        <f t="shared" si="188"/>
        <v>6019</v>
      </c>
      <c r="B6020" s="360">
        <f>DATE('Profit Calculation'!J$6,A$2,A$2+A6020-1)</f>
        <v>48023</v>
      </c>
      <c r="D6020" s="362">
        <f t="shared" ca="1" si="189"/>
        <v>0</v>
      </c>
    </row>
    <row r="6021" spans="1:4">
      <c r="A6021" s="348">
        <f t="shared" ref="A6021:A6084" si="190">A6020+1</f>
        <v>6020</v>
      </c>
      <c r="B6021" s="360">
        <f>DATE('Profit Calculation'!J$6,A$2,A$2+A6021-1)</f>
        <v>48024</v>
      </c>
      <c r="D6021" s="362">
        <f t="shared" ref="D6021:D6084" ca="1" si="191">IF(OR(LOOKUP(B6021,W$1:W$35,W$1:W$35) = B6021, LOOKUP(B6021,X$1:X$35,X$1:X$35) = B6021),LOOKUP(B6021,F:F,G:G),D6020*(1+((IF($Q$18&lt;6,$R$14,IF($Q$18&lt;11,$R$15,$R$16)))))^(1/365))</f>
        <v>0</v>
      </c>
    </row>
    <row r="6022" spans="1:4">
      <c r="A6022" s="348">
        <f t="shared" si="190"/>
        <v>6021</v>
      </c>
      <c r="B6022" s="360">
        <f>DATE('Profit Calculation'!J$6,A$2,A$2+A6022-1)</f>
        <v>48025</v>
      </c>
      <c r="D6022" s="362">
        <f t="shared" ca="1" si="191"/>
        <v>0</v>
      </c>
    </row>
    <row r="6023" spans="1:4">
      <c r="A6023" s="348">
        <f t="shared" si="190"/>
        <v>6022</v>
      </c>
      <c r="B6023" s="360">
        <f>DATE('Profit Calculation'!J$6,A$2,A$2+A6023-1)</f>
        <v>48026</v>
      </c>
      <c r="D6023" s="362">
        <f t="shared" ca="1" si="191"/>
        <v>0</v>
      </c>
    </row>
    <row r="6024" spans="1:4">
      <c r="A6024" s="348">
        <f t="shared" si="190"/>
        <v>6023</v>
      </c>
      <c r="B6024" s="360">
        <f>DATE('Profit Calculation'!J$6,A$2,A$2+A6024-1)</f>
        <v>48027</v>
      </c>
      <c r="D6024" s="362">
        <f t="shared" ca="1" si="191"/>
        <v>0</v>
      </c>
    </row>
    <row r="6025" spans="1:4">
      <c r="A6025" s="348">
        <f t="shared" si="190"/>
        <v>6024</v>
      </c>
      <c r="B6025" s="360">
        <f>DATE('Profit Calculation'!J$6,A$2,A$2+A6025-1)</f>
        <v>48028</v>
      </c>
      <c r="D6025" s="362">
        <f t="shared" ca="1" si="191"/>
        <v>0</v>
      </c>
    </row>
    <row r="6026" spans="1:4">
      <c r="A6026" s="348">
        <f t="shared" si="190"/>
        <v>6025</v>
      </c>
      <c r="B6026" s="360">
        <f>DATE('Profit Calculation'!J$6,A$2,A$2+A6026-1)</f>
        <v>48029</v>
      </c>
      <c r="D6026" s="362">
        <f t="shared" ca="1" si="191"/>
        <v>0</v>
      </c>
    </row>
    <row r="6027" spans="1:4">
      <c r="A6027" s="348">
        <f t="shared" si="190"/>
        <v>6026</v>
      </c>
      <c r="B6027" s="360">
        <f>DATE('Profit Calculation'!J$6,A$2,A$2+A6027-1)</f>
        <v>48030</v>
      </c>
      <c r="D6027" s="362">
        <f t="shared" ca="1" si="191"/>
        <v>0</v>
      </c>
    </row>
    <row r="6028" spans="1:4">
      <c r="A6028" s="348">
        <f t="shared" si="190"/>
        <v>6027</v>
      </c>
      <c r="B6028" s="360">
        <f>DATE('Profit Calculation'!J$6,A$2,A$2+A6028-1)</f>
        <v>48031</v>
      </c>
      <c r="D6028" s="362">
        <f t="shared" ca="1" si="191"/>
        <v>0</v>
      </c>
    </row>
    <row r="6029" spans="1:4">
      <c r="A6029" s="348">
        <f t="shared" si="190"/>
        <v>6028</v>
      </c>
      <c r="B6029" s="360">
        <f>DATE('Profit Calculation'!J$6,A$2,A$2+A6029-1)</f>
        <v>48032</v>
      </c>
      <c r="D6029" s="362">
        <f t="shared" ca="1" si="191"/>
        <v>0</v>
      </c>
    </row>
    <row r="6030" spans="1:4">
      <c r="A6030" s="348">
        <f t="shared" si="190"/>
        <v>6029</v>
      </c>
      <c r="B6030" s="360">
        <f>DATE('Profit Calculation'!J$6,A$2,A$2+A6030-1)</f>
        <v>48033</v>
      </c>
      <c r="D6030" s="362">
        <f t="shared" ca="1" si="191"/>
        <v>0</v>
      </c>
    </row>
    <row r="6031" spans="1:4">
      <c r="A6031" s="348">
        <f t="shared" si="190"/>
        <v>6030</v>
      </c>
      <c r="B6031" s="360">
        <f>DATE('Profit Calculation'!J$6,A$2,A$2+A6031-1)</f>
        <v>48034</v>
      </c>
      <c r="D6031" s="362">
        <f t="shared" ca="1" si="191"/>
        <v>0</v>
      </c>
    </row>
    <row r="6032" spans="1:4">
      <c r="A6032" s="348">
        <f t="shared" si="190"/>
        <v>6031</v>
      </c>
      <c r="B6032" s="360">
        <f>DATE('Profit Calculation'!J$6,A$2,A$2+A6032-1)</f>
        <v>48035</v>
      </c>
      <c r="D6032" s="362">
        <f t="shared" ca="1" si="191"/>
        <v>0</v>
      </c>
    </row>
    <row r="6033" spans="1:4">
      <c r="A6033" s="348">
        <f t="shared" si="190"/>
        <v>6032</v>
      </c>
      <c r="B6033" s="360">
        <f>DATE('Profit Calculation'!J$6,A$2,A$2+A6033-1)</f>
        <v>48036</v>
      </c>
      <c r="D6033" s="362">
        <f t="shared" ca="1" si="191"/>
        <v>0</v>
      </c>
    </row>
    <row r="6034" spans="1:4">
      <c r="A6034" s="348">
        <f t="shared" si="190"/>
        <v>6033</v>
      </c>
      <c r="B6034" s="360">
        <f>DATE('Profit Calculation'!J$6,A$2,A$2+A6034-1)</f>
        <v>48037</v>
      </c>
      <c r="D6034" s="362">
        <f t="shared" ca="1" si="191"/>
        <v>0</v>
      </c>
    </row>
    <row r="6035" spans="1:4">
      <c r="A6035" s="348">
        <f t="shared" si="190"/>
        <v>6034</v>
      </c>
      <c r="B6035" s="360">
        <f>DATE('Profit Calculation'!J$6,A$2,A$2+A6035-1)</f>
        <v>48038</v>
      </c>
      <c r="D6035" s="362">
        <f t="shared" ca="1" si="191"/>
        <v>0</v>
      </c>
    </row>
    <row r="6036" spans="1:4">
      <c r="A6036" s="348">
        <f t="shared" si="190"/>
        <v>6035</v>
      </c>
      <c r="B6036" s="360">
        <f>DATE('Profit Calculation'!J$6,A$2,A$2+A6036-1)</f>
        <v>48039</v>
      </c>
      <c r="D6036" s="362">
        <f t="shared" ca="1" si="191"/>
        <v>0</v>
      </c>
    </row>
    <row r="6037" spans="1:4">
      <c r="A6037" s="348">
        <f t="shared" si="190"/>
        <v>6036</v>
      </c>
      <c r="B6037" s="360">
        <f>DATE('Profit Calculation'!J$6,A$2,A$2+A6037-1)</f>
        <v>48040</v>
      </c>
      <c r="D6037" s="362">
        <f t="shared" ca="1" si="191"/>
        <v>0</v>
      </c>
    </row>
    <row r="6038" spans="1:4">
      <c r="A6038" s="348">
        <f t="shared" si="190"/>
        <v>6037</v>
      </c>
      <c r="B6038" s="360">
        <f>DATE('Profit Calculation'!J$6,A$2,A$2+A6038-1)</f>
        <v>48041</v>
      </c>
      <c r="D6038" s="362">
        <f t="shared" ca="1" si="191"/>
        <v>0</v>
      </c>
    </row>
    <row r="6039" spans="1:4">
      <c r="A6039" s="348">
        <f t="shared" si="190"/>
        <v>6038</v>
      </c>
      <c r="B6039" s="360">
        <f>DATE('Profit Calculation'!J$6,A$2,A$2+A6039-1)</f>
        <v>48042</v>
      </c>
      <c r="D6039" s="362">
        <f t="shared" ca="1" si="191"/>
        <v>0</v>
      </c>
    </row>
    <row r="6040" spans="1:4">
      <c r="A6040" s="348">
        <f t="shared" si="190"/>
        <v>6039</v>
      </c>
      <c r="B6040" s="360">
        <f>DATE('Profit Calculation'!J$6,A$2,A$2+A6040-1)</f>
        <v>48043</v>
      </c>
      <c r="D6040" s="362">
        <f t="shared" ca="1" si="191"/>
        <v>0</v>
      </c>
    </row>
    <row r="6041" spans="1:4">
      <c r="A6041" s="348">
        <f t="shared" si="190"/>
        <v>6040</v>
      </c>
      <c r="B6041" s="360">
        <f>DATE('Profit Calculation'!J$6,A$2,A$2+A6041-1)</f>
        <v>48044</v>
      </c>
      <c r="D6041" s="362">
        <f t="shared" ca="1" si="191"/>
        <v>0</v>
      </c>
    </row>
    <row r="6042" spans="1:4">
      <c r="A6042" s="348">
        <f t="shared" si="190"/>
        <v>6041</v>
      </c>
      <c r="B6042" s="360">
        <f>DATE('Profit Calculation'!J$6,A$2,A$2+A6042-1)</f>
        <v>48045</v>
      </c>
      <c r="D6042" s="362">
        <f t="shared" ca="1" si="191"/>
        <v>0</v>
      </c>
    </row>
    <row r="6043" spans="1:4">
      <c r="A6043" s="348">
        <f t="shared" si="190"/>
        <v>6042</v>
      </c>
      <c r="B6043" s="360">
        <f>DATE('Profit Calculation'!J$6,A$2,A$2+A6043-1)</f>
        <v>48046</v>
      </c>
      <c r="D6043" s="362">
        <f t="shared" ca="1" si="191"/>
        <v>0</v>
      </c>
    </row>
    <row r="6044" spans="1:4">
      <c r="A6044" s="348">
        <f t="shared" si="190"/>
        <v>6043</v>
      </c>
      <c r="B6044" s="360">
        <f>DATE('Profit Calculation'!J$6,A$2,A$2+A6044-1)</f>
        <v>48047</v>
      </c>
      <c r="D6044" s="362">
        <f t="shared" ca="1" si="191"/>
        <v>0</v>
      </c>
    </row>
    <row r="6045" spans="1:4">
      <c r="A6045" s="348">
        <f t="shared" si="190"/>
        <v>6044</v>
      </c>
      <c r="B6045" s="360">
        <f>DATE('Profit Calculation'!J$6,A$2,A$2+A6045-1)</f>
        <v>48048</v>
      </c>
      <c r="D6045" s="362">
        <f t="shared" ca="1" si="191"/>
        <v>0</v>
      </c>
    </row>
    <row r="6046" spans="1:4">
      <c r="A6046" s="348">
        <f t="shared" si="190"/>
        <v>6045</v>
      </c>
      <c r="B6046" s="360">
        <f>DATE('Profit Calculation'!J$6,A$2,A$2+A6046-1)</f>
        <v>48049</v>
      </c>
      <c r="D6046" s="362">
        <f t="shared" ca="1" si="191"/>
        <v>0</v>
      </c>
    </row>
    <row r="6047" spans="1:4">
      <c r="A6047" s="348">
        <f t="shared" si="190"/>
        <v>6046</v>
      </c>
      <c r="B6047" s="360">
        <f>DATE('Profit Calculation'!J$6,A$2,A$2+A6047-1)</f>
        <v>48050</v>
      </c>
      <c r="D6047" s="362">
        <f t="shared" ca="1" si="191"/>
        <v>0</v>
      </c>
    </row>
    <row r="6048" spans="1:4">
      <c r="A6048" s="348">
        <f t="shared" si="190"/>
        <v>6047</v>
      </c>
      <c r="B6048" s="360">
        <f>DATE('Profit Calculation'!J$6,A$2,A$2+A6048-1)</f>
        <v>48051</v>
      </c>
      <c r="D6048" s="362">
        <f t="shared" ca="1" si="191"/>
        <v>0</v>
      </c>
    </row>
    <row r="6049" spans="1:4">
      <c r="A6049" s="348">
        <f t="shared" si="190"/>
        <v>6048</v>
      </c>
      <c r="B6049" s="360">
        <f>DATE('Profit Calculation'!J$6,A$2,A$2+A6049-1)</f>
        <v>48052</v>
      </c>
      <c r="D6049" s="362">
        <f t="shared" ca="1" si="191"/>
        <v>0</v>
      </c>
    </row>
    <row r="6050" spans="1:4">
      <c r="A6050" s="348">
        <f t="shared" si="190"/>
        <v>6049</v>
      </c>
      <c r="B6050" s="360">
        <f>DATE('Profit Calculation'!J$6,A$2,A$2+A6050-1)</f>
        <v>48053</v>
      </c>
      <c r="D6050" s="362">
        <f t="shared" ca="1" si="191"/>
        <v>0</v>
      </c>
    </row>
    <row r="6051" spans="1:4">
      <c r="A6051" s="348">
        <f t="shared" si="190"/>
        <v>6050</v>
      </c>
      <c r="B6051" s="360">
        <f>DATE('Profit Calculation'!J$6,A$2,A$2+A6051-1)</f>
        <v>48054</v>
      </c>
      <c r="D6051" s="362">
        <f t="shared" ca="1" si="191"/>
        <v>0</v>
      </c>
    </row>
    <row r="6052" spans="1:4">
      <c r="A6052" s="348">
        <f t="shared" si="190"/>
        <v>6051</v>
      </c>
      <c r="B6052" s="360">
        <f>DATE('Profit Calculation'!J$6,A$2,A$2+A6052-1)</f>
        <v>48055</v>
      </c>
      <c r="D6052" s="362">
        <f t="shared" ca="1" si="191"/>
        <v>0</v>
      </c>
    </row>
    <row r="6053" spans="1:4">
      <c r="A6053" s="348">
        <f t="shared" si="190"/>
        <v>6052</v>
      </c>
      <c r="B6053" s="360">
        <f>DATE('Profit Calculation'!J$6,A$2,A$2+A6053-1)</f>
        <v>48056</v>
      </c>
      <c r="D6053" s="362">
        <f t="shared" ca="1" si="191"/>
        <v>0</v>
      </c>
    </row>
    <row r="6054" spans="1:4">
      <c r="A6054" s="348">
        <f t="shared" si="190"/>
        <v>6053</v>
      </c>
      <c r="B6054" s="360">
        <f>DATE('Profit Calculation'!J$6,A$2,A$2+A6054-1)</f>
        <v>48057</v>
      </c>
      <c r="D6054" s="362">
        <f t="shared" ca="1" si="191"/>
        <v>0</v>
      </c>
    </row>
    <row r="6055" spans="1:4">
      <c r="A6055" s="348">
        <f t="shared" si="190"/>
        <v>6054</v>
      </c>
      <c r="B6055" s="360">
        <f>DATE('Profit Calculation'!J$6,A$2,A$2+A6055-1)</f>
        <v>48058</v>
      </c>
      <c r="D6055" s="362">
        <f t="shared" ca="1" si="191"/>
        <v>0</v>
      </c>
    </row>
    <row r="6056" spans="1:4">
      <c r="A6056" s="348">
        <f t="shared" si="190"/>
        <v>6055</v>
      </c>
      <c r="B6056" s="360">
        <f>DATE('Profit Calculation'!J$6,A$2,A$2+A6056-1)</f>
        <v>48059</v>
      </c>
      <c r="D6056" s="362">
        <f t="shared" ca="1" si="191"/>
        <v>0</v>
      </c>
    </row>
    <row r="6057" spans="1:4">
      <c r="A6057" s="348">
        <f t="shared" si="190"/>
        <v>6056</v>
      </c>
      <c r="B6057" s="360">
        <f>DATE('Profit Calculation'!J$6,A$2,A$2+A6057-1)</f>
        <v>48060</v>
      </c>
      <c r="D6057" s="362">
        <f t="shared" ca="1" si="191"/>
        <v>0</v>
      </c>
    </row>
    <row r="6058" spans="1:4">
      <c r="A6058" s="348">
        <f t="shared" si="190"/>
        <v>6057</v>
      </c>
      <c r="B6058" s="360">
        <f>DATE('Profit Calculation'!J$6,A$2,A$2+A6058-1)</f>
        <v>48061</v>
      </c>
      <c r="D6058" s="362">
        <f t="shared" ca="1" si="191"/>
        <v>0</v>
      </c>
    </row>
    <row r="6059" spans="1:4">
      <c r="A6059" s="348">
        <f t="shared" si="190"/>
        <v>6058</v>
      </c>
      <c r="B6059" s="360">
        <f>DATE('Profit Calculation'!J$6,A$2,A$2+A6059-1)</f>
        <v>48062</v>
      </c>
      <c r="D6059" s="362">
        <f t="shared" ca="1" si="191"/>
        <v>0</v>
      </c>
    </row>
    <row r="6060" spans="1:4">
      <c r="A6060" s="348">
        <f t="shared" si="190"/>
        <v>6059</v>
      </c>
      <c r="B6060" s="360">
        <f>DATE('Profit Calculation'!J$6,A$2,A$2+A6060-1)</f>
        <v>48063</v>
      </c>
      <c r="D6060" s="362">
        <f t="shared" ca="1" si="191"/>
        <v>0</v>
      </c>
    </row>
    <row r="6061" spans="1:4">
      <c r="A6061" s="348">
        <f t="shared" si="190"/>
        <v>6060</v>
      </c>
      <c r="B6061" s="360">
        <f>DATE('Profit Calculation'!J$6,A$2,A$2+A6061-1)</f>
        <v>48064</v>
      </c>
      <c r="D6061" s="362">
        <f t="shared" ca="1" si="191"/>
        <v>0</v>
      </c>
    </row>
    <row r="6062" spans="1:4">
      <c r="A6062" s="348">
        <f t="shared" si="190"/>
        <v>6061</v>
      </c>
      <c r="B6062" s="360">
        <f>DATE('Profit Calculation'!J$6,A$2,A$2+A6062-1)</f>
        <v>48065</v>
      </c>
      <c r="D6062" s="362">
        <f t="shared" ca="1" si="191"/>
        <v>0</v>
      </c>
    </row>
    <row r="6063" spans="1:4">
      <c r="A6063" s="348">
        <f t="shared" si="190"/>
        <v>6062</v>
      </c>
      <c r="B6063" s="360">
        <f>DATE('Profit Calculation'!J$6,A$2,A$2+A6063-1)</f>
        <v>48066</v>
      </c>
      <c r="D6063" s="362">
        <f t="shared" ca="1" si="191"/>
        <v>0</v>
      </c>
    </row>
    <row r="6064" spans="1:4">
      <c r="A6064" s="348">
        <f t="shared" si="190"/>
        <v>6063</v>
      </c>
      <c r="B6064" s="360">
        <f>DATE('Profit Calculation'!J$6,A$2,A$2+A6064-1)</f>
        <v>48067</v>
      </c>
      <c r="D6064" s="362">
        <f t="shared" ca="1" si="191"/>
        <v>0</v>
      </c>
    </row>
    <row r="6065" spans="1:4">
      <c r="A6065" s="348">
        <f t="shared" si="190"/>
        <v>6064</v>
      </c>
      <c r="B6065" s="360">
        <f>DATE('Profit Calculation'!J$6,A$2,A$2+A6065-1)</f>
        <v>48068</v>
      </c>
      <c r="D6065" s="362">
        <f t="shared" ca="1" si="191"/>
        <v>0</v>
      </c>
    </row>
    <row r="6066" spans="1:4">
      <c r="A6066" s="348">
        <f t="shared" si="190"/>
        <v>6065</v>
      </c>
      <c r="B6066" s="360">
        <f>DATE('Profit Calculation'!J$6,A$2,A$2+A6066-1)</f>
        <v>48069</v>
      </c>
      <c r="D6066" s="362">
        <f t="shared" ca="1" si="191"/>
        <v>0</v>
      </c>
    </row>
    <row r="6067" spans="1:4">
      <c r="A6067" s="348">
        <f t="shared" si="190"/>
        <v>6066</v>
      </c>
      <c r="B6067" s="360">
        <f>DATE('Profit Calculation'!J$6,A$2,A$2+A6067-1)</f>
        <v>48070</v>
      </c>
      <c r="D6067" s="362">
        <f t="shared" ca="1" si="191"/>
        <v>0</v>
      </c>
    </row>
    <row r="6068" spans="1:4">
      <c r="A6068" s="348">
        <f t="shared" si="190"/>
        <v>6067</v>
      </c>
      <c r="B6068" s="360">
        <f>DATE('Profit Calculation'!J$6,A$2,A$2+A6068-1)</f>
        <v>48071</v>
      </c>
      <c r="D6068" s="362">
        <f t="shared" ca="1" si="191"/>
        <v>0</v>
      </c>
    </row>
    <row r="6069" spans="1:4">
      <c r="A6069" s="348">
        <f t="shared" si="190"/>
        <v>6068</v>
      </c>
      <c r="B6069" s="360">
        <f>DATE('Profit Calculation'!J$6,A$2,A$2+A6069-1)</f>
        <v>48072</v>
      </c>
      <c r="D6069" s="362">
        <f t="shared" ca="1" si="191"/>
        <v>0</v>
      </c>
    </row>
    <row r="6070" spans="1:4">
      <c r="A6070" s="348">
        <f t="shared" si="190"/>
        <v>6069</v>
      </c>
      <c r="B6070" s="360">
        <f>DATE('Profit Calculation'!J$6,A$2,A$2+A6070-1)</f>
        <v>48073</v>
      </c>
      <c r="D6070" s="362">
        <f t="shared" ca="1" si="191"/>
        <v>0</v>
      </c>
    </row>
    <row r="6071" spans="1:4">
      <c r="A6071" s="348">
        <f t="shared" si="190"/>
        <v>6070</v>
      </c>
      <c r="B6071" s="360">
        <f>DATE('Profit Calculation'!J$6,A$2,A$2+A6071-1)</f>
        <v>48074</v>
      </c>
      <c r="D6071" s="362">
        <f t="shared" ca="1" si="191"/>
        <v>0</v>
      </c>
    </row>
    <row r="6072" spans="1:4">
      <c r="A6072" s="348">
        <f t="shared" si="190"/>
        <v>6071</v>
      </c>
      <c r="B6072" s="360">
        <f>DATE('Profit Calculation'!J$6,A$2,A$2+A6072-1)</f>
        <v>48075</v>
      </c>
      <c r="D6072" s="362">
        <f t="shared" ca="1" si="191"/>
        <v>0</v>
      </c>
    </row>
    <row r="6073" spans="1:4">
      <c r="A6073" s="348">
        <f t="shared" si="190"/>
        <v>6072</v>
      </c>
      <c r="B6073" s="360">
        <f>DATE('Profit Calculation'!J$6,A$2,A$2+A6073-1)</f>
        <v>48076</v>
      </c>
      <c r="D6073" s="362">
        <f t="shared" ca="1" si="191"/>
        <v>0</v>
      </c>
    </row>
    <row r="6074" spans="1:4">
      <c r="A6074" s="348">
        <f t="shared" si="190"/>
        <v>6073</v>
      </c>
      <c r="B6074" s="360">
        <f>DATE('Profit Calculation'!J$6,A$2,A$2+A6074-1)</f>
        <v>48077</v>
      </c>
      <c r="D6074" s="362">
        <f t="shared" ca="1" si="191"/>
        <v>0</v>
      </c>
    </row>
    <row r="6075" spans="1:4">
      <c r="A6075" s="348">
        <f t="shared" si="190"/>
        <v>6074</v>
      </c>
      <c r="B6075" s="360">
        <f>DATE('Profit Calculation'!J$6,A$2,A$2+A6075-1)</f>
        <v>48078</v>
      </c>
      <c r="D6075" s="362">
        <f t="shared" ca="1" si="191"/>
        <v>0</v>
      </c>
    </row>
    <row r="6076" spans="1:4">
      <c r="A6076" s="348">
        <f t="shared" si="190"/>
        <v>6075</v>
      </c>
      <c r="B6076" s="360">
        <f>DATE('Profit Calculation'!J$6,A$2,A$2+A6076-1)</f>
        <v>48079</v>
      </c>
      <c r="D6076" s="362">
        <f t="shared" ca="1" si="191"/>
        <v>0</v>
      </c>
    </row>
    <row r="6077" spans="1:4">
      <c r="A6077" s="348">
        <f t="shared" si="190"/>
        <v>6076</v>
      </c>
      <c r="B6077" s="360">
        <f>DATE('Profit Calculation'!J$6,A$2,A$2+A6077-1)</f>
        <v>48080</v>
      </c>
      <c r="D6077" s="362">
        <f t="shared" ca="1" si="191"/>
        <v>0</v>
      </c>
    </row>
    <row r="6078" spans="1:4">
      <c r="A6078" s="348">
        <f t="shared" si="190"/>
        <v>6077</v>
      </c>
      <c r="B6078" s="360">
        <f>DATE('Profit Calculation'!J$6,A$2,A$2+A6078-1)</f>
        <v>48081</v>
      </c>
      <c r="D6078" s="362">
        <f t="shared" ca="1" si="191"/>
        <v>0</v>
      </c>
    </row>
    <row r="6079" spans="1:4">
      <c r="A6079" s="348">
        <f t="shared" si="190"/>
        <v>6078</v>
      </c>
      <c r="B6079" s="360">
        <f>DATE('Profit Calculation'!J$6,A$2,A$2+A6079-1)</f>
        <v>48082</v>
      </c>
      <c r="D6079" s="362">
        <f t="shared" ca="1" si="191"/>
        <v>0</v>
      </c>
    </row>
    <row r="6080" spans="1:4">
      <c r="A6080" s="348">
        <f t="shared" si="190"/>
        <v>6079</v>
      </c>
      <c r="B6080" s="360">
        <f>DATE('Profit Calculation'!J$6,A$2,A$2+A6080-1)</f>
        <v>48083</v>
      </c>
      <c r="D6080" s="362">
        <f t="shared" ca="1" si="191"/>
        <v>0</v>
      </c>
    </row>
    <row r="6081" spans="1:4">
      <c r="A6081" s="348">
        <f t="shared" si="190"/>
        <v>6080</v>
      </c>
      <c r="B6081" s="360">
        <f>DATE('Profit Calculation'!J$6,A$2,A$2+A6081-1)</f>
        <v>48084</v>
      </c>
      <c r="D6081" s="362">
        <f t="shared" ca="1" si="191"/>
        <v>0</v>
      </c>
    </row>
    <row r="6082" spans="1:4">
      <c r="A6082" s="348">
        <f t="shared" si="190"/>
        <v>6081</v>
      </c>
      <c r="B6082" s="360">
        <f>DATE('Profit Calculation'!J$6,A$2,A$2+A6082-1)</f>
        <v>48085</v>
      </c>
      <c r="D6082" s="362">
        <f t="shared" ca="1" si="191"/>
        <v>0</v>
      </c>
    </row>
    <row r="6083" spans="1:4">
      <c r="A6083" s="348">
        <f t="shared" si="190"/>
        <v>6082</v>
      </c>
      <c r="B6083" s="360">
        <f>DATE('Profit Calculation'!J$6,A$2,A$2+A6083-1)</f>
        <v>48086</v>
      </c>
      <c r="D6083" s="362">
        <f t="shared" ca="1" si="191"/>
        <v>0</v>
      </c>
    </row>
    <row r="6084" spans="1:4">
      <c r="A6084" s="348">
        <f t="shared" si="190"/>
        <v>6083</v>
      </c>
      <c r="B6084" s="360">
        <f>DATE('Profit Calculation'!J$6,A$2,A$2+A6084-1)</f>
        <v>48087</v>
      </c>
      <c r="D6084" s="362">
        <f t="shared" ca="1" si="191"/>
        <v>0</v>
      </c>
    </row>
    <row r="6085" spans="1:4">
      <c r="A6085" s="348">
        <f t="shared" ref="A6085:A6148" si="192">A6084+1</f>
        <v>6084</v>
      </c>
      <c r="B6085" s="360">
        <f>DATE('Profit Calculation'!J$6,A$2,A$2+A6085-1)</f>
        <v>48088</v>
      </c>
      <c r="D6085" s="362">
        <f t="shared" ref="D6085:D6148" ca="1" si="193">IF(OR(LOOKUP(B6085,W$1:W$35,W$1:W$35) = B6085, LOOKUP(B6085,X$1:X$35,X$1:X$35) = B6085),LOOKUP(B6085,F:F,G:G),D6084*(1+((IF($Q$18&lt;6,$R$14,IF($Q$18&lt;11,$R$15,$R$16)))))^(1/365))</f>
        <v>0</v>
      </c>
    </row>
    <row r="6086" spans="1:4">
      <c r="A6086" s="348">
        <f t="shared" si="192"/>
        <v>6085</v>
      </c>
      <c r="B6086" s="360">
        <f>DATE('Profit Calculation'!J$6,A$2,A$2+A6086-1)</f>
        <v>48089</v>
      </c>
      <c r="D6086" s="362">
        <f t="shared" ca="1" si="193"/>
        <v>0</v>
      </c>
    </row>
    <row r="6087" spans="1:4">
      <c r="A6087" s="348">
        <f t="shared" si="192"/>
        <v>6086</v>
      </c>
      <c r="B6087" s="360">
        <f>DATE('Profit Calculation'!J$6,A$2,A$2+A6087-1)</f>
        <v>48090</v>
      </c>
      <c r="D6087" s="362">
        <f t="shared" ca="1" si="193"/>
        <v>0</v>
      </c>
    </row>
    <row r="6088" spans="1:4">
      <c r="A6088" s="348">
        <f t="shared" si="192"/>
        <v>6087</v>
      </c>
      <c r="B6088" s="360">
        <f>DATE('Profit Calculation'!J$6,A$2,A$2+A6088-1)</f>
        <v>48091</v>
      </c>
      <c r="D6088" s="362">
        <f t="shared" ca="1" si="193"/>
        <v>0</v>
      </c>
    </row>
    <row r="6089" spans="1:4">
      <c r="A6089" s="348">
        <f t="shared" si="192"/>
        <v>6088</v>
      </c>
      <c r="B6089" s="360">
        <f>DATE('Profit Calculation'!J$6,A$2,A$2+A6089-1)</f>
        <v>48092</v>
      </c>
      <c r="D6089" s="362">
        <f t="shared" ca="1" si="193"/>
        <v>0</v>
      </c>
    </row>
    <row r="6090" spans="1:4">
      <c r="A6090" s="348">
        <f t="shared" si="192"/>
        <v>6089</v>
      </c>
      <c r="B6090" s="360">
        <f>DATE('Profit Calculation'!J$6,A$2,A$2+A6090-1)</f>
        <v>48093</v>
      </c>
      <c r="D6090" s="362">
        <f t="shared" ca="1" si="193"/>
        <v>0</v>
      </c>
    </row>
    <row r="6091" spans="1:4">
      <c r="A6091" s="348">
        <f t="shared" si="192"/>
        <v>6090</v>
      </c>
      <c r="B6091" s="360">
        <f>DATE('Profit Calculation'!J$6,A$2,A$2+A6091-1)</f>
        <v>48094</v>
      </c>
      <c r="D6091" s="362">
        <f t="shared" ca="1" si="193"/>
        <v>0</v>
      </c>
    </row>
    <row r="6092" spans="1:4">
      <c r="A6092" s="348">
        <f t="shared" si="192"/>
        <v>6091</v>
      </c>
      <c r="B6092" s="360">
        <f>DATE('Profit Calculation'!J$6,A$2,A$2+A6092-1)</f>
        <v>48095</v>
      </c>
      <c r="D6092" s="362">
        <f t="shared" ca="1" si="193"/>
        <v>0</v>
      </c>
    </row>
    <row r="6093" spans="1:4">
      <c r="A6093" s="348">
        <f t="shared" si="192"/>
        <v>6092</v>
      </c>
      <c r="B6093" s="360">
        <f>DATE('Profit Calculation'!J$6,A$2,A$2+A6093-1)</f>
        <v>48096</v>
      </c>
      <c r="D6093" s="362">
        <f t="shared" ca="1" si="193"/>
        <v>0</v>
      </c>
    </row>
    <row r="6094" spans="1:4">
      <c r="A6094" s="348">
        <f t="shared" si="192"/>
        <v>6093</v>
      </c>
      <c r="B6094" s="360">
        <f>DATE('Profit Calculation'!J$6,A$2,A$2+A6094-1)</f>
        <v>48097</v>
      </c>
      <c r="D6094" s="362">
        <f t="shared" ca="1" si="193"/>
        <v>0</v>
      </c>
    </row>
    <row r="6095" spans="1:4">
      <c r="A6095" s="348">
        <f t="shared" si="192"/>
        <v>6094</v>
      </c>
      <c r="B6095" s="360">
        <f>DATE('Profit Calculation'!J$6,A$2,A$2+A6095-1)</f>
        <v>48098</v>
      </c>
      <c r="D6095" s="362">
        <f t="shared" ca="1" si="193"/>
        <v>0</v>
      </c>
    </row>
    <row r="6096" spans="1:4">
      <c r="A6096" s="348">
        <f t="shared" si="192"/>
        <v>6095</v>
      </c>
      <c r="B6096" s="360">
        <f>DATE('Profit Calculation'!J$6,A$2,A$2+A6096-1)</f>
        <v>48099</v>
      </c>
      <c r="D6096" s="362">
        <f t="shared" ca="1" si="193"/>
        <v>0</v>
      </c>
    </row>
    <row r="6097" spans="1:4">
      <c r="A6097" s="348">
        <f t="shared" si="192"/>
        <v>6096</v>
      </c>
      <c r="B6097" s="360">
        <f>DATE('Profit Calculation'!J$6,A$2,A$2+A6097-1)</f>
        <v>48100</v>
      </c>
      <c r="D6097" s="362">
        <f t="shared" ca="1" si="193"/>
        <v>0</v>
      </c>
    </row>
    <row r="6098" spans="1:4">
      <c r="A6098" s="348">
        <f t="shared" si="192"/>
        <v>6097</v>
      </c>
      <c r="B6098" s="360">
        <f>DATE('Profit Calculation'!J$6,A$2,A$2+A6098-1)</f>
        <v>48101</v>
      </c>
      <c r="D6098" s="362">
        <f t="shared" ca="1" si="193"/>
        <v>0</v>
      </c>
    </row>
    <row r="6099" spans="1:4">
      <c r="A6099" s="348">
        <f t="shared" si="192"/>
        <v>6098</v>
      </c>
      <c r="B6099" s="360">
        <f>DATE('Profit Calculation'!J$6,A$2,A$2+A6099-1)</f>
        <v>48102</v>
      </c>
      <c r="D6099" s="362">
        <f t="shared" ca="1" si="193"/>
        <v>0</v>
      </c>
    </row>
    <row r="6100" spans="1:4">
      <c r="A6100" s="348">
        <f t="shared" si="192"/>
        <v>6099</v>
      </c>
      <c r="B6100" s="360">
        <f>DATE('Profit Calculation'!J$6,A$2,A$2+A6100-1)</f>
        <v>48103</v>
      </c>
      <c r="D6100" s="362">
        <f t="shared" ca="1" si="193"/>
        <v>0</v>
      </c>
    </row>
    <row r="6101" spans="1:4">
      <c r="A6101" s="348">
        <f t="shared" si="192"/>
        <v>6100</v>
      </c>
      <c r="B6101" s="360">
        <f>DATE('Profit Calculation'!J$6,A$2,A$2+A6101-1)</f>
        <v>48104</v>
      </c>
      <c r="D6101" s="362">
        <f t="shared" ca="1" si="193"/>
        <v>0</v>
      </c>
    </row>
    <row r="6102" spans="1:4">
      <c r="A6102" s="348">
        <f t="shared" si="192"/>
        <v>6101</v>
      </c>
      <c r="B6102" s="360">
        <f>DATE('Profit Calculation'!J$6,A$2,A$2+A6102-1)</f>
        <v>48105</v>
      </c>
      <c r="D6102" s="362">
        <f t="shared" ca="1" si="193"/>
        <v>0</v>
      </c>
    </row>
    <row r="6103" spans="1:4">
      <c r="A6103" s="348">
        <f t="shared" si="192"/>
        <v>6102</v>
      </c>
      <c r="B6103" s="360">
        <f>DATE('Profit Calculation'!J$6,A$2,A$2+A6103-1)</f>
        <v>48106</v>
      </c>
      <c r="D6103" s="362">
        <f t="shared" ca="1" si="193"/>
        <v>0</v>
      </c>
    </row>
    <row r="6104" spans="1:4">
      <c r="A6104" s="348">
        <f t="shared" si="192"/>
        <v>6103</v>
      </c>
      <c r="B6104" s="360">
        <f>DATE('Profit Calculation'!J$6,A$2,A$2+A6104-1)</f>
        <v>48107</v>
      </c>
      <c r="D6104" s="362">
        <f t="shared" ca="1" si="193"/>
        <v>0</v>
      </c>
    </row>
    <row r="6105" spans="1:4">
      <c r="A6105" s="348">
        <f t="shared" si="192"/>
        <v>6104</v>
      </c>
      <c r="B6105" s="360">
        <f>DATE('Profit Calculation'!J$6,A$2,A$2+A6105-1)</f>
        <v>48108</v>
      </c>
      <c r="D6105" s="362">
        <f t="shared" ca="1" si="193"/>
        <v>0</v>
      </c>
    </row>
    <row r="6106" spans="1:4">
      <c r="A6106" s="348">
        <f t="shared" si="192"/>
        <v>6105</v>
      </c>
      <c r="B6106" s="360">
        <f>DATE('Profit Calculation'!J$6,A$2,A$2+A6106-1)</f>
        <v>48109</v>
      </c>
      <c r="D6106" s="362">
        <f t="shared" ca="1" si="193"/>
        <v>0</v>
      </c>
    </row>
    <row r="6107" spans="1:4">
      <c r="A6107" s="348">
        <f t="shared" si="192"/>
        <v>6106</v>
      </c>
      <c r="B6107" s="360">
        <f>DATE('Profit Calculation'!J$6,A$2,A$2+A6107-1)</f>
        <v>48110</v>
      </c>
      <c r="D6107" s="362">
        <f t="shared" ca="1" si="193"/>
        <v>0</v>
      </c>
    </row>
    <row r="6108" spans="1:4">
      <c r="A6108" s="348">
        <f t="shared" si="192"/>
        <v>6107</v>
      </c>
      <c r="B6108" s="360">
        <f>DATE('Profit Calculation'!J$6,A$2,A$2+A6108-1)</f>
        <v>48111</v>
      </c>
      <c r="D6108" s="362">
        <f t="shared" ca="1" si="193"/>
        <v>0</v>
      </c>
    </row>
    <row r="6109" spans="1:4">
      <c r="A6109" s="348">
        <f t="shared" si="192"/>
        <v>6108</v>
      </c>
      <c r="B6109" s="360">
        <f>DATE('Profit Calculation'!J$6,A$2,A$2+A6109-1)</f>
        <v>48112</v>
      </c>
      <c r="D6109" s="362">
        <f t="shared" ca="1" si="193"/>
        <v>0</v>
      </c>
    </row>
    <row r="6110" spans="1:4">
      <c r="A6110" s="348">
        <f t="shared" si="192"/>
        <v>6109</v>
      </c>
      <c r="B6110" s="360">
        <f>DATE('Profit Calculation'!J$6,A$2,A$2+A6110-1)</f>
        <v>48113</v>
      </c>
      <c r="D6110" s="362">
        <f t="shared" ca="1" si="193"/>
        <v>0</v>
      </c>
    </row>
    <row r="6111" spans="1:4">
      <c r="A6111" s="348">
        <f t="shared" si="192"/>
        <v>6110</v>
      </c>
      <c r="B6111" s="360">
        <f>DATE('Profit Calculation'!J$6,A$2,A$2+A6111-1)</f>
        <v>48114</v>
      </c>
      <c r="D6111" s="362">
        <f t="shared" ca="1" si="193"/>
        <v>0</v>
      </c>
    </row>
    <row r="6112" spans="1:4">
      <c r="A6112" s="348">
        <f t="shared" si="192"/>
        <v>6111</v>
      </c>
      <c r="B6112" s="360">
        <f>DATE('Profit Calculation'!J$6,A$2,A$2+A6112-1)</f>
        <v>48115</v>
      </c>
      <c r="D6112" s="362">
        <f t="shared" ca="1" si="193"/>
        <v>0</v>
      </c>
    </row>
    <row r="6113" spans="1:4">
      <c r="A6113" s="348">
        <f t="shared" si="192"/>
        <v>6112</v>
      </c>
      <c r="B6113" s="360">
        <f>DATE('Profit Calculation'!J$6,A$2,A$2+A6113-1)</f>
        <v>48116</v>
      </c>
      <c r="D6113" s="362">
        <f t="shared" ca="1" si="193"/>
        <v>0</v>
      </c>
    </row>
    <row r="6114" spans="1:4">
      <c r="A6114" s="348">
        <f t="shared" si="192"/>
        <v>6113</v>
      </c>
      <c r="B6114" s="360">
        <f>DATE('Profit Calculation'!J$6,A$2,A$2+A6114-1)</f>
        <v>48117</v>
      </c>
      <c r="D6114" s="362">
        <f t="shared" ca="1" si="193"/>
        <v>0</v>
      </c>
    </row>
    <row r="6115" spans="1:4">
      <c r="A6115" s="348">
        <f t="shared" si="192"/>
        <v>6114</v>
      </c>
      <c r="B6115" s="360">
        <f>DATE('Profit Calculation'!J$6,A$2,A$2+A6115-1)</f>
        <v>48118</v>
      </c>
      <c r="D6115" s="362">
        <f t="shared" ca="1" si="193"/>
        <v>0</v>
      </c>
    </row>
    <row r="6116" spans="1:4">
      <c r="A6116" s="348">
        <f t="shared" si="192"/>
        <v>6115</v>
      </c>
      <c r="B6116" s="360">
        <f>DATE('Profit Calculation'!J$6,A$2,A$2+A6116-1)</f>
        <v>48119</v>
      </c>
      <c r="D6116" s="362">
        <f t="shared" ca="1" si="193"/>
        <v>0</v>
      </c>
    </row>
    <row r="6117" spans="1:4">
      <c r="A6117" s="348">
        <f t="shared" si="192"/>
        <v>6116</v>
      </c>
      <c r="B6117" s="360">
        <f>DATE('Profit Calculation'!J$6,A$2,A$2+A6117-1)</f>
        <v>48120</v>
      </c>
      <c r="D6117" s="362">
        <f t="shared" ca="1" si="193"/>
        <v>0</v>
      </c>
    </row>
    <row r="6118" spans="1:4">
      <c r="A6118" s="348">
        <f t="shared" si="192"/>
        <v>6117</v>
      </c>
      <c r="B6118" s="360">
        <f>DATE('Profit Calculation'!J$6,A$2,A$2+A6118-1)</f>
        <v>48121</v>
      </c>
      <c r="D6118" s="362">
        <f t="shared" ca="1" si="193"/>
        <v>0</v>
      </c>
    </row>
    <row r="6119" spans="1:4">
      <c r="A6119" s="348">
        <f t="shared" si="192"/>
        <v>6118</v>
      </c>
      <c r="B6119" s="360">
        <f>DATE('Profit Calculation'!J$6,A$2,A$2+A6119-1)</f>
        <v>48122</v>
      </c>
      <c r="D6119" s="362">
        <f t="shared" ca="1" si="193"/>
        <v>0</v>
      </c>
    </row>
    <row r="6120" spans="1:4">
      <c r="A6120" s="348">
        <f t="shared" si="192"/>
        <v>6119</v>
      </c>
      <c r="B6120" s="360">
        <f>DATE('Profit Calculation'!J$6,A$2,A$2+A6120-1)</f>
        <v>48123</v>
      </c>
      <c r="D6120" s="362">
        <f t="shared" ca="1" si="193"/>
        <v>0</v>
      </c>
    </row>
    <row r="6121" spans="1:4">
      <c r="A6121" s="348">
        <f t="shared" si="192"/>
        <v>6120</v>
      </c>
      <c r="B6121" s="360">
        <f>DATE('Profit Calculation'!J$6,A$2,A$2+A6121-1)</f>
        <v>48124</v>
      </c>
      <c r="D6121" s="362">
        <f t="shared" ca="1" si="193"/>
        <v>0</v>
      </c>
    </row>
    <row r="6122" spans="1:4">
      <c r="A6122" s="348">
        <f t="shared" si="192"/>
        <v>6121</v>
      </c>
      <c r="B6122" s="360">
        <f>DATE('Profit Calculation'!J$6,A$2,A$2+A6122-1)</f>
        <v>48125</v>
      </c>
      <c r="D6122" s="362">
        <f t="shared" ca="1" si="193"/>
        <v>0</v>
      </c>
    </row>
    <row r="6123" spans="1:4">
      <c r="A6123" s="348">
        <f t="shared" si="192"/>
        <v>6122</v>
      </c>
      <c r="B6123" s="360">
        <f>DATE('Profit Calculation'!J$6,A$2,A$2+A6123-1)</f>
        <v>48126</v>
      </c>
      <c r="D6123" s="362">
        <f t="shared" ca="1" si="193"/>
        <v>0</v>
      </c>
    </row>
    <row r="6124" spans="1:4">
      <c r="A6124" s="348">
        <f t="shared" si="192"/>
        <v>6123</v>
      </c>
      <c r="B6124" s="360">
        <f>DATE('Profit Calculation'!J$6,A$2,A$2+A6124-1)</f>
        <v>48127</v>
      </c>
      <c r="D6124" s="362">
        <f t="shared" ca="1" si="193"/>
        <v>0</v>
      </c>
    </row>
    <row r="6125" spans="1:4">
      <c r="A6125" s="348">
        <f t="shared" si="192"/>
        <v>6124</v>
      </c>
      <c r="B6125" s="360">
        <f>DATE('Profit Calculation'!J$6,A$2,A$2+A6125-1)</f>
        <v>48128</v>
      </c>
      <c r="D6125" s="362">
        <f t="shared" ca="1" si="193"/>
        <v>0</v>
      </c>
    </row>
    <row r="6126" spans="1:4">
      <c r="A6126" s="348">
        <f t="shared" si="192"/>
        <v>6125</v>
      </c>
      <c r="B6126" s="360">
        <f>DATE('Profit Calculation'!J$6,A$2,A$2+A6126-1)</f>
        <v>48129</v>
      </c>
      <c r="D6126" s="362">
        <f t="shared" ca="1" si="193"/>
        <v>0</v>
      </c>
    </row>
    <row r="6127" spans="1:4">
      <c r="A6127" s="348">
        <f t="shared" si="192"/>
        <v>6126</v>
      </c>
      <c r="B6127" s="360">
        <f>DATE('Profit Calculation'!J$6,A$2,A$2+A6127-1)</f>
        <v>48130</v>
      </c>
      <c r="D6127" s="362">
        <f t="shared" ca="1" si="193"/>
        <v>0</v>
      </c>
    </row>
    <row r="6128" spans="1:4">
      <c r="A6128" s="348">
        <f t="shared" si="192"/>
        <v>6127</v>
      </c>
      <c r="B6128" s="360">
        <f>DATE('Profit Calculation'!J$6,A$2,A$2+A6128-1)</f>
        <v>48131</v>
      </c>
      <c r="D6128" s="362">
        <f t="shared" ca="1" si="193"/>
        <v>0</v>
      </c>
    </row>
    <row r="6129" spans="1:4">
      <c r="A6129" s="348">
        <f t="shared" si="192"/>
        <v>6128</v>
      </c>
      <c r="B6129" s="360">
        <f>DATE('Profit Calculation'!J$6,A$2,A$2+A6129-1)</f>
        <v>48132</v>
      </c>
      <c r="D6129" s="362">
        <f t="shared" ca="1" si="193"/>
        <v>0</v>
      </c>
    </row>
    <row r="6130" spans="1:4">
      <c r="A6130" s="348">
        <f t="shared" si="192"/>
        <v>6129</v>
      </c>
      <c r="B6130" s="360">
        <f>DATE('Profit Calculation'!J$6,A$2,A$2+A6130-1)</f>
        <v>48133</v>
      </c>
      <c r="D6130" s="362">
        <f t="shared" ca="1" si="193"/>
        <v>0</v>
      </c>
    </row>
    <row r="6131" spans="1:4">
      <c r="A6131" s="348">
        <f t="shared" si="192"/>
        <v>6130</v>
      </c>
      <c r="B6131" s="360">
        <f>DATE('Profit Calculation'!J$6,A$2,A$2+A6131-1)</f>
        <v>48134</v>
      </c>
      <c r="D6131" s="362">
        <f t="shared" ca="1" si="193"/>
        <v>0</v>
      </c>
    </row>
    <row r="6132" spans="1:4">
      <c r="A6132" s="348">
        <f t="shared" si="192"/>
        <v>6131</v>
      </c>
      <c r="B6132" s="360">
        <f>DATE('Profit Calculation'!J$6,A$2,A$2+A6132-1)</f>
        <v>48135</v>
      </c>
      <c r="D6132" s="362">
        <f t="shared" ca="1" si="193"/>
        <v>0</v>
      </c>
    </row>
    <row r="6133" spans="1:4">
      <c r="A6133" s="348">
        <f t="shared" si="192"/>
        <v>6132</v>
      </c>
      <c r="B6133" s="360">
        <f>DATE('Profit Calculation'!J$6,A$2,A$2+A6133-1)</f>
        <v>48136</v>
      </c>
      <c r="D6133" s="362">
        <f t="shared" ca="1" si="193"/>
        <v>0</v>
      </c>
    </row>
    <row r="6134" spans="1:4">
      <c r="A6134" s="348">
        <f t="shared" si="192"/>
        <v>6133</v>
      </c>
      <c r="B6134" s="360">
        <f>DATE('Profit Calculation'!J$6,A$2,A$2+A6134-1)</f>
        <v>48137</v>
      </c>
      <c r="D6134" s="362">
        <f t="shared" ca="1" si="193"/>
        <v>0</v>
      </c>
    </row>
    <row r="6135" spans="1:4">
      <c r="A6135" s="348">
        <f t="shared" si="192"/>
        <v>6134</v>
      </c>
      <c r="B6135" s="360">
        <f>DATE('Profit Calculation'!J$6,A$2,A$2+A6135-1)</f>
        <v>48138</v>
      </c>
      <c r="D6135" s="362">
        <f t="shared" ca="1" si="193"/>
        <v>0</v>
      </c>
    </row>
    <row r="6136" spans="1:4">
      <c r="A6136" s="348">
        <f t="shared" si="192"/>
        <v>6135</v>
      </c>
      <c r="B6136" s="360">
        <f>DATE('Profit Calculation'!J$6,A$2,A$2+A6136-1)</f>
        <v>48139</v>
      </c>
      <c r="D6136" s="362">
        <f t="shared" ca="1" si="193"/>
        <v>0</v>
      </c>
    </row>
    <row r="6137" spans="1:4">
      <c r="A6137" s="348">
        <f t="shared" si="192"/>
        <v>6136</v>
      </c>
      <c r="B6137" s="360">
        <f>DATE('Profit Calculation'!J$6,A$2,A$2+A6137-1)</f>
        <v>48140</v>
      </c>
      <c r="D6137" s="362">
        <f t="shared" ca="1" si="193"/>
        <v>0</v>
      </c>
    </row>
    <row r="6138" spans="1:4">
      <c r="A6138" s="348">
        <f t="shared" si="192"/>
        <v>6137</v>
      </c>
      <c r="B6138" s="360">
        <f>DATE('Profit Calculation'!J$6,A$2,A$2+A6138-1)</f>
        <v>48141</v>
      </c>
      <c r="D6138" s="362">
        <f t="shared" ca="1" si="193"/>
        <v>0</v>
      </c>
    </row>
    <row r="6139" spans="1:4">
      <c r="A6139" s="348">
        <f t="shared" si="192"/>
        <v>6138</v>
      </c>
      <c r="B6139" s="360">
        <f>DATE('Profit Calculation'!J$6,A$2,A$2+A6139-1)</f>
        <v>48142</v>
      </c>
      <c r="D6139" s="362">
        <f t="shared" ca="1" si="193"/>
        <v>0</v>
      </c>
    </row>
    <row r="6140" spans="1:4">
      <c r="A6140" s="348">
        <f t="shared" si="192"/>
        <v>6139</v>
      </c>
      <c r="B6140" s="360">
        <f>DATE('Profit Calculation'!J$6,A$2,A$2+A6140-1)</f>
        <v>48143</v>
      </c>
      <c r="D6140" s="362">
        <f t="shared" ca="1" si="193"/>
        <v>0</v>
      </c>
    </row>
    <row r="6141" spans="1:4">
      <c r="A6141" s="348">
        <f t="shared" si="192"/>
        <v>6140</v>
      </c>
      <c r="B6141" s="360">
        <f>DATE('Profit Calculation'!J$6,A$2,A$2+A6141-1)</f>
        <v>48144</v>
      </c>
      <c r="D6141" s="362">
        <f t="shared" ca="1" si="193"/>
        <v>0</v>
      </c>
    </row>
    <row r="6142" spans="1:4">
      <c r="A6142" s="348">
        <f t="shared" si="192"/>
        <v>6141</v>
      </c>
      <c r="B6142" s="360">
        <f>DATE('Profit Calculation'!J$6,A$2,A$2+A6142-1)</f>
        <v>48145</v>
      </c>
      <c r="D6142" s="362">
        <f t="shared" ca="1" si="193"/>
        <v>0</v>
      </c>
    </row>
    <row r="6143" spans="1:4">
      <c r="A6143" s="348">
        <f t="shared" si="192"/>
        <v>6142</v>
      </c>
      <c r="B6143" s="360">
        <f>DATE('Profit Calculation'!J$6,A$2,A$2+A6143-1)</f>
        <v>48146</v>
      </c>
      <c r="D6143" s="362">
        <f t="shared" ca="1" si="193"/>
        <v>0</v>
      </c>
    </row>
    <row r="6144" spans="1:4">
      <c r="A6144" s="348">
        <f t="shared" si="192"/>
        <v>6143</v>
      </c>
      <c r="B6144" s="360">
        <f>DATE('Profit Calculation'!J$6,A$2,A$2+A6144-1)</f>
        <v>48147</v>
      </c>
      <c r="D6144" s="362">
        <f t="shared" ca="1" si="193"/>
        <v>0</v>
      </c>
    </row>
    <row r="6145" spans="1:4">
      <c r="A6145" s="348">
        <f t="shared" si="192"/>
        <v>6144</v>
      </c>
      <c r="B6145" s="360">
        <f>DATE('Profit Calculation'!J$6,A$2,A$2+A6145-1)</f>
        <v>48148</v>
      </c>
      <c r="D6145" s="362">
        <f t="shared" ca="1" si="193"/>
        <v>0</v>
      </c>
    </row>
    <row r="6146" spans="1:4">
      <c r="A6146" s="348">
        <f t="shared" si="192"/>
        <v>6145</v>
      </c>
      <c r="B6146" s="360">
        <f>DATE('Profit Calculation'!J$6,A$2,A$2+A6146-1)</f>
        <v>48149</v>
      </c>
      <c r="D6146" s="362">
        <f t="shared" ca="1" si="193"/>
        <v>0</v>
      </c>
    </row>
    <row r="6147" spans="1:4">
      <c r="A6147" s="348">
        <f t="shared" si="192"/>
        <v>6146</v>
      </c>
      <c r="B6147" s="360">
        <f>DATE('Profit Calculation'!J$6,A$2,A$2+A6147-1)</f>
        <v>48150</v>
      </c>
      <c r="D6147" s="362">
        <f t="shared" ca="1" si="193"/>
        <v>0</v>
      </c>
    </row>
    <row r="6148" spans="1:4">
      <c r="A6148" s="348">
        <f t="shared" si="192"/>
        <v>6147</v>
      </c>
      <c r="B6148" s="360">
        <f>DATE('Profit Calculation'!J$6,A$2,A$2+A6148-1)</f>
        <v>48151</v>
      </c>
      <c r="D6148" s="362">
        <f t="shared" ca="1" si="193"/>
        <v>0</v>
      </c>
    </row>
    <row r="6149" spans="1:4">
      <c r="A6149" s="348">
        <f t="shared" ref="A6149:A6212" si="194">A6148+1</f>
        <v>6148</v>
      </c>
      <c r="B6149" s="360">
        <f>DATE('Profit Calculation'!J$6,A$2,A$2+A6149-1)</f>
        <v>48152</v>
      </c>
      <c r="D6149" s="362">
        <f t="shared" ref="D6149:D6212" ca="1" si="195">IF(OR(LOOKUP(B6149,W$1:W$35,W$1:W$35) = B6149, LOOKUP(B6149,X$1:X$35,X$1:X$35) = B6149),LOOKUP(B6149,F:F,G:G),D6148*(1+((IF($Q$18&lt;6,$R$14,IF($Q$18&lt;11,$R$15,$R$16)))))^(1/365))</f>
        <v>0</v>
      </c>
    </row>
    <row r="6150" spans="1:4">
      <c r="A6150" s="348">
        <f t="shared" si="194"/>
        <v>6149</v>
      </c>
      <c r="B6150" s="360">
        <f>DATE('Profit Calculation'!J$6,A$2,A$2+A6150-1)</f>
        <v>48153</v>
      </c>
      <c r="D6150" s="362">
        <f t="shared" ca="1" si="195"/>
        <v>0</v>
      </c>
    </row>
    <row r="6151" spans="1:4">
      <c r="A6151" s="348">
        <f t="shared" si="194"/>
        <v>6150</v>
      </c>
      <c r="B6151" s="360">
        <f>DATE('Profit Calculation'!J$6,A$2,A$2+A6151-1)</f>
        <v>48154</v>
      </c>
      <c r="D6151" s="362">
        <f t="shared" ca="1" si="195"/>
        <v>0</v>
      </c>
    </row>
    <row r="6152" spans="1:4">
      <c r="A6152" s="348">
        <f t="shared" si="194"/>
        <v>6151</v>
      </c>
      <c r="B6152" s="360">
        <f>DATE('Profit Calculation'!J$6,A$2,A$2+A6152-1)</f>
        <v>48155</v>
      </c>
      <c r="D6152" s="362">
        <f t="shared" ca="1" si="195"/>
        <v>0</v>
      </c>
    </row>
    <row r="6153" spans="1:4">
      <c r="A6153" s="348">
        <f t="shared" si="194"/>
        <v>6152</v>
      </c>
      <c r="B6153" s="360">
        <f>DATE('Profit Calculation'!J$6,A$2,A$2+A6153-1)</f>
        <v>48156</v>
      </c>
      <c r="D6153" s="362">
        <f t="shared" ca="1" si="195"/>
        <v>0</v>
      </c>
    </row>
    <row r="6154" spans="1:4">
      <c r="A6154" s="348">
        <f t="shared" si="194"/>
        <v>6153</v>
      </c>
      <c r="B6154" s="360">
        <f>DATE('Profit Calculation'!J$6,A$2,A$2+A6154-1)</f>
        <v>48157</v>
      </c>
      <c r="D6154" s="362">
        <f t="shared" ca="1" si="195"/>
        <v>0</v>
      </c>
    </row>
    <row r="6155" spans="1:4">
      <c r="A6155" s="348">
        <f t="shared" si="194"/>
        <v>6154</v>
      </c>
      <c r="B6155" s="360">
        <f>DATE('Profit Calculation'!J$6,A$2,A$2+A6155-1)</f>
        <v>48158</v>
      </c>
      <c r="D6155" s="362">
        <f t="shared" ca="1" si="195"/>
        <v>0</v>
      </c>
    </row>
    <row r="6156" spans="1:4">
      <c r="A6156" s="348">
        <f t="shared" si="194"/>
        <v>6155</v>
      </c>
      <c r="B6156" s="360">
        <f>DATE('Profit Calculation'!J$6,A$2,A$2+A6156-1)</f>
        <v>48159</v>
      </c>
      <c r="D6156" s="362">
        <f t="shared" ca="1" si="195"/>
        <v>0</v>
      </c>
    </row>
    <row r="6157" spans="1:4">
      <c r="A6157" s="348">
        <f t="shared" si="194"/>
        <v>6156</v>
      </c>
      <c r="B6157" s="360">
        <f>DATE('Profit Calculation'!J$6,A$2,A$2+A6157-1)</f>
        <v>48160</v>
      </c>
      <c r="D6157" s="362">
        <f t="shared" ca="1" si="195"/>
        <v>0</v>
      </c>
    </row>
    <row r="6158" spans="1:4">
      <c r="A6158" s="348">
        <f t="shared" si="194"/>
        <v>6157</v>
      </c>
      <c r="B6158" s="360">
        <f>DATE('Profit Calculation'!J$6,A$2,A$2+A6158-1)</f>
        <v>48161</v>
      </c>
      <c r="D6158" s="362">
        <f t="shared" ca="1" si="195"/>
        <v>0</v>
      </c>
    </row>
    <row r="6159" spans="1:4">
      <c r="A6159" s="348">
        <f t="shared" si="194"/>
        <v>6158</v>
      </c>
      <c r="B6159" s="360">
        <f>DATE('Profit Calculation'!J$6,A$2,A$2+A6159-1)</f>
        <v>48162</v>
      </c>
      <c r="D6159" s="362">
        <f t="shared" ca="1" si="195"/>
        <v>0</v>
      </c>
    </row>
    <row r="6160" spans="1:4">
      <c r="A6160" s="348">
        <f t="shared" si="194"/>
        <v>6159</v>
      </c>
      <c r="B6160" s="360">
        <f>DATE('Profit Calculation'!J$6,A$2,A$2+A6160-1)</f>
        <v>48163</v>
      </c>
      <c r="D6160" s="362">
        <f t="shared" ca="1" si="195"/>
        <v>0</v>
      </c>
    </row>
    <row r="6161" spans="1:4">
      <c r="A6161" s="348">
        <f t="shared" si="194"/>
        <v>6160</v>
      </c>
      <c r="B6161" s="360">
        <f>DATE('Profit Calculation'!J$6,A$2,A$2+A6161-1)</f>
        <v>48164</v>
      </c>
      <c r="D6161" s="362">
        <f t="shared" ca="1" si="195"/>
        <v>0</v>
      </c>
    </row>
    <row r="6162" spans="1:4">
      <c r="A6162" s="348">
        <f t="shared" si="194"/>
        <v>6161</v>
      </c>
      <c r="B6162" s="360">
        <f>DATE('Profit Calculation'!J$6,A$2,A$2+A6162-1)</f>
        <v>48165</v>
      </c>
      <c r="D6162" s="362">
        <f t="shared" ca="1" si="195"/>
        <v>0</v>
      </c>
    </row>
    <row r="6163" spans="1:4">
      <c r="A6163" s="348">
        <f t="shared" si="194"/>
        <v>6162</v>
      </c>
      <c r="B6163" s="360">
        <f>DATE('Profit Calculation'!J$6,A$2,A$2+A6163-1)</f>
        <v>48166</v>
      </c>
      <c r="D6163" s="362">
        <f t="shared" ca="1" si="195"/>
        <v>0</v>
      </c>
    </row>
    <row r="6164" spans="1:4">
      <c r="A6164" s="348">
        <f t="shared" si="194"/>
        <v>6163</v>
      </c>
      <c r="B6164" s="360">
        <f>DATE('Profit Calculation'!J$6,A$2,A$2+A6164-1)</f>
        <v>48167</v>
      </c>
      <c r="D6164" s="362">
        <f t="shared" ca="1" si="195"/>
        <v>0</v>
      </c>
    </row>
    <row r="6165" spans="1:4">
      <c r="A6165" s="348">
        <f t="shared" si="194"/>
        <v>6164</v>
      </c>
      <c r="B6165" s="360">
        <f>DATE('Profit Calculation'!J$6,A$2,A$2+A6165-1)</f>
        <v>48168</v>
      </c>
      <c r="D6165" s="362">
        <f t="shared" ca="1" si="195"/>
        <v>0</v>
      </c>
    </row>
    <row r="6166" spans="1:4">
      <c r="A6166" s="348">
        <f t="shared" si="194"/>
        <v>6165</v>
      </c>
      <c r="B6166" s="360">
        <f>DATE('Profit Calculation'!J$6,A$2,A$2+A6166-1)</f>
        <v>48169</v>
      </c>
      <c r="D6166" s="362">
        <f t="shared" ca="1" si="195"/>
        <v>0</v>
      </c>
    </row>
    <row r="6167" spans="1:4">
      <c r="A6167" s="348">
        <f t="shared" si="194"/>
        <v>6166</v>
      </c>
      <c r="B6167" s="360">
        <f>DATE('Profit Calculation'!J$6,A$2,A$2+A6167-1)</f>
        <v>48170</v>
      </c>
      <c r="D6167" s="362">
        <f t="shared" ca="1" si="195"/>
        <v>0</v>
      </c>
    </row>
    <row r="6168" spans="1:4">
      <c r="A6168" s="348">
        <f t="shared" si="194"/>
        <v>6167</v>
      </c>
      <c r="B6168" s="360">
        <f>DATE('Profit Calculation'!J$6,A$2,A$2+A6168-1)</f>
        <v>48171</v>
      </c>
      <c r="D6168" s="362">
        <f t="shared" ca="1" si="195"/>
        <v>0</v>
      </c>
    </row>
    <row r="6169" spans="1:4">
      <c r="A6169" s="348">
        <f t="shared" si="194"/>
        <v>6168</v>
      </c>
      <c r="B6169" s="360">
        <f>DATE('Profit Calculation'!J$6,A$2,A$2+A6169-1)</f>
        <v>48172</v>
      </c>
      <c r="D6169" s="362">
        <f t="shared" ca="1" si="195"/>
        <v>0</v>
      </c>
    </row>
    <row r="6170" spans="1:4">
      <c r="A6170" s="348">
        <f t="shared" si="194"/>
        <v>6169</v>
      </c>
      <c r="B6170" s="360">
        <f>DATE('Profit Calculation'!J$6,A$2,A$2+A6170-1)</f>
        <v>48173</v>
      </c>
      <c r="D6170" s="362">
        <f t="shared" ca="1" si="195"/>
        <v>0</v>
      </c>
    </row>
    <row r="6171" spans="1:4">
      <c r="A6171" s="348">
        <f t="shared" si="194"/>
        <v>6170</v>
      </c>
      <c r="B6171" s="360">
        <f>DATE('Profit Calculation'!J$6,A$2,A$2+A6171-1)</f>
        <v>48174</v>
      </c>
      <c r="D6171" s="362">
        <f t="shared" ca="1" si="195"/>
        <v>0</v>
      </c>
    </row>
    <row r="6172" spans="1:4">
      <c r="A6172" s="348">
        <f t="shared" si="194"/>
        <v>6171</v>
      </c>
      <c r="B6172" s="360">
        <f>DATE('Profit Calculation'!J$6,A$2,A$2+A6172-1)</f>
        <v>48175</v>
      </c>
      <c r="D6172" s="362">
        <f t="shared" ca="1" si="195"/>
        <v>0</v>
      </c>
    </row>
    <row r="6173" spans="1:4">
      <c r="A6173" s="348">
        <f t="shared" si="194"/>
        <v>6172</v>
      </c>
      <c r="B6173" s="360">
        <f>DATE('Profit Calculation'!J$6,A$2,A$2+A6173-1)</f>
        <v>48176</v>
      </c>
      <c r="D6173" s="362">
        <f t="shared" ca="1" si="195"/>
        <v>0</v>
      </c>
    </row>
    <row r="6174" spans="1:4">
      <c r="A6174" s="348">
        <f t="shared" si="194"/>
        <v>6173</v>
      </c>
      <c r="B6174" s="360">
        <f>DATE('Profit Calculation'!J$6,A$2,A$2+A6174-1)</f>
        <v>48177</v>
      </c>
      <c r="D6174" s="362">
        <f t="shared" ca="1" si="195"/>
        <v>0</v>
      </c>
    </row>
    <row r="6175" spans="1:4">
      <c r="A6175" s="348">
        <f t="shared" si="194"/>
        <v>6174</v>
      </c>
      <c r="B6175" s="360">
        <f>DATE('Profit Calculation'!J$6,A$2,A$2+A6175-1)</f>
        <v>48178</v>
      </c>
      <c r="D6175" s="362">
        <f t="shared" ca="1" si="195"/>
        <v>0</v>
      </c>
    </row>
    <row r="6176" spans="1:4">
      <c r="A6176" s="348">
        <f t="shared" si="194"/>
        <v>6175</v>
      </c>
      <c r="B6176" s="360">
        <f>DATE('Profit Calculation'!J$6,A$2,A$2+A6176-1)</f>
        <v>48179</v>
      </c>
      <c r="D6176" s="362">
        <f t="shared" ca="1" si="195"/>
        <v>0</v>
      </c>
    </row>
    <row r="6177" spans="1:4">
      <c r="A6177" s="348">
        <f t="shared" si="194"/>
        <v>6176</v>
      </c>
      <c r="B6177" s="360">
        <f>DATE('Profit Calculation'!J$6,A$2,A$2+A6177-1)</f>
        <v>48180</v>
      </c>
      <c r="D6177" s="362">
        <f t="shared" ca="1" si="195"/>
        <v>0</v>
      </c>
    </row>
    <row r="6178" spans="1:4">
      <c r="A6178" s="348">
        <f t="shared" si="194"/>
        <v>6177</v>
      </c>
      <c r="B6178" s="360">
        <f>DATE('Profit Calculation'!J$6,A$2,A$2+A6178-1)</f>
        <v>48181</v>
      </c>
      <c r="D6178" s="362">
        <f t="shared" ca="1" si="195"/>
        <v>0</v>
      </c>
    </row>
    <row r="6179" spans="1:4">
      <c r="A6179" s="348">
        <f t="shared" si="194"/>
        <v>6178</v>
      </c>
      <c r="B6179" s="360">
        <f>DATE('Profit Calculation'!J$6,A$2,A$2+A6179-1)</f>
        <v>48182</v>
      </c>
      <c r="D6179" s="362">
        <f t="shared" ca="1" si="195"/>
        <v>0</v>
      </c>
    </row>
    <row r="6180" spans="1:4">
      <c r="A6180" s="348">
        <f t="shared" si="194"/>
        <v>6179</v>
      </c>
      <c r="B6180" s="360">
        <f>DATE('Profit Calculation'!J$6,A$2,A$2+A6180-1)</f>
        <v>48183</v>
      </c>
      <c r="D6180" s="362">
        <f t="shared" ca="1" si="195"/>
        <v>0</v>
      </c>
    </row>
    <row r="6181" spans="1:4">
      <c r="A6181" s="348">
        <f t="shared" si="194"/>
        <v>6180</v>
      </c>
      <c r="B6181" s="360">
        <f>DATE('Profit Calculation'!J$6,A$2,A$2+A6181-1)</f>
        <v>48184</v>
      </c>
      <c r="D6181" s="362">
        <f t="shared" ca="1" si="195"/>
        <v>0</v>
      </c>
    </row>
    <row r="6182" spans="1:4">
      <c r="A6182" s="348">
        <f t="shared" si="194"/>
        <v>6181</v>
      </c>
      <c r="B6182" s="360">
        <f>DATE('Profit Calculation'!J$6,A$2,A$2+A6182-1)</f>
        <v>48185</v>
      </c>
      <c r="D6182" s="362">
        <f t="shared" ca="1" si="195"/>
        <v>0</v>
      </c>
    </row>
    <row r="6183" spans="1:4">
      <c r="A6183" s="348">
        <f t="shared" si="194"/>
        <v>6182</v>
      </c>
      <c r="B6183" s="360">
        <f>DATE('Profit Calculation'!J$6,A$2,A$2+A6183-1)</f>
        <v>48186</v>
      </c>
      <c r="D6183" s="362">
        <f t="shared" ca="1" si="195"/>
        <v>0</v>
      </c>
    </row>
    <row r="6184" spans="1:4">
      <c r="A6184" s="348">
        <f t="shared" si="194"/>
        <v>6183</v>
      </c>
      <c r="B6184" s="360">
        <f>DATE('Profit Calculation'!J$6,A$2,A$2+A6184-1)</f>
        <v>48187</v>
      </c>
      <c r="D6184" s="362">
        <f t="shared" ca="1" si="195"/>
        <v>0</v>
      </c>
    </row>
    <row r="6185" spans="1:4">
      <c r="A6185" s="348">
        <f t="shared" si="194"/>
        <v>6184</v>
      </c>
      <c r="B6185" s="360">
        <f>DATE('Profit Calculation'!J$6,A$2,A$2+A6185-1)</f>
        <v>48188</v>
      </c>
      <c r="D6185" s="362">
        <f t="shared" ca="1" si="195"/>
        <v>0</v>
      </c>
    </row>
    <row r="6186" spans="1:4">
      <c r="A6186" s="348">
        <f t="shared" si="194"/>
        <v>6185</v>
      </c>
      <c r="B6186" s="360">
        <f>DATE('Profit Calculation'!J$6,A$2,A$2+A6186-1)</f>
        <v>48189</v>
      </c>
      <c r="D6186" s="362">
        <f t="shared" ca="1" si="195"/>
        <v>0</v>
      </c>
    </row>
    <row r="6187" spans="1:4">
      <c r="A6187" s="348">
        <f t="shared" si="194"/>
        <v>6186</v>
      </c>
      <c r="B6187" s="360">
        <f>DATE('Profit Calculation'!J$6,A$2,A$2+A6187-1)</f>
        <v>48190</v>
      </c>
      <c r="D6187" s="362">
        <f t="shared" ca="1" si="195"/>
        <v>0</v>
      </c>
    </row>
    <row r="6188" spans="1:4">
      <c r="A6188" s="348">
        <f t="shared" si="194"/>
        <v>6187</v>
      </c>
      <c r="B6188" s="360">
        <f>DATE('Profit Calculation'!J$6,A$2,A$2+A6188-1)</f>
        <v>48191</v>
      </c>
      <c r="D6188" s="362">
        <f t="shared" ca="1" si="195"/>
        <v>0</v>
      </c>
    </row>
    <row r="6189" spans="1:4">
      <c r="A6189" s="348">
        <f t="shared" si="194"/>
        <v>6188</v>
      </c>
      <c r="B6189" s="360">
        <f>DATE('Profit Calculation'!J$6,A$2,A$2+A6189-1)</f>
        <v>48192</v>
      </c>
      <c r="D6189" s="362">
        <f t="shared" ca="1" si="195"/>
        <v>0</v>
      </c>
    </row>
    <row r="6190" spans="1:4">
      <c r="A6190" s="348">
        <f t="shared" si="194"/>
        <v>6189</v>
      </c>
      <c r="B6190" s="360">
        <f>DATE('Profit Calculation'!J$6,A$2,A$2+A6190-1)</f>
        <v>48193</v>
      </c>
      <c r="D6190" s="362">
        <f t="shared" ca="1" si="195"/>
        <v>0</v>
      </c>
    </row>
    <row r="6191" spans="1:4">
      <c r="A6191" s="348">
        <f t="shared" si="194"/>
        <v>6190</v>
      </c>
      <c r="B6191" s="360">
        <f>DATE('Profit Calculation'!J$6,A$2,A$2+A6191-1)</f>
        <v>48194</v>
      </c>
      <c r="D6191" s="362">
        <f t="shared" ca="1" si="195"/>
        <v>0</v>
      </c>
    </row>
    <row r="6192" spans="1:4">
      <c r="A6192" s="348">
        <f t="shared" si="194"/>
        <v>6191</v>
      </c>
      <c r="B6192" s="360">
        <f>DATE('Profit Calculation'!J$6,A$2,A$2+A6192-1)</f>
        <v>48195</v>
      </c>
      <c r="D6192" s="362">
        <f t="shared" ca="1" si="195"/>
        <v>0</v>
      </c>
    </row>
    <row r="6193" spans="1:4">
      <c r="A6193" s="348">
        <f t="shared" si="194"/>
        <v>6192</v>
      </c>
      <c r="B6193" s="360">
        <f>DATE('Profit Calculation'!J$6,A$2,A$2+A6193-1)</f>
        <v>48196</v>
      </c>
      <c r="D6193" s="362">
        <f t="shared" ca="1" si="195"/>
        <v>0</v>
      </c>
    </row>
    <row r="6194" spans="1:4">
      <c r="A6194" s="348">
        <f t="shared" si="194"/>
        <v>6193</v>
      </c>
      <c r="B6194" s="360">
        <f>DATE('Profit Calculation'!J$6,A$2,A$2+A6194-1)</f>
        <v>48197</v>
      </c>
      <c r="D6194" s="362">
        <f t="shared" ca="1" si="195"/>
        <v>0</v>
      </c>
    </row>
    <row r="6195" spans="1:4">
      <c r="A6195" s="348">
        <f t="shared" si="194"/>
        <v>6194</v>
      </c>
      <c r="B6195" s="360">
        <f>DATE('Profit Calculation'!J$6,A$2,A$2+A6195-1)</f>
        <v>48198</v>
      </c>
      <c r="D6195" s="362">
        <f t="shared" ca="1" si="195"/>
        <v>0</v>
      </c>
    </row>
    <row r="6196" spans="1:4">
      <c r="A6196" s="348">
        <f t="shared" si="194"/>
        <v>6195</v>
      </c>
      <c r="B6196" s="360">
        <f>DATE('Profit Calculation'!J$6,A$2,A$2+A6196-1)</f>
        <v>48199</v>
      </c>
      <c r="D6196" s="362">
        <f t="shared" ca="1" si="195"/>
        <v>0</v>
      </c>
    </row>
    <row r="6197" spans="1:4">
      <c r="A6197" s="348">
        <f t="shared" si="194"/>
        <v>6196</v>
      </c>
      <c r="B6197" s="360">
        <f>DATE('Profit Calculation'!J$6,A$2,A$2+A6197-1)</f>
        <v>48200</v>
      </c>
      <c r="D6197" s="362">
        <f t="shared" ca="1" si="195"/>
        <v>0</v>
      </c>
    </row>
    <row r="6198" spans="1:4">
      <c r="A6198" s="348">
        <f t="shared" si="194"/>
        <v>6197</v>
      </c>
      <c r="B6198" s="360">
        <f>DATE('Profit Calculation'!J$6,A$2,A$2+A6198-1)</f>
        <v>48201</v>
      </c>
      <c r="D6198" s="362">
        <f t="shared" ca="1" si="195"/>
        <v>0</v>
      </c>
    </row>
    <row r="6199" spans="1:4">
      <c r="A6199" s="348">
        <f t="shared" si="194"/>
        <v>6198</v>
      </c>
      <c r="B6199" s="360">
        <f>DATE('Profit Calculation'!J$6,A$2,A$2+A6199-1)</f>
        <v>48202</v>
      </c>
      <c r="D6199" s="362">
        <f t="shared" ca="1" si="195"/>
        <v>0</v>
      </c>
    </row>
    <row r="6200" spans="1:4">
      <c r="A6200" s="348">
        <f t="shared" si="194"/>
        <v>6199</v>
      </c>
      <c r="B6200" s="360">
        <f>DATE('Profit Calculation'!J$6,A$2,A$2+A6200-1)</f>
        <v>48203</v>
      </c>
      <c r="D6200" s="362">
        <f t="shared" ca="1" si="195"/>
        <v>0</v>
      </c>
    </row>
    <row r="6201" spans="1:4">
      <c r="A6201" s="348">
        <f t="shared" si="194"/>
        <v>6200</v>
      </c>
      <c r="B6201" s="360">
        <f>DATE('Profit Calculation'!J$6,A$2,A$2+A6201-1)</f>
        <v>48204</v>
      </c>
      <c r="D6201" s="362">
        <f t="shared" ca="1" si="195"/>
        <v>0</v>
      </c>
    </row>
    <row r="6202" spans="1:4">
      <c r="A6202" s="348">
        <f t="shared" si="194"/>
        <v>6201</v>
      </c>
      <c r="B6202" s="360">
        <f>DATE('Profit Calculation'!J$6,A$2,A$2+A6202-1)</f>
        <v>48205</v>
      </c>
      <c r="D6202" s="362">
        <f t="shared" ca="1" si="195"/>
        <v>0</v>
      </c>
    </row>
    <row r="6203" spans="1:4">
      <c r="A6203" s="348">
        <f t="shared" si="194"/>
        <v>6202</v>
      </c>
      <c r="B6203" s="360">
        <f>DATE('Profit Calculation'!J$6,A$2,A$2+A6203-1)</f>
        <v>48206</v>
      </c>
      <c r="D6203" s="362">
        <f t="shared" ca="1" si="195"/>
        <v>0</v>
      </c>
    </row>
    <row r="6204" spans="1:4">
      <c r="A6204" s="348">
        <f t="shared" si="194"/>
        <v>6203</v>
      </c>
      <c r="B6204" s="360">
        <f>DATE('Profit Calculation'!J$6,A$2,A$2+A6204-1)</f>
        <v>48207</v>
      </c>
      <c r="D6204" s="362">
        <f t="shared" ca="1" si="195"/>
        <v>0</v>
      </c>
    </row>
    <row r="6205" spans="1:4">
      <c r="A6205" s="348">
        <f t="shared" si="194"/>
        <v>6204</v>
      </c>
      <c r="B6205" s="360">
        <f>DATE('Profit Calculation'!J$6,A$2,A$2+A6205-1)</f>
        <v>48208</v>
      </c>
      <c r="D6205" s="362">
        <f t="shared" ca="1" si="195"/>
        <v>0</v>
      </c>
    </row>
    <row r="6206" spans="1:4">
      <c r="A6206" s="348">
        <f t="shared" si="194"/>
        <v>6205</v>
      </c>
      <c r="B6206" s="360">
        <f>DATE('Profit Calculation'!J$6,A$2,A$2+A6206-1)</f>
        <v>48209</v>
      </c>
      <c r="D6206" s="362">
        <f t="shared" ca="1" si="195"/>
        <v>0</v>
      </c>
    </row>
    <row r="6207" spans="1:4">
      <c r="A6207" s="348">
        <f t="shared" si="194"/>
        <v>6206</v>
      </c>
      <c r="B6207" s="360">
        <f>DATE('Profit Calculation'!J$6,A$2,A$2+A6207-1)</f>
        <v>48210</v>
      </c>
      <c r="D6207" s="362">
        <f t="shared" ca="1" si="195"/>
        <v>0</v>
      </c>
    </row>
    <row r="6208" spans="1:4">
      <c r="A6208" s="348">
        <f t="shared" si="194"/>
        <v>6207</v>
      </c>
      <c r="B6208" s="360">
        <f>DATE('Profit Calculation'!J$6,A$2,A$2+A6208-1)</f>
        <v>48211</v>
      </c>
      <c r="D6208" s="362">
        <f t="shared" ca="1" si="195"/>
        <v>0</v>
      </c>
    </row>
    <row r="6209" spans="1:4">
      <c r="A6209" s="348">
        <f t="shared" si="194"/>
        <v>6208</v>
      </c>
      <c r="B6209" s="360">
        <f>DATE('Profit Calculation'!J$6,A$2,A$2+A6209-1)</f>
        <v>48212</v>
      </c>
      <c r="D6209" s="362">
        <f t="shared" ca="1" si="195"/>
        <v>0</v>
      </c>
    </row>
    <row r="6210" spans="1:4">
      <c r="A6210" s="348">
        <f t="shared" si="194"/>
        <v>6209</v>
      </c>
      <c r="B6210" s="360">
        <f>DATE('Profit Calculation'!J$6,A$2,A$2+A6210-1)</f>
        <v>48213</v>
      </c>
      <c r="D6210" s="362">
        <f t="shared" ca="1" si="195"/>
        <v>0</v>
      </c>
    </row>
    <row r="6211" spans="1:4">
      <c r="A6211" s="348">
        <f t="shared" si="194"/>
        <v>6210</v>
      </c>
      <c r="B6211" s="360">
        <f>DATE('Profit Calculation'!J$6,A$2,A$2+A6211-1)</f>
        <v>48214</v>
      </c>
      <c r="D6211" s="362">
        <f t="shared" ca="1" si="195"/>
        <v>0</v>
      </c>
    </row>
    <row r="6212" spans="1:4">
      <c r="A6212" s="348">
        <f t="shared" si="194"/>
        <v>6211</v>
      </c>
      <c r="B6212" s="360">
        <f>DATE('Profit Calculation'!J$6,A$2,A$2+A6212-1)</f>
        <v>48215</v>
      </c>
      <c r="D6212" s="362">
        <f t="shared" ca="1" si="195"/>
        <v>0</v>
      </c>
    </row>
    <row r="6213" spans="1:4">
      <c r="A6213" s="348">
        <f t="shared" ref="A6213:A6276" si="196">A6212+1</f>
        <v>6212</v>
      </c>
      <c r="B6213" s="360">
        <f>DATE('Profit Calculation'!J$6,A$2,A$2+A6213-1)</f>
        <v>48216</v>
      </c>
      <c r="D6213" s="362">
        <f t="shared" ref="D6213:D6276" ca="1" si="197">IF(OR(LOOKUP(B6213,W$1:W$35,W$1:W$35) = B6213, LOOKUP(B6213,X$1:X$35,X$1:X$35) = B6213),LOOKUP(B6213,F:F,G:G),D6212*(1+((IF($Q$18&lt;6,$R$14,IF($Q$18&lt;11,$R$15,$R$16)))))^(1/365))</f>
        <v>0</v>
      </c>
    </row>
    <row r="6214" spans="1:4">
      <c r="A6214" s="348">
        <f t="shared" si="196"/>
        <v>6213</v>
      </c>
      <c r="B6214" s="360">
        <f>DATE('Profit Calculation'!J$6,A$2,A$2+A6214-1)</f>
        <v>48217</v>
      </c>
      <c r="D6214" s="362">
        <f t="shared" ca="1" si="197"/>
        <v>0</v>
      </c>
    </row>
    <row r="6215" spans="1:4">
      <c r="A6215" s="348">
        <f t="shared" si="196"/>
        <v>6214</v>
      </c>
      <c r="B6215" s="360">
        <f>DATE('Profit Calculation'!J$6,A$2,A$2+A6215-1)</f>
        <v>48218</v>
      </c>
      <c r="D6215" s="362">
        <f t="shared" ca="1" si="197"/>
        <v>0</v>
      </c>
    </row>
    <row r="6216" spans="1:4">
      <c r="A6216" s="348">
        <f t="shared" si="196"/>
        <v>6215</v>
      </c>
      <c r="B6216" s="360">
        <f>DATE('Profit Calculation'!J$6,A$2,A$2+A6216-1)</f>
        <v>48219</v>
      </c>
      <c r="D6216" s="362">
        <f t="shared" ca="1" si="197"/>
        <v>0</v>
      </c>
    </row>
    <row r="6217" spans="1:4">
      <c r="A6217" s="348">
        <f t="shared" si="196"/>
        <v>6216</v>
      </c>
      <c r="B6217" s="360">
        <f>DATE('Profit Calculation'!J$6,A$2,A$2+A6217-1)</f>
        <v>48220</v>
      </c>
      <c r="D6217" s="362">
        <f t="shared" ca="1" si="197"/>
        <v>0</v>
      </c>
    </row>
    <row r="6218" spans="1:4">
      <c r="A6218" s="348">
        <f t="shared" si="196"/>
        <v>6217</v>
      </c>
      <c r="B6218" s="360">
        <f>DATE('Profit Calculation'!J$6,A$2,A$2+A6218-1)</f>
        <v>48221</v>
      </c>
      <c r="D6218" s="362">
        <f t="shared" ca="1" si="197"/>
        <v>0</v>
      </c>
    </row>
    <row r="6219" spans="1:4">
      <c r="A6219" s="348">
        <f t="shared" si="196"/>
        <v>6218</v>
      </c>
      <c r="B6219" s="360">
        <f>DATE('Profit Calculation'!J$6,A$2,A$2+A6219-1)</f>
        <v>48222</v>
      </c>
      <c r="D6219" s="362">
        <f t="shared" ca="1" si="197"/>
        <v>0</v>
      </c>
    </row>
    <row r="6220" spans="1:4">
      <c r="A6220" s="348">
        <f t="shared" si="196"/>
        <v>6219</v>
      </c>
      <c r="B6220" s="360">
        <f>DATE('Profit Calculation'!J$6,A$2,A$2+A6220-1)</f>
        <v>48223</v>
      </c>
      <c r="D6220" s="362">
        <f t="shared" ca="1" si="197"/>
        <v>0</v>
      </c>
    </row>
    <row r="6221" spans="1:4">
      <c r="A6221" s="348">
        <f t="shared" si="196"/>
        <v>6220</v>
      </c>
      <c r="B6221" s="360">
        <f>DATE('Profit Calculation'!J$6,A$2,A$2+A6221-1)</f>
        <v>48224</v>
      </c>
      <c r="D6221" s="362">
        <f t="shared" ca="1" si="197"/>
        <v>0</v>
      </c>
    </row>
    <row r="6222" spans="1:4">
      <c r="A6222" s="348">
        <f t="shared" si="196"/>
        <v>6221</v>
      </c>
      <c r="B6222" s="360">
        <f>DATE('Profit Calculation'!J$6,A$2,A$2+A6222-1)</f>
        <v>48225</v>
      </c>
      <c r="D6222" s="362">
        <f t="shared" ca="1" si="197"/>
        <v>0</v>
      </c>
    </row>
    <row r="6223" spans="1:4">
      <c r="A6223" s="348">
        <f t="shared" si="196"/>
        <v>6222</v>
      </c>
      <c r="B6223" s="360">
        <f>DATE('Profit Calculation'!J$6,A$2,A$2+A6223-1)</f>
        <v>48226</v>
      </c>
      <c r="D6223" s="362">
        <f t="shared" ca="1" si="197"/>
        <v>0</v>
      </c>
    </row>
    <row r="6224" spans="1:4">
      <c r="A6224" s="348">
        <f t="shared" si="196"/>
        <v>6223</v>
      </c>
      <c r="B6224" s="360">
        <f>DATE('Profit Calculation'!J$6,A$2,A$2+A6224-1)</f>
        <v>48227</v>
      </c>
      <c r="D6224" s="362">
        <f t="shared" ca="1" si="197"/>
        <v>0</v>
      </c>
    </row>
    <row r="6225" spans="1:4">
      <c r="A6225" s="348">
        <f t="shared" si="196"/>
        <v>6224</v>
      </c>
      <c r="B6225" s="360">
        <f>DATE('Profit Calculation'!J$6,A$2,A$2+A6225-1)</f>
        <v>48228</v>
      </c>
      <c r="D6225" s="362">
        <f t="shared" ca="1" si="197"/>
        <v>0</v>
      </c>
    </row>
    <row r="6226" spans="1:4">
      <c r="A6226" s="348">
        <f t="shared" si="196"/>
        <v>6225</v>
      </c>
      <c r="B6226" s="360">
        <f>DATE('Profit Calculation'!J$6,A$2,A$2+A6226-1)</f>
        <v>48229</v>
      </c>
      <c r="D6226" s="362">
        <f t="shared" ca="1" si="197"/>
        <v>0</v>
      </c>
    </row>
    <row r="6227" spans="1:4">
      <c r="A6227" s="348">
        <f t="shared" si="196"/>
        <v>6226</v>
      </c>
      <c r="B6227" s="360">
        <f>DATE('Profit Calculation'!J$6,A$2,A$2+A6227-1)</f>
        <v>48230</v>
      </c>
      <c r="D6227" s="362">
        <f t="shared" ca="1" si="197"/>
        <v>0</v>
      </c>
    </row>
    <row r="6228" spans="1:4">
      <c r="A6228" s="348">
        <f t="shared" si="196"/>
        <v>6227</v>
      </c>
      <c r="B6228" s="360">
        <f>DATE('Profit Calculation'!J$6,A$2,A$2+A6228-1)</f>
        <v>48231</v>
      </c>
      <c r="D6228" s="362">
        <f t="shared" ca="1" si="197"/>
        <v>0</v>
      </c>
    </row>
    <row r="6229" spans="1:4">
      <c r="A6229" s="348">
        <f t="shared" si="196"/>
        <v>6228</v>
      </c>
      <c r="B6229" s="360">
        <f>DATE('Profit Calculation'!J$6,A$2,A$2+A6229-1)</f>
        <v>48232</v>
      </c>
      <c r="D6229" s="362">
        <f t="shared" ca="1" si="197"/>
        <v>0</v>
      </c>
    </row>
    <row r="6230" spans="1:4">
      <c r="A6230" s="348">
        <f t="shared" si="196"/>
        <v>6229</v>
      </c>
      <c r="B6230" s="360">
        <f>DATE('Profit Calculation'!J$6,A$2,A$2+A6230-1)</f>
        <v>48233</v>
      </c>
      <c r="D6230" s="362">
        <f t="shared" ca="1" si="197"/>
        <v>0</v>
      </c>
    </row>
    <row r="6231" spans="1:4">
      <c r="A6231" s="348">
        <f t="shared" si="196"/>
        <v>6230</v>
      </c>
      <c r="B6231" s="360">
        <f>DATE('Profit Calculation'!J$6,A$2,A$2+A6231-1)</f>
        <v>48234</v>
      </c>
      <c r="D6231" s="362">
        <f t="shared" ca="1" si="197"/>
        <v>0</v>
      </c>
    </row>
    <row r="6232" spans="1:4">
      <c r="A6232" s="348">
        <f t="shared" si="196"/>
        <v>6231</v>
      </c>
      <c r="B6232" s="360">
        <f>DATE('Profit Calculation'!J$6,A$2,A$2+A6232-1)</f>
        <v>48235</v>
      </c>
      <c r="D6232" s="362">
        <f t="shared" ca="1" si="197"/>
        <v>0</v>
      </c>
    </row>
    <row r="6233" spans="1:4">
      <c r="A6233" s="348">
        <f t="shared" si="196"/>
        <v>6232</v>
      </c>
      <c r="B6233" s="360">
        <f>DATE('Profit Calculation'!J$6,A$2,A$2+A6233-1)</f>
        <v>48236</v>
      </c>
      <c r="D6233" s="362">
        <f t="shared" ca="1" si="197"/>
        <v>0</v>
      </c>
    </row>
    <row r="6234" spans="1:4">
      <c r="A6234" s="348">
        <f t="shared" si="196"/>
        <v>6233</v>
      </c>
      <c r="B6234" s="360">
        <f>DATE('Profit Calculation'!J$6,A$2,A$2+A6234-1)</f>
        <v>48237</v>
      </c>
      <c r="D6234" s="362">
        <f t="shared" ca="1" si="197"/>
        <v>0</v>
      </c>
    </row>
    <row r="6235" spans="1:4">
      <c r="A6235" s="348">
        <f t="shared" si="196"/>
        <v>6234</v>
      </c>
      <c r="B6235" s="360">
        <f>DATE('Profit Calculation'!J$6,A$2,A$2+A6235-1)</f>
        <v>48238</v>
      </c>
      <c r="D6235" s="362">
        <f t="shared" ca="1" si="197"/>
        <v>0</v>
      </c>
    </row>
    <row r="6236" spans="1:4">
      <c r="A6236" s="348">
        <f t="shared" si="196"/>
        <v>6235</v>
      </c>
      <c r="B6236" s="360">
        <f>DATE('Profit Calculation'!J$6,A$2,A$2+A6236-1)</f>
        <v>48239</v>
      </c>
      <c r="D6236" s="362">
        <f t="shared" ca="1" si="197"/>
        <v>0</v>
      </c>
    </row>
    <row r="6237" spans="1:4">
      <c r="A6237" s="348">
        <f t="shared" si="196"/>
        <v>6236</v>
      </c>
      <c r="B6237" s="360">
        <f>DATE('Profit Calculation'!J$6,A$2,A$2+A6237-1)</f>
        <v>48240</v>
      </c>
      <c r="D6237" s="362">
        <f t="shared" ca="1" si="197"/>
        <v>0</v>
      </c>
    </row>
    <row r="6238" spans="1:4">
      <c r="A6238" s="348">
        <f t="shared" si="196"/>
        <v>6237</v>
      </c>
      <c r="B6238" s="360">
        <f>DATE('Profit Calculation'!J$6,A$2,A$2+A6238-1)</f>
        <v>48241</v>
      </c>
      <c r="D6238" s="362">
        <f t="shared" ca="1" si="197"/>
        <v>0</v>
      </c>
    </row>
    <row r="6239" spans="1:4">
      <c r="A6239" s="348">
        <f t="shared" si="196"/>
        <v>6238</v>
      </c>
      <c r="B6239" s="360">
        <f>DATE('Profit Calculation'!J$6,A$2,A$2+A6239-1)</f>
        <v>48242</v>
      </c>
      <c r="D6239" s="362">
        <f t="shared" ca="1" si="197"/>
        <v>0</v>
      </c>
    </row>
    <row r="6240" spans="1:4">
      <c r="A6240" s="348">
        <f t="shared" si="196"/>
        <v>6239</v>
      </c>
      <c r="B6240" s="360">
        <f>DATE('Profit Calculation'!J$6,A$2,A$2+A6240-1)</f>
        <v>48243</v>
      </c>
      <c r="D6240" s="362">
        <f t="shared" ca="1" si="197"/>
        <v>0</v>
      </c>
    </row>
    <row r="6241" spans="1:4">
      <c r="A6241" s="348">
        <f t="shared" si="196"/>
        <v>6240</v>
      </c>
      <c r="B6241" s="360">
        <f>DATE('Profit Calculation'!J$6,A$2,A$2+A6241-1)</f>
        <v>48244</v>
      </c>
      <c r="D6241" s="362">
        <f t="shared" ca="1" si="197"/>
        <v>0</v>
      </c>
    </row>
    <row r="6242" spans="1:4">
      <c r="A6242" s="348">
        <f t="shared" si="196"/>
        <v>6241</v>
      </c>
      <c r="B6242" s="360">
        <f>DATE('Profit Calculation'!J$6,A$2,A$2+A6242-1)</f>
        <v>48245</v>
      </c>
      <c r="D6242" s="362">
        <f t="shared" ca="1" si="197"/>
        <v>0</v>
      </c>
    </row>
    <row r="6243" spans="1:4">
      <c r="A6243" s="348">
        <f t="shared" si="196"/>
        <v>6242</v>
      </c>
      <c r="B6243" s="360">
        <f>DATE('Profit Calculation'!J$6,A$2,A$2+A6243-1)</f>
        <v>48246</v>
      </c>
      <c r="D6243" s="362">
        <f t="shared" ca="1" si="197"/>
        <v>0</v>
      </c>
    </row>
    <row r="6244" spans="1:4">
      <c r="A6244" s="348">
        <f t="shared" si="196"/>
        <v>6243</v>
      </c>
      <c r="B6244" s="360">
        <f>DATE('Profit Calculation'!J$6,A$2,A$2+A6244-1)</f>
        <v>48247</v>
      </c>
      <c r="D6244" s="362">
        <f t="shared" ca="1" si="197"/>
        <v>0</v>
      </c>
    </row>
    <row r="6245" spans="1:4">
      <c r="A6245" s="348">
        <f t="shared" si="196"/>
        <v>6244</v>
      </c>
      <c r="B6245" s="360">
        <f>DATE('Profit Calculation'!J$6,A$2,A$2+A6245-1)</f>
        <v>48248</v>
      </c>
      <c r="D6245" s="362">
        <f t="shared" ca="1" si="197"/>
        <v>0</v>
      </c>
    </row>
    <row r="6246" spans="1:4">
      <c r="A6246" s="348">
        <f t="shared" si="196"/>
        <v>6245</v>
      </c>
      <c r="B6246" s="360">
        <f>DATE('Profit Calculation'!J$6,A$2,A$2+A6246-1)</f>
        <v>48249</v>
      </c>
      <c r="D6246" s="362">
        <f t="shared" ca="1" si="197"/>
        <v>0</v>
      </c>
    </row>
    <row r="6247" spans="1:4">
      <c r="A6247" s="348">
        <f t="shared" si="196"/>
        <v>6246</v>
      </c>
      <c r="B6247" s="360">
        <f>DATE('Profit Calculation'!J$6,A$2,A$2+A6247-1)</f>
        <v>48250</v>
      </c>
      <c r="D6247" s="362">
        <f t="shared" ca="1" si="197"/>
        <v>0</v>
      </c>
    </row>
    <row r="6248" spans="1:4">
      <c r="A6248" s="348">
        <f t="shared" si="196"/>
        <v>6247</v>
      </c>
      <c r="B6248" s="360">
        <f>DATE('Profit Calculation'!J$6,A$2,A$2+A6248-1)</f>
        <v>48251</v>
      </c>
      <c r="D6248" s="362">
        <f t="shared" ca="1" si="197"/>
        <v>0</v>
      </c>
    </row>
    <row r="6249" spans="1:4">
      <c r="A6249" s="348">
        <f t="shared" si="196"/>
        <v>6248</v>
      </c>
      <c r="B6249" s="360">
        <f>DATE('Profit Calculation'!J$6,A$2,A$2+A6249-1)</f>
        <v>48252</v>
      </c>
      <c r="D6249" s="362">
        <f t="shared" ca="1" si="197"/>
        <v>0</v>
      </c>
    </row>
    <row r="6250" spans="1:4">
      <c r="A6250" s="348">
        <f t="shared" si="196"/>
        <v>6249</v>
      </c>
      <c r="B6250" s="360">
        <f>DATE('Profit Calculation'!J$6,A$2,A$2+A6250-1)</f>
        <v>48253</v>
      </c>
      <c r="D6250" s="362">
        <f t="shared" ca="1" si="197"/>
        <v>0</v>
      </c>
    </row>
    <row r="6251" spans="1:4">
      <c r="A6251" s="348">
        <f t="shared" si="196"/>
        <v>6250</v>
      </c>
      <c r="B6251" s="360">
        <f>DATE('Profit Calculation'!J$6,A$2,A$2+A6251-1)</f>
        <v>48254</v>
      </c>
      <c r="D6251" s="362">
        <f t="shared" ca="1" si="197"/>
        <v>0</v>
      </c>
    </row>
    <row r="6252" spans="1:4">
      <c r="A6252" s="348">
        <f t="shared" si="196"/>
        <v>6251</v>
      </c>
      <c r="B6252" s="360">
        <f>DATE('Profit Calculation'!J$6,A$2,A$2+A6252-1)</f>
        <v>48255</v>
      </c>
      <c r="D6252" s="362">
        <f t="shared" ca="1" si="197"/>
        <v>0</v>
      </c>
    </row>
    <row r="6253" spans="1:4">
      <c r="A6253" s="348">
        <f t="shared" si="196"/>
        <v>6252</v>
      </c>
      <c r="B6253" s="360">
        <f>DATE('Profit Calculation'!J$6,A$2,A$2+A6253-1)</f>
        <v>48256</v>
      </c>
      <c r="D6253" s="362">
        <f t="shared" ca="1" si="197"/>
        <v>0</v>
      </c>
    </row>
    <row r="6254" spans="1:4">
      <c r="A6254" s="348">
        <f t="shared" si="196"/>
        <v>6253</v>
      </c>
      <c r="B6254" s="360">
        <f>DATE('Profit Calculation'!J$6,A$2,A$2+A6254-1)</f>
        <v>48257</v>
      </c>
      <c r="D6254" s="362">
        <f t="shared" ca="1" si="197"/>
        <v>0</v>
      </c>
    </row>
    <row r="6255" spans="1:4">
      <c r="A6255" s="348">
        <f t="shared" si="196"/>
        <v>6254</v>
      </c>
      <c r="B6255" s="360">
        <f>DATE('Profit Calculation'!J$6,A$2,A$2+A6255-1)</f>
        <v>48258</v>
      </c>
      <c r="D6255" s="362">
        <f t="shared" ca="1" si="197"/>
        <v>0</v>
      </c>
    </row>
    <row r="6256" spans="1:4">
      <c r="A6256" s="348">
        <f t="shared" si="196"/>
        <v>6255</v>
      </c>
      <c r="B6256" s="360">
        <f>DATE('Profit Calculation'!J$6,A$2,A$2+A6256-1)</f>
        <v>48259</v>
      </c>
      <c r="D6256" s="362">
        <f t="shared" ca="1" si="197"/>
        <v>0</v>
      </c>
    </row>
    <row r="6257" spans="1:4">
      <c r="A6257" s="348">
        <f t="shared" si="196"/>
        <v>6256</v>
      </c>
      <c r="B6257" s="360">
        <f>DATE('Profit Calculation'!J$6,A$2,A$2+A6257-1)</f>
        <v>48260</v>
      </c>
      <c r="D6257" s="362">
        <f t="shared" ca="1" si="197"/>
        <v>0</v>
      </c>
    </row>
    <row r="6258" spans="1:4">
      <c r="A6258" s="348">
        <f t="shared" si="196"/>
        <v>6257</v>
      </c>
      <c r="B6258" s="360">
        <f>DATE('Profit Calculation'!J$6,A$2,A$2+A6258-1)</f>
        <v>48261</v>
      </c>
      <c r="D6258" s="362">
        <f t="shared" ca="1" si="197"/>
        <v>0</v>
      </c>
    </row>
    <row r="6259" spans="1:4">
      <c r="A6259" s="348">
        <f t="shared" si="196"/>
        <v>6258</v>
      </c>
      <c r="B6259" s="360">
        <f>DATE('Profit Calculation'!J$6,A$2,A$2+A6259-1)</f>
        <v>48262</v>
      </c>
      <c r="D6259" s="362">
        <f t="shared" ca="1" si="197"/>
        <v>0</v>
      </c>
    </row>
    <row r="6260" spans="1:4">
      <c r="A6260" s="348">
        <f t="shared" si="196"/>
        <v>6259</v>
      </c>
      <c r="B6260" s="360">
        <f>DATE('Profit Calculation'!J$6,A$2,A$2+A6260-1)</f>
        <v>48263</v>
      </c>
      <c r="D6260" s="362">
        <f t="shared" ca="1" si="197"/>
        <v>0</v>
      </c>
    </row>
    <row r="6261" spans="1:4">
      <c r="A6261" s="348">
        <f t="shared" si="196"/>
        <v>6260</v>
      </c>
      <c r="B6261" s="360">
        <f>DATE('Profit Calculation'!J$6,A$2,A$2+A6261-1)</f>
        <v>48264</v>
      </c>
      <c r="D6261" s="362">
        <f t="shared" ca="1" si="197"/>
        <v>0</v>
      </c>
    </row>
    <row r="6262" spans="1:4">
      <c r="A6262" s="348">
        <f t="shared" si="196"/>
        <v>6261</v>
      </c>
      <c r="B6262" s="360">
        <f>DATE('Profit Calculation'!J$6,A$2,A$2+A6262-1)</f>
        <v>48265</v>
      </c>
      <c r="D6262" s="362">
        <f t="shared" ca="1" si="197"/>
        <v>0</v>
      </c>
    </row>
    <row r="6263" spans="1:4">
      <c r="A6263" s="348">
        <f t="shared" si="196"/>
        <v>6262</v>
      </c>
      <c r="B6263" s="360">
        <f>DATE('Profit Calculation'!J$6,A$2,A$2+A6263-1)</f>
        <v>48266</v>
      </c>
      <c r="D6263" s="362">
        <f t="shared" ca="1" si="197"/>
        <v>0</v>
      </c>
    </row>
    <row r="6264" spans="1:4">
      <c r="A6264" s="348">
        <f t="shared" si="196"/>
        <v>6263</v>
      </c>
      <c r="B6264" s="360">
        <f>DATE('Profit Calculation'!J$6,A$2,A$2+A6264-1)</f>
        <v>48267</v>
      </c>
      <c r="D6264" s="362">
        <f t="shared" ca="1" si="197"/>
        <v>0</v>
      </c>
    </row>
    <row r="6265" spans="1:4">
      <c r="A6265" s="348">
        <f t="shared" si="196"/>
        <v>6264</v>
      </c>
      <c r="B6265" s="360">
        <f>DATE('Profit Calculation'!J$6,A$2,A$2+A6265-1)</f>
        <v>48268</v>
      </c>
      <c r="D6265" s="362">
        <f t="shared" ca="1" si="197"/>
        <v>0</v>
      </c>
    </row>
    <row r="6266" spans="1:4">
      <c r="A6266" s="348">
        <f t="shared" si="196"/>
        <v>6265</v>
      </c>
      <c r="B6266" s="360">
        <f>DATE('Profit Calculation'!J$6,A$2,A$2+A6266-1)</f>
        <v>48269</v>
      </c>
      <c r="D6266" s="362">
        <f t="shared" ca="1" si="197"/>
        <v>0</v>
      </c>
    </row>
    <row r="6267" spans="1:4">
      <c r="A6267" s="348">
        <f t="shared" si="196"/>
        <v>6266</v>
      </c>
      <c r="B6267" s="360">
        <f>DATE('Profit Calculation'!J$6,A$2,A$2+A6267-1)</f>
        <v>48270</v>
      </c>
      <c r="D6267" s="362">
        <f t="shared" ca="1" si="197"/>
        <v>0</v>
      </c>
    </row>
    <row r="6268" spans="1:4">
      <c r="A6268" s="348">
        <f t="shared" si="196"/>
        <v>6267</v>
      </c>
      <c r="B6268" s="360">
        <f>DATE('Profit Calculation'!J$6,A$2,A$2+A6268-1)</f>
        <v>48271</v>
      </c>
      <c r="D6268" s="362">
        <f t="shared" ca="1" si="197"/>
        <v>0</v>
      </c>
    </row>
    <row r="6269" spans="1:4">
      <c r="A6269" s="348">
        <f t="shared" si="196"/>
        <v>6268</v>
      </c>
      <c r="B6269" s="360">
        <f>DATE('Profit Calculation'!J$6,A$2,A$2+A6269-1)</f>
        <v>48272</v>
      </c>
      <c r="D6269" s="362">
        <f t="shared" ca="1" si="197"/>
        <v>0</v>
      </c>
    </row>
    <row r="6270" spans="1:4">
      <c r="A6270" s="348">
        <f t="shared" si="196"/>
        <v>6269</v>
      </c>
      <c r="B6270" s="360">
        <f>DATE('Profit Calculation'!J$6,A$2,A$2+A6270-1)</f>
        <v>48273</v>
      </c>
      <c r="D6270" s="362">
        <f t="shared" ca="1" si="197"/>
        <v>0</v>
      </c>
    </row>
    <row r="6271" spans="1:4">
      <c r="A6271" s="348">
        <f t="shared" si="196"/>
        <v>6270</v>
      </c>
      <c r="B6271" s="360">
        <f>DATE('Profit Calculation'!J$6,A$2,A$2+A6271-1)</f>
        <v>48274</v>
      </c>
      <c r="D6271" s="362">
        <f t="shared" ca="1" si="197"/>
        <v>0</v>
      </c>
    </row>
    <row r="6272" spans="1:4">
      <c r="A6272" s="348">
        <f t="shared" si="196"/>
        <v>6271</v>
      </c>
      <c r="B6272" s="360">
        <f>DATE('Profit Calculation'!J$6,A$2,A$2+A6272-1)</f>
        <v>48275</v>
      </c>
      <c r="D6272" s="362">
        <f t="shared" ca="1" si="197"/>
        <v>0</v>
      </c>
    </row>
    <row r="6273" spans="1:4">
      <c r="A6273" s="348">
        <f t="shared" si="196"/>
        <v>6272</v>
      </c>
      <c r="B6273" s="360">
        <f>DATE('Profit Calculation'!J$6,A$2,A$2+A6273-1)</f>
        <v>48276</v>
      </c>
      <c r="D6273" s="362">
        <f t="shared" ca="1" si="197"/>
        <v>0</v>
      </c>
    </row>
    <row r="6274" spans="1:4">
      <c r="A6274" s="348">
        <f t="shared" si="196"/>
        <v>6273</v>
      </c>
      <c r="B6274" s="360">
        <f>DATE('Profit Calculation'!J$6,A$2,A$2+A6274-1)</f>
        <v>48277</v>
      </c>
      <c r="D6274" s="362">
        <f t="shared" ca="1" si="197"/>
        <v>0</v>
      </c>
    </row>
    <row r="6275" spans="1:4">
      <c r="A6275" s="348">
        <f t="shared" si="196"/>
        <v>6274</v>
      </c>
      <c r="B6275" s="360">
        <f>DATE('Profit Calculation'!J$6,A$2,A$2+A6275-1)</f>
        <v>48278</v>
      </c>
      <c r="D6275" s="362">
        <f t="shared" ca="1" si="197"/>
        <v>0</v>
      </c>
    </row>
    <row r="6276" spans="1:4">
      <c r="A6276" s="348">
        <f t="shared" si="196"/>
        <v>6275</v>
      </c>
      <c r="B6276" s="360">
        <f>DATE('Profit Calculation'!J$6,A$2,A$2+A6276-1)</f>
        <v>48279</v>
      </c>
      <c r="D6276" s="362">
        <f t="shared" ca="1" si="197"/>
        <v>0</v>
      </c>
    </row>
    <row r="6277" spans="1:4">
      <c r="A6277" s="348">
        <f t="shared" ref="A6277:A6340" si="198">A6276+1</f>
        <v>6276</v>
      </c>
      <c r="B6277" s="360">
        <f>DATE('Profit Calculation'!J$6,A$2,A$2+A6277-1)</f>
        <v>48280</v>
      </c>
      <c r="D6277" s="362">
        <f t="shared" ref="D6277:D6340" ca="1" si="199">IF(OR(LOOKUP(B6277,W$1:W$35,W$1:W$35) = B6277, LOOKUP(B6277,X$1:X$35,X$1:X$35) = B6277),LOOKUP(B6277,F:F,G:G),D6276*(1+((IF($Q$18&lt;6,$R$14,IF($Q$18&lt;11,$R$15,$R$16)))))^(1/365))</f>
        <v>0</v>
      </c>
    </row>
    <row r="6278" spans="1:4">
      <c r="A6278" s="348">
        <f t="shared" si="198"/>
        <v>6277</v>
      </c>
      <c r="B6278" s="360">
        <f>DATE('Profit Calculation'!J$6,A$2,A$2+A6278-1)</f>
        <v>48281</v>
      </c>
      <c r="D6278" s="362">
        <f t="shared" ca="1" si="199"/>
        <v>0</v>
      </c>
    </row>
    <row r="6279" spans="1:4">
      <c r="A6279" s="348">
        <f t="shared" si="198"/>
        <v>6278</v>
      </c>
      <c r="B6279" s="360">
        <f>DATE('Profit Calculation'!J$6,A$2,A$2+A6279-1)</f>
        <v>48282</v>
      </c>
      <c r="D6279" s="362">
        <f t="shared" ca="1" si="199"/>
        <v>0</v>
      </c>
    </row>
    <row r="6280" spans="1:4">
      <c r="A6280" s="348">
        <f t="shared" si="198"/>
        <v>6279</v>
      </c>
      <c r="B6280" s="360">
        <f>DATE('Profit Calculation'!J$6,A$2,A$2+A6280-1)</f>
        <v>48283</v>
      </c>
      <c r="D6280" s="362">
        <f t="shared" ca="1" si="199"/>
        <v>0</v>
      </c>
    </row>
    <row r="6281" spans="1:4">
      <c r="A6281" s="348">
        <f t="shared" si="198"/>
        <v>6280</v>
      </c>
      <c r="B6281" s="360">
        <f>DATE('Profit Calculation'!J$6,A$2,A$2+A6281-1)</f>
        <v>48284</v>
      </c>
      <c r="D6281" s="362">
        <f t="shared" ca="1" si="199"/>
        <v>0</v>
      </c>
    </row>
    <row r="6282" spans="1:4">
      <c r="A6282" s="348">
        <f t="shared" si="198"/>
        <v>6281</v>
      </c>
      <c r="B6282" s="360">
        <f>DATE('Profit Calculation'!J$6,A$2,A$2+A6282-1)</f>
        <v>48285</v>
      </c>
      <c r="D6282" s="362">
        <f t="shared" ca="1" si="199"/>
        <v>0</v>
      </c>
    </row>
    <row r="6283" spans="1:4">
      <c r="A6283" s="348">
        <f t="shared" si="198"/>
        <v>6282</v>
      </c>
      <c r="B6283" s="360">
        <f>DATE('Profit Calculation'!J$6,A$2,A$2+A6283-1)</f>
        <v>48286</v>
      </c>
      <c r="D6283" s="362">
        <f t="shared" ca="1" si="199"/>
        <v>0</v>
      </c>
    </row>
    <row r="6284" spans="1:4">
      <c r="A6284" s="348">
        <f t="shared" si="198"/>
        <v>6283</v>
      </c>
      <c r="B6284" s="360">
        <f>DATE('Profit Calculation'!J$6,A$2,A$2+A6284-1)</f>
        <v>48287</v>
      </c>
      <c r="D6284" s="362">
        <f t="shared" ca="1" si="199"/>
        <v>0</v>
      </c>
    </row>
    <row r="6285" spans="1:4">
      <c r="A6285" s="348">
        <f t="shared" si="198"/>
        <v>6284</v>
      </c>
      <c r="B6285" s="360">
        <f>DATE('Profit Calculation'!J$6,A$2,A$2+A6285-1)</f>
        <v>48288</v>
      </c>
      <c r="D6285" s="362">
        <f t="shared" ca="1" si="199"/>
        <v>0</v>
      </c>
    </row>
    <row r="6286" spans="1:4">
      <c r="A6286" s="348">
        <f t="shared" si="198"/>
        <v>6285</v>
      </c>
      <c r="B6286" s="360">
        <f>DATE('Profit Calculation'!J$6,A$2,A$2+A6286-1)</f>
        <v>48289</v>
      </c>
      <c r="D6286" s="362">
        <f t="shared" ca="1" si="199"/>
        <v>0</v>
      </c>
    </row>
    <row r="6287" spans="1:4">
      <c r="A6287" s="348">
        <f t="shared" si="198"/>
        <v>6286</v>
      </c>
      <c r="B6287" s="360">
        <f>DATE('Profit Calculation'!J$6,A$2,A$2+A6287-1)</f>
        <v>48290</v>
      </c>
      <c r="D6287" s="362">
        <f t="shared" ca="1" si="199"/>
        <v>0</v>
      </c>
    </row>
    <row r="6288" spans="1:4">
      <c r="A6288" s="348">
        <f t="shared" si="198"/>
        <v>6287</v>
      </c>
      <c r="B6288" s="360">
        <f>DATE('Profit Calculation'!J$6,A$2,A$2+A6288-1)</f>
        <v>48291</v>
      </c>
      <c r="D6288" s="362">
        <f t="shared" ca="1" si="199"/>
        <v>0</v>
      </c>
    </row>
    <row r="6289" spans="1:4">
      <c r="A6289" s="348">
        <f t="shared" si="198"/>
        <v>6288</v>
      </c>
      <c r="B6289" s="360">
        <f>DATE('Profit Calculation'!J$6,A$2,A$2+A6289-1)</f>
        <v>48292</v>
      </c>
      <c r="D6289" s="362">
        <f t="shared" ca="1" si="199"/>
        <v>0</v>
      </c>
    </row>
    <row r="6290" spans="1:4">
      <c r="A6290" s="348">
        <f t="shared" si="198"/>
        <v>6289</v>
      </c>
      <c r="B6290" s="360">
        <f>DATE('Profit Calculation'!J$6,A$2,A$2+A6290-1)</f>
        <v>48293</v>
      </c>
      <c r="D6290" s="362">
        <f t="shared" ca="1" si="199"/>
        <v>0</v>
      </c>
    </row>
    <row r="6291" spans="1:4">
      <c r="A6291" s="348">
        <f t="shared" si="198"/>
        <v>6290</v>
      </c>
      <c r="B6291" s="360">
        <f>DATE('Profit Calculation'!J$6,A$2,A$2+A6291-1)</f>
        <v>48294</v>
      </c>
      <c r="D6291" s="362">
        <f t="shared" ca="1" si="199"/>
        <v>0</v>
      </c>
    </row>
    <row r="6292" spans="1:4">
      <c r="A6292" s="348">
        <f t="shared" si="198"/>
        <v>6291</v>
      </c>
      <c r="B6292" s="360">
        <f>DATE('Profit Calculation'!J$6,A$2,A$2+A6292-1)</f>
        <v>48295</v>
      </c>
      <c r="D6292" s="362">
        <f t="shared" ca="1" si="199"/>
        <v>0</v>
      </c>
    </row>
    <row r="6293" spans="1:4">
      <c r="A6293" s="348">
        <f t="shared" si="198"/>
        <v>6292</v>
      </c>
      <c r="B6293" s="360">
        <f>DATE('Profit Calculation'!J$6,A$2,A$2+A6293-1)</f>
        <v>48296</v>
      </c>
      <c r="D6293" s="362">
        <f t="shared" ca="1" si="199"/>
        <v>0</v>
      </c>
    </row>
    <row r="6294" spans="1:4">
      <c r="A6294" s="348">
        <f t="shared" si="198"/>
        <v>6293</v>
      </c>
      <c r="B6294" s="360">
        <f>DATE('Profit Calculation'!J$6,A$2,A$2+A6294-1)</f>
        <v>48297</v>
      </c>
      <c r="D6294" s="362">
        <f t="shared" ca="1" si="199"/>
        <v>0</v>
      </c>
    </row>
    <row r="6295" spans="1:4">
      <c r="A6295" s="348">
        <f t="shared" si="198"/>
        <v>6294</v>
      </c>
      <c r="B6295" s="360">
        <f>DATE('Profit Calculation'!J$6,A$2,A$2+A6295-1)</f>
        <v>48298</v>
      </c>
      <c r="D6295" s="362">
        <f t="shared" ca="1" si="199"/>
        <v>0</v>
      </c>
    </row>
    <row r="6296" spans="1:4">
      <c r="A6296" s="348">
        <f t="shared" si="198"/>
        <v>6295</v>
      </c>
      <c r="B6296" s="360">
        <f>DATE('Profit Calculation'!J$6,A$2,A$2+A6296-1)</f>
        <v>48299</v>
      </c>
      <c r="D6296" s="362">
        <f t="shared" ca="1" si="199"/>
        <v>0</v>
      </c>
    </row>
    <row r="6297" spans="1:4">
      <c r="A6297" s="348">
        <f t="shared" si="198"/>
        <v>6296</v>
      </c>
      <c r="B6297" s="360">
        <f>DATE('Profit Calculation'!J$6,A$2,A$2+A6297-1)</f>
        <v>48300</v>
      </c>
      <c r="D6297" s="362">
        <f t="shared" ca="1" si="199"/>
        <v>0</v>
      </c>
    </row>
    <row r="6298" spans="1:4">
      <c r="A6298" s="348">
        <f t="shared" si="198"/>
        <v>6297</v>
      </c>
      <c r="B6298" s="360">
        <f>DATE('Profit Calculation'!J$6,A$2,A$2+A6298-1)</f>
        <v>48301</v>
      </c>
      <c r="D6298" s="362">
        <f t="shared" ca="1" si="199"/>
        <v>0</v>
      </c>
    </row>
    <row r="6299" spans="1:4">
      <c r="A6299" s="348">
        <f t="shared" si="198"/>
        <v>6298</v>
      </c>
      <c r="B6299" s="360">
        <f>DATE('Profit Calculation'!J$6,A$2,A$2+A6299-1)</f>
        <v>48302</v>
      </c>
      <c r="D6299" s="362">
        <f t="shared" ca="1" si="199"/>
        <v>0</v>
      </c>
    </row>
    <row r="6300" spans="1:4">
      <c r="A6300" s="348">
        <f t="shared" si="198"/>
        <v>6299</v>
      </c>
      <c r="B6300" s="360">
        <f>DATE('Profit Calculation'!J$6,A$2,A$2+A6300-1)</f>
        <v>48303</v>
      </c>
      <c r="D6300" s="362">
        <f t="shared" ca="1" si="199"/>
        <v>0</v>
      </c>
    </row>
    <row r="6301" spans="1:4">
      <c r="A6301" s="348">
        <f t="shared" si="198"/>
        <v>6300</v>
      </c>
      <c r="B6301" s="360">
        <f>DATE('Profit Calculation'!J$6,A$2,A$2+A6301-1)</f>
        <v>48304</v>
      </c>
      <c r="D6301" s="362">
        <f t="shared" ca="1" si="199"/>
        <v>0</v>
      </c>
    </row>
    <row r="6302" spans="1:4">
      <c r="A6302" s="348">
        <f t="shared" si="198"/>
        <v>6301</v>
      </c>
      <c r="B6302" s="360">
        <f>DATE('Profit Calculation'!J$6,A$2,A$2+A6302-1)</f>
        <v>48305</v>
      </c>
      <c r="D6302" s="362">
        <f t="shared" ca="1" si="199"/>
        <v>0</v>
      </c>
    </row>
    <row r="6303" spans="1:4">
      <c r="A6303" s="348">
        <f t="shared" si="198"/>
        <v>6302</v>
      </c>
      <c r="B6303" s="360">
        <f>DATE('Profit Calculation'!J$6,A$2,A$2+A6303-1)</f>
        <v>48306</v>
      </c>
      <c r="D6303" s="362">
        <f t="shared" ca="1" si="199"/>
        <v>0</v>
      </c>
    </row>
    <row r="6304" spans="1:4">
      <c r="A6304" s="348">
        <f t="shared" si="198"/>
        <v>6303</v>
      </c>
      <c r="B6304" s="360">
        <f>DATE('Profit Calculation'!J$6,A$2,A$2+A6304-1)</f>
        <v>48307</v>
      </c>
      <c r="D6304" s="362">
        <f t="shared" ca="1" si="199"/>
        <v>0</v>
      </c>
    </row>
    <row r="6305" spans="1:4">
      <c r="A6305" s="348">
        <f t="shared" si="198"/>
        <v>6304</v>
      </c>
      <c r="B6305" s="360">
        <f>DATE('Profit Calculation'!J$6,A$2,A$2+A6305-1)</f>
        <v>48308</v>
      </c>
      <c r="D6305" s="362">
        <f t="shared" ca="1" si="199"/>
        <v>0</v>
      </c>
    </row>
    <row r="6306" spans="1:4">
      <c r="A6306" s="348">
        <f t="shared" si="198"/>
        <v>6305</v>
      </c>
      <c r="B6306" s="360">
        <f>DATE('Profit Calculation'!J$6,A$2,A$2+A6306-1)</f>
        <v>48309</v>
      </c>
      <c r="D6306" s="362">
        <f t="shared" ca="1" si="199"/>
        <v>0</v>
      </c>
    </row>
    <row r="6307" spans="1:4">
      <c r="A6307" s="348">
        <f t="shared" si="198"/>
        <v>6306</v>
      </c>
      <c r="B6307" s="360">
        <f>DATE('Profit Calculation'!J$6,A$2,A$2+A6307-1)</f>
        <v>48310</v>
      </c>
      <c r="D6307" s="362">
        <f t="shared" ca="1" si="199"/>
        <v>0</v>
      </c>
    </row>
    <row r="6308" spans="1:4">
      <c r="A6308" s="348">
        <f t="shared" si="198"/>
        <v>6307</v>
      </c>
      <c r="B6308" s="360">
        <f>DATE('Profit Calculation'!J$6,A$2,A$2+A6308-1)</f>
        <v>48311</v>
      </c>
      <c r="D6308" s="362">
        <f t="shared" ca="1" si="199"/>
        <v>0</v>
      </c>
    </row>
    <row r="6309" spans="1:4">
      <c r="A6309" s="348">
        <f t="shared" si="198"/>
        <v>6308</v>
      </c>
      <c r="B6309" s="360">
        <f>DATE('Profit Calculation'!J$6,A$2,A$2+A6309-1)</f>
        <v>48312</v>
      </c>
      <c r="D6309" s="362">
        <f t="shared" ca="1" si="199"/>
        <v>0</v>
      </c>
    </row>
    <row r="6310" spans="1:4">
      <c r="A6310" s="348">
        <f t="shared" si="198"/>
        <v>6309</v>
      </c>
      <c r="B6310" s="360">
        <f>DATE('Profit Calculation'!J$6,A$2,A$2+A6310-1)</f>
        <v>48313</v>
      </c>
      <c r="D6310" s="362">
        <f t="shared" ca="1" si="199"/>
        <v>0</v>
      </c>
    </row>
    <row r="6311" spans="1:4">
      <c r="A6311" s="348">
        <f t="shared" si="198"/>
        <v>6310</v>
      </c>
      <c r="B6311" s="360">
        <f>DATE('Profit Calculation'!J$6,A$2,A$2+A6311-1)</f>
        <v>48314</v>
      </c>
      <c r="D6311" s="362">
        <f t="shared" ca="1" si="199"/>
        <v>0</v>
      </c>
    </row>
    <row r="6312" spans="1:4">
      <c r="A6312" s="348">
        <f t="shared" si="198"/>
        <v>6311</v>
      </c>
      <c r="B6312" s="360">
        <f>DATE('Profit Calculation'!J$6,A$2,A$2+A6312-1)</f>
        <v>48315</v>
      </c>
      <c r="D6312" s="362">
        <f t="shared" ca="1" si="199"/>
        <v>0</v>
      </c>
    </row>
    <row r="6313" spans="1:4">
      <c r="A6313" s="348">
        <f t="shared" si="198"/>
        <v>6312</v>
      </c>
      <c r="B6313" s="360">
        <f>DATE('Profit Calculation'!J$6,A$2,A$2+A6313-1)</f>
        <v>48316</v>
      </c>
      <c r="D6313" s="362">
        <f t="shared" ca="1" si="199"/>
        <v>0</v>
      </c>
    </row>
    <row r="6314" spans="1:4">
      <c r="A6314" s="348">
        <f t="shared" si="198"/>
        <v>6313</v>
      </c>
      <c r="B6314" s="360">
        <f>DATE('Profit Calculation'!J$6,A$2,A$2+A6314-1)</f>
        <v>48317</v>
      </c>
      <c r="D6314" s="362">
        <f t="shared" ca="1" si="199"/>
        <v>0</v>
      </c>
    </row>
    <row r="6315" spans="1:4">
      <c r="A6315" s="348">
        <f t="shared" si="198"/>
        <v>6314</v>
      </c>
      <c r="B6315" s="360">
        <f>DATE('Profit Calculation'!J$6,A$2,A$2+A6315-1)</f>
        <v>48318</v>
      </c>
      <c r="D6315" s="362">
        <f t="shared" ca="1" si="199"/>
        <v>0</v>
      </c>
    </row>
    <row r="6316" spans="1:4">
      <c r="A6316" s="348">
        <f t="shared" si="198"/>
        <v>6315</v>
      </c>
      <c r="B6316" s="360">
        <f>DATE('Profit Calculation'!J$6,A$2,A$2+A6316-1)</f>
        <v>48319</v>
      </c>
      <c r="D6316" s="362">
        <f t="shared" ca="1" si="199"/>
        <v>0</v>
      </c>
    </row>
    <row r="6317" spans="1:4">
      <c r="A6317" s="348">
        <f t="shared" si="198"/>
        <v>6316</v>
      </c>
      <c r="B6317" s="360">
        <f>DATE('Profit Calculation'!J$6,A$2,A$2+A6317-1)</f>
        <v>48320</v>
      </c>
      <c r="D6317" s="362">
        <f t="shared" ca="1" si="199"/>
        <v>0</v>
      </c>
    </row>
    <row r="6318" spans="1:4">
      <c r="A6318" s="348">
        <f t="shared" si="198"/>
        <v>6317</v>
      </c>
      <c r="B6318" s="360">
        <f>DATE('Profit Calculation'!J$6,A$2,A$2+A6318-1)</f>
        <v>48321</v>
      </c>
      <c r="D6318" s="362">
        <f t="shared" ca="1" si="199"/>
        <v>0</v>
      </c>
    </row>
    <row r="6319" spans="1:4">
      <c r="A6319" s="348">
        <f t="shared" si="198"/>
        <v>6318</v>
      </c>
      <c r="B6319" s="360">
        <f>DATE('Profit Calculation'!J$6,A$2,A$2+A6319-1)</f>
        <v>48322</v>
      </c>
      <c r="D6319" s="362">
        <f t="shared" ca="1" si="199"/>
        <v>0</v>
      </c>
    </row>
    <row r="6320" spans="1:4">
      <c r="A6320" s="348">
        <f t="shared" si="198"/>
        <v>6319</v>
      </c>
      <c r="B6320" s="360">
        <f>DATE('Profit Calculation'!J$6,A$2,A$2+A6320-1)</f>
        <v>48323</v>
      </c>
      <c r="D6320" s="362">
        <f t="shared" ca="1" si="199"/>
        <v>0</v>
      </c>
    </row>
    <row r="6321" spans="1:4">
      <c r="A6321" s="348">
        <f t="shared" si="198"/>
        <v>6320</v>
      </c>
      <c r="B6321" s="360">
        <f>DATE('Profit Calculation'!J$6,A$2,A$2+A6321-1)</f>
        <v>48324</v>
      </c>
      <c r="D6321" s="362">
        <f t="shared" ca="1" si="199"/>
        <v>0</v>
      </c>
    </row>
    <row r="6322" spans="1:4">
      <c r="A6322" s="348">
        <f t="shared" si="198"/>
        <v>6321</v>
      </c>
      <c r="B6322" s="360">
        <f>DATE('Profit Calculation'!J$6,A$2,A$2+A6322-1)</f>
        <v>48325</v>
      </c>
      <c r="D6322" s="362">
        <f t="shared" ca="1" si="199"/>
        <v>0</v>
      </c>
    </row>
    <row r="6323" spans="1:4">
      <c r="A6323" s="348">
        <f t="shared" si="198"/>
        <v>6322</v>
      </c>
      <c r="B6323" s="360">
        <f>DATE('Profit Calculation'!J$6,A$2,A$2+A6323-1)</f>
        <v>48326</v>
      </c>
      <c r="D6323" s="362">
        <f t="shared" ca="1" si="199"/>
        <v>0</v>
      </c>
    </row>
    <row r="6324" spans="1:4">
      <c r="A6324" s="348">
        <f t="shared" si="198"/>
        <v>6323</v>
      </c>
      <c r="B6324" s="360">
        <f>DATE('Profit Calculation'!J$6,A$2,A$2+A6324-1)</f>
        <v>48327</v>
      </c>
      <c r="D6324" s="362">
        <f t="shared" ca="1" si="199"/>
        <v>0</v>
      </c>
    </row>
    <row r="6325" spans="1:4">
      <c r="A6325" s="348">
        <f t="shared" si="198"/>
        <v>6324</v>
      </c>
      <c r="B6325" s="360">
        <f>DATE('Profit Calculation'!J$6,A$2,A$2+A6325-1)</f>
        <v>48328</v>
      </c>
      <c r="D6325" s="362">
        <f t="shared" ca="1" si="199"/>
        <v>0</v>
      </c>
    </row>
    <row r="6326" spans="1:4">
      <c r="A6326" s="348">
        <f t="shared" si="198"/>
        <v>6325</v>
      </c>
      <c r="B6326" s="360">
        <f>DATE('Profit Calculation'!J$6,A$2,A$2+A6326-1)</f>
        <v>48329</v>
      </c>
      <c r="D6326" s="362">
        <f t="shared" ca="1" si="199"/>
        <v>0</v>
      </c>
    </row>
    <row r="6327" spans="1:4">
      <c r="A6327" s="348">
        <f t="shared" si="198"/>
        <v>6326</v>
      </c>
      <c r="B6327" s="360">
        <f>DATE('Profit Calculation'!J$6,A$2,A$2+A6327-1)</f>
        <v>48330</v>
      </c>
      <c r="D6327" s="362">
        <f t="shared" ca="1" si="199"/>
        <v>0</v>
      </c>
    </row>
    <row r="6328" spans="1:4">
      <c r="A6328" s="348">
        <f t="shared" si="198"/>
        <v>6327</v>
      </c>
      <c r="B6328" s="360">
        <f>DATE('Profit Calculation'!J$6,A$2,A$2+A6328-1)</f>
        <v>48331</v>
      </c>
      <c r="D6328" s="362">
        <f t="shared" ca="1" si="199"/>
        <v>0</v>
      </c>
    </row>
    <row r="6329" spans="1:4">
      <c r="A6329" s="348">
        <f t="shared" si="198"/>
        <v>6328</v>
      </c>
      <c r="B6329" s="360">
        <f>DATE('Profit Calculation'!J$6,A$2,A$2+A6329-1)</f>
        <v>48332</v>
      </c>
      <c r="D6329" s="362">
        <f t="shared" ca="1" si="199"/>
        <v>0</v>
      </c>
    </row>
    <row r="6330" spans="1:4">
      <c r="A6330" s="348">
        <f t="shared" si="198"/>
        <v>6329</v>
      </c>
      <c r="B6330" s="360">
        <f>DATE('Profit Calculation'!J$6,A$2,A$2+A6330-1)</f>
        <v>48333</v>
      </c>
      <c r="D6330" s="362">
        <f t="shared" ca="1" si="199"/>
        <v>0</v>
      </c>
    </row>
    <row r="6331" spans="1:4">
      <c r="A6331" s="348">
        <f t="shared" si="198"/>
        <v>6330</v>
      </c>
      <c r="B6331" s="360">
        <f>DATE('Profit Calculation'!J$6,A$2,A$2+A6331-1)</f>
        <v>48334</v>
      </c>
      <c r="D6331" s="362">
        <f t="shared" ca="1" si="199"/>
        <v>0</v>
      </c>
    </row>
    <row r="6332" spans="1:4">
      <c r="A6332" s="348">
        <f t="shared" si="198"/>
        <v>6331</v>
      </c>
      <c r="B6332" s="360">
        <f>DATE('Profit Calculation'!J$6,A$2,A$2+A6332-1)</f>
        <v>48335</v>
      </c>
      <c r="D6332" s="362">
        <f t="shared" ca="1" si="199"/>
        <v>0</v>
      </c>
    </row>
    <row r="6333" spans="1:4">
      <c r="A6333" s="348">
        <f t="shared" si="198"/>
        <v>6332</v>
      </c>
      <c r="B6333" s="360">
        <f>DATE('Profit Calculation'!J$6,A$2,A$2+A6333-1)</f>
        <v>48336</v>
      </c>
      <c r="D6333" s="362">
        <f t="shared" ca="1" si="199"/>
        <v>0</v>
      </c>
    </row>
    <row r="6334" spans="1:4">
      <c r="A6334" s="348">
        <f t="shared" si="198"/>
        <v>6333</v>
      </c>
      <c r="B6334" s="360">
        <f>DATE('Profit Calculation'!J$6,A$2,A$2+A6334-1)</f>
        <v>48337</v>
      </c>
      <c r="D6334" s="362">
        <f t="shared" ca="1" si="199"/>
        <v>0</v>
      </c>
    </row>
    <row r="6335" spans="1:4">
      <c r="A6335" s="348">
        <f t="shared" si="198"/>
        <v>6334</v>
      </c>
      <c r="B6335" s="360">
        <f>DATE('Profit Calculation'!J$6,A$2,A$2+A6335-1)</f>
        <v>48338</v>
      </c>
      <c r="D6335" s="362">
        <f t="shared" ca="1" si="199"/>
        <v>0</v>
      </c>
    </row>
    <row r="6336" spans="1:4">
      <c r="A6336" s="348">
        <f t="shared" si="198"/>
        <v>6335</v>
      </c>
      <c r="B6336" s="360">
        <f>DATE('Profit Calculation'!J$6,A$2,A$2+A6336-1)</f>
        <v>48339</v>
      </c>
      <c r="D6336" s="362">
        <f t="shared" ca="1" si="199"/>
        <v>0</v>
      </c>
    </row>
    <row r="6337" spans="1:4">
      <c r="A6337" s="348">
        <f t="shared" si="198"/>
        <v>6336</v>
      </c>
      <c r="B6337" s="360">
        <f>DATE('Profit Calculation'!J$6,A$2,A$2+A6337-1)</f>
        <v>48340</v>
      </c>
      <c r="D6337" s="362">
        <f t="shared" ca="1" si="199"/>
        <v>0</v>
      </c>
    </row>
    <row r="6338" spans="1:4">
      <c r="A6338" s="348">
        <f t="shared" si="198"/>
        <v>6337</v>
      </c>
      <c r="B6338" s="360">
        <f>DATE('Profit Calculation'!J$6,A$2,A$2+A6338-1)</f>
        <v>48341</v>
      </c>
      <c r="D6338" s="362">
        <f t="shared" ca="1" si="199"/>
        <v>0</v>
      </c>
    </row>
    <row r="6339" spans="1:4">
      <c r="A6339" s="348">
        <f t="shared" si="198"/>
        <v>6338</v>
      </c>
      <c r="B6339" s="360">
        <f>DATE('Profit Calculation'!J$6,A$2,A$2+A6339-1)</f>
        <v>48342</v>
      </c>
      <c r="D6339" s="362">
        <f t="shared" ca="1" si="199"/>
        <v>0</v>
      </c>
    </row>
    <row r="6340" spans="1:4">
      <c r="A6340" s="348">
        <f t="shared" si="198"/>
        <v>6339</v>
      </c>
      <c r="B6340" s="360">
        <f>DATE('Profit Calculation'!J$6,A$2,A$2+A6340-1)</f>
        <v>48343</v>
      </c>
      <c r="D6340" s="362">
        <f t="shared" ca="1" si="199"/>
        <v>0</v>
      </c>
    </row>
    <row r="6341" spans="1:4">
      <c r="A6341" s="348">
        <f t="shared" ref="A6341:A6404" si="200">A6340+1</f>
        <v>6340</v>
      </c>
      <c r="B6341" s="360">
        <f>DATE('Profit Calculation'!J$6,A$2,A$2+A6341-1)</f>
        <v>48344</v>
      </c>
      <c r="D6341" s="362">
        <f t="shared" ref="D6341:D6404" ca="1" si="201">IF(OR(LOOKUP(B6341,W$1:W$35,W$1:W$35) = B6341, LOOKUP(B6341,X$1:X$35,X$1:X$35) = B6341),LOOKUP(B6341,F:F,G:G),D6340*(1+((IF($Q$18&lt;6,$R$14,IF($Q$18&lt;11,$R$15,$R$16)))))^(1/365))</f>
        <v>0</v>
      </c>
    </row>
    <row r="6342" spans="1:4">
      <c r="A6342" s="348">
        <f t="shared" si="200"/>
        <v>6341</v>
      </c>
      <c r="B6342" s="360">
        <f>DATE('Profit Calculation'!J$6,A$2,A$2+A6342-1)</f>
        <v>48345</v>
      </c>
      <c r="D6342" s="362">
        <f t="shared" ca="1" si="201"/>
        <v>0</v>
      </c>
    </row>
    <row r="6343" spans="1:4">
      <c r="A6343" s="348">
        <f t="shared" si="200"/>
        <v>6342</v>
      </c>
      <c r="B6343" s="360">
        <f>DATE('Profit Calculation'!J$6,A$2,A$2+A6343-1)</f>
        <v>48346</v>
      </c>
      <c r="D6343" s="362">
        <f t="shared" ca="1" si="201"/>
        <v>0</v>
      </c>
    </row>
    <row r="6344" spans="1:4">
      <c r="A6344" s="348">
        <f t="shared" si="200"/>
        <v>6343</v>
      </c>
      <c r="B6344" s="360">
        <f>DATE('Profit Calculation'!J$6,A$2,A$2+A6344-1)</f>
        <v>48347</v>
      </c>
      <c r="D6344" s="362">
        <f t="shared" ca="1" si="201"/>
        <v>0</v>
      </c>
    </row>
    <row r="6345" spans="1:4">
      <c r="A6345" s="348">
        <f t="shared" si="200"/>
        <v>6344</v>
      </c>
      <c r="B6345" s="360">
        <f>DATE('Profit Calculation'!J$6,A$2,A$2+A6345-1)</f>
        <v>48348</v>
      </c>
      <c r="D6345" s="362">
        <f t="shared" ca="1" si="201"/>
        <v>0</v>
      </c>
    </row>
    <row r="6346" spans="1:4">
      <c r="A6346" s="348">
        <f t="shared" si="200"/>
        <v>6345</v>
      </c>
      <c r="B6346" s="360">
        <f>DATE('Profit Calculation'!J$6,A$2,A$2+A6346-1)</f>
        <v>48349</v>
      </c>
      <c r="D6346" s="362">
        <f t="shared" ca="1" si="201"/>
        <v>0</v>
      </c>
    </row>
    <row r="6347" spans="1:4">
      <c r="A6347" s="348">
        <f t="shared" si="200"/>
        <v>6346</v>
      </c>
      <c r="B6347" s="360">
        <f>DATE('Profit Calculation'!J$6,A$2,A$2+A6347-1)</f>
        <v>48350</v>
      </c>
      <c r="D6347" s="362">
        <f t="shared" ca="1" si="201"/>
        <v>0</v>
      </c>
    </row>
    <row r="6348" spans="1:4">
      <c r="A6348" s="348">
        <f t="shared" si="200"/>
        <v>6347</v>
      </c>
      <c r="B6348" s="360">
        <f>DATE('Profit Calculation'!J$6,A$2,A$2+A6348-1)</f>
        <v>48351</v>
      </c>
      <c r="D6348" s="362">
        <f t="shared" ca="1" si="201"/>
        <v>0</v>
      </c>
    </row>
    <row r="6349" spans="1:4">
      <c r="A6349" s="348">
        <f t="shared" si="200"/>
        <v>6348</v>
      </c>
      <c r="B6349" s="360">
        <f>DATE('Profit Calculation'!J$6,A$2,A$2+A6349-1)</f>
        <v>48352</v>
      </c>
      <c r="D6349" s="362">
        <f t="shared" ca="1" si="201"/>
        <v>0</v>
      </c>
    </row>
    <row r="6350" spans="1:4">
      <c r="A6350" s="348">
        <f t="shared" si="200"/>
        <v>6349</v>
      </c>
      <c r="B6350" s="360">
        <f>DATE('Profit Calculation'!J$6,A$2,A$2+A6350-1)</f>
        <v>48353</v>
      </c>
      <c r="D6350" s="362">
        <f t="shared" ca="1" si="201"/>
        <v>0</v>
      </c>
    </row>
    <row r="6351" spans="1:4">
      <c r="A6351" s="348">
        <f t="shared" si="200"/>
        <v>6350</v>
      </c>
      <c r="B6351" s="360">
        <f>DATE('Profit Calculation'!J$6,A$2,A$2+A6351-1)</f>
        <v>48354</v>
      </c>
      <c r="D6351" s="362">
        <f t="shared" ca="1" si="201"/>
        <v>0</v>
      </c>
    </row>
    <row r="6352" spans="1:4">
      <c r="A6352" s="348">
        <f t="shared" si="200"/>
        <v>6351</v>
      </c>
      <c r="B6352" s="360">
        <f>DATE('Profit Calculation'!J$6,A$2,A$2+A6352-1)</f>
        <v>48355</v>
      </c>
      <c r="D6352" s="362">
        <f t="shared" ca="1" si="201"/>
        <v>0</v>
      </c>
    </row>
    <row r="6353" spans="1:4">
      <c r="A6353" s="348">
        <f t="shared" si="200"/>
        <v>6352</v>
      </c>
      <c r="B6353" s="360">
        <f>DATE('Profit Calculation'!J$6,A$2,A$2+A6353-1)</f>
        <v>48356</v>
      </c>
      <c r="D6353" s="362">
        <f t="shared" ca="1" si="201"/>
        <v>0</v>
      </c>
    </row>
    <row r="6354" spans="1:4">
      <c r="A6354" s="348">
        <f t="shared" si="200"/>
        <v>6353</v>
      </c>
      <c r="B6354" s="360">
        <f>DATE('Profit Calculation'!J$6,A$2,A$2+A6354-1)</f>
        <v>48357</v>
      </c>
      <c r="D6354" s="362">
        <f t="shared" ca="1" si="201"/>
        <v>0</v>
      </c>
    </row>
    <row r="6355" spans="1:4">
      <c r="A6355" s="348">
        <f t="shared" si="200"/>
        <v>6354</v>
      </c>
      <c r="B6355" s="360">
        <f>DATE('Profit Calculation'!J$6,A$2,A$2+A6355-1)</f>
        <v>48358</v>
      </c>
      <c r="D6355" s="362">
        <f t="shared" ca="1" si="201"/>
        <v>0</v>
      </c>
    </row>
    <row r="6356" spans="1:4">
      <c r="A6356" s="348">
        <f t="shared" si="200"/>
        <v>6355</v>
      </c>
      <c r="B6356" s="360">
        <f>DATE('Profit Calculation'!J$6,A$2,A$2+A6356-1)</f>
        <v>48359</v>
      </c>
      <c r="D6356" s="362">
        <f t="shared" ca="1" si="201"/>
        <v>0</v>
      </c>
    </row>
    <row r="6357" spans="1:4">
      <c r="A6357" s="348">
        <f t="shared" si="200"/>
        <v>6356</v>
      </c>
      <c r="B6357" s="360">
        <f>DATE('Profit Calculation'!J$6,A$2,A$2+A6357-1)</f>
        <v>48360</v>
      </c>
      <c r="D6357" s="362">
        <f t="shared" ca="1" si="201"/>
        <v>0</v>
      </c>
    </row>
    <row r="6358" spans="1:4">
      <c r="A6358" s="348">
        <f t="shared" si="200"/>
        <v>6357</v>
      </c>
      <c r="B6358" s="360">
        <f>DATE('Profit Calculation'!J$6,A$2,A$2+A6358-1)</f>
        <v>48361</v>
      </c>
      <c r="D6358" s="362">
        <f t="shared" ca="1" si="201"/>
        <v>0</v>
      </c>
    </row>
    <row r="6359" spans="1:4">
      <c r="A6359" s="348">
        <f t="shared" si="200"/>
        <v>6358</v>
      </c>
      <c r="B6359" s="360">
        <f>DATE('Profit Calculation'!J$6,A$2,A$2+A6359-1)</f>
        <v>48362</v>
      </c>
      <c r="D6359" s="362">
        <f t="shared" ca="1" si="201"/>
        <v>0</v>
      </c>
    </row>
    <row r="6360" spans="1:4">
      <c r="A6360" s="348">
        <f t="shared" si="200"/>
        <v>6359</v>
      </c>
      <c r="B6360" s="360">
        <f>DATE('Profit Calculation'!J$6,A$2,A$2+A6360-1)</f>
        <v>48363</v>
      </c>
      <c r="D6360" s="362">
        <f t="shared" ca="1" si="201"/>
        <v>0</v>
      </c>
    </row>
    <row r="6361" spans="1:4">
      <c r="A6361" s="348">
        <f t="shared" si="200"/>
        <v>6360</v>
      </c>
      <c r="B6361" s="360">
        <f>DATE('Profit Calculation'!J$6,A$2,A$2+A6361-1)</f>
        <v>48364</v>
      </c>
      <c r="D6361" s="362">
        <f t="shared" ca="1" si="201"/>
        <v>0</v>
      </c>
    </row>
    <row r="6362" spans="1:4">
      <c r="A6362" s="348">
        <f t="shared" si="200"/>
        <v>6361</v>
      </c>
      <c r="B6362" s="360">
        <f>DATE('Profit Calculation'!J$6,A$2,A$2+A6362-1)</f>
        <v>48365</v>
      </c>
      <c r="D6362" s="362">
        <f t="shared" ca="1" si="201"/>
        <v>0</v>
      </c>
    </row>
    <row r="6363" spans="1:4">
      <c r="A6363" s="348">
        <f t="shared" si="200"/>
        <v>6362</v>
      </c>
      <c r="B6363" s="360">
        <f>DATE('Profit Calculation'!J$6,A$2,A$2+A6363-1)</f>
        <v>48366</v>
      </c>
      <c r="D6363" s="362">
        <f t="shared" ca="1" si="201"/>
        <v>0</v>
      </c>
    </row>
    <row r="6364" spans="1:4">
      <c r="A6364" s="348">
        <f t="shared" si="200"/>
        <v>6363</v>
      </c>
      <c r="B6364" s="360">
        <f>DATE('Profit Calculation'!J$6,A$2,A$2+A6364-1)</f>
        <v>48367</v>
      </c>
      <c r="D6364" s="362">
        <f t="shared" ca="1" si="201"/>
        <v>0</v>
      </c>
    </row>
    <row r="6365" spans="1:4">
      <c r="A6365" s="348">
        <f t="shared" si="200"/>
        <v>6364</v>
      </c>
      <c r="B6365" s="360">
        <f>DATE('Profit Calculation'!J$6,A$2,A$2+A6365-1)</f>
        <v>48368</v>
      </c>
      <c r="D6365" s="362">
        <f t="shared" ca="1" si="201"/>
        <v>0</v>
      </c>
    </row>
    <row r="6366" spans="1:4">
      <c r="A6366" s="348">
        <f t="shared" si="200"/>
        <v>6365</v>
      </c>
      <c r="B6366" s="360">
        <f>DATE('Profit Calculation'!J$6,A$2,A$2+A6366-1)</f>
        <v>48369</v>
      </c>
      <c r="D6366" s="362">
        <f t="shared" ca="1" si="201"/>
        <v>0</v>
      </c>
    </row>
    <row r="6367" spans="1:4">
      <c r="A6367" s="348">
        <f t="shared" si="200"/>
        <v>6366</v>
      </c>
      <c r="B6367" s="360">
        <f>DATE('Profit Calculation'!J$6,A$2,A$2+A6367-1)</f>
        <v>48370</v>
      </c>
      <c r="D6367" s="362">
        <f t="shared" ca="1" si="201"/>
        <v>0</v>
      </c>
    </row>
    <row r="6368" spans="1:4">
      <c r="A6368" s="348">
        <f t="shared" si="200"/>
        <v>6367</v>
      </c>
      <c r="B6368" s="360">
        <f>DATE('Profit Calculation'!J$6,A$2,A$2+A6368-1)</f>
        <v>48371</v>
      </c>
      <c r="D6368" s="362">
        <f t="shared" ca="1" si="201"/>
        <v>0</v>
      </c>
    </row>
    <row r="6369" spans="1:4">
      <c r="A6369" s="348">
        <f t="shared" si="200"/>
        <v>6368</v>
      </c>
      <c r="B6369" s="360">
        <f>DATE('Profit Calculation'!J$6,A$2,A$2+A6369-1)</f>
        <v>48372</v>
      </c>
      <c r="D6369" s="362">
        <f t="shared" ca="1" si="201"/>
        <v>0</v>
      </c>
    </row>
    <row r="6370" spans="1:4">
      <c r="A6370" s="348">
        <f t="shared" si="200"/>
        <v>6369</v>
      </c>
      <c r="B6370" s="360">
        <f>DATE('Profit Calculation'!J$6,A$2,A$2+A6370-1)</f>
        <v>48373</v>
      </c>
      <c r="D6370" s="362">
        <f t="shared" ca="1" si="201"/>
        <v>0</v>
      </c>
    </row>
    <row r="6371" spans="1:4">
      <c r="A6371" s="348">
        <f t="shared" si="200"/>
        <v>6370</v>
      </c>
      <c r="B6371" s="360">
        <f>DATE('Profit Calculation'!J$6,A$2,A$2+A6371-1)</f>
        <v>48374</v>
      </c>
      <c r="D6371" s="362">
        <f t="shared" ca="1" si="201"/>
        <v>0</v>
      </c>
    </row>
    <row r="6372" spans="1:4">
      <c r="A6372" s="348">
        <f t="shared" si="200"/>
        <v>6371</v>
      </c>
      <c r="B6372" s="360">
        <f>DATE('Profit Calculation'!J$6,A$2,A$2+A6372-1)</f>
        <v>48375</v>
      </c>
      <c r="D6372" s="362">
        <f t="shared" ca="1" si="201"/>
        <v>0</v>
      </c>
    </row>
    <row r="6373" spans="1:4">
      <c r="A6373" s="348">
        <f t="shared" si="200"/>
        <v>6372</v>
      </c>
      <c r="B6373" s="360">
        <f>DATE('Profit Calculation'!J$6,A$2,A$2+A6373-1)</f>
        <v>48376</v>
      </c>
      <c r="D6373" s="362">
        <f t="shared" ca="1" si="201"/>
        <v>0</v>
      </c>
    </row>
    <row r="6374" spans="1:4">
      <c r="A6374" s="348">
        <f t="shared" si="200"/>
        <v>6373</v>
      </c>
      <c r="B6374" s="360">
        <f>DATE('Profit Calculation'!J$6,A$2,A$2+A6374-1)</f>
        <v>48377</v>
      </c>
      <c r="D6374" s="362">
        <f t="shared" ca="1" si="201"/>
        <v>0</v>
      </c>
    </row>
    <row r="6375" spans="1:4">
      <c r="A6375" s="348">
        <f t="shared" si="200"/>
        <v>6374</v>
      </c>
      <c r="B6375" s="360">
        <f>DATE('Profit Calculation'!J$6,A$2,A$2+A6375-1)</f>
        <v>48378</v>
      </c>
      <c r="D6375" s="362">
        <f t="shared" ca="1" si="201"/>
        <v>0</v>
      </c>
    </row>
    <row r="6376" spans="1:4">
      <c r="A6376" s="348">
        <f t="shared" si="200"/>
        <v>6375</v>
      </c>
      <c r="B6376" s="360">
        <f>DATE('Profit Calculation'!J$6,A$2,A$2+A6376-1)</f>
        <v>48379</v>
      </c>
      <c r="D6376" s="362">
        <f t="shared" ca="1" si="201"/>
        <v>0</v>
      </c>
    </row>
    <row r="6377" spans="1:4">
      <c r="A6377" s="348">
        <f t="shared" si="200"/>
        <v>6376</v>
      </c>
      <c r="B6377" s="360">
        <f>DATE('Profit Calculation'!J$6,A$2,A$2+A6377-1)</f>
        <v>48380</v>
      </c>
      <c r="D6377" s="362">
        <f t="shared" ca="1" si="201"/>
        <v>0</v>
      </c>
    </row>
    <row r="6378" spans="1:4">
      <c r="A6378" s="348">
        <f t="shared" si="200"/>
        <v>6377</v>
      </c>
      <c r="B6378" s="360">
        <f>DATE('Profit Calculation'!J$6,A$2,A$2+A6378-1)</f>
        <v>48381</v>
      </c>
      <c r="D6378" s="362">
        <f t="shared" ca="1" si="201"/>
        <v>0</v>
      </c>
    </row>
    <row r="6379" spans="1:4">
      <c r="A6379" s="348">
        <f t="shared" si="200"/>
        <v>6378</v>
      </c>
      <c r="B6379" s="360">
        <f>DATE('Profit Calculation'!J$6,A$2,A$2+A6379-1)</f>
        <v>48382</v>
      </c>
      <c r="D6379" s="362">
        <f t="shared" ca="1" si="201"/>
        <v>0</v>
      </c>
    </row>
    <row r="6380" spans="1:4">
      <c r="A6380" s="348">
        <f t="shared" si="200"/>
        <v>6379</v>
      </c>
      <c r="B6380" s="360">
        <f>DATE('Profit Calculation'!J$6,A$2,A$2+A6380-1)</f>
        <v>48383</v>
      </c>
      <c r="D6380" s="362">
        <f t="shared" ca="1" si="201"/>
        <v>0</v>
      </c>
    </row>
    <row r="6381" spans="1:4">
      <c r="A6381" s="348">
        <f t="shared" si="200"/>
        <v>6380</v>
      </c>
      <c r="B6381" s="360">
        <f>DATE('Profit Calculation'!J$6,A$2,A$2+A6381-1)</f>
        <v>48384</v>
      </c>
      <c r="D6381" s="362">
        <f t="shared" ca="1" si="201"/>
        <v>0</v>
      </c>
    </row>
    <row r="6382" spans="1:4">
      <c r="A6382" s="348">
        <f t="shared" si="200"/>
        <v>6381</v>
      </c>
      <c r="B6382" s="360">
        <f>DATE('Profit Calculation'!J$6,A$2,A$2+A6382-1)</f>
        <v>48385</v>
      </c>
      <c r="D6382" s="362">
        <f t="shared" ca="1" si="201"/>
        <v>0</v>
      </c>
    </row>
    <row r="6383" spans="1:4">
      <c r="A6383" s="348">
        <f t="shared" si="200"/>
        <v>6382</v>
      </c>
      <c r="B6383" s="360">
        <f>DATE('Profit Calculation'!J$6,A$2,A$2+A6383-1)</f>
        <v>48386</v>
      </c>
      <c r="D6383" s="362">
        <f t="shared" ca="1" si="201"/>
        <v>0</v>
      </c>
    </row>
    <row r="6384" spans="1:4">
      <c r="A6384" s="348">
        <f t="shared" si="200"/>
        <v>6383</v>
      </c>
      <c r="B6384" s="360">
        <f>DATE('Profit Calculation'!J$6,A$2,A$2+A6384-1)</f>
        <v>48387</v>
      </c>
      <c r="D6384" s="362">
        <f t="shared" ca="1" si="201"/>
        <v>0</v>
      </c>
    </row>
    <row r="6385" spans="1:4">
      <c r="A6385" s="348">
        <f t="shared" si="200"/>
        <v>6384</v>
      </c>
      <c r="B6385" s="360">
        <f>DATE('Profit Calculation'!J$6,A$2,A$2+A6385-1)</f>
        <v>48388</v>
      </c>
      <c r="D6385" s="362">
        <f t="shared" ca="1" si="201"/>
        <v>0</v>
      </c>
    </row>
    <row r="6386" spans="1:4">
      <c r="A6386" s="348">
        <f t="shared" si="200"/>
        <v>6385</v>
      </c>
      <c r="B6386" s="360">
        <f>DATE('Profit Calculation'!J$6,A$2,A$2+A6386-1)</f>
        <v>48389</v>
      </c>
      <c r="D6386" s="362">
        <f t="shared" ca="1" si="201"/>
        <v>0</v>
      </c>
    </row>
    <row r="6387" spans="1:4">
      <c r="A6387" s="348">
        <f t="shared" si="200"/>
        <v>6386</v>
      </c>
      <c r="B6387" s="360">
        <f>DATE('Profit Calculation'!J$6,A$2,A$2+A6387-1)</f>
        <v>48390</v>
      </c>
      <c r="D6387" s="362">
        <f t="shared" ca="1" si="201"/>
        <v>0</v>
      </c>
    </row>
    <row r="6388" spans="1:4">
      <c r="A6388" s="348">
        <f t="shared" si="200"/>
        <v>6387</v>
      </c>
      <c r="B6388" s="360">
        <f>DATE('Profit Calculation'!J$6,A$2,A$2+A6388-1)</f>
        <v>48391</v>
      </c>
      <c r="D6388" s="362">
        <f t="shared" ca="1" si="201"/>
        <v>0</v>
      </c>
    </row>
    <row r="6389" spans="1:4">
      <c r="A6389" s="348">
        <f t="shared" si="200"/>
        <v>6388</v>
      </c>
      <c r="B6389" s="360">
        <f>DATE('Profit Calculation'!J$6,A$2,A$2+A6389-1)</f>
        <v>48392</v>
      </c>
      <c r="D6389" s="362">
        <f t="shared" ca="1" si="201"/>
        <v>0</v>
      </c>
    </row>
    <row r="6390" spans="1:4">
      <c r="A6390" s="348">
        <f t="shared" si="200"/>
        <v>6389</v>
      </c>
      <c r="B6390" s="360">
        <f>DATE('Profit Calculation'!J$6,A$2,A$2+A6390-1)</f>
        <v>48393</v>
      </c>
      <c r="D6390" s="362">
        <f t="shared" ca="1" si="201"/>
        <v>0</v>
      </c>
    </row>
    <row r="6391" spans="1:4">
      <c r="A6391" s="348">
        <f t="shared" si="200"/>
        <v>6390</v>
      </c>
      <c r="B6391" s="360">
        <f>DATE('Profit Calculation'!J$6,A$2,A$2+A6391-1)</f>
        <v>48394</v>
      </c>
      <c r="D6391" s="362">
        <f t="shared" ca="1" si="201"/>
        <v>0</v>
      </c>
    </row>
    <row r="6392" spans="1:4">
      <c r="A6392" s="348">
        <f t="shared" si="200"/>
        <v>6391</v>
      </c>
      <c r="B6392" s="360">
        <f>DATE('Profit Calculation'!J$6,A$2,A$2+A6392-1)</f>
        <v>48395</v>
      </c>
      <c r="D6392" s="362">
        <f t="shared" ca="1" si="201"/>
        <v>0</v>
      </c>
    </row>
    <row r="6393" spans="1:4">
      <c r="A6393" s="348">
        <f t="shared" si="200"/>
        <v>6392</v>
      </c>
      <c r="B6393" s="360">
        <f>DATE('Profit Calculation'!J$6,A$2,A$2+A6393-1)</f>
        <v>48396</v>
      </c>
      <c r="D6393" s="362">
        <f t="shared" ca="1" si="201"/>
        <v>0</v>
      </c>
    </row>
    <row r="6394" spans="1:4">
      <c r="A6394" s="348">
        <f t="shared" si="200"/>
        <v>6393</v>
      </c>
      <c r="B6394" s="360">
        <f>DATE('Profit Calculation'!J$6,A$2,A$2+A6394-1)</f>
        <v>48397</v>
      </c>
      <c r="D6394" s="362">
        <f t="shared" ca="1" si="201"/>
        <v>0</v>
      </c>
    </row>
    <row r="6395" spans="1:4">
      <c r="A6395" s="348">
        <f t="shared" si="200"/>
        <v>6394</v>
      </c>
      <c r="B6395" s="360">
        <f>DATE('Profit Calculation'!J$6,A$2,A$2+A6395-1)</f>
        <v>48398</v>
      </c>
      <c r="D6395" s="362">
        <f t="shared" ca="1" si="201"/>
        <v>0</v>
      </c>
    </row>
    <row r="6396" spans="1:4">
      <c r="A6396" s="348">
        <f t="shared" si="200"/>
        <v>6395</v>
      </c>
      <c r="B6396" s="360">
        <f>DATE('Profit Calculation'!J$6,A$2,A$2+A6396-1)</f>
        <v>48399</v>
      </c>
      <c r="D6396" s="362">
        <f t="shared" ca="1" si="201"/>
        <v>0</v>
      </c>
    </row>
    <row r="6397" spans="1:4">
      <c r="A6397" s="348">
        <f t="shared" si="200"/>
        <v>6396</v>
      </c>
      <c r="B6397" s="360">
        <f>DATE('Profit Calculation'!J$6,A$2,A$2+A6397-1)</f>
        <v>48400</v>
      </c>
      <c r="D6397" s="362">
        <f t="shared" ca="1" si="201"/>
        <v>0</v>
      </c>
    </row>
    <row r="6398" spans="1:4">
      <c r="A6398" s="348">
        <f t="shared" si="200"/>
        <v>6397</v>
      </c>
      <c r="B6398" s="360">
        <f>DATE('Profit Calculation'!J$6,A$2,A$2+A6398-1)</f>
        <v>48401</v>
      </c>
      <c r="D6398" s="362">
        <f t="shared" ca="1" si="201"/>
        <v>0</v>
      </c>
    </row>
    <row r="6399" spans="1:4">
      <c r="A6399" s="348">
        <f t="shared" si="200"/>
        <v>6398</v>
      </c>
      <c r="B6399" s="360">
        <f>DATE('Profit Calculation'!J$6,A$2,A$2+A6399-1)</f>
        <v>48402</v>
      </c>
      <c r="D6399" s="362">
        <f t="shared" ca="1" si="201"/>
        <v>0</v>
      </c>
    </row>
    <row r="6400" spans="1:4">
      <c r="A6400" s="348">
        <f t="shared" si="200"/>
        <v>6399</v>
      </c>
      <c r="B6400" s="360">
        <f>DATE('Profit Calculation'!J$6,A$2,A$2+A6400-1)</f>
        <v>48403</v>
      </c>
      <c r="D6400" s="362">
        <f t="shared" ca="1" si="201"/>
        <v>0</v>
      </c>
    </row>
    <row r="6401" spans="1:4">
      <c r="A6401" s="348">
        <f t="shared" si="200"/>
        <v>6400</v>
      </c>
      <c r="B6401" s="360">
        <f>DATE('Profit Calculation'!J$6,A$2,A$2+A6401-1)</f>
        <v>48404</v>
      </c>
      <c r="D6401" s="362">
        <f t="shared" ca="1" si="201"/>
        <v>0</v>
      </c>
    </row>
    <row r="6402" spans="1:4">
      <c r="A6402" s="348">
        <f t="shared" si="200"/>
        <v>6401</v>
      </c>
      <c r="B6402" s="360">
        <f>DATE('Profit Calculation'!J$6,A$2,A$2+A6402-1)</f>
        <v>48405</v>
      </c>
      <c r="D6402" s="362">
        <f t="shared" ca="1" si="201"/>
        <v>0</v>
      </c>
    </row>
    <row r="6403" spans="1:4">
      <c r="A6403" s="348">
        <f t="shared" si="200"/>
        <v>6402</v>
      </c>
      <c r="B6403" s="360">
        <f>DATE('Profit Calculation'!J$6,A$2,A$2+A6403-1)</f>
        <v>48406</v>
      </c>
      <c r="D6403" s="362">
        <f t="shared" ca="1" si="201"/>
        <v>0</v>
      </c>
    </row>
    <row r="6404" spans="1:4">
      <c r="A6404" s="348">
        <f t="shared" si="200"/>
        <v>6403</v>
      </c>
      <c r="B6404" s="360">
        <f>DATE('Profit Calculation'!J$6,A$2,A$2+A6404-1)</f>
        <v>48407</v>
      </c>
      <c r="D6404" s="362">
        <f t="shared" ca="1" si="201"/>
        <v>0</v>
      </c>
    </row>
    <row r="6405" spans="1:4">
      <c r="A6405" s="348">
        <f t="shared" ref="A6405:A6468" si="202">A6404+1</f>
        <v>6404</v>
      </c>
      <c r="B6405" s="360">
        <f>DATE('Profit Calculation'!J$6,A$2,A$2+A6405-1)</f>
        <v>48408</v>
      </c>
      <c r="D6405" s="362">
        <f t="shared" ref="D6405:D6468" ca="1" si="203">IF(OR(LOOKUP(B6405,W$1:W$35,W$1:W$35) = B6405, LOOKUP(B6405,X$1:X$35,X$1:X$35) = B6405),LOOKUP(B6405,F:F,G:G),D6404*(1+((IF($Q$18&lt;6,$R$14,IF($Q$18&lt;11,$R$15,$R$16)))))^(1/365))</f>
        <v>0</v>
      </c>
    </row>
    <row r="6406" spans="1:4">
      <c r="A6406" s="348">
        <f t="shared" si="202"/>
        <v>6405</v>
      </c>
      <c r="B6406" s="360">
        <f>DATE('Profit Calculation'!J$6,A$2,A$2+A6406-1)</f>
        <v>48409</v>
      </c>
      <c r="D6406" s="362">
        <f t="shared" ca="1" si="203"/>
        <v>0</v>
      </c>
    </row>
    <row r="6407" spans="1:4">
      <c r="A6407" s="348">
        <f t="shared" si="202"/>
        <v>6406</v>
      </c>
      <c r="B6407" s="360">
        <f>DATE('Profit Calculation'!J$6,A$2,A$2+A6407-1)</f>
        <v>48410</v>
      </c>
      <c r="D6407" s="362">
        <f t="shared" ca="1" si="203"/>
        <v>0</v>
      </c>
    </row>
    <row r="6408" spans="1:4">
      <c r="A6408" s="348">
        <f t="shared" si="202"/>
        <v>6407</v>
      </c>
      <c r="B6408" s="360">
        <f>DATE('Profit Calculation'!J$6,A$2,A$2+A6408-1)</f>
        <v>48411</v>
      </c>
      <c r="D6408" s="362">
        <f t="shared" ca="1" si="203"/>
        <v>0</v>
      </c>
    </row>
    <row r="6409" spans="1:4">
      <c r="A6409" s="348">
        <f t="shared" si="202"/>
        <v>6408</v>
      </c>
      <c r="B6409" s="360">
        <f>DATE('Profit Calculation'!J$6,A$2,A$2+A6409-1)</f>
        <v>48412</v>
      </c>
      <c r="D6409" s="362">
        <f t="shared" ca="1" si="203"/>
        <v>0</v>
      </c>
    </row>
    <row r="6410" spans="1:4">
      <c r="A6410" s="348">
        <f t="shared" si="202"/>
        <v>6409</v>
      </c>
      <c r="B6410" s="360">
        <f>DATE('Profit Calculation'!J$6,A$2,A$2+A6410-1)</f>
        <v>48413</v>
      </c>
      <c r="D6410" s="362">
        <f t="shared" ca="1" si="203"/>
        <v>0</v>
      </c>
    </row>
    <row r="6411" spans="1:4">
      <c r="A6411" s="348">
        <f t="shared" si="202"/>
        <v>6410</v>
      </c>
      <c r="B6411" s="360">
        <f>DATE('Profit Calculation'!J$6,A$2,A$2+A6411-1)</f>
        <v>48414</v>
      </c>
      <c r="D6411" s="362">
        <f t="shared" ca="1" si="203"/>
        <v>0</v>
      </c>
    </row>
    <row r="6412" spans="1:4">
      <c r="A6412" s="348">
        <f t="shared" si="202"/>
        <v>6411</v>
      </c>
      <c r="B6412" s="360">
        <f>DATE('Profit Calculation'!J$6,A$2,A$2+A6412-1)</f>
        <v>48415</v>
      </c>
      <c r="D6412" s="362">
        <f t="shared" ca="1" si="203"/>
        <v>0</v>
      </c>
    </row>
    <row r="6413" spans="1:4">
      <c r="A6413" s="348">
        <f t="shared" si="202"/>
        <v>6412</v>
      </c>
      <c r="B6413" s="360">
        <f>DATE('Profit Calculation'!J$6,A$2,A$2+A6413-1)</f>
        <v>48416</v>
      </c>
      <c r="D6413" s="362">
        <f t="shared" ca="1" si="203"/>
        <v>0</v>
      </c>
    </row>
    <row r="6414" spans="1:4">
      <c r="A6414" s="348">
        <f t="shared" si="202"/>
        <v>6413</v>
      </c>
      <c r="B6414" s="360">
        <f>DATE('Profit Calculation'!J$6,A$2,A$2+A6414-1)</f>
        <v>48417</v>
      </c>
      <c r="D6414" s="362">
        <f t="shared" ca="1" si="203"/>
        <v>0</v>
      </c>
    </row>
    <row r="6415" spans="1:4">
      <c r="A6415" s="348">
        <f t="shared" si="202"/>
        <v>6414</v>
      </c>
      <c r="B6415" s="360">
        <f>DATE('Profit Calculation'!J$6,A$2,A$2+A6415-1)</f>
        <v>48418</v>
      </c>
      <c r="D6415" s="362">
        <f t="shared" ca="1" si="203"/>
        <v>0</v>
      </c>
    </row>
    <row r="6416" spans="1:4">
      <c r="A6416" s="348">
        <f t="shared" si="202"/>
        <v>6415</v>
      </c>
      <c r="B6416" s="360">
        <f>DATE('Profit Calculation'!J$6,A$2,A$2+A6416-1)</f>
        <v>48419</v>
      </c>
      <c r="D6416" s="362">
        <f t="shared" ca="1" si="203"/>
        <v>0</v>
      </c>
    </row>
    <row r="6417" spans="1:4">
      <c r="A6417" s="348">
        <f t="shared" si="202"/>
        <v>6416</v>
      </c>
      <c r="B6417" s="360">
        <f>DATE('Profit Calculation'!J$6,A$2,A$2+A6417-1)</f>
        <v>48420</v>
      </c>
      <c r="D6417" s="362">
        <f t="shared" ca="1" si="203"/>
        <v>0</v>
      </c>
    </row>
    <row r="6418" spans="1:4">
      <c r="A6418" s="348">
        <f t="shared" si="202"/>
        <v>6417</v>
      </c>
      <c r="B6418" s="360">
        <f>DATE('Profit Calculation'!J$6,A$2,A$2+A6418-1)</f>
        <v>48421</v>
      </c>
      <c r="D6418" s="362">
        <f t="shared" ca="1" si="203"/>
        <v>0</v>
      </c>
    </row>
    <row r="6419" spans="1:4">
      <c r="A6419" s="348">
        <f t="shared" si="202"/>
        <v>6418</v>
      </c>
      <c r="B6419" s="360">
        <f>DATE('Profit Calculation'!J$6,A$2,A$2+A6419-1)</f>
        <v>48422</v>
      </c>
      <c r="D6419" s="362">
        <f t="shared" ca="1" si="203"/>
        <v>0</v>
      </c>
    </row>
    <row r="6420" spans="1:4">
      <c r="A6420" s="348">
        <f t="shared" si="202"/>
        <v>6419</v>
      </c>
      <c r="B6420" s="360">
        <f>DATE('Profit Calculation'!J$6,A$2,A$2+A6420-1)</f>
        <v>48423</v>
      </c>
      <c r="D6420" s="362">
        <f t="shared" ca="1" si="203"/>
        <v>0</v>
      </c>
    </row>
    <row r="6421" spans="1:4">
      <c r="A6421" s="348">
        <f t="shared" si="202"/>
        <v>6420</v>
      </c>
      <c r="B6421" s="360">
        <f>DATE('Profit Calculation'!J$6,A$2,A$2+A6421-1)</f>
        <v>48424</v>
      </c>
      <c r="D6421" s="362">
        <f t="shared" ca="1" si="203"/>
        <v>0</v>
      </c>
    </row>
    <row r="6422" spans="1:4">
      <c r="A6422" s="348">
        <f t="shared" si="202"/>
        <v>6421</v>
      </c>
      <c r="B6422" s="360">
        <f>DATE('Profit Calculation'!J$6,A$2,A$2+A6422-1)</f>
        <v>48425</v>
      </c>
      <c r="D6422" s="362">
        <f t="shared" ca="1" si="203"/>
        <v>0</v>
      </c>
    </row>
    <row r="6423" spans="1:4">
      <c r="A6423" s="348">
        <f t="shared" si="202"/>
        <v>6422</v>
      </c>
      <c r="B6423" s="360">
        <f>DATE('Profit Calculation'!J$6,A$2,A$2+A6423-1)</f>
        <v>48426</v>
      </c>
      <c r="D6423" s="362">
        <f t="shared" ca="1" si="203"/>
        <v>0</v>
      </c>
    </row>
    <row r="6424" spans="1:4">
      <c r="A6424" s="348">
        <f t="shared" si="202"/>
        <v>6423</v>
      </c>
      <c r="B6424" s="360">
        <f>DATE('Profit Calculation'!J$6,A$2,A$2+A6424-1)</f>
        <v>48427</v>
      </c>
      <c r="D6424" s="362">
        <f t="shared" ca="1" si="203"/>
        <v>0</v>
      </c>
    </row>
    <row r="6425" spans="1:4">
      <c r="A6425" s="348">
        <f t="shared" si="202"/>
        <v>6424</v>
      </c>
      <c r="B6425" s="360">
        <f>DATE('Profit Calculation'!J$6,A$2,A$2+A6425-1)</f>
        <v>48428</v>
      </c>
      <c r="D6425" s="362">
        <f t="shared" ca="1" si="203"/>
        <v>0</v>
      </c>
    </row>
    <row r="6426" spans="1:4">
      <c r="A6426" s="348">
        <f t="shared" si="202"/>
        <v>6425</v>
      </c>
      <c r="B6426" s="360">
        <f>DATE('Profit Calculation'!J$6,A$2,A$2+A6426-1)</f>
        <v>48429</v>
      </c>
      <c r="D6426" s="362">
        <f t="shared" ca="1" si="203"/>
        <v>0</v>
      </c>
    </row>
    <row r="6427" spans="1:4">
      <c r="A6427" s="348">
        <f t="shared" si="202"/>
        <v>6426</v>
      </c>
      <c r="B6427" s="360">
        <f>DATE('Profit Calculation'!J$6,A$2,A$2+A6427-1)</f>
        <v>48430</v>
      </c>
      <c r="D6427" s="362">
        <f t="shared" ca="1" si="203"/>
        <v>0</v>
      </c>
    </row>
    <row r="6428" spans="1:4">
      <c r="A6428" s="348">
        <f t="shared" si="202"/>
        <v>6427</v>
      </c>
      <c r="B6428" s="360">
        <f>DATE('Profit Calculation'!J$6,A$2,A$2+A6428-1)</f>
        <v>48431</v>
      </c>
      <c r="D6428" s="362">
        <f t="shared" ca="1" si="203"/>
        <v>0</v>
      </c>
    </row>
    <row r="6429" spans="1:4">
      <c r="A6429" s="348">
        <f t="shared" si="202"/>
        <v>6428</v>
      </c>
      <c r="B6429" s="360">
        <f>DATE('Profit Calculation'!J$6,A$2,A$2+A6429-1)</f>
        <v>48432</v>
      </c>
      <c r="D6429" s="362">
        <f t="shared" ca="1" si="203"/>
        <v>0</v>
      </c>
    </row>
    <row r="6430" spans="1:4">
      <c r="A6430" s="348">
        <f t="shared" si="202"/>
        <v>6429</v>
      </c>
      <c r="B6430" s="360">
        <f>DATE('Profit Calculation'!J$6,A$2,A$2+A6430-1)</f>
        <v>48433</v>
      </c>
      <c r="D6430" s="362">
        <f t="shared" ca="1" si="203"/>
        <v>0</v>
      </c>
    </row>
    <row r="6431" spans="1:4">
      <c r="A6431" s="348">
        <f t="shared" si="202"/>
        <v>6430</v>
      </c>
      <c r="B6431" s="360">
        <f>DATE('Profit Calculation'!J$6,A$2,A$2+A6431-1)</f>
        <v>48434</v>
      </c>
      <c r="D6431" s="362">
        <f t="shared" ca="1" si="203"/>
        <v>0</v>
      </c>
    </row>
    <row r="6432" spans="1:4">
      <c r="A6432" s="348">
        <f t="shared" si="202"/>
        <v>6431</v>
      </c>
      <c r="B6432" s="360">
        <f>DATE('Profit Calculation'!J$6,A$2,A$2+A6432-1)</f>
        <v>48435</v>
      </c>
      <c r="D6432" s="362">
        <f t="shared" ca="1" si="203"/>
        <v>0</v>
      </c>
    </row>
    <row r="6433" spans="1:4">
      <c r="A6433" s="348">
        <f t="shared" si="202"/>
        <v>6432</v>
      </c>
      <c r="B6433" s="360">
        <f>DATE('Profit Calculation'!J$6,A$2,A$2+A6433-1)</f>
        <v>48436</v>
      </c>
      <c r="D6433" s="362">
        <f t="shared" ca="1" si="203"/>
        <v>0</v>
      </c>
    </row>
    <row r="6434" spans="1:4">
      <c r="A6434" s="348">
        <f t="shared" si="202"/>
        <v>6433</v>
      </c>
      <c r="B6434" s="360">
        <f>DATE('Profit Calculation'!J$6,A$2,A$2+A6434-1)</f>
        <v>48437</v>
      </c>
      <c r="D6434" s="362">
        <f t="shared" ca="1" si="203"/>
        <v>0</v>
      </c>
    </row>
    <row r="6435" spans="1:4">
      <c r="A6435" s="348">
        <f t="shared" si="202"/>
        <v>6434</v>
      </c>
      <c r="B6435" s="360">
        <f>DATE('Profit Calculation'!J$6,A$2,A$2+A6435-1)</f>
        <v>48438</v>
      </c>
      <c r="D6435" s="362">
        <f t="shared" ca="1" si="203"/>
        <v>0</v>
      </c>
    </row>
    <row r="6436" spans="1:4">
      <c r="A6436" s="348">
        <f t="shared" si="202"/>
        <v>6435</v>
      </c>
      <c r="B6436" s="360">
        <f>DATE('Profit Calculation'!J$6,A$2,A$2+A6436-1)</f>
        <v>48439</v>
      </c>
      <c r="D6436" s="362">
        <f t="shared" ca="1" si="203"/>
        <v>0</v>
      </c>
    </row>
    <row r="6437" spans="1:4">
      <c r="A6437" s="348">
        <f t="shared" si="202"/>
        <v>6436</v>
      </c>
      <c r="B6437" s="360">
        <f>DATE('Profit Calculation'!J$6,A$2,A$2+A6437-1)</f>
        <v>48440</v>
      </c>
      <c r="D6437" s="362">
        <f t="shared" ca="1" si="203"/>
        <v>0</v>
      </c>
    </row>
    <row r="6438" spans="1:4">
      <c r="A6438" s="348">
        <f t="shared" si="202"/>
        <v>6437</v>
      </c>
      <c r="B6438" s="360">
        <f>DATE('Profit Calculation'!J$6,A$2,A$2+A6438-1)</f>
        <v>48441</v>
      </c>
      <c r="D6438" s="362">
        <f t="shared" ca="1" si="203"/>
        <v>0</v>
      </c>
    </row>
    <row r="6439" spans="1:4">
      <c r="A6439" s="348">
        <f t="shared" si="202"/>
        <v>6438</v>
      </c>
      <c r="B6439" s="360">
        <f>DATE('Profit Calculation'!J$6,A$2,A$2+A6439-1)</f>
        <v>48442</v>
      </c>
      <c r="D6439" s="362">
        <f t="shared" ca="1" si="203"/>
        <v>0</v>
      </c>
    </row>
    <row r="6440" spans="1:4">
      <c r="A6440" s="348">
        <f t="shared" si="202"/>
        <v>6439</v>
      </c>
      <c r="B6440" s="360">
        <f>DATE('Profit Calculation'!J$6,A$2,A$2+A6440-1)</f>
        <v>48443</v>
      </c>
      <c r="D6440" s="362">
        <f t="shared" ca="1" si="203"/>
        <v>0</v>
      </c>
    </row>
    <row r="6441" spans="1:4">
      <c r="A6441" s="348">
        <f t="shared" si="202"/>
        <v>6440</v>
      </c>
      <c r="B6441" s="360">
        <f>DATE('Profit Calculation'!J$6,A$2,A$2+A6441-1)</f>
        <v>48444</v>
      </c>
      <c r="D6441" s="362">
        <f t="shared" ca="1" si="203"/>
        <v>0</v>
      </c>
    </row>
    <row r="6442" spans="1:4">
      <c r="A6442" s="348">
        <f t="shared" si="202"/>
        <v>6441</v>
      </c>
      <c r="B6442" s="360">
        <f>DATE('Profit Calculation'!J$6,A$2,A$2+A6442-1)</f>
        <v>48445</v>
      </c>
      <c r="D6442" s="362">
        <f t="shared" ca="1" si="203"/>
        <v>0</v>
      </c>
    </row>
    <row r="6443" spans="1:4">
      <c r="A6443" s="348">
        <f t="shared" si="202"/>
        <v>6442</v>
      </c>
      <c r="B6443" s="360">
        <f>DATE('Profit Calculation'!J$6,A$2,A$2+A6443-1)</f>
        <v>48446</v>
      </c>
      <c r="D6443" s="362">
        <f t="shared" ca="1" si="203"/>
        <v>0</v>
      </c>
    </row>
    <row r="6444" spans="1:4">
      <c r="A6444" s="348">
        <f t="shared" si="202"/>
        <v>6443</v>
      </c>
      <c r="B6444" s="360">
        <f>DATE('Profit Calculation'!J$6,A$2,A$2+A6444-1)</f>
        <v>48447</v>
      </c>
      <c r="D6444" s="362">
        <f t="shared" ca="1" si="203"/>
        <v>0</v>
      </c>
    </row>
    <row r="6445" spans="1:4">
      <c r="A6445" s="348">
        <f t="shared" si="202"/>
        <v>6444</v>
      </c>
      <c r="B6445" s="360">
        <f>DATE('Profit Calculation'!J$6,A$2,A$2+A6445-1)</f>
        <v>48448</v>
      </c>
      <c r="D6445" s="362">
        <f t="shared" ca="1" si="203"/>
        <v>0</v>
      </c>
    </row>
    <row r="6446" spans="1:4">
      <c r="A6446" s="348">
        <f t="shared" si="202"/>
        <v>6445</v>
      </c>
      <c r="B6446" s="360">
        <f>DATE('Profit Calculation'!J$6,A$2,A$2+A6446-1)</f>
        <v>48449</v>
      </c>
      <c r="D6446" s="362">
        <f t="shared" ca="1" si="203"/>
        <v>0</v>
      </c>
    </row>
    <row r="6447" spans="1:4">
      <c r="A6447" s="348">
        <f t="shared" si="202"/>
        <v>6446</v>
      </c>
      <c r="B6447" s="360">
        <f>DATE('Profit Calculation'!J$6,A$2,A$2+A6447-1)</f>
        <v>48450</v>
      </c>
      <c r="D6447" s="362">
        <f t="shared" ca="1" si="203"/>
        <v>0</v>
      </c>
    </row>
    <row r="6448" spans="1:4">
      <c r="A6448" s="348">
        <f t="shared" si="202"/>
        <v>6447</v>
      </c>
      <c r="B6448" s="360">
        <f>DATE('Profit Calculation'!J$6,A$2,A$2+A6448-1)</f>
        <v>48451</v>
      </c>
      <c r="D6448" s="362">
        <f t="shared" ca="1" si="203"/>
        <v>0</v>
      </c>
    </row>
    <row r="6449" spans="1:4">
      <c r="A6449" s="348">
        <f t="shared" si="202"/>
        <v>6448</v>
      </c>
      <c r="B6449" s="360">
        <f>DATE('Profit Calculation'!J$6,A$2,A$2+A6449-1)</f>
        <v>48452</v>
      </c>
      <c r="D6449" s="362">
        <f t="shared" ca="1" si="203"/>
        <v>0</v>
      </c>
    </row>
    <row r="6450" spans="1:4">
      <c r="A6450" s="348">
        <f t="shared" si="202"/>
        <v>6449</v>
      </c>
      <c r="B6450" s="360">
        <f>DATE('Profit Calculation'!J$6,A$2,A$2+A6450-1)</f>
        <v>48453</v>
      </c>
      <c r="D6450" s="362">
        <f t="shared" ca="1" si="203"/>
        <v>0</v>
      </c>
    </row>
    <row r="6451" spans="1:4">
      <c r="A6451" s="348">
        <f t="shared" si="202"/>
        <v>6450</v>
      </c>
      <c r="B6451" s="360">
        <f>DATE('Profit Calculation'!J$6,A$2,A$2+A6451-1)</f>
        <v>48454</v>
      </c>
      <c r="D6451" s="362">
        <f t="shared" ca="1" si="203"/>
        <v>0</v>
      </c>
    </row>
    <row r="6452" spans="1:4">
      <c r="A6452" s="348">
        <f t="shared" si="202"/>
        <v>6451</v>
      </c>
      <c r="B6452" s="360">
        <f>DATE('Profit Calculation'!J$6,A$2,A$2+A6452-1)</f>
        <v>48455</v>
      </c>
      <c r="D6452" s="362">
        <f t="shared" ca="1" si="203"/>
        <v>0</v>
      </c>
    </row>
    <row r="6453" spans="1:4">
      <c r="A6453" s="348">
        <f t="shared" si="202"/>
        <v>6452</v>
      </c>
      <c r="B6453" s="360">
        <f>DATE('Profit Calculation'!J$6,A$2,A$2+A6453-1)</f>
        <v>48456</v>
      </c>
      <c r="D6453" s="362">
        <f t="shared" ca="1" si="203"/>
        <v>0</v>
      </c>
    </row>
    <row r="6454" spans="1:4">
      <c r="A6454" s="348">
        <f t="shared" si="202"/>
        <v>6453</v>
      </c>
      <c r="B6454" s="360">
        <f>DATE('Profit Calculation'!J$6,A$2,A$2+A6454-1)</f>
        <v>48457</v>
      </c>
      <c r="D6454" s="362">
        <f t="shared" ca="1" si="203"/>
        <v>0</v>
      </c>
    </row>
    <row r="6455" spans="1:4">
      <c r="A6455" s="348">
        <f t="shared" si="202"/>
        <v>6454</v>
      </c>
      <c r="B6455" s="360">
        <f>DATE('Profit Calculation'!J$6,A$2,A$2+A6455-1)</f>
        <v>48458</v>
      </c>
      <c r="D6455" s="362">
        <f t="shared" ca="1" si="203"/>
        <v>0</v>
      </c>
    </row>
    <row r="6456" spans="1:4">
      <c r="A6456" s="348">
        <f t="shared" si="202"/>
        <v>6455</v>
      </c>
      <c r="B6456" s="360">
        <f>DATE('Profit Calculation'!J$6,A$2,A$2+A6456-1)</f>
        <v>48459</v>
      </c>
      <c r="D6456" s="362">
        <f t="shared" ca="1" si="203"/>
        <v>0</v>
      </c>
    </row>
    <row r="6457" spans="1:4">
      <c r="A6457" s="348">
        <f t="shared" si="202"/>
        <v>6456</v>
      </c>
      <c r="B6457" s="360">
        <f>DATE('Profit Calculation'!J$6,A$2,A$2+A6457-1)</f>
        <v>48460</v>
      </c>
      <c r="D6457" s="362">
        <f t="shared" ca="1" si="203"/>
        <v>0</v>
      </c>
    </row>
    <row r="6458" spans="1:4">
      <c r="A6458" s="348">
        <f t="shared" si="202"/>
        <v>6457</v>
      </c>
      <c r="B6458" s="360">
        <f>DATE('Profit Calculation'!J$6,A$2,A$2+A6458-1)</f>
        <v>48461</v>
      </c>
      <c r="D6458" s="362">
        <f t="shared" ca="1" si="203"/>
        <v>0</v>
      </c>
    </row>
    <row r="6459" spans="1:4">
      <c r="A6459" s="348">
        <f t="shared" si="202"/>
        <v>6458</v>
      </c>
      <c r="B6459" s="360">
        <f>DATE('Profit Calculation'!J$6,A$2,A$2+A6459-1)</f>
        <v>48462</v>
      </c>
      <c r="D6459" s="362">
        <f t="shared" ca="1" si="203"/>
        <v>0</v>
      </c>
    </row>
    <row r="6460" spans="1:4">
      <c r="A6460" s="348">
        <f t="shared" si="202"/>
        <v>6459</v>
      </c>
      <c r="B6460" s="360">
        <f>DATE('Profit Calculation'!J$6,A$2,A$2+A6460-1)</f>
        <v>48463</v>
      </c>
      <c r="D6460" s="362">
        <f t="shared" ca="1" si="203"/>
        <v>0</v>
      </c>
    </row>
    <row r="6461" spans="1:4">
      <c r="A6461" s="348">
        <f t="shared" si="202"/>
        <v>6460</v>
      </c>
      <c r="B6461" s="360">
        <f>DATE('Profit Calculation'!J$6,A$2,A$2+A6461-1)</f>
        <v>48464</v>
      </c>
      <c r="D6461" s="362">
        <f t="shared" ca="1" si="203"/>
        <v>0</v>
      </c>
    </row>
    <row r="6462" spans="1:4">
      <c r="A6462" s="348">
        <f t="shared" si="202"/>
        <v>6461</v>
      </c>
      <c r="B6462" s="360">
        <f>DATE('Profit Calculation'!J$6,A$2,A$2+A6462-1)</f>
        <v>48465</v>
      </c>
      <c r="D6462" s="362">
        <f t="shared" ca="1" si="203"/>
        <v>0</v>
      </c>
    </row>
    <row r="6463" spans="1:4">
      <c r="A6463" s="348">
        <f t="shared" si="202"/>
        <v>6462</v>
      </c>
      <c r="B6463" s="360">
        <f>DATE('Profit Calculation'!J$6,A$2,A$2+A6463-1)</f>
        <v>48466</v>
      </c>
      <c r="D6463" s="362">
        <f t="shared" ca="1" si="203"/>
        <v>0</v>
      </c>
    </row>
    <row r="6464" spans="1:4">
      <c r="A6464" s="348">
        <f t="shared" si="202"/>
        <v>6463</v>
      </c>
      <c r="B6464" s="360">
        <f>DATE('Profit Calculation'!J$6,A$2,A$2+A6464-1)</f>
        <v>48467</v>
      </c>
      <c r="D6464" s="362">
        <f t="shared" ca="1" si="203"/>
        <v>0</v>
      </c>
    </row>
    <row r="6465" spans="1:4">
      <c r="A6465" s="348">
        <f t="shared" si="202"/>
        <v>6464</v>
      </c>
      <c r="B6465" s="360">
        <f>DATE('Profit Calculation'!J$6,A$2,A$2+A6465-1)</f>
        <v>48468</v>
      </c>
      <c r="D6465" s="362">
        <f t="shared" ca="1" si="203"/>
        <v>0</v>
      </c>
    </row>
    <row r="6466" spans="1:4">
      <c r="A6466" s="348">
        <f t="shared" si="202"/>
        <v>6465</v>
      </c>
      <c r="B6466" s="360">
        <f>DATE('Profit Calculation'!J$6,A$2,A$2+A6466-1)</f>
        <v>48469</v>
      </c>
      <c r="D6466" s="362">
        <f t="shared" ca="1" si="203"/>
        <v>0</v>
      </c>
    </row>
    <row r="6467" spans="1:4">
      <c r="A6467" s="348">
        <f t="shared" si="202"/>
        <v>6466</v>
      </c>
      <c r="B6467" s="360">
        <f>DATE('Profit Calculation'!J$6,A$2,A$2+A6467-1)</f>
        <v>48470</v>
      </c>
      <c r="D6467" s="362">
        <f t="shared" ca="1" si="203"/>
        <v>0</v>
      </c>
    </row>
    <row r="6468" spans="1:4">
      <c r="A6468" s="348">
        <f t="shared" si="202"/>
        <v>6467</v>
      </c>
      <c r="B6468" s="360">
        <f>DATE('Profit Calculation'!J$6,A$2,A$2+A6468-1)</f>
        <v>48471</v>
      </c>
      <c r="D6468" s="362">
        <f t="shared" ca="1" si="203"/>
        <v>0</v>
      </c>
    </row>
    <row r="6469" spans="1:4">
      <c r="A6469" s="348">
        <f t="shared" ref="A6469:A6532" si="204">A6468+1</f>
        <v>6468</v>
      </c>
      <c r="B6469" s="360">
        <f>DATE('Profit Calculation'!J$6,A$2,A$2+A6469-1)</f>
        <v>48472</v>
      </c>
      <c r="D6469" s="362">
        <f t="shared" ref="D6469:D6532" ca="1" si="205">IF(OR(LOOKUP(B6469,W$1:W$35,W$1:W$35) = B6469, LOOKUP(B6469,X$1:X$35,X$1:X$35) = B6469),LOOKUP(B6469,F:F,G:G),D6468*(1+((IF($Q$18&lt;6,$R$14,IF($Q$18&lt;11,$R$15,$R$16)))))^(1/365))</f>
        <v>0</v>
      </c>
    </row>
    <row r="6470" spans="1:4">
      <c r="A6470" s="348">
        <f t="shared" si="204"/>
        <v>6469</v>
      </c>
      <c r="B6470" s="360">
        <f>DATE('Profit Calculation'!J$6,A$2,A$2+A6470-1)</f>
        <v>48473</v>
      </c>
      <c r="D6470" s="362">
        <f t="shared" ca="1" si="205"/>
        <v>0</v>
      </c>
    </row>
    <row r="6471" spans="1:4">
      <c r="A6471" s="348">
        <f t="shared" si="204"/>
        <v>6470</v>
      </c>
      <c r="B6471" s="360">
        <f>DATE('Profit Calculation'!J$6,A$2,A$2+A6471-1)</f>
        <v>48474</v>
      </c>
      <c r="D6471" s="362">
        <f t="shared" ca="1" si="205"/>
        <v>0</v>
      </c>
    </row>
    <row r="6472" spans="1:4">
      <c r="A6472" s="348">
        <f t="shared" si="204"/>
        <v>6471</v>
      </c>
      <c r="B6472" s="360">
        <f>DATE('Profit Calculation'!J$6,A$2,A$2+A6472-1)</f>
        <v>48475</v>
      </c>
      <c r="D6472" s="362">
        <f t="shared" ca="1" si="205"/>
        <v>0</v>
      </c>
    </row>
    <row r="6473" spans="1:4">
      <c r="A6473" s="348">
        <f t="shared" si="204"/>
        <v>6472</v>
      </c>
      <c r="B6473" s="360">
        <f>DATE('Profit Calculation'!J$6,A$2,A$2+A6473-1)</f>
        <v>48476</v>
      </c>
      <c r="D6473" s="362">
        <f t="shared" ca="1" si="205"/>
        <v>0</v>
      </c>
    </row>
    <row r="6474" spans="1:4">
      <c r="A6474" s="348">
        <f t="shared" si="204"/>
        <v>6473</v>
      </c>
      <c r="B6474" s="360">
        <f>DATE('Profit Calculation'!J$6,A$2,A$2+A6474-1)</f>
        <v>48477</v>
      </c>
      <c r="D6474" s="362">
        <f t="shared" ca="1" si="205"/>
        <v>0</v>
      </c>
    </row>
    <row r="6475" spans="1:4">
      <c r="A6475" s="348">
        <f t="shared" si="204"/>
        <v>6474</v>
      </c>
      <c r="B6475" s="360">
        <f>DATE('Profit Calculation'!J$6,A$2,A$2+A6475-1)</f>
        <v>48478</v>
      </c>
      <c r="D6475" s="362">
        <f t="shared" ca="1" si="205"/>
        <v>0</v>
      </c>
    </row>
    <row r="6476" spans="1:4">
      <c r="A6476" s="348">
        <f t="shared" si="204"/>
        <v>6475</v>
      </c>
      <c r="B6476" s="360">
        <f>DATE('Profit Calculation'!J$6,A$2,A$2+A6476-1)</f>
        <v>48479</v>
      </c>
      <c r="D6476" s="362">
        <f t="shared" ca="1" si="205"/>
        <v>0</v>
      </c>
    </row>
    <row r="6477" spans="1:4">
      <c r="A6477" s="348">
        <f t="shared" si="204"/>
        <v>6476</v>
      </c>
      <c r="B6477" s="360">
        <f>DATE('Profit Calculation'!J$6,A$2,A$2+A6477-1)</f>
        <v>48480</v>
      </c>
      <c r="D6477" s="362">
        <f t="shared" ca="1" si="205"/>
        <v>0</v>
      </c>
    </row>
    <row r="6478" spans="1:4">
      <c r="A6478" s="348">
        <f t="shared" si="204"/>
        <v>6477</v>
      </c>
      <c r="B6478" s="360">
        <f>DATE('Profit Calculation'!J$6,A$2,A$2+A6478-1)</f>
        <v>48481</v>
      </c>
      <c r="D6478" s="362">
        <f t="shared" ca="1" si="205"/>
        <v>0</v>
      </c>
    </row>
    <row r="6479" spans="1:4">
      <c r="A6479" s="348">
        <f t="shared" si="204"/>
        <v>6478</v>
      </c>
      <c r="B6479" s="360">
        <f>DATE('Profit Calculation'!J$6,A$2,A$2+A6479-1)</f>
        <v>48482</v>
      </c>
      <c r="D6479" s="362">
        <f t="shared" ca="1" si="205"/>
        <v>0</v>
      </c>
    </row>
    <row r="6480" spans="1:4">
      <c r="A6480" s="348">
        <f t="shared" si="204"/>
        <v>6479</v>
      </c>
      <c r="B6480" s="360">
        <f>DATE('Profit Calculation'!J$6,A$2,A$2+A6480-1)</f>
        <v>48483</v>
      </c>
      <c r="D6480" s="362">
        <f t="shared" ca="1" si="205"/>
        <v>0</v>
      </c>
    </row>
    <row r="6481" spans="1:4">
      <c r="A6481" s="348">
        <f t="shared" si="204"/>
        <v>6480</v>
      </c>
      <c r="B6481" s="360">
        <f>DATE('Profit Calculation'!J$6,A$2,A$2+A6481-1)</f>
        <v>48484</v>
      </c>
      <c r="D6481" s="362">
        <f t="shared" ca="1" si="205"/>
        <v>0</v>
      </c>
    </row>
    <row r="6482" spans="1:4">
      <c r="A6482" s="348">
        <f t="shared" si="204"/>
        <v>6481</v>
      </c>
      <c r="B6482" s="360">
        <f>DATE('Profit Calculation'!J$6,A$2,A$2+A6482-1)</f>
        <v>48485</v>
      </c>
      <c r="D6482" s="362">
        <f t="shared" ca="1" si="205"/>
        <v>0</v>
      </c>
    </row>
    <row r="6483" spans="1:4">
      <c r="A6483" s="348">
        <f t="shared" si="204"/>
        <v>6482</v>
      </c>
      <c r="B6483" s="360">
        <f>DATE('Profit Calculation'!J$6,A$2,A$2+A6483-1)</f>
        <v>48486</v>
      </c>
      <c r="D6483" s="362">
        <f t="shared" ca="1" si="205"/>
        <v>0</v>
      </c>
    </row>
    <row r="6484" spans="1:4">
      <c r="A6484" s="348">
        <f t="shared" si="204"/>
        <v>6483</v>
      </c>
      <c r="B6484" s="360">
        <f>DATE('Profit Calculation'!J$6,A$2,A$2+A6484-1)</f>
        <v>48487</v>
      </c>
      <c r="D6484" s="362">
        <f t="shared" ca="1" si="205"/>
        <v>0</v>
      </c>
    </row>
    <row r="6485" spans="1:4">
      <c r="A6485" s="348">
        <f t="shared" si="204"/>
        <v>6484</v>
      </c>
      <c r="B6485" s="360">
        <f>DATE('Profit Calculation'!J$6,A$2,A$2+A6485-1)</f>
        <v>48488</v>
      </c>
      <c r="D6485" s="362">
        <f t="shared" ca="1" si="205"/>
        <v>0</v>
      </c>
    </row>
    <row r="6486" spans="1:4">
      <c r="A6486" s="348">
        <f t="shared" si="204"/>
        <v>6485</v>
      </c>
      <c r="B6486" s="360">
        <f>DATE('Profit Calculation'!J$6,A$2,A$2+A6486-1)</f>
        <v>48489</v>
      </c>
      <c r="D6486" s="362">
        <f t="shared" ca="1" si="205"/>
        <v>0</v>
      </c>
    </row>
    <row r="6487" spans="1:4">
      <c r="A6487" s="348">
        <f t="shared" si="204"/>
        <v>6486</v>
      </c>
      <c r="B6487" s="360">
        <f>DATE('Profit Calculation'!J$6,A$2,A$2+A6487-1)</f>
        <v>48490</v>
      </c>
      <c r="D6487" s="362">
        <f t="shared" ca="1" si="205"/>
        <v>0</v>
      </c>
    </row>
    <row r="6488" spans="1:4">
      <c r="A6488" s="348">
        <f t="shared" si="204"/>
        <v>6487</v>
      </c>
      <c r="B6488" s="360">
        <f>DATE('Profit Calculation'!J$6,A$2,A$2+A6488-1)</f>
        <v>48491</v>
      </c>
      <c r="D6488" s="362">
        <f t="shared" ca="1" si="205"/>
        <v>0</v>
      </c>
    </row>
    <row r="6489" spans="1:4">
      <c r="A6489" s="348">
        <f t="shared" si="204"/>
        <v>6488</v>
      </c>
      <c r="B6489" s="360">
        <f>DATE('Profit Calculation'!J$6,A$2,A$2+A6489-1)</f>
        <v>48492</v>
      </c>
      <c r="D6489" s="362">
        <f t="shared" ca="1" si="205"/>
        <v>0</v>
      </c>
    </row>
    <row r="6490" spans="1:4">
      <c r="A6490" s="348">
        <f t="shared" si="204"/>
        <v>6489</v>
      </c>
      <c r="B6490" s="360">
        <f>DATE('Profit Calculation'!J$6,A$2,A$2+A6490-1)</f>
        <v>48493</v>
      </c>
      <c r="D6490" s="362">
        <f t="shared" ca="1" si="205"/>
        <v>0</v>
      </c>
    </row>
    <row r="6491" spans="1:4">
      <c r="A6491" s="348">
        <f t="shared" si="204"/>
        <v>6490</v>
      </c>
      <c r="B6491" s="360">
        <f>DATE('Profit Calculation'!J$6,A$2,A$2+A6491-1)</f>
        <v>48494</v>
      </c>
      <c r="D6491" s="362">
        <f t="shared" ca="1" si="205"/>
        <v>0</v>
      </c>
    </row>
    <row r="6492" spans="1:4">
      <c r="A6492" s="348">
        <f t="shared" si="204"/>
        <v>6491</v>
      </c>
      <c r="B6492" s="360">
        <f>DATE('Profit Calculation'!J$6,A$2,A$2+A6492-1)</f>
        <v>48495</v>
      </c>
      <c r="D6492" s="362">
        <f t="shared" ca="1" si="205"/>
        <v>0</v>
      </c>
    </row>
    <row r="6493" spans="1:4">
      <c r="A6493" s="348">
        <f t="shared" si="204"/>
        <v>6492</v>
      </c>
      <c r="B6493" s="360">
        <f>DATE('Profit Calculation'!J$6,A$2,A$2+A6493-1)</f>
        <v>48496</v>
      </c>
      <c r="D6493" s="362">
        <f t="shared" ca="1" si="205"/>
        <v>0</v>
      </c>
    </row>
    <row r="6494" spans="1:4">
      <c r="A6494" s="348">
        <f t="shared" si="204"/>
        <v>6493</v>
      </c>
      <c r="B6494" s="360">
        <f>DATE('Profit Calculation'!J$6,A$2,A$2+A6494-1)</f>
        <v>48497</v>
      </c>
      <c r="D6494" s="362">
        <f t="shared" ca="1" si="205"/>
        <v>0</v>
      </c>
    </row>
    <row r="6495" spans="1:4">
      <c r="A6495" s="348">
        <f t="shared" si="204"/>
        <v>6494</v>
      </c>
      <c r="B6495" s="360">
        <f>DATE('Profit Calculation'!J$6,A$2,A$2+A6495-1)</f>
        <v>48498</v>
      </c>
      <c r="D6495" s="362">
        <f t="shared" ca="1" si="205"/>
        <v>0</v>
      </c>
    </row>
    <row r="6496" spans="1:4">
      <c r="A6496" s="348">
        <f t="shared" si="204"/>
        <v>6495</v>
      </c>
      <c r="B6496" s="360">
        <f>DATE('Profit Calculation'!J$6,A$2,A$2+A6496-1)</f>
        <v>48499</v>
      </c>
      <c r="D6496" s="362">
        <f t="shared" ca="1" si="205"/>
        <v>0</v>
      </c>
    </row>
    <row r="6497" spans="1:4">
      <c r="A6497" s="348">
        <f t="shared" si="204"/>
        <v>6496</v>
      </c>
      <c r="B6497" s="360">
        <f>DATE('Profit Calculation'!J$6,A$2,A$2+A6497-1)</f>
        <v>48500</v>
      </c>
      <c r="D6497" s="362">
        <f t="shared" ca="1" si="205"/>
        <v>0</v>
      </c>
    </row>
    <row r="6498" spans="1:4">
      <c r="A6498" s="348">
        <f t="shared" si="204"/>
        <v>6497</v>
      </c>
      <c r="B6498" s="360">
        <f>DATE('Profit Calculation'!J$6,A$2,A$2+A6498-1)</f>
        <v>48501</v>
      </c>
      <c r="D6498" s="362">
        <f t="shared" ca="1" si="205"/>
        <v>0</v>
      </c>
    </row>
    <row r="6499" spans="1:4">
      <c r="A6499" s="348">
        <f t="shared" si="204"/>
        <v>6498</v>
      </c>
      <c r="B6499" s="360">
        <f>DATE('Profit Calculation'!J$6,A$2,A$2+A6499-1)</f>
        <v>48502</v>
      </c>
      <c r="D6499" s="362">
        <f t="shared" ca="1" si="205"/>
        <v>0</v>
      </c>
    </row>
    <row r="6500" spans="1:4">
      <c r="A6500" s="348">
        <f t="shared" si="204"/>
        <v>6499</v>
      </c>
      <c r="B6500" s="360">
        <f>DATE('Profit Calculation'!J$6,A$2,A$2+A6500-1)</f>
        <v>48503</v>
      </c>
      <c r="D6500" s="362">
        <f t="shared" ca="1" si="205"/>
        <v>0</v>
      </c>
    </row>
    <row r="6501" spans="1:4">
      <c r="A6501" s="348">
        <f t="shared" si="204"/>
        <v>6500</v>
      </c>
      <c r="B6501" s="360">
        <f>DATE('Profit Calculation'!J$6,A$2,A$2+A6501-1)</f>
        <v>48504</v>
      </c>
      <c r="D6501" s="362">
        <f t="shared" ca="1" si="205"/>
        <v>0</v>
      </c>
    </row>
    <row r="6502" spans="1:4">
      <c r="A6502" s="348">
        <f t="shared" si="204"/>
        <v>6501</v>
      </c>
      <c r="B6502" s="360">
        <f>DATE('Profit Calculation'!J$6,A$2,A$2+A6502-1)</f>
        <v>48505</v>
      </c>
      <c r="D6502" s="362">
        <f t="shared" ca="1" si="205"/>
        <v>0</v>
      </c>
    </row>
    <row r="6503" spans="1:4">
      <c r="A6503" s="348">
        <f t="shared" si="204"/>
        <v>6502</v>
      </c>
      <c r="B6503" s="360">
        <f>DATE('Profit Calculation'!J$6,A$2,A$2+A6503-1)</f>
        <v>48506</v>
      </c>
      <c r="D6503" s="362">
        <f t="shared" ca="1" si="205"/>
        <v>0</v>
      </c>
    </row>
    <row r="6504" spans="1:4">
      <c r="A6504" s="348">
        <f t="shared" si="204"/>
        <v>6503</v>
      </c>
      <c r="B6504" s="360">
        <f>DATE('Profit Calculation'!J$6,A$2,A$2+A6504-1)</f>
        <v>48507</v>
      </c>
      <c r="D6504" s="362">
        <f t="shared" ca="1" si="205"/>
        <v>0</v>
      </c>
    </row>
    <row r="6505" spans="1:4">
      <c r="A6505" s="348">
        <f t="shared" si="204"/>
        <v>6504</v>
      </c>
      <c r="B6505" s="360">
        <f>DATE('Profit Calculation'!J$6,A$2,A$2+A6505-1)</f>
        <v>48508</v>
      </c>
      <c r="D6505" s="362">
        <f t="shared" ca="1" si="205"/>
        <v>0</v>
      </c>
    </row>
    <row r="6506" spans="1:4">
      <c r="A6506" s="348">
        <f t="shared" si="204"/>
        <v>6505</v>
      </c>
      <c r="B6506" s="360">
        <f>DATE('Profit Calculation'!J$6,A$2,A$2+A6506-1)</f>
        <v>48509</v>
      </c>
      <c r="D6506" s="362">
        <f t="shared" ca="1" si="205"/>
        <v>0</v>
      </c>
    </row>
    <row r="6507" spans="1:4">
      <c r="A6507" s="348">
        <f t="shared" si="204"/>
        <v>6506</v>
      </c>
      <c r="B6507" s="360">
        <f>DATE('Profit Calculation'!J$6,A$2,A$2+A6507-1)</f>
        <v>48510</v>
      </c>
      <c r="D6507" s="362">
        <f t="shared" ca="1" si="205"/>
        <v>0</v>
      </c>
    </row>
    <row r="6508" spans="1:4">
      <c r="A6508" s="348">
        <f t="shared" si="204"/>
        <v>6507</v>
      </c>
      <c r="B6508" s="360">
        <f>DATE('Profit Calculation'!J$6,A$2,A$2+A6508-1)</f>
        <v>48511</v>
      </c>
      <c r="D6508" s="362">
        <f t="shared" ca="1" si="205"/>
        <v>0</v>
      </c>
    </row>
    <row r="6509" spans="1:4">
      <c r="A6509" s="348">
        <f t="shared" si="204"/>
        <v>6508</v>
      </c>
      <c r="B6509" s="360">
        <f>DATE('Profit Calculation'!J$6,A$2,A$2+A6509-1)</f>
        <v>48512</v>
      </c>
      <c r="D6509" s="362">
        <f t="shared" ca="1" si="205"/>
        <v>0</v>
      </c>
    </row>
    <row r="6510" spans="1:4">
      <c r="A6510" s="348">
        <f t="shared" si="204"/>
        <v>6509</v>
      </c>
      <c r="B6510" s="360">
        <f>DATE('Profit Calculation'!J$6,A$2,A$2+A6510-1)</f>
        <v>48513</v>
      </c>
      <c r="D6510" s="362">
        <f t="shared" ca="1" si="205"/>
        <v>0</v>
      </c>
    </row>
    <row r="6511" spans="1:4">
      <c r="A6511" s="348">
        <f t="shared" si="204"/>
        <v>6510</v>
      </c>
      <c r="B6511" s="360">
        <f>DATE('Profit Calculation'!J$6,A$2,A$2+A6511-1)</f>
        <v>48514</v>
      </c>
      <c r="D6511" s="362">
        <f t="shared" ca="1" si="205"/>
        <v>0</v>
      </c>
    </row>
    <row r="6512" spans="1:4">
      <c r="A6512" s="348">
        <f t="shared" si="204"/>
        <v>6511</v>
      </c>
      <c r="B6512" s="360">
        <f>DATE('Profit Calculation'!J$6,A$2,A$2+A6512-1)</f>
        <v>48515</v>
      </c>
      <c r="D6512" s="362">
        <f t="shared" ca="1" si="205"/>
        <v>0</v>
      </c>
    </row>
    <row r="6513" spans="1:4">
      <c r="A6513" s="348">
        <f t="shared" si="204"/>
        <v>6512</v>
      </c>
      <c r="B6513" s="360">
        <f>DATE('Profit Calculation'!J$6,A$2,A$2+A6513-1)</f>
        <v>48516</v>
      </c>
      <c r="D6513" s="362">
        <f t="shared" ca="1" si="205"/>
        <v>0</v>
      </c>
    </row>
    <row r="6514" spans="1:4">
      <c r="A6514" s="348">
        <f t="shared" si="204"/>
        <v>6513</v>
      </c>
      <c r="B6514" s="360">
        <f>DATE('Profit Calculation'!J$6,A$2,A$2+A6514-1)</f>
        <v>48517</v>
      </c>
      <c r="D6514" s="362">
        <f t="shared" ca="1" si="205"/>
        <v>0</v>
      </c>
    </row>
    <row r="6515" spans="1:4">
      <c r="A6515" s="348">
        <f t="shared" si="204"/>
        <v>6514</v>
      </c>
      <c r="B6515" s="360">
        <f>DATE('Profit Calculation'!J$6,A$2,A$2+A6515-1)</f>
        <v>48518</v>
      </c>
      <c r="D6515" s="362">
        <f t="shared" ca="1" si="205"/>
        <v>0</v>
      </c>
    </row>
    <row r="6516" spans="1:4">
      <c r="A6516" s="348">
        <f t="shared" si="204"/>
        <v>6515</v>
      </c>
      <c r="B6516" s="360">
        <f>DATE('Profit Calculation'!J$6,A$2,A$2+A6516-1)</f>
        <v>48519</v>
      </c>
      <c r="D6516" s="362">
        <f t="shared" ca="1" si="205"/>
        <v>0</v>
      </c>
    </row>
    <row r="6517" spans="1:4">
      <c r="A6517" s="348">
        <f t="shared" si="204"/>
        <v>6516</v>
      </c>
      <c r="B6517" s="360">
        <f>DATE('Profit Calculation'!J$6,A$2,A$2+A6517-1)</f>
        <v>48520</v>
      </c>
      <c r="D6517" s="362">
        <f t="shared" ca="1" si="205"/>
        <v>0</v>
      </c>
    </row>
    <row r="6518" spans="1:4">
      <c r="A6518" s="348">
        <f t="shared" si="204"/>
        <v>6517</v>
      </c>
      <c r="B6518" s="360">
        <f>DATE('Profit Calculation'!J$6,A$2,A$2+A6518-1)</f>
        <v>48521</v>
      </c>
      <c r="D6518" s="362">
        <f t="shared" ca="1" si="205"/>
        <v>0</v>
      </c>
    </row>
    <row r="6519" spans="1:4">
      <c r="A6519" s="348">
        <f t="shared" si="204"/>
        <v>6518</v>
      </c>
      <c r="B6519" s="360">
        <f>DATE('Profit Calculation'!J$6,A$2,A$2+A6519-1)</f>
        <v>48522</v>
      </c>
      <c r="D6519" s="362">
        <f t="shared" ca="1" si="205"/>
        <v>0</v>
      </c>
    </row>
    <row r="6520" spans="1:4">
      <c r="A6520" s="348">
        <f t="shared" si="204"/>
        <v>6519</v>
      </c>
      <c r="B6520" s="360">
        <f>DATE('Profit Calculation'!J$6,A$2,A$2+A6520-1)</f>
        <v>48523</v>
      </c>
      <c r="D6520" s="362">
        <f t="shared" ca="1" si="205"/>
        <v>0</v>
      </c>
    </row>
    <row r="6521" spans="1:4">
      <c r="A6521" s="348">
        <f t="shared" si="204"/>
        <v>6520</v>
      </c>
      <c r="B6521" s="360">
        <f>DATE('Profit Calculation'!J$6,A$2,A$2+A6521-1)</f>
        <v>48524</v>
      </c>
      <c r="D6521" s="362">
        <f t="shared" ca="1" si="205"/>
        <v>0</v>
      </c>
    </row>
    <row r="6522" spans="1:4">
      <c r="A6522" s="348">
        <f t="shared" si="204"/>
        <v>6521</v>
      </c>
      <c r="B6522" s="360">
        <f>DATE('Profit Calculation'!J$6,A$2,A$2+A6522-1)</f>
        <v>48525</v>
      </c>
      <c r="D6522" s="362">
        <f t="shared" ca="1" si="205"/>
        <v>0</v>
      </c>
    </row>
    <row r="6523" spans="1:4">
      <c r="A6523" s="348">
        <f t="shared" si="204"/>
        <v>6522</v>
      </c>
      <c r="B6523" s="360">
        <f>DATE('Profit Calculation'!J$6,A$2,A$2+A6523-1)</f>
        <v>48526</v>
      </c>
      <c r="D6523" s="362">
        <f t="shared" ca="1" si="205"/>
        <v>0</v>
      </c>
    </row>
    <row r="6524" spans="1:4">
      <c r="A6524" s="348">
        <f t="shared" si="204"/>
        <v>6523</v>
      </c>
      <c r="B6524" s="360">
        <f>DATE('Profit Calculation'!J$6,A$2,A$2+A6524-1)</f>
        <v>48527</v>
      </c>
      <c r="D6524" s="362">
        <f t="shared" ca="1" si="205"/>
        <v>0</v>
      </c>
    </row>
    <row r="6525" spans="1:4">
      <c r="A6525" s="348">
        <f t="shared" si="204"/>
        <v>6524</v>
      </c>
      <c r="B6525" s="360">
        <f>DATE('Profit Calculation'!J$6,A$2,A$2+A6525-1)</f>
        <v>48528</v>
      </c>
      <c r="D6525" s="362">
        <f t="shared" ca="1" si="205"/>
        <v>0</v>
      </c>
    </row>
    <row r="6526" spans="1:4">
      <c r="A6526" s="348">
        <f t="shared" si="204"/>
        <v>6525</v>
      </c>
      <c r="B6526" s="360">
        <f>DATE('Profit Calculation'!J$6,A$2,A$2+A6526-1)</f>
        <v>48529</v>
      </c>
      <c r="D6526" s="362">
        <f t="shared" ca="1" si="205"/>
        <v>0</v>
      </c>
    </row>
    <row r="6527" spans="1:4">
      <c r="A6527" s="348">
        <f t="shared" si="204"/>
        <v>6526</v>
      </c>
      <c r="B6527" s="360">
        <f>DATE('Profit Calculation'!J$6,A$2,A$2+A6527-1)</f>
        <v>48530</v>
      </c>
      <c r="D6527" s="362">
        <f t="shared" ca="1" si="205"/>
        <v>0</v>
      </c>
    </row>
    <row r="6528" spans="1:4">
      <c r="A6528" s="348">
        <f t="shared" si="204"/>
        <v>6527</v>
      </c>
      <c r="B6528" s="360">
        <f>DATE('Profit Calculation'!J$6,A$2,A$2+A6528-1)</f>
        <v>48531</v>
      </c>
      <c r="D6528" s="362">
        <f t="shared" ca="1" si="205"/>
        <v>0</v>
      </c>
    </row>
    <row r="6529" spans="1:4">
      <c r="A6529" s="348">
        <f t="shared" si="204"/>
        <v>6528</v>
      </c>
      <c r="B6529" s="360">
        <f>DATE('Profit Calculation'!J$6,A$2,A$2+A6529-1)</f>
        <v>48532</v>
      </c>
      <c r="D6529" s="362">
        <f t="shared" ca="1" si="205"/>
        <v>0</v>
      </c>
    </row>
    <row r="6530" spans="1:4">
      <c r="A6530" s="348">
        <f t="shared" si="204"/>
        <v>6529</v>
      </c>
      <c r="B6530" s="360">
        <f>DATE('Profit Calculation'!J$6,A$2,A$2+A6530-1)</f>
        <v>48533</v>
      </c>
      <c r="D6530" s="362">
        <f t="shared" ca="1" si="205"/>
        <v>0</v>
      </c>
    </row>
    <row r="6531" spans="1:4">
      <c r="A6531" s="348">
        <f t="shared" si="204"/>
        <v>6530</v>
      </c>
      <c r="B6531" s="360">
        <f>DATE('Profit Calculation'!J$6,A$2,A$2+A6531-1)</f>
        <v>48534</v>
      </c>
      <c r="D6531" s="362">
        <f t="shared" ca="1" si="205"/>
        <v>0</v>
      </c>
    </row>
    <row r="6532" spans="1:4">
      <c r="A6532" s="348">
        <f t="shared" si="204"/>
        <v>6531</v>
      </c>
      <c r="B6532" s="360">
        <f>DATE('Profit Calculation'!J$6,A$2,A$2+A6532-1)</f>
        <v>48535</v>
      </c>
      <c r="D6532" s="362">
        <f t="shared" ca="1" si="205"/>
        <v>0</v>
      </c>
    </row>
    <row r="6533" spans="1:4">
      <c r="A6533" s="348">
        <f t="shared" ref="A6533:A6596" si="206">A6532+1</f>
        <v>6532</v>
      </c>
      <c r="B6533" s="360">
        <f>DATE('Profit Calculation'!J$6,A$2,A$2+A6533-1)</f>
        <v>48536</v>
      </c>
      <c r="D6533" s="362">
        <f t="shared" ref="D6533:D6596" ca="1" si="207">IF(OR(LOOKUP(B6533,W$1:W$35,W$1:W$35) = B6533, LOOKUP(B6533,X$1:X$35,X$1:X$35) = B6533),LOOKUP(B6533,F:F,G:G),D6532*(1+((IF($Q$18&lt;6,$R$14,IF($Q$18&lt;11,$R$15,$R$16)))))^(1/365))</f>
        <v>0</v>
      </c>
    </row>
    <row r="6534" spans="1:4">
      <c r="A6534" s="348">
        <f t="shared" si="206"/>
        <v>6533</v>
      </c>
      <c r="B6534" s="360">
        <f>DATE('Profit Calculation'!J$6,A$2,A$2+A6534-1)</f>
        <v>48537</v>
      </c>
      <c r="D6534" s="362">
        <f t="shared" ca="1" si="207"/>
        <v>0</v>
      </c>
    </row>
    <row r="6535" spans="1:4">
      <c r="A6535" s="348">
        <f t="shared" si="206"/>
        <v>6534</v>
      </c>
      <c r="B6535" s="360">
        <f>DATE('Profit Calculation'!J$6,A$2,A$2+A6535-1)</f>
        <v>48538</v>
      </c>
      <c r="D6535" s="362">
        <f t="shared" ca="1" si="207"/>
        <v>0</v>
      </c>
    </row>
    <row r="6536" spans="1:4">
      <c r="A6536" s="348">
        <f t="shared" si="206"/>
        <v>6535</v>
      </c>
      <c r="B6536" s="360">
        <f>DATE('Profit Calculation'!J$6,A$2,A$2+A6536-1)</f>
        <v>48539</v>
      </c>
      <c r="D6536" s="362">
        <f t="shared" ca="1" si="207"/>
        <v>0</v>
      </c>
    </row>
    <row r="6537" spans="1:4">
      <c r="A6537" s="348">
        <f t="shared" si="206"/>
        <v>6536</v>
      </c>
      <c r="B6537" s="360">
        <f>DATE('Profit Calculation'!J$6,A$2,A$2+A6537-1)</f>
        <v>48540</v>
      </c>
      <c r="D6537" s="362">
        <f t="shared" ca="1" si="207"/>
        <v>0</v>
      </c>
    </row>
    <row r="6538" spans="1:4">
      <c r="A6538" s="348">
        <f t="shared" si="206"/>
        <v>6537</v>
      </c>
      <c r="B6538" s="360">
        <f>DATE('Profit Calculation'!J$6,A$2,A$2+A6538-1)</f>
        <v>48541</v>
      </c>
      <c r="D6538" s="362">
        <f t="shared" ca="1" si="207"/>
        <v>0</v>
      </c>
    </row>
    <row r="6539" spans="1:4">
      <c r="A6539" s="348">
        <f t="shared" si="206"/>
        <v>6538</v>
      </c>
      <c r="B6539" s="360">
        <f>DATE('Profit Calculation'!J$6,A$2,A$2+A6539-1)</f>
        <v>48542</v>
      </c>
      <c r="D6539" s="362">
        <f t="shared" ca="1" si="207"/>
        <v>0</v>
      </c>
    </row>
    <row r="6540" spans="1:4">
      <c r="A6540" s="348">
        <f t="shared" si="206"/>
        <v>6539</v>
      </c>
      <c r="B6540" s="360">
        <f>DATE('Profit Calculation'!J$6,A$2,A$2+A6540-1)</f>
        <v>48543</v>
      </c>
      <c r="D6540" s="362">
        <f t="shared" ca="1" si="207"/>
        <v>0</v>
      </c>
    </row>
    <row r="6541" spans="1:4">
      <c r="A6541" s="348">
        <f t="shared" si="206"/>
        <v>6540</v>
      </c>
      <c r="B6541" s="360">
        <f>DATE('Profit Calculation'!J$6,A$2,A$2+A6541-1)</f>
        <v>48544</v>
      </c>
      <c r="D6541" s="362">
        <f t="shared" ca="1" si="207"/>
        <v>0</v>
      </c>
    </row>
    <row r="6542" spans="1:4">
      <c r="A6542" s="348">
        <f t="shared" si="206"/>
        <v>6541</v>
      </c>
      <c r="B6542" s="360">
        <f>DATE('Profit Calculation'!J$6,A$2,A$2+A6542-1)</f>
        <v>48545</v>
      </c>
      <c r="D6542" s="362">
        <f t="shared" ca="1" si="207"/>
        <v>0</v>
      </c>
    </row>
    <row r="6543" spans="1:4">
      <c r="A6543" s="348">
        <f t="shared" si="206"/>
        <v>6542</v>
      </c>
      <c r="B6543" s="360">
        <f>DATE('Profit Calculation'!J$6,A$2,A$2+A6543-1)</f>
        <v>48546</v>
      </c>
      <c r="D6543" s="362">
        <f t="shared" ca="1" si="207"/>
        <v>0</v>
      </c>
    </row>
    <row r="6544" spans="1:4">
      <c r="A6544" s="348">
        <f t="shared" si="206"/>
        <v>6543</v>
      </c>
      <c r="B6544" s="360">
        <f>DATE('Profit Calculation'!J$6,A$2,A$2+A6544-1)</f>
        <v>48547</v>
      </c>
      <c r="D6544" s="362">
        <f t="shared" ca="1" si="207"/>
        <v>0</v>
      </c>
    </row>
    <row r="6545" spans="1:4">
      <c r="A6545" s="348">
        <f t="shared" si="206"/>
        <v>6544</v>
      </c>
      <c r="B6545" s="360">
        <f>DATE('Profit Calculation'!J$6,A$2,A$2+A6545-1)</f>
        <v>48548</v>
      </c>
      <c r="D6545" s="362">
        <f t="shared" ca="1" si="207"/>
        <v>0</v>
      </c>
    </row>
    <row r="6546" spans="1:4">
      <c r="A6546" s="348">
        <f t="shared" si="206"/>
        <v>6545</v>
      </c>
      <c r="B6546" s="360">
        <f>DATE('Profit Calculation'!J$6,A$2,A$2+A6546-1)</f>
        <v>48549</v>
      </c>
      <c r="D6546" s="362">
        <f t="shared" ca="1" si="207"/>
        <v>0</v>
      </c>
    </row>
    <row r="6547" spans="1:4">
      <c r="A6547" s="348">
        <f t="shared" si="206"/>
        <v>6546</v>
      </c>
      <c r="B6547" s="360">
        <f>DATE('Profit Calculation'!J$6,A$2,A$2+A6547-1)</f>
        <v>48550</v>
      </c>
      <c r="D6547" s="362">
        <f t="shared" ca="1" si="207"/>
        <v>0</v>
      </c>
    </row>
    <row r="6548" spans="1:4">
      <c r="A6548" s="348">
        <f t="shared" si="206"/>
        <v>6547</v>
      </c>
      <c r="B6548" s="360">
        <f>DATE('Profit Calculation'!J$6,A$2,A$2+A6548-1)</f>
        <v>48551</v>
      </c>
      <c r="D6548" s="362">
        <f t="shared" ca="1" si="207"/>
        <v>0</v>
      </c>
    </row>
    <row r="6549" spans="1:4">
      <c r="A6549" s="348">
        <f t="shared" si="206"/>
        <v>6548</v>
      </c>
      <c r="B6549" s="360">
        <f>DATE('Profit Calculation'!J$6,A$2,A$2+A6549-1)</f>
        <v>48552</v>
      </c>
      <c r="D6549" s="362">
        <f t="shared" ca="1" si="207"/>
        <v>0</v>
      </c>
    </row>
    <row r="6550" spans="1:4">
      <c r="A6550" s="348">
        <f t="shared" si="206"/>
        <v>6549</v>
      </c>
      <c r="B6550" s="360">
        <f>DATE('Profit Calculation'!J$6,A$2,A$2+A6550-1)</f>
        <v>48553</v>
      </c>
      <c r="D6550" s="362">
        <f t="shared" ca="1" si="207"/>
        <v>0</v>
      </c>
    </row>
    <row r="6551" spans="1:4">
      <c r="A6551" s="348">
        <f t="shared" si="206"/>
        <v>6550</v>
      </c>
      <c r="B6551" s="360">
        <f>DATE('Profit Calculation'!J$6,A$2,A$2+A6551-1)</f>
        <v>48554</v>
      </c>
      <c r="D6551" s="362">
        <f t="shared" ca="1" si="207"/>
        <v>0</v>
      </c>
    </row>
    <row r="6552" spans="1:4">
      <c r="A6552" s="348">
        <f t="shared" si="206"/>
        <v>6551</v>
      </c>
      <c r="B6552" s="360">
        <f>DATE('Profit Calculation'!J$6,A$2,A$2+A6552-1)</f>
        <v>48555</v>
      </c>
      <c r="D6552" s="362">
        <f t="shared" ca="1" si="207"/>
        <v>0</v>
      </c>
    </row>
    <row r="6553" spans="1:4">
      <c r="A6553" s="348">
        <f t="shared" si="206"/>
        <v>6552</v>
      </c>
      <c r="B6553" s="360">
        <f>DATE('Profit Calculation'!J$6,A$2,A$2+A6553-1)</f>
        <v>48556</v>
      </c>
      <c r="D6553" s="362">
        <f t="shared" ca="1" si="207"/>
        <v>0</v>
      </c>
    </row>
    <row r="6554" spans="1:4">
      <c r="A6554" s="348">
        <f t="shared" si="206"/>
        <v>6553</v>
      </c>
      <c r="B6554" s="360">
        <f>DATE('Profit Calculation'!J$6,A$2,A$2+A6554-1)</f>
        <v>48557</v>
      </c>
      <c r="D6554" s="362">
        <f t="shared" ca="1" si="207"/>
        <v>0</v>
      </c>
    </row>
    <row r="6555" spans="1:4">
      <c r="A6555" s="348">
        <f t="shared" si="206"/>
        <v>6554</v>
      </c>
      <c r="B6555" s="360">
        <f>DATE('Profit Calculation'!J$6,A$2,A$2+A6555-1)</f>
        <v>48558</v>
      </c>
      <c r="D6555" s="362">
        <f t="shared" ca="1" si="207"/>
        <v>0</v>
      </c>
    </row>
    <row r="6556" spans="1:4">
      <c r="A6556" s="348">
        <f t="shared" si="206"/>
        <v>6555</v>
      </c>
      <c r="B6556" s="360">
        <f>DATE('Profit Calculation'!J$6,A$2,A$2+A6556-1)</f>
        <v>48559</v>
      </c>
      <c r="D6556" s="362">
        <f t="shared" ca="1" si="207"/>
        <v>0</v>
      </c>
    </row>
    <row r="6557" spans="1:4">
      <c r="A6557" s="348">
        <f t="shared" si="206"/>
        <v>6556</v>
      </c>
      <c r="B6557" s="360">
        <f>DATE('Profit Calculation'!J$6,A$2,A$2+A6557-1)</f>
        <v>48560</v>
      </c>
      <c r="D6557" s="362">
        <f t="shared" ca="1" si="207"/>
        <v>0</v>
      </c>
    </row>
    <row r="6558" spans="1:4">
      <c r="A6558" s="348">
        <f t="shared" si="206"/>
        <v>6557</v>
      </c>
      <c r="B6558" s="360">
        <f>DATE('Profit Calculation'!J$6,A$2,A$2+A6558-1)</f>
        <v>48561</v>
      </c>
      <c r="D6558" s="362">
        <f t="shared" ca="1" si="207"/>
        <v>0</v>
      </c>
    </row>
    <row r="6559" spans="1:4">
      <c r="A6559" s="348">
        <f t="shared" si="206"/>
        <v>6558</v>
      </c>
      <c r="B6559" s="360">
        <f>DATE('Profit Calculation'!J$6,A$2,A$2+A6559-1)</f>
        <v>48562</v>
      </c>
      <c r="D6559" s="362">
        <f t="shared" ca="1" si="207"/>
        <v>0</v>
      </c>
    </row>
    <row r="6560" spans="1:4">
      <c r="A6560" s="348">
        <f t="shared" si="206"/>
        <v>6559</v>
      </c>
      <c r="B6560" s="360">
        <f>DATE('Profit Calculation'!J$6,A$2,A$2+A6560-1)</f>
        <v>48563</v>
      </c>
      <c r="D6560" s="362">
        <f t="shared" ca="1" si="207"/>
        <v>0</v>
      </c>
    </row>
    <row r="6561" spans="1:4">
      <c r="A6561" s="348">
        <f t="shared" si="206"/>
        <v>6560</v>
      </c>
      <c r="B6561" s="360">
        <f>DATE('Profit Calculation'!J$6,A$2,A$2+A6561-1)</f>
        <v>48564</v>
      </c>
      <c r="D6561" s="362">
        <f t="shared" ca="1" si="207"/>
        <v>0</v>
      </c>
    </row>
    <row r="6562" spans="1:4">
      <c r="A6562" s="348">
        <f t="shared" si="206"/>
        <v>6561</v>
      </c>
      <c r="B6562" s="360">
        <f>DATE('Profit Calculation'!J$6,A$2,A$2+A6562-1)</f>
        <v>48565</v>
      </c>
      <c r="D6562" s="362">
        <f t="shared" ca="1" si="207"/>
        <v>0</v>
      </c>
    </row>
    <row r="6563" spans="1:4">
      <c r="A6563" s="348">
        <f t="shared" si="206"/>
        <v>6562</v>
      </c>
      <c r="B6563" s="360">
        <f>DATE('Profit Calculation'!J$6,A$2,A$2+A6563-1)</f>
        <v>48566</v>
      </c>
      <c r="D6563" s="362">
        <f t="shared" ca="1" si="207"/>
        <v>0</v>
      </c>
    </row>
    <row r="6564" spans="1:4">
      <c r="A6564" s="348">
        <f t="shared" si="206"/>
        <v>6563</v>
      </c>
      <c r="B6564" s="360">
        <f>DATE('Profit Calculation'!J$6,A$2,A$2+A6564-1)</f>
        <v>48567</v>
      </c>
      <c r="D6564" s="362">
        <f t="shared" ca="1" si="207"/>
        <v>0</v>
      </c>
    </row>
    <row r="6565" spans="1:4">
      <c r="A6565" s="348">
        <f t="shared" si="206"/>
        <v>6564</v>
      </c>
      <c r="B6565" s="360">
        <f>DATE('Profit Calculation'!J$6,A$2,A$2+A6565-1)</f>
        <v>48568</v>
      </c>
      <c r="D6565" s="362">
        <f t="shared" ca="1" si="207"/>
        <v>0</v>
      </c>
    </row>
    <row r="6566" spans="1:4">
      <c r="A6566" s="348">
        <f t="shared" si="206"/>
        <v>6565</v>
      </c>
      <c r="B6566" s="360">
        <f>DATE('Profit Calculation'!J$6,A$2,A$2+A6566-1)</f>
        <v>48569</v>
      </c>
      <c r="D6566" s="362">
        <f t="shared" ca="1" si="207"/>
        <v>0</v>
      </c>
    </row>
    <row r="6567" spans="1:4">
      <c r="A6567" s="348">
        <f t="shared" si="206"/>
        <v>6566</v>
      </c>
      <c r="B6567" s="360">
        <f>DATE('Profit Calculation'!J$6,A$2,A$2+A6567-1)</f>
        <v>48570</v>
      </c>
      <c r="D6567" s="362">
        <f t="shared" ca="1" si="207"/>
        <v>0</v>
      </c>
    </row>
    <row r="6568" spans="1:4">
      <c r="A6568" s="348">
        <f t="shared" si="206"/>
        <v>6567</v>
      </c>
      <c r="B6568" s="360">
        <f>DATE('Profit Calculation'!J$6,A$2,A$2+A6568-1)</f>
        <v>48571</v>
      </c>
      <c r="D6568" s="362">
        <f t="shared" ca="1" si="207"/>
        <v>0</v>
      </c>
    </row>
    <row r="6569" spans="1:4">
      <c r="A6569" s="348">
        <f t="shared" si="206"/>
        <v>6568</v>
      </c>
      <c r="B6569" s="360">
        <f>DATE('Profit Calculation'!J$6,A$2,A$2+A6569-1)</f>
        <v>48572</v>
      </c>
      <c r="D6569" s="362">
        <f t="shared" ca="1" si="207"/>
        <v>0</v>
      </c>
    </row>
    <row r="6570" spans="1:4">
      <c r="A6570" s="348">
        <f t="shared" si="206"/>
        <v>6569</v>
      </c>
      <c r="B6570" s="360">
        <f>DATE('Profit Calculation'!J$6,A$2,A$2+A6570-1)</f>
        <v>48573</v>
      </c>
      <c r="D6570" s="362">
        <f t="shared" ca="1" si="207"/>
        <v>0</v>
      </c>
    </row>
    <row r="6571" spans="1:4">
      <c r="A6571" s="348">
        <f t="shared" si="206"/>
        <v>6570</v>
      </c>
      <c r="B6571" s="360">
        <f>DATE('Profit Calculation'!J$6,A$2,A$2+A6571-1)</f>
        <v>48574</v>
      </c>
      <c r="D6571" s="362">
        <f t="shared" ca="1" si="207"/>
        <v>0</v>
      </c>
    </row>
    <row r="6572" spans="1:4">
      <c r="A6572" s="348">
        <f t="shared" si="206"/>
        <v>6571</v>
      </c>
      <c r="B6572" s="360">
        <f>DATE('Profit Calculation'!J$6,A$2,A$2+A6572-1)</f>
        <v>48575</v>
      </c>
      <c r="D6572" s="362">
        <f t="shared" ca="1" si="207"/>
        <v>0</v>
      </c>
    </row>
    <row r="6573" spans="1:4">
      <c r="A6573" s="348">
        <f t="shared" si="206"/>
        <v>6572</v>
      </c>
      <c r="B6573" s="360">
        <f>DATE('Profit Calculation'!J$6,A$2,A$2+A6573-1)</f>
        <v>48576</v>
      </c>
      <c r="D6573" s="362">
        <f t="shared" ca="1" si="207"/>
        <v>0</v>
      </c>
    </row>
    <row r="6574" spans="1:4">
      <c r="A6574" s="348">
        <f t="shared" si="206"/>
        <v>6573</v>
      </c>
      <c r="B6574" s="360">
        <f>DATE('Profit Calculation'!J$6,A$2,A$2+A6574-1)</f>
        <v>48577</v>
      </c>
      <c r="D6574" s="362">
        <f t="shared" ca="1" si="207"/>
        <v>0</v>
      </c>
    </row>
    <row r="6575" spans="1:4">
      <c r="A6575" s="348">
        <f t="shared" si="206"/>
        <v>6574</v>
      </c>
      <c r="B6575" s="360">
        <f>DATE('Profit Calculation'!J$6,A$2,A$2+A6575-1)</f>
        <v>48578</v>
      </c>
      <c r="D6575" s="362">
        <f t="shared" ca="1" si="207"/>
        <v>0</v>
      </c>
    </row>
    <row r="6576" spans="1:4">
      <c r="A6576" s="348">
        <f t="shared" si="206"/>
        <v>6575</v>
      </c>
      <c r="B6576" s="360">
        <f>DATE('Profit Calculation'!J$6,A$2,A$2+A6576-1)</f>
        <v>48579</v>
      </c>
      <c r="D6576" s="362">
        <f t="shared" ca="1" si="207"/>
        <v>0</v>
      </c>
    </row>
    <row r="6577" spans="1:4">
      <c r="A6577" s="348">
        <f t="shared" si="206"/>
        <v>6576</v>
      </c>
      <c r="B6577" s="360">
        <f>DATE('Profit Calculation'!J$6,A$2,A$2+A6577-1)</f>
        <v>48580</v>
      </c>
      <c r="D6577" s="362">
        <f t="shared" ca="1" si="207"/>
        <v>0</v>
      </c>
    </row>
    <row r="6578" spans="1:4">
      <c r="A6578" s="348">
        <f t="shared" si="206"/>
        <v>6577</v>
      </c>
      <c r="B6578" s="360">
        <f>DATE('Profit Calculation'!J$6,A$2,A$2+A6578-1)</f>
        <v>48581</v>
      </c>
      <c r="D6578" s="362">
        <f t="shared" ca="1" si="207"/>
        <v>0</v>
      </c>
    </row>
    <row r="6579" spans="1:4">
      <c r="A6579" s="348">
        <f t="shared" si="206"/>
        <v>6578</v>
      </c>
      <c r="B6579" s="360">
        <f>DATE('Profit Calculation'!J$6,A$2,A$2+A6579-1)</f>
        <v>48582</v>
      </c>
      <c r="D6579" s="362">
        <f t="shared" ca="1" si="207"/>
        <v>0</v>
      </c>
    </row>
    <row r="6580" spans="1:4">
      <c r="A6580" s="348">
        <f t="shared" si="206"/>
        <v>6579</v>
      </c>
      <c r="B6580" s="360">
        <f>DATE('Profit Calculation'!J$6,A$2,A$2+A6580-1)</f>
        <v>48583</v>
      </c>
      <c r="D6580" s="362">
        <f t="shared" ca="1" si="207"/>
        <v>0</v>
      </c>
    </row>
    <row r="6581" spans="1:4">
      <c r="A6581" s="348">
        <f t="shared" si="206"/>
        <v>6580</v>
      </c>
      <c r="B6581" s="360">
        <f>DATE('Profit Calculation'!J$6,A$2,A$2+A6581-1)</f>
        <v>48584</v>
      </c>
      <c r="D6581" s="362">
        <f t="shared" ca="1" si="207"/>
        <v>0</v>
      </c>
    </row>
    <row r="6582" spans="1:4">
      <c r="A6582" s="348">
        <f t="shared" si="206"/>
        <v>6581</v>
      </c>
      <c r="B6582" s="360">
        <f>DATE('Profit Calculation'!J$6,A$2,A$2+A6582-1)</f>
        <v>48585</v>
      </c>
      <c r="D6582" s="362">
        <f t="shared" ca="1" si="207"/>
        <v>0</v>
      </c>
    </row>
    <row r="6583" spans="1:4">
      <c r="A6583" s="348">
        <f t="shared" si="206"/>
        <v>6582</v>
      </c>
      <c r="B6583" s="360">
        <f>DATE('Profit Calculation'!J$6,A$2,A$2+A6583-1)</f>
        <v>48586</v>
      </c>
      <c r="D6583" s="362">
        <f t="shared" ca="1" si="207"/>
        <v>0</v>
      </c>
    </row>
    <row r="6584" spans="1:4">
      <c r="A6584" s="348">
        <f t="shared" si="206"/>
        <v>6583</v>
      </c>
      <c r="B6584" s="360">
        <f>DATE('Profit Calculation'!J$6,A$2,A$2+A6584-1)</f>
        <v>48587</v>
      </c>
      <c r="D6584" s="362">
        <f t="shared" ca="1" si="207"/>
        <v>0</v>
      </c>
    </row>
    <row r="6585" spans="1:4">
      <c r="A6585" s="348">
        <f t="shared" si="206"/>
        <v>6584</v>
      </c>
      <c r="B6585" s="360">
        <f>DATE('Profit Calculation'!J$6,A$2,A$2+A6585-1)</f>
        <v>48588</v>
      </c>
      <c r="D6585" s="362">
        <f t="shared" ca="1" si="207"/>
        <v>0</v>
      </c>
    </row>
    <row r="6586" spans="1:4">
      <c r="A6586" s="348">
        <f t="shared" si="206"/>
        <v>6585</v>
      </c>
      <c r="B6586" s="360">
        <f>DATE('Profit Calculation'!J$6,A$2,A$2+A6586-1)</f>
        <v>48589</v>
      </c>
      <c r="D6586" s="362">
        <f t="shared" ca="1" si="207"/>
        <v>0</v>
      </c>
    </row>
    <row r="6587" spans="1:4">
      <c r="A6587" s="348">
        <f t="shared" si="206"/>
        <v>6586</v>
      </c>
      <c r="B6587" s="360">
        <f>DATE('Profit Calculation'!J$6,A$2,A$2+A6587-1)</f>
        <v>48590</v>
      </c>
      <c r="D6587" s="362">
        <f t="shared" ca="1" si="207"/>
        <v>0</v>
      </c>
    </row>
    <row r="6588" spans="1:4">
      <c r="A6588" s="348">
        <f t="shared" si="206"/>
        <v>6587</v>
      </c>
      <c r="B6588" s="360">
        <f>DATE('Profit Calculation'!J$6,A$2,A$2+A6588-1)</f>
        <v>48591</v>
      </c>
      <c r="D6588" s="362">
        <f t="shared" ca="1" si="207"/>
        <v>0</v>
      </c>
    </row>
    <row r="6589" spans="1:4">
      <c r="A6589" s="348">
        <f t="shared" si="206"/>
        <v>6588</v>
      </c>
      <c r="B6589" s="360">
        <f>DATE('Profit Calculation'!J$6,A$2,A$2+A6589-1)</f>
        <v>48592</v>
      </c>
      <c r="D6589" s="362">
        <f t="shared" ca="1" si="207"/>
        <v>0</v>
      </c>
    </row>
    <row r="6590" spans="1:4">
      <c r="A6590" s="348">
        <f t="shared" si="206"/>
        <v>6589</v>
      </c>
      <c r="B6590" s="360">
        <f>DATE('Profit Calculation'!J$6,A$2,A$2+A6590-1)</f>
        <v>48593</v>
      </c>
      <c r="D6590" s="362">
        <f t="shared" ca="1" si="207"/>
        <v>0</v>
      </c>
    </row>
    <row r="6591" spans="1:4">
      <c r="A6591" s="348">
        <f t="shared" si="206"/>
        <v>6590</v>
      </c>
      <c r="B6591" s="360">
        <f>DATE('Profit Calculation'!J$6,A$2,A$2+A6591-1)</f>
        <v>48594</v>
      </c>
      <c r="D6591" s="362">
        <f t="shared" ca="1" si="207"/>
        <v>0</v>
      </c>
    </row>
    <row r="6592" spans="1:4">
      <c r="A6592" s="348">
        <f t="shared" si="206"/>
        <v>6591</v>
      </c>
      <c r="B6592" s="360">
        <f>DATE('Profit Calculation'!J$6,A$2,A$2+A6592-1)</f>
        <v>48595</v>
      </c>
      <c r="D6592" s="362">
        <f t="shared" ca="1" si="207"/>
        <v>0</v>
      </c>
    </row>
    <row r="6593" spans="1:4">
      <c r="A6593" s="348">
        <f t="shared" si="206"/>
        <v>6592</v>
      </c>
      <c r="B6593" s="360">
        <f>DATE('Profit Calculation'!J$6,A$2,A$2+A6593-1)</f>
        <v>48596</v>
      </c>
      <c r="D6593" s="362">
        <f t="shared" ca="1" si="207"/>
        <v>0</v>
      </c>
    </row>
    <row r="6594" spans="1:4">
      <c r="A6594" s="348">
        <f t="shared" si="206"/>
        <v>6593</v>
      </c>
      <c r="B6594" s="360">
        <f>DATE('Profit Calculation'!J$6,A$2,A$2+A6594-1)</f>
        <v>48597</v>
      </c>
      <c r="D6594" s="362">
        <f t="shared" ca="1" si="207"/>
        <v>0</v>
      </c>
    </row>
    <row r="6595" spans="1:4">
      <c r="A6595" s="348">
        <f t="shared" si="206"/>
        <v>6594</v>
      </c>
      <c r="B6595" s="360">
        <f>DATE('Profit Calculation'!J$6,A$2,A$2+A6595-1)</f>
        <v>48598</v>
      </c>
      <c r="D6595" s="362">
        <f t="shared" ca="1" si="207"/>
        <v>0</v>
      </c>
    </row>
    <row r="6596" spans="1:4">
      <c r="A6596" s="348">
        <f t="shared" si="206"/>
        <v>6595</v>
      </c>
      <c r="B6596" s="360">
        <f>DATE('Profit Calculation'!J$6,A$2,A$2+A6596-1)</f>
        <v>48599</v>
      </c>
      <c r="D6596" s="362">
        <f t="shared" ca="1" si="207"/>
        <v>0</v>
      </c>
    </row>
    <row r="6597" spans="1:4">
      <c r="A6597" s="348">
        <f t="shared" ref="A6597:A6603" si="208">A6596+1</f>
        <v>6596</v>
      </c>
      <c r="B6597" s="360">
        <f>DATE('Profit Calculation'!J$6,A$2,A$2+A6597-1)</f>
        <v>48600</v>
      </c>
      <c r="D6597" s="362">
        <f t="shared" ref="D6597:D6603" ca="1" si="209">IF(OR(LOOKUP(B6597,W$1:W$35,W$1:W$35) = B6597, LOOKUP(B6597,X$1:X$35,X$1:X$35) = B6597),LOOKUP(B6597,F:F,G:G),D6596*(1+((IF($Q$18&lt;6,$R$14,IF($Q$18&lt;11,$R$15,$R$16)))))^(1/365))</f>
        <v>0</v>
      </c>
    </row>
    <row r="6598" spans="1:4">
      <c r="A6598" s="348">
        <f t="shared" si="208"/>
        <v>6597</v>
      </c>
      <c r="B6598" s="360">
        <f>DATE('Profit Calculation'!J$6,A$2,A$2+A6598-1)</f>
        <v>48601</v>
      </c>
      <c r="D6598" s="362">
        <f t="shared" ca="1" si="209"/>
        <v>0</v>
      </c>
    </row>
    <row r="6599" spans="1:4">
      <c r="A6599" s="348">
        <f t="shared" si="208"/>
        <v>6598</v>
      </c>
      <c r="B6599" s="360">
        <f>DATE('Profit Calculation'!J$6,A$2,A$2+A6599-1)</f>
        <v>48602</v>
      </c>
      <c r="D6599" s="362">
        <f t="shared" ca="1" si="209"/>
        <v>0</v>
      </c>
    </row>
    <row r="6600" spans="1:4">
      <c r="A6600" s="348">
        <f t="shared" si="208"/>
        <v>6599</v>
      </c>
      <c r="B6600" s="360">
        <f>DATE('Profit Calculation'!J$6,A$2,A$2+A6600-1)</f>
        <v>48603</v>
      </c>
      <c r="D6600" s="362">
        <f t="shared" ca="1" si="209"/>
        <v>0</v>
      </c>
    </row>
    <row r="6601" spans="1:4">
      <c r="A6601" s="348">
        <f t="shared" si="208"/>
        <v>6600</v>
      </c>
      <c r="B6601" s="360">
        <f>DATE('Profit Calculation'!J$6,A$2,A$2+A6601-1)</f>
        <v>48604</v>
      </c>
      <c r="D6601" s="362">
        <f t="shared" ca="1" si="209"/>
        <v>0</v>
      </c>
    </row>
    <row r="6602" spans="1:4">
      <c r="A6602" s="348">
        <f t="shared" si="208"/>
        <v>6601</v>
      </c>
      <c r="B6602" s="360">
        <f>DATE('Profit Calculation'!J$6,A$2,A$2+A6602-1)</f>
        <v>48605</v>
      </c>
      <c r="D6602" s="362">
        <f t="shared" ca="1" si="209"/>
        <v>0</v>
      </c>
    </row>
    <row r="6603" spans="1:4">
      <c r="A6603" s="348">
        <f t="shared" si="208"/>
        <v>6602</v>
      </c>
      <c r="B6603" s="360">
        <f>DATE('Profit Calculation'!J$6,A$2,A$2+A6603-1)</f>
        <v>48606</v>
      </c>
      <c r="D6603" s="362">
        <f t="shared" ca="1" si="209"/>
        <v>0</v>
      </c>
    </row>
  </sheetData>
  <mergeCells count="34">
    <mergeCell ref="M24:O25"/>
    <mergeCell ref="P24:P25"/>
    <mergeCell ref="Q24:S25"/>
    <mergeCell ref="M27:O28"/>
    <mergeCell ref="P27:P28"/>
    <mergeCell ref="Q27:S28"/>
    <mergeCell ref="M17:S17"/>
    <mergeCell ref="M18:O19"/>
    <mergeCell ref="P18:P19"/>
    <mergeCell ref="Q18:S19"/>
    <mergeCell ref="M21:O22"/>
    <mergeCell ref="P21:P22"/>
    <mergeCell ref="Q21:S22"/>
    <mergeCell ref="O16:Q16"/>
    <mergeCell ref="R16:S16"/>
    <mergeCell ref="M15:N15"/>
    <mergeCell ref="O15:Q15"/>
    <mergeCell ref="R15:S15"/>
    <mergeCell ref="L4:T6"/>
    <mergeCell ref="L7:L25"/>
    <mergeCell ref="M7:O8"/>
    <mergeCell ref="P7:P8"/>
    <mergeCell ref="Q7:S8"/>
    <mergeCell ref="T7:T25"/>
    <mergeCell ref="M9:S9"/>
    <mergeCell ref="M10:O11"/>
    <mergeCell ref="P10:P11"/>
    <mergeCell ref="Q10:S11"/>
    <mergeCell ref="M12:S12"/>
    <mergeCell ref="M13:S13"/>
    <mergeCell ref="M14:N14"/>
    <mergeCell ref="O14:Q14"/>
    <mergeCell ref="R14:S14"/>
    <mergeCell ref="M16:N16"/>
  </mergeCells>
  <pageMargins left="0.7" right="0.7" top="0.75" bottom="0.75" header="0.3" footer="0.3"/>
  <pageSetup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80"/>
  <sheetViews>
    <sheetView workbookViewId="0">
      <selection activeCell="C21" sqref="C21:F21"/>
    </sheetView>
  </sheetViews>
  <sheetFormatPr defaultRowHeight="15"/>
  <cols>
    <col min="1" max="1" width="9.140625" style="361"/>
    <col min="2" max="16384" width="9.140625" style="11"/>
  </cols>
  <sheetData>
    <row r="1" spans="1:6" ht="12.75" customHeight="1">
      <c r="A1" s="589" t="s">
        <v>98</v>
      </c>
      <c r="B1" s="590">
        <v>1</v>
      </c>
      <c r="C1" s="591">
        <v>365</v>
      </c>
      <c r="D1" s="591"/>
      <c r="E1" s="591"/>
      <c r="F1" s="591"/>
    </row>
    <row r="2" spans="1:6" ht="12.75" customHeight="1">
      <c r="A2" s="589"/>
      <c r="B2" s="590"/>
      <c r="C2" s="591"/>
      <c r="D2" s="591"/>
      <c r="E2" s="591"/>
      <c r="F2" s="591"/>
    </row>
    <row r="3" spans="1:6" ht="12.75" customHeight="1">
      <c r="A3" s="589"/>
      <c r="B3" s="590"/>
      <c r="C3" s="591"/>
      <c r="D3" s="591"/>
      <c r="E3" s="591"/>
      <c r="F3" s="591"/>
    </row>
    <row r="4" spans="1:6">
      <c r="A4" s="377">
        <v>1</v>
      </c>
      <c r="B4" s="378">
        <f>('Profit Calculation'!$Z$10-IF(A4&lt;6,'reserve calculation'!$R$14,IF(A4&lt;11,'reserve calculation'!$R$15,'reserve calculation'!$R$16)))</f>
        <v>2.0000000000000018E-2</v>
      </c>
      <c r="C4" s="586">
        <f>(1+0.85*B4)^(1/365)-1</f>
        <v>4.6184948865768405E-5</v>
      </c>
      <c r="D4" s="587"/>
      <c r="E4" s="587"/>
      <c r="F4" s="588"/>
    </row>
    <row r="5" spans="1:6">
      <c r="A5" s="377">
        <f>A4+1</f>
        <v>2</v>
      </c>
      <c r="B5" s="378">
        <f>('Profit Calculation'!$Z$10-IF(A5&lt;6,'reserve calculation'!$R$14,IF(A5&lt;11,'reserve calculation'!$R$15,'reserve calculation'!$R$16)))</f>
        <v>2.0000000000000018E-2</v>
      </c>
      <c r="C5" s="586">
        <f t="shared" ref="C5:C50" si="0">(1+0.85*B5)^(1/365)-1</f>
        <v>4.6184948865768405E-5</v>
      </c>
      <c r="D5" s="587"/>
      <c r="E5" s="587"/>
      <c r="F5" s="588"/>
    </row>
    <row r="6" spans="1:6">
      <c r="A6" s="377">
        <f t="shared" ref="A6:A50" si="1">A5+1</f>
        <v>3</v>
      </c>
      <c r="B6" s="378">
        <f>('Profit Calculation'!$Z$10-IF(A6&lt;6,'reserve calculation'!$R$14,IF(A6&lt;11,'reserve calculation'!$R$15,'reserve calculation'!$R$16)))</f>
        <v>2.0000000000000018E-2</v>
      </c>
      <c r="C6" s="586">
        <f t="shared" si="0"/>
        <v>4.6184948865768405E-5</v>
      </c>
      <c r="D6" s="587"/>
      <c r="E6" s="587"/>
      <c r="F6" s="588"/>
    </row>
    <row r="7" spans="1:6">
      <c r="A7" s="377">
        <f t="shared" si="1"/>
        <v>4</v>
      </c>
      <c r="B7" s="378">
        <f>('Profit Calculation'!$Z$10-IF(A7&lt;6,'reserve calculation'!$R$14,IF(A7&lt;11,'reserve calculation'!$R$15,'reserve calculation'!$R$16)))</f>
        <v>2.0000000000000018E-2</v>
      </c>
      <c r="C7" s="586">
        <f t="shared" si="0"/>
        <v>4.6184948865768405E-5</v>
      </c>
      <c r="D7" s="587"/>
      <c r="E7" s="587"/>
      <c r="F7" s="588"/>
    </row>
    <row r="8" spans="1:6">
      <c r="A8" s="377">
        <f t="shared" si="1"/>
        <v>5</v>
      </c>
      <c r="B8" s="378">
        <f>('Profit Calculation'!$Z$10-IF(A8&lt;6,'reserve calculation'!$R$14,IF(A8&lt;11,'reserve calculation'!$R$15,'reserve calculation'!$R$16)))</f>
        <v>2.0000000000000018E-2</v>
      </c>
      <c r="C8" s="586">
        <f t="shared" si="0"/>
        <v>4.6184948865768405E-5</v>
      </c>
      <c r="D8" s="587"/>
      <c r="E8" s="587"/>
      <c r="F8" s="588"/>
    </row>
    <row r="9" spans="1:6">
      <c r="A9" s="377">
        <f t="shared" si="1"/>
        <v>6</v>
      </c>
      <c r="B9" s="378">
        <f>('Profit Calculation'!$Z$10-IF(A9&lt;6,'reserve calculation'!$R$14,IF(A9&lt;11,'reserve calculation'!$R$15,'reserve calculation'!$R$16)))</f>
        <v>5.0000000000000017E-2</v>
      </c>
      <c r="C9" s="586">
        <f t="shared" si="0"/>
        <v>1.1403848734836686E-4</v>
      </c>
      <c r="D9" s="587"/>
      <c r="E9" s="587"/>
      <c r="F9" s="588"/>
    </row>
    <row r="10" spans="1:6">
      <c r="A10" s="377">
        <f t="shared" si="1"/>
        <v>7</v>
      </c>
      <c r="B10" s="378">
        <f>('Profit Calculation'!$Z$10-IF(A10&lt;6,'reserve calculation'!$R$14,IF(A10&lt;11,'reserve calculation'!$R$15,'reserve calculation'!$R$16)))</f>
        <v>5.0000000000000017E-2</v>
      </c>
      <c r="C10" s="586">
        <f t="shared" si="0"/>
        <v>1.1403848734836686E-4</v>
      </c>
      <c r="D10" s="587"/>
      <c r="E10" s="587"/>
      <c r="F10" s="588"/>
    </row>
    <row r="11" spans="1:6">
      <c r="A11" s="377">
        <f t="shared" si="1"/>
        <v>8</v>
      </c>
      <c r="B11" s="378">
        <f>('Profit Calculation'!$Z$10-IF(A11&lt;6,'reserve calculation'!$R$14,IF(A11&lt;11,'reserve calculation'!$R$15,'reserve calculation'!$R$16)))</f>
        <v>5.0000000000000017E-2</v>
      </c>
      <c r="C11" s="586">
        <f t="shared" si="0"/>
        <v>1.1403848734836686E-4</v>
      </c>
      <c r="D11" s="587"/>
      <c r="E11" s="587"/>
      <c r="F11" s="588"/>
    </row>
    <row r="12" spans="1:6">
      <c r="A12" s="377">
        <f t="shared" si="1"/>
        <v>9</v>
      </c>
      <c r="B12" s="378">
        <f>('Profit Calculation'!$Z$10-IF(A12&lt;6,'reserve calculation'!$R$14,IF(A12&lt;11,'reserve calculation'!$R$15,'reserve calculation'!$R$16)))</f>
        <v>5.0000000000000017E-2</v>
      </c>
      <c r="C12" s="586">
        <f t="shared" si="0"/>
        <v>1.1403848734836686E-4</v>
      </c>
      <c r="D12" s="587"/>
      <c r="E12" s="587"/>
      <c r="F12" s="588"/>
    </row>
    <row r="13" spans="1:6">
      <c r="A13" s="377">
        <f t="shared" si="1"/>
        <v>10</v>
      </c>
      <c r="B13" s="378">
        <f>('Profit Calculation'!$Z$10-IF(A13&lt;6,'reserve calculation'!$R$14,IF(A13&lt;11,'reserve calculation'!$R$15,'reserve calculation'!$R$16)))</f>
        <v>5.0000000000000017E-2</v>
      </c>
      <c r="C13" s="586">
        <f t="shared" si="0"/>
        <v>1.1403848734836686E-4</v>
      </c>
      <c r="D13" s="587"/>
      <c r="E13" s="587"/>
      <c r="F13" s="588"/>
    </row>
    <row r="14" spans="1:6">
      <c r="A14" s="377">
        <f t="shared" si="1"/>
        <v>11</v>
      </c>
      <c r="B14" s="378">
        <f>('Profit Calculation'!$Z$10-IF(A14&lt;6,'reserve calculation'!$R$14,IF(A14&lt;11,'reserve calculation'!$R$15,'reserve calculation'!$R$16)))</f>
        <v>5.0000000000000017E-2</v>
      </c>
      <c r="C14" s="586">
        <f t="shared" si="0"/>
        <v>1.1403848734836686E-4</v>
      </c>
      <c r="D14" s="587"/>
      <c r="E14" s="587"/>
      <c r="F14" s="588"/>
    </row>
    <row r="15" spans="1:6">
      <c r="A15" s="377">
        <f t="shared" si="1"/>
        <v>12</v>
      </c>
      <c r="B15" s="378">
        <f>('Profit Calculation'!$Z$10-IF(A15&lt;6,'reserve calculation'!$R$14,IF(A15&lt;11,'reserve calculation'!$R$15,'reserve calculation'!$R$16)))</f>
        <v>5.0000000000000017E-2</v>
      </c>
      <c r="C15" s="586">
        <f t="shared" si="0"/>
        <v>1.1403848734836686E-4</v>
      </c>
      <c r="D15" s="587"/>
      <c r="E15" s="587"/>
      <c r="F15" s="588"/>
    </row>
    <row r="16" spans="1:6">
      <c r="A16" s="377">
        <f t="shared" si="1"/>
        <v>13</v>
      </c>
      <c r="B16" s="378">
        <f>('Profit Calculation'!$Z$10-IF(A16&lt;6,'reserve calculation'!$R$14,IF(A16&lt;11,'reserve calculation'!$R$15,'reserve calculation'!$R$16)))</f>
        <v>5.0000000000000017E-2</v>
      </c>
      <c r="C16" s="586">
        <f t="shared" si="0"/>
        <v>1.1403848734836686E-4</v>
      </c>
      <c r="D16" s="587"/>
      <c r="E16" s="587"/>
      <c r="F16" s="588"/>
    </row>
    <row r="17" spans="1:6">
      <c r="A17" s="377">
        <f t="shared" si="1"/>
        <v>14</v>
      </c>
      <c r="B17" s="378">
        <f>('Profit Calculation'!$Z$10-IF(A17&lt;6,'reserve calculation'!$R$14,IF(A17&lt;11,'reserve calculation'!$R$15,'reserve calculation'!$R$16)))</f>
        <v>5.0000000000000017E-2</v>
      </c>
      <c r="C17" s="586">
        <f t="shared" si="0"/>
        <v>1.1403848734836686E-4</v>
      </c>
      <c r="D17" s="587"/>
      <c r="E17" s="587"/>
      <c r="F17" s="588"/>
    </row>
    <row r="18" spans="1:6">
      <c r="A18" s="377">
        <f t="shared" si="1"/>
        <v>15</v>
      </c>
      <c r="B18" s="378">
        <f>('Profit Calculation'!$Z$10-IF(A18&lt;6,'reserve calculation'!$R$14,IF(A18&lt;11,'reserve calculation'!$R$15,'reserve calculation'!$R$16)))</f>
        <v>5.0000000000000017E-2</v>
      </c>
      <c r="C18" s="586">
        <f t="shared" si="0"/>
        <v>1.1403848734836686E-4</v>
      </c>
      <c r="D18" s="587"/>
      <c r="E18" s="587"/>
      <c r="F18" s="588"/>
    </row>
    <row r="19" spans="1:6">
      <c r="A19" s="377">
        <f t="shared" si="1"/>
        <v>16</v>
      </c>
      <c r="B19" s="378">
        <f>('Profit Calculation'!$Z$10-IF(A19&lt;6,'reserve calculation'!$R$14,IF(A19&lt;11,'reserve calculation'!$R$15,'reserve calculation'!$R$16)))</f>
        <v>5.0000000000000017E-2</v>
      </c>
      <c r="C19" s="586">
        <f t="shared" si="0"/>
        <v>1.1403848734836686E-4</v>
      </c>
      <c r="D19" s="587"/>
      <c r="E19" s="587"/>
      <c r="F19" s="588"/>
    </row>
    <row r="20" spans="1:6">
      <c r="A20" s="377">
        <f t="shared" si="1"/>
        <v>17</v>
      </c>
      <c r="B20" s="378">
        <f>('Profit Calculation'!$Z$10-IF(A20&lt;6,'reserve calculation'!$R$14,IF(A20&lt;11,'reserve calculation'!$R$15,'reserve calculation'!$R$16)))</f>
        <v>5.0000000000000017E-2</v>
      </c>
      <c r="C20" s="586">
        <f t="shared" si="0"/>
        <v>1.1403848734836686E-4</v>
      </c>
      <c r="D20" s="587"/>
      <c r="E20" s="587"/>
      <c r="F20" s="588"/>
    </row>
    <row r="21" spans="1:6">
      <c r="A21" s="377">
        <f t="shared" si="1"/>
        <v>18</v>
      </c>
      <c r="B21" s="378">
        <f>('Profit Calculation'!$Z$10-IF(A21&lt;6,'reserve calculation'!$R$14,IF(A21&lt;11,'reserve calculation'!$R$15,'reserve calculation'!$R$16)))</f>
        <v>5.0000000000000017E-2</v>
      </c>
      <c r="C21" s="586">
        <f t="shared" si="0"/>
        <v>1.1403848734836686E-4</v>
      </c>
      <c r="D21" s="587"/>
      <c r="E21" s="587"/>
      <c r="F21" s="588"/>
    </row>
    <row r="22" spans="1:6">
      <c r="A22" s="377">
        <f t="shared" si="1"/>
        <v>19</v>
      </c>
      <c r="B22" s="378">
        <f>('Profit Calculation'!$Z$10-IF(A22&lt;6,'reserve calculation'!$R$14,IF(A22&lt;11,'reserve calculation'!$R$15,'reserve calculation'!$R$16)))</f>
        <v>5.0000000000000017E-2</v>
      </c>
      <c r="C22" s="586">
        <f t="shared" si="0"/>
        <v>1.1403848734836686E-4</v>
      </c>
      <c r="D22" s="587"/>
      <c r="E22" s="587"/>
      <c r="F22" s="588"/>
    </row>
    <row r="23" spans="1:6">
      <c r="A23" s="377">
        <f t="shared" si="1"/>
        <v>20</v>
      </c>
      <c r="B23" s="378">
        <f>('Profit Calculation'!$Z$10-IF(A23&lt;6,'reserve calculation'!$R$14,IF(A23&lt;11,'reserve calculation'!$R$15,'reserve calculation'!$R$16)))</f>
        <v>5.0000000000000017E-2</v>
      </c>
      <c r="C23" s="586">
        <f t="shared" si="0"/>
        <v>1.1403848734836686E-4</v>
      </c>
      <c r="D23" s="587"/>
      <c r="E23" s="587"/>
      <c r="F23" s="588"/>
    </row>
    <row r="24" spans="1:6">
      <c r="A24" s="377">
        <f t="shared" si="1"/>
        <v>21</v>
      </c>
      <c r="B24" s="378">
        <f>('Profit Calculation'!$Z$10-IF(A24&lt;6,'reserve calculation'!$R$14,IF(A24&lt;11,'reserve calculation'!$R$15,'reserve calculation'!$R$16)))</f>
        <v>5.0000000000000017E-2</v>
      </c>
      <c r="C24" s="586">
        <f t="shared" si="0"/>
        <v>1.1403848734836686E-4</v>
      </c>
      <c r="D24" s="587"/>
      <c r="E24" s="587"/>
      <c r="F24" s="588"/>
    </row>
    <row r="25" spans="1:6">
      <c r="A25" s="377">
        <f t="shared" si="1"/>
        <v>22</v>
      </c>
      <c r="B25" s="378">
        <f>('Profit Calculation'!$Z$10-IF(A25&lt;6,'reserve calculation'!$R$14,IF(A25&lt;11,'reserve calculation'!$R$15,'reserve calculation'!$R$16)))</f>
        <v>5.0000000000000017E-2</v>
      </c>
      <c r="C25" s="586">
        <f t="shared" si="0"/>
        <v>1.1403848734836686E-4</v>
      </c>
      <c r="D25" s="587"/>
      <c r="E25" s="587"/>
      <c r="F25" s="588"/>
    </row>
    <row r="26" spans="1:6">
      <c r="A26" s="377">
        <f t="shared" si="1"/>
        <v>23</v>
      </c>
      <c r="B26" s="378">
        <f>('Profit Calculation'!$Z$10-IF(A26&lt;6,'reserve calculation'!$R$14,IF(A26&lt;11,'reserve calculation'!$R$15,'reserve calculation'!$R$16)))</f>
        <v>5.0000000000000017E-2</v>
      </c>
      <c r="C26" s="586">
        <f t="shared" si="0"/>
        <v>1.1403848734836686E-4</v>
      </c>
      <c r="D26" s="587"/>
      <c r="E26" s="587"/>
      <c r="F26" s="588"/>
    </row>
    <row r="27" spans="1:6">
      <c r="A27" s="377">
        <f t="shared" si="1"/>
        <v>24</v>
      </c>
      <c r="B27" s="378">
        <f>('Profit Calculation'!$Z$10-IF(A27&lt;6,'reserve calculation'!$R$14,IF(A27&lt;11,'reserve calculation'!$R$15,'reserve calculation'!$R$16)))</f>
        <v>5.0000000000000017E-2</v>
      </c>
      <c r="C27" s="586">
        <f t="shared" si="0"/>
        <v>1.1403848734836686E-4</v>
      </c>
      <c r="D27" s="587"/>
      <c r="E27" s="587"/>
      <c r="F27" s="588"/>
    </row>
    <row r="28" spans="1:6">
      <c r="A28" s="377">
        <f t="shared" si="1"/>
        <v>25</v>
      </c>
      <c r="B28" s="378">
        <f>('Profit Calculation'!$Z$10-IF(A28&lt;6,'reserve calculation'!$R$14,IF(A28&lt;11,'reserve calculation'!$R$15,'reserve calculation'!$R$16)))</f>
        <v>5.0000000000000017E-2</v>
      </c>
      <c r="C28" s="586">
        <f t="shared" si="0"/>
        <v>1.1403848734836686E-4</v>
      </c>
      <c r="D28" s="587"/>
      <c r="E28" s="587"/>
      <c r="F28" s="588"/>
    </row>
    <row r="29" spans="1:6">
      <c r="A29" s="377">
        <f t="shared" si="1"/>
        <v>26</v>
      </c>
      <c r="B29" s="378">
        <f>('Profit Calculation'!$Z$10-IF(A29&lt;6,'reserve calculation'!$R$14,IF(A29&lt;11,'reserve calculation'!$R$15,'reserve calculation'!$R$16)))</f>
        <v>5.0000000000000017E-2</v>
      </c>
      <c r="C29" s="586">
        <f t="shared" si="0"/>
        <v>1.1403848734836686E-4</v>
      </c>
      <c r="D29" s="587"/>
      <c r="E29" s="587"/>
      <c r="F29" s="588"/>
    </row>
    <row r="30" spans="1:6">
      <c r="A30" s="377">
        <f t="shared" si="1"/>
        <v>27</v>
      </c>
      <c r="B30" s="378">
        <f>('Profit Calculation'!$Z$10-IF(A30&lt;6,'reserve calculation'!$R$14,IF(A30&lt;11,'reserve calculation'!$R$15,'reserve calculation'!$R$16)))</f>
        <v>5.0000000000000017E-2</v>
      </c>
      <c r="C30" s="586">
        <f t="shared" si="0"/>
        <v>1.1403848734836686E-4</v>
      </c>
      <c r="D30" s="587"/>
      <c r="E30" s="587"/>
      <c r="F30" s="588"/>
    </row>
    <row r="31" spans="1:6">
      <c r="A31" s="377">
        <f t="shared" si="1"/>
        <v>28</v>
      </c>
      <c r="B31" s="378">
        <f>('Profit Calculation'!$Z$10-IF(A31&lt;6,'reserve calculation'!$R$14,IF(A31&lt;11,'reserve calculation'!$R$15,'reserve calculation'!$R$16)))</f>
        <v>5.0000000000000017E-2</v>
      </c>
      <c r="C31" s="586">
        <f t="shared" si="0"/>
        <v>1.1403848734836686E-4</v>
      </c>
      <c r="D31" s="587"/>
      <c r="E31" s="587"/>
      <c r="F31" s="588"/>
    </row>
    <row r="32" spans="1:6">
      <c r="A32" s="377">
        <f t="shared" si="1"/>
        <v>29</v>
      </c>
      <c r="B32" s="378">
        <f>('Profit Calculation'!$Z$10-IF(A32&lt;6,'reserve calculation'!$R$14,IF(A32&lt;11,'reserve calculation'!$R$15,'reserve calculation'!$R$16)))</f>
        <v>5.0000000000000017E-2</v>
      </c>
      <c r="C32" s="586">
        <f t="shared" si="0"/>
        <v>1.1403848734836686E-4</v>
      </c>
      <c r="D32" s="587"/>
      <c r="E32" s="587"/>
      <c r="F32" s="588"/>
    </row>
    <row r="33" spans="1:6">
      <c r="A33" s="377">
        <f t="shared" si="1"/>
        <v>30</v>
      </c>
      <c r="B33" s="378">
        <f>('Profit Calculation'!$Z$10-IF(A33&lt;6,'reserve calculation'!$R$14,IF(A33&lt;11,'reserve calculation'!$R$15,'reserve calculation'!$R$16)))</f>
        <v>5.0000000000000017E-2</v>
      </c>
      <c r="C33" s="586">
        <f t="shared" si="0"/>
        <v>1.1403848734836686E-4</v>
      </c>
      <c r="D33" s="587"/>
      <c r="E33" s="587"/>
      <c r="F33" s="588"/>
    </row>
    <row r="34" spans="1:6">
      <c r="A34" s="377">
        <f t="shared" si="1"/>
        <v>31</v>
      </c>
      <c r="B34" s="378">
        <f>('Profit Calculation'!$Z$10-IF(A34&lt;6,'reserve calculation'!$R$14,IF(A34&lt;11,'reserve calculation'!$R$15,'reserve calculation'!$R$16)))</f>
        <v>5.0000000000000017E-2</v>
      </c>
      <c r="C34" s="586">
        <f t="shared" si="0"/>
        <v>1.1403848734836686E-4</v>
      </c>
      <c r="D34" s="587"/>
      <c r="E34" s="587"/>
      <c r="F34" s="588"/>
    </row>
    <row r="35" spans="1:6">
      <c r="A35" s="377">
        <f t="shared" si="1"/>
        <v>32</v>
      </c>
      <c r="B35" s="378">
        <f>('Profit Calculation'!$Z$10-IF(A35&lt;6,'reserve calculation'!$R$14,IF(A35&lt;11,'reserve calculation'!$R$15,'reserve calculation'!$R$16)))</f>
        <v>5.0000000000000017E-2</v>
      </c>
      <c r="C35" s="586">
        <f t="shared" si="0"/>
        <v>1.1403848734836686E-4</v>
      </c>
      <c r="D35" s="587"/>
      <c r="E35" s="587"/>
      <c r="F35" s="588"/>
    </row>
    <row r="36" spans="1:6">
      <c r="A36" s="377">
        <f t="shared" si="1"/>
        <v>33</v>
      </c>
      <c r="B36" s="378">
        <f>('Profit Calculation'!$Z$10-IF(A36&lt;6,'reserve calculation'!$R$14,IF(A36&lt;11,'reserve calculation'!$R$15,'reserve calculation'!$R$16)))</f>
        <v>5.0000000000000017E-2</v>
      </c>
      <c r="C36" s="586">
        <f t="shared" si="0"/>
        <v>1.1403848734836686E-4</v>
      </c>
      <c r="D36" s="587"/>
      <c r="E36" s="587"/>
      <c r="F36" s="588"/>
    </row>
    <row r="37" spans="1:6">
      <c r="A37" s="377">
        <f t="shared" si="1"/>
        <v>34</v>
      </c>
      <c r="B37" s="378">
        <f>('Profit Calculation'!$Z$10-IF(A37&lt;6,'reserve calculation'!$R$14,IF(A37&lt;11,'reserve calculation'!$R$15,'reserve calculation'!$R$16)))</f>
        <v>5.0000000000000017E-2</v>
      </c>
      <c r="C37" s="586">
        <f t="shared" si="0"/>
        <v>1.1403848734836686E-4</v>
      </c>
      <c r="D37" s="587"/>
      <c r="E37" s="587"/>
      <c r="F37" s="588"/>
    </row>
    <row r="38" spans="1:6">
      <c r="A38" s="377">
        <f t="shared" si="1"/>
        <v>35</v>
      </c>
      <c r="B38" s="378">
        <f>('Profit Calculation'!$Z$10-IF(A38&lt;6,'reserve calculation'!$R$14,IF(A38&lt;11,'reserve calculation'!$R$15,'reserve calculation'!$R$16)))</f>
        <v>5.0000000000000017E-2</v>
      </c>
      <c r="C38" s="586">
        <f t="shared" si="0"/>
        <v>1.1403848734836686E-4</v>
      </c>
      <c r="D38" s="587"/>
      <c r="E38" s="587"/>
      <c r="F38" s="588"/>
    </row>
    <row r="39" spans="1:6">
      <c r="A39" s="377">
        <f t="shared" si="1"/>
        <v>36</v>
      </c>
      <c r="B39" s="378">
        <f>('Profit Calculation'!$Z$10-IF(A39&lt;6,'reserve calculation'!$R$14,IF(A39&lt;11,'reserve calculation'!$R$15,'reserve calculation'!$R$16)))</f>
        <v>5.0000000000000017E-2</v>
      </c>
      <c r="C39" s="586">
        <f t="shared" si="0"/>
        <v>1.1403848734836686E-4</v>
      </c>
      <c r="D39" s="587"/>
      <c r="E39" s="587"/>
      <c r="F39" s="588"/>
    </row>
    <row r="40" spans="1:6">
      <c r="A40" s="377">
        <f t="shared" si="1"/>
        <v>37</v>
      </c>
      <c r="B40" s="378">
        <f>('Profit Calculation'!$Z$10-IF(A40&lt;6,'reserve calculation'!$R$14,IF(A40&lt;11,'reserve calculation'!$R$15,'reserve calculation'!$R$16)))</f>
        <v>5.0000000000000017E-2</v>
      </c>
      <c r="C40" s="586">
        <f t="shared" si="0"/>
        <v>1.1403848734836686E-4</v>
      </c>
      <c r="D40" s="587"/>
      <c r="E40" s="587"/>
      <c r="F40" s="588"/>
    </row>
    <row r="41" spans="1:6">
      <c r="A41" s="377">
        <f t="shared" si="1"/>
        <v>38</v>
      </c>
      <c r="B41" s="378">
        <f>('Profit Calculation'!$Z$10-IF(A41&lt;6,'reserve calculation'!$R$14,IF(A41&lt;11,'reserve calculation'!$R$15,'reserve calculation'!$R$16)))</f>
        <v>5.0000000000000017E-2</v>
      </c>
      <c r="C41" s="586">
        <f t="shared" si="0"/>
        <v>1.1403848734836686E-4</v>
      </c>
      <c r="D41" s="587"/>
      <c r="E41" s="587"/>
      <c r="F41" s="588"/>
    </row>
    <row r="42" spans="1:6">
      <c r="A42" s="377">
        <f t="shared" si="1"/>
        <v>39</v>
      </c>
      <c r="B42" s="378">
        <f>('Profit Calculation'!$Z$10-IF(A42&lt;6,'reserve calculation'!$R$14,IF(A42&lt;11,'reserve calculation'!$R$15,'reserve calculation'!$R$16)))</f>
        <v>5.0000000000000017E-2</v>
      </c>
      <c r="C42" s="586">
        <f t="shared" si="0"/>
        <v>1.1403848734836686E-4</v>
      </c>
      <c r="D42" s="587"/>
      <c r="E42" s="587"/>
      <c r="F42" s="588"/>
    </row>
    <row r="43" spans="1:6">
      <c r="A43" s="377">
        <f t="shared" si="1"/>
        <v>40</v>
      </c>
      <c r="B43" s="378">
        <f>('Profit Calculation'!$Z$10-IF(A43&lt;6,'reserve calculation'!$R$14,IF(A43&lt;11,'reserve calculation'!$R$15,'reserve calculation'!$R$16)))</f>
        <v>5.0000000000000017E-2</v>
      </c>
      <c r="C43" s="586">
        <f t="shared" si="0"/>
        <v>1.1403848734836686E-4</v>
      </c>
      <c r="D43" s="587"/>
      <c r="E43" s="587"/>
      <c r="F43" s="588"/>
    </row>
    <row r="44" spans="1:6">
      <c r="A44" s="377">
        <f t="shared" si="1"/>
        <v>41</v>
      </c>
      <c r="B44" s="378">
        <f>('Profit Calculation'!$Z$10-IF(A44&lt;6,'reserve calculation'!$R$14,IF(A44&lt;11,'reserve calculation'!$R$15,'reserve calculation'!$R$16)))</f>
        <v>5.0000000000000017E-2</v>
      </c>
      <c r="C44" s="586">
        <f t="shared" si="0"/>
        <v>1.1403848734836686E-4</v>
      </c>
      <c r="D44" s="587"/>
      <c r="E44" s="587"/>
      <c r="F44" s="588"/>
    </row>
    <row r="45" spans="1:6">
      <c r="A45" s="377">
        <f t="shared" si="1"/>
        <v>42</v>
      </c>
      <c r="B45" s="378">
        <f>('Profit Calculation'!$Z$10-IF(A45&lt;6,'reserve calculation'!$R$14,IF(A45&lt;11,'reserve calculation'!$R$15,'reserve calculation'!$R$16)))</f>
        <v>5.0000000000000017E-2</v>
      </c>
      <c r="C45" s="586">
        <f t="shared" si="0"/>
        <v>1.1403848734836686E-4</v>
      </c>
      <c r="D45" s="587"/>
      <c r="E45" s="587"/>
      <c r="F45" s="588"/>
    </row>
    <row r="46" spans="1:6">
      <c r="A46" s="377">
        <f t="shared" si="1"/>
        <v>43</v>
      </c>
      <c r="B46" s="378">
        <f>('Profit Calculation'!$Z$10-IF(A46&lt;6,'reserve calculation'!$R$14,IF(A46&lt;11,'reserve calculation'!$R$15,'reserve calculation'!$R$16)))</f>
        <v>5.0000000000000017E-2</v>
      </c>
      <c r="C46" s="586">
        <f t="shared" si="0"/>
        <v>1.1403848734836686E-4</v>
      </c>
      <c r="D46" s="587"/>
      <c r="E46" s="587"/>
      <c r="F46" s="588"/>
    </row>
    <row r="47" spans="1:6">
      <c r="A47" s="377">
        <f t="shared" si="1"/>
        <v>44</v>
      </c>
      <c r="B47" s="378">
        <f>('Profit Calculation'!$Z$10-IF(A47&lt;6,'reserve calculation'!$R$14,IF(A47&lt;11,'reserve calculation'!$R$15,'reserve calculation'!$R$16)))</f>
        <v>5.0000000000000017E-2</v>
      </c>
      <c r="C47" s="586">
        <f t="shared" si="0"/>
        <v>1.1403848734836686E-4</v>
      </c>
      <c r="D47" s="587"/>
      <c r="E47" s="587"/>
      <c r="F47" s="588"/>
    </row>
    <row r="48" spans="1:6">
      <c r="A48" s="377">
        <f t="shared" si="1"/>
        <v>45</v>
      </c>
      <c r="B48" s="378">
        <f>('Profit Calculation'!$Z$10-IF(A48&lt;6,'reserve calculation'!$R$14,IF(A48&lt;11,'reserve calculation'!$R$15,'reserve calculation'!$R$16)))</f>
        <v>5.0000000000000017E-2</v>
      </c>
      <c r="C48" s="586">
        <f t="shared" si="0"/>
        <v>1.1403848734836686E-4</v>
      </c>
      <c r="D48" s="587"/>
      <c r="E48" s="587"/>
      <c r="F48" s="588"/>
    </row>
    <row r="49" spans="1:6">
      <c r="A49" s="377">
        <f t="shared" si="1"/>
        <v>46</v>
      </c>
      <c r="B49" s="378">
        <f>('Profit Calculation'!$Z$10-IF(A49&lt;6,'reserve calculation'!$R$14,IF(A49&lt;11,'reserve calculation'!$R$15,'reserve calculation'!$R$16)))</f>
        <v>5.0000000000000017E-2</v>
      </c>
      <c r="C49" s="586">
        <f t="shared" si="0"/>
        <v>1.1403848734836686E-4</v>
      </c>
      <c r="D49" s="587"/>
      <c r="E49" s="587"/>
      <c r="F49" s="588"/>
    </row>
    <row r="50" spans="1:6">
      <c r="A50" s="377">
        <f t="shared" si="1"/>
        <v>47</v>
      </c>
      <c r="B50" s="378">
        <f>('Profit Calculation'!$Z$10-IF(A50&lt;6,'reserve calculation'!$R$14,IF(A50&lt;11,'reserve calculation'!$R$15,'reserve calculation'!$R$16)))</f>
        <v>5.0000000000000017E-2</v>
      </c>
      <c r="C50" s="586">
        <f t="shared" si="0"/>
        <v>1.1403848734836686E-4</v>
      </c>
      <c r="D50" s="587"/>
      <c r="E50" s="587"/>
      <c r="F50" s="588"/>
    </row>
    <row r="51" spans="1:6">
      <c r="A51" s="11"/>
    </row>
    <row r="52" spans="1:6">
      <c r="A52" s="11"/>
    </row>
    <row r="53" spans="1:6">
      <c r="A53" s="11"/>
    </row>
    <row r="54" spans="1:6">
      <c r="A54" s="11"/>
    </row>
    <row r="55" spans="1:6">
      <c r="A55" s="11"/>
    </row>
    <row r="56" spans="1:6">
      <c r="A56" s="11"/>
    </row>
    <row r="57" spans="1:6">
      <c r="A57" s="11"/>
    </row>
    <row r="58" spans="1:6">
      <c r="A58" s="11"/>
    </row>
    <row r="59" spans="1:6">
      <c r="A59" s="11"/>
    </row>
    <row r="60" spans="1:6">
      <c r="A60" s="11"/>
    </row>
    <row r="61" spans="1:6">
      <c r="A61" s="11"/>
    </row>
    <row r="62" spans="1:6">
      <c r="A62" s="11"/>
    </row>
    <row r="63" spans="1:6">
      <c r="A63" s="11"/>
    </row>
    <row r="64" spans="1:6">
      <c r="A64" s="11"/>
    </row>
    <row r="65" spans="1:1">
      <c r="A65" s="11"/>
    </row>
    <row r="66" spans="1:1">
      <c r="A66" s="11"/>
    </row>
    <row r="67" spans="1:1">
      <c r="A67" s="11"/>
    </row>
    <row r="68" spans="1:1">
      <c r="A68" s="11"/>
    </row>
    <row r="69" spans="1:1">
      <c r="A69" s="11"/>
    </row>
    <row r="70" spans="1:1">
      <c r="A70" s="11"/>
    </row>
    <row r="71" spans="1:1">
      <c r="A71" s="11"/>
    </row>
    <row r="72" spans="1:1">
      <c r="A72" s="11"/>
    </row>
    <row r="73" spans="1:1">
      <c r="A73" s="11"/>
    </row>
    <row r="74" spans="1:1">
      <c r="A74" s="11"/>
    </row>
    <row r="75" spans="1:1">
      <c r="A75" s="11"/>
    </row>
    <row r="76" spans="1:1">
      <c r="A76" s="11"/>
    </row>
    <row r="77" spans="1:1">
      <c r="A77" s="11"/>
    </row>
    <row r="78" spans="1:1">
      <c r="A78" s="11"/>
    </row>
    <row r="79" spans="1:1">
      <c r="A79" s="11"/>
    </row>
    <row r="80" spans="1:1">
      <c r="A80" s="11"/>
    </row>
    <row r="81" spans="1:1">
      <c r="A81" s="11"/>
    </row>
    <row r="82" spans="1:1">
      <c r="A82" s="11"/>
    </row>
    <row r="83" spans="1:1">
      <c r="A83" s="11"/>
    </row>
    <row r="84" spans="1:1">
      <c r="A84" s="11"/>
    </row>
    <row r="85" spans="1:1">
      <c r="A85" s="11"/>
    </row>
    <row r="86" spans="1:1">
      <c r="A86" s="11"/>
    </row>
    <row r="87" spans="1:1">
      <c r="A87" s="11"/>
    </row>
    <row r="88" spans="1:1">
      <c r="A88" s="11"/>
    </row>
    <row r="89" spans="1:1">
      <c r="A89" s="11"/>
    </row>
    <row r="90" spans="1:1">
      <c r="A90" s="11"/>
    </row>
    <row r="91" spans="1:1">
      <c r="A91" s="11"/>
    </row>
    <row r="92" spans="1:1">
      <c r="A92" s="11"/>
    </row>
    <row r="93" spans="1:1">
      <c r="A93" s="11"/>
    </row>
    <row r="94" spans="1:1">
      <c r="A94" s="11"/>
    </row>
    <row r="95" spans="1:1">
      <c r="A95" s="11"/>
    </row>
    <row r="96" spans="1:1">
      <c r="A96" s="11"/>
    </row>
    <row r="97" spans="1:1">
      <c r="A97" s="11"/>
    </row>
    <row r="98" spans="1:1">
      <c r="A98" s="11"/>
    </row>
    <row r="99" spans="1:1">
      <c r="A99" s="11"/>
    </row>
    <row r="100" spans="1:1">
      <c r="A100" s="11"/>
    </row>
    <row r="101" spans="1:1">
      <c r="A101" s="11"/>
    </row>
    <row r="102" spans="1:1">
      <c r="A102" s="11"/>
    </row>
    <row r="103" spans="1:1">
      <c r="A103" s="11"/>
    </row>
    <row r="104" spans="1:1">
      <c r="A104" s="11"/>
    </row>
    <row r="105" spans="1:1">
      <c r="A105" s="11"/>
    </row>
    <row r="106" spans="1:1">
      <c r="A106" s="11"/>
    </row>
    <row r="107" spans="1:1">
      <c r="A107" s="11"/>
    </row>
    <row r="108" spans="1:1">
      <c r="A108" s="11"/>
    </row>
    <row r="109" spans="1:1">
      <c r="A109" s="11"/>
    </row>
    <row r="110" spans="1:1">
      <c r="A110" s="11"/>
    </row>
    <row r="111" spans="1:1">
      <c r="A111" s="11"/>
    </row>
    <row r="112" spans="1:1">
      <c r="A112" s="11"/>
    </row>
    <row r="113" spans="1:1">
      <c r="A113" s="11"/>
    </row>
    <row r="114" spans="1:1">
      <c r="A114" s="11"/>
    </row>
    <row r="115" spans="1:1">
      <c r="A115" s="11"/>
    </row>
    <row r="116" spans="1:1">
      <c r="A116" s="11"/>
    </row>
    <row r="117" spans="1:1">
      <c r="A117" s="11"/>
    </row>
    <row r="118" spans="1:1">
      <c r="A118" s="11"/>
    </row>
    <row r="119" spans="1:1">
      <c r="A119" s="11"/>
    </row>
    <row r="120" spans="1:1">
      <c r="A120" s="11"/>
    </row>
    <row r="121" spans="1:1">
      <c r="A121" s="11"/>
    </row>
    <row r="122" spans="1:1">
      <c r="A122" s="11"/>
    </row>
    <row r="123" spans="1:1">
      <c r="A123" s="11"/>
    </row>
    <row r="124" spans="1:1">
      <c r="A124" s="11"/>
    </row>
    <row r="125" spans="1:1">
      <c r="A125" s="11"/>
    </row>
    <row r="126" spans="1:1">
      <c r="A126" s="11"/>
    </row>
    <row r="127" spans="1:1">
      <c r="A127" s="11"/>
    </row>
    <row r="128" spans="1:1">
      <c r="A128" s="11"/>
    </row>
    <row r="129" spans="1:1">
      <c r="A129" s="11"/>
    </row>
    <row r="130" spans="1:1">
      <c r="A130" s="11"/>
    </row>
    <row r="131" spans="1:1">
      <c r="A131" s="11"/>
    </row>
    <row r="132" spans="1:1">
      <c r="A132" s="11"/>
    </row>
    <row r="133" spans="1:1">
      <c r="A133" s="11"/>
    </row>
    <row r="134" spans="1:1">
      <c r="A134" s="11"/>
    </row>
    <row r="135" spans="1:1">
      <c r="A135" s="11"/>
    </row>
    <row r="136" spans="1:1">
      <c r="A136" s="11"/>
    </row>
    <row r="137" spans="1:1">
      <c r="A137" s="11"/>
    </row>
    <row r="138" spans="1:1">
      <c r="A138" s="11"/>
    </row>
    <row r="139" spans="1:1">
      <c r="A139" s="11"/>
    </row>
    <row r="140" spans="1:1">
      <c r="A140" s="11"/>
    </row>
    <row r="141" spans="1:1">
      <c r="A141" s="11"/>
    </row>
    <row r="142" spans="1:1">
      <c r="A142" s="11"/>
    </row>
    <row r="143" spans="1:1">
      <c r="A143" s="11"/>
    </row>
    <row r="144" spans="1:1">
      <c r="A144" s="11"/>
    </row>
    <row r="145" spans="1:1">
      <c r="A145" s="11"/>
    </row>
    <row r="146" spans="1:1">
      <c r="A146" s="11"/>
    </row>
    <row r="147" spans="1:1">
      <c r="A147" s="11"/>
    </row>
    <row r="148" spans="1:1">
      <c r="A148" s="11"/>
    </row>
    <row r="149" spans="1:1">
      <c r="A149" s="11"/>
    </row>
    <row r="150" spans="1:1">
      <c r="A150" s="11"/>
    </row>
    <row r="151" spans="1:1">
      <c r="A151" s="11"/>
    </row>
    <row r="152" spans="1:1">
      <c r="A152" s="11"/>
    </row>
    <row r="153" spans="1:1">
      <c r="A153" s="11"/>
    </row>
    <row r="154" spans="1:1">
      <c r="A154" s="11"/>
    </row>
    <row r="155" spans="1:1">
      <c r="A155" s="11"/>
    </row>
    <row r="156" spans="1:1">
      <c r="A156" s="11"/>
    </row>
    <row r="157" spans="1:1">
      <c r="A157" s="11"/>
    </row>
    <row r="158" spans="1:1">
      <c r="A158" s="11"/>
    </row>
    <row r="159" spans="1:1">
      <c r="A159" s="11"/>
    </row>
    <row r="160" spans="1:1">
      <c r="A160" s="11"/>
    </row>
    <row r="161" spans="1:1">
      <c r="A161" s="11"/>
    </row>
    <row r="162" spans="1:1">
      <c r="A162" s="11"/>
    </row>
    <row r="163" spans="1:1">
      <c r="A163" s="11"/>
    </row>
    <row r="164" spans="1:1">
      <c r="A164" s="11"/>
    </row>
    <row r="165" spans="1:1">
      <c r="A165" s="11"/>
    </row>
    <row r="166" spans="1:1">
      <c r="A166" s="11"/>
    </row>
    <row r="167" spans="1:1">
      <c r="A167" s="11"/>
    </row>
    <row r="168" spans="1:1">
      <c r="A168" s="11"/>
    </row>
    <row r="169" spans="1:1">
      <c r="A169" s="11"/>
    </row>
    <row r="170" spans="1:1">
      <c r="A170" s="11"/>
    </row>
    <row r="171" spans="1:1">
      <c r="A171" s="11"/>
    </row>
    <row r="172" spans="1:1">
      <c r="A172" s="11"/>
    </row>
    <row r="173" spans="1:1">
      <c r="A173" s="11"/>
    </row>
    <row r="174" spans="1:1">
      <c r="A174" s="11"/>
    </row>
    <row r="175" spans="1:1">
      <c r="A175" s="11"/>
    </row>
    <row r="176" spans="1:1">
      <c r="A176" s="11"/>
    </row>
    <row r="177" spans="1:1">
      <c r="A177" s="11"/>
    </row>
    <row r="178" spans="1:1">
      <c r="A178" s="11"/>
    </row>
    <row r="179" spans="1:1">
      <c r="A179" s="11"/>
    </row>
    <row r="180" spans="1:1">
      <c r="A180" s="11"/>
    </row>
    <row r="181" spans="1:1">
      <c r="A181" s="11"/>
    </row>
    <row r="182" spans="1:1">
      <c r="A182" s="11"/>
    </row>
    <row r="183" spans="1:1">
      <c r="A183" s="11"/>
    </row>
    <row r="184" spans="1:1">
      <c r="A184" s="11"/>
    </row>
    <row r="185" spans="1:1">
      <c r="A185" s="11"/>
    </row>
    <row r="186" spans="1:1">
      <c r="A186" s="11"/>
    </row>
    <row r="187" spans="1:1">
      <c r="A187" s="11"/>
    </row>
    <row r="188" spans="1:1">
      <c r="A188" s="11"/>
    </row>
    <row r="189" spans="1:1">
      <c r="A189" s="11"/>
    </row>
    <row r="190" spans="1:1">
      <c r="A190" s="11"/>
    </row>
    <row r="191" spans="1:1">
      <c r="A191" s="11"/>
    </row>
    <row r="192" spans="1:1">
      <c r="A192" s="11"/>
    </row>
    <row r="193" spans="1:1">
      <c r="A193" s="11"/>
    </row>
    <row r="194" spans="1:1">
      <c r="A194" s="11"/>
    </row>
    <row r="195" spans="1:1">
      <c r="A195" s="11"/>
    </row>
    <row r="196" spans="1:1">
      <c r="A196" s="11"/>
    </row>
    <row r="197" spans="1:1">
      <c r="A197" s="11"/>
    </row>
    <row r="198" spans="1:1">
      <c r="A198" s="11"/>
    </row>
    <row r="199" spans="1:1">
      <c r="A199" s="11"/>
    </row>
    <row r="200" spans="1:1">
      <c r="A200" s="11"/>
    </row>
    <row r="201" spans="1:1">
      <c r="A201" s="11"/>
    </row>
    <row r="202" spans="1:1">
      <c r="A202" s="11"/>
    </row>
    <row r="203" spans="1:1">
      <c r="A203" s="11"/>
    </row>
    <row r="204" spans="1:1">
      <c r="A204" s="11"/>
    </row>
    <row r="205" spans="1:1">
      <c r="A205" s="11"/>
    </row>
    <row r="206" spans="1:1">
      <c r="A206" s="11"/>
    </row>
    <row r="207" spans="1:1">
      <c r="A207" s="11"/>
    </row>
    <row r="208" spans="1:1">
      <c r="A208" s="11"/>
    </row>
    <row r="209" spans="1:1">
      <c r="A209" s="11"/>
    </row>
    <row r="210" spans="1:1">
      <c r="A210" s="11"/>
    </row>
    <row r="211" spans="1:1">
      <c r="A211" s="11"/>
    </row>
    <row r="212" spans="1:1">
      <c r="A212" s="11"/>
    </row>
    <row r="213" spans="1:1">
      <c r="A213" s="11"/>
    </row>
    <row r="214" spans="1:1">
      <c r="A214" s="11"/>
    </row>
    <row r="215" spans="1:1">
      <c r="A215" s="11"/>
    </row>
    <row r="216" spans="1:1">
      <c r="A216" s="11"/>
    </row>
    <row r="217" spans="1:1">
      <c r="A217" s="11"/>
    </row>
    <row r="218" spans="1:1">
      <c r="A218" s="11"/>
    </row>
    <row r="219" spans="1:1">
      <c r="A219" s="11"/>
    </row>
    <row r="220" spans="1:1">
      <c r="A220" s="11"/>
    </row>
    <row r="221" spans="1:1">
      <c r="A221" s="11"/>
    </row>
    <row r="222" spans="1:1">
      <c r="A222" s="11"/>
    </row>
    <row r="223" spans="1:1">
      <c r="A223" s="11"/>
    </row>
    <row r="224" spans="1:1">
      <c r="A224" s="11"/>
    </row>
    <row r="225" spans="1:1">
      <c r="A225" s="11"/>
    </row>
    <row r="226" spans="1:1">
      <c r="A226" s="11"/>
    </row>
    <row r="227" spans="1:1">
      <c r="A227" s="11"/>
    </row>
    <row r="228" spans="1:1">
      <c r="A228" s="11"/>
    </row>
    <row r="229" spans="1:1">
      <c r="A229" s="11"/>
    </row>
    <row r="230" spans="1:1">
      <c r="A230" s="11"/>
    </row>
    <row r="231" spans="1:1">
      <c r="A231" s="11"/>
    </row>
    <row r="232" spans="1:1">
      <c r="A232" s="11"/>
    </row>
    <row r="233" spans="1:1">
      <c r="A233" s="11"/>
    </row>
    <row r="234" spans="1:1">
      <c r="A234" s="11"/>
    </row>
    <row r="235" spans="1:1">
      <c r="A235" s="11"/>
    </row>
    <row r="236" spans="1:1">
      <c r="A236" s="11"/>
    </row>
    <row r="237" spans="1:1">
      <c r="A237" s="11"/>
    </row>
    <row r="238" spans="1:1">
      <c r="A238" s="11"/>
    </row>
    <row r="239" spans="1:1">
      <c r="A239" s="11"/>
    </row>
    <row r="240" spans="1:1">
      <c r="A240" s="11"/>
    </row>
    <row r="241" spans="1:1">
      <c r="A241" s="11"/>
    </row>
    <row r="242" spans="1:1">
      <c r="A242" s="11"/>
    </row>
    <row r="243" spans="1:1">
      <c r="A243" s="11"/>
    </row>
    <row r="244" spans="1:1">
      <c r="A244" s="11"/>
    </row>
    <row r="245" spans="1:1">
      <c r="A245" s="11"/>
    </row>
    <row r="246" spans="1:1">
      <c r="A246" s="11"/>
    </row>
    <row r="247" spans="1:1">
      <c r="A247" s="11"/>
    </row>
    <row r="248" spans="1:1">
      <c r="A248" s="11"/>
    </row>
    <row r="249" spans="1:1">
      <c r="A249" s="11"/>
    </row>
    <row r="250" spans="1:1">
      <c r="A250" s="11"/>
    </row>
    <row r="251" spans="1:1">
      <c r="A251" s="11"/>
    </row>
    <row r="252" spans="1:1">
      <c r="A252" s="11"/>
    </row>
    <row r="253" spans="1:1">
      <c r="A253" s="11"/>
    </row>
    <row r="254" spans="1:1">
      <c r="A254" s="11"/>
    </row>
    <row r="255" spans="1:1">
      <c r="A255" s="11"/>
    </row>
    <row r="256" spans="1:1">
      <c r="A256" s="11"/>
    </row>
    <row r="257" spans="1:1">
      <c r="A257" s="11"/>
    </row>
    <row r="258" spans="1:1">
      <c r="A258" s="11"/>
    </row>
    <row r="259" spans="1:1">
      <c r="A259" s="11"/>
    </row>
    <row r="260" spans="1:1">
      <c r="A260" s="11"/>
    </row>
    <row r="261" spans="1:1">
      <c r="A261" s="11"/>
    </row>
    <row r="262" spans="1:1">
      <c r="A262" s="11"/>
    </row>
    <row r="263" spans="1:1">
      <c r="A263" s="11"/>
    </row>
    <row r="264" spans="1:1">
      <c r="A264" s="11"/>
    </row>
    <row r="265" spans="1:1">
      <c r="A265" s="11"/>
    </row>
    <row r="266" spans="1:1">
      <c r="A266" s="11"/>
    </row>
    <row r="267" spans="1:1">
      <c r="A267" s="11"/>
    </row>
    <row r="268" spans="1:1">
      <c r="A268" s="11"/>
    </row>
    <row r="269" spans="1:1">
      <c r="A269" s="11"/>
    </row>
    <row r="270" spans="1:1">
      <c r="A270" s="11"/>
    </row>
    <row r="271" spans="1:1">
      <c r="A271" s="11"/>
    </row>
    <row r="272" spans="1:1">
      <c r="A272" s="11"/>
    </row>
    <row r="273" spans="1:1">
      <c r="A273" s="11"/>
    </row>
    <row r="274" spans="1:1">
      <c r="A274" s="11"/>
    </row>
    <row r="275" spans="1:1">
      <c r="A275" s="11"/>
    </row>
    <row r="276" spans="1:1">
      <c r="A276" s="11"/>
    </row>
    <row r="277" spans="1:1">
      <c r="A277" s="11"/>
    </row>
    <row r="278" spans="1:1">
      <c r="A278" s="11"/>
    </row>
    <row r="279" spans="1:1">
      <c r="A279" s="11"/>
    </row>
    <row r="280" spans="1:1">
      <c r="A280" s="11"/>
    </row>
    <row r="281" spans="1:1">
      <c r="A281" s="11"/>
    </row>
    <row r="282" spans="1:1">
      <c r="A282" s="11"/>
    </row>
    <row r="283" spans="1:1">
      <c r="A283" s="11"/>
    </row>
    <row r="284" spans="1:1">
      <c r="A284" s="11"/>
    </row>
    <row r="285" spans="1:1">
      <c r="A285" s="11"/>
    </row>
    <row r="286" spans="1:1">
      <c r="A286" s="11"/>
    </row>
    <row r="287" spans="1:1">
      <c r="A287" s="11"/>
    </row>
    <row r="288" spans="1:1">
      <c r="A288" s="11"/>
    </row>
    <row r="289" spans="1:1">
      <c r="A289" s="11"/>
    </row>
    <row r="290" spans="1:1">
      <c r="A290" s="11"/>
    </row>
    <row r="291" spans="1:1">
      <c r="A291" s="11"/>
    </row>
    <row r="292" spans="1:1">
      <c r="A292" s="11"/>
    </row>
    <row r="293" spans="1:1">
      <c r="A293" s="11"/>
    </row>
    <row r="294" spans="1:1">
      <c r="A294" s="11"/>
    </row>
    <row r="295" spans="1:1">
      <c r="A295" s="11"/>
    </row>
    <row r="296" spans="1:1">
      <c r="A296" s="11"/>
    </row>
    <row r="297" spans="1:1">
      <c r="A297" s="11"/>
    </row>
    <row r="298" spans="1:1">
      <c r="A298" s="11"/>
    </row>
    <row r="299" spans="1:1">
      <c r="A299" s="11"/>
    </row>
    <row r="300" spans="1:1">
      <c r="A300" s="11"/>
    </row>
    <row r="301" spans="1:1">
      <c r="A301" s="11"/>
    </row>
    <row r="302" spans="1:1">
      <c r="A302" s="11"/>
    </row>
    <row r="303" spans="1:1">
      <c r="A303" s="11"/>
    </row>
    <row r="304" spans="1:1">
      <c r="A304" s="11"/>
    </row>
    <row r="305" spans="1:1">
      <c r="A305" s="11"/>
    </row>
    <row r="306" spans="1:1">
      <c r="A306" s="11"/>
    </row>
    <row r="307" spans="1:1">
      <c r="A307" s="11"/>
    </row>
    <row r="308" spans="1:1">
      <c r="A308" s="11"/>
    </row>
    <row r="309" spans="1:1">
      <c r="A309" s="11"/>
    </row>
    <row r="310" spans="1:1">
      <c r="A310" s="11"/>
    </row>
    <row r="311" spans="1:1">
      <c r="A311" s="11"/>
    </row>
    <row r="312" spans="1:1">
      <c r="A312" s="11"/>
    </row>
    <row r="313" spans="1:1">
      <c r="A313" s="11"/>
    </row>
    <row r="314" spans="1:1">
      <c r="A314" s="11"/>
    </row>
    <row r="315" spans="1:1">
      <c r="A315" s="11"/>
    </row>
    <row r="316" spans="1:1">
      <c r="A316" s="11"/>
    </row>
    <row r="317" spans="1:1">
      <c r="A317" s="11"/>
    </row>
    <row r="318" spans="1:1">
      <c r="A318" s="11"/>
    </row>
    <row r="319" spans="1:1">
      <c r="A319" s="11"/>
    </row>
    <row r="320" spans="1:1">
      <c r="A320" s="11"/>
    </row>
    <row r="321" spans="1:1">
      <c r="A321" s="11"/>
    </row>
    <row r="322" spans="1:1">
      <c r="A322" s="11"/>
    </row>
    <row r="323" spans="1:1">
      <c r="A323" s="11"/>
    </row>
    <row r="324" spans="1:1">
      <c r="A324" s="11"/>
    </row>
    <row r="325" spans="1:1">
      <c r="A325" s="11"/>
    </row>
    <row r="326" spans="1:1">
      <c r="A326" s="11"/>
    </row>
    <row r="327" spans="1:1">
      <c r="A327" s="11"/>
    </row>
    <row r="328" spans="1:1">
      <c r="A328" s="11"/>
    </row>
    <row r="329" spans="1:1">
      <c r="A329" s="11"/>
    </row>
    <row r="330" spans="1:1">
      <c r="A330" s="11"/>
    </row>
    <row r="331" spans="1:1">
      <c r="A331" s="11"/>
    </row>
    <row r="332" spans="1:1">
      <c r="A332" s="11"/>
    </row>
    <row r="333" spans="1:1">
      <c r="A333" s="11"/>
    </row>
    <row r="334" spans="1:1">
      <c r="A334" s="11"/>
    </row>
    <row r="335" spans="1:1">
      <c r="A335" s="11"/>
    </row>
    <row r="336" spans="1:1">
      <c r="A336" s="11"/>
    </row>
    <row r="337" spans="1:1">
      <c r="A337" s="11"/>
    </row>
    <row r="338" spans="1:1">
      <c r="A338" s="11"/>
    </row>
    <row r="339" spans="1:1">
      <c r="A339" s="11"/>
    </row>
    <row r="340" spans="1:1">
      <c r="A340" s="11"/>
    </row>
    <row r="341" spans="1:1">
      <c r="A341" s="11"/>
    </row>
    <row r="342" spans="1:1">
      <c r="A342" s="11"/>
    </row>
    <row r="343" spans="1:1">
      <c r="A343" s="11"/>
    </row>
    <row r="344" spans="1:1">
      <c r="A344" s="11"/>
    </row>
    <row r="345" spans="1:1">
      <c r="A345" s="11"/>
    </row>
    <row r="346" spans="1:1">
      <c r="A346" s="11"/>
    </row>
    <row r="347" spans="1:1">
      <c r="A347" s="11"/>
    </row>
    <row r="348" spans="1:1">
      <c r="A348" s="11"/>
    </row>
    <row r="349" spans="1:1">
      <c r="A349" s="11"/>
    </row>
    <row r="350" spans="1:1">
      <c r="A350" s="11"/>
    </row>
    <row r="351" spans="1:1">
      <c r="A351" s="11"/>
    </row>
    <row r="352" spans="1:1">
      <c r="A352" s="11"/>
    </row>
    <row r="353" spans="1:1">
      <c r="A353" s="11"/>
    </row>
    <row r="354" spans="1:1">
      <c r="A354" s="11"/>
    </row>
    <row r="355" spans="1:1">
      <c r="A355" s="11"/>
    </row>
    <row r="356" spans="1:1">
      <c r="A356" s="11"/>
    </row>
    <row r="357" spans="1:1">
      <c r="A357" s="11"/>
    </row>
    <row r="358" spans="1:1">
      <c r="A358" s="11"/>
    </row>
    <row r="359" spans="1:1">
      <c r="A359" s="11"/>
    </row>
    <row r="360" spans="1:1">
      <c r="A360" s="11"/>
    </row>
    <row r="361" spans="1:1">
      <c r="A361" s="11"/>
    </row>
    <row r="362" spans="1:1">
      <c r="A362" s="11"/>
    </row>
    <row r="363" spans="1:1">
      <c r="A363" s="11"/>
    </row>
    <row r="364" spans="1:1">
      <c r="A364" s="11"/>
    </row>
    <row r="365" spans="1:1">
      <c r="A365" s="11"/>
    </row>
    <row r="366" spans="1:1">
      <c r="A366" s="11"/>
    </row>
    <row r="367" spans="1:1">
      <c r="A367" s="11"/>
    </row>
    <row r="368" spans="1:1">
      <c r="A368" s="11"/>
    </row>
    <row r="369" spans="1:1">
      <c r="A369" s="11"/>
    </row>
    <row r="370" spans="1:1">
      <c r="A370" s="11"/>
    </row>
    <row r="371" spans="1:1">
      <c r="A371" s="11"/>
    </row>
    <row r="372" spans="1:1">
      <c r="A372" s="11"/>
    </row>
    <row r="373" spans="1:1">
      <c r="A373" s="11"/>
    </row>
    <row r="374" spans="1:1">
      <c r="A374" s="11"/>
    </row>
    <row r="375" spans="1:1">
      <c r="A375" s="11"/>
    </row>
    <row r="376" spans="1:1">
      <c r="A376" s="11"/>
    </row>
    <row r="377" spans="1:1">
      <c r="A377" s="11"/>
    </row>
    <row r="378" spans="1:1">
      <c r="A378" s="11"/>
    </row>
    <row r="379" spans="1:1">
      <c r="A379" s="11"/>
    </row>
    <row r="380" spans="1:1">
      <c r="A380" s="11"/>
    </row>
    <row r="381" spans="1:1">
      <c r="A381" s="11"/>
    </row>
    <row r="382" spans="1:1">
      <c r="A382" s="11"/>
    </row>
    <row r="383" spans="1:1">
      <c r="A383" s="11"/>
    </row>
    <row r="384" spans="1:1">
      <c r="A384" s="11"/>
    </row>
    <row r="385" spans="1:1">
      <c r="A385" s="11"/>
    </row>
    <row r="386" spans="1:1">
      <c r="A386" s="11"/>
    </row>
    <row r="387" spans="1:1">
      <c r="A387" s="11"/>
    </row>
    <row r="388" spans="1:1">
      <c r="A388" s="11"/>
    </row>
    <row r="389" spans="1:1">
      <c r="A389" s="11"/>
    </row>
    <row r="390" spans="1:1">
      <c r="A390" s="11"/>
    </row>
    <row r="391" spans="1:1">
      <c r="A391" s="11"/>
    </row>
    <row r="392" spans="1:1">
      <c r="A392" s="11"/>
    </row>
    <row r="393" spans="1:1">
      <c r="A393" s="11"/>
    </row>
    <row r="394" spans="1:1">
      <c r="A394" s="11"/>
    </row>
    <row r="395" spans="1:1">
      <c r="A395" s="11"/>
    </row>
    <row r="396" spans="1:1">
      <c r="A396" s="11"/>
    </row>
    <row r="397" spans="1:1">
      <c r="A397" s="11"/>
    </row>
    <row r="398" spans="1:1">
      <c r="A398" s="11"/>
    </row>
    <row r="399" spans="1:1">
      <c r="A399" s="11"/>
    </row>
    <row r="400" spans="1:1">
      <c r="A400" s="11"/>
    </row>
    <row r="401" spans="1:1">
      <c r="A401" s="11"/>
    </row>
    <row r="402" spans="1:1">
      <c r="A402" s="11"/>
    </row>
    <row r="403" spans="1:1">
      <c r="A403" s="11"/>
    </row>
    <row r="404" spans="1:1">
      <c r="A404" s="11"/>
    </row>
    <row r="405" spans="1:1">
      <c r="A405" s="11"/>
    </row>
    <row r="406" spans="1:1">
      <c r="A406" s="11"/>
    </row>
    <row r="407" spans="1:1">
      <c r="A407" s="11"/>
    </row>
    <row r="408" spans="1:1">
      <c r="A408" s="11"/>
    </row>
    <row r="409" spans="1:1">
      <c r="A409" s="11"/>
    </row>
    <row r="410" spans="1:1">
      <c r="A410" s="11"/>
    </row>
    <row r="411" spans="1:1">
      <c r="A411" s="11"/>
    </row>
    <row r="412" spans="1:1">
      <c r="A412" s="11"/>
    </row>
    <row r="413" spans="1:1">
      <c r="A413" s="11"/>
    </row>
    <row r="414" spans="1:1">
      <c r="A414" s="11"/>
    </row>
    <row r="415" spans="1:1">
      <c r="A415" s="11"/>
    </row>
    <row r="416" spans="1:1">
      <c r="A416" s="11"/>
    </row>
    <row r="417" spans="1:1">
      <c r="A417" s="11"/>
    </row>
    <row r="418" spans="1:1">
      <c r="A418" s="11"/>
    </row>
    <row r="419" spans="1:1">
      <c r="A419" s="11"/>
    </row>
    <row r="420" spans="1:1">
      <c r="A420" s="11"/>
    </row>
    <row r="421" spans="1:1">
      <c r="A421" s="11"/>
    </row>
    <row r="422" spans="1:1">
      <c r="A422" s="11"/>
    </row>
    <row r="423" spans="1:1">
      <c r="A423" s="11"/>
    </row>
    <row r="424" spans="1:1">
      <c r="A424" s="11"/>
    </row>
    <row r="425" spans="1:1">
      <c r="A425" s="11"/>
    </row>
    <row r="426" spans="1:1">
      <c r="A426" s="11"/>
    </row>
    <row r="427" spans="1:1">
      <c r="A427" s="11"/>
    </row>
    <row r="428" spans="1:1">
      <c r="A428" s="11"/>
    </row>
    <row r="429" spans="1:1">
      <c r="A429" s="11"/>
    </row>
    <row r="430" spans="1:1">
      <c r="A430" s="11"/>
    </row>
    <row r="431" spans="1:1">
      <c r="A431" s="11"/>
    </row>
    <row r="432" spans="1:1">
      <c r="A432" s="11"/>
    </row>
    <row r="433" spans="1:1">
      <c r="A433" s="11"/>
    </row>
    <row r="434" spans="1:1">
      <c r="A434" s="11"/>
    </row>
    <row r="435" spans="1:1">
      <c r="A435" s="11"/>
    </row>
    <row r="436" spans="1:1">
      <c r="A436" s="11"/>
    </row>
    <row r="437" spans="1:1">
      <c r="A437" s="11"/>
    </row>
    <row r="438" spans="1:1">
      <c r="A438" s="11"/>
    </row>
    <row r="439" spans="1:1">
      <c r="A439" s="11"/>
    </row>
    <row r="440" spans="1:1">
      <c r="A440" s="11"/>
    </row>
    <row r="441" spans="1:1">
      <c r="A441" s="11"/>
    </row>
    <row r="442" spans="1:1">
      <c r="A442" s="11"/>
    </row>
    <row r="443" spans="1:1">
      <c r="A443" s="11"/>
    </row>
    <row r="444" spans="1:1">
      <c r="A444" s="11"/>
    </row>
    <row r="445" spans="1:1">
      <c r="A445" s="11"/>
    </row>
    <row r="446" spans="1:1">
      <c r="A446" s="11"/>
    </row>
    <row r="447" spans="1:1">
      <c r="A447" s="11"/>
    </row>
    <row r="448" spans="1:1">
      <c r="A448" s="11"/>
    </row>
    <row r="449" spans="1:1">
      <c r="A449" s="11"/>
    </row>
    <row r="450" spans="1:1">
      <c r="A450" s="11"/>
    </row>
    <row r="451" spans="1:1">
      <c r="A451" s="11"/>
    </row>
    <row r="452" spans="1:1">
      <c r="A452" s="11"/>
    </row>
    <row r="453" spans="1:1">
      <c r="A453" s="11"/>
    </row>
    <row r="454" spans="1:1">
      <c r="A454" s="11"/>
    </row>
    <row r="455" spans="1:1">
      <c r="A455" s="11"/>
    </row>
    <row r="456" spans="1:1">
      <c r="A456" s="11"/>
    </row>
    <row r="457" spans="1:1">
      <c r="A457" s="11"/>
    </row>
    <row r="458" spans="1:1">
      <c r="A458" s="11"/>
    </row>
    <row r="459" spans="1:1">
      <c r="A459" s="11"/>
    </row>
    <row r="460" spans="1:1">
      <c r="A460" s="11"/>
    </row>
    <row r="461" spans="1:1">
      <c r="A461" s="11"/>
    </row>
    <row r="462" spans="1:1">
      <c r="A462" s="11"/>
    </row>
    <row r="463" spans="1:1">
      <c r="A463" s="11"/>
    </row>
    <row r="464" spans="1:1">
      <c r="A464" s="11"/>
    </row>
    <row r="465" spans="1:1">
      <c r="A465" s="11"/>
    </row>
    <row r="466" spans="1:1">
      <c r="A466" s="11"/>
    </row>
    <row r="467" spans="1:1">
      <c r="A467" s="11"/>
    </row>
    <row r="468" spans="1:1">
      <c r="A468" s="11"/>
    </row>
    <row r="469" spans="1:1">
      <c r="A469" s="11"/>
    </row>
    <row r="470" spans="1:1">
      <c r="A470" s="11"/>
    </row>
    <row r="471" spans="1:1">
      <c r="A471" s="11"/>
    </row>
    <row r="472" spans="1:1">
      <c r="A472" s="11"/>
    </row>
    <row r="473" spans="1:1">
      <c r="A473" s="11"/>
    </row>
    <row r="474" spans="1:1">
      <c r="A474" s="11"/>
    </row>
    <row r="475" spans="1:1">
      <c r="A475" s="11"/>
    </row>
    <row r="476" spans="1:1">
      <c r="A476" s="11"/>
    </row>
    <row r="477" spans="1:1">
      <c r="A477" s="11"/>
    </row>
    <row r="478" spans="1:1">
      <c r="A478" s="11"/>
    </row>
    <row r="479" spans="1:1">
      <c r="A479" s="11"/>
    </row>
    <row r="480" spans="1:1">
      <c r="A480" s="11"/>
    </row>
    <row r="481" spans="1:1">
      <c r="A481" s="11"/>
    </row>
    <row r="482" spans="1:1">
      <c r="A482" s="11"/>
    </row>
    <row r="483" spans="1:1">
      <c r="A483" s="11"/>
    </row>
    <row r="484" spans="1:1">
      <c r="A484" s="11"/>
    </row>
    <row r="485" spans="1:1">
      <c r="A485" s="11"/>
    </row>
    <row r="486" spans="1:1">
      <c r="A486" s="11"/>
    </row>
    <row r="487" spans="1:1">
      <c r="A487" s="11"/>
    </row>
    <row r="488" spans="1:1">
      <c r="A488" s="11"/>
    </row>
    <row r="489" spans="1:1">
      <c r="A489" s="11"/>
    </row>
    <row r="490" spans="1:1">
      <c r="A490" s="11"/>
    </row>
    <row r="491" spans="1:1">
      <c r="A491" s="11"/>
    </row>
    <row r="492" spans="1:1">
      <c r="A492" s="11"/>
    </row>
    <row r="493" spans="1:1">
      <c r="A493" s="11"/>
    </row>
    <row r="494" spans="1:1">
      <c r="A494" s="11"/>
    </row>
    <row r="495" spans="1:1">
      <c r="A495" s="11"/>
    </row>
    <row r="496" spans="1:1">
      <c r="A496" s="11"/>
    </row>
    <row r="497" spans="1:1">
      <c r="A497" s="11"/>
    </row>
    <row r="498" spans="1:1">
      <c r="A498" s="11"/>
    </row>
    <row r="499" spans="1:1">
      <c r="A499" s="11"/>
    </row>
    <row r="500" spans="1:1">
      <c r="A500" s="11"/>
    </row>
    <row r="501" spans="1:1">
      <c r="A501" s="11"/>
    </row>
    <row r="502" spans="1:1">
      <c r="A502" s="11"/>
    </row>
    <row r="503" spans="1:1">
      <c r="A503" s="11"/>
    </row>
    <row r="504" spans="1:1">
      <c r="A504" s="11"/>
    </row>
    <row r="505" spans="1:1">
      <c r="A505" s="11"/>
    </row>
    <row r="506" spans="1:1">
      <c r="A506" s="11"/>
    </row>
    <row r="507" spans="1:1">
      <c r="A507" s="11"/>
    </row>
    <row r="508" spans="1:1">
      <c r="A508" s="11"/>
    </row>
    <row r="509" spans="1:1">
      <c r="A509" s="11"/>
    </row>
    <row r="510" spans="1:1">
      <c r="A510" s="11"/>
    </row>
    <row r="511" spans="1:1">
      <c r="A511" s="11"/>
    </row>
    <row r="512" spans="1:1">
      <c r="A512" s="11"/>
    </row>
    <row r="513" spans="1:1">
      <c r="A513" s="11"/>
    </row>
    <row r="514" spans="1:1">
      <c r="A514" s="11"/>
    </row>
    <row r="515" spans="1:1">
      <c r="A515" s="11"/>
    </row>
    <row r="516" spans="1:1">
      <c r="A516" s="11"/>
    </row>
    <row r="517" spans="1:1">
      <c r="A517" s="11"/>
    </row>
    <row r="518" spans="1:1">
      <c r="A518" s="11"/>
    </row>
    <row r="519" spans="1:1">
      <c r="A519" s="11"/>
    </row>
    <row r="520" spans="1:1">
      <c r="A520" s="11"/>
    </row>
    <row r="521" spans="1:1">
      <c r="A521" s="11"/>
    </row>
    <row r="522" spans="1:1">
      <c r="A522" s="11"/>
    </row>
    <row r="523" spans="1:1">
      <c r="A523" s="11"/>
    </row>
    <row r="524" spans="1:1">
      <c r="A524" s="11"/>
    </row>
    <row r="525" spans="1:1">
      <c r="A525" s="11"/>
    </row>
    <row r="526" spans="1:1">
      <c r="A526" s="11"/>
    </row>
    <row r="527" spans="1:1">
      <c r="A527" s="11"/>
    </row>
    <row r="528" spans="1:1">
      <c r="A528" s="11"/>
    </row>
    <row r="529" spans="1:1">
      <c r="A529" s="11"/>
    </row>
    <row r="530" spans="1:1">
      <c r="A530" s="11"/>
    </row>
    <row r="531" spans="1:1">
      <c r="A531" s="11"/>
    </row>
    <row r="532" spans="1:1">
      <c r="A532" s="11"/>
    </row>
    <row r="533" spans="1:1">
      <c r="A533" s="11"/>
    </row>
    <row r="534" spans="1:1">
      <c r="A534" s="11"/>
    </row>
    <row r="535" spans="1:1">
      <c r="A535" s="11"/>
    </row>
    <row r="536" spans="1:1">
      <c r="A536" s="11"/>
    </row>
    <row r="537" spans="1:1">
      <c r="A537" s="11"/>
    </row>
    <row r="538" spans="1:1">
      <c r="A538" s="11"/>
    </row>
    <row r="539" spans="1:1">
      <c r="A539" s="11"/>
    </row>
    <row r="540" spans="1:1">
      <c r="A540" s="11"/>
    </row>
    <row r="541" spans="1:1">
      <c r="A541" s="11"/>
    </row>
    <row r="542" spans="1:1">
      <c r="A542" s="11"/>
    </row>
    <row r="543" spans="1:1">
      <c r="A543" s="11"/>
    </row>
    <row r="544" spans="1:1">
      <c r="A544" s="11"/>
    </row>
    <row r="545" spans="1:1">
      <c r="A545" s="11"/>
    </row>
    <row r="546" spans="1:1">
      <c r="A546" s="11"/>
    </row>
    <row r="547" spans="1:1">
      <c r="A547" s="11"/>
    </row>
    <row r="548" spans="1:1">
      <c r="A548" s="11"/>
    </row>
    <row r="549" spans="1:1">
      <c r="A549" s="11"/>
    </row>
    <row r="550" spans="1:1">
      <c r="A550" s="11"/>
    </row>
    <row r="551" spans="1:1">
      <c r="A551" s="11"/>
    </row>
    <row r="552" spans="1:1">
      <c r="A552" s="11"/>
    </row>
    <row r="553" spans="1:1">
      <c r="A553" s="11"/>
    </row>
    <row r="554" spans="1:1">
      <c r="A554" s="11"/>
    </row>
    <row r="555" spans="1:1">
      <c r="A555" s="11"/>
    </row>
    <row r="556" spans="1:1">
      <c r="A556" s="11"/>
    </row>
    <row r="557" spans="1:1">
      <c r="A557" s="11"/>
    </row>
    <row r="558" spans="1:1">
      <c r="A558" s="11"/>
    </row>
    <row r="559" spans="1:1">
      <c r="A559" s="11"/>
    </row>
    <row r="560" spans="1:1">
      <c r="A560" s="11"/>
    </row>
    <row r="561" spans="1:1">
      <c r="A561" s="11"/>
    </row>
    <row r="562" spans="1:1">
      <c r="A562" s="11"/>
    </row>
    <row r="563" spans="1:1">
      <c r="A563" s="11"/>
    </row>
    <row r="564" spans="1:1">
      <c r="A564" s="11"/>
    </row>
    <row r="565" spans="1:1">
      <c r="A565" s="11"/>
    </row>
    <row r="566" spans="1:1">
      <c r="A566" s="11"/>
    </row>
    <row r="567" spans="1:1">
      <c r="A567" s="11"/>
    </row>
    <row r="568" spans="1:1">
      <c r="A568" s="11"/>
    </row>
    <row r="569" spans="1:1">
      <c r="A569" s="11"/>
    </row>
    <row r="570" spans="1:1">
      <c r="A570" s="11"/>
    </row>
    <row r="571" spans="1:1">
      <c r="A571" s="11"/>
    </row>
    <row r="572" spans="1:1">
      <c r="A572" s="11"/>
    </row>
    <row r="573" spans="1:1">
      <c r="A573" s="11"/>
    </row>
    <row r="574" spans="1:1">
      <c r="A574" s="11"/>
    </row>
    <row r="575" spans="1:1">
      <c r="A575" s="11"/>
    </row>
    <row r="576" spans="1:1">
      <c r="A576" s="11"/>
    </row>
    <row r="577" spans="1:1">
      <c r="A577" s="11"/>
    </row>
    <row r="578" spans="1:1">
      <c r="A578" s="11"/>
    </row>
    <row r="579" spans="1:1">
      <c r="A579" s="11"/>
    </row>
    <row r="580" spans="1:1">
      <c r="A580" s="11"/>
    </row>
    <row r="581" spans="1:1">
      <c r="A581" s="11"/>
    </row>
    <row r="582" spans="1:1">
      <c r="A582" s="11"/>
    </row>
    <row r="583" spans="1:1">
      <c r="A583" s="11"/>
    </row>
    <row r="584" spans="1:1">
      <c r="A584" s="11"/>
    </row>
    <row r="585" spans="1:1">
      <c r="A585" s="11"/>
    </row>
    <row r="586" spans="1:1">
      <c r="A586" s="11"/>
    </row>
    <row r="587" spans="1:1">
      <c r="A587" s="11"/>
    </row>
    <row r="588" spans="1:1">
      <c r="A588" s="11"/>
    </row>
    <row r="589" spans="1:1">
      <c r="A589" s="11"/>
    </row>
    <row r="590" spans="1:1">
      <c r="A590" s="11"/>
    </row>
    <row r="591" spans="1:1">
      <c r="A591" s="11"/>
    </row>
    <row r="592" spans="1:1">
      <c r="A592" s="11"/>
    </row>
    <row r="593" spans="1:1">
      <c r="A593" s="11"/>
    </row>
    <row r="594" spans="1:1">
      <c r="A594" s="11"/>
    </row>
    <row r="595" spans="1:1">
      <c r="A595" s="11"/>
    </row>
    <row r="596" spans="1:1">
      <c r="A596" s="11"/>
    </row>
    <row r="597" spans="1:1">
      <c r="A597" s="11"/>
    </row>
    <row r="598" spans="1:1">
      <c r="A598" s="11"/>
    </row>
    <row r="599" spans="1:1">
      <c r="A599" s="11"/>
    </row>
    <row r="600" spans="1:1">
      <c r="A600" s="11"/>
    </row>
    <row r="601" spans="1:1">
      <c r="A601" s="11"/>
    </row>
    <row r="602" spans="1:1">
      <c r="A602" s="11"/>
    </row>
    <row r="603" spans="1:1">
      <c r="A603" s="11"/>
    </row>
    <row r="604" spans="1:1">
      <c r="A604" s="11"/>
    </row>
    <row r="605" spans="1:1">
      <c r="A605" s="11"/>
    </row>
    <row r="606" spans="1:1">
      <c r="A606" s="11"/>
    </row>
    <row r="607" spans="1:1">
      <c r="A607" s="11"/>
    </row>
    <row r="608" spans="1:1">
      <c r="A608" s="11"/>
    </row>
    <row r="609" spans="1:1">
      <c r="A609" s="11"/>
    </row>
    <row r="610" spans="1:1">
      <c r="A610" s="11"/>
    </row>
    <row r="611" spans="1:1">
      <c r="A611" s="11"/>
    </row>
    <row r="612" spans="1:1">
      <c r="A612" s="11"/>
    </row>
    <row r="613" spans="1:1">
      <c r="A613" s="11"/>
    </row>
    <row r="614" spans="1:1">
      <c r="A614" s="11"/>
    </row>
    <row r="615" spans="1:1">
      <c r="A615" s="11"/>
    </row>
    <row r="616" spans="1:1">
      <c r="A616" s="11"/>
    </row>
    <row r="617" spans="1:1">
      <c r="A617" s="11"/>
    </row>
    <row r="618" spans="1:1">
      <c r="A618" s="11"/>
    </row>
    <row r="619" spans="1:1">
      <c r="A619" s="11"/>
    </row>
    <row r="620" spans="1:1">
      <c r="A620" s="11"/>
    </row>
    <row r="621" spans="1:1">
      <c r="A621" s="11"/>
    </row>
    <row r="622" spans="1:1">
      <c r="A622" s="11"/>
    </row>
    <row r="623" spans="1:1">
      <c r="A623" s="11"/>
    </row>
    <row r="624" spans="1:1">
      <c r="A624" s="11"/>
    </row>
    <row r="625" spans="1:1">
      <c r="A625" s="11"/>
    </row>
    <row r="626" spans="1:1">
      <c r="A626" s="11"/>
    </row>
    <row r="627" spans="1:1">
      <c r="A627" s="11"/>
    </row>
    <row r="628" spans="1:1">
      <c r="A628" s="11"/>
    </row>
    <row r="629" spans="1:1">
      <c r="A629" s="11"/>
    </row>
    <row r="630" spans="1:1">
      <c r="A630" s="11"/>
    </row>
    <row r="631" spans="1:1">
      <c r="A631" s="11"/>
    </row>
    <row r="632" spans="1:1">
      <c r="A632" s="11"/>
    </row>
    <row r="633" spans="1:1">
      <c r="A633" s="11"/>
    </row>
    <row r="634" spans="1:1">
      <c r="A634" s="11"/>
    </row>
    <row r="635" spans="1:1">
      <c r="A635" s="11"/>
    </row>
    <row r="636" spans="1:1">
      <c r="A636" s="11"/>
    </row>
    <row r="637" spans="1:1">
      <c r="A637" s="11"/>
    </row>
    <row r="638" spans="1:1">
      <c r="A638" s="11"/>
    </row>
    <row r="639" spans="1:1">
      <c r="A639" s="11"/>
    </row>
    <row r="640" spans="1:1">
      <c r="A640" s="11"/>
    </row>
    <row r="641" spans="1:1">
      <c r="A641" s="11"/>
    </row>
    <row r="642" spans="1:1">
      <c r="A642" s="11"/>
    </row>
    <row r="643" spans="1:1">
      <c r="A643" s="11"/>
    </row>
    <row r="644" spans="1:1">
      <c r="A644" s="11"/>
    </row>
    <row r="645" spans="1:1">
      <c r="A645" s="11"/>
    </row>
    <row r="646" spans="1:1">
      <c r="A646" s="11"/>
    </row>
    <row r="647" spans="1:1">
      <c r="A647" s="11"/>
    </row>
    <row r="648" spans="1:1">
      <c r="A648" s="11"/>
    </row>
    <row r="649" spans="1:1">
      <c r="A649" s="11"/>
    </row>
    <row r="650" spans="1:1">
      <c r="A650" s="11"/>
    </row>
    <row r="651" spans="1:1">
      <c r="A651" s="11"/>
    </row>
    <row r="652" spans="1:1">
      <c r="A652" s="11"/>
    </row>
    <row r="653" spans="1:1">
      <c r="A653" s="11"/>
    </row>
    <row r="654" spans="1:1">
      <c r="A654" s="11"/>
    </row>
    <row r="655" spans="1:1">
      <c r="A655" s="11"/>
    </row>
    <row r="656" spans="1:1">
      <c r="A656" s="11"/>
    </row>
    <row r="657" spans="1:1">
      <c r="A657" s="11"/>
    </row>
    <row r="658" spans="1:1">
      <c r="A658" s="11"/>
    </row>
    <row r="659" spans="1:1">
      <c r="A659" s="11"/>
    </row>
    <row r="660" spans="1:1">
      <c r="A660" s="11"/>
    </row>
    <row r="661" spans="1:1">
      <c r="A661" s="11"/>
    </row>
    <row r="662" spans="1:1">
      <c r="A662" s="11"/>
    </row>
    <row r="663" spans="1:1">
      <c r="A663" s="11"/>
    </row>
    <row r="664" spans="1:1">
      <c r="A664" s="11"/>
    </row>
    <row r="665" spans="1:1">
      <c r="A665" s="11"/>
    </row>
    <row r="666" spans="1:1">
      <c r="A666" s="11"/>
    </row>
    <row r="667" spans="1:1">
      <c r="A667" s="11"/>
    </row>
    <row r="668" spans="1:1">
      <c r="A668" s="11"/>
    </row>
    <row r="669" spans="1:1">
      <c r="A669" s="11"/>
    </row>
    <row r="670" spans="1:1">
      <c r="A670" s="11"/>
    </row>
    <row r="671" spans="1:1">
      <c r="A671" s="11"/>
    </row>
    <row r="672" spans="1:1">
      <c r="A672" s="11"/>
    </row>
    <row r="673" spans="1:1">
      <c r="A673" s="11"/>
    </row>
    <row r="674" spans="1:1">
      <c r="A674" s="11"/>
    </row>
    <row r="675" spans="1:1">
      <c r="A675" s="11"/>
    </row>
    <row r="676" spans="1:1">
      <c r="A676" s="11"/>
    </row>
    <row r="677" spans="1:1">
      <c r="A677" s="11"/>
    </row>
    <row r="678" spans="1:1">
      <c r="A678" s="11"/>
    </row>
    <row r="679" spans="1:1">
      <c r="A679" s="11"/>
    </row>
    <row r="680" spans="1:1">
      <c r="A680" s="11"/>
    </row>
    <row r="681" spans="1:1">
      <c r="A681" s="11"/>
    </row>
    <row r="682" spans="1:1">
      <c r="A682" s="11"/>
    </row>
    <row r="683" spans="1:1">
      <c r="A683" s="11"/>
    </row>
    <row r="684" spans="1:1">
      <c r="A684" s="11"/>
    </row>
    <row r="685" spans="1:1">
      <c r="A685" s="11"/>
    </row>
    <row r="686" spans="1:1">
      <c r="A686" s="11"/>
    </row>
    <row r="687" spans="1:1">
      <c r="A687" s="11"/>
    </row>
    <row r="688" spans="1:1">
      <c r="A688" s="11"/>
    </row>
    <row r="689" spans="1:1">
      <c r="A689" s="11"/>
    </row>
    <row r="690" spans="1:1">
      <c r="A690" s="11"/>
    </row>
    <row r="691" spans="1:1">
      <c r="A691" s="11"/>
    </row>
    <row r="692" spans="1:1">
      <c r="A692" s="11"/>
    </row>
    <row r="693" spans="1:1">
      <c r="A693" s="11"/>
    </row>
    <row r="694" spans="1:1">
      <c r="A694" s="11"/>
    </row>
    <row r="695" spans="1:1">
      <c r="A695" s="11"/>
    </row>
    <row r="696" spans="1:1">
      <c r="A696" s="11"/>
    </row>
    <row r="697" spans="1:1">
      <c r="A697" s="11"/>
    </row>
    <row r="698" spans="1:1">
      <c r="A698" s="11"/>
    </row>
    <row r="699" spans="1:1">
      <c r="A699" s="11"/>
    </row>
    <row r="700" spans="1:1">
      <c r="A700" s="11"/>
    </row>
    <row r="701" spans="1:1">
      <c r="A701" s="11"/>
    </row>
    <row r="702" spans="1:1">
      <c r="A702" s="11"/>
    </row>
    <row r="703" spans="1:1">
      <c r="A703" s="11"/>
    </row>
    <row r="704" spans="1:1">
      <c r="A704" s="11"/>
    </row>
    <row r="705" spans="1:1">
      <c r="A705" s="11"/>
    </row>
    <row r="706" spans="1:1">
      <c r="A706" s="11"/>
    </row>
    <row r="707" spans="1:1">
      <c r="A707" s="11"/>
    </row>
    <row r="708" spans="1:1">
      <c r="A708" s="11"/>
    </row>
    <row r="709" spans="1:1">
      <c r="A709" s="11"/>
    </row>
    <row r="710" spans="1:1">
      <c r="A710" s="11"/>
    </row>
    <row r="711" spans="1:1">
      <c r="A711" s="11"/>
    </row>
    <row r="712" spans="1:1">
      <c r="A712" s="11"/>
    </row>
    <row r="713" spans="1:1">
      <c r="A713" s="11"/>
    </row>
    <row r="714" spans="1:1">
      <c r="A714" s="11"/>
    </row>
    <row r="715" spans="1:1">
      <c r="A715" s="11"/>
    </row>
    <row r="716" spans="1:1">
      <c r="A716" s="11"/>
    </row>
    <row r="717" spans="1:1">
      <c r="A717" s="11"/>
    </row>
    <row r="718" spans="1:1">
      <c r="A718" s="11"/>
    </row>
    <row r="719" spans="1:1">
      <c r="A719" s="11"/>
    </row>
    <row r="720" spans="1:1">
      <c r="A720" s="11"/>
    </row>
    <row r="721" spans="1:1">
      <c r="A721" s="11"/>
    </row>
    <row r="722" spans="1:1">
      <c r="A722" s="11"/>
    </row>
    <row r="723" spans="1:1">
      <c r="A723" s="11"/>
    </row>
    <row r="724" spans="1:1">
      <c r="A724" s="11"/>
    </row>
    <row r="725" spans="1:1">
      <c r="A725" s="11"/>
    </row>
    <row r="726" spans="1:1">
      <c r="A726" s="11"/>
    </row>
    <row r="727" spans="1:1">
      <c r="A727" s="11"/>
    </row>
    <row r="728" spans="1:1">
      <c r="A728" s="11"/>
    </row>
    <row r="729" spans="1:1">
      <c r="A729" s="11"/>
    </row>
    <row r="730" spans="1:1">
      <c r="A730" s="11"/>
    </row>
    <row r="731" spans="1:1">
      <c r="A731" s="11"/>
    </row>
    <row r="732" spans="1:1">
      <c r="A732" s="11"/>
    </row>
    <row r="733" spans="1:1">
      <c r="A733" s="11"/>
    </row>
    <row r="734" spans="1:1">
      <c r="A734" s="11"/>
    </row>
    <row r="735" spans="1:1">
      <c r="A735" s="11"/>
    </row>
    <row r="736" spans="1:1">
      <c r="A736" s="11"/>
    </row>
    <row r="737" spans="1:1">
      <c r="A737" s="11"/>
    </row>
    <row r="738" spans="1:1">
      <c r="A738" s="11"/>
    </row>
    <row r="739" spans="1:1">
      <c r="A739" s="11"/>
    </row>
    <row r="740" spans="1:1">
      <c r="A740" s="11"/>
    </row>
    <row r="741" spans="1:1">
      <c r="A741" s="11"/>
    </row>
    <row r="742" spans="1:1">
      <c r="A742" s="11"/>
    </row>
    <row r="743" spans="1:1">
      <c r="A743" s="11"/>
    </row>
    <row r="744" spans="1:1">
      <c r="A744" s="11"/>
    </row>
    <row r="745" spans="1:1">
      <c r="A745" s="11"/>
    </row>
    <row r="746" spans="1:1">
      <c r="A746" s="11"/>
    </row>
    <row r="747" spans="1:1">
      <c r="A747" s="11"/>
    </row>
    <row r="748" spans="1:1">
      <c r="A748" s="11"/>
    </row>
    <row r="749" spans="1:1">
      <c r="A749" s="11"/>
    </row>
    <row r="750" spans="1:1">
      <c r="A750" s="11"/>
    </row>
    <row r="751" spans="1:1">
      <c r="A751" s="11"/>
    </row>
    <row r="752" spans="1:1">
      <c r="A752" s="11"/>
    </row>
    <row r="753" spans="1:1">
      <c r="A753" s="11"/>
    </row>
    <row r="754" spans="1:1">
      <c r="A754" s="11"/>
    </row>
    <row r="755" spans="1:1">
      <c r="A755" s="11"/>
    </row>
    <row r="756" spans="1:1">
      <c r="A756" s="11"/>
    </row>
    <row r="757" spans="1:1">
      <c r="A757" s="11"/>
    </row>
    <row r="758" spans="1:1">
      <c r="A758" s="11"/>
    </row>
    <row r="759" spans="1:1">
      <c r="A759" s="11"/>
    </row>
    <row r="760" spans="1:1">
      <c r="A760" s="11"/>
    </row>
    <row r="761" spans="1:1">
      <c r="A761" s="11"/>
    </row>
    <row r="762" spans="1:1">
      <c r="A762" s="11"/>
    </row>
    <row r="763" spans="1:1">
      <c r="A763" s="11"/>
    </row>
    <row r="764" spans="1:1">
      <c r="A764" s="11"/>
    </row>
    <row r="765" spans="1:1">
      <c r="A765" s="11"/>
    </row>
    <row r="766" spans="1:1">
      <c r="A766" s="11"/>
    </row>
    <row r="767" spans="1:1">
      <c r="A767" s="11"/>
    </row>
    <row r="768" spans="1:1">
      <c r="A768" s="11"/>
    </row>
    <row r="769" spans="1:1">
      <c r="A769" s="11"/>
    </row>
    <row r="770" spans="1:1">
      <c r="A770" s="11"/>
    </row>
    <row r="771" spans="1:1">
      <c r="A771" s="11"/>
    </row>
    <row r="772" spans="1:1">
      <c r="A772" s="11"/>
    </row>
    <row r="773" spans="1:1">
      <c r="A773" s="11"/>
    </row>
    <row r="774" spans="1:1">
      <c r="A774" s="11"/>
    </row>
    <row r="775" spans="1:1">
      <c r="A775" s="11"/>
    </row>
    <row r="776" spans="1:1">
      <c r="A776" s="11"/>
    </row>
    <row r="777" spans="1:1">
      <c r="A777" s="11"/>
    </row>
    <row r="778" spans="1:1">
      <c r="A778" s="11"/>
    </row>
    <row r="779" spans="1:1">
      <c r="A779" s="11"/>
    </row>
    <row r="780" spans="1:1">
      <c r="A780" s="11"/>
    </row>
    <row r="781" spans="1:1">
      <c r="A781" s="11"/>
    </row>
    <row r="782" spans="1:1">
      <c r="A782" s="11"/>
    </row>
    <row r="783" spans="1:1">
      <c r="A783" s="11"/>
    </row>
    <row r="784" spans="1:1">
      <c r="A784" s="11"/>
    </row>
    <row r="785" spans="1:1">
      <c r="A785" s="11"/>
    </row>
    <row r="786" spans="1:1">
      <c r="A786" s="11"/>
    </row>
    <row r="787" spans="1:1">
      <c r="A787" s="11"/>
    </row>
    <row r="788" spans="1:1">
      <c r="A788" s="11"/>
    </row>
    <row r="789" spans="1:1">
      <c r="A789" s="11"/>
    </row>
    <row r="790" spans="1:1">
      <c r="A790" s="11"/>
    </row>
    <row r="791" spans="1:1">
      <c r="A791" s="11"/>
    </row>
    <row r="792" spans="1:1">
      <c r="A792" s="11"/>
    </row>
    <row r="793" spans="1:1">
      <c r="A793" s="11"/>
    </row>
    <row r="794" spans="1:1">
      <c r="A794" s="11"/>
    </row>
    <row r="795" spans="1:1">
      <c r="A795" s="11"/>
    </row>
    <row r="796" spans="1:1">
      <c r="A796" s="11"/>
    </row>
    <row r="797" spans="1:1">
      <c r="A797" s="11"/>
    </row>
    <row r="798" spans="1:1">
      <c r="A798" s="11"/>
    </row>
    <row r="799" spans="1:1">
      <c r="A799" s="11"/>
    </row>
    <row r="800" spans="1:1">
      <c r="A800" s="11"/>
    </row>
    <row r="801" spans="1:1">
      <c r="A801" s="11"/>
    </row>
    <row r="802" spans="1:1">
      <c r="A802" s="11"/>
    </row>
    <row r="803" spans="1:1">
      <c r="A803" s="11"/>
    </row>
    <row r="804" spans="1:1">
      <c r="A804" s="11"/>
    </row>
    <row r="805" spans="1:1">
      <c r="A805" s="11"/>
    </row>
    <row r="806" spans="1:1">
      <c r="A806" s="11"/>
    </row>
    <row r="807" spans="1:1">
      <c r="A807" s="11"/>
    </row>
    <row r="808" spans="1:1">
      <c r="A808" s="11"/>
    </row>
    <row r="809" spans="1:1">
      <c r="A809" s="11"/>
    </row>
    <row r="810" spans="1:1">
      <c r="A810" s="11"/>
    </row>
    <row r="811" spans="1:1">
      <c r="A811" s="11"/>
    </row>
    <row r="812" spans="1:1">
      <c r="A812" s="11"/>
    </row>
    <row r="813" spans="1:1">
      <c r="A813" s="11"/>
    </row>
    <row r="814" spans="1:1">
      <c r="A814" s="11"/>
    </row>
    <row r="815" spans="1:1">
      <c r="A815" s="11"/>
    </row>
    <row r="816" spans="1:1">
      <c r="A816" s="11"/>
    </row>
    <row r="817" spans="1:1">
      <c r="A817" s="11"/>
    </row>
    <row r="818" spans="1:1">
      <c r="A818" s="11"/>
    </row>
    <row r="819" spans="1:1">
      <c r="A819" s="11"/>
    </row>
    <row r="820" spans="1:1">
      <c r="A820" s="11"/>
    </row>
    <row r="821" spans="1:1">
      <c r="A821" s="11"/>
    </row>
    <row r="822" spans="1:1">
      <c r="A822" s="11"/>
    </row>
    <row r="823" spans="1:1">
      <c r="A823" s="11"/>
    </row>
    <row r="824" spans="1:1">
      <c r="A824" s="11"/>
    </row>
    <row r="825" spans="1:1">
      <c r="A825" s="11"/>
    </row>
    <row r="826" spans="1:1">
      <c r="A826" s="11"/>
    </row>
    <row r="827" spans="1:1">
      <c r="A827" s="11"/>
    </row>
    <row r="828" spans="1:1">
      <c r="A828" s="11"/>
    </row>
    <row r="829" spans="1:1">
      <c r="A829" s="11"/>
    </row>
    <row r="830" spans="1:1">
      <c r="A830" s="11"/>
    </row>
    <row r="831" spans="1:1">
      <c r="A831" s="11"/>
    </row>
    <row r="832" spans="1:1">
      <c r="A832" s="11"/>
    </row>
    <row r="833" spans="1:1">
      <c r="A833" s="11"/>
    </row>
    <row r="834" spans="1:1">
      <c r="A834" s="11"/>
    </row>
    <row r="835" spans="1:1">
      <c r="A835" s="11"/>
    </row>
    <row r="836" spans="1:1">
      <c r="A836" s="11"/>
    </row>
    <row r="837" spans="1:1">
      <c r="A837" s="11"/>
    </row>
    <row r="838" spans="1:1">
      <c r="A838" s="11"/>
    </row>
    <row r="839" spans="1:1">
      <c r="A839" s="11"/>
    </row>
    <row r="840" spans="1:1">
      <c r="A840" s="11"/>
    </row>
    <row r="841" spans="1:1">
      <c r="A841" s="11"/>
    </row>
    <row r="842" spans="1:1">
      <c r="A842" s="11"/>
    </row>
    <row r="843" spans="1:1">
      <c r="A843" s="11"/>
    </row>
    <row r="844" spans="1:1">
      <c r="A844" s="11"/>
    </row>
    <row r="845" spans="1:1">
      <c r="A845" s="11"/>
    </row>
    <row r="846" spans="1:1">
      <c r="A846" s="11"/>
    </row>
    <row r="847" spans="1:1">
      <c r="A847" s="11"/>
    </row>
    <row r="848" spans="1:1">
      <c r="A848" s="11"/>
    </row>
    <row r="849" spans="1:1">
      <c r="A849" s="11"/>
    </row>
    <row r="850" spans="1:1">
      <c r="A850" s="11"/>
    </row>
    <row r="851" spans="1:1">
      <c r="A851" s="11"/>
    </row>
    <row r="852" spans="1:1">
      <c r="A852" s="11"/>
    </row>
    <row r="853" spans="1:1">
      <c r="A853" s="11"/>
    </row>
    <row r="854" spans="1:1">
      <c r="A854" s="11"/>
    </row>
    <row r="855" spans="1:1">
      <c r="A855" s="11"/>
    </row>
    <row r="856" spans="1:1">
      <c r="A856" s="11"/>
    </row>
    <row r="857" spans="1:1">
      <c r="A857" s="11"/>
    </row>
    <row r="858" spans="1:1">
      <c r="A858" s="11"/>
    </row>
    <row r="859" spans="1:1">
      <c r="A859" s="11"/>
    </row>
    <row r="860" spans="1:1">
      <c r="A860" s="11"/>
    </row>
    <row r="861" spans="1:1">
      <c r="A861" s="11"/>
    </row>
    <row r="862" spans="1:1">
      <c r="A862" s="11"/>
    </row>
    <row r="863" spans="1:1">
      <c r="A863" s="11"/>
    </row>
    <row r="864" spans="1:1">
      <c r="A864" s="11"/>
    </row>
    <row r="865" spans="1:1">
      <c r="A865" s="11"/>
    </row>
    <row r="866" spans="1:1">
      <c r="A866" s="11"/>
    </row>
    <row r="867" spans="1:1">
      <c r="A867" s="11"/>
    </row>
    <row r="868" spans="1:1">
      <c r="A868" s="11"/>
    </row>
    <row r="869" spans="1:1">
      <c r="A869" s="11"/>
    </row>
    <row r="870" spans="1:1">
      <c r="A870" s="11"/>
    </row>
    <row r="871" spans="1:1">
      <c r="A871" s="11"/>
    </row>
    <row r="872" spans="1:1">
      <c r="A872" s="11"/>
    </row>
    <row r="873" spans="1:1">
      <c r="A873" s="11"/>
    </row>
    <row r="874" spans="1:1">
      <c r="A874" s="11"/>
    </row>
    <row r="875" spans="1:1">
      <c r="A875" s="11"/>
    </row>
    <row r="876" spans="1:1">
      <c r="A876" s="11"/>
    </row>
    <row r="877" spans="1:1">
      <c r="A877" s="11"/>
    </row>
    <row r="878" spans="1:1">
      <c r="A878" s="11"/>
    </row>
    <row r="879" spans="1:1">
      <c r="A879" s="11"/>
    </row>
    <row r="880" spans="1:1">
      <c r="A880" s="11"/>
    </row>
  </sheetData>
  <mergeCells count="50">
    <mergeCell ref="C49:F49"/>
    <mergeCell ref="C50:F50"/>
    <mergeCell ref="C43:F43"/>
    <mergeCell ref="C44:F44"/>
    <mergeCell ref="C45:F45"/>
    <mergeCell ref="C46:F46"/>
    <mergeCell ref="C47:F47"/>
    <mergeCell ref="C48:F48"/>
    <mergeCell ref="C42:F42"/>
    <mergeCell ref="C31:F31"/>
    <mergeCell ref="C32:F32"/>
    <mergeCell ref="C33:F33"/>
    <mergeCell ref="C34:F34"/>
    <mergeCell ref="C35:F35"/>
    <mergeCell ref="C36:F36"/>
    <mergeCell ref="C37:F37"/>
    <mergeCell ref="C38:F38"/>
    <mergeCell ref="C39:F39"/>
    <mergeCell ref="C40:F40"/>
    <mergeCell ref="C41:F41"/>
    <mergeCell ref="C30:F30"/>
    <mergeCell ref="C19:F19"/>
    <mergeCell ref="C20:F20"/>
    <mergeCell ref="C21:F21"/>
    <mergeCell ref="C22:F22"/>
    <mergeCell ref="C23:F23"/>
    <mergeCell ref="C24:F24"/>
    <mergeCell ref="C25:F25"/>
    <mergeCell ref="C26:F26"/>
    <mergeCell ref="C27:F27"/>
    <mergeCell ref="C28:F28"/>
    <mergeCell ref="C29:F29"/>
    <mergeCell ref="C18:F18"/>
    <mergeCell ref="C7:F7"/>
    <mergeCell ref="C8:F8"/>
    <mergeCell ref="C9:F9"/>
    <mergeCell ref="C10:F10"/>
    <mergeCell ref="C11:F11"/>
    <mergeCell ref="C12:F12"/>
    <mergeCell ref="C13:F13"/>
    <mergeCell ref="C14:F14"/>
    <mergeCell ref="C15:F15"/>
    <mergeCell ref="C16:F16"/>
    <mergeCell ref="C17:F17"/>
    <mergeCell ref="C6:F6"/>
    <mergeCell ref="A1:A3"/>
    <mergeCell ref="B1:B3"/>
    <mergeCell ref="C1:F3"/>
    <mergeCell ref="C4:F4"/>
    <mergeCell ref="C5:F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CQ950"/>
  <sheetViews>
    <sheetView zoomScale="85" zoomScaleNormal="85" workbookViewId="0"/>
  </sheetViews>
  <sheetFormatPr defaultColWidth="9" defaultRowHeight="18.75"/>
  <cols>
    <col min="1" max="1" width="9" style="347"/>
    <col min="2" max="2" width="13.85546875" style="24" bestFit="1" customWidth="1"/>
    <col min="3" max="3" width="7.28515625" style="24" customWidth="1"/>
    <col min="4" max="4" width="9.5703125" style="24" customWidth="1"/>
    <col min="5" max="5" width="11.140625" style="24" customWidth="1"/>
    <col min="6" max="6" width="14.28515625" style="25" hidden="1" customWidth="1"/>
    <col min="7" max="9" width="14.42578125" style="25" bestFit="1" customWidth="1"/>
    <col min="10" max="10" width="14.140625" style="25" bestFit="1" customWidth="1"/>
    <col min="11" max="11" width="15.85546875" style="25" bestFit="1" customWidth="1"/>
    <col min="12" max="12" width="14.42578125" style="25" bestFit="1" customWidth="1"/>
    <col min="13" max="13" width="18" style="25" bestFit="1" customWidth="1"/>
    <col min="14" max="14" width="19" style="25" bestFit="1" customWidth="1"/>
    <col min="15" max="15" width="17.28515625" style="25" bestFit="1" customWidth="1"/>
    <col min="16" max="16" width="15.5703125" style="25" customWidth="1"/>
    <col min="17" max="17" width="20" style="24" customWidth="1"/>
    <col min="18" max="18" width="27.42578125" style="24" customWidth="1"/>
    <col min="19" max="19" width="23.7109375" style="24" customWidth="1"/>
    <col min="20" max="20" width="20.5703125" style="24" customWidth="1"/>
    <col min="21" max="21" width="18.42578125" style="27" customWidth="1"/>
    <col min="22" max="22" width="17.28515625" style="27" customWidth="1"/>
    <col min="23" max="23" width="23.42578125" style="24" customWidth="1"/>
    <col min="24" max="24" width="16.5703125" style="24" bestFit="1" customWidth="1"/>
    <col min="25" max="25" width="15.5703125" style="24" customWidth="1"/>
    <col min="26" max="26" width="15.85546875" style="24" bestFit="1" customWidth="1"/>
    <col min="27" max="27" width="30" style="24" customWidth="1"/>
    <col min="28" max="28" width="12.7109375" style="24" customWidth="1"/>
    <col min="29" max="29" width="14.28515625" style="24" customWidth="1"/>
    <col min="30" max="30" width="19.7109375" style="24" customWidth="1"/>
    <col min="31" max="31" width="17.7109375" style="24" customWidth="1"/>
    <col min="32" max="32" width="20" style="24" customWidth="1"/>
    <col min="33" max="33" width="29.140625" style="24" customWidth="1"/>
    <col min="34" max="34" width="33.85546875" style="24" bestFit="1" customWidth="1"/>
    <col min="35" max="35" width="13.42578125" style="24" customWidth="1"/>
    <col min="36" max="36" width="20.28515625" style="24" customWidth="1"/>
    <col min="37" max="37" width="17" style="24" customWidth="1"/>
    <col min="38" max="38" width="25.28515625" style="24" bestFit="1" customWidth="1"/>
    <col min="39" max="39" width="0.85546875" style="24" customWidth="1"/>
    <col min="40" max="40" width="20" style="24" customWidth="1"/>
    <col min="41" max="41" width="24.85546875" style="34" customWidth="1"/>
    <col min="42" max="42" width="24.140625" style="34" customWidth="1"/>
    <col min="43" max="43" width="34" style="24" bestFit="1" customWidth="1"/>
    <col min="44" max="44" width="36.7109375" style="24" bestFit="1" customWidth="1"/>
    <col min="45" max="45" width="27.7109375" style="34" customWidth="1"/>
    <col min="46" max="46" width="37.28515625" style="24" customWidth="1"/>
    <col min="47" max="47" width="39.85546875" style="24" customWidth="1"/>
    <col min="48" max="48" width="30.85546875" style="34" customWidth="1"/>
    <col min="49" max="49" width="41" style="24" customWidth="1"/>
    <col min="50" max="50" width="43.5703125" style="24" customWidth="1"/>
    <col min="51" max="51" width="29.7109375" style="34" bestFit="1" customWidth="1"/>
    <col min="52" max="52" width="34.42578125" style="25" bestFit="1" customWidth="1"/>
    <col min="53" max="53" width="34.42578125" style="25" customWidth="1"/>
    <col min="54" max="54" width="29" style="24" bestFit="1" customWidth="1"/>
    <col min="55" max="55" width="36.42578125" style="25" customWidth="1"/>
    <col min="56" max="56" width="39" style="25" customWidth="1"/>
    <col min="57" max="57" width="23.28515625" style="34" customWidth="1"/>
    <col min="58" max="58" width="35.28515625" style="34" customWidth="1"/>
    <col min="59" max="59" width="13.42578125" style="24" customWidth="1"/>
    <col min="60" max="60" width="32.7109375" style="24" customWidth="1"/>
    <col min="61" max="61" width="19" style="26" bestFit="1" customWidth="1"/>
    <col min="62" max="62" width="25" style="24" customWidth="1"/>
    <col min="63" max="63" width="27.5703125" style="24" customWidth="1"/>
    <col min="64" max="64" width="24.140625" style="34" customWidth="1"/>
    <col min="65" max="65" width="23.5703125" style="24" customWidth="1"/>
    <col min="66" max="66" width="0.85546875" style="34" customWidth="1"/>
    <col min="67" max="67" width="23.42578125" style="24" customWidth="1"/>
    <col min="68" max="68" width="28.28515625" style="24" bestFit="1" customWidth="1"/>
    <col min="69" max="69" width="30.5703125" style="24" customWidth="1"/>
    <col min="70" max="70" width="27.42578125" style="24" bestFit="1" customWidth="1"/>
    <col min="71" max="71" width="28.42578125" style="24" customWidth="1"/>
    <col min="72" max="72" width="28.42578125" style="34" bestFit="1" customWidth="1"/>
    <col min="73" max="73" width="28.42578125" style="34" customWidth="1"/>
    <col min="74" max="74" width="31.5703125" style="34" customWidth="1"/>
    <col min="75" max="75" width="20" style="34" customWidth="1"/>
    <col min="76" max="76" width="17.140625" style="25" customWidth="1"/>
    <col min="77" max="78" width="24.140625" style="25" customWidth="1"/>
    <col min="79" max="79" width="20.28515625" style="24" bestFit="1" customWidth="1"/>
    <col min="80" max="80" width="5.7109375" style="24" bestFit="1" customWidth="1"/>
    <col min="81" max="81" width="27" style="25" customWidth="1"/>
    <col min="82" max="82" width="26.28515625" style="24" customWidth="1"/>
    <col min="83" max="83" width="21.28515625" style="11" customWidth="1"/>
    <col min="84" max="84" width="22.28515625" style="11" customWidth="1"/>
    <col min="85" max="85" width="16.5703125" style="26" hidden="1" customWidth="1"/>
    <col min="86" max="86" width="18.85546875" style="26" hidden="1" customWidth="1"/>
    <col min="87" max="87" width="24.85546875" style="26" hidden="1" customWidth="1"/>
    <col min="88" max="88" width="0.140625" style="26" hidden="1" customWidth="1"/>
    <col min="89" max="89" width="9" style="24" hidden="1" customWidth="1"/>
    <col min="90" max="90" width="9" style="24"/>
    <col min="91" max="91" width="15.140625" style="24" bestFit="1" customWidth="1"/>
    <col min="92" max="94" width="9" style="24"/>
    <col min="95" max="95" width="16.5703125" style="24" bestFit="1" customWidth="1"/>
    <col min="96" max="16384" width="9" style="24"/>
  </cols>
  <sheetData>
    <row r="1" spans="1:95" s="165" customFormat="1" ht="69.75" customHeight="1" thickTop="1" thickBot="1">
      <c r="A1" s="346" t="s">
        <v>300</v>
      </c>
      <c r="B1" s="344" t="s">
        <v>98</v>
      </c>
      <c r="C1" s="158" t="s">
        <v>99</v>
      </c>
      <c r="D1" s="158" t="s">
        <v>278</v>
      </c>
      <c r="E1" s="158" t="s">
        <v>239</v>
      </c>
      <c r="F1" s="159" t="s">
        <v>70</v>
      </c>
      <c r="G1" s="159" t="s">
        <v>71</v>
      </c>
      <c r="H1" s="159" t="s">
        <v>74</v>
      </c>
      <c r="I1" s="159" t="s">
        <v>103</v>
      </c>
      <c r="J1" s="159" t="s">
        <v>112</v>
      </c>
      <c r="K1" s="159" t="s">
        <v>294</v>
      </c>
      <c r="L1" s="158" t="s">
        <v>100</v>
      </c>
      <c r="M1" s="158" t="s">
        <v>284</v>
      </c>
      <c r="N1" s="158" t="s">
        <v>285</v>
      </c>
      <c r="O1" s="158" t="s">
        <v>274</v>
      </c>
      <c r="P1" s="158" t="s">
        <v>130</v>
      </c>
      <c r="Q1" s="159" t="s">
        <v>72</v>
      </c>
      <c r="R1" s="159" t="s">
        <v>245</v>
      </c>
      <c r="S1" s="158" t="s">
        <v>142</v>
      </c>
      <c r="T1" s="158" t="s">
        <v>143</v>
      </c>
      <c r="U1" s="159" t="s">
        <v>73</v>
      </c>
      <c r="V1" s="158" t="s">
        <v>144</v>
      </c>
      <c r="W1" s="158" t="s">
        <v>145</v>
      </c>
      <c r="X1" s="158" t="s">
        <v>146</v>
      </c>
      <c r="Y1" s="158" t="s">
        <v>147</v>
      </c>
      <c r="Z1" s="158" t="s">
        <v>148</v>
      </c>
      <c r="AA1" s="158" t="s">
        <v>149</v>
      </c>
      <c r="AB1" s="158" t="s">
        <v>150</v>
      </c>
      <c r="AC1" s="158" t="s">
        <v>293</v>
      </c>
      <c r="AD1" s="158" t="s">
        <v>151</v>
      </c>
      <c r="AE1" s="158" t="s">
        <v>275</v>
      </c>
      <c r="AF1" s="158" t="s">
        <v>276</v>
      </c>
      <c r="AG1" s="158" t="s">
        <v>281</v>
      </c>
      <c r="AH1" s="158" t="s">
        <v>152</v>
      </c>
      <c r="AI1" s="158" t="s">
        <v>196</v>
      </c>
      <c r="AJ1" s="158" t="s">
        <v>197</v>
      </c>
      <c r="AK1" s="158" t="s">
        <v>140</v>
      </c>
      <c r="AL1" s="158" t="s">
        <v>141</v>
      </c>
      <c r="AM1" s="160" t="s">
        <v>233</v>
      </c>
      <c r="AN1" s="80" t="s">
        <v>139</v>
      </c>
      <c r="AO1" s="161" t="s">
        <v>138</v>
      </c>
      <c r="AP1" s="80" t="s">
        <v>153</v>
      </c>
      <c r="AQ1" s="80" t="s">
        <v>64</v>
      </c>
      <c r="AR1" s="80" t="s">
        <v>65</v>
      </c>
      <c r="AS1" s="161" t="s">
        <v>154</v>
      </c>
      <c r="AT1" s="80" t="s">
        <v>155</v>
      </c>
      <c r="AU1" s="80" t="s">
        <v>198</v>
      </c>
      <c r="AV1" s="161" t="s">
        <v>156</v>
      </c>
      <c r="AW1" s="80" t="s">
        <v>157</v>
      </c>
      <c r="AX1" s="80" t="s">
        <v>199</v>
      </c>
      <c r="AY1" s="161" t="s">
        <v>158</v>
      </c>
      <c r="AZ1" s="80" t="s">
        <v>159</v>
      </c>
      <c r="BA1" s="80" t="s">
        <v>200</v>
      </c>
      <c r="BB1" s="80" t="s">
        <v>160</v>
      </c>
      <c r="BC1" s="80" t="s">
        <v>161</v>
      </c>
      <c r="BD1" s="80" t="s">
        <v>201</v>
      </c>
      <c r="BE1" s="80" t="s">
        <v>94</v>
      </c>
      <c r="BF1" s="80" t="s">
        <v>95</v>
      </c>
      <c r="BG1" s="80" t="s">
        <v>96</v>
      </c>
      <c r="BH1" s="80" t="s">
        <v>93</v>
      </c>
      <c r="BI1" s="80" t="s">
        <v>137</v>
      </c>
      <c r="BJ1" s="80" t="s">
        <v>135</v>
      </c>
      <c r="BK1" s="80" t="s">
        <v>136</v>
      </c>
      <c r="BL1" s="80" t="s">
        <v>231</v>
      </c>
      <c r="BM1" s="80" t="s">
        <v>232</v>
      </c>
      <c r="BN1" s="162" t="s">
        <v>234</v>
      </c>
      <c r="BO1" s="81" t="s">
        <v>162</v>
      </c>
      <c r="BP1" s="81" t="s">
        <v>60</v>
      </c>
      <c r="BQ1" s="81" t="s">
        <v>62</v>
      </c>
      <c r="BR1" s="81" t="s">
        <v>61</v>
      </c>
      <c r="BS1" s="81" t="s">
        <v>63</v>
      </c>
      <c r="BT1" s="81" t="s">
        <v>163</v>
      </c>
      <c r="BU1" s="81" t="s">
        <v>66</v>
      </c>
      <c r="BV1" s="81" t="s">
        <v>97</v>
      </c>
      <c r="BW1" s="81" t="s">
        <v>134</v>
      </c>
      <c r="BX1" s="81" t="s">
        <v>133</v>
      </c>
      <c r="BY1" s="81" t="s">
        <v>131</v>
      </c>
      <c r="BZ1" s="81" t="s">
        <v>132</v>
      </c>
      <c r="CA1" s="81" t="s">
        <v>164</v>
      </c>
      <c r="CB1" s="163" t="s">
        <v>235</v>
      </c>
      <c r="CC1" s="82" t="s">
        <v>67</v>
      </c>
      <c r="CD1" s="82" t="s">
        <v>301</v>
      </c>
      <c r="CE1" s="82" t="s">
        <v>69</v>
      </c>
      <c r="CF1" s="82" t="s">
        <v>68</v>
      </c>
      <c r="CG1" s="164" t="s">
        <v>17</v>
      </c>
      <c r="CH1" s="439" t="s">
        <v>46</v>
      </c>
      <c r="CI1" s="440"/>
      <c r="CJ1" s="439" t="s">
        <v>47</v>
      </c>
      <c r="CK1" s="440"/>
    </row>
    <row r="2" spans="1:95" ht="21" customHeight="1">
      <c r="A2" s="347">
        <v>1</v>
      </c>
      <c r="B2" s="345">
        <f>IF(db!$E$5=0,0,1)</f>
        <v>1</v>
      </c>
      <c r="C2" s="15">
        <f>IF(B2=0,0,db!E2)</f>
        <v>28</v>
      </c>
      <c r="D2" s="312">
        <f>IF(B2=0,0,db!E2)</f>
        <v>28</v>
      </c>
      <c r="E2" s="312">
        <f>IF(Table14[[#This Row],[Year]]=0,0,LOOKUP(Table14[[#This Row],[Age]],RiskLoading!A$3:A$109,RiskLoading!DG$3:DG$109))</f>
        <v>34</v>
      </c>
      <c r="F2" s="29">
        <f>ROUND(L2,-3)</f>
        <v>100000000</v>
      </c>
      <c r="G2" s="29">
        <f>ROUND(PremiumLst,-3)</f>
        <v>100000000</v>
      </c>
      <c r="H2" s="29">
        <f t="shared" ref="H2:H65" si="0" xml:space="preserve"> ROUND(L2 * (1 + SumOfTAX),-3)</f>
        <v>108000000</v>
      </c>
      <c r="I2" s="29">
        <f>IF(B2&gt;0,IF(AND(Table14[[#This Row],[Year]]&gt;Changes!ValidityYear,Changes!Change="Yes",Changes!ChangeType="Change Value Adjustment"),Changes!$G$22,'Application Annually'!$C$11),0)</f>
        <v>15</v>
      </c>
      <c r="J2" s="29">
        <f>IF(B2&gt;0,IF(AND(Table14[[#This Row],[Year]]&gt;Changes!ValidityYear,Changes!Change="Yes",Changes!ChangeType="Change Value Adjustment"),Changes!$G$24,'Application Annually'!$C$7),0)</f>
        <v>20</v>
      </c>
      <c r="K2" s="29">
        <f>IF(B2=0,0,db!E3)</f>
        <v>100000000</v>
      </c>
      <c r="L2" s="29">
        <f>IF(B2=0,0,db!E3)</f>
        <v>100000000</v>
      </c>
      <c r="M2" s="29">
        <f>IF(Table14[[#This Row],[Year]]=1,ROUND(MIN($L$2 -( Table14[[#This Row],[Riders Risk Premiums]] + Table14[[#This Row],[Acquisition Cost]]) *0.75,Table14[[#This Row],[Death Capital (1)]]* 0.03),0),0)</f>
        <v>30000000</v>
      </c>
      <c r="N2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96595792</v>
      </c>
      <c r="O2" s="29">
        <f>IF(ROW()-1&gt;InsurancePeriod,0,db!E3)</f>
        <v>100000000</v>
      </c>
      <c r="P2" s="29">
        <f>IF(Table14[Year] = 0, 0, SUM(L$2:L2))</f>
        <v>100000000</v>
      </c>
      <c r="Q2" s="17">
        <f t="shared" ref="Q2:Q65" si="1">ROUND(T2,-3)</f>
        <v>1000000000</v>
      </c>
      <c r="R2" s="17">
        <f>IF(Table14[[#This Row],[Year]]=0,0,IF($C$2&lt;=50,LOOKUP(Table14[[#This Row],[Age]],db!BG3:BG109,db!BH3:BH109),LOOKUP(Table14[[#This Row],[Age]],db!BJ3:BJ109,db!BK3:BK109)))</f>
        <v>2000000000</v>
      </c>
      <c r="S2" s="17">
        <f>MIN(IF(B2=0,0,db!$E$4*((1+db!$B$4)^(B2-1))),Table14[[#This Row],[Max Sum Insured For Death]])</f>
        <v>1000000000</v>
      </c>
      <c r="T2" s="17">
        <f>MIN(IF(B2=0,0,Table14[[#This Row],[Death Capital (1)]]),Table14[[#This Row],[Max Sum Insured For Death]])</f>
        <v>1000000000</v>
      </c>
      <c r="U2" s="29">
        <f>ROUND(V2,-3)</f>
        <v>1000000000</v>
      </c>
      <c r="V2" s="29">
        <f>IF(B2=0,0,IF(db!$D$6="Yes",(db!$B$6)*T2,0))</f>
        <v>1000000000</v>
      </c>
      <c r="W2" s="29">
        <f>MIN(IF(V2&lt;=db!$L$2,V2,db!$L$2),MAX_ACC_CAPITAL)</f>
        <v>1000000000</v>
      </c>
      <c r="X2" s="17">
        <f>IF(OR(B2=0,Table14[[#This Row],[Accident Capital (2)]]=0),0,IF(db!$D$7="Yes",(db!$B$7)*T2,0))</f>
        <v>500000000</v>
      </c>
      <c r="Y2" s="42">
        <f>IF(C2&gt;69,0,IF(C2=0,0,IF(X2&lt;=db!$L$3,X2,db!$L$3)))</f>
        <v>500000000</v>
      </c>
      <c r="Z2" s="29">
        <f>IF(OR(B2=0,Table14[[#This Row],[Accident Capital (2)]]=0),0,IF(db!$D$9="Yes",(db!$B$9)*T2,0))</f>
        <v>200000000</v>
      </c>
      <c r="AA2" s="29">
        <f>ROUND(IF(C2&gt;69,0,IF(C2=0,0,IF(Z2&lt;=db!$L$4,Z2,db!$L$4))),0)</f>
        <v>50000000</v>
      </c>
      <c r="AB2" s="38">
        <f>IF(AND(db!$D$8="Yes",C2&lt;=69,ROW()-1&lt;=InsurancePeriod),1,0)</f>
        <v>1</v>
      </c>
      <c r="AC2" s="17">
        <f>(AC3+K3)*AB2*((1)/(1+db!AA4))*(LOOKUP(C2,'Mortality Table'!$A$2:$A$108,'Mortality Table'!$E$2:$E$108))</f>
        <v>1788216756.47036</v>
      </c>
      <c r="AD2" s="340">
        <f>Table14[[#This Row],[WOP Before Adj. BT]]</f>
        <v>1788216756.47036</v>
      </c>
      <c r="AE2" s="341">
        <f>IF(AND(Changes!Change="Yes", Changes!ChangeType="Change Value Adjustment"),Table14[[#This Row],[WOP Capital]],(AE3+O3)*AB2*((1)/(1+db!AA4))*(LOOKUP(D2,'Mortality Table'!$A$2:$A$108,'Mortality Table'!$E$2:$E$108)))</f>
        <v>1788216756.47036</v>
      </c>
      <c r="AF2" s="17">
        <f>IF(AND(Changes!Change="Yes", Changes!ValidityYear&lt;=ROW()-1),Table14[[#This Row],[WOP Capital]],Table14[[#This Row],[WOP without change]])</f>
        <v>1788216756.47036</v>
      </c>
      <c r="AG2" s="42">
        <f>IF(AND(Changes!Change="Yes", Changes!ValidityYear&lt;=Table14[[#This Row],[Year]], Changes!ChangeType="Rider Inclusion/Exclusion", Changes!RiderType="Disability Annuity"), L2*Changes!NewChangedValue,L2*db!B$10*IF(db!$D$10="Yes",1,0))</f>
        <v>200000000</v>
      </c>
      <c r="AH2" s="29">
        <f>Table14[[#This Row],[Code Annuity Capital]]*IF('Annual Calculation'!C2&gt;69,0,(LOOKUP('Annual Calculation'!C2+1,'Mortality Table'!$A$2:$A$108,'Mortality Table'!$O$2:$O$108)-LOOKUP('Annual Calculation'!C2+11,'Mortality Table'!$A$2:$A$108,'Mortality Table'!$O$2:$O$108))/LOOKUP('Annual Calculation'!C2,'Mortality Table'!$A$2:$A$108,'Mortality Table'!$M$2:$M$108))</f>
        <v>1218796206.4696395</v>
      </c>
      <c r="AI2" s="17">
        <f>IF(B2=0,0,IF(db!$D$11="Yes",(db!$B$11)*T2,0))</f>
        <v>150000000</v>
      </c>
      <c r="AJ2" s="42">
        <f>ROUND(IF(C2&gt;59,0,IF(C2=0,0,IF(AI2&lt;=db!$L$5,AI2,db!$L$5))),0)</f>
        <v>150000000</v>
      </c>
      <c r="AK2" s="29">
        <f>IF(B2=0,0,IF(db!$D$12="Yes",(db!$B$12)*T2,0))</f>
        <v>250000000</v>
      </c>
      <c r="AL2" s="29">
        <f>ROUND(IF(C2&gt;59,0,IF(C2=0,0,IF(AK2&lt;=db!$L$6,AK2,db!$L$6))),0)</f>
        <v>250000000</v>
      </c>
      <c r="AM2" s="30"/>
      <c r="AN2" s="18">
        <f>IF(B2=0,0,IF(C2&lt;(db!$E$2+5),LOOKUP(C2,'Mortality Table'!$A$2:$A$108,'Mortality Table'!$P$2:$P$108),IF((C2&gt;=db!$E$2+10),LOOKUP(C2,'Mortality Table'!$A$2:$A$108,'Mortality Table'!$R$2:$R$108),LOOKUP(C2,'Mortality Table'!$A$2:$A$108,'Mortality Table'!$Q$2:$Q$108))))</f>
        <v>1.4604768842726064E-3</v>
      </c>
      <c r="AO2" s="22">
        <f t="shared" ref="AO2:AO65" si="2">ROUND(AN2*T2,0)</f>
        <v>1460477</v>
      </c>
      <c r="AP2" s="19">
        <f>IF(B2=0,0,LOOKUP(db!$A$8,db!$AX$4:$AX$8,db!$AY$4:$AY$8))</f>
        <v>0.6</v>
      </c>
      <c r="AQ2" s="20">
        <f>ROUND((AP2/1000)*W2 * (1-db!$AS$9),0)</f>
        <v>453000</v>
      </c>
      <c r="AR2" s="20">
        <f>(AP2/1000)*W2 * db!$AS$9</f>
        <v>147000</v>
      </c>
      <c r="AS2" s="21">
        <f>IF(B2=0,0,LOOKUP(db!$A$8,db!$AX$4:$AX$8,db!$AZ$4:$AZ$8))</f>
        <v>0.6</v>
      </c>
      <c r="AT2" s="22">
        <f>(AS2/1000)*Y2*(1-db!$AS$9)</f>
        <v>226500</v>
      </c>
      <c r="AU2" s="22">
        <f>(AS2/1000)*Y2*(db!$AS$9)</f>
        <v>73500</v>
      </c>
      <c r="AV2" s="23">
        <f>IF(B2=0,0,LOOKUP(db!$A$8,db!$AX$4:$AX$8,db!$BA$4:$BA$8))</f>
        <v>0.8</v>
      </c>
      <c r="AW2" s="20">
        <f>ROUND((AV2/(100))*AA2*(1-db!$AS$9),0)</f>
        <v>302000</v>
      </c>
      <c r="AX2" s="20">
        <f>ROUND((AV2/(100))*AA2*(db!$AS$9),0)</f>
        <v>98000</v>
      </c>
      <c r="AY2" s="21">
        <f>IF(db!$D$8="Yes",AS2,0)</f>
        <v>0.6</v>
      </c>
      <c r="AZ2" s="22">
        <f>(AY2*AF2)/1000*(1-db!$AS$9)</f>
        <v>810062.190681073</v>
      </c>
      <c r="BA2" s="22">
        <f>(AY2*AF2)/1000*(db!$AS$9)</f>
        <v>262867.86320114287</v>
      </c>
      <c r="BB2" s="23">
        <f t="shared" ref="BB2:BB65" si="3">AS2</f>
        <v>0.6</v>
      </c>
      <c r="BC2" s="20">
        <f>(BB2*AH2/1000)*(1-db!$AS$9)</f>
        <v>552114.68153074675</v>
      </c>
      <c r="BD2" s="20">
        <f>(BB2*AH2/1000)*(db!$AS$9)</f>
        <v>179163.04235103703</v>
      </c>
      <c r="BE2" s="22">
        <f>IF(B2=0,0,IF(C2&gt;60,0,LOOKUP(Table14[[#This Row],[Medical
Age]],db!$BC$3:$BC$63,db!$BD$3:$BD$63)))</f>
        <v>750</v>
      </c>
      <c r="BF2" s="22">
        <f>BG2*db!$AS$10</f>
        <v>11250</v>
      </c>
      <c r="BG2" s="22">
        <f t="shared" ref="BG2:BG65" si="4">(BE2/1000000)*AJ2</f>
        <v>112500</v>
      </c>
      <c r="BH2" s="22">
        <f>(BE2/1000000)*AJ2*(1-db!$AS$10)</f>
        <v>101250</v>
      </c>
      <c r="BI2" s="20">
        <f>IF(B2=0,0,IF(C2&gt;59,0,LOOKUP(Table14[[#This Row],[Medical
Age]],db!$BC$3:$BC$63,db!$BE$3:$BE$63)))</f>
        <v>750</v>
      </c>
      <c r="BJ2" s="20">
        <f>(BI2/1000000)*AL2*(1-db!$AS$11)</f>
        <v>168750</v>
      </c>
      <c r="BK2" s="20">
        <f>(BI2/1000000)*AL2*(db!$AS$11)</f>
        <v>18750</v>
      </c>
      <c r="BL2" s="19">
        <f>IF(Table14[Year]=0,0,LOOKUP(Table14[Age],RiskLoading!A$3:A$109,RiskLoading!DL$3:DL$109))</f>
        <v>3.8889390664636385E-4</v>
      </c>
      <c r="BM2" s="20">
        <f>Table14[[#This Row],[RiskLoading
Rate]]*Table14[[#This Row],[Death Capital (2)]]</f>
        <v>388893.90664636384</v>
      </c>
      <c r="BN2" s="36"/>
      <c r="BO2" s="37">
        <f t="shared" ref="BO2:BO65" si="5">AO2</f>
        <v>1460477</v>
      </c>
      <c r="BP2" s="35">
        <f t="shared" ref="BP2:BP65" si="6">(BC2+AZ2+AW2+AT2+AQ2)</f>
        <v>2343676.8722118195</v>
      </c>
      <c r="BQ2" s="35">
        <f t="shared" ref="BQ2:BQ65" si="7">AR2+AU2+AX2+BA2+BD2</f>
        <v>760530.9055521799</v>
      </c>
      <c r="BR2" s="37">
        <f>(BJ2+BH2)</f>
        <v>270000</v>
      </c>
      <c r="BS2" s="37">
        <f>BF2+BK2</f>
        <v>30000</v>
      </c>
      <c r="BT2" s="35">
        <f>ROUND(BR2+BP2,0)</f>
        <v>2613677</v>
      </c>
      <c r="BU2" s="35">
        <f>ROUND(BQ2+BS2,0)</f>
        <v>790531</v>
      </c>
      <c r="BV2" s="37">
        <f>(db!$AS$2/100)*(L2-BT2-BU2)</f>
        <v>3863831.68</v>
      </c>
      <c r="BW2" s="37">
        <f>ROUND((db!$AS$6/100)*(L2-BT2-BU2),0)</f>
        <v>0</v>
      </c>
      <c r="BX2" s="35">
        <f>IF(B2&gt;5,0,$T$2*(db!AS$5/1000))</f>
        <v>1500000</v>
      </c>
      <c r="BY2" s="37">
        <f>IF(B2=0,0,MIN(($L$2-$BT$2-$BU$2)*0.75,0.03*db!$E$4))</f>
        <v>30000000</v>
      </c>
      <c r="BZ2" s="37">
        <f>0.3*$BY$2</f>
        <v>9000000</v>
      </c>
      <c r="CA2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19617411</v>
      </c>
      <c r="CB2" s="31"/>
      <c r="CC2" s="39">
        <f>(Table14[[#This Row],[Premium]]+InitialFund)-Table14[[#This Row],[All Deductions]]</f>
        <v>90382589</v>
      </c>
      <c r="CD2" s="40">
        <f>CC2*(1+db!Y4)</f>
        <v>106651455.02</v>
      </c>
      <c r="CE2" s="40">
        <f>CC2*(1+db!Y4)</f>
        <v>106651455.02</v>
      </c>
      <c r="CF2" s="40">
        <f>ROUND(CE2-SUM(BX3:$BX$7),-3)</f>
        <v>100651000</v>
      </c>
      <c r="CG2" s="15">
        <f>IF(db!$E$5=0,0,1)</f>
        <v>1</v>
      </c>
      <c r="CH2" s="39">
        <f>CC2*(1+db!AH4)</f>
        <v>108459106.8</v>
      </c>
      <c r="CI2" s="39">
        <f>CH2-(SUM(BX3:$BX$7))</f>
        <v>102459106.8</v>
      </c>
      <c r="CJ2" s="40">
        <f>CC2*(1+db!AO4)</f>
        <v>110266758.58</v>
      </c>
      <c r="CK2" s="40">
        <f>CJ2-(SUM(BX3:$BX$7))</f>
        <v>104266758.58</v>
      </c>
      <c r="CL2" s="46"/>
    </row>
    <row r="3" spans="1:95">
      <c r="A3" s="347">
        <f>A2+1</f>
        <v>2</v>
      </c>
      <c r="B3" s="345">
        <f>IF(AND(Changes!Change="Yes", Changes!ChangeType="Change Contract Duration"),IF(B2=0,0,IF(Changes!NewChangedValue&lt;B2+1,0,B2+1)),IF(B2=0,0,IF('Application Annually'!$C$5&lt;B2+1,0,B2+1)))</f>
        <v>2</v>
      </c>
      <c r="C3" s="15">
        <f>IF(B3=0,0,(C2+1))</f>
        <v>29</v>
      </c>
      <c r="D3" s="312">
        <f>D2+1</f>
        <v>29</v>
      </c>
      <c r="E3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34</v>
      </c>
      <c r="F3" s="29">
        <f t="shared" ref="F3:F66" si="8">ROUND(L3,-3)</f>
        <v>120000000</v>
      </c>
      <c r="G3" s="29">
        <f t="shared" ref="G3:G66" si="9">ROUND(L3,-3)</f>
        <v>120000000</v>
      </c>
      <c r="H3" s="29">
        <f t="shared" si="0"/>
        <v>129600000</v>
      </c>
      <c r="I3" s="29">
        <f>IF(B3&gt;0,IF(AND(Table14[[#This Row],[Year]]&gt;Changes!ValidityYear,Changes!Change="Yes",Changes!ChangeType="Change Value Adjustment"),Changes!$G$22,'Application Annually'!$C$11),0)</f>
        <v>15</v>
      </c>
      <c r="J3" s="29">
        <f>IF(B3&gt;0,IF(AND(Table14[[#This Row],[Year]]&gt;Changes!ValidityYear,Changes!Change="Yes",Changes!ChangeType="Change Value Adjustment"),Changes!$G$24,'Application Annually'!$C$7),0)</f>
        <v>20</v>
      </c>
      <c r="K3" s="29">
        <f>ROUND(IF(B3=0,0,IF(AND(Changes!Change="Yes", Changes!ValidityYear=Table14[[#This Row],[Year]], Changes!ChangeType="Change Premium"), Changes!NewChangedValue, (K2*(1+db!$B$3)))),0)</f>
        <v>120000000</v>
      </c>
      <c r="L3" s="29">
        <f>ROUND(IF(B3=0,0,IF(AND(Changes!Change="Yes", Changes!ValidityYear=Table14[[#This Row],[Year]], Changes!ChangeType="Change Premium"), Changes!NewChangedValue, (L2*(1+Table14[[#This Row],[Adjustment Factor of Premium]]/100)))),0)</f>
        <v>120000000</v>
      </c>
      <c r="M3" s="29">
        <f>IF(Table14[[#This Row],[Year]]=1,ROUND(MIN($L$2 -( Table14[[#This Row],[Riders Risk Premiums]] + Table14[[#This Row],[Acquisition Cost]]) *0.75,Table14[[#This Row],[Death Capital (1)]]* 0.03),0),0)</f>
        <v>0</v>
      </c>
      <c r="N3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3" s="29">
        <f>ROUND(IF(ROW()-1&gt;InsurancePeriod,0,(O2*(1+(Table14[[#This Row],[Adjustment Factor of Premium]]/100)))),0)</f>
        <v>120000000</v>
      </c>
      <c r="P3" s="29">
        <f>IF(Table14[Year] = 0, 0, SUM(L$2:L3))</f>
        <v>220000000</v>
      </c>
      <c r="Q3" s="17">
        <f t="shared" si="1"/>
        <v>1150000000</v>
      </c>
      <c r="R3" s="17">
        <f>IF(Table14[[#This Row],[Year]]=0,0,IF($C$2&lt;=50,LOOKUP(Table14[[#This Row],[Age]],db!BG4:BG110,db!BH4:BH110),LOOKUP(Table14[[#This Row],[Age]],db!BJ4:BJ110,db!BK4:BK110)))</f>
        <v>2000000000</v>
      </c>
      <c r="S3" s="17">
        <f>IF(B3=0,0, IF(AND(Changes!Change="Yes", Changes!ValidityYear=Table14[[#This Row],[Year]], Changes!ChangeType="Change Death Capital"), Changes!NewChangedValue, S2*(1+(Table14[[#This Row],[Adjustment Factor of Death Capital]]/100))))</f>
        <v>1150000000</v>
      </c>
      <c r="T3" s="17">
        <f>MIN(IF(B3=0,0,Table14[[#This Row],[Death Capital (1)]]),Table14[[#This Row],[Max Sum Insured For Death]])</f>
        <v>1150000000</v>
      </c>
      <c r="U3" s="29">
        <f t="shared" ref="U3:U66" si="10">ROUND(V3,-3)</f>
        <v>1150000000</v>
      </c>
      <c r="V3" s="29">
        <f>IF(B3=0,0,IF(AND(Changes!Change="Yes", Changes!ValidityYear&lt;=Table14[[#This Row],[Year]], Changes!ChangeType="Rider Inclusion/Exclusion", Changes!RiderType="Accident Death"), T3*Changes!NewChangedValue,IF(db!$D$6="Yes",(db!$B$6)*T3,0)))</f>
        <v>1150000000</v>
      </c>
      <c r="W3" s="29">
        <f>MIN(IF(V3&lt;=db!$L$2,V3,db!$L$2),MAX_ACC_CAPITAL)</f>
        <v>1150000000</v>
      </c>
      <c r="X3" s="17">
        <f>IF(OR(B3=0,Table14[[#This Row],[Accident Capital (2)]]=0),0,IF(AND(Changes!Change="Yes", Changes!ValidityYear&lt;=Table14[[#This Row],[Year]], Changes!ChangeType="Rider Inclusion/Exclusion", Changes!RiderType="Accident Disability"), T3*Changes!NewChangedValue,IF(db!$D$7="Yes",(db!$B$7)*T3,0)))</f>
        <v>575000000</v>
      </c>
      <c r="Y3" s="42">
        <f>IF(C3&gt;69,0,IF(C3=0,0,IF(X3&lt;=db!$L$3,X3,db!$L$3)))</f>
        <v>575000000</v>
      </c>
      <c r="Z3" s="29">
        <f>IF(OR(B3=0,Table14[[#This Row],[Accident Capital (2)]]=0),0,IF(AND(Changes!Change="Yes", Changes!ValidityYear&lt;=Table14[[#This Row],[Year]], Changes!ChangeType="Rider Inclusion/Exclusion", Changes!RiderType="Accident Medical Cost"), T3*Changes!NewChangedValue,IF(db!$D$9="Yes",(db!$B$9)*T3,0)))</f>
        <v>230000000</v>
      </c>
      <c r="AA3" s="29">
        <f>ROUND(IF(C3&gt;69,0,IF(C3=0,0,IF(Z3&lt;=db!$L$4,Z3,db!$L$4))),0)</f>
        <v>50000000</v>
      </c>
      <c r="AB3" s="38">
        <f>IF(AND(Changes!Change = "Yes", Changes!ChangeType = "Rider Inclusion/Exclusion", Changes!RiderType = "WOP"), IF( Changes!ValidityYear &lt;= Table14[[#This Row],[Year]], IF(WOP = "Yes", 0, 1),  IF(WOP = "Yes", 1, 0)), IF(AND(db!$D$8="Yes",C3&lt;=69,ROW()-1&lt;=InsurancePeriod), 1, 0))</f>
        <v>1</v>
      </c>
      <c r="AC3" s="17">
        <f>(AC4+K4)*AB3*((1)/(1+db!AA5))*(LOOKUP(C3,'Mortality Table'!$A$2:$A$108,'Mortality Table'!$E$2:$E$108))</f>
        <v>1993448725.1814132</v>
      </c>
      <c r="AD3" s="340">
        <f>IF(AND(Changes!ValidityYear&lt;= Table14[[#This Row],[Year]],Changes!ChangeType="Change Value Adjustment",Changes!Change="Yes"), (AD4+L4)*AB3*((1)/(1+db!AA5))*(LOOKUP(C3,'Mortality Table'!$A$2:$A$108,'Mortality Table'!$E$2:$E$108)),Table14[[#This Row],[WOP Before Adj. BT]])</f>
        <v>1993448725.1814132</v>
      </c>
      <c r="AE3" s="341">
        <f>IF(AND(Changes!Change="Yes", Changes!ChangeType="Change Value Adjustment"),Table14[[#This Row],[WOP Capital]],(AE4+O4)*AB3*((1)/(1+db!AA5))*(LOOKUP(D3,'Mortality Table'!$A$2:$A$108,'Mortality Table'!$E$2:$E$108)))</f>
        <v>1993448725.1814132</v>
      </c>
      <c r="AF3" s="17">
        <f>IF(AND(Changes!Change="Yes", Changes!ValidityYear&lt;=ROW()-1),Table14[[#This Row],[WOP Capital]],Table14[[#This Row],[WOP without change]])</f>
        <v>1993448725.1814132</v>
      </c>
      <c r="AG3" s="42">
        <f>IF(AND(Changes!Change="Yes", Changes!ValidityYear&lt;=Table14[[#This Row],[Year]], Changes!ChangeType="Rider Inclusion/Exclusion", Changes!RiderType="Disability Annuity"), L3*Changes!NewChangedValue,L3*db!B$10*IF(db!$D$10="Yes",1,0))</f>
        <v>240000000</v>
      </c>
      <c r="AH3" s="29">
        <f>Table14[[#This Row],[Code Annuity Capital]]*IF('Annual Calculation'!C3&gt;69,0,(LOOKUP('Annual Calculation'!C3+1,'Mortality Table'!$A$2:$A$108,'Mortality Table'!$O$2:$O$108)-LOOKUP('Annual Calculation'!C3+11,'Mortality Table'!$A$2:$A$108,'Mortality Table'!$O$2:$O$108))/LOOKUP('Annual Calculation'!C3,'Mortality Table'!$A$2:$A$108,'Mortality Table'!$M$2:$M$108))</f>
        <v>1462065628.5203204</v>
      </c>
      <c r="AI3" s="17">
        <f>IF(B3=0,0,IF(AND(Changes!Change="Yes", Changes!ValidityYear&lt;=Table14[[#This Row],[Year]], Changes!ChangeType="Rider Inclusion/Exclusion", Changes!RiderType="Dread Disease"), T3*Changes!NewChangedValue,IF(db!$D$11="Yes",(db!$B$11)*T3,0)))</f>
        <v>172500000</v>
      </c>
      <c r="AJ3" s="42">
        <f>ROUND(IF(C3&gt;59,0,IF(C3=0,0,IF(AI3&lt;=db!$L$5,AI3,db!$L$5))),0)</f>
        <v>172500000</v>
      </c>
      <c r="AK3" s="29">
        <f>IF(B3=0,0,IF(AND(Changes!Change="Yes", Changes!ValidityYear&lt;=Table14[[#This Row],[Year]], Changes!ChangeType="Rider Inclusion/Exclusion", Changes!RiderType="Cancer"), T3*Changes!NewChangedValue,IF(db!$D$12="Yes",(db!$B$12)*T3,0)))</f>
        <v>287500000</v>
      </c>
      <c r="AL3" s="29">
        <f>ROUND(IF(C3&gt;59,0,IF(C3=0,0,IF(AK3&lt;=db!$L$6,AK3,db!$L$6))),0)</f>
        <v>287500000</v>
      </c>
      <c r="AM3" s="32"/>
      <c r="AN3" s="18">
        <f>IF(B3=0,0,IF(C3&lt;(db!$E$2+5),LOOKUP(C3,'Mortality Table'!$A$2:$A$108,'Mortality Table'!$P$2:$P$108),IF((C3&gt;=db!$E$2+10),LOOKUP(C3,'Mortality Table'!$A$2:$A$108,'Mortality Table'!$R$2:$R$108),LOOKUP(C3,'Mortality Table'!$A$2:$A$108,'Mortality Table'!$Q$2:$Q$108))))</f>
        <v>1.4912936461475596E-3</v>
      </c>
      <c r="AO3" s="22">
        <f t="shared" si="2"/>
        <v>1714988</v>
      </c>
      <c r="AP3" s="19">
        <f>IF(B3=0,0, LOOKUP(IF(AND(Changes!Change="Yes", Changes!ValidityYear&lt;=Table14[[#This Row],[Year]], Changes!ChangeType="Change Job Class"),Changes!NewChangedValue, db!$A$8),db!$AX$4:$AX$8,db!$AY$4:$AY$8))</f>
        <v>0.6</v>
      </c>
      <c r="AQ3" s="20">
        <f>ROUND((AP3/1000)*W3 * (1-db!$AS$9),0)</f>
        <v>520950</v>
      </c>
      <c r="AR3" s="20">
        <f>(AP3/1000)*W3 * db!$AS$9</f>
        <v>169049.99999999997</v>
      </c>
      <c r="AS3" s="21">
        <f>IF(B3=0,0, LOOKUP(IF(AND(Changes!Change="Yes", Changes!ValidityYear&lt;=Table14[[#This Row],[Year]], Changes!ChangeType="Change Job Class"),Changes!NewChangedValue, db!$A$8),db!$AX$4:$AX$8,db!$AZ$4:$AZ$8))</f>
        <v>0.6</v>
      </c>
      <c r="AT3" s="22">
        <f>(AS3/1000)*Y3*(1-db!$AS$9)</f>
        <v>260474.99999999997</v>
      </c>
      <c r="AU3" s="22">
        <f>(AS3/1000)*Y3*(db!$AS$9)</f>
        <v>84524.999999999985</v>
      </c>
      <c r="AV3" s="23">
        <f>IF(B3=0,0, LOOKUP(IF(AND(Changes!Change="Yes", Changes!ValidityYear&lt;=Table14[[#This Row],[Year]], Changes!ChangeType="Change Job Class"),Changes!NewChangedValue, db!$A$8),db!$AX$4:$AX$8,db!$BA$4:$BA$8))</f>
        <v>0.8</v>
      </c>
      <c r="AW3" s="20">
        <f>ROUND((AV3/(100))*AA3*(1-db!$AS$9),0)</f>
        <v>302000</v>
      </c>
      <c r="AX3" s="20">
        <f>ROUND((AV3/(100))*AA3*(db!$AS$9),0)</f>
        <v>98000</v>
      </c>
      <c r="AY3" s="21">
        <f>IF(db!$D$8="Yes",AS3,0)</f>
        <v>0.6</v>
      </c>
      <c r="AZ3" s="22">
        <f>(AY3*AF3)/1000*(1-db!$AS$9)</f>
        <v>903032.27250718023</v>
      </c>
      <c r="BA3" s="22">
        <f>(AY3*AF3)/1000*(db!$AS$9)</f>
        <v>293036.96260166774</v>
      </c>
      <c r="BB3" s="23">
        <f t="shared" si="3"/>
        <v>0.6</v>
      </c>
      <c r="BC3" s="20">
        <f>(BB3*AH3/1000)*(1-db!$AS$9)</f>
        <v>662315.72971970518</v>
      </c>
      <c r="BD3" s="20">
        <f>(BB3*AH3/1000)*(db!$AS$9)</f>
        <v>214923.6473924871</v>
      </c>
      <c r="BE3" s="22">
        <f>IF(B3=0,0,IF(C3&gt;60,0,LOOKUP(Table14[[#This Row],[Medical
Age]],db!$BC$3:$BC$63,db!$BD$3:$BD$63)))</f>
        <v>750</v>
      </c>
      <c r="BF3" s="22">
        <f>BG3*db!$AS$10</f>
        <v>12937.5</v>
      </c>
      <c r="BG3" s="22">
        <f t="shared" si="4"/>
        <v>129375</v>
      </c>
      <c r="BH3" s="22">
        <f>(BE3/1000000)*AJ3*(1-db!$AS$10)</f>
        <v>116437.5</v>
      </c>
      <c r="BI3" s="20">
        <f>IF(B3=0,0,IF(C3&gt;59,0,LOOKUP(Table14[[#This Row],[Medical
Age]],db!$BC$3:$BC$63,db!$BE$3:$BE$63)))</f>
        <v>750</v>
      </c>
      <c r="BJ3" s="20">
        <f>(BI3/1000000)*AL3*(1-db!$AS$11)</f>
        <v>194062.5</v>
      </c>
      <c r="BK3" s="20">
        <f>(BI3/1000000)*AL3*(db!$AS$11)</f>
        <v>21562.5</v>
      </c>
      <c r="BL3" s="19">
        <f>IF(Table14[Year]=0,0,IF(AND(Changes!Change="Yes", Changes!ValidityYear&lt;=Table14[[#This Row],[Year]], Changes!ChangeType="Change Risk Loading"), LOOKUP(Table14[Age],RiskLoadingChange!A$3:A$109,RiskLoadingChange!DL$3:DL$109), LOOKUP(Table14[Age],RiskLoading!A$3:A$109,RiskLoading!DL$3:DL$109)))</f>
        <v>3.5807714477141062E-4</v>
      </c>
      <c r="BM3" s="20">
        <f>Table14[[#This Row],[RiskLoading
Rate]]*Table14[[#This Row],[Death Capital (2)]]</f>
        <v>411788.71648712223</v>
      </c>
      <c r="BN3" s="36"/>
      <c r="BO3" s="37">
        <f t="shared" si="5"/>
        <v>1714988</v>
      </c>
      <c r="BP3" s="35">
        <f t="shared" si="6"/>
        <v>2648773.0022268854</v>
      </c>
      <c r="BQ3" s="35">
        <f t="shared" si="7"/>
        <v>859535.60999415489</v>
      </c>
      <c r="BR3" s="37">
        <f t="shared" ref="BR3:BR66" si="11">(BJ3+BH3)</f>
        <v>310500</v>
      </c>
      <c r="BS3" s="37">
        <f t="shared" ref="BS3:BS66" si="12">BF3+BK3</f>
        <v>34500</v>
      </c>
      <c r="BT3" s="35">
        <f t="shared" ref="BT3:BT66" si="13">ROUND(BR3+BP3,0)</f>
        <v>2959273</v>
      </c>
      <c r="BU3" s="35">
        <f t="shared" ref="BU3:BU66" si="14">ROUND(BQ3+BS3,0)</f>
        <v>894036</v>
      </c>
      <c r="BV3" s="37">
        <f>(db!$AS$3/100)*(L3-BT3-BU3)</f>
        <v>2322933.8199999998</v>
      </c>
      <c r="BW3" s="37">
        <f>(db!$AS$7/100)*(L3-BT3-BU3)</f>
        <v>2322933.8199999998</v>
      </c>
      <c r="BX3" s="35">
        <f>IF(B3&gt;5,0,$T$2*(db!AS$5/1000))</f>
        <v>1500000</v>
      </c>
      <c r="BY3" s="37"/>
      <c r="BZ3" s="37">
        <f>0.175*$BY$2</f>
        <v>5250000</v>
      </c>
      <c r="CA3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17375953</v>
      </c>
      <c r="CB3" s="33"/>
      <c r="CC3" s="39">
        <f>ROUND((Table14[[#This Row],[Premium]]-Table14[[#This Row],[All Deductions]]),0)</f>
        <v>102624047</v>
      </c>
      <c r="CD3" s="40">
        <f>ROUND(IF(B3=0,0,((CC3)*(1+ IF(AND(Changes!Change="Yes",Changes!ValidityYear&lt;=Table14[[#This Row],[Year]],Annulment&gt;Table14[[#This Row],[Year]],Changes!ChangeType="Paid-Up"),db!Y5+0.02,db!Y5)))+((CD2)*(1+IF(AND(Changes!Change="Yes",Changes!ValidityYear&lt;=Table14[[#This Row],[Year]],Annulment&gt;Table14[[#This Row],[Year]],Changes!ChangeType="Paid-Up"),db!U5+0.02,db!U5)))),0)</f>
        <v>246945092</v>
      </c>
      <c r="CE3" s="40">
        <f>ROUND(IF(B3=0,0,((CC3)*(1+db!Y5))+((CE2)*(1+db!U5))),0)</f>
        <v>246945092</v>
      </c>
      <c r="CF3" s="40">
        <f>ROUND(CE3-SUM(BX4:$BX$7),-3)</f>
        <v>242445000</v>
      </c>
      <c r="CG3" s="15">
        <f t="shared" ref="CG3:CG66" si="15">1+CG2</f>
        <v>2</v>
      </c>
      <c r="CH3" s="39">
        <f>IF(B3=0,0,((CC3)*(1+db!AH5))+((CH2)*(1+db!AD5)))</f>
        <v>253299784.56</v>
      </c>
      <c r="CI3" s="39">
        <f>CH3-(SUM(BX4:$BX$7))</f>
        <v>248799784.56</v>
      </c>
      <c r="CJ3" s="40">
        <f>IF(B3=0,0,((CC3)*(1+db!AO5))+((CJ2)*(1+db!AK5)))</f>
        <v>259726782.80759999</v>
      </c>
      <c r="CK3" s="40">
        <f>CJ3-(SUM(BX4:$BX$7))</f>
        <v>255226782.80759999</v>
      </c>
      <c r="CL3" s="46"/>
    </row>
    <row r="4" spans="1:95">
      <c r="A4" s="347">
        <f t="shared" ref="A4:A67" si="16">A3+1</f>
        <v>3</v>
      </c>
      <c r="B4" s="345">
        <f>IF(AND(Changes!Change="Yes", Changes!ChangeType="Change Contract Duration"),IF(B3=0,0,IF(Changes!NewChangedValue&lt;B3+1,0,B3+1)),IF(B3=0,0,IF('Application Annually'!$C$5&lt;B3+1,0,B3+1)))</f>
        <v>3</v>
      </c>
      <c r="C4" s="15">
        <f t="shared" ref="C4:C67" si="17">IF(B4=0,0,(C3+1))</f>
        <v>30</v>
      </c>
      <c r="D4" s="312">
        <f t="shared" ref="D4:D67" si="18">D3+1</f>
        <v>30</v>
      </c>
      <c r="E4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35</v>
      </c>
      <c r="F4" s="29">
        <f t="shared" si="8"/>
        <v>144000000</v>
      </c>
      <c r="G4" s="29">
        <f t="shared" si="9"/>
        <v>144000000</v>
      </c>
      <c r="H4" s="29">
        <f t="shared" si="0"/>
        <v>155520000</v>
      </c>
      <c r="I4" s="29">
        <f>IF(B4&gt;0,IF(AND(Table14[[#This Row],[Year]]&gt;Changes!ValidityYear,Changes!Change="Yes",Changes!ChangeType="Change Value Adjustment"),Changes!$G$22,'Application Annually'!$C$11),0)</f>
        <v>15</v>
      </c>
      <c r="J4" s="29">
        <f>IF(B4&gt;0,IF(AND(Table14[[#This Row],[Year]]&gt;Changes!ValidityYear,Changes!Change="Yes",Changes!ChangeType="Change Value Adjustment"),Changes!$G$24,'Application Annually'!$C$7),0)</f>
        <v>20</v>
      </c>
      <c r="K4" s="29">
        <f>ROUND(IF(B4=0,0,IF(AND(Changes!Change="Yes", Changes!ValidityYear=Table14[[#This Row],[Year]], Changes!ChangeType="Change Premium"), Changes!NewChangedValue, (K3*(1+db!$B$3)))),0)</f>
        <v>144000000</v>
      </c>
      <c r="L4" s="29">
        <f>ROUND(IF(B4=0,0,IF(AND(Changes!Change="Yes", Changes!ValidityYear=Table14[[#This Row],[Year]], Changes!ChangeType="Change Premium"), Changes!NewChangedValue, (L3*(1+Table14[[#This Row],[Adjustment Factor of Premium]]/100)))),0)</f>
        <v>144000000</v>
      </c>
      <c r="M4" s="29">
        <f>IF(Table14[[#This Row],[Year]]=1,ROUND(MIN($L$2 -( Table14[[#This Row],[Riders Risk Premiums]] + Table14[[#This Row],[Acquisition Cost]]) *0.75,Table14[[#This Row],[Death Capital (1)]]* 0.03),0),0)</f>
        <v>0</v>
      </c>
      <c r="N4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4" s="29">
        <f>ROUND(IF(ROW()-1&gt;InsurancePeriod,0,(O3*(1+(Table14[[#This Row],[Adjustment Factor of Premium]]/100)))),0)</f>
        <v>144000000</v>
      </c>
      <c r="P4" s="29">
        <f>IF(Table14[Year] = 0, 0, SUM(L$2:L4))</f>
        <v>364000000</v>
      </c>
      <c r="Q4" s="17">
        <f t="shared" si="1"/>
        <v>1322500000</v>
      </c>
      <c r="R4" s="17">
        <f>IF(Table14[[#This Row],[Year]]=0,0,IF($C$2&lt;=50,LOOKUP(Table14[[#This Row],[Age]],db!BG5:BG111,db!BH5:BH111),LOOKUP(Table14[[#This Row],[Age]],db!BJ5:BJ111,db!BK5:BK111)))</f>
        <v>2000000000</v>
      </c>
      <c r="S4" s="17">
        <f>IF(B4=0,0, IF(AND(Changes!Change="Yes", Changes!ValidityYear=Table14[[#This Row],[Year]], Changes!ChangeType="Change Death Capital"), Changes!NewChangedValue, S3*(1+(Table14[[#This Row],[Adjustment Factor of Death Capital]]/100))))</f>
        <v>1322500000</v>
      </c>
      <c r="T4" s="17">
        <f>MIN(IF(B4=0,0,Table14[[#This Row],[Death Capital (1)]]),Table14[[#This Row],[Max Sum Insured For Death]])</f>
        <v>1322500000</v>
      </c>
      <c r="U4" s="29">
        <f t="shared" si="10"/>
        <v>1322500000</v>
      </c>
      <c r="V4" s="29">
        <f>IF(B4=0,0,IF(AND(Changes!Change="Yes", Changes!ValidityYear&lt;=Table14[[#This Row],[Year]], Changes!ChangeType="Rider Inclusion/Exclusion", Changes!RiderType="Accident Death"), T4*Changes!NewChangedValue,IF(db!$D$6="Yes",(db!$B$6)*T4,0)))</f>
        <v>1322500000</v>
      </c>
      <c r="W4" s="29">
        <f>MIN(IF(V4&lt;=db!$L$2,V4,db!$L$2),MAX_ACC_CAPITAL)</f>
        <v>1322500000</v>
      </c>
      <c r="X4" s="17">
        <f>IF(OR(B4=0,Table14[[#This Row],[Accident Capital (2)]]=0),0,IF(AND(Changes!Change="Yes", Changes!ValidityYear&lt;=Table14[[#This Row],[Year]], Changes!ChangeType="Rider Inclusion/Exclusion", Changes!RiderType="Accident Disability"), T4*Changes!NewChangedValue,IF(db!$D$7="Yes",(db!$B$7)*T4,0)))</f>
        <v>661250000</v>
      </c>
      <c r="Y4" s="42">
        <f>IF(C4&gt;69,0,IF(C4=0,0,IF(X4&lt;=db!$L$3,X4,db!$L$3)))</f>
        <v>661250000</v>
      </c>
      <c r="Z4" s="29">
        <f>IF(OR(B4=0,Table14[[#This Row],[Accident Capital (2)]]=0),0,IF(AND(Changes!Change="Yes", Changes!ValidityYear&lt;=Table14[[#This Row],[Year]], Changes!ChangeType="Rider Inclusion/Exclusion", Changes!RiderType="Accident Medical Cost"), T4*Changes!NewChangedValue,IF(db!$D$9="Yes",(db!$B$9)*T4,0)))</f>
        <v>264500000</v>
      </c>
      <c r="AA4" s="29">
        <f>ROUND(IF(C4&gt;69,0,IF(C4=0,0,IF(Z4&lt;=db!$L$4,Z4,db!$L$4))),0)</f>
        <v>50000000</v>
      </c>
      <c r="AB4" s="38">
        <f>IF(AND(Changes!Change = "Yes", Changes!ChangeType = "Rider Inclusion/Exclusion", Changes!RiderType = "WOP"), IF( Changes!ValidityYear &lt;= Table14[[#This Row],[Year]], IF(WOP = "Yes", 0, 1),  IF(WOP = "Yes", 1, 0)), IF(AND(db!$D$8="Yes",C4&lt;=69,ROW()-1&lt;=InsurancePeriod), 1, 0))</f>
        <v>1</v>
      </c>
      <c r="AC4" s="17">
        <f>(AC5+K5)*AB4*((1)/(1+db!AA6))*(LOOKUP(C4,'Mortality Table'!$A$2:$A$108,'Mortality Table'!$E$2:$E$108))</f>
        <v>2212086260.1579652</v>
      </c>
      <c r="AD4" s="340">
        <f>IF(AND(Changes!ValidityYear&lt;= Table14[[#This Row],[Year]],Changes!ChangeType="Change Value Adjustment",Changes!Change="Yes"), (AD5+L5)*AB4*((1)/(1+db!AA6))*(LOOKUP(C4,'Mortality Table'!$A$2:$A$108,'Mortality Table'!$E$2:$E$108)),Table14[[#This Row],[WOP Before Adj. BT]])</f>
        <v>2212086260.1579652</v>
      </c>
      <c r="AE4" s="341">
        <f>IF(AND(Changes!Change="Yes", Changes!ChangeType="Change Value Adjustment"),Table14[[#This Row],[WOP Capital]],(AE5+O5)*AB4*((1)/(1+db!AA6))*(LOOKUP(D4,'Mortality Table'!$A$2:$A$108,'Mortality Table'!$E$2:$E$108)))</f>
        <v>2212086260.1579652</v>
      </c>
      <c r="AF4" s="17">
        <f>IF(AND(Changes!Change="Yes", Changes!ValidityYear&lt;=ROW()-1),Table14[[#This Row],[WOP Capital]],Table14[[#This Row],[WOP without change]])</f>
        <v>2212086260.1579652</v>
      </c>
      <c r="AG4" s="42">
        <f>IF(AND(Changes!Change="Yes", Changes!ValidityYear&lt;=Table14[[#This Row],[Year]], Changes!ChangeType="Rider Inclusion/Exclusion", Changes!RiderType="Disability Annuity"), L4*Changes!NewChangedValue,L4*db!B$10*IF(db!$D$10="Yes",1,0))</f>
        <v>288000000</v>
      </c>
      <c r="AH4" s="29">
        <f>Table14[[#This Row],[Code Annuity Capital]]*IF('Annual Calculation'!C4&gt;69,0,(LOOKUP('Annual Calculation'!C4+1,'Mortality Table'!$A$2:$A$108,'Mortality Table'!$O$2:$O$108)-LOOKUP('Annual Calculation'!C4+11,'Mortality Table'!$A$2:$A$108,'Mortality Table'!$O$2:$O$108))/LOOKUP('Annual Calculation'!C4,'Mortality Table'!$A$2:$A$108,'Mortality Table'!$M$2:$M$108))</f>
        <v>1753784540.7138898</v>
      </c>
      <c r="AI4" s="17">
        <f>IF(B4=0,0,IF(AND(Changes!Change="Yes", Changes!ValidityYear&lt;=Table14[[#This Row],[Year]], Changes!ChangeType="Rider Inclusion/Exclusion", Changes!RiderType="Dread Disease"), T4*Changes!NewChangedValue,IF(db!$D$11="Yes",(db!$B$11)*T4,0)))</f>
        <v>198375000</v>
      </c>
      <c r="AJ4" s="42">
        <f>ROUND(IF(C4&gt;59,0,IF(C4=0,0,IF(AI4&lt;=db!$L$5,AI4,db!$L$5))),0)</f>
        <v>198375000</v>
      </c>
      <c r="AK4" s="29">
        <f>IF(B4=0,0,IF(AND(Changes!Change="Yes", Changes!ValidityYear&lt;=Table14[[#This Row],[Year]], Changes!ChangeType="Rider Inclusion/Exclusion", Changes!RiderType="Cancer"), T4*Changes!NewChangedValue,IF(db!$D$12="Yes",(db!$B$12)*T4,0)))</f>
        <v>330625000</v>
      </c>
      <c r="AL4" s="29">
        <f>ROUND(IF(C4&gt;59,0,IF(C4=0,0,IF(AK4&lt;=db!$L$6,AK4,db!$L$6))),0)</f>
        <v>300000000</v>
      </c>
      <c r="AM4" s="32"/>
      <c r="AN4" s="18">
        <f>IF(B4=0,0,IF(C4&lt;(db!$E$2+5),LOOKUP(C4,'Mortality Table'!$A$2:$A$108,'Mortality Table'!$P$2:$P$108),IF((C4&gt;=db!$E$2+10),LOOKUP(C4,'Mortality Table'!$A$2:$A$108,'Mortality Table'!$R$2:$R$108),LOOKUP(C4,'Mortality Table'!$A$2:$A$108,'Mortality Table'!$Q$2:$Q$108))))</f>
        <v>1.5412838919328282E-3</v>
      </c>
      <c r="AO4" s="22">
        <f t="shared" si="2"/>
        <v>2038348</v>
      </c>
      <c r="AP4" s="19">
        <f>IF(B4=0,0, LOOKUP(IF(AND(Changes!Change="Yes", Changes!ValidityYear&lt;=Table14[[#This Row],[Year]], Changes!ChangeType="Change Job Class"),Changes!NewChangedValue, db!$A$8),db!$AX$4:$AX$8,db!$AY$4:$AY$8))</f>
        <v>0.6</v>
      </c>
      <c r="AQ4" s="20">
        <f>ROUND((AP4/1000)*W4 * (1-db!$AS$9),0)</f>
        <v>599093</v>
      </c>
      <c r="AR4" s="20">
        <f>(AP4/1000)*W4 * db!$AS$9</f>
        <v>194407.49999999997</v>
      </c>
      <c r="AS4" s="21">
        <f>IF(B4=0,0, LOOKUP(IF(AND(Changes!Change="Yes", Changes!ValidityYear&lt;=Table14[[#This Row],[Year]], Changes!ChangeType="Change Job Class"),Changes!NewChangedValue, db!$A$8),db!$AX$4:$AX$8,db!$AZ$4:$AZ$8))</f>
        <v>0.6</v>
      </c>
      <c r="AT4" s="22">
        <f>(AS4/1000)*Y4*(1-db!$AS$9)</f>
        <v>299546.24999999994</v>
      </c>
      <c r="AU4" s="22">
        <f>(AS4/1000)*Y4*(db!$AS$9)</f>
        <v>97203.749999999985</v>
      </c>
      <c r="AV4" s="23">
        <f>IF(B4=0,0, LOOKUP(IF(AND(Changes!Change="Yes", Changes!ValidityYear&lt;=Table14[[#This Row],[Year]], Changes!ChangeType="Change Job Class"),Changes!NewChangedValue, db!$A$8),db!$AX$4:$AX$8,db!$BA$4:$BA$8))</f>
        <v>0.8</v>
      </c>
      <c r="AW4" s="20">
        <f>ROUND((AV4/(100))*AA4*(1-db!$AS$9),0)</f>
        <v>302000</v>
      </c>
      <c r="AX4" s="20">
        <f>ROUND((AV4/(100))*AA4*(db!$AS$9),0)</f>
        <v>98000</v>
      </c>
      <c r="AY4" s="21">
        <f>IF(db!$D$8="Yes",AS4,0)</f>
        <v>0.6</v>
      </c>
      <c r="AZ4" s="22">
        <f>(AY4*AF4)/1000*(1-db!$AS$9)</f>
        <v>1002075.0758515582</v>
      </c>
      <c r="BA4" s="22">
        <f>(AY4*AF4)/1000*(db!$AS$9)</f>
        <v>325176.68024322088</v>
      </c>
      <c r="BB4" s="23">
        <f t="shared" si="3"/>
        <v>0.6</v>
      </c>
      <c r="BC4" s="20">
        <f>(BB4*AH4/1000)*(1-db!$AS$9)</f>
        <v>794464.396943392</v>
      </c>
      <c r="BD4" s="20">
        <f>(BB4*AH4/1000)*(db!$AS$9)</f>
        <v>257806.32748494178</v>
      </c>
      <c r="BE4" s="22">
        <f>IF(B4=0,0,IF(C4&gt;60,0,LOOKUP(Table14[[#This Row],[Medical
Age]],db!$BC$3:$BC$63,db!$BD$3:$BD$63)))</f>
        <v>750</v>
      </c>
      <c r="BF4" s="22">
        <f>BG4*db!$AS$10</f>
        <v>14878.125</v>
      </c>
      <c r="BG4" s="22">
        <f t="shared" si="4"/>
        <v>148781.25</v>
      </c>
      <c r="BH4" s="22">
        <f>(BE4/1000000)*AJ4*(1-db!$AS$10)</f>
        <v>133903.125</v>
      </c>
      <c r="BI4" s="20">
        <f>IF(B4=0,0,IF(C4&gt;59,0,LOOKUP(Table14[[#This Row],[Medical
Age]],db!$BC$3:$BC$63,db!$BE$3:$BE$63)))</f>
        <v>750</v>
      </c>
      <c r="BJ4" s="20">
        <f>(BI4/1000000)*AL4*(1-db!$AS$11)</f>
        <v>202500</v>
      </c>
      <c r="BK4" s="20">
        <f>(BI4/1000000)*AL4*(db!$AS$11)</f>
        <v>22500</v>
      </c>
      <c r="BL4" s="19">
        <f>IF(Table14[Year]=0,0,IF(AND(Changes!Change="Yes", Changes!ValidityYear&lt;=Table14[[#This Row],[Year]], Changes!ChangeType="Change Risk Loading"), LOOKUP(Table14[Age],RiskLoadingChange!A$3:A$109,RiskLoadingChange!DL$3:DL$109), LOOKUP(Table14[Age],RiskLoading!A$3:A$109,RiskLoading!DL$3:DL$109)))</f>
        <v>3.9822332364802793E-4</v>
      </c>
      <c r="BM4" s="20">
        <f>Table14[[#This Row],[RiskLoading
Rate]]*Table14[[#This Row],[Death Capital (2)]]</f>
        <v>526650.34552451689</v>
      </c>
      <c r="BN4" s="36"/>
      <c r="BO4" s="37">
        <f t="shared" si="5"/>
        <v>2038348</v>
      </c>
      <c r="BP4" s="35">
        <f t="shared" si="6"/>
        <v>2997178.72279495</v>
      </c>
      <c r="BQ4" s="35">
        <f t="shared" si="7"/>
        <v>972594.25772816269</v>
      </c>
      <c r="BR4" s="37">
        <f t="shared" si="11"/>
        <v>336403.125</v>
      </c>
      <c r="BS4" s="37">
        <f t="shared" si="12"/>
        <v>37378.125</v>
      </c>
      <c r="BT4" s="35">
        <f t="shared" si="13"/>
        <v>3333582</v>
      </c>
      <c r="BU4" s="35">
        <f t="shared" si="14"/>
        <v>1009972</v>
      </c>
      <c r="BV4" s="37">
        <f>(db!$AS$3/100)*(L4-BT4-BU4)</f>
        <v>2793128.92</v>
      </c>
      <c r="BW4" s="37">
        <f>(db!$AS$7/100)*(L4-BT4-BU4)</f>
        <v>2793128.92</v>
      </c>
      <c r="BX4" s="35">
        <f>IF(B4&gt;5,0,$T$2*(db!AS$5/1000))</f>
        <v>1500000</v>
      </c>
      <c r="BY4" s="37"/>
      <c r="BZ4" s="37">
        <f>0.175*$BY$2</f>
        <v>5250000</v>
      </c>
      <c r="CA4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19244810</v>
      </c>
      <c r="CB4" s="33"/>
      <c r="CC4" s="39">
        <f>ROUND((Table14[[#This Row],[Premium]]-Table14[[#This Row],[All Deductions]]),0)</f>
        <v>124755190</v>
      </c>
      <c r="CD4" s="40">
        <f>ROUND(IF(B4=0,0,((CC4)*(1+ IF(AND(Changes!Change="Yes",Changes!ValidityYear&lt;=Table14[[#This Row],[Year]],Annulment&gt;Table14[[#This Row],[Year]],Changes!ChangeType="Paid-Up"),db!Y6+0.02,db!Y6)))+((CD3)*(1+IF(AND(Changes!Change="Yes",Changes!ValidityYear&lt;=Table14[[#This Row],[Year]],Annulment&gt;Table14[[#This Row],[Year]],Changes!ChangeType="Paid-Up"),db!U6+0.02,db!U6)))),0)</f>
        <v>438606333</v>
      </c>
      <c r="CE4" s="40">
        <f>ROUND(IF(B4=0,0,((CC4)*(1+db!Y6))+((CE3)*(1+db!U6))),0)</f>
        <v>438606333</v>
      </c>
      <c r="CF4" s="40">
        <f>ROUND(CE4-SUM(BX5:$BX$7),-3)</f>
        <v>435606000</v>
      </c>
      <c r="CG4" s="15">
        <f t="shared" si="15"/>
        <v>3</v>
      </c>
      <c r="CH4" s="39">
        <f>IF(B4=0,0,((CC4)*(1+db!AH6))+((CH3)*(1+db!AD6)))</f>
        <v>453665969.472</v>
      </c>
      <c r="CI4" s="39">
        <f>CH4-(SUM(BX5:$BX$7))</f>
        <v>450665969.472</v>
      </c>
      <c r="CJ4" s="40">
        <f>IF(B4=0,0,((CC4)*(1+db!AO6))+((CJ3)*(1+db!AK6)))</f>
        <v>469068006.82527196</v>
      </c>
      <c r="CK4" s="40">
        <f>CJ4-(SUM(BX5:$BX$7))</f>
        <v>466068006.82527196</v>
      </c>
      <c r="CL4" s="46"/>
    </row>
    <row r="5" spans="1:95">
      <c r="A5" s="347">
        <f t="shared" si="16"/>
        <v>4</v>
      </c>
      <c r="B5" s="345">
        <f>IF(AND(Changes!Change="Yes", Changes!ChangeType="Change Contract Duration"),IF(B4=0,0,IF(Changes!NewChangedValue&lt;B4+1,0,B4+1)),IF(B4=0,0,IF('Application Annually'!$C$5&lt;B4+1,0,B4+1)))</f>
        <v>4</v>
      </c>
      <c r="C5" s="15">
        <f t="shared" si="17"/>
        <v>31</v>
      </c>
      <c r="D5" s="312">
        <f t="shared" si="18"/>
        <v>31</v>
      </c>
      <c r="E5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36</v>
      </c>
      <c r="F5" s="29">
        <f t="shared" si="8"/>
        <v>172800000</v>
      </c>
      <c r="G5" s="29">
        <f t="shared" si="9"/>
        <v>172800000</v>
      </c>
      <c r="H5" s="29">
        <f t="shared" si="0"/>
        <v>186624000</v>
      </c>
      <c r="I5" s="29">
        <f>IF(B5&gt;0,IF(AND(Table14[[#This Row],[Year]]&gt;Changes!ValidityYear,Changes!Change="Yes",Changes!ChangeType="Change Value Adjustment"),Changes!$G$22,'Application Annually'!$C$11),0)</f>
        <v>15</v>
      </c>
      <c r="J5" s="29">
        <f>IF(B5&gt;0,IF(AND(Table14[[#This Row],[Year]]&gt;Changes!ValidityYear,Changes!Change="Yes",Changes!ChangeType="Change Value Adjustment"),Changes!$G$24,'Application Annually'!$C$7),0)</f>
        <v>20</v>
      </c>
      <c r="K5" s="29">
        <f>ROUND(IF(B5=0,0,IF(AND(Changes!Change="Yes", Changes!ValidityYear=Table14[[#This Row],[Year]], Changes!ChangeType="Change Premium"), Changes!NewChangedValue, (K4*(1+db!$B$3)))),0)</f>
        <v>172800000</v>
      </c>
      <c r="L5" s="29">
        <f>ROUND(IF(B5=0,0,IF(AND(Changes!Change="Yes", Changes!ValidityYear=Table14[[#This Row],[Year]], Changes!ChangeType="Change Premium"), Changes!NewChangedValue, (L4*(1+Table14[[#This Row],[Adjustment Factor of Premium]]/100)))),0)</f>
        <v>172800000</v>
      </c>
      <c r="M5" s="29">
        <f>IF(Table14[[#This Row],[Year]]=1,ROUND(MIN($L$2 -( Table14[[#This Row],[Riders Risk Premiums]] + Table14[[#This Row],[Acquisition Cost]]) *0.75,Table14[[#This Row],[Death Capital (1)]]* 0.03),0),0)</f>
        <v>0</v>
      </c>
      <c r="N5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5" s="29">
        <f>ROUND(IF(ROW()-1&gt;InsurancePeriod,0,(O4*(1+(Table14[[#This Row],[Adjustment Factor of Premium]]/100)))),0)</f>
        <v>172800000</v>
      </c>
      <c r="P5" s="29">
        <f>IF(Table14[Year] = 0, 0, SUM(L$2:L5))</f>
        <v>536800000</v>
      </c>
      <c r="Q5" s="17">
        <f t="shared" si="1"/>
        <v>1520875000</v>
      </c>
      <c r="R5" s="17">
        <f>IF(Table14[[#This Row],[Year]]=0,0,IF($C$2&lt;=50,LOOKUP(Table14[[#This Row],[Age]],db!BG6:BG112,db!BH6:BH112),LOOKUP(Table14[[#This Row],[Age]],db!BJ6:BJ112,db!BK6:BK112)))</f>
        <v>2000000000</v>
      </c>
      <c r="S5" s="17">
        <f>IF(B5=0,0, IF(AND(Changes!Change="Yes", Changes!ValidityYear=Table14[[#This Row],[Year]], Changes!ChangeType="Change Death Capital"), Changes!NewChangedValue, S4*(1+(Table14[[#This Row],[Adjustment Factor of Death Capital]]/100))))</f>
        <v>1520875000</v>
      </c>
      <c r="T5" s="17">
        <f>MIN(IF(B5=0,0,Table14[[#This Row],[Death Capital (1)]]),Table14[[#This Row],[Max Sum Insured For Death]])</f>
        <v>1520875000</v>
      </c>
      <c r="U5" s="29">
        <f t="shared" si="10"/>
        <v>1520875000</v>
      </c>
      <c r="V5" s="29">
        <f>IF(B5=0,0,IF(AND(Changes!Change="Yes", Changes!ValidityYear&lt;=Table14[[#This Row],[Year]], Changes!ChangeType="Rider Inclusion/Exclusion", Changes!RiderType="Accident Death"), T5*Changes!NewChangedValue,IF(db!$D$6="Yes",(db!$B$6)*T5,0)))</f>
        <v>1520875000</v>
      </c>
      <c r="W5" s="29">
        <f>MIN(IF(V5&lt;=db!$L$2,V5,db!$L$2),MAX_ACC_CAPITAL)</f>
        <v>1520875000</v>
      </c>
      <c r="X5" s="17">
        <f>IF(OR(B5=0,Table14[[#This Row],[Accident Capital (2)]]=0),0,IF(AND(Changes!Change="Yes", Changes!ValidityYear&lt;=Table14[[#This Row],[Year]], Changes!ChangeType="Rider Inclusion/Exclusion", Changes!RiderType="Accident Disability"), T5*Changes!NewChangedValue,IF(db!$D$7="Yes",(db!$B$7)*T5,0)))</f>
        <v>760437500</v>
      </c>
      <c r="Y5" s="42">
        <f>IF(C5&gt;69,0,IF(C5=0,0,IF(X5&lt;=db!$L$3,X5,db!$L$3)))</f>
        <v>760437500</v>
      </c>
      <c r="Z5" s="29">
        <f>IF(OR(B5=0,Table14[[#This Row],[Accident Capital (2)]]=0),0,IF(AND(Changes!Change="Yes", Changes!ValidityYear&lt;=Table14[[#This Row],[Year]], Changes!ChangeType="Rider Inclusion/Exclusion", Changes!RiderType="Accident Medical Cost"), T5*Changes!NewChangedValue,IF(db!$D$9="Yes",(db!$B$9)*T5,0)))</f>
        <v>304175000</v>
      </c>
      <c r="AA5" s="29">
        <f>ROUND(IF(C5&gt;69,0,IF(C5=0,0,IF(Z5&lt;=db!$L$4,Z5,db!$L$4))),0)</f>
        <v>50000000</v>
      </c>
      <c r="AB5" s="38">
        <f>IF(AND(Changes!Change = "Yes", Changes!ChangeType = "Rider Inclusion/Exclusion", Changes!RiderType = "WOP"), IF( Changes!ValidityYear &lt;= Table14[[#This Row],[Year]], IF(WOP = "Yes", 0, 1),  IF(WOP = "Yes", 1, 0)), IF(AND(db!$D$8="Yes",C5&lt;=69,ROW()-1&lt;=InsurancePeriod), 1, 0))</f>
        <v>1</v>
      </c>
      <c r="AC5" s="17">
        <f>(AC6+K6)*AB5*((1)/(1+db!AA7))*(LOOKUP(C5,'Mortality Table'!$A$2:$A$108,'Mortality Table'!$E$2:$E$108))</f>
        <v>2441839380.5917053</v>
      </c>
      <c r="AD5" s="340">
        <f>IF(AND(Changes!ValidityYear&lt;= Table14[[#This Row],[Year]],Changes!ChangeType="Change Value Adjustment",Changes!Change="Yes"), (AD6+L6)*AB5*((1)/(1+db!AA7))*(LOOKUP(C5,'Mortality Table'!$A$2:$A$108,'Mortality Table'!$E$2:$E$108)),Table14[[#This Row],[WOP Before Adj. BT]])</f>
        <v>2441839380.5917053</v>
      </c>
      <c r="AE5" s="341">
        <f>IF(AND(Changes!Change="Yes", Changes!ChangeType="Change Value Adjustment"),Table14[[#This Row],[WOP Capital]],(AE6+O6)*AB5*((1)/(1+db!AA7))*(LOOKUP(D5,'Mortality Table'!$A$2:$A$108,'Mortality Table'!$E$2:$E$108)))</f>
        <v>2441839380.5917053</v>
      </c>
      <c r="AF5" s="17">
        <f>IF(AND(Changes!Change="Yes", Changes!ValidityYear&lt;=ROW()-1),Table14[[#This Row],[WOP Capital]],Table14[[#This Row],[WOP without change]])</f>
        <v>2441839380.5917053</v>
      </c>
      <c r="AG5" s="42">
        <f>IF(AND(Changes!Change="Yes", Changes!ValidityYear&lt;=Table14[[#This Row],[Year]], Changes!ChangeType="Rider Inclusion/Exclusion", Changes!RiderType="Disability Annuity"), L5*Changes!NewChangedValue,L5*db!B$10*IF(db!$D$10="Yes",1,0))</f>
        <v>345600000</v>
      </c>
      <c r="AH5" s="29">
        <f>Table14[[#This Row],[Code Annuity Capital]]*IF('Annual Calculation'!C5&gt;69,0,(LOOKUP('Annual Calculation'!C5+1,'Mortality Table'!$A$2:$A$108,'Mortality Table'!$O$2:$O$108)-LOOKUP('Annual Calculation'!C5+11,'Mortality Table'!$A$2:$A$108,'Mortality Table'!$O$2:$O$108))/LOOKUP('Annual Calculation'!C5,'Mortality Table'!$A$2:$A$108,'Mortality Table'!$M$2:$M$108))</f>
        <v>2103596105.4980135</v>
      </c>
      <c r="AI5" s="17">
        <f>IF(B5=0,0,IF(AND(Changes!Change="Yes", Changes!ValidityYear&lt;=Table14[[#This Row],[Year]], Changes!ChangeType="Rider Inclusion/Exclusion", Changes!RiderType="Dread Disease"), T5*Changes!NewChangedValue,IF(db!$D$11="Yes",(db!$B$11)*T5,0)))</f>
        <v>228131250</v>
      </c>
      <c r="AJ5" s="42">
        <f>ROUND(IF(C5&gt;59,0,IF(C5=0,0,IF(AI5&lt;=db!$L$5,AI5,db!$L$5))),0)</f>
        <v>200000000</v>
      </c>
      <c r="AK5" s="29">
        <f>IF(B5=0,0,IF(AND(Changes!Change="Yes", Changes!ValidityYear&lt;=Table14[[#This Row],[Year]], Changes!ChangeType="Rider Inclusion/Exclusion", Changes!RiderType="Cancer"), T5*Changes!NewChangedValue,IF(db!$D$12="Yes",(db!$B$12)*T5,0)))</f>
        <v>380218750</v>
      </c>
      <c r="AL5" s="29">
        <f>ROUND(IF(C5&gt;59,0,IF(C5=0,0,IF(AK5&lt;=db!$L$6,AK5,db!$L$6))),0)</f>
        <v>300000000</v>
      </c>
      <c r="AM5" s="32"/>
      <c r="AN5" s="18">
        <f>IF(B5=0,0,IF(C5&lt;(db!$E$2+5),LOOKUP(C5,'Mortality Table'!$A$2:$A$108,'Mortality Table'!$P$2:$P$108),IF((C5&gt;=db!$E$2+10),LOOKUP(C5,'Mortality Table'!$A$2:$A$108,'Mortality Table'!$R$2:$R$108),LOOKUP(C5,'Mortality Table'!$A$2:$A$108,'Mortality Table'!$Q$2:$Q$108))))</f>
        <v>1.6010490574957655E-3</v>
      </c>
      <c r="AO5" s="22">
        <f t="shared" si="2"/>
        <v>2434995</v>
      </c>
      <c r="AP5" s="19">
        <f>IF(B5=0,0, LOOKUP(IF(AND(Changes!Change="Yes", Changes!ValidityYear&lt;=Table14[[#This Row],[Year]], Changes!ChangeType="Change Job Class"),Changes!NewChangedValue, db!$A$8),db!$AX$4:$AX$8,db!$AY$4:$AY$8))</f>
        <v>0.6</v>
      </c>
      <c r="AQ5" s="20">
        <f>ROUND((AP5/1000)*W5 * (1-db!$AS$9),0)</f>
        <v>688956</v>
      </c>
      <c r="AR5" s="20">
        <f>(AP5/1000)*W5 * db!$AS$9</f>
        <v>223568.62499999997</v>
      </c>
      <c r="AS5" s="21">
        <f>IF(B5=0,0, LOOKUP(IF(AND(Changes!Change="Yes", Changes!ValidityYear&lt;=Table14[[#This Row],[Year]], Changes!ChangeType="Change Job Class"),Changes!NewChangedValue, db!$A$8),db!$AX$4:$AX$8,db!$AZ$4:$AZ$8))</f>
        <v>0.6</v>
      </c>
      <c r="AT5" s="22">
        <f>(AS5/1000)*Y5*(1-db!$AS$9)</f>
        <v>344478.18749999994</v>
      </c>
      <c r="AU5" s="22">
        <f>(AS5/1000)*Y5*(db!$AS$9)</f>
        <v>111784.31249999999</v>
      </c>
      <c r="AV5" s="23">
        <f>IF(B5=0,0, LOOKUP(IF(AND(Changes!Change="Yes", Changes!ValidityYear&lt;=Table14[[#This Row],[Year]], Changes!ChangeType="Change Job Class"),Changes!NewChangedValue, db!$A$8),db!$AX$4:$AX$8,db!$BA$4:$BA$8))</f>
        <v>0.8</v>
      </c>
      <c r="AW5" s="20">
        <f>ROUND((AV5/(100))*AA5*(1-db!$AS$9),0)</f>
        <v>302000</v>
      </c>
      <c r="AX5" s="20">
        <f>ROUND((AV5/(100))*AA5*(db!$AS$9),0)</f>
        <v>98000</v>
      </c>
      <c r="AY5" s="21">
        <f>IF(db!$D$8="Yes",AS5,0)</f>
        <v>0.6</v>
      </c>
      <c r="AZ5" s="22">
        <f>(AY5*AF5)/1000*(1-db!$AS$9)</f>
        <v>1106153.2394080425</v>
      </c>
      <c r="BA5" s="22">
        <f>(AY5*AF5)/1000*(db!$AS$9)</f>
        <v>358950.3889469807</v>
      </c>
      <c r="BB5" s="23">
        <f t="shared" si="3"/>
        <v>0.6</v>
      </c>
      <c r="BC5" s="20">
        <f>(BB5*AH5/1000)*(1-db!$AS$9)</f>
        <v>952929.03579060012</v>
      </c>
      <c r="BD5" s="20">
        <f>(BB5*AH5/1000)*(db!$AS$9)</f>
        <v>309228.62750820798</v>
      </c>
      <c r="BE5" s="22">
        <f>IF(B5=0,0,IF(C5&gt;60,0,LOOKUP(Table14[[#This Row],[Medical
Age]],db!$BC$3:$BC$63,db!$BD$3:$BD$63)))</f>
        <v>1500</v>
      </c>
      <c r="BF5" s="22">
        <f>BG5*db!$AS$10</f>
        <v>30000</v>
      </c>
      <c r="BG5" s="22">
        <f t="shared" si="4"/>
        <v>300000</v>
      </c>
      <c r="BH5" s="22">
        <f>(BE5/1000000)*AJ5*(1-db!$AS$10)</f>
        <v>270000</v>
      </c>
      <c r="BI5" s="20">
        <f>IF(B5=0,0,IF(C5&gt;59,0,LOOKUP(Table14[[#This Row],[Medical
Age]],db!$BC$3:$BC$63,db!$BE$3:$BE$63)))</f>
        <v>1500</v>
      </c>
      <c r="BJ5" s="20">
        <f>(BI5/1000000)*AL5*(1-db!$AS$11)</f>
        <v>405000</v>
      </c>
      <c r="BK5" s="20">
        <f>(BI5/1000000)*AL5*(db!$AS$11)</f>
        <v>45000</v>
      </c>
      <c r="BL5" s="19">
        <f>IF(Table14[Year]=0,0,IF(AND(Changes!Change="Yes", Changes!ValidityYear&lt;=Table14[[#This Row],[Year]], Changes!ChangeType="Change Risk Loading"), LOOKUP(Table14[Age],RiskLoadingChange!A$3:A$109,RiskLoadingChange!DL$3:DL$109), LOOKUP(Table14[Age],RiskLoading!A$3:A$109,RiskLoading!DL$3:DL$109)))</f>
        <v>4.4839274203957121E-4</v>
      </c>
      <c r="BM5" s="20">
        <f>Table14[[#This Row],[RiskLoading
Rate]]*Table14[[#This Row],[Death Capital (2)]]</f>
        <v>681949.31154943292</v>
      </c>
      <c r="BN5" s="36"/>
      <c r="BO5" s="37">
        <f t="shared" si="5"/>
        <v>2434995</v>
      </c>
      <c r="BP5" s="35">
        <f t="shared" si="6"/>
        <v>3394516.4626986426</v>
      </c>
      <c r="BQ5" s="35">
        <f t="shared" si="7"/>
        <v>1101531.9539551886</v>
      </c>
      <c r="BR5" s="37">
        <f t="shared" si="11"/>
        <v>675000</v>
      </c>
      <c r="BS5" s="37">
        <f t="shared" si="12"/>
        <v>75000</v>
      </c>
      <c r="BT5" s="35">
        <f t="shared" si="13"/>
        <v>4069516</v>
      </c>
      <c r="BU5" s="35">
        <f t="shared" si="14"/>
        <v>1176532</v>
      </c>
      <c r="BV5" s="37">
        <f>(db!$AS$3/100)*(L5-BT5-BU5)</f>
        <v>3351079.04</v>
      </c>
      <c r="BW5" s="37">
        <f>(db!$AS$7/100)*(L5-BT5-BU5)</f>
        <v>3351079.04</v>
      </c>
      <c r="BX5" s="35">
        <f>IF(B5&gt;5,0,$T$2*(db!AS$5/1000))</f>
        <v>1500000</v>
      </c>
      <c r="BY5" s="37"/>
      <c r="BZ5" s="37">
        <f>0.175*$BY$2</f>
        <v>5250000</v>
      </c>
      <c r="CA5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21815150</v>
      </c>
      <c r="CB5" s="33"/>
      <c r="CC5" s="39">
        <f>ROUND((Table14[[#This Row],[Premium]]-Table14[[#This Row],[All Deductions]]),0)</f>
        <v>150984850</v>
      </c>
      <c r="CD5" s="40">
        <f>ROUND(IF(B5=0,0,((CC5)*(1+ IF(AND(Changes!Change="Yes",Changes!ValidityYear&lt;=Table14[[#This Row],[Year]],Annulment&gt;Table14[[#This Row],[Year]],Changes!ChangeType="Paid-Up"),db!Y7+0.02,db!Y7)))+((CD4)*(1+IF(AND(Changes!Change="Yes",Changes!ValidityYear&lt;=Table14[[#This Row],[Year]],Annulment&gt;Table14[[#This Row],[Year]],Changes!ChangeType="Paid-Up"),db!U7+0.02,db!U7)))),0)</f>
        <v>695717596</v>
      </c>
      <c r="CE5" s="40">
        <f>ROUND(IF(B5=0,0,((CC5)*(1+db!Y7))+((CE4)*(1+db!U7))),0)</f>
        <v>695717596</v>
      </c>
      <c r="CF5" s="40">
        <f>ROUND(CE5-SUM(BX6:$BX$7),-3)</f>
        <v>694218000</v>
      </c>
      <c r="CG5" s="15">
        <f t="shared" si="15"/>
        <v>4</v>
      </c>
      <c r="CH5" s="39">
        <f>IF(B5=0,0,((CC5)*(1+db!AH7))+((CH4)*(1+db!AD7)))</f>
        <v>725580983.3664</v>
      </c>
      <c r="CI5" s="39">
        <f>CH5-(SUM(BX6:$BX$7))</f>
        <v>724080983.3664</v>
      </c>
      <c r="CJ5" s="40">
        <f>IF(B5=0,0,((CC5)*(1+db!AO7))+((CJ4)*(1+db!AK7)))</f>
        <v>756464485.32683182</v>
      </c>
      <c r="CK5" s="40">
        <f>CJ5-(SUM(BX6:$BX$7))</f>
        <v>754964485.32683182</v>
      </c>
      <c r="CL5" s="46"/>
    </row>
    <row r="6" spans="1:95">
      <c r="A6" s="347">
        <f t="shared" si="16"/>
        <v>5</v>
      </c>
      <c r="B6" s="345">
        <f>IF(AND(Changes!Change="Yes", Changes!ChangeType="Change Contract Duration"),IF(B5=0,0,IF(Changes!NewChangedValue&lt;B5+1,0,B5+1)),IF(B5=0,0,IF('Application Annually'!$C$5&lt;B5+1,0,B5+1)))</f>
        <v>5</v>
      </c>
      <c r="C6" s="15">
        <f t="shared" si="17"/>
        <v>32</v>
      </c>
      <c r="D6" s="312">
        <f t="shared" si="18"/>
        <v>32</v>
      </c>
      <c r="E6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36</v>
      </c>
      <c r="F6" s="29">
        <f t="shared" si="8"/>
        <v>207360000</v>
      </c>
      <c r="G6" s="29">
        <f t="shared" si="9"/>
        <v>207360000</v>
      </c>
      <c r="H6" s="29">
        <f t="shared" si="0"/>
        <v>223949000</v>
      </c>
      <c r="I6" s="29">
        <f>IF(B6&gt;0,IF(AND(Table14[[#This Row],[Year]]&gt;Changes!ValidityYear,Changes!Change="Yes",Changes!ChangeType="Change Value Adjustment"),Changes!$G$22,'Application Annually'!$C$11),0)</f>
        <v>15</v>
      </c>
      <c r="J6" s="29">
        <f>IF(B6&gt;0,IF(AND(Table14[[#This Row],[Year]]&gt;Changes!ValidityYear,Changes!Change="Yes",Changes!ChangeType="Change Value Adjustment"),Changes!$G$24,'Application Annually'!$C$7),0)</f>
        <v>20</v>
      </c>
      <c r="K6" s="29">
        <f>ROUND(IF(B6=0,0,IF(AND(Changes!Change="Yes", Changes!ValidityYear=Table14[[#This Row],[Year]], Changes!ChangeType="Change Premium"), Changes!NewChangedValue, (K5*(1+db!$B$3)))),0)</f>
        <v>207360000</v>
      </c>
      <c r="L6" s="29">
        <f>ROUND(IF(B6=0,0,IF(AND(Changes!Change="Yes", Changes!ValidityYear=Table14[[#This Row],[Year]], Changes!ChangeType="Change Premium"), Changes!NewChangedValue, (L5*(1+Table14[[#This Row],[Adjustment Factor of Premium]]/100)))),0)</f>
        <v>207360000</v>
      </c>
      <c r="M6" s="29">
        <f>IF(Table14[[#This Row],[Year]]=1,ROUND(MIN($L$2 -( Table14[[#This Row],[Riders Risk Premiums]] + Table14[[#This Row],[Acquisition Cost]]) *0.75,Table14[[#This Row],[Death Capital (1)]]* 0.03),0),0)</f>
        <v>0</v>
      </c>
      <c r="N6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6" s="29">
        <f>ROUND(IF(ROW()-1&gt;InsurancePeriod,0,(O5*(1+(Table14[[#This Row],[Adjustment Factor of Premium]]/100)))),0)</f>
        <v>207360000</v>
      </c>
      <c r="P6" s="29">
        <f>IF(Table14[Year] = 0, 0, SUM(L$2:L6))</f>
        <v>744160000</v>
      </c>
      <c r="Q6" s="17">
        <f t="shared" si="1"/>
        <v>1749006000</v>
      </c>
      <c r="R6" s="17">
        <f>IF(Table14[[#This Row],[Year]]=0,0,IF($C$2&lt;=50,LOOKUP(Table14[[#This Row],[Age]],db!BG7:BG113,db!BH7:BH113),LOOKUP(Table14[[#This Row],[Age]],db!BJ7:BJ113,db!BK7:BK113)))</f>
        <v>2000000000</v>
      </c>
      <c r="S6" s="17">
        <f>IF(B6=0,0, IF(AND(Changes!Change="Yes", Changes!ValidityYear=Table14[[#This Row],[Year]], Changes!ChangeType="Change Death Capital"), Changes!NewChangedValue, S5*(1+(Table14[[#This Row],[Adjustment Factor of Death Capital]]/100))))</f>
        <v>1749006249.9999998</v>
      </c>
      <c r="T6" s="17">
        <f>MIN(IF(B6=0,0,Table14[[#This Row],[Death Capital (1)]]),Table14[[#This Row],[Max Sum Insured For Death]])</f>
        <v>1749006249.9999998</v>
      </c>
      <c r="U6" s="29">
        <f t="shared" si="10"/>
        <v>1749006000</v>
      </c>
      <c r="V6" s="29">
        <f>IF(B6=0,0,IF(AND(Changes!Change="Yes", Changes!ValidityYear&lt;=Table14[[#This Row],[Year]], Changes!ChangeType="Rider Inclusion/Exclusion", Changes!RiderType="Accident Death"), T6*Changes!NewChangedValue,IF(db!$D$6="Yes",(db!$B$6)*T6,0)))</f>
        <v>1749006249.9999998</v>
      </c>
      <c r="W6" s="29">
        <f>MIN(IF(V6&lt;=db!$L$2,V6,db!$L$2),MAX_ACC_CAPITAL)</f>
        <v>1749006249.9999998</v>
      </c>
      <c r="X6" s="17">
        <f>IF(OR(B6=0,Table14[[#This Row],[Accident Capital (2)]]=0),0,IF(AND(Changes!Change="Yes", Changes!ValidityYear&lt;=Table14[[#This Row],[Year]], Changes!ChangeType="Rider Inclusion/Exclusion", Changes!RiderType="Accident Disability"), T6*Changes!NewChangedValue,IF(db!$D$7="Yes",(db!$B$7)*T6,0)))</f>
        <v>874503124.99999988</v>
      </c>
      <c r="Y6" s="42">
        <f>IF(C6&gt;69,0,IF(C6=0,0,IF(X6&lt;=db!$L$3,X6,db!$L$3)))</f>
        <v>874503124.99999988</v>
      </c>
      <c r="Z6" s="29">
        <f>IF(OR(B6=0,Table14[[#This Row],[Accident Capital (2)]]=0),0,IF(AND(Changes!Change="Yes", Changes!ValidityYear&lt;=Table14[[#This Row],[Year]], Changes!ChangeType="Rider Inclusion/Exclusion", Changes!RiderType="Accident Medical Cost"), T6*Changes!NewChangedValue,IF(db!$D$9="Yes",(db!$B$9)*T6,0)))</f>
        <v>349801250</v>
      </c>
      <c r="AA6" s="29">
        <f>ROUND(IF(C6&gt;69,0,IF(C6=0,0,IF(Z6&lt;=db!$L$4,Z6,db!$L$4))),0)</f>
        <v>50000000</v>
      </c>
      <c r="AB6" s="38">
        <f>IF(AND(Changes!Change = "Yes", Changes!ChangeType = "Rider Inclusion/Exclusion", Changes!RiderType = "WOP"), IF( Changes!ValidityYear &lt;= Table14[[#This Row],[Year]], IF(WOP = "Yes", 0, 1),  IF(WOP = "Yes", 1, 0)), IF(AND(db!$D$8="Yes",C6&lt;=69,ROW()-1&lt;=InsurancePeriod), 1, 0))</f>
        <v>1</v>
      </c>
      <c r="AC6" s="17">
        <f>(AC7+K7)*AB6*((1)/(1+db!AA8))*(LOOKUP(C6,'Mortality Table'!$A$2:$A$108,'Mortality Table'!$E$2:$E$108))</f>
        <v>2679030434.4489727</v>
      </c>
      <c r="AD6" s="340">
        <f>IF(AND(Changes!ValidityYear&lt;= Table14[[#This Row],[Year]],Changes!ChangeType="Change Value Adjustment",Changes!Change="Yes"), (AD7+L7)*AB6*((1)/(1+db!AA8))*(LOOKUP(C6,'Mortality Table'!$A$2:$A$108,'Mortality Table'!$E$2:$E$108)),Table14[[#This Row],[WOP Before Adj. BT]])</f>
        <v>2679030434.4489727</v>
      </c>
      <c r="AE6" s="341">
        <f>IF(AND(Changes!Change="Yes", Changes!ChangeType="Change Value Adjustment"),Table14[[#This Row],[WOP Capital]],(AE7+O7)*AB6*((1)/(1+db!AA8))*(LOOKUP(D6,'Mortality Table'!$A$2:$A$108,'Mortality Table'!$E$2:$E$108)))</f>
        <v>2679030434.4489727</v>
      </c>
      <c r="AF6" s="17">
        <f>IF(AND(Changes!Change="Yes", Changes!ValidityYear&lt;=ROW()-1),Table14[[#This Row],[WOP Capital]],Table14[[#This Row],[WOP without change]])</f>
        <v>2679030434.4489727</v>
      </c>
      <c r="AG6" s="42">
        <f>IF(AND(Changes!Change="Yes", Changes!ValidityYear&lt;=Table14[[#This Row],[Year]], Changes!ChangeType="Rider Inclusion/Exclusion", Changes!RiderType="Disability Annuity"), L6*Changes!NewChangedValue,L6*db!B$10*IF(db!$D$10="Yes",1,0))</f>
        <v>414720000</v>
      </c>
      <c r="AH6" s="29">
        <f>Table14[[#This Row],[Code Annuity Capital]]*IF('Annual Calculation'!C6&gt;69,0,(LOOKUP('Annual Calculation'!C6+1,'Mortality Table'!$A$2:$A$108,'Mortality Table'!$O$2:$O$108)-LOOKUP('Annual Calculation'!C6+11,'Mortality Table'!$A$2:$A$108,'Mortality Table'!$O$2:$O$108))/LOOKUP('Annual Calculation'!C6,'Mortality Table'!$A$2:$A$108,'Mortality Table'!$M$2:$M$108))</f>
        <v>2523031226.5222888</v>
      </c>
      <c r="AI6" s="17">
        <f>IF(B6=0,0,IF(AND(Changes!Change="Yes", Changes!ValidityYear&lt;=Table14[[#This Row],[Year]], Changes!ChangeType="Rider Inclusion/Exclusion", Changes!RiderType="Dread Disease"), T6*Changes!NewChangedValue,IF(db!$D$11="Yes",(db!$B$11)*T6,0)))</f>
        <v>262350937.49999994</v>
      </c>
      <c r="AJ6" s="42">
        <f>ROUND(IF(C6&gt;59,0,IF(C6=0,0,IF(AI6&lt;=db!$L$5,AI6,db!$L$5))),0)</f>
        <v>200000000</v>
      </c>
      <c r="AK6" s="29">
        <f>IF(B6=0,0,IF(AND(Changes!Change="Yes", Changes!ValidityYear&lt;=Table14[[#This Row],[Year]], Changes!ChangeType="Rider Inclusion/Exclusion", Changes!RiderType="Cancer"), T6*Changes!NewChangedValue,IF(db!$D$12="Yes",(db!$B$12)*T6,0)))</f>
        <v>437251562.49999994</v>
      </c>
      <c r="AL6" s="29">
        <f>ROUND(IF(C6&gt;59,0,IF(C6=0,0,IF(AK6&lt;=db!$L$6,AK6,db!$L$6))),0)</f>
        <v>300000000</v>
      </c>
      <c r="AM6" s="32"/>
      <c r="AN6" s="18">
        <f>IF(B6=0,0,IF(C6&lt;(db!$E$2+5),LOOKUP(C6,'Mortality Table'!$A$2:$A$108,'Mortality Table'!$P$2:$P$108),IF((C6&gt;=db!$E$2+10),LOOKUP(C6,'Mortality Table'!$A$2:$A$108,'Mortality Table'!$R$2:$R$108),LOOKUP(C6,'Mortality Table'!$A$2:$A$108,'Mortality Table'!$Q$2:$Q$108))))</f>
        <v>1.6611183722148757E-3</v>
      </c>
      <c r="AO6" s="22">
        <f t="shared" si="2"/>
        <v>2905306</v>
      </c>
      <c r="AP6" s="19">
        <f>IF(B6=0,0, LOOKUP(IF(AND(Changes!Change="Yes", Changes!ValidityYear&lt;=Table14[[#This Row],[Year]], Changes!ChangeType="Change Job Class"),Changes!NewChangedValue, db!$A$8),db!$AX$4:$AX$8,db!$AY$4:$AY$8))</f>
        <v>0.6</v>
      </c>
      <c r="AQ6" s="20">
        <f>ROUND((AP6/1000)*W6 * (1-db!$AS$9),0)</f>
        <v>792300</v>
      </c>
      <c r="AR6" s="20">
        <f>(AP6/1000)*W6 * db!$AS$9</f>
        <v>257103.91874999992</v>
      </c>
      <c r="AS6" s="21">
        <f>IF(B6=0,0, LOOKUP(IF(AND(Changes!Change="Yes", Changes!ValidityYear&lt;=Table14[[#This Row],[Year]], Changes!ChangeType="Change Job Class"),Changes!NewChangedValue, db!$A$8),db!$AX$4:$AX$8,db!$AZ$4:$AZ$8))</f>
        <v>0.6</v>
      </c>
      <c r="AT6" s="22">
        <f>(AS6/1000)*Y6*(1-db!$AS$9)</f>
        <v>396149.91562499991</v>
      </c>
      <c r="AU6" s="22">
        <f>(AS6/1000)*Y6*(db!$AS$9)</f>
        <v>128551.95937499996</v>
      </c>
      <c r="AV6" s="23">
        <f>IF(B6=0,0, LOOKUP(IF(AND(Changes!Change="Yes", Changes!ValidityYear&lt;=Table14[[#This Row],[Year]], Changes!ChangeType="Change Job Class"),Changes!NewChangedValue, db!$A$8),db!$AX$4:$AX$8,db!$BA$4:$BA$8))</f>
        <v>0.8</v>
      </c>
      <c r="AW6" s="20">
        <f>ROUND((AV6/(100))*AA6*(1-db!$AS$9),0)</f>
        <v>302000</v>
      </c>
      <c r="AX6" s="20">
        <f>ROUND((AV6/(100))*AA6*(db!$AS$9),0)</f>
        <v>98000</v>
      </c>
      <c r="AY6" s="21">
        <f>IF(db!$D$8="Yes",AS6,0)</f>
        <v>0.6</v>
      </c>
      <c r="AZ6" s="22">
        <f>(AY6*AF6)/1000*(1-db!$AS$9)</f>
        <v>1213600.7868053846</v>
      </c>
      <c r="BA6" s="22">
        <f>(AY6*AF6)/1000*(db!$AS$9)</f>
        <v>393817.47386399895</v>
      </c>
      <c r="BB6" s="23">
        <f t="shared" si="3"/>
        <v>0.6</v>
      </c>
      <c r="BC6" s="20">
        <f>(BB6*AH6/1000)*(1-db!$AS$9)</f>
        <v>1142933.1456145968</v>
      </c>
      <c r="BD6" s="20">
        <f>(BB6*AH6/1000)*(db!$AS$9)</f>
        <v>370885.59029877646</v>
      </c>
      <c r="BE6" s="22">
        <f>IF(B6=0,0,IF(C6&gt;60,0,LOOKUP(Table14[[#This Row],[Medical
Age]],db!$BC$3:$BC$63,db!$BD$3:$BD$63)))</f>
        <v>1500</v>
      </c>
      <c r="BF6" s="22">
        <f>BG6*db!$AS$10</f>
        <v>30000</v>
      </c>
      <c r="BG6" s="22">
        <f t="shared" si="4"/>
        <v>300000</v>
      </c>
      <c r="BH6" s="22">
        <f>(BE6/1000000)*AJ6*(1-db!$AS$10)</f>
        <v>270000</v>
      </c>
      <c r="BI6" s="20">
        <f>IF(B6=0,0,IF(C6&gt;59,0,LOOKUP(Table14[[#This Row],[Medical
Age]],db!$BC$3:$BC$63,db!$BE$3:$BE$63)))</f>
        <v>1500</v>
      </c>
      <c r="BJ6" s="20">
        <f>(BI6/1000000)*AL6*(1-db!$AS$11)</f>
        <v>405000</v>
      </c>
      <c r="BK6" s="20">
        <f>(BI6/1000000)*AL6*(db!$AS$11)</f>
        <v>45000</v>
      </c>
      <c r="BL6" s="19">
        <f>IF(Table14[Year]=0,0,IF(AND(Changes!Change="Yes", Changes!ValidityYear&lt;=Table14[[#This Row],[Year]], Changes!ChangeType="Change Risk Loading"), LOOKUP(Table14[Age],RiskLoadingChange!A$3:A$109,RiskLoadingChange!DL$3:DL$109), LOOKUP(Table14[Age],RiskLoading!A$3:A$109,RiskLoading!DL$3:DL$109)))</f>
        <v>3.8832342732046101E-4</v>
      </c>
      <c r="BM6" s="20">
        <f>Table14[[#This Row],[RiskLoading
Rate]]*Table14[[#This Row],[Death Capital (2)]]</f>
        <v>679180.10140490695</v>
      </c>
      <c r="BN6" s="36"/>
      <c r="BO6" s="37">
        <f t="shared" si="5"/>
        <v>2905306</v>
      </c>
      <c r="BP6" s="35">
        <f t="shared" si="6"/>
        <v>3846983.8480449812</v>
      </c>
      <c r="BQ6" s="35">
        <f t="shared" si="7"/>
        <v>1248358.9422877752</v>
      </c>
      <c r="BR6" s="37">
        <f t="shared" si="11"/>
        <v>675000</v>
      </c>
      <c r="BS6" s="37">
        <f t="shared" si="12"/>
        <v>75000</v>
      </c>
      <c r="BT6" s="35">
        <f t="shared" si="13"/>
        <v>4521984</v>
      </c>
      <c r="BU6" s="35">
        <f t="shared" si="14"/>
        <v>1323359</v>
      </c>
      <c r="BV6" s="37">
        <f>(db!$AS$3/100)*(L6-BT6-BU6)</f>
        <v>4030293.14</v>
      </c>
      <c r="BW6" s="37">
        <f>(db!$AS$7/100)*(L6-BT6-BU6)</f>
        <v>4030293.14</v>
      </c>
      <c r="BX6" s="35">
        <f>IF(B6&gt;5,0,$T$2*(db!AS$5/1000))</f>
        <v>1500000</v>
      </c>
      <c r="BY6" s="37"/>
      <c r="BZ6" s="37">
        <f>0.175*$BY$2</f>
        <v>5250000</v>
      </c>
      <c r="CA6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24240415</v>
      </c>
      <c r="CB6" s="33"/>
      <c r="CC6" s="39">
        <f>ROUND((Table14[[#This Row],[Premium]]-Table14[[#This Row],[All Deductions]]),0)</f>
        <v>183119585</v>
      </c>
      <c r="CD6" s="40">
        <f>ROUND(IF(B6=0,0,((CC6)*(1+ IF(AND(Changes!Change="Yes",Changes!ValidityYear&lt;=Table14[[#This Row],[Year]],Annulment&gt;Table14[[#This Row],[Year]],Changes!ChangeType="Paid-Up"),db!Y8+0.02,db!Y8)))+((CD5)*(1+IF(AND(Changes!Change="Yes",Changes!ValidityYear&lt;=Table14[[#This Row],[Year]],Annulment&gt;Table14[[#This Row],[Year]],Changes!ChangeType="Paid-Up"),db!U8+0.02,db!U8)))),0)</f>
        <v>1037027874</v>
      </c>
      <c r="CE6" s="40">
        <f>ROUND(IF(B6=0,0,((CC6)*(1+db!Y8))+((CE5)*(1+db!U8))),0)</f>
        <v>1037027874</v>
      </c>
      <c r="CF6" s="40">
        <f>ROUND(CE6-SUM(BX7:$BX$7),-3)</f>
        <v>1037028000</v>
      </c>
      <c r="CG6" s="15">
        <f t="shared" si="15"/>
        <v>5</v>
      </c>
      <c r="CH6" s="39">
        <f>IF(B6=0,0,((CC6)*(1+db!AH8))+((CH5)*(1+db!AD8)))</f>
        <v>1090440682.03968</v>
      </c>
      <c r="CI6" s="39">
        <f>CH6-(SUM(BX7:$BX$7))</f>
        <v>1090440682.03968</v>
      </c>
      <c r="CJ6" s="40">
        <f>IF(B6=0,0,((CC6)*(1+db!AO8))+((CJ5)*(1+db!AK8)))</f>
        <v>1146292565.7987349</v>
      </c>
      <c r="CK6" s="40">
        <f>CJ6-(SUM(BX7:$BX$7))</f>
        <v>1146292565.7987349</v>
      </c>
      <c r="CL6" s="46"/>
    </row>
    <row r="7" spans="1:95">
      <c r="A7" s="347">
        <f t="shared" si="16"/>
        <v>6</v>
      </c>
      <c r="B7" s="345">
        <f>IF(AND(Changes!Change="Yes", Changes!ChangeType="Change Contract Duration"),IF(B6=0,0,IF(Changes!NewChangedValue&lt;B6+1,0,B6+1)),IF(B6=0,0,IF('Application Annually'!$C$5&lt;B6+1,0,B6+1)))</f>
        <v>6</v>
      </c>
      <c r="C7" s="15">
        <f t="shared" si="17"/>
        <v>33</v>
      </c>
      <c r="D7" s="312">
        <f t="shared" si="18"/>
        <v>33</v>
      </c>
      <c r="E7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37</v>
      </c>
      <c r="F7" s="29">
        <f t="shared" si="8"/>
        <v>248832000</v>
      </c>
      <c r="G7" s="29">
        <f t="shared" si="9"/>
        <v>248832000</v>
      </c>
      <c r="H7" s="29">
        <f t="shared" si="0"/>
        <v>268739000</v>
      </c>
      <c r="I7" s="29">
        <f>IF(B7&gt;0,IF(AND(Table14[[#This Row],[Year]]&gt;Changes!ValidityYear,Changes!Change="Yes",Changes!ChangeType="Change Value Adjustment"),Changes!$G$22,'Application Annually'!$C$11),0)</f>
        <v>15</v>
      </c>
      <c r="J7" s="29">
        <f>IF(B7&gt;0,IF(AND(Table14[[#This Row],[Year]]&gt;Changes!ValidityYear,Changes!Change="Yes",Changes!ChangeType="Change Value Adjustment"),Changes!$G$24,'Application Annually'!$C$7),0)</f>
        <v>20</v>
      </c>
      <c r="K7" s="29">
        <f>ROUND(IF(B7=0,0,IF(AND(Changes!Change="Yes", Changes!ValidityYear=Table14[[#This Row],[Year]], Changes!ChangeType="Change Premium"), Changes!NewChangedValue, (K6*(1+db!$B$3)))),0)</f>
        <v>248832000</v>
      </c>
      <c r="L7" s="29">
        <f>ROUND(IF(B7=0,0,IF(AND(Changes!Change="Yes", Changes!ValidityYear=Table14[[#This Row],[Year]], Changes!ChangeType="Change Premium"), Changes!NewChangedValue, (L6*(1+Table14[[#This Row],[Adjustment Factor of Premium]]/100)))),0)</f>
        <v>248832000</v>
      </c>
      <c r="M7" s="29">
        <f>IF(Table14[[#This Row],[Year]]=1,ROUND(MIN($L$2 -( Table14[[#This Row],[Riders Risk Premiums]] + Table14[[#This Row],[Acquisition Cost]]) *0.75,Table14[[#This Row],[Death Capital (1)]]* 0.03),0),0)</f>
        <v>0</v>
      </c>
      <c r="N7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7" s="29">
        <f>ROUND(IF(ROW()-1&gt;InsurancePeriod,0,(O6*(1+(Table14[[#This Row],[Adjustment Factor of Premium]]/100)))),0)</f>
        <v>248832000</v>
      </c>
      <c r="P7" s="29">
        <f>IF(Table14[Year] = 0, 0, SUM(L$2:L7))</f>
        <v>992992000</v>
      </c>
      <c r="Q7" s="17">
        <f t="shared" si="1"/>
        <v>2000000000</v>
      </c>
      <c r="R7" s="17">
        <f>IF(Table14[[#This Row],[Year]]=0,0,IF($C$2&lt;=50,LOOKUP(Table14[[#This Row],[Age]],db!BG8:BG114,db!BH8:BH114),LOOKUP(Table14[[#This Row],[Age]],db!BJ8:BJ114,db!BK8:BK114)))</f>
        <v>2000000000</v>
      </c>
      <c r="S7" s="17">
        <f>IF(B7=0,0, IF(AND(Changes!Change="Yes", Changes!ValidityYear=Table14[[#This Row],[Year]], Changes!ChangeType="Change Death Capital"), Changes!NewChangedValue, S6*(1+(Table14[[#This Row],[Adjustment Factor of Death Capital]]/100))))</f>
        <v>2011357187.4999995</v>
      </c>
      <c r="T7" s="17">
        <f>MIN(IF(B7=0,0,Table14[[#This Row],[Death Capital (1)]]),Table14[[#This Row],[Max Sum Insured For Death]])</f>
        <v>2000000000</v>
      </c>
      <c r="U7" s="29">
        <f t="shared" si="10"/>
        <v>2000000000</v>
      </c>
      <c r="V7" s="29">
        <f>IF(B7=0,0,IF(AND(Changes!Change="Yes", Changes!ValidityYear&lt;=Table14[[#This Row],[Year]], Changes!ChangeType="Rider Inclusion/Exclusion", Changes!RiderType="Accident Death"), T7*Changes!NewChangedValue,IF(db!$D$6="Yes",(db!$B$6)*T7,0)))</f>
        <v>2000000000</v>
      </c>
      <c r="W7" s="29">
        <f>MIN(IF(V7&lt;=db!$L$2,V7,db!$L$2),MAX_ACC_CAPITAL)</f>
        <v>2000000000</v>
      </c>
      <c r="X7" s="17">
        <f>IF(OR(B7=0,Table14[[#This Row],[Accident Capital (2)]]=0),0,IF(AND(Changes!Change="Yes", Changes!ValidityYear&lt;=Table14[[#This Row],[Year]], Changes!ChangeType="Rider Inclusion/Exclusion", Changes!RiderType="Accident Disability"), T7*Changes!NewChangedValue,IF(db!$D$7="Yes",(db!$B$7)*T7,0)))</f>
        <v>1000000000</v>
      </c>
      <c r="Y7" s="42">
        <f>IF(C7&gt;69,0,IF(C7=0,0,IF(X7&lt;=db!$L$3,X7,db!$L$3)))</f>
        <v>1000000000</v>
      </c>
      <c r="Z7" s="29">
        <f>IF(OR(B7=0,Table14[[#This Row],[Accident Capital (2)]]=0),0,IF(AND(Changes!Change="Yes", Changes!ValidityYear&lt;=Table14[[#This Row],[Year]], Changes!ChangeType="Rider Inclusion/Exclusion", Changes!RiderType="Accident Medical Cost"), T7*Changes!NewChangedValue,IF(db!$D$9="Yes",(db!$B$9)*T7,0)))</f>
        <v>400000000</v>
      </c>
      <c r="AA7" s="29">
        <f>ROUND(IF(C7&gt;69,0,IF(C7=0,0,IF(Z7&lt;=db!$L$4,Z7,db!$L$4))),0)</f>
        <v>50000000</v>
      </c>
      <c r="AB7" s="38">
        <f>IF(AND(Changes!Change = "Yes", Changes!ChangeType = "Rider Inclusion/Exclusion", Changes!RiderType = "WOP"), IF( Changes!ValidityYear &lt;= Table14[[#This Row],[Year]], IF(WOP = "Yes", 0, 1),  IF(WOP = "Yes", 1, 0)), IF(AND(db!$D$8="Yes",C7&lt;=69,ROW()-1&lt;=InsurancePeriod), 1, 0))</f>
        <v>1</v>
      </c>
      <c r="AC7" s="17">
        <f>(AC8+K8)*AB7*((1)/(1+db!AA9))*(LOOKUP(C7,'Mortality Table'!$A$2:$A$108,'Mortality Table'!$E$2:$E$108))</f>
        <v>2918138509.5933342</v>
      </c>
      <c r="AD7" s="340">
        <f>IF(AND(Changes!ValidityYear&lt;= Table14[[#This Row],[Year]],Changes!ChangeType="Change Value Adjustment",Changes!Change="Yes"), (AD8+L8)*AB7*((1)/(1+db!AA9))*(LOOKUP(C7,'Mortality Table'!$A$2:$A$108,'Mortality Table'!$E$2:$E$108)),Table14[[#This Row],[WOP Before Adj. BT]])</f>
        <v>2918138509.5933342</v>
      </c>
      <c r="AE7" s="341">
        <f>IF(AND(Changes!Change="Yes", Changes!ChangeType="Change Value Adjustment"),Table14[[#This Row],[WOP Capital]],(AE8+O8)*AB7*((1)/(1+db!AA9))*(LOOKUP(D7,'Mortality Table'!$A$2:$A$108,'Mortality Table'!$E$2:$E$108)))</f>
        <v>2918138509.5933342</v>
      </c>
      <c r="AF7" s="17">
        <f>IF(AND(Changes!Change="Yes", Changes!ValidityYear&lt;=ROW()-1),Table14[[#This Row],[WOP Capital]],Table14[[#This Row],[WOP without change]])</f>
        <v>2918138509.5933342</v>
      </c>
      <c r="AG7" s="42">
        <f>IF(AND(Changes!Change="Yes", Changes!ValidityYear&lt;=Table14[[#This Row],[Year]], Changes!ChangeType="Rider Inclusion/Exclusion", Changes!RiderType="Disability Annuity"), L7*Changes!NewChangedValue,L7*db!B$10*IF(db!$D$10="Yes",1,0))</f>
        <v>497664000</v>
      </c>
      <c r="AH7" s="29">
        <f>Table14[[#This Row],[Code Annuity Capital]]*IF('Annual Calculation'!C7&gt;69,0,(LOOKUP('Annual Calculation'!C7+1,'Mortality Table'!$A$2:$A$108,'Mortality Table'!$O$2:$O$108)-LOOKUP('Annual Calculation'!C7+11,'Mortality Table'!$A$2:$A$108,'Mortality Table'!$O$2:$O$108))/LOOKUP('Annual Calculation'!C7,'Mortality Table'!$A$2:$A$108,'Mortality Table'!$M$2:$M$108))</f>
        <v>3025870441.216804</v>
      </c>
      <c r="AI7" s="17">
        <f>IF(B7=0,0,IF(AND(Changes!Change="Yes", Changes!ValidityYear&lt;=Table14[[#This Row],[Year]], Changes!ChangeType="Rider Inclusion/Exclusion", Changes!RiderType="Dread Disease"), T7*Changes!NewChangedValue,IF(db!$D$11="Yes",(db!$B$11)*T7,0)))</f>
        <v>300000000</v>
      </c>
      <c r="AJ7" s="42">
        <f>ROUND(IF(C7&gt;59,0,IF(C7=0,0,IF(AI7&lt;=db!$L$5,AI7,db!$L$5))),0)</f>
        <v>200000000</v>
      </c>
      <c r="AK7" s="29">
        <f>IF(B7=0,0,IF(AND(Changes!Change="Yes", Changes!ValidityYear&lt;=Table14[[#This Row],[Year]], Changes!ChangeType="Rider Inclusion/Exclusion", Changes!RiderType="Cancer"), T7*Changes!NewChangedValue,IF(db!$D$12="Yes",(db!$B$12)*T7,0)))</f>
        <v>500000000</v>
      </c>
      <c r="AL7" s="29">
        <f>ROUND(IF(C7&gt;59,0,IF(C7=0,0,IF(AK7&lt;=db!$L$6,AK7,db!$L$6))),0)</f>
        <v>300000000</v>
      </c>
      <c r="AM7" s="32"/>
      <c r="AN7" s="18">
        <f>IF(B7=0,0,IF(C7&lt;(db!$E$2+5),LOOKUP(C7,'Mortality Table'!$A$2:$A$108,'Mortality Table'!$P$2:$P$108),IF((C7&gt;=db!$E$2+10),LOOKUP(C7,'Mortality Table'!$A$2:$A$108,'Mortality Table'!$R$2:$R$108),LOOKUP(C7,'Mortality Table'!$A$2:$A$108,'Mortality Table'!$Q$2:$Q$108))))</f>
        <v>1.7825659416780175E-3</v>
      </c>
      <c r="AO7" s="22">
        <f t="shared" si="2"/>
        <v>3565132</v>
      </c>
      <c r="AP7" s="19">
        <f>IF(B7=0,0, LOOKUP(IF(AND(Changes!Change="Yes", Changes!ValidityYear&lt;=Table14[[#This Row],[Year]], Changes!ChangeType="Change Job Class"),Changes!NewChangedValue, db!$A$8),db!$AX$4:$AX$8,db!$AY$4:$AY$8))</f>
        <v>0.6</v>
      </c>
      <c r="AQ7" s="20">
        <f>ROUND((AP7/1000)*W7 * (1-db!$AS$9),0)</f>
        <v>906000</v>
      </c>
      <c r="AR7" s="20">
        <f>(AP7/1000)*W7 * db!$AS$9</f>
        <v>294000</v>
      </c>
      <c r="AS7" s="21">
        <f>IF(B7=0,0, LOOKUP(IF(AND(Changes!Change="Yes", Changes!ValidityYear&lt;=Table14[[#This Row],[Year]], Changes!ChangeType="Change Job Class"),Changes!NewChangedValue, db!$A$8),db!$AX$4:$AX$8,db!$AZ$4:$AZ$8))</f>
        <v>0.6</v>
      </c>
      <c r="AT7" s="22">
        <f>(AS7/1000)*Y7*(1-db!$AS$9)</f>
        <v>453000</v>
      </c>
      <c r="AU7" s="22">
        <f>(AS7/1000)*Y7*(db!$AS$9)</f>
        <v>147000</v>
      </c>
      <c r="AV7" s="23">
        <f>IF(B7=0,0, LOOKUP(IF(AND(Changes!Change="Yes", Changes!ValidityYear&lt;=Table14[[#This Row],[Year]], Changes!ChangeType="Change Job Class"),Changes!NewChangedValue, db!$A$8),db!$AX$4:$AX$8,db!$BA$4:$BA$8))</f>
        <v>0.8</v>
      </c>
      <c r="AW7" s="20">
        <f>ROUND((AV7/(100))*AA7*(1-db!$AS$9),0)</f>
        <v>302000</v>
      </c>
      <c r="AX7" s="20">
        <f>ROUND((AV7/(100))*AA7*(db!$AS$9),0)</f>
        <v>98000</v>
      </c>
      <c r="AY7" s="21">
        <f>IF(db!$D$8="Yes",AS7,0)</f>
        <v>0.6</v>
      </c>
      <c r="AZ7" s="22">
        <f>(AY7*AF7)/1000*(1-db!$AS$9)</f>
        <v>1321916.7448457805</v>
      </c>
      <c r="BA7" s="22">
        <f>(AY7*AF7)/1000*(db!$AS$9)</f>
        <v>428966.36091022013</v>
      </c>
      <c r="BB7" s="23">
        <f t="shared" si="3"/>
        <v>0.6</v>
      </c>
      <c r="BC7" s="20">
        <f>(BB7*AH7/1000)*(1-db!$AS$9)</f>
        <v>1370719.3098712121</v>
      </c>
      <c r="BD7" s="20">
        <f>(BB7*AH7/1000)*(db!$AS$9)</f>
        <v>444802.95485887019</v>
      </c>
      <c r="BE7" s="22">
        <f>IF(B7=0,0,IF(C7&gt;60,0,LOOKUP(Table14[[#This Row],[Medical
Age]],db!$BC$3:$BC$63,db!$BD$3:$BD$63)))</f>
        <v>1500</v>
      </c>
      <c r="BF7" s="22">
        <f>BG7*db!$AS$10</f>
        <v>30000</v>
      </c>
      <c r="BG7" s="22">
        <f t="shared" si="4"/>
        <v>300000</v>
      </c>
      <c r="BH7" s="22">
        <f>(BE7/1000000)*AJ7*(1-db!$AS$10)</f>
        <v>270000</v>
      </c>
      <c r="BI7" s="20">
        <f>IF(B7=0,0,IF(C7&gt;59,0,LOOKUP(Table14[[#This Row],[Medical
Age]],db!$BC$3:$BC$63,db!$BE$3:$BE$63)))</f>
        <v>1500</v>
      </c>
      <c r="BJ7" s="20">
        <f>(BI7/1000000)*AL7*(1-db!$AS$11)</f>
        <v>405000</v>
      </c>
      <c r="BK7" s="20">
        <f>(BI7/1000000)*AL7*(db!$AS$11)</f>
        <v>45000</v>
      </c>
      <c r="BL7" s="19">
        <f>IF(Table14[Year]=0,0,IF(AND(Changes!Change="Yes", Changes!ValidityYear&lt;=Table14[[#This Row],[Year]], Changes!ChangeType="Change Risk Loading"), LOOKUP(Table14[Age],RiskLoadingChange!A$3:A$109,RiskLoadingChange!DP$3:DP$109), LOOKUP(Table14[Age],RiskLoading!A$3:A$109,RiskLoading!DP$3:DP$109)))</f>
        <v>4.2505467219658075E-4</v>
      </c>
      <c r="BM7" s="20">
        <f>Table14[[#This Row],[RiskLoading
Rate]]*Table14[[#This Row],[Death Capital (2)]]</f>
        <v>850109.34439316147</v>
      </c>
      <c r="BN7" s="36"/>
      <c r="BO7" s="37">
        <f t="shared" si="5"/>
        <v>3565132</v>
      </c>
      <c r="BP7" s="35">
        <f t="shared" si="6"/>
        <v>4353636.0547169931</v>
      </c>
      <c r="BQ7" s="35">
        <f t="shared" si="7"/>
        <v>1412769.3157690903</v>
      </c>
      <c r="BR7" s="37">
        <f t="shared" si="11"/>
        <v>675000</v>
      </c>
      <c r="BS7" s="37">
        <f t="shared" si="12"/>
        <v>75000</v>
      </c>
      <c r="BT7" s="35">
        <f t="shared" si="13"/>
        <v>5028636</v>
      </c>
      <c r="BU7" s="35">
        <f t="shared" si="14"/>
        <v>1487769</v>
      </c>
      <c r="BV7" s="37">
        <f>(db!$AS$4/100)*(L7-BT7-BU7)</f>
        <v>3634733.9249999998</v>
      </c>
      <c r="BW7" s="37">
        <f>(db!$AS$8/100)*(L7-BT7-BU7)</f>
        <v>7269467.8499999996</v>
      </c>
      <c r="BX7" s="35"/>
      <c r="BY7" s="37"/>
      <c r="BZ7" s="37"/>
      <c r="CA7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21835848</v>
      </c>
      <c r="CB7" s="33"/>
      <c r="CC7" s="39">
        <f>ROUND((Table14[[#This Row],[Premium]]-Table14[[#This Row],[All Deductions]]),0)</f>
        <v>226996152</v>
      </c>
      <c r="CD7" s="40">
        <f>ROUND(IF(B7=0,0,((CC7)*(1+ IF(AND(Changes!Change="Yes",Changes!ValidityYear&lt;=Table14[[#This Row],[Year]],Annulment&gt;Table14[[#This Row],[Year]],Changes!ChangeType="Paid-Up"),db!Y9+0.02,db!Y9)))+((CD6)*(1+IF(AND(Changes!Change="Yes",Changes!ValidityYear&lt;=Table14[[#This Row],[Year]],Annulment&gt;Table14[[#This Row],[Year]],Changes!ChangeType="Paid-Up"),db!U9+0.02,db!U9)))),0)</f>
        <v>1453627630</v>
      </c>
      <c r="CE7" s="40">
        <f>ROUND(IF(B7=0,0,((CC7)*(1+db!Y9))+((CE6)*(1+db!U9))),0)</f>
        <v>1453627630</v>
      </c>
      <c r="CF7" s="40">
        <f t="shared" ref="CF7:CF70" si="19">ROUND(CE7,-3)</f>
        <v>1453628000</v>
      </c>
      <c r="CG7" s="15">
        <f t="shared" si="15"/>
        <v>6</v>
      </c>
      <c r="CH7" s="39">
        <f>IF(B7=0,0,((CC7)*(1+db!AH9))+((CH6)*(1+db!AD9)))</f>
        <v>1580924200.8476157</v>
      </c>
      <c r="CI7" s="39">
        <f>IF(B7=0,0,((CC7)*(1+db!AH9))+((CI6)*(1+db!AD9)))</f>
        <v>1580924200.8476157</v>
      </c>
      <c r="CJ7" s="40">
        <f>IF(B7=0,0,((CC7)*(1+db!AO9))+((CJ6)*(1+db!AK9)))</f>
        <v>1675412235.7144566</v>
      </c>
      <c r="CK7" s="40">
        <f>CJ7-(SUM(BX$7:$BX8))</f>
        <v>1675412235.7144566</v>
      </c>
      <c r="CL7" s="46"/>
    </row>
    <row r="8" spans="1:95">
      <c r="A8" s="347">
        <f t="shared" si="16"/>
        <v>7</v>
      </c>
      <c r="B8" s="345">
        <f>IF(AND(Changes!Change="Yes", Changes!ChangeType="Change Contract Duration"),IF(B7=0,0,IF(Changes!NewChangedValue&lt;B7+1,0,B7+1)),IF(B7=0,0,IF('Application Annually'!$C$5&lt;B7+1,0,B7+1)))</f>
        <v>7</v>
      </c>
      <c r="C8" s="15">
        <f t="shared" si="17"/>
        <v>34</v>
      </c>
      <c r="D8" s="312">
        <f t="shared" si="18"/>
        <v>34</v>
      </c>
      <c r="E8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38</v>
      </c>
      <c r="F8" s="29">
        <f t="shared" si="8"/>
        <v>298598000</v>
      </c>
      <c r="G8" s="29">
        <f t="shared" si="9"/>
        <v>298598000</v>
      </c>
      <c r="H8" s="29">
        <f t="shared" si="0"/>
        <v>322486000</v>
      </c>
      <c r="I8" s="29">
        <f>IF(B8&gt;0,IF(AND(Table14[[#This Row],[Year]]&gt;Changes!ValidityYear,Changes!Change="Yes",Changes!ChangeType="Change Value Adjustment"),Changes!$G$22,'Application Annually'!$C$11),0)</f>
        <v>15</v>
      </c>
      <c r="J8" s="29">
        <f>IF(B8&gt;0,IF(AND(Table14[[#This Row],[Year]]&gt;Changes!ValidityYear,Changes!Change="Yes",Changes!ChangeType="Change Value Adjustment"),Changes!$G$24,'Application Annually'!$C$7),0)</f>
        <v>20</v>
      </c>
      <c r="K8" s="29">
        <f>ROUND(IF(B8=0,0,IF(AND(Changes!Change="Yes", Changes!ValidityYear=Table14[[#This Row],[Year]], Changes!ChangeType="Change Premium"), Changes!NewChangedValue, (K7*(1+db!$B$3)))),0)</f>
        <v>298598400</v>
      </c>
      <c r="L8" s="29">
        <f>ROUND(IF(B8=0,0,IF(AND(Changes!Change="Yes", Changes!ValidityYear=Table14[[#This Row],[Year]], Changes!ChangeType="Change Premium"), Changes!NewChangedValue, (L7*(1+Table14[[#This Row],[Adjustment Factor of Premium]]/100)))),0)</f>
        <v>298598400</v>
      </c>
      <c r="M8" s="29">
        <f>IF(Table14[[#This Row],[Year]]=1,ROUND(MIN($L$2 -( Table14[[#This Row],[Riders Risk Premiums]] + Table14[[#This Row],[Acquisition Cost]]) *0.75,Table14[[#This Row],[Death Capital (1)]]* 0.03),0),0)</f>
        <v>0</v>
      </c>
      <c r="N8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8" s="29">
        <f>ROUND(IF(ROW()-1&gt;InsurancePeriod,0,(O7*(1+(Table14[[#This Row],[Adjustment Factor of Premium]]/100)))),0)</f>
        <v>298598400</v>
      </c>
      <c r="P8" s="29">
        <f>IF(Table14[Year] = 0, 0, SUM(L$2:L8))</f>
        <v>1291590400</v>
      </c>
      <c r="Q8" s="17">
        <f t="shared" si="1"/>
        <v>2000000000</v>
      </c>
      <c r="R8" s="17">
        <f>IF(Table14[[#This Row],[Year]]=0,0,IF($C$2&lt;=50,LOOKUP(Table14[[#This Row],[Age]],db!BG9:BG115,db!BH9:BH115),LOOKUP(Table14[[#This Row],[Age]],db!BJ9:BJ115,db!BK9:BK115)))</f>
        <v>2000000000</v>
      </c>
      <c r="S8" s="17">
        <f>IF(B8=0,0, IF(AND(Changes!Change="Yes", Changes!ValidityYear=Table14[[#This Row],[Year]], Changes!ChangeType="Change Death Capital"), Changes!NewChangedValue, S7*(1+(Table14[[#This Row],[Adjustment Factor of Death Capital]]/100))))</f>
        <v>2313060765.624999</v>
      </c>
      <c r="T8" s="17">
        <f>MIN(IF(B8=0,0,Table14[[#This Row],[Death Capital (1)]]),Table14[[#This Row],[Max Sum Insured For Death]])</f>
        <v>2000000000</v>
      </c>
      <c r="U8" s="29">
        <f t="shared" si="10"/>
        <v>2000000000</v>
      </c>
      <c r="V8" s="29">
        <f>IF(B8=0,0,IF(AND(Changes!Change="Yes", Changes!ValidityYear&lt;=Table14[[#This Row],[Year]], Changes!ChangeType="Rider Inclusion/Exclusion", Changes!RiderType="Accident Death"), T8*Changes!NewChangedValue,IF(db!$D$6="Yes",(db!$B$6)*T8,0)))</f>
        <v>2000000000</v>
      </c>
      <c r="W8" s="29">
        <f>MIN(IF(V8&lt;=db!$L$2,V8,db!$L$2),MAX_ACC_CAPITAL)</f>
        <v>2000000000</v>
      </c>
      <c r="X8" s="17">
        <f>IF(OR(B8=0,Table14[[#This Row],[Accident Capital (2)]]=0),0,IF(AND(Changes!Change="Yes", Changes!ValidityYear&lt;=Table14[[#This Row],[Year]], Changes!ChangeType="Rider Inclusion/Exclusion", Changes!RiderType="Accident Disability"), T8*Changes!NewChangedValue,IF(db!$D$7="Yes",(db!$B$7)*T8,0)))</f>
        <v>1000000000</v>
      </c>
      <c r="Y8" s="42">
        <f>IF(C8&gt;69,0,IF(C8=0,0,IF(X8&lt;=db!$L$3,X8,db!$L$3)))</f>
        <v>1000000000</v>
      </c>
      <c r="Z8" s="29">
        <f>IF(OR(B8=0,Table14[[#This Row],[Accident Capital (2)]]=0),0,IF(AND(Changes!Change="Yes", Changes!ValidityYear&lt;=Table14[[#This Row],[Year]], Changes!ChangeType="Rider Inclusion/Exclusion", Changes!RiderType="Accident Medical Cost"), T8*Changes!NewChangedValue,IF(db!$D$9="Yes",(db!$B$9)*T8,0)))</f>
        <v>400000000</v>
      </c>
      <c r="AA8" s="29">
        <f>ROUND(IF(C8&gt;69,0,IF(C8=0,0,IF(Z8&lt;=db!$L$4,Z8,db!$L$4))),0)</f>
        <v>50000000</v>
      </c>
      <c r="AB8" s="38">
        <f>IF(AND(Changes!Change = "Yes", Changes!ChangeType = "Rider Inclusion/Exclusion", Changes!RiderType = "WOP"), IF( Changes!ValidityYear &lt;= Table14[[#This Row],[Year]], IF(WOP = "Yes", 0, 1),  IF(WOP = "Yes", 1, 0)), IF(AND(db!$D$8="Yes",C8&lt;=69,ROW()-1&lt;=InsurancePeriod), 1, 0))</f>
        <v>1</v>
      </c>
      <c r="AC8" s="17">
        <f>(AC9+K9)*AB8*((1)/(1+db!AA10))*(LOOKUP(C8,'Mortality Table'!$A$2:$A$108,'Mortality Table'!$E$2:$E$108))</f>
        <v>3063688196.1324673</v>
      </c>
      <c r="AD8" s="340">
        <f>IF(AND(Changes!ValidityYear&lt;= Table14[[#This Row],[Year]],Changes!ChangeType="Change Value Adjustment",Changes!Change="Yes"), (AD9+L9)*AB8*((1)/(1+db!AA10))*(LOOKUP(C8,'Mortality Table'!$A$2:$A$108,'Mortality Table'!$E$2:$E$108)),Table14[[#This Row],[WOP Before Adj. BT]])</f>
        <v>3063688196.1324673</v>
      </c>
      <c r="AE8" s="341">
        <f>IF(AND(Changes!Change="Yes", Changes!ChangeType="Change Value Adjustment"),Table14[[#This Row],[WOP Capital]],(AE9+O9)*AB8*((1)/(1+db!AA10))*(LOOKUP(D8,'Mortality Table'!$A$2:$A$108,'Mortality Table'!$E$2:$E$108)))</f>
        <v>3063688196.1324673</v>
      </c>
      <c r="AF8" s="17">
        <f>IF(AND(Changes!Change="Yes", Changes!ValidityYear&lt;=ROW()-1),Table14[[#This Row],[WOP Capital]],Table14[[#This Row],[WOP without change]])</f>
        <v>3063688196.1324673</v>
      </c>
      <c r="AG8" s="42">
        <f>IF(AND(Changes!Change="Yes", Changes!ValidityYear&lt;=Table14[[#This Row],[Year]], Changes!ChangeType="Rider Inclusion/Exclusion", Changes!RiderType="Disability Annuity"), L8*Changes!NewChangedValue,L8*db!B$10*IF(db!$D$10="Yes",1,0))</f>
        <v>597196800</v>
      </c>
      <c r="AH8" s="29">
        <f>Table14[[#This Row],[Code Annuity Capital]]*IF('Annual Calculation'!C8&gt;69,0,(LOOKUP('Annual Calculation'!C8+1,'Mortality Table'!$A$2:$A$108,'Mortality Table'!$O$2:$O$108)-LOOKUP('Annual Calculation'!C8+11,'Mortality Table'!$A$2:$A$108,'Mortality Table'!$O$2:$O$108))/LOOKUP('Annual Calculation'!C8,'Mortality Table'!$A$2:$A$108,'Mortality Table'!$M$2:$M$108))</f>
        <v>3628721447.2240276</v>
      </c>
      <c r="AI8" s="17">
        <f>IF(B8=0,0,IF(AND(Changes!Change="Yes", Changes!ValidityYear&lt;=Table14[[#This Row],[Year]], Changes!ChangeType="Rider Inclusion/Exclusion", Changes!RiderType="Dread Disease"), T8*Changes!NewChangedValue,IF(db!$D$11="Yes",(db!$B$11)*T8,0)))</f>
        <v>300000000</v>
      </c>
      <c r="AJ8" s="42">
        <f>ROUND(IF(C8&gt;59,0,IF(C8=0,0,IF(AI8&lt;=db!$L$5,AI8,db!$L$5))),0)</f>
        <v>200000000</v>
      </c>
      <c r="AK8" s="29">
        <f>IF(B8=0,0,IF(AND(Changes!Change="Yes", Changes!ValidityYear&lt;=Table14[[#This Row],[Year]], Changes!ChangeType="Rider Inclusion/Exclusion", Changes!RiderType="Cancer"), T8*Changes!NewChangedValue,IF(db!$D$12="Yes",(db!$B$12)*T8,0)))</f>
        <v>500000000</v>
      </c>
      <c r="AL8" s="29">
        <f>ROUND(IF(C8&gt;59,0,IF(C8=0,0,IF(AK8&lt;=db!$L$6,AK8,db!$L$6))),0)</f>
        <v>300000000</v>
      </c>
      <c r="AM8" s="32"/>
      <c r="AN8" s="18">
        <f>IF(B8=0,0,IF(C8&lt;(db!$E$2+5),LOOKUP(C8,'Mortality Table'!$A$2:$A$108,'Mortality Table'!$P$2:$P$108),IF((C8&gt;=db!$E$2+10),LOOKUP(C8,'Mortality Table'!$A$2:$A$108,'Mortality Table'!$R$2:$R$108),LOOKUP(C8,'Mortality Table'!$A$2:$A$108,'Mortality Table'!$Q$2:$Q$108))))</f>
        <v>1.8733377188785425E-3</v>
      </c>
      <c r="AO8" s="22">
        <f t="shared" si="2"/>
        <v>3746675</v>
      </c>
      <c r="AP8" s="19">
        <f>IF(B8=0,0, LOOKUP(IF(AND(Changes!Change="Yes", Changes!ValidityYear&lt;=Table14[[#This Row],[Year]], Changes!ChangeType="Change Job Class"),Changes!NewChangedValue, db!$A$8),db!$AX$4:$AX$8,db!$AY$4:$AY$8))</f>
        <v>0.6</v>
      </c>
      <c r="AQ8" s="20">
        <f>ROUND((AP8/1000)*W8 * (1-db!$AS$9),0)</f>
        <v>906000</v>
      </c>
      <c r="AR8" s="20">
        <f>(AP8/1000)*W8 * db!$AS$9</f>
        <v>294000</v>
      </c>
      <c r="AS8" s="21">
        <f>IF(B8=0,0, LOOKUP(IF(AND(Changes!Change="Yes", Changes!ValidityYear&lt;=Table14[[#This Row],[Year]], Changes!ChangeType="Change Job Class"),Changes!NewChangedValue, db!$A$8),db!$AX$4:$AX$8,db!$AZ$4:$AZ$8))</f>
        <v>0.6</v>
      </c>
      <c r="AT8" s="22">
        <f>(AS8/1000)*Y8*(1-db!$AS$9)</f>
        <v>453000</v>
      </c>
      <c r="AU8" s="22">
        <f>(AS8/1000)*Y8*(db!$AS$9)</f>
        <v>147000</v>
      </c>
      <c r="AV8" s="23">
        <f>IF(B8=0,0, LOOKUP(IF(AND(Changes!Change="Yes", Changes!ValidityYear&lt;=Table14[[#This Row],[Year]], Changes!ChangeType="Change Job Class"),Changes!NewChangedValue, db!$A$8),db!$AX$4:$AX$8,db!$BA$4:$BA$8))</f>
        <v>0.8</v>
      </c>
      <c r="AW8" s="20">
        <f>ROUND((AV8/(100))*AA8*(1-db!$AS$9),0)</f>
        <v>302000</v>
      </c>
      <c r="AX8" s="20">
        <f>ROUND((AV8/(100))*AA8*(db!$AS$9),0)</f>
        <v>98000</v>
      </c>
      <c r="AY8" s="21">
        <f>IF(db!$D$8="Yes",AS8,0)</f>
        <v>0.6</v>
      </c>
      <c r="AZ8" s="22">
        <f>(AY8*AF8)/1000*(1-db!$AS$9)</f>
        <v>1387850.7528480077</v>
      </c>
      <c r="BA8" s="22">
        <f>(AY8*AF8)/1000*(db!$AS$9)</f>
        <v>450362.16483147268</v>
      </c>
      <c r="BB8" s="23">
        <f t="shared" si="3"/>
        <v>0.6</v>
      </c>
      <c r="BC8" s="20">
        <f>(BB8*AH8/1000)*(1-db!$AS$9)</f>
        <v>1643810.8155924843</v>
      </c>
      <c r="BD8" s="20">
        <f>(BB8*AH8/1000)*(db!$AS$9)</f>
        <v>533422.05274193198</v>
      </c>
      <c r="BE8" s="22">
        <f>IF(B8=0,0,IF(C8&gt;60,0,LOOKUP(Table14[[#This Row],[Medical
Age]],db!$BC$3:$BC$63,db!$BD$3:$BD$63)))</f>
        <v>1500</v>
      </c>
      <c r="BF8" s="22">
        <f>BG8*db!$AS$10</f>
        <v>30000</v>
      </c>
      <c r="BG8" s="22">
        <f t="shared" si="4"/>
        <v>300000</v>
      </c>
      <c r="BH8" s="22">
        <f>(BE8/1000000)*AJ8*(1-db!$AS$10)</f>
        <v>270000</v>
      </c>
      <c r="BI8" s="20">
        <f>IF(B8=0,0,IF(C8&gt;59,0,LOOKUP(Table14[[#This Row],[Medical
Age]],db!$BC$3:$BC$63,db!$BE$3:$BE$63)))</f>
        <v>1500</v>
      </c>
      <c r="BJ8" s="20">
        <f>(BI8/1000000)*AL8*(1-db!$AS$11)</f>
        <v>405000</v>
      </c>
      <c r="BK8" s="20">
        <f>(BI8/1000000)*AL8*(db!$AS$11)</f>
        <v>45000</v>
      </c>
      <c r="BL8" s="19">
        <f>IF(Table14[Year]=0,0,IF(AND(Changes!Change="Yes", Changes!ValidityYear&lt;=Table14[[#This Row],[Year]], Changes!ChangeType="Change Risk Loading"), LOOKUP(Table14[Age],RiskLoadingChange!A$3:A$109,RiskLoadingChange!DP$3:DP$109), LOOKUP(Table14[Age],RiskLoading!A$3:A$109,RiskLoading!DP$3:DP$109)))</f>
        <v>4.7660142218716966E-4</v>
      </c>
      <c r="BM8" s="20">
        <f>Table14[[#This Row],[RiskLoading
Rate]]*Table14[[#This Row],[Death Capital (2)]]</f>
        <v>953202.84437433933</v>
      </c>
      <c r="BN8" s="36"/>
      <c r="BO8" s="37">
        <f t="shared" si="5"/>
        <v>3746675</v>
      </c>
      <c r="BP8" s="35">
        <f t="shared" si="6"/>
        <v>4692661.5684404923</v>
      </c>
      <c r="BQ8" s="35">
        <f t="shared" si="7"/>
        <v>1522784.2175734048</v>
      </c>
      <c r="BR8" s="37">
        <f t="shared" si="11"/>
        <v>675000</v>
      </c>
      <c r="BS8" s="37">
        <f t="shared" si="12"/>
        <v>75000</v>
      </c>
      <c r="BT8" s="35">
        <f t="shared" si="13"/>
        <v>5367662</v>
      </c>
      <c r="BU8" s="35">
        <f t="shared" si="14"/>
        <v>1597784</v>
      </c>
      <c r="BV8" s="37">
        <f>(db!$AS$4/100)*(L8-BT8-BU8)</f>
        <v>4374494.3099999996</v>
      </c>
      <c r="BW8" s="37">
        <f>(db!$AS$8/100)*(L8-BT8-BU8)</f>
        <v>8748988.6199999992</v>
      </c>
      <c r="BX8" s="35"/>
      <c r="BY8" s="37"/>
      <c r="BZ8" s="37"/>
      <c r="CA8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24788807</v>
      </c>
      <c r="CB8" s="33"/>
      <c r="CC8" s="39">
        <f>ROUND((Table14[[#This Row],[Premium]]-Table14[[#This Row],[All Deductions]]),0)</f>
        <v>273809593</v>
      </c>
      <c r="CD8" s="40">
        <f>ROUND(IF(B8=0,0,((CC8)*(1+ IF(AND(Changes!Change="Yes",Changes!ValidityYear&lt;=Table14[[#This Row],[Year]],Annulment&gt;Table14[[#This Row],[Year]],Changes!ChangeType="Paid-Up"),db!Y10+0.02,db!Y10)))+((CD7)*(1+IF(AND(Changes!Change="Yes",Changes!ValidityYear&lt;=Table14[[#This Row],[Year]],Annulment&gt;Table14[[#This Row],[Year]],Changes!ChangeType="Paid-Up"),db!U10+0.02,db!U10)))),0)</f>
        <v>1986552806</v>
      </c>
      <c r="CE8" s="40">
        <f>ROUND(IF(B8=0,0,((CC8)*(1+db!Y10))+((CE7)*(1+db!U10))),0)</f>
        <v>1986552806</v>
      </c>
      <c r="CF8" s="40">
        <f t="shared" si="19"/>
        <v>1986553000</v>
      </c>
      <c r="CG8" s="15">
        <f t="shared" si="15"/>
        <v>7</v>
      </c>
      <c r="CH8" s="39">
        <f>IF(B8=0,0,((CC8)*(1+db!AH10))+((CH7)*(1+db!AD10)))</f>
        <v>2225680552.6171389</v>
      </c>
      <c r="CI8" s="39">
        <f>IF(B8=0,0,((CC8)*(1+db!AH10))+((CI7)*(1+db!AD10)))</f>
        <v>2225680552.6171389</v>
      </c>
      <c r="CJ8" s="40">
        <f>IF(B8=0,0,((CC8)*(1+db!AO10))+((CJ7)*(1+db!AK10)))</f>
        <v>2378050631.0316367</v>
      </c>
      <c r="CK8" s="40">
        <f>CJ8-(SUM(BX$7:$BX9))</f>
        <v>2378050631.0316367</v>
      </c>
      <c r="CL8" s="46"/>
    </row>
    <row r="9" spans="1:95">
      <c r="A9" s="347">
        <f t="shared" si="16"/>
        <v>8</v>
      </c>
      <c r="B9" s="345">
        <f>IF(AND(Changes!Change="Yes", Changes!ChangeType="Change Contract Duration"),IF(B8=0,0,IF(Changes!NewChangedValue&lt;B8+1,0,B8+1)),IF(B8=0,0,IF('Application Annually'!$C$5&lt;B8+1,0,B8+1)))</f>
        <v>8</v>
      </c>
      <c r="C9" s="15">
        <f t="shared" si="17"/>
        <v>35</v>
      </c>
      <c r="D9" s="312">
        <f t="shared" si="18"/>
        <v>35</v>
      </c>
      <c r="E9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39</v>
      </c>
      <c r="F9" s="29">
        <f t="shared" si="8"/>
        <v>358318000</v>
      </c>
      <c r="G9" s="29">
        <f t="shared" si="9"/>
        <v>358318000</v>
      </c>
      <c r="H9" s="29">
        <f t="shared" si="0"/>
        <v>386984000</v>
      </c>
      <c r="I9" s="29">
        <f>IF(B9&gt;0,IF(AND(Table14[[#This Row],[Year]]&gt;Changes!ValidityYear,Changes!Change="Yes",Changes!ChangeType="Change Value Adjustment"),Changes!$G$22,'Application Annually'!$C$11),0)</f>
        <v>15</v>
      </c>
      <c r="J9" s="29">
        <f>IF(B9&gt;0,IF(AND(Table14[[#This Row],[Year]]&gt;Changes!ValidityYear,Changes!Change="Yes",Changes!ChangeType="Change Value Adjustment"),Changes!$G$24,'Application Annually'!$C$7),0)</f>
        <v>20</v>
      </c>
      <c r="K9" s="29">
        <f>ROUND(IF(B9=0,0,IF(AND(Changes!Change="Yes", Changes!ValidityYear=Table14[[#This Row],[Year]], Changes!ChangeType="Change Premium"), Changes!NewChangedValue, (K8*(1+db!$B$3)))),0)</f>
        <v>358318080</v>
      </c>
      <c r="L9" s="29">
        <f>ROUND(IF(B9=0,0,IF(AND(Changes!Change="Yes", Changes!ValidityYear=Table14[[#This Row],[Year]], Changes!ChangeType="Change Premium"), Changes!NewChangedValue, (L8*(1+Table14[[#This Row],[Adjustment Factor of Premium]]/100)))),0)</f>
        <v>358318080</v>
      </c>
      <c r="M9" s="29">
        <f>IF(Table14[[#This Row],[Year]]=1,ROUND(MIN($L$2 -( Table14[[#This Row],[Riders Risk Premiums]] + Table14[[#This Row],[Acquisition Cost]]) *0.75,Table14[[#This Row],[Death Capital (1)]]* 0.03),0),0)</f>
        <v>0</v>
      </c>
      <c r="N9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9" s="29">
        <f>ROUND(IF(ROW()-1&gt;InsurancePeriod,0,(O8*(1+(Table14[[#This Row],[Adjustment Factor of Premium]]/100)))),0)</f>
        <v>358318080</v>
      </c>
      <c r="P9" s="29">
        <f>IF(Table14[Year] = 0, 0, SUM(L$2:L9))</f>
        <v>1649908480</v>
      </c>
      <c r="Q9" s="17">
        <f t="shared" si="1"/>
        <v>2000000000</v>
      </c>
      <c r="R9" s="17">
        <f>IF(Table14[[#This Row],[Year]]=0,0,IF($C$2&lt;=50,LOOKUP(Table14[[#This Row],[Age]],db!BG10:BG116,db!BH10:BH116),LOOKUP(Table14[[#This Row],[Age]],db!BJ10:BJ116,db!BK10:BK116)))</f>
        <v>2000000000</v>
      </c>
      <c r="S9" s="17">
        <f>IF(B9=0,0, IF(AND(Changes!Change="Yes", Changes!ValidityYear=Table14[[#This Row],[Year]], Changes!ChangeType="Change Death Capital"), Changes!NewChangedValue, S8*(1+(Table14[[#This Row],[Adjustment Factor of Death Capital]]/100))))</f>
        <v>2660019880.4687486</v>
      </c>
      <c r="T9" s="17">
        <f>MIN(IF(B9=0,0,Table14[[#This Row],[Death Capital (1)]]),Table14[[#This Row],[Max Sum Insured For Death]])</f>
        <v>2000000000</v>
      </c>
      <c r="U9" s="29">
        <f t="shared" si="10"/>
        <v>2000000000</v>
      </c>
      <c r="V9" s="29">
        <f>IF(B9=0,0,IF(AND(Changes!Change="Yes", Changes!ValidityYear&lt;=Table14[[#This Row],[Year]], Changes!ChangeType="Rider Inclusion/Exclusion", Changes!RiderType="Accident Death"), T9*Changes!NewChangedValue,IF(db!$D$6="Yes",(db!$B$6)*T9,0)))</f>
        <v>2000000000</v>
      </c>
      <c r="W9" s="29">
        <f>MIN(IF(V9&lt;=db!$L$2,V9,db!$L$2),MAX_ACC_CAPITAL)</f>
        <v>2000000000</v>
      </c>
      <c r="X9" s="17">
        <f>IF(OR(B9=0,Table14[[#This Row],[Accident Capital (2)]]=0),0,IF(AND(Changes!Change="Yes", Changes!ValidityYear&lt;=Table14[[#This Row],[Year]], Changes!ChangeType="Rider Inclusion/Exclusion", Changes!RiderType="Accident Disability"), T9*Changes!NewChangedValue,IF(db!$D$7="Yes",(db!$B$7)*T9,0)))</f>
        <v>1000000000</v>
      </c>
      <c r="Y9" s="42">
        <f>IF(C9&gt;69,0,IF(C9=0,0,IF(X9&lt;=db!$L$3,X9,db!$L$3)))</f>
        <v>1000000000</v>
      </c>
      <c r="Z9" s="29">
        <f>IF(OR(B9=0,Table14[[#This Row],[Accident Capital (2)]]=0),0,IF(AND(Changes!Change="Yes", Changes!ValidityYear&lt;=Table14[[#This Row],[Year]], Changes!ChangeType="Rider Inclusion/Exclusion", Changes!RiderType="Accident Medical Cost"), T9*Changes!NewChangedValue,IF(db!$D$9="Yes",(db!$B$9)*T9,0)))</f>
        <v>400000000</v>
      </c>
      <c r="AA9" s="29">
        <f>ROUND(IF(C9&gt;69,0,IF(C9=0,0,IF(Z9&lt;=db!$L$4,Z9,db!$L$4))),0)</f>
        <v>50000000</v>
      </c>
      <c r="AB9" s="38">
        <f>IF(AND(Changes!Change = "Yes", Changes!ChangeType = "Rider Inclusion/Exclusion", Changes!RiderType = "WOP"), IF( Changes!ValidityYear &lt;= Table14[[#This Row],[Year]], IF(WOP = "Yes", 0, 1),  IF(WOP = "Yes", 1, 0)), IF(AND(db!$D$8="Yes",C9&lt;=69,ROW()-1&lt;=InsurancePeriod), 1, 0))</f>
        <v>1</v>
      </c>
      <c r="AC9" s="17">
        <f>(AC10+K10)*AB9*((1)/(1+db!AA11))*(LOOKUP(C9,'Mortality Table'!$A$2:$A$108,'Mortality Table'!$E$2:$E$108))</f>
        <v>3172015541.8343997</v>
      </c>
      <c r="AD9" s="340">
        <f>IF(AND(Changes!ValidityYear&lt;= Table14[[#This Row],[Year]],Changes!ChangeType="Change Value Adjustment",Changes!Change="Yes"), (AD10+L10)*AB9*((1)/(1+db!AA11))*(LOOKUP(C9,'Mortality Table'!$A$2:$A$108,'Mortality Table'!$E$2:$E$108)),Table14[[#This Row],[WOP Before Adj. BT]])</f>
        <v>3172015541.8343997</v>
      </c>
      <c r="AE9" s="341">
        <f>IF(AND(Changes!Change="Yes", Changes!ChangeType="Change Value Adjustment"),Table14[[#This Row],[WOP Capital]],(AE10+O10)*AB9*((1)/(1+db!AA11))*(LOOKUP(D9,'Mortality Table'!$A$2:$A$108,'Mortality Table'!$E$2:$E$108)))</f>
        <v>3172015541.8343997</v>
      </c>
      <c r="AF9" s="17">
        <f>IF(AND(Changes!Change="Yes", Changes!ValidityYear&lt;=ROW()-1),Table14[[#This Row],[WOP Capital]],Table14[[#This Row],[WOP without change]])</f>
        <v>3172015541.8343997</v>
      </c>
      <c r="AG9" s="42">
        <f>IF(AND(Changes!Change="Yes", Changes!ValidityYear&lt;=Table14[[#This Row],[Year]], Changes!ChangeType="Rider Inclusion/Exclusion", Changes!RiderType="Disability Annuity"), L9*Changes!NewChangedValue,L9*db!B$10*IF(db!$D$10="Yes",1,0))</f>
        <v>716636160</v>
      </c>
      <c r="AH9" s="29">
        <f>Table14[[#This Row],[Code Annuity Capital]]*IF('Annual Calculation'!C9&gt;69,0,(LOOKUP('Annual Calculation'!C9+1,'Mortality Table'!$A$2:$A$108,'Mortality Table'!$O$2:$O$108)-LOOKUP('Annual Calculation'!C9+11,'Mortality Table'!$A$2:$A$108,'Mortality Table'!$O$2:$O$108))/LOOKUP('Annual Calculation'!C9,'Mortality Table'!$A$2:$A$108,'Mortality Table'!$M$2:$M$108))</f>
        <v>4351302043.8744068</v>
      </c>
      <c r="AI9" s="17">
        <f>IF(B9=0,0,IF(AND(Changes!Change="Yes", Changes!ValidityYear&lt;=Table14[[#This Row],[Year]], Changes!ChangeType="Rider Inclusion/Exclusion", Changes!RiderType="Dread Disease"), T9*Changes!NewChangedValue,IF(db!$D$11="Yes",(db!$B$11)*T9,0)))</f>
        <v>300000000</v>
      </c>
      <c r="AJ9" s="42">
        <f>ROUND(IF(C9&gt;59,0,IF(C9=0,0,IF(AI9&lt;=db!$L$5,AI9,db!$L$5))),0)</f>
        <v>200000000</v>
      </c>
      <c r="AK9" s="29">
        <f>IF(B9=0,0,IF(AND(Changes!Change="Yes", Changes!ValidityYear&lt;=Table14[[#This Row],[Year]], Changes!ChangeType="Rider Inclusion/Exclusion", Changes!RiderType="Cancer"), T9*Changes!NewChangedValue,IF(db!$D$12="Yes",(db!$B$12)*T9,0)))</f>
        <v>500000000</v>
      </c>
      <c r="AL9" s="29">
        <f>ROUND(IF(C9&gt;59,0,IF(C9=0,0,IF(AK9&lt;=db!$L$6,AK9,db!$L$6))),0)</f>
        <v>300000000</v>
      </c>
      <c r="AM9" s="32"/>
      <c r="AN9" s="18">
        <f>IF(B9=0,0,IF(C9&lt;(db!$E$2+5),LOOKUP(C9,'Mortality Table'!$A$2:$A$108,'Mortality Table'!$P$2:$P$108),IF((C9&gt;=db!$E$2+10),LOOKUP(C9,'Mortality Table'!$A$2:$A$108,'Mortality Table'!$R$2:$R$108),LOOKUP(C9,'Mortality Table'!$A$2:$A$108,'Mortality Table'!$Q$2:$Q$108))))</f>
        <v>1.9646422668864942E-3</v>
      </c>
      <c r="AO9" s="22">
        <f t="shared" si="2"/>
        <v>3929285</v>
      </c>
      <c r="AP9" s="19">
        <f>IF(B9=0,0, LOOKUP(IF(AND(Changes!Change="Yes", Changes!ValidityYear&lt;=Table14[[#This Row],[Year]], Changes!ChangeType="Change Job Class"),Changes!NewChangedValue, db!$A$8),db!$AX$4:$AX$8,db!$AY$4:$AY$8))</f>
        <v>0.6</v>
      </c>
      <c r="AQ9" s="20">
        <f>ROUND((AP9/1000)*W9 * (1-db!$AS$9),0)</f>
        <v>906000</v>
      </c>
      <c r="AR9" s="20">
        <f>(AP9/1000)*W9 * db!$AS$9</f>
        <v>294000</v>
      </c>
      <c r="AS9" s="21">
        <f>IF(B9=0,0, LOOKUP(IF(AND(Changes!Change="Yes", Changes!ValidityYear&lt;=Table14[[#This Row],[Year]], Changes!ChangeType="Change Job Class"),Changes!NewChangedValue, db!$A$8),db!$AX$4:$AX$8,db!$AZ$4:$AZ$8))</f>
        <v>0.6</v>
      </c>
      <c r="AT9" s="22">
        <f>(AS9/1000)*Y9*(1-db!$AS$9)</f>
        <v>453000</v>
      </c>
      <c r="AU9" s="22">
        <f>(AS9/1000)*Y9*(db!$AS$9)</f>
        <v>147000</v>
      </c>
      <c r="AV9" s="23">
        <f>IF(B9=0,0, LOOKUP(IF(AND(Changes!Change="Yes", Changes!ValidityYear&lt;=Table14[[#This Row],[Year]], Changes!ChangeType="Change Job Class"),Changes!NewChangedValue, db!$A$8),db!$AX$4:$AX$8,db!$BA$4:$BA$8))</f>
        <v>0.8</v>
      </c>
      <c r="AW9" s="20">
        <f>ROUND((AV9/(100))*AA9*(1-db!$AS$9),0)</f>
        <v>302000</v>
      </c>
      <c r="AX9" s="20">
        <f>ROUND((AV9/(100))*AA9*(db!$AS$9),0)</f>
        <v>98000</v>
      </c>
      <c r="AY9" s="21">
        <f>IF(db!$D$8="Yes",AS9,0)</f>
        <v>0.6</v>
      </c>
      <c r="AZ9" s="22">
        <f>(AY9*AF9)/1000*(1-db!$AS$9)</f>
        <v>1436923.040450983</v>
      </c>
      <c r="BA9" s="22">
        <f>(AY9*AF9)/1000*(db!$AS$9)</f>
        <v>466286.28464965674</v>
      </c>
      <c r="BB9" s="23">
        <f t="shared" si="3"/>
        <v>0.6</v>
      </c>
      <c r="BC9" s="20">
        <f>(BB9*AH9/1000)*(1-db!$AS$9)</f>
        <v>1971139.8258751063</v>
      </c>
      <c r="BD9" s="20">
        <f>(BB9*AH9/1000)*(db!$AS$9)</f>
        <v>639641.40044953779</v>
      </c>
      <c r="BE9" s="22">
        <f>IF(B9=0,0,IF(C9&gt;60,0,LOOKUP(Table14[[#This Row],[Medical
Age]],db!$BC$3:$BC$63,db!$BD$3:$BD$63)))</f>
        <v>1500</v>
      </c>
      <c r="BF9" s="22">
        <f>BG9*db!$AS$10</f>
        <v>30000</v>
      </c>
      <c r="BG9" s="22">
        <f t="shared" si="4"/>
        <v>300000</v>
      </c>
      <c r="BH9" s="22">
        <f>(BE9/1000000)*AJ9*(1-db!$AS$10)</f>
        <v>270000</v>
      </c>
      <c r="BI9" s="20">
        <f>IF(B9=0,0,IF(C9&gt;59,0,LOOKUP(Table14[[#This Row],[Medical
Age]],db!$BC$3:$BC$63,db!$BE$3:$BE$63)))</f>
        <v>1500</v>
      </c>
      <c r="BJ9" s="20">
        <f>(BI9/1000000)*AL9*(1-db!$AS$11)</f>
        <v>405000</v>
      </c>
      <c r="BK9" s="20">
        <f>(BI9/1000000)*AL9*(db!$AS$11)</f>
        <v>45000</v>
      </c>
      <c r="BL9" s="19">
        <f>IF(Table14[Year]=0,0,IF(AND(Changes!Change="Yes", Changes!ValidityYear&lt;=Table14[[#This Row],[Year]], Changes!ChangeType="Change Risk Loading"), LOOKUP(Table14[Age],RiskLoadingChange!A$3:A$109,RiskLoadingChange!DP$3:DP$109), LOOKUP(Table14[Age],RiskLoading!A$3:A$109,RiskLoading!DP$3:DP$109)))</f>
        <v>4.9921140079057418E-4</v>
      </c>
      <c r="BM9" s="20">
        <f>Table14[[#This Row],[RiskLoading
Rate]]*Table14[[#This Row],[Death Capital (2)]]</f>
        <v>998422.80158114841</v>
      </c>
      <c r="BN9" s="36"/>
      <c r="BO9" s="37">
        <f t="shared" si="5"/>
        <v>3929285</v>
      </c>
      <c r="BP9" s="35">
        <f t="shared" si="6"/>
        <v>5069062.866326089</v>
      </c>
      <c r="BQ9" s="35">
        <f t="shared" si="7"/>
        <v>1644927.6850991945</v>
      </c>
      <c r="BR9" s="37">
        <f t="shared" si="11"/>
        <v>675000</v>
      </c>
      <c r="BS9" s="37">
        <f t="shared" si="12"/>
        <v>75000</v>
      </c>
      <c r="BT9" s="35">
        <f t="shared" si="13"/>
        <v>5744063</v>
      </c>
      <c r="BU9" s="35">
        <f t="shared" si="14"/>
        <v>1719928</v>
      </c>
      <c r="BV9" s="37">
        <f>(db!$AS$4/100)*(L9-BT9-BU9)</f>
        <v>5262811.335</v>
      </c>
      <c r="BW9" s="37">
        <f>(db!$AS$8/100)*(L9-BT9-BU9)</f>
        <v>10525622.67</v>
      </c>
      <c r="BX9" s="35"/>
      <c r="BY9" s="37"/>
      <c r="BZ9" s="37"/>
      <c r="CA9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28180133</v>
      </c>
      <c r="CB9" s="33"/>
      <c r="CC9" s="39">
        <f>ROUND((Table14[[#This Row],[Premium]]-Table14[[#This Row],[All Deductions]]),0)</f>
        <v>330137947</v>
      </c>
      <c r="CD9" s="40">
        <f>ROUND(IF(B9=0,0,((CC9)*(1+ IF(AND(Changes!Change="Yes",Changes!ValidityYear&lt;=Table14[[#This Row],[Year]],Annulment&gt;Table14[[#This Row],[Year]],Changes!ChangeType="Paid-Up"),db!Y11+0.02,db!Y11)))+((CD8)*(1+IF(AND(Changes!Change="Yes",Changes!ValidityYear&lt;=Table14[[#This Row],[Year]],Annulment&gt;Table14[[#This Row],[Year]],Changes!ChangeType="Paid-Up"),db!U11+0.02,db!U11)))),0)</f>
        <v>2664194366</v>
      </c>
      <c r="CE9" s="40">
        <f>ROUND(IF(B9=0,0,((CC9)*(1+db!Y11))+((CE8)*(1+db!U11))),0)</f>
        <v>2664194366</v>
      </c>
      <c r="CF9" s="40">
        <f t="shared" si="19"/>
        <v>2664194000</v>
      </c>
      <c r="CG9" s="15">
        <f t="shared" si="15"/>
        <v>8</v>
      </c>
      <c r="CH9" s="39">
        <f>IF(B9=0,0,((CC9)*(1+db!AH11))+((CH8)*(1+db!AD11)))</f>
        <v>3066982199.5405664</v>
      </c>
      <c r="CI9" s="39">
        <f>IF(B9=0,0,((CC9)*(1+db!AH11))+((CI8)*(1+db!AD11)))</f>
        <v>3066982199.5405664</v>
      </c>
      <c r="CJ9" s="40">
        <f>IF(B9=0,0,((CC9)*(1+db!AO11))+((CJ8)*(1+db!AK11)))</f>
        <v>3303990065.198597</v>
      </c>
      <c r="CK9" s="40">
        <f>CJ9-(SUM(BX$7:$BX10))</f>
        <v>3303990065.198597</v>
      </c>
      <c r="CL9" s="46"/>
    </row>
    <row r="10" spans="1:95">
      <c r="A10" s="347">
        <f t="shared" si="16"/>
        <v>9</v>
      </c>
      <c r="B10" s="345">
        <f>IF(AND(Changes!Change="Yes", Changes!ChangeType="Change Contract Duration"),IF(B9=0,0,IF(Changes!NewChangedValue&lt;B9+1,0,B9+1)),IF(B9=0,0,IF('Application Annually'!$C$5&lt;B9+1,0,B9+1)))</f>
        <v>9</v>
      </c>
      <c r="C10" s="15">
        <f t="shared" si="17"/>
        <v>36</v>
      </c>
      <c r="D10" s="312">
        <f t="shared" si="18"/>
        <v>36</v>
      </c>
      <c r="E10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40</v>
      </c>
      <c r="F10" s="29">
        <f t="shared" si="8"/>
        <v>429982000</v>
      </c>
      <c r="G10" s="29">
        <f t="shared" si="9"/>
        <v>429982000</v>
      </c>
      <c r="H10" s="29">
        <f t="shared" si="0"/>
        <v>464380000</v>
      </c>
      <c r="I10" s="29">
        <f>IF(B10&gt;0,IF(AND(Table14[[#This Row],[Year]]&gt;Changes!ValidityYear,Changes!Change="Yes",Changes!ChangeType="Change Value Adjustment"),Changes!$G$22,'Application Annually'!$C$11),0)</f>
        <v>15</v>
      </c>
      <c r="J10" s="29">
        <f>IF(B10&gt;0,IF(AND(Table14[[#This Row],[Year]]&gt;Changes!ValidityYear,Changes!Change="Yes",Changes!ChangeType="Change Value Adjustment"),Changes!$G$24,'Application Annually'!$C$7),0)</f>
        <v>20</v>
      </c>
      <c r="K10" s="29">
        <f>ROUND(IF(B10=0,0,IF(AND(Changes!Change="Yes", Changes!ValidityYear=Table14[[#This Row],[Year]], Changes!ChangeType="Change Premium"), Changes!NewChangedValue, (K9*(1+db!$B$3)))),0)</f>
        <v>429981696</v>
      </c>
      <c r="L10" s="29">
        <f>ROUND(IF(B10=0,0,IF(AND(Changes!Change="Yes", Changes!ValidityYear=Table14[[#This Row],[Year]], Changes!ChangeType="Change Premium"), Changes!NewChangedValue, (L9*(1+Table14[[#This Row],[Adjustment Factor of Premium]]/100)))),0)</f>
        <v>429981696</v>
      </c>
      <c r="M10" s="29">
        <f>IF(Table14[[#This Row],[Year]]=1,ROUND(MIN($L$2 -( Table14[[#This Row],[Riders Risk Premiums]] + Table14[[#This Row],[Acquisition Cost]]) *0.75,Table14[[#This Row],[Death Capital (1)]]* 0.03),0),0)</f>
        <v>0</v>
      </c>
      <c r="N10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0" s="29">
        <f>ROUND(IF(ROW()-1&gt;InsurancePeriod,0,(O9*(1+(Table14[[#This Row],[Adjustment Factor of Premium]]/100)))),0)</f>
        <v>429981696</v>
      </c>
      <c r="P10" s="29">
        <f>IF(Table14[Year] = 0, 0, SUM(L$2:L10))</f>
        <v>2079890176</v>
      </c>
      <c r="Q10" s="17">
        <f t="shared" si="1"/>
        <v>2000000000</v>
      </c>
      <c r="R10" s="17">
        <f>IF(Table14[[#This Row],[Year]]=0,0,IF($C$2&lt;=50,LOOKUP(Table14[[#This Row],[Age]],db!BG11:BG117,db!BH11:BH117),LOOKUP(Table14[[#This Row],[Age]],db!BJ11:BJ117,db!BK11:BK117)))</f>
        <v>2000000000</v>
      </c>
      <c r="S10" s="17">
        <f>IF(B10=0,0, IF(AND(Changes!Change="Yes", Changes!ValidityYear=Table14[[#This Row],[Year]], Changes!ChangeType="Change Death Capital"), Changes!NewChangedValue, S9*(1+(Table14[[#This Row],[Adjustment Factor of Death Capital]]/100))))</f>
        <v>3059022862.5390606</v>
      </c>
      <c r="T10" s="17">
        <f>MIN(IF(B10=0,0,Table14[[#This Row],[Death Capital (1)]]),Table14[[#This Row],[Max Sum Insured For Death]])</f>
        <v>2000000000</v>
      </c>
      <c r="U10" s="29">
        <f t="shared" si="10"/>
        <v>2000000000</v>
      </c>
      <c r="V10" s="29">
        <f>IF(B10=0,0,IF(AND(Changes!Change="Yes", Changes!ValidityYear&lt;=Table14[[#This Row],[Year]], Changes!ChangeType="Rider Inclusion/Exclusion", Changes!RiderType="Accident Death"), T10*Changes!NewChangedValue,IF(db!$D$6="Yes",(db!$B$6)*T10,0)))</f>
        <v>2000000000</v>
      </c>
      <c r="W10" s="29">
        <f>MIN(IF(V10&lt;=db!$L$2,V10,db!$L$2),MAX_ACC_CAPITAL)</f>
        <v>2000000000</v>
      </c>
      <c r="X10" s="17">
        <f>IF(OR(B10=0,Table14[[#This Row],[Accident Capital (2)]]=0),0,IF(AND(Changes!Change="Yes", Changes!ValidityYear&lt;=Table14[[#This Row],[Year]], Changes!ChangeType="Rider Inclusion/Exclusion", Changes!RiderType="Accident Disability"), T10*Changes!NewChangedValue,IF(db!$D$7="Yes",(db!$B$7)*T10,0)))</f>
        <v>1000000000</v>
      </c>
      <c r="Y10" s="42">
        <f>IF(C10&gt;69,0,IF(C10=0,0,IF(X10&lt;=db!$L$3,X10,db!$L$3)))</f>
        <v>1000000000</v>
      </c>
      <c r="Z10" s="29">
        <f>IF(OR(B10=0,Table14[[#This Row],[Accident Capital (2)]]=0),0,IF(AND(Changes!Change="Yes", Changes!ValidityYear&lt;=Table14[[#This Row],[Year]], Changes!ChangeType="Rider Inclusion/Exclusion", Changes!RiderType="Accident Medical Cost"), T10*Changes!NewChangedValue,IF(db!$D$9="Yes",(db!$B$9)*T10,0)))</f>
        <v>400000000</v>
      </c>
      <c r="AA10" s="29">
        <f>ROUND(IF(C10&gt;69,0,IF(C10=0,0,IF(Z10&lt;=db!$L$4,Z10,db!$L$4))),0)</f>
        <v>50000000</v>
      </c>
      <c r="AB10" s="38">
        <f>IF(AND(Changes!Change = "Yes", Changes!ChangeType = "Rider Inclusion/Exclusion", Changes!RiderType = "WOP"), IF( Changes!ValidityYear &lt;= Table14[[#This Row],[Year]], IF(WOP = "Yes", 0, 1),  IF(WOP = "Yes", 1, 0)), IF(AND(db!$D$8="Yes",C10&lt;=69,ROW()-1&lt;=InsurancePeriod), 1, 0))</f>
        <v>1</v>
      </c>
      <c r="AC10" s="17">
        <f>(AC11+K11)*AB10*((1)/(1+db!AA12))*(LOOKUP(C10,'Mortality Table'!$A$2:$A$108,'Mortality Table'!$E$2:$E$108))</f>
        <v>3225537786.8169899</v>
      </c>
      <c r="AD10" s="340">
        <f>IF(AND(Changes!ValidityYear&lt;= Table14[[#This Row],[Year]],Changes!ChangeType="Change Value Adjustment",Changes!Change="Yes"), (AD11+L11)*AB10*((1)/(1+db!AA12))*(LOOKUP(C10,'Mortality Table'!$A$2:$A$108,'Mortality Table'!$E$2:$E$108)),Table14[[#This Row],[WOP Before Adj. BT]])</f>
        <v>3225537786.8169899</v>
      </c>
      <c r="AE10" s="341">
        <f>IF(AND(Changes!Change="Yes", Changes!ChangeType="Change Value Adjustment"),Table14[[#This Row],[WOP Capital]],(AE11+O11)*AB10*((1)/(1+db!AA12))*(LOOKUP(D10,'Mortality Table'!$A$2:$A$108,'Mortality Table'!$E$2:$E$108)))</f>
        <v>3225537786.8169899</v>
      </c>
      <c r="AF10" s="17">
        <f>IF(AND(Changes!Change="Yes", Changes!ValidityYear&lt;=ROW()-1),Table14[[#This Row],[WOP Capital]],Table14[[#This Row],[WOP without change]])</f>
        <v>3225537786.8169899</v>
      </c>
      <c r="AG10" s="42">
        <f>IF(AND(Changes!Change="Yes", Changes!ValidityYear&lt;=Table14[[#This Row],[Year]], Changes!ChangeType="Rider Inclusion/Exclusion", Changes!RiderType="Disability Annuity"), L10*Changes!NewChangedValue,L10*db!B$10*IF(db!$D$10="Yes",1,0))</f>
        <v>859963392</v>
      </c>
      <c r="AH10" s="29">
        <f>Table14[[#This Row],[Code Annuity Capital]]*IF('Annual Calculation'!C10&gt;69,0,(LOOKUP('Annual Calculation'!C10+1,'Mortality Table'!$A$2:$A$108,'Mortality Table'!$O$2:$O$108)-LOOKUP('Annual Calculation'!C10+11,'Mortality Table'!$A$2:$A$108,'Mortality Table'!$O$2:$O$108))/LOOKUP('Annual Calculation'!C10,'Mortality Table'!$A$2:$A$108,'Mortality Table'!$M$2:$M$108))</f>
        <v>5217215702.1063786</v>
      </c>
      <c r="AI10" s="17">
        <f>IF(B10=0,0,IF(AND(Changes!Change="Yes", Changes!ValidityYear&lt;=Table14[[#This Row],[Year]], Changes!ChangeType="Rider Inclusion/Exclusion", Changes!RiderType="Dread Disease"), T10*Changes!NewChangedValue,IF(db!$D$11="Yes",(db!$B$11)*T10,0)))</f>
        <v>300000000</v>
      </c>
      <c r="AJ10" s="42">
        <f>ROUND(IF(C10&gt;59,0,IF(C10=0,0,IF(AI10&lt;=db!$L$5,AI10,db!$L$5))),0)</f>
        <v>200000000</v>
      </c>
      <c r="AK10" s="29">
        <f>IF(B10=0,0,IF(AND(Changes!Change="Yes", Changes!ValidityYear&lt;=Table14[[#This Row],[Year]], Changes!ChangeType="Rider Inclusion/Exclusion", Changes!RiderType="Cancer"), T10*Changes!NewChangedValue,IF(db!$D$12="Yes",(db!$B$12)*T10,0)))</f>
        <v>500000000</v>
      </c>
      <c r="AL10" s="29">
        <f>ROUND(IF(C10&gt;59,0,IF(C10=0,0,IF(AK10&lt;=db!$L$6,AK10,db!$L$6))),0)</f>
        <v>300000000</v>
      </c>
      <c r="AM10" s="32"/>
      <c r="AN10" s="18">
        <f>IF(B10=0,0,IF(C10&lt;(db!$E$2+5),LOOKUP(C10,'Mortality Table'!$A$2:$A$108,'Mortality Table'!$P$2:$P$108),IF((C10&gt;=db!$E$2+10),LOOKUP(C10,'Mortality Table'!$A$2:$A$108,'Mortality Table'!$R$2:$R$108),LOOKUP(C10,'Mortality Table'!$A$2:$A$108,'Mortality Table'!$Q$2:$Q$108))))</f>
        <v>2.0760015485094137E-3</v>
      </c>
      <c r="AO10" s="22">
        <f t="shared" si="2"/>
        <v>4152003</v>
      </c>
      <c r="AP10" s="19">
        <f>IF(B10=0,0, LOOKUP(IF(AND(Changes!Change="Yes", Changes!ValidityYear&lt;=Table14[[#This Row],[Year]], Changes!ChangeType="Change Job Class"),Changes!NewChangedValue, db!$A$8),db!$AX$4:$AX$8,db!$AY$4:$AY$8))</f>
        <v>0.6</v>
      </c>
      <c r="AQ10" s="20">
        <f>ROUND((AP10/1000)*W10 * (1-db!$AS$9),0)</f>
        <v>906000</v>
      </c>
      <c r="AR10" s="20">
        <f>(AP10/1000)*W10 * db!$AS$9</f>
        <v>294000</v>
      </c>
      <c r="AS10" s="21">
        <f>IF(B10=0,0, LOOKUP(IF(AND(Changes!Change="Yes", Changes!ValidityYear&lt;=Table14[[#This Row],[Year]], Changes!ChangeType="Change Job Class"),Changes!NewChangedValue, db!$A$8),db!$AX$4:$AX$8,db!$AZ$4:$AZ$8))</f>
        <v>0.6</v>
      </c>
      <c r="AT10" s="22">
        <f>(AS10/1000)*Y10*(1-db!$AS$9)</f>
        <v>453000</v>
      </c>
      <c r="AU10" s="22">
        <f>(AS10/1000)*Y10*(db!$AS$9)</f>
        <v>147000</v>
      </c>
      <c r="AV10" s="23">
        <f>IF(B10=0,0, LOOKUP(IF(AND(Changes!Change="Yes", Changes!ValidityYear&lt;=Table14[[#This Row],[Year]], Changes!ChangeType="Change Job Class"),Changes!NewChangedValue, db!$A$8),db!$AX$4:$AX$8,db!$BA$4:$BA$8))</f>
        <v>0.8</v>
      </c>
      <c r="AW10" s="20">
        <f>ROUND((AV10/(100))*AA10*(1-db!$AS$9),0)</f>
        <v>302000</v>
      </c>
      <c r="AX10" s="20">
        <f>ROUND((AV10/(100))*AA10*(db!$AS$9),0)</f>
        <v>98000</v>
      </c>
      <c r="AY10" s="21">
        <f>IF(db!$D$8="Yes",AS10,0)</f>
        <v>0.6</v>
      </c>
      <c r="AZ10" s="22">
        <f>(AY10*AF10)/1000*(1-db!$AS$9)</f>
        <v>1461168.6174280962</v>
      </c>
      <c r="BA10" s="22">
        <f>(AY10*AF10)/1000*(db!$AS$9)</f>
        <v>474154.05466209748</v>
      </c>
      <c r="BB10" s="23">
        <f t="shared" si="3"/>
        <v>0.6</v>
      </c>
      <c r="BC10" s="20">
        <f>(BB10*AH10/1000)*(1-db!$AS$9)</f>
        <v>2363398.7130541895</v>
      </c>
      <c r="BD10" s="20">
        <f>(BB10*AH10/1000)*(db!$AS$9)</f>
        <v>766930.70820963755</v>
      </c>
      <c r="BE10" s="22">
        <f>IF(B10=0,0,IF(C10&gt;60,0,LOOKUP(Table14[[#This Row],[Medical
Age]],db!$BC$3:$BC$63,db!$BD$3:$BD$63)))</f>
        <v>1500</v>
      </c>
      <c r="BF10" s="22">
        <f>BG10*db!$AS$10</f>
        <v>30000</v>
      </c>
      <c r="BG10" s="22">
        <f t="shared" si="4"/>
        <v>300000</v>
      </c>
      <c r="BH10" s="22">
        <f>(BE10/1000000)*AJ10*(1-db!$AS$10)</f>
        <v>270000</v>
      </c>
      <c r="BI10" s="20">
        <f>IF(B10=0,0,IF(C10&gt;59,0,LOOKUP(Table14[[#This Row],[Medical
Age]],db!$BC$3:$BC$63,db!$BE$3:$BE$63)))</f>
        <v>1500</v>
      </c>
      <c r="BJ10" s="20">
        <f>(BI10/1000000)*AL10*(1-db!$AS$11)</f>
        <v>405000</v>
      </c>
      <c r="BK10" s="20">
        <f>(BI10/1000000)*AL10*(db!$AS$11)</f>
        <v>45000</v>
      </c>
      <c r="BL10" s="19">
        <f>IF(Table14[Year]=0,0,IF(AND(Changes!Change="Yes", Changes!ValidityYear&lt;=Table14[[#This Row],[Year]], Changes!ChangeType="Change Risk Loading"), LOOKUP(Table14[Age],RiskLoadingChange!A$3:A$109,RiskLoadingChange!DP$3:DP$109), LOOKUP(Table14[Age],RiskLoading!A$3:A$109,RiskLoading!DP$3:DP$109)))</f>
        <v>5.8138027473256509E-4</v>
      </c>
      <c r="BM10" s="20">
        <f>Table14[[#This Row],[RiskLoading
Rate]]*Table14[[#This Row],[Death Capital (2)]]</f>
        <v>1162760.5494651301</v>
      </c>
      <c r="BN10" s="36"/>
      <c r="BO10" s="37">
        <f t="shared" si="5"/>
        <v>4152003</v>
      </c>
      <c r="BP10" s="35">
        <f t="shared" si="6"/>
        <v>5485567.3304822855</v>
      </c>
      <c r="BQ10" s="35">
        <f t="shared" si="7"/>
        <v>1780084.762871735</v>
      </c>
      <c r="BR10" s="37">
        <f t="shared" si="11"/>
        <v>675000</v>
      </c>
      <c r="BS10" s="37">
        <f t="shared" si="12"/>
        <v>75000</v>
      </c>
      <c r="BT10" s="35">
        <f t="shared" si="13"/>
        <v>6160567</v>
      </c>
      <c r="BU10" s="35">
        <f t="shared" si="14"/>
        <v>1855085</v>
      </c>
      <c r="BV10" s="37">
        <f>(db!$AS$4/100)*(L10-BT10-BU10)</f>
        <v>6329490.6600000001</v>
      </c>
      <c r="BW10" s="37">
        <f>(db!$AS$8/100)*(L10-BT10-BU10)</f>
        <v>12658981.32</v>
      </c>
      <c r="BX10" s="35"/>
      <c r="BY10" s="37"/>
      <c r="BZ10" s="37"/>
      <c r="CA10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32318888</v>
      </c>
      <c r="CB10" s="33"/>
      <c r="CC10" s="39">
        <f>ROUND((Table14[[#This Row],[Premium]]-Table14[[#This Row],[All Deductions]]),0)</f>
        <v>397662808</v>
      </c>
      <c r="CD10" s="40">
        <f>ROUND(IF(B10=0,0,((CC10)*(1+ IF(AND(Changes!Change="Yes",Changes!ValidityYear&lt;=Table14[[#This Row],[Year]],Annulment&gt;Table14[[#This Row],[Year]],Changes!ChangeType="Paid-Up"),db!Y12+0.02,db!Y12)))+((CD9)*(1+IF(AND(Changes!Change="Yes",Changes!ValidityYear&lt;=Table14[[#This Row],[Year]],Annulment&gt;Table14[[#This Row],[Year]],Changes!ChangeType="Paid-Up"),db!U12+0.02,db!U12)))),0)</f>
        <v>3521135750</v>
      </c>
      <c r="CE10" s="40">
        <f>ROUND(IF(B10=0,0,((CC10)*(1+db!Y12))+((CE9)*(1+db!U12))),0)</f>
        <v>3521135750</v>
      </c>
      <c r="CF10" s="40">
        <f t="shared" si="19"/>
        <v>3521136000</v>
      </c>
      <c r="CG10" s="15">
        <f t="shared" si="15"/>
        <v>9</v>
      </c>
      <c r="CH10" s="39">
        <f>IF(B10=0,0,((CC10)*(1+db!AH12))+((CH9)*(1+db!AD12)))</f>
        <v>4157574009.0486794</v>
      </c>
      <c r="CI10" s="39">
        <f>IF(B10=0,0,((CC10)*(1+db!AH12))+((CI9)*(1+db!AD12)))</f>
        <v>4157574009.0486794</v>
      </c>
      <c r="CJ10" s="40">
        <f>IF(B10=0,0,((CC10)*(1+db!AO12))+((CJ9)*(1+db!AK12)))</f>
        <v>4516016505.3022881</v>
      </c>
      <c r="CK10" s="40">
        <f>CJ10-(SUM(BX$7:$BX11))</f>
        <v>4516016505.3022881</v>
      </c>
      <c r="CL10" s="46"/>
    </row>
    <row r="11" spans="1:95">
      <c r="A11" s="347">
        <f t="shared" si="16"/>
        <v>10</v>
      </c>
      <c r="B11" s="345">
        <f>IF(AND(Changes!Change="Yes", Changes!ChangeType="Change Contract Duration"),IF(B10=0,0,IF(Changes!NewChangedValue&lt;B10+1,0,B10+1)),IF(B10=0,0,IF('Application Annually'!$C$5&lt;B10+1,0,B10+1)))</f>
        <v>10</v>
      </c>
      <c r="C11" s="15">
        <f t="shared" si="17"/>
        <v>37</v>
      </c>
      <c r="D11" s="312">
        <f t="shared" si="18"/>
        <v>37</v>
      </c>
      <c r="E11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40</v>
      </c>
      <c r="F11" s="29">
        <f t="shared" si="8"/>
        <v>515978000</v>
      </c>
      <c r="G11" s="29">
        <f t="shared" si="9"/>
        <v>515978000</v>
      </c>
      <c r="H11" s="29">
        <f t="shared" si="0"/>
        <v>557256000</v>
      </c>
      <c r="I11" s="29">
        <f>IF(B11&gt;0,IF(AND(Table14[[#This Row],[Year]]&gt;Changes!ValidityYear,Changes!Change="Yes",Changes!ChangeType="Change Value Adjustment"),Changes!$G$22,'Application Annually'!$C$11),0)</f>
        <v>15</v>
      </c>
      <c r="J11" s="29">
        <f>IF(B11&gt;0,IF(AND(Table14[[#This Row],[Year]]&gt;Changes!ValidityYear,Changes!Change="Yes",Changes!ChangeType="Change Value Adjustment"),Changes!$G$24,'Application Annually'!$C$7),0)</f>
        <v>20</v>
      </c>
      <c r="K11" s="29">
        <f>ROUND(IF(B11=0,0,IF(AND(Changes!Change="Yes", Changes!ValidityYear=Table14[[#This Row],[Year]], Changes!ChangeType="Change Premium"), Changes!NewChangedValue, (K10*(1+db!$B$3)))),0)</f>
        <v>515978035</v>
      </c>
      <c r="L11" s="29">
        <f>ROUND(IF(B11=0,0,IF(AND(Changes!Change="Yes", Changes!ValidityYear=Table14[[#This Row],[Year]], Changes!ChangeType="Change Premium"), Changes!NewChangedValue, (L10*(1+Table14[[#This Row],[Adjustment Factor of Premium]]/100)))),0)</f>
        <v>515978035</v>
      </c>
      <c r="M11" s="29">
        <f>IF(Table14[[#This Row],[Year]]=1,ROUND(MIN($L$2 -( Table14[[#This Row],[Riders Risk Premiums]] + Table14[[#This Row],[Acquisition Cost]]) *0.75,Table14[[#This Row],[Death Capital (1)]]* 0.03),0),0)</f>
        <v>0</v>
      </c>
      <c r="N11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1" s="29">
        <f>ROUND(IF(ROW()-1&gt;InsurancePeriod,0,(O10*(1+(Table14[[#This Row],[Adjustment Factor of Premium]]/100)))),0)</f>
        <v>515978035</v>
      </c>
      <c r="P11" s="29">
        <f>IF(Table14[Year] = 0, 0, SUM(L$2:L11))</f>
        <v>2595868211</v>
      </c>
      <c r="Q11" s="17">
        <f t="shared" si="1"/>
        <v>2000000000</v>
      </c>
      <c r="R11" s="17">
        <f>IF(Table14[[#This Row],[Year]]=0,0,IF($C$2&lt;=50,LOOKUP(Table14[[#This Row],[Age]],db!BG12:BG118,db!BH12:BH118),LOOKUP(Table14[[#This Row],[Age]],db!BJ12:BJ118,db!BK12:BK118)))</f>
        <v>2000000000</v>
      </c>
      <c r="S11" s="17">
        <f>IF(B11=0,0, IF(AND(Changes!Change="Yes", Changes!ValidityYear=Table14[[#This Row],[Year]], Changes!ChangeType="Change Death Capital"), Changes!NewChangedValue, S10*(1+(Table14[[#This Row],[Adjustment Factor of Death Capital]]/100))))</f>
        <v>3517876291.9199195</v>
      </c>
      <c r="T11" s="17">
        <f>MIN(IF(B11=0,0,Table14[[#This Row],[Death Capital (1)]]),Table14[[#This Row],[Max Sum Insured For Death]])</f>
        <v>2000000000</v>
      </c>
      <c r="U11" s="29">
        <f t="shared" si="10"/>
        <v>2000000000</v>
      </c>
      <c r="V11" s="29">
        <f>IF(B11=0,0,IF(AND(Changes!Change="Yes", Changes!ValidityYear&lt;=Table14[[#This Row],[Year]], Changes!ChangeType="Rider Inclusion/Exclusion", Changes!RiderType="Accident Death"), T11*Changes!NewChangedValue,IF(db!$D$6="Yes",(db!$B$6)*T11,0)))</f>
        <v>2000000000</v>
      </c>
      <c r="W11" s="29">
        <f>MIN(IF(V11&lt;=db!$L$2,V11,db!$L$2),MAX_ACC_CAPITAL)</f>
        <v>2000000000</v>
      </c>
      <c r="X11" s="17">
        <f>IF(OR(B11=0,Table14[[#This Row],[Accident Capital (2)]]=0),0,IF(AND(Changes!Change="Yes", Changes!ValidityYear&lt;=Table14[[#This Row],[Year]], Changes!ChangeType="Rider Inclusion/Exclusion", Changes!RiderType="Accident Disability"), T11*Changes!NewChangedValue,IF(db!$D$7="Yes",(db!$B$7)*T11,0)))</f>
        <v>1000000000</v>
      </c>
      <c r="Y11" s="42">
        <f>IF(C11&gt;69,0,IF(C11=0,0,IF(X11&lt;=db!$L$3,X11,db!$L$3)))</f>
        <v>1000000000</v>
      </c>
      <c r="Z11" s="29">
        <f>IF(OR(B11=0,Table14[[#This Row],[Accident Capital (2)]]=0),0,IF(AND(Changes!Change="Yes", Changes!ValidityYear&lt;=Table14[[#This Row],[Year]], Changes!ChangeType="Rider Inclusion/Exclusion", Changes!RiderType="Accident Medical Cost"), T11*Changes!NewChangedValue,IF(db!$D$9="Yes",(db!$B$9)*T11,0)))</f>
        <v>400000000</v>
      </c>
      <c r="AA11" s="29">
        <f>ROUND(IF(C11&gt;69,0,IF(C11=0,0,IF(Z11&lt;=db!$L$4,Z11,db!$L$4))),0)</f>
        <v>50000000</v>
      </c>
      <c r="AB11" s="38">
        <f>IF(AND(Changes!Change = "Yes", Changes!ChangeType = "Rider Inclusion/Exclusion", Changes!RiderType = "WOP"), IF( Changes!ValidityYear &lt;= Table14[[#This Row],[Year]], IF(WOP = "Yes", 0, 1),  IF(WOP = "Yes", 1, 0)), IF(AND(db!$D$8="Yes",C11&lt;=69,ROW()-1&lt;=InsurancePeriod), 1, 0))</f>
        <v>1</v>
      </c>
      <c r="AC11" s="17">
        <f>(AC12+K12)*AB11*((1)/(1+db!AA13))*(LOOKUP(C11,'Mortality Table'!$A$2:$A$108,'Mortality Table'!$E$2:$E$108))</f>
        <v>3201666877.5339417</v>
      </c>
      <c r="AD11" s="340">
        <f>IF(AND(Changes!ValidityYear&lt;= Table14[[#This Row],[Year]],Changes!ChangeType="Change Value Adjustment",Changes!Change="Yes"), (AD12+L12)*AB11*((1)/(1+db!AA13))*(LOOKUP(C11,'Mortality Table'!$A$2:$A$108,'Mortality Table'!$E$2:$E$108)),Table14[[#This Row],[WOP Before Adj. BT]])</f>
        <v>3201666877.5339417</v>
      </c>
      <c r="AE11" s="341">
        <f>IF(AND(Changes!Change="Yes", Changes!ChangeType="Change Value Adjustment"),Table14[[#This Row],[WOP Capital]],(AE12+O12)*AB11*((1)/(1+db!AA13))*(LOOKUP(D11,'Mortality Table'!$A$2:$A$108,'Mortality Table'!$E$2:$E$108)))</f>
        <v>3201666877.5339417</v>
      </c>
      <c r="AF11" s="17">
        <f>IF(AND(Changes!Change="Yes", Changes!ValidityYear&lt;=ROW()-1),Table14[[#This Row],[WOP Capital]],Table14[[#This Row],[WOP without change]])</f>
        <v>3201666877.5339417</v>
      </c>
      <c r="AG11" s="42">
        <f>IF(AND(Changes!Change="Yes", Changes!ValidityYear&lt;=Table14[[#This Row],[Year]], Changes!ChangeType="Rider Inclusion/Exclusion", Changes!RiderType="Disability Annuity"), L11*Changes!NewChangedValue,L11*db!B$10*IF(db!$D$10="Yes",1,0))</f>
        <v>1031956070</v>
      </c>
      <c r="AH11" s="29">
        <f>Table14[[#This Row],[Code Annuity Capital]]*IF('Annual Calculation'!C11&gt;69,0,(LOOKUP('Annual Calculation'!C11+1,'Mortality Table'!$A$2:$A$108,'Mortality Table'!$O$2:$O$108)-LOOKUP('Annual Calculation'!C11+11,'Mortality Table'!$A$2:$A$108,'Mortality Table'!$O$2:$O$108))/LOOKUP('Annual Calculation'!C11,'Mortality Table'!$A$2:$A$108,'Mortality Table'!$M$2:$M$108))</f>
        <v>6254794905.5816526</v>
      </c>
      <c r="AI11" s="17">
        <f>IF(B11=0,0,IF(AND(Changes!Change="Yes", Changes!ValidityYear&lt;=Table14[[#This Row],[Year]], Changes!ChangeType="Rider Inclusion/Exclusion", Changes!RiderType="Dread Disease"), T11*Changes!NewChangedValue,IF(db!$D$11="Yes",(db!$B$11)*T11,0)))</f>
        <v>300000000</v>
      </c>
      <c r="AJ11" s="42">
        <f>ROUND(IF(C11&gt;59,0,IF(C11=0,0,IF(AI11&lt;=db!$L$5,AI11,db!$L$5))),0)</f>
        <v>200000000</v>
      </c>
      <c r="AK11" s="29">
        <f>IF(B11=0,0,IF(AND(Changes!Change="Yes", Changes!ValidityYear&lt;=Table14[[#This Row],[Year]], Changes!ChangeType="Rider Inclusion/Exclusion", Changes!RiderType="Cancer"), T11*Changes!NewChangedValue,IF(db!$D$12="Yes",(db!$B$12)*T11,0)))</f>
        <v>500000000</v>
      </c>
      <c r="AL11" s="29">
        <f>ROUND(IF(C11&gt;59,0,IF(C11=0,0,IF(AK11&lt;=db!$L$6,AK11,db!$L$6))),0)</f>
        <v>300000000</v>
      </c>
      <c r="AM11" s="32"/>
      <c r="AN11" s="18">
        <f>IF(B11=0,0,IF(C11&lt;(db!$E$2+5),LOOKUP(C11,'Mortality Table'!$A$2:$A$108,'Mortality Table'!$P$2:$P$108),IF((C11&gt;=db!$E$2+10),LOOKUP(C11,'Mortality Table'!$A$2:$A$108,'Mortality Table'!$R$2:$R$108),LOOKUP(C11,'Mortality Table'!$A$2:$A$108,'Mortality Table'!$Q$2:$Q$108))))</f>
        <v>2.2076206138745983E-3</v>
      </c>
      <c r="AO11" s="22">
        <f t="shared" si="2"/>
        <v>4415241</v>
      </c>
      <c r="AP11" s="19">
        <f>IF(B11=0,0, LOOKUP(IF(AND(Changes!Change="Yes", Changes!ValidityYear&lt;=Table14[[#This Row],[Year]], Changes!ChangeType="Change Job Class"),Changes!NewChangedValue, db!$A$8),db!$AX$4:$AX$8,db!$AY$4:$AY$8))</f>
        <v>0.6</v>
      </c>
      <c r="AQ11" s="20">
        <f>ROUND((AP11/1000)*W11 * (1-db!$AS$9),0)</f>
        <v>906000</v>
      </c>
      <c r="AR11" s="20">
        <f>(AP11/1000)*W11 * db!$AS$9</f>
        <v>294000</v>
      </c>
      <c r="AS11" s="21">
        <f>IF(B11=0,0, LOOKUP(IF(AND(Changes!Change="Yes", Changes!ValidityYear&lt;=Table14[[#This Row],[Year]], Changes!ChangeType="Change Job Class"),Changes!NewChangedValue, db!$A$8),db!$AX$4:$AX$8,db!$AZ$4:$AZ$8))</f>
        <v>0.6</v>
      </c>
      <c r="AT11" s="22">
        <f>(AS11/1000)*Y11*(1-db!$AS$9)</f>
        <v>453000</v>
      </c>
      <c r="AU11" s="22">
        <f>(AS11/1000)*Y11*(db!$AS$9)</f>
        <v>147000</v>
      </c>
      <c r="AV11" s="23">
        <f>IF(B11=0,0, LOOKUP(IF(AND(Changes!Change="Yes", Changes!ValidityYear&lt;=Table14[[#This Row],[Year]], Changes!ChangeType="Change Job Class"),Changes!NewChangedValue, db!$A$8),db!$AX$4:$AX$8,db!$BA$4:$BA$8))</f>
        <v>0.8</v>
      </c>
      <c r="AW11" s="20">
        <f>ROUND((AV11/(100))*AA11*(1-db!$AS$9),0)</f>
        <v>302000</v>
      </c>
      <c r="AX11" s="20">
        <f>ROUND((AV11/(100))*AA11*(db!$AS$9),0)</f>
        <v>98000</v>
      </c>
      <c r="AY11" s="21">
        <f>IF(db!$D$8="Yes",AS11,0)</f>
        <v>0.6</v>
      </c>
      <c r="AZ11" s="22">
        <f>(AY11*AF11)/1000*(1-db!$AS$9)</f>
        <v>1450355.0955228757</v>
      </c>
      <c r="BA11" s="22">
        <f>(AY11*AF11)/1000*(db!$AS$9)</f>
        <v>470645.0309974894</v>
      </c>
      <c r="BB11" s="23">
        <f t="shared" si="3"/>
        <v>0.6</v>
      </c>
      <c r="BC11" s="20">
        <f>(BB11*AH11/1000)*(1-db!$AS$9)</f>
        <v>2833422.0922284885</v>
      </c>
      <c r="BD11" s="20">
        <f>(BB11*AH11/1000)*(db!$AS$9)</f>
        <v>919454.8511205028</v>
      </c>
      <c r="BE11" s="22">
        <f>IF(B11=0,0,IF(C11&gt;60,0,LOOKUP(Table14[[#This Row],[Medical
Age]],db!$BC$3:$BC$63,db!$BD$3:$BD$63)))</f>
        <v>1500</v>
      </c>
      <c r="BF11" s="22">
        <f>BG11*db!$AS$10</f>
        <v>30000</v>
      </c>
      <c r="BG11" s="22">
        <f t="shared" si="4"/>
        <v>300000</v>
      </c>
      <c r="BH11" s="22">
        <f>(BE11/1000000)*AJ11*(1-db!$AS$10)</f>
        <v>270000</v>
      </c>
      <c r="BI11" s="20">
        <f>IF(B11=0,0,IF(C11&gt;59,0,LOOKUP(Table14[[#This Row],[Medical
Age]],db!$BC$3:$BC$63,db!$BE$3:$BE$63)))</f>
        <v>1500</v>
      </c>
      <c r="BJ11" s="20">
        <f>(BI11/1000000)*AL11*(1-db!$AS$11)</f>
        <v>405000</v>
      </c>
      <c r="BK11" s="20">
        <f>(BI11/1000000)*AL11*(db!$AS$11)</f>
        <v>45000</v>
      </c>
      <c r="BL11" s="19">
        <f>IF(Table14[Year]=0,0,IF(AND(Changes!Change="Yes", Changes!ValidityYear&lt;=Table14[[#This Row],[Year]], Changes!ChangeType="Change Risk Loading"), LOOKUP(Table14[Age],RiskLoadingChange!A$3:A$109,RiskLoadingChange!DP$3:DP$109), LOOKUP(Table14[Age],RiskLoading!A$3:A$109,RiskLoading!DP$3:DP$109)))</f>
        <v>4.4976120936738055E-4</v>
      </c>
      <c r="BM11" s="20">
        <f>Table14[[#This Row],[RiskLoading
Rate]]*Table14[[#This Row],[Death Capital (2)]]</f>
        <v>899522.41873476107</v>
      </c>
      <c r="BN11" s="36"/>
      <c r="BO11" s="37">
        <f t="shared" si="5"/>
        <v>4415241</v>
      </c>
      <c r="BP11" s="35">
        <f t="shared" si="6"/>
        <v>5944777.187751364</v>
      </c>
      <c r="BQ11" s="35">
        <f t="shared" si="7"/>
        <v>1929099.8821179923</v>
      </c>
      <c r="BR11" s="37">
        <f t="shared" si="11"/>
        <v>675000</v>
      </c>
      <c r="BS11" s="37">
        <f t="shared" si="12"/>
        <v>75000</v>
      </c>
      <c r="BT11" s="35">
        <f t="shared" si="13"/>
        <v>6619777</v>
      </c>
      <c r="BU11" s="35">
        <f t="shared" si="14"/>
        <v>2004100</v>
      </c>
      <c r="BV11" s="37">
        <f>(db!$AS$4/100)*(L11-BT11-BU11)</f>
        <v>7610312.3700000001</v>
      </c>
      <c r="BW11" s="37">
        <f>(db!$AS$8/100)*(L11-BT11-BU11)</f>
        <v>15220624.74</v>
      </c>
      <c r="BX11" s="35"/>
      <c r="BY11" s="37"/>
      <c r="BZ11" s="37"/>
      <c r="CA11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36769578</v>
      </c>
      <c r="CB11" s="33"/>
      <c r="CC11" s="39">
        <f>ROUND((Table14[[#This Row],[Premium]]-Table14[[#This Row],[All Deductions]]),0)</f>
        <v>479208457</v>
      </c>
      <c r="CD11" s="40">
        <f>ROUND(IF(B11=0,0,((CC11)*(1+ IF(AND(Changes!Change="Yes",Changes!ValidityYear&lt;=Table14[[#This Row],[Year]],Annulment&gt;Table14[[#This Row],[Year]],Changes!ChangeType="Paid-Up"),db!Y13+0.02,db!Y13)))+((CD10)*(1+IF(AND(Changes!Change="Yes",Changes!ValidityYear&lt;=Table14[[#This Row],[Year]],Annulment&gt;Table14[[#This Row],[Year]],Changes!ChangeType="Paid-Up"),db!U13+0.02,db!U13)))),0)</f>
        <v>4600395838</v>
      </c>
      <c r="CE11" s="40">
        <f>ROUND(IF(B11=0,0,((CC11)*(1+db!Y13))+((CE10)*(1+db!U13))),0)</f>
        <v>4600395838</v>
      </c>
      <c r="CF11" s="40">
        <f t="shared" si="19"/>
        <v>4600396000</v>
      </c>
      <c r="CG11" s="15">
        <f t="shared" si="15"/>
        <v>10</v>
      </c>
      <c r="CH11" s="39">
        <f>IF(B11=0,0,((CC11)*(1+db!AH13))+((CH10)*(1+db!AD13)))</f>
        <v>5564138959.2584143</v>
      </c>
      <c r="CI11" s="39">
        <f>IF(B11=0,0,((CC11)*(1+db!AH13))+((CI10)*(1+db!AD13)))</f>
        <v>5564138959.2584143</v>
      </c>
      <c r="CJ11" s="40">
        <f>IF(B11=0,0,((CC11)*(1+db!AO13))+((CJ10)*(1+db!AK13)))</f>
        <v>6094174454.008791</v>
      </c>
      <c r="CK11" s="40">
        <f>CJ11-(SUM(BX$7:$BX12))</f>
        <v>6094174454.008791</v>
      </c>
      <c r="CL11" s="46"/>
    </row>
    <row r="12" spans="1:95">
      <c r="A12" s="347">
        <f t="shared" si="16"/>
        <v>11</v>
      </c>
      <c r="B12" s="345">
        <f>IF(AND(Changes!Change="Yes", Changes!ChangeType="Change Contract Duration"),IF(B11=0,0,IF(Changes!NewChangedValue&lt;B11+1,0,B11+1)),IF(B11=0,0,IF('Application Annually'!$C$5&lt;B11+1,0,B11+1)))</f>
        <v>11</v>
      </c>
      <c r="C12" s="15">
        <f t="shared" si="17"/>
        <v>38</v>
      </c>
      <c r="D12" s="312">
        <f t="shared" si="18"/>
        <v>38</v>
      </c>
      <c r="E12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41</v>
      </c>
      <c r="F12" s="29">
        <f t="shared" si="8"/>
        <v>619174000</v>
      </c>
      <c r="G12" s="29">
        <f t="shared" si="9"/>
        <v>619174000</v>
      </c>
      <c r="H12" s="29">
        <f t="shared" si="0"/>
        <v>668708000</v>
      </c>
      <c r="I12" s="29">
        <f>IF(B12&gt;0,IF(AND(Table14[[#This Row],[Year]]&gt;Changes!ValidityYear,Changes!Change="Yes",Changes!ChangeType="Change Value Adjustment"),Changes!$G$22,'Application Annually'!$C$11),0)</f>
        <v>15</v>
      </c>
      <c r="J12" s="29">
        <f>IF(B12&gt;0,IF(AND(Table14[[#This Row],[Year]]&gt;Changes!ValidityYear,Changes!Change="Yes",Changes!ChangeType="Change Value Adjustment"),Changes!$G$24,'Application Annually'!$C$7),0)</f>
        <v>20</v>
      </c>
      <c r="K12" s="29">
        <f>ROUND(IF(B12=0,0,IF(AND(Changes!Change="Yes", Changes!ValidityYear=Table14[[#This Row],[Year]], Changes!ChangeType="Change Premium"), Changes!NewChangedValue, (K11*(1+db!$B$3)))),0)</f>
        <v>619173642</v>
      </c>
      <c r="L12" s="29">
        <f>ROUND(IF(B12=0,0,IF(AND(Changes!Change="Yes", Changes!ValidityYear=Table14[[#This Row],[Year]], Changes!ChangeType="Change Premium"), Changes!NewChangedValue, (L11*(1+Table14[[#This Row],[Adjustment Factor of Premium]]/100)))),0)</f>
        <v>619173642</v>
      </c>
      <c r="M12" s="29">
        <f>IF(Table14[[#This Row],[Year]]=1,ROUND(MIN($L$2 -( Table14[[#This Row],[Riders Risk Premiums]] + Table14[[#This Row],[Acquisition Cost]]) *0.75,Table14[[#This Row],[Death Capital (1)]]* 0.03),0),0)</f>
        <v>0</v>
      </c>
      <c r="N12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2" s="29">
        <f>ROUND(IF(ROW()-1&gt;InsurancePeriod,0,(O11*(1+(Table14[[#This Row],[Adjustment Factor of Premium]]/100)))),0)</f>
        <v>619173642</v>
      </c>
      <c r="P12" s="29">
        <f>IF(Table14[Year] = 0, 0, SUM(L$2:L12))</f>
        <v>3215041853</v>
      </c>
      <c r="Q12" s="17">
        <f t="shared" si="1"/>
        <v>2000000000</v>
      </c>
      <c r="R12" s="17">
        <f>IF(Table14[[#This Row],[Year]]=0,0,IF($C$2&lt;=50,LOOKUP(Table14[[#This Row],[Age]],db!BG13:BG119,db!BH13:BH119),LOOKUP(Table14[[#This Row],[Age]],db!BJ13:BJ119,db!BK13:BK119)))</f>
        <v>2000000000</v>
      </c>
      <c r="S12" s="17">
        <f>IF(B12=0,0, IF(AND(Changes!Change="Yes", Changes!ValidityYear=Table14[[#This Row],[Year]], Changes!ChangeType="Change Death Capital"), Changes!NewChangedValue, S11*(1+(Table14[[#This Row],[Adjustment Factor of Death Capital]]/100))))</f>
        <v>4045557735.7079072</v>
      </c>
      <c r="T12" s="17">
        <f>MIN(IF(B12=0,0,Table14[[#This Row],[Death Capital (1)]]),Table14[[#This Row],[Max Sum Insured For Death]])</f>
        <v>2000000000</v>
      </c>
      <c r="U12" s="29">
        <f t="shared" si="10"/>
        <v>2000000000</v>
      </c>
      <c r="V12" s="29">
        <f>IF(B12=0,0,IF(AND(Changes!Change="Yes", Changes!ValidityYear&lt;=Table14[[#This Row],[Year]], Changes!ChangeType="Rider Inclusion/Exclusion", Changes!RiderType="Accident Death"), T12*Changes!NewChangedValue,IF(db!$D$6="Yes",(db!$B$6)*T12,0)))</f>
        <v>2000000000</v>
      </c>
      <c r="W12" s="29">
        <f>MIN(IF(V12&lt;=db!$L$2,V12,db!$L$2),MAX_ACC_CAPITAL)</f>
        <v>2000000000</v>
      </c>
      <c r="X12" s="17">
        <f>IF(OR(B12=0,Table14[[#This Row],[Accident Capital (2)]]=0),0,IF(AND(Changes!Change="Yes", Changes!ValidityYear&lt;=Table14[[#This Row],[Year]], Changes!ChangeType="Rider Inclusion/Exclusion", Changes!RiderType="Accident Disability"), T12*Changes!NewChangedValue,IF(db!$D$7="Yes",(db!$B$7)*T12,0)))</f>
        <v>1000000000</v>
      </c>
      <c r="Y12" s="42">
        <f>IF(C12&gt;69,0,IF(C12=0,0,IF(X12&lt;=db!$L$3,X12,db!$L$3)))</f>
        <v>1000000000</v>
      </c>
      <c r="Z12" s="29">
        <f>IF(OR(B12=0,Table14[[#This Row],[Accident Capital (2)]]=0),0,IF(AND(Changes!Change="Yes", Changes!ValidityYear&lt;=Table14[[#This Row],[Year]], Changes!ChangeType="Rider Inclusion/Exclusion", Changes!RiderType="Accident Medical Cost"), T12*Changes!NewChangedValue,IF(db!$D$9="Yes",(db!$B$9)*T12,0)))</f>
        <v>400000000</v>
      </c>
      <c r="AA12" s="29">
        <f>ROUND(IF(C12&gt;69,0,IF(C12=0,0,IF(Z12&lt;=db!$L$4,Z12,db!$L$4))),0)</f>
        <v>50000000</v>
      </c>
      <c r="AB12" s="38">
        <f>IF(AND(Changes!Change = "Yes", Changes!ChangeType = "Rider Inclusion/Exclusion", Changes!RiderType = "WOP"), IF( Changes!ValidityYear &lt;= Table14[[#This Row],[Year]], IF(WOP = "Yes", 0, 1),  IF(WOP = "Yes", 1, 0)), IF(AND(db!$D$8="Yes",C12&lt;=69,ROW()-1&lt;=InsurancePeriod), 1, 0))</f>
        <v>1</v>
      </c>
      <c r="AC12" s="17">
        <f>(AC13+K13)*AB12*((1)/(1+db!AA14))*(LOOKUP(C12,'Mortality Table'!$A$2:$A$108,'Mortality Table'!$E$2:$E$108))</f>
        <v>3071480556.4683061</v>
      </c>
      <c r="AD12" s="340">
        <f>IF(AND(Changes!ValidityYear&lt;= Table14[[#This Row],[Year]],Changes!ChangeType="Change Value Adjustment",Changes!Change="Yes"), (AD13+L13)*AB12*((1)/(1+db!AA14))*(LOOKUP(C12,'Mortality Table'!$A$2:$A$108,'Mortality Table'!$E$2:$E$108)),Table14[[#This Row],[WOP Before Adj. BT]])</f>
        <v>3071480556.4683061</v>
      </c>
      <c r="AE12" s="341">
        <f>IF(AND(Changes!Change="Yes", Changes!ChangeType="Change Value Adjustment"),Table14[[#This Row],[WOP Capital]],(AE13+O13)*AB12*((1)/(1+db!AA14))*(LOOKUP(D12,'Mortality Table'!$A$2:$A$108,'Mortality Table'!$E$2:$E$108)))</f>
        <v>3071480556.4683061</v>
      </c>
      <c r="AF12" s="17">
        <f>IF(AND(Changes!Change="Yes", Changes!ValidityYear&lt;=ROW()-1),Table14[[#This Row],[WOP Capital]],Table14[[#This Row],[WOP without change]])</f>
        <v>3071480556.4683061</v>
      </c>
      <c r="AG12" s="42">
        <f>IF(AND(Changes!Change="Yes", Changes!ValidityYear&lt;=Table14[[#This Row],[Year]], Changes!ChangeType="Rider Inclusion/Exclusion", Changes!RiderType="Disability Annuity"), L12*Changes!NewChangedValue,L12*db!B$10*IF(db!$D$10="Yes",1,0))</f>
        <v>1238347284</v>
      </c>
      <c r="AH12" s="29">
        <f>Table14[[#This Row],[Code Annuity Capital]]*IF('Annual Calculation'!C12&gt;69,0,(LOOKUP('Annual Calculation'!C12+1,'Mortality Table'!$A$2:$A$108,'Mortality Table'!$O$2:$O$108)-LOOKUP('Annual Calculation'!C12+11,'Mortality Table'!$A$2:$A$108,'Mortality Table'!$O$2:$O$108))/LOOKUP('Annual Calculation'!C12,'Mortality Table'!$A$2:$A$108,'Mortality Table'!$M$2:$M$108))</f>
        <v>7497946240.2783499</v>
      </c>
      <c r="AI12" s="17">
        <f>IF(B12=0,0,IF(AND(Changes!Change="Yes", Changes!ValidityYear&lt;=Table14[[#This Row],[Year]], Changes!ChangeType="Rider Inclusion/Exclusion", Changes!RiderType="Dread Disease"), T12*Changes!NewChangedValue,IF(db!$D$11="Yes",(db!$B$11)*T12,0)))</f>
        <v>300000000</v>
      </c>
      <c r="AJ12" s="42">
        <f>ROUND(IF(C12&gt;59,0,IF(C12=0,0,IF(AI12&lt;=db!$L$5,AI12,db!$L$5))),0)</f>
        <v>200000000</v>
      </c>
      <c r="AK12" s="29">
        <f>IF(B12=0,0,IF(AND(Changes!Change="Yes", Changes!ValidityYear&lt;=Table14[[#This Row],[Year]], Changes!ChangeType="Rider Inclusion/Exclusion", Changes!RiderType="Cancer"), T12*Changes!NewChangedValue,IF(db!$D$12="Yes",(db!$B$12)*T12,0)))</f>
        <v>500000000</v>
      </c>
      <c r="AL12" s="29">
        <f>ROUND(IF(C12&gt;59,0,IF(C12=0,0,IF(AK12&lt;=db!$L$6,AK12,db!$L$6))),0)</f>
        <v>300000000</v>
      </c>
      <c r="AM12" s="32"/>
      <c r="AN12" s="18">
        <f>IF(B12=0,0,IF(C12&lt;(db!$E$2+5),LOOKUP(C12,'Mortality Table'!$A$2:$A$108,'Mortality Table'!$P$2:$P$108),IF((C12&gt;=db!$E$2+10),LOOKUP(C12,'Mortality Table'!$A$2:$A$108,'Mortality Table'!$R$2:$R$108),LOOKUP(C12,'Mortality Table'!$A$2:$A$108,'Mortality Table'!$Q$2:$Q$108))))</f>
        <v>2.4027533565624936E-3</v>
      </c>
      <c r="AO12" s="22">
        <f t="shared" si="2"/>
        <v>4805507</v>
      </c>
      <c r="AP12" s="19">
        <f>IF(B12=0,0, LOOKUP(IF(AND(Changes!Change="Yes", Changes!ValidityYear&lt;=Table14[[#This Row],[Year]], Changes!ChangeType="Change Job Class"),Changes!NewChangedValue, db!$A$8),db!$AX$4:$AX$8,db!$AY$4:$AY$8))</f>
        <v>0.6</v>
      </c>
      <c r="AQ12" s="20">
        <f>ROUND((AP12/1000)*W12 * (1-db!$AS$9),0)</f>
        <v>906000</v>
      </c>
      <c r="AR12" s="20">
        <f>(AP12/1000)*W12 * db!$AS$9</f>
        <v>294000</v>
      </c>
      <c r="AS12" s="21">
        <f>IF(B12=0,0, LOOKUP(IF(AND(Changes!Change="Yes", Changes!ValidityYear&lt;=Table14[[#This Row],[Year]], Changes!ChangeType="Change Job Class"),Changes!NewChangedValue, db!$A$8),db!$AX$4:$AX$8,db!$AZ$4:$AZ$8))</f>
        <v>0.6</v>
      </c>
      <c r="AT12" s="22">
        <f>(AS12/1000)*Y12*(1-db!$AS$9)</f>
        <v>453000</v>
      </c>
      <c r="AU12" s="22">
        <f>(AS12/1000)*Y12*(db!$AS$9)</f>
        <v>147000</v>
      </c>
      <c r="AV12" s="23">
        <f>IF(B12=0,0, LOOKUP(IF(AND(Changes!Change="Yes", Changes!ValidityYear&lt;=Table14[[#This Row],[Year]], Changes!ChangeType="Change Job Class"),Changes!NewChangedValue, db!$A$8),db!$AX$4:$AX$8,db!$BA$4:$BA$8))</f>
        <v>0.8</v>
      </c>
      <c r="AW12" s="20">
        <f>ROUND((AV12/(100))*AA12*(1-db!$AS$9),0)</f>
        <v>302000</v>
      </c>
      <c r="AX12" s="20">
        <f>ROUND((AV12/(100))*AA12*(db!$AS$9),0)</f>
        <v>98000</v>
      </c>
      <c r="AY12" s="21">
        <f>IF(db!$D$8="Yes",AS12,0)</f>
        <v>0.6</v>
      </c>
      <c r="AZ12" s="22">
        <f>(AY12*AF12)/1000*(1-db!$AS$9)</f>
        <v>1391380.6920801427</v>
      </c>
      <c r="BA12" s="22">
        <f>(AY12*AF12)/1000*(db!$AS$9)</f>
        <v>451507.64180084097</v>
      </c>
      <c r="BB12" s="23">
        <f t="shared" si="3"/>
        <v>0.6</v>
      </c>
      <c r="BC12" s="20">
        <f>(BB12*AH12/1000)*(1-db!$AS$9)</f>
        <v>3396569.6468460923</v>
      </c>
      <c r="BD12" s="20">
        <f>(BB12*AH12/1000)*(db!$AS$9)</f>
        <v>1102198.0973209173</v>
      </c>
      <c r="BE12" s="22">
        <f>IF(B12=0,0,IF(C12&gt;60,0,LOOKUP(Table14[[#This Row],[Medical
Age]],db!$BC$3:$BC$63,db!$BD$3:$BD$63)))</f>
        <v>2800</v>
      </c>
      <c r="BF12" s="22">
        <f>BG12*db!$AS$10</f>
        <v>56000</v>
      </c>
      <c r="BG12" s="22">
        <f t="shared" si="4"/>
        <v>560000</v>
      </c>
      <c r="BH12" s="22">
        <f>(BE12/1000000)*AJ12*(1-db!$AS$10)</f>
        <v>504000</v>
      </c>
      <c r="BI12" s="20">
        <f>IF(B12=0,0,IF(C12&gt;59,0,LOOKUP(Table14[[#This Row],[Medical
Age]],db!$BC$3:$BC$63,db!$BE$3:$BE$63)))</f>
        <v>2800</v>
      </c>
      <c r="BJ12" s="20">
        <f>(BI12/1000000)*AL12*(1-db!$AS$11)</f>
        <v>756000</v>
      </c>
      <c r="BK12" s="20">
        <f>(BI12/1000000)*AL12*(db!$AS$11)</f>
        <v>84000</v>
      </c>
      <c r="BL12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5.6432824340156042E-4</v>
      </c>
      <c r="BM12" s="20">
        <f>Table14[[#This Row],[RiskLoading
Rate]]*Table14[[#This Row],[Death Capital (2)]]</f>
        <v>1128656.4868031209</v>
      </c>
      <c r="BN12" s="36"/>
      <c r="BO12" s="37">
        <f t="shared" si="5"/>
        <v>4805507</v>
      </c>
      <c r="BP12" s="35">
        <f t="shared" si="6"/>
        <v>6448950.3389262352</v>
      </c>
      <c r="BQ12" s="35">
        <f t="shared" si="7"/>
        <v>2092705.7391217584</v>
      </c>
      <c r="BR12" s="37">
        <f t="shared" si="11"/>
        <v>1260000</v>
      </c>
      <c r="BS12" s="37">
        <f t="shared" si="12"/>
        <v>140000</v>
      </c>
      <c r="BT12" s="35">
        <f t="shared" si="13"/>
        <v>7708950</v>
      </c>
      <c r="BU12" s="35">
        <f t="shared" si="14"/>
        <v>2232706</v>
      </c>
      <c r="BV12" s="37">
        <f>(db!$AS$4/100)*(L12-BT12-BU12)</f>
        <v>9138479.7899999991</v>
      </c>
      <c r="BW12" s="37">
        <f>(db!$AS$8/100)*(L12-BT12-BU12)</f>
        <v>18276959.579999998</v>
      </c>
      <c r="BX12" s="35"/>
      <c r="BY12" s="37"/>
      <c r="BZ12" s="37"/>
      <c r="CA12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43291259</v>
      </c>
      <c r="CB12" s="33"/>
      <c r="CC12" s="39">
        <f>ROUND((Table14[[#This Row],[Premium]]-Table14[[#This Row],[All Deductions]]),0)</f>
        <v>575882383</v>
      </c>
      <c r="CD12" s="40">
        <f>ROUND(IF(B12=0,0,((CC12)*(1+ IF(AND(Changes!Change="Yes",Changes!ValidityYear&lt;=Table14[[#This Row],[Year]],Annulment&gt;Table14[[#This Row],[Year]],Changes!ChangeType="Paid-Up"),db!Y14+0.02,db!Y14)))+((CD11)*(1+IF(AND(Changes!Change="Yes",Changes!ValidityYear&lt;=Table14[[#This Row],[Year]],Annulment&gt;Table14[[#This Row],[Year]],Changes!ChangeType="Paid-Up"),db!U14+0.02,db!U14)))),0)</f>
        <v>5952719954</v>
      </c>
      <c r="CE12" s="40">
        <f>ROUND(IF(B12=0,0,((CC12)*(1+db!Y14))+((CE11)*(1+db!U14))),0)</f>
        <v>5952719954</v>
      </c>
      <c r="CF12" s="40">
        <f t="shared" si="19"/>
        <v>5952720000</v>
      </c>
      <c r="CG12" s="15">
        <f t="shared" si="15"/>
        <v>11</v>
      </c>
      <c r="CH12" s="39">
        <f>IF(B12=0,0,((CC12)*(1+db!AH14))+((CH11)*(1+db!AD14)))</f>
        <v>7368025610.7100973</v>
      </c>
      <c r="CI12" s="39">
        <f>IF(B12=0,0,((CC12)*(1+db!AH14))+((CI11)*(1+db!AD14)))</f>
        <v>7368025610.7100973</v>
      </c>
      <c r="CJ12" s="40">
        <f>IF(B12=0,0,((CC12)*(1+db!AO14))+((CJ11)*(1+db!AK14)))</f>
        <v>8137469341.1507254</v>
      </c>
      <c r="CK12" s="40">
        <f>CJ12-(SUM(BX$7:$BX13))</f>
        <v>8137469341.1507254</v>
      </c>
      <c r="CL12" s="46"/>
    </row>
    <row r="13" spans="1:95">
      <c r="A13" s="347">
        <f t="shared" si="16"/>
        <v>12</v>
      </c>
      <c r="B13" s="345">
        <f>IF(AND(Changes!Change="Yes", Changes!ChangeType="Change Contract Duration"),IF(B12=0,0,IF(Changes!NewChangedValue&lt;B12+1,0,B12+1)),IF(B12=0,0,IF('Application Annually'!$C$5&lt;B12+1,0,B12+1)))</f>
        <v>12</v>
      </c>
      <c r="C13" s="15">
        <f t="shared" si="17"/>
        <v>39</v>
      </c>
      <c r="D13" s="312">
        <f t="shared" si="18"/>
        <v>39</v>
      </c>
      <c r="E13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42</v>
      </c>
      <c r="F13" s="29">
        <f t="shared" si="8"/>
        <v>743008000</v>
      </c>
      <c r="G13" s="29">
        <f t="shared" si="9"/>
        <v>743008000</v>
      </c>
      <c r="H13" s="29">
        <f t="shared" si="0"/>
        <v>802449000</v>
      </c>
      <c r="I13" s="29">
        <f>IF(B13&gt;0,IF(AND(Table14[[#This Row],[Year]]&gt;Changes!ValidityYear,Changes!Change="Yes",Changes!ChangeType="Change Value Adjustment"),Changes!$G$22,'Application Annually'!$C$11),0)</f>
        <v>15</v>
      </c>
      <c r="J13" s="29">
        <f>IF(B13&gt;0,IF(AND(Table14[[#This Row],[Year]]&gt;Changes!ValidityYear,Changes!Change="Yes",Changes!ChangeType="Change Value Adjustment"),Changes!$G$24,'Application Annually'!$C$7),0)</f>
        <v>20</v>
      </c>
      <c r="K13" s="29">
        <f>ROUND(IF(B13=0,0,IF(AND(Changes!Change="Yes", Changes!ValidityYear=Table14[[#This Row],[Year]], Changes!ChangeType="Change Premium"), Changes!NewChangedValue, (K12*(1+db!$B$3)))),0)</f>
        <v>743008370</v>
      </c>
      <c r="L13" s="29">
        <f>ROUND(IF(B13=0,0,IF(AND(Changes!Change="Yes", Changes!ValidityYear=Table14[[#This Row],[Year]], Changes!ChangeType="Change Premium"), Changes!NewChangedValue, (L12*(1+Table14[[#This Row],[Adjustment Factor of Premium]]/100)))),0)</f>
        <v>743008370</v>
      </c>
      <c r="M13" s="29">
        <f>IF(Table14[[#This Row],[Year]]=1,ROUND(MIN($L$2 -( Table14[[#This Row],[Riders Risk Premiums]] + Table14[[#This Row],[Acquisition Cost]]) *0.75,Table14[[#This Row],[Death Capital (1)]]* 0.03),0),0)</f>
        <v>0</v>
      </c>
      <c r="N13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3" s="29">
        <f>ROUND(IF(ROW()-1&gt;InsurancePeriod,0,(O12*(1+(Table14[[#This Row],[Adjustment Factor of Premium]]/100)))),0)</f>
        <v>743008370</v>
      </c>
      <c r="P13" s="29">
        <f>IF(Table14[Year] = 0, 0, SUM(L$2:L13))</f>
        <v>3958050223</v>
      </c>
      <c r="Q13" s="17">
        <f t="shared" si="1"/>
        <v>2000000000</v>
      </c>
      <c r="R13" s="17">
        <f>IF(Table14[[#This Row],[Year]]=0,0,IF($C$2&lt;=50,LOOKUP(Table14[[#This Row],[Age]],db!BG14:BG120,db!BH14:BH120),LOOKUP(Table14[[#This Row],[Age]],db!BJ14:BJ120,db!BK14:BK120)))</f>
        <v>2000000000</v>
      </c>
      <c r="S13" s="17">
        <f>IF(B13=0,0, IF(AND(Changes!Change="Yes", Changes!ValidityYear=Table14[[#This Row],[Year]], Changes!ChangeType="Change Death Capital"), Changes!NewChangedValue, S12*(1+(Table14[[#This Row],[Adjustment Factor of Death Capital]]/100))))</f>
        <v>4652391396.0640926</v>
      </c>
      <c r="T13" s="17">
        <f>MIN(IF(B13=0,0,Table14[[#This Row],[Death Capital (1)]]),Table14[[#This Row],[Max Sum Insured For Death]])</f>
        <v>2000000000</v>
      </c>
      <c r="U13" s="29">
        <f t="shared" si="10"/>
        <v>2000000000</v>
      </c>
      <c r="V13" s="29">
        <f>IF(B13=0,0,IF(AND(Changes!Change="Yes", Changes!ValidityYear&lt;=Table14[[#This Row],[Year]], Changes!ChangeType="Rider Inclusion/Exclusion", Changes!RiderType="Accident Death"), T13*Changes!NewChangedValue,IF(db!$D$6="Yes",(db!$B$6)*T13,0)))</f>
        <v>2000000000</v>
      </c>
      <c r="W13" s="29">
        <f>MIN(IF(V13&lt;=db!$L$2,V13,db!$L$2),MAX_ACC_CAPITAL)</f>
        <v>2000000000</v>
      </c>
      <c r="X13" s="17">
        <f>IF(OR(B13=0,Table14[[#This Row],[Accident Capital (2)]]=0),0,IF(AND(Changes!Change="Yes", Changes!ValidityYear&lt;=Table14[[#This Row],[Year]], Changes!ChangeType="Rider Inclusion/Exclusion", Changes!RiderType="Accident Disability"), T13*Changes!NewChangedValue,IF(db!$D$7="Yes",(db!$B$7)*T13,0)))</f>
        <v>1000000000</v>
      </c>
      <c r="Y13" s="42">
        <f>IF(C13&gt;69,0,IF(C13=0,0,IF(X13&lt;=db!$L$3,X13,db!$L$3)))</f>
        <v>1000000000</v>
      </c>
      <c r="Z13" s="29">
        <f>IF(OR(B13=0,Table14[[#This Row],[Accident Capital (2)]]=0),0,IF(AND(Changes!Change="Yes", Changes!ValidityYear&lt;=Table14[[#This Row],[Year]], Changes!ChangeType="Rider Inclusion/Exclusion", Changes!RiderType="Accident Medical Cost"), T13*Changes!NewChangedValue,IF(db!$D$9="Yes",(db!$B$9)*T13,0)))</f>
        <v>400000000</v>
      </c>
      <c r="AA13" s="29">
        <f>ROUND(IF(C13&gt;69,0,IF(C13=0,0,IF(Z13&lt;=db!$L$4,Z13,db!$L$4))),0)</f>
        <v>50000000</v>
      </c>
      <c r="AB13" s="38">
        <f>IF(AND(Changes!Change = "Yes", Changes!ChangeType = "Rider Inclusion/Exclusion", Changes!RiderType = "WOP"), IF( Changes!ValidityYear &lt;= Table14[[#This Row],[Year]], IF(WOP = "Yes", 0, 1),  IF(WOP = "Yes", 1, 0)), IF(AND(db!$D$8="Yes",C13&lt;=69,ROW()-1&lt;=InsurancePeriod), 1, 0))</f>
        <v>1</v>
      </c>
      <c r="AC13" s="17">
        <f>(AC14+K14)*AB13*((1)/(1+db!AA15))*(LOOKUP(C13,'Mortality Table'!$A$2:$A$108,'Mortality Table'!$E$2:$E$108))</f>
        <v>2644155994.4747658</v>
      </c>
      <c r="AD13" s="340">
        <f>IF(AND(Changes!ValidityYear&lt;= Table14[[#This Row],[Year]],Changes!ChangeType="Change Value Adjustment",Changes!Change="Yes"), (AD14+L14)*AB13*((1)/(1+db!AA15))*(LOOKUP(C13,'Mortality Table'!$A$2:$A$108,'Mortality Table'!$E$2:$E$108)),Table14[[#This Row],[WOP Before Adj. BT]])</f>
        <v>2644155994.4747658</v>
      </c>
      <c r="AE13" s="341">
        <f>IF(AND(Changes!Change="Yes", Changes!ChangeType="Change Value Adjustment"),Table14[[#This Row],[WOP Capital]],(AE14+O14)*AB13*((1)/(1+db!AA15))*(LOOKUP(D13,'Mortality Table'!$A$2:$A$108,'Mortality Table'!$E$2:$E$108)))</f>
        <v>2644155994.4747658</v>
      </c>
      <c r="AF13" s="17">
        <f>IF(AND(Changes!Change="Yes", Changes!ValidityYear&lt;=ROW()-1),Table14[[#This Row],[WOP Capital]],Table14[[#This Row],[WOP without change]])</f>
        <v>2644155994.4747658</v>
      </c>
      <c r="AG13" s="42">
        <f>IF(AND(Changes!Change="Yes", Changes!ValidityYear&lt;=Table14[[#This Row],[Year]], Changes!ChangeType="Rider Inclusion/Exclusion", Changes!RiderType="Disability Annuity"), L13*Changes!NewChangedValue,L13*db!B$10*IF(db!$D$10="Yes",1,0))</f>
        <v>1486016740</v>
      </c>
      <c r="AH13" s="29">
        <f>Table14[[#This Row],[Code Annuity Capital]]*IF('Annual Calculation'!C13&gt;69,0,(LOOKUP('Annual Calculation'!C13+1,'Mortality Table'!$A$2:$A$108,'Mortality Table'!$O$2:$O$108)-LOOKUP('Annual Calculation'!C13+11,'Mortality Table'!$A$2:$A$108,'Mortality Table'!$O$2:$O$108))/LOOKUP('Annual Calculation'!C13,'Mortality Table'!$A$2:$A$108,'Mortality Table'!$M$2:$M$108))</f>
        <v>8987097046.6546764</v>
      </c>
      <c r="AI13" s="17">
        <f>IF(B13=0,0,IF(AND(Changes!Change="Yes", Changes!ValidityYear&lt;=Table14[[#This Row],[Year]], Changes!ChangeType="Rider Inclusion/Exclusion", Changes!RiderType="Dread Disease"), T13*Changes!NewChangedValue,IF(db!$D$11="Yes",(db!$B$11)*T13,0)))</f>
        <v>300000000</v>
      </c>
      <c r="AJ13" s="42">
        <f>ROUND(IF(C13&gt;59,0,IF(C13=0,0,IF(AI13&lt;=db!$L$5,AI13,db!$L$5))),0)</f>
        <v>200000000</v>
      </c>
      <c r="AK13" s="29">
        <f>IF(B13=0,0,IF(AND(Changes!Change="Yes", Changes!ValidityYear&lt;=Table14[[#This Row],[Year]], Changes!ChangeType="Rider Inclusion/Exclusion", Changes!RiderType="Cancer"), T13*Changes!NewChangedValue,IF(db!$D$12="Yes",(db!$B$12)*T13,0)))</f>
        <v>500000000</v>
      </c>
      <c r="AL13" s="29">
        <f>ROUND(IF(C13&gt;59,0,IF(C13=0,0,IF(AK13&lt;=db!$L$6,AK13,db!$L$6))),0)</f>
        <v>300000000</v>
      </c>
      <c r="AM13" s="32"/>
      <c r="AN13" s="18">
        <f>IF(B13=0,0,IF(C13&lt;(db!$E$2+5),LOOKUP(C13,'Mortality Table'!$A$2:$A$108,'Mortality Table'!$P$2:$P$108),IF((C13&gt;=db!$E$2+10),LOOKUP(C13,'Mortality Table'!$A$2:$A$108,'Mortality Table'!$R$2:$R$108),LOOKUP(C13,'Mortality Table'!$A$2:$A$108,'Mortality Table'!$Q$2:$Q$108))))</f>
        <v>2.5192280798408753E-3</v>
      </c>
      <c r="AO13" s="22">
        <f t="shared" si="2"/>
        <v>5038456</v>
      </c>
      <c r="AP13" s="19">
        <f>IF(B13=0,0, LOOKUP(IF(AND(Changes!Change="Yes", Changes!ValidityYear&lt;=Table14[[#This Row],[Year]], Changes!ChangeType="Change Job Class"),Changes!NewChangedValue, db!$A$8),db!$AX$4:$AX$8,db!$AY$4:$AY$8))</f>
        <v>0.6</v>
      </c>
      <c r="AQ13" s="20">
        <f>ROUND((AP13/1000)*W13 * (1-db!$AS$9),0)</f>
        <v>906000</v>
      </c>
      <c r="AR13" s="20">
        <f>(AP13/1000)*W13 * db!$AS$9</f>
        <v>294000</v>
      </c>
      <c r="AS13" s="21">
        <f>IF(B13=0,0, LOOKUP(IF(AND(Changes!Change="Yes", Changes!ValidityYear&lt;=Table14[[#This Row],[Year]], Changes!ChangeType="Change Job Class"),Changes!NewChangedValue, db!$A$8),db!$AX$4:$AX$8,db!$AZ$4:$AZ$8))</f>
        <v>0.6</v>
      </c>
      <c r="AT13" s="22">
        <f>(AS13/1000)*Y13*(1-db!$AS$9)</f>
        <v>453000</v>
      </c>
      <c r="AU13" s="22">
        <f>(AS13/1000)*Y13*(db!$AS$9)</f>
        <v>147000</v>
      </c>
      <c r="AV13" s="23">
        <f>IF(B13=0,0, LOOKUP(IF(AND(Changes!Change="Yes", Changes!ValidityYear&lt;=Table14[[#This Row],[Year]], Changes!ChangeType="Change Job Class"),Changes!NewChangedValue, db!$A$8),db!$AX$4:$AX$8,db!$BA$4:$BA$8))</f>
        <v>0.8</v>
      </c>
      <c r="AW13" s="20">
        <f>ROUND((AV13/(100))*AA13*(1-db!$AS$9),0)</f>
        <v>302000</v>
      </c>
      <c r="AX13" s="20">
        <f>ROUND((AV13/(100))*AA13*(db!$AS$9),0)</f>
        <v>98000</v>
      </c>
      <c r="AY13" s="21">
        <f>IF(db!$D$8="Yes",AS13,0)</f>
        <v>0.6</v>
      </c>
      <c r="AZ13" s="22">
        <f>(AY13*AF13)/1000*(1-db!$AS$9)</f>
        <v>1197802.665497069</v>
      </c>
      <c r="BA13" s="22">
        <f>(AY13*AF13)/1000*(db!$AS$9)</f>
        <v>388690.93118779059</v>
      </c>
      <c r="BB13" s="23">
        <f t="shared" si="3"/>
        <v>0.6</v>
      </c>
      <c r="BC13" s="20">
        <f>(BB13*AH13/1000)*(1-db!$AS$9)</f>
        <v>4071154.9621345685</v>
      </c>
      <c r="BD13" s="20">
        <f>(BB13*AH13/1000)*(db!$AS$9)</f>
        <v>1321103.2658582374</v>
      </c>
      <c r="BE13" s="22">
        <f>IF(B13=0,0,IF(C13&gt;60,0,LOOKUP(Table14[[#This Row],[Medical
Age]],db!$BC$3:$BC$63,db!$BD$3:$BD$63)))</f>
        <v>2800</v>
      </c>
      <c r="BF13" s="22">
        <f>BG13*db!$AS$10</f>
        <v>56000</v>
      </c>
      <c r="BG13" s="22">
        <f t="shared" si="4"/>
        <v>560000</v>
      </c>
      <c r="BH13" s="22">
        <f>(BE13/1000000)*AJ13*(1-db!$AS$10)</f>
        <v>504000</v>
      </c>
      <c r="BI13" s="20">
        <f>IF(B13=0,0,IF(C13&gt;59,0,LOOKUP(Table14[[#This Row],[Medical
Age]],db!$BC$3:$BC$63,db!$BE$3:$BE$63)))</f>
        <v>2800</v>
      </c>
      <c r="BJ13" s="20">
        <f>(BI13/1000000)*AL13*(1-db!$AS$11)</f>
        <v>756000</v>
      </c>
      <c r="BK13" s="20">
        <f>(BI13/1000000)*AL13*(db!$AS$11)</f>
        <v>84000</v>
      </c>
      <c r="BL13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6.5958796805698234E-4</v>
      </c>
      <c r="BM13" s="20">
        <f>Table14[[#This Row],[RiskLoading
Rate]]*Table14[[#This Row],[Death Capital (2)]]</f>
        <v>1319175.9361139648</v>
      </c>
      <c r="BN13" s="36"/>
      <c r="BO13" s="37">
        <f t="shared" si="5"/>
        <v>5038456</v>
      </c>
      <c r="BP13" s="35">
        <f t="shared" si="6"/>
        <v>6929957.6276316373</v>
      </c>
      <c r="BQ13" s="35">
        <f t="shared" si="7"/>
        <v>2248794.197046028</v>
      </c>
      <c r="BR13" s="37">
        <f t="shared" si="11"/>
        <v>1260000</v>
      </c>
      <c r="BS13" s="37">
        <f t="shared" si="12"/>
        <v>140000</v>
      </c>
      <c r="BT13" s="35">
        <f t="shared" si="13"/>
        <v>8189958</v>
      </c>
      <c r="BU13" s="35">
        <f t="shared" si="14"/>
        <v>2388794</v>
      </c>
      <c r="BV13" s="37">
        <f>(db!$AS$4/100)*(L13-BT13-BU13)</f>
        <v>10986444.27</v>
      </c>
      <c r="BW13" s="37">
        <f>(db!$AS$8/100)*(L13-BT13-BU13)</f>
        <v>21972888.539999999</v>
      </c>
      <c r="BX13" s="35"/>
      <c r="BY13" s="37"/>
      <c r="BZ13" s="37"/>
      <c r="CA13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49895717</v>
      </c>
      <c r="CB13" s="33"/>
      <c r="CC13" s="39">
        <f>ROUND((Table14[[#This Row],[Premium]]-Table14[[#This Row],[All Deductions]]),0)</f>
        <v>693112653</v>
      </c>
      <c r="CD13" s="40">
        <f>ROUND(IF(B13=0,0,((CC13)*(1+ IF(AND(Changes!Change="Yes",Changes!ValidityYear&lt;=Table14[[#This Row],[Year]],Annulment&gt;Table14[[#This Row],[Year]],Changes!ChangeType="Paid-Up"),db!Y15+0.02,db!Y15)))+((CD12)*(1+IF(AND(Changes!Change="Yes",Changes!ValidityYear&lt;=Table14[[#This Row],[Year]],Annulment&gt;Table14[[#This Row],[Year]],Changes!ChangeType="Paid-Up"),db!U15+0.02,db!U15)))),0)</f>
        <v>7642707498</v>
      </c>
      <c r="CE13" s="40">
        <f>ROUND(IF(B13=0,0,((CC13)*(1+db!Y15))+((CE12)*(1+db!U15))),0)</f>
        <v>7642707498</v>
      </c>
      <c r="CF13" s="40">
        <f t="shared" si="19"/>
        <v>7642707000</v>
      </c>
      <c r="CG13" s="15">
        <f t="shared" si="15"/>
        <v>12</v>
      </c>
      <c r="CH13" s="39">
        <f>IF(B13=0,0,((CC13)*(1+db!AH15))+((CH12)*(1+db!AD15)))</f>
        <v>9673365916.452116</v>
      </c>
      <c r="CI13" s="39">
        <f>IF(B13=0,0,((CC13)*(1+db!AH15))+((CI12)*(1+db!AD15)))</f>
        <v>9673365916.452116</v>
      </c>
      <c r="CJ13" s="40">
        <f>IF(B13=0,0,((CC13)*(1+db!AO15))+((CJ12)*(1+db!AK15)))</f>
        <v>10773310032.863884</v>
      </c>
      <c r="CK13" s="40">
        <f>CJ13-(SUM(BX$7:$BX14))</f>
        <v>10773310032.863884</v>
      </c>
      <c r="CL13" s="46"/>
      <c r="CQ13" s="25"/>
    </row>
    <row r="14" spans="1:95">
      <c r="A14" s="347">
        <f t="shared" si="16"/>
        <v>13</v>
      </c>
      <c r="B14" s="345">
        <f>IF(AND(Changes!Change="Yes", Changes!ChangeType="Change Contract Duration"),IF(B13=0,0,IF(Changes!NewChangedValue&lt;B13+1,0,B13+1)),IF(B13=0,0,IF('Application Annually'!$C$5&lt;B13+1,0,B13+1)))</f>
        <v>13</v>
      </c>
      <c r="C14" s="15">
        <f t="shared" si="17"/>
        <v>40</v>
      </c>
      <c r="D14" s="312">
        <f t="shared" si="18"/>
        <v>40</v>
      </c>
      <c r="E14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43</v>
      </c>
      <c r="F14" s="29">
        <f t="shared" si="8"/>
        <v>891610000</v>
      </c>
      <c r="G14" s="29">
        <f t="shared" si="9"/>
        <v>891610000</v>
      </c>
      <c r="H14" s="29">
        <f t="shared" si="0"/>
        <v>962939000</v>
      </c>
      <c r="I14" s="29">
        <f>IF(B14&gt;0,IF(AND(Table14[[#This Row],[Year]]&gt;Changes!ValidityYear,Changes!Change="Yes",Changes!ChangeType="Change Value Adjustment"),Changes!$G$22,'Application Annually'!$C$11),0)</f>
        <v>15</v>
      </c>
      <c r="J14" s="29">
        <f>IF(B14&gt;0,IF(AND(Table14[[#This Row],[Year]]&gt;Changes!ValidityYear,Changes!Change="Yes",Changes!ChangeType="Change Value Adjustment"),Changes!$G$24,'Application Annually'!$C$7),0)</f>
        <v>20</v>
      </c>
      <c r="K14" s="29">
        <f>ROUND(IF(B14=0,0,IF(AND(Changes!Change="Yes", Changes!ValidityYear=Table14[[#This Row],[Year]], Changes!ChangeType="Change Premium"), Changes!NewChangedValue, (K13*(1+db!$B$3)))),0)</f>
        <v>891610044</v>
      </c>
      <c r="L14" s="29">
        <f>ROUND(IF(B14=0,0,IF(AND(Changes!Change="Yes", Changes!ValidityYear=Table14[[#This Row],[Year]], Changes!ChangeType="Change Premium"), Changes!NewChangedValue, (L13*(1+Table14[[#This Row],[Adjustment Factor of Premium]]/100)))),0)</f>
        <v>891610044</v>
      </c>
      <c r="M14" s="29">
        <f>IF(Table14[[#This Row],[Year]]=1,ROUND(MIN($L$2 -( Table14[[#This Row],[Riders Risk Premiums]] + Table14[[#This Row],[Acquisition Cost]]) *0.75,Table14[[#This Row],[Death Capital (1)]]* 0.03),0),0)</f>
        <v>0</v>
      </c>
      <c r="N14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4" s="29">
        <f>ROUND(IF(ROW()-1&gt;InsurancePeriod,0,(O13*(1+(Table14[[#This Row],[Adjustment Factor of Premium]]/100)))),0)</f>
        <v>891610044</v>
      </c>
      <c r="P14" s="29">
        <f>IF(Table14[Year] = 0, 0, SUM(L$2:L14))</f>
        <v>4849660267</v>
      </c>
      <c r="Q14" s="17">
        <f t="shared" si="1"/>
        <v>2000000000</v>
      </c>
      <c r="R14" s="17">
        <f>IF(Table14[[#This Row],[Year]]=0,0,IF($C$2&lt;=50,LOOKUP(Table14[[#This Row],[Age]],db!BG15:BG121,db!BH15:BH121),LOOKUP(Table14[[#This Row],[Age]],db!BJ15:BJ121,db!BK15:BK121)))</f>
        <v>2000000000</v>
      </c>
      <c r="S14" s="17">
        <f>IF(B14=0,0, IF(AND(Changes!Change="Yes", Changes!ValidityYear=Table14[[#This Row],[Year]], Changes!ChangeType="Change Death Capital"), Changes!NewChangedValue, S13*(1+(Table14[[#This Row],[Adjustment Factor of Death Capital]]/100))))</f>
        <v>5350250105.4737062</v>
      </c>
      <c r="T14" s="17">
        <f>MIN(IF(B14=0,0,Table14[[#This Row],[Death Capital (1)]]),Table14[[#This Row],[Max Sum Insured For Death]])</f>
        <v>2000000000</v>
      </c>
      <c r="U14" s="29">
        <f t="shared" si="10"/>
        <v>2000000000</v>
      </c>
      <c r="V14" s="29">
        <f>IF(B14=0,0,IF(AND(Changes!Change="Yes", Changes!ValidityYear&lt;=Table14[[#This Row],[Year]], Changes!ChangeType="Rider Inclusion/Exclusion", Changes!RiderType="Accident Death"), T14*Changes!NewChangedValue,IF(db!$D$6="Yes",(db!$B$6)*T14,0)))</f>
        <v>2000000000</v>
      </c>
      <c r="W14" s="29">
        <f>MIN(IF(V14&lt;=db!$L$2,V14,db!$L$2),MAX_ACC_CAPITAL)</f>
        <v>2000000000</v>
      </c>
      <c r="X14" s="17">
        <f>IF(OR(B14=0,Table14[[#This Row],[Accident Capital (2)]]=0),0,IF(AND(Changes!Change="Yes", Changes!ValidityYear&lt;=Table14[[#This Row],[Year]], Changes!ChangeType="Rider Inclusion/Exclusion", Changes!RiderType="Accident Disability"), T14*Changes!NewChangedValue,IF(db!$D$7="Yes",(db!$B$7)*T14,0)))</f>
        <v>1000000000</v>
      </c>
      <c r="Y14" s="42">
        <f>IF(C14&gt;69,0,IF(C14=0,0,IF(X14&lt;=db!$L$3,X14,db!$L$3)))</f>
        <v>1000000000</v>
      </c>
      <c r="Z14" s="29">
        <f>IF(OR(B14=0,Table14[[#This Row],[Accident Capital (2)]]=0),0,IF(AND(Changes!Change="Yes", Changes!ValidityYear&lt;=Table14[[#This Row],[Year]], Changes!ChangeType="Rider Inclusion/Exclusion", Changes!RiderType="Accident Medical Cost"), T14*Changes!NewChangedValue,IF(db!$D$9="Yes",(db!$B$9)*T14,0)))</f>
        <v>400000000</v>
      </c>
      <c r="AA14" s="29">
        <f>ROUND(IF(C14&gt;69,0,IF(C14=0,0,IF(Z14&lt;=db!$L$4,Z14,db!$L$4))),0)</f>
        <v>50000000</v>
      </c>
      <c r="AB14" s="38">
        <f>IF(AND(Changes!Change = "Yes", Changes!ChangeType = "Rider Inclusion/Exclusion", Changes!RiderType = "WOP"), IF( Changes!ValidityYear &lt;= Table14[[#This Row],[Year]], IF(WOP = "Yes", 0, 1),  IF(WOP = "Yes", 1, 0)), IF(AND(db!$D$8="Yes",C14&lt;=69,ROW()-1&lt;=InsurancePeriod), 1, 0))</f>
        <v>1</v>
      </c>
      <c r="AC14" s="17">
        <f>(AC15+K15)*AB14*((1)/(1+db!AA16))*(LOOKUP(C14,'Mortality Table'!$A$2:$A$108,'Mortality Table'!$E$2:$E$108))</f>
        <v>2024666903.922142</v>
      </c>
      <c r="AD14" s="340">
        <f>IF(AND(Changes!ValidityYear&lt;= Table14[[#This Row],[Year]],Changes!ChangeType="Change Value Adjustment",Changes!Change="Yes"), (AD15+L15)*AB14*((1)/(1+db!AA16))*(LOOKUP(C14,'Mortality Table'!$A$2:$A$108,'Mortality Table'!$E$2:$E$108)),Table14[[#This Row],[WOP Before Adj. BT]])</f>
        <v>2024666903.922142</v>
      </c>
      <c r="AE14" s="341">
        <f>IF(AND(Changes!Change="Yes", Changes!ChangeType="Change Value Adjustment"),Table14[[#This Row],[WOP Capital]],(AE15+O15)*AB14*((1)/(1+db!AA16))*(LOOKUP(D14,'Mortality Table'!$A$2:$A$108,'Mortality Table'!$E$2:$E$108)))</f>
        <v>2024666903.922142</v>
      </c>
      <c r="AF14" s="17">
        <f>IF(AND(Changes!Change="Yes", Changes!ValidityYear&lt;=ROW()-1),Table14[[#This Row],[WOP Capital]],Table14[[#This Row],[WOP without change]])</f>
        <v>2024666903.922142</v>
      </c>
      <c r="AG14" s="42">
        <f>IF(AND(Changes!Change="Yes", Changes!ValidityYear&lt;=Table14[[#This Row],[Year]], Changes!ChangeType="Rider Inclusion/Exclusion", Changes!RiderType="Disability Annuity"), L14*Changes!NewChangedValue,L14*db!B$10*IF(db!$D$10="Yes",1,0))</f>
        <v>1783220088</v>
      </c>
      <c r="AH14" s="29">
        <f>Table14[[#This Row],[Code Annuity Capital]]*IF('Annual Calculation'!C14&gt;69,0,(LOOKUP('Annual Calculation'!C14+1,'Mortality Table'!$A$2:$A$108,'Mortality Table'!$O$2:$O$108)-LOOKUP('Annual Calculation'!C14+11,'Mortality Table'!$A$2:$A$108,'Mortality Table'!$O$2:$O$108))/LOOKUP('Annual Calculation'!C14,'Mortality Table'!$A$2:$A$108,'Mortality Table'!$M$2:$M$108))</f>
        <v>10769890659.203453</v>
      </c>
      <c r="AI14" s="17">
        <f>IF(B14=0,0,IF(AND(Changes!Change="Yes", Changes!ValidityYear&lt;=Table14[[#This Row],[Year]], Changes!ChangeType="Rider Inclusion/Exclusion", Changes!RiderType="Dread Disease"), T14*Changes!NewChangedValue,IF(db!$D$11="Yes",(db!$B$11)*T14,0)))</f>
        <v>300000000</v>
      </c>
      <c r="AJ14" s="42">
        <f>ROUND(IF(C14&gt;59,0,IF(C14=0,0,IF(AI14&lt;=db!$L$5,AI14,db!$L$5))),0)</f>
        <v>200000000</v>
      </c>
      <c r="AK14" s="29">
        <f>IF(B14=0,0,IF(AND(Changes!Change="Yes", Changes!ValidityYear&lt;=Table14[[#This Row],[Year]], Changes!ChangeType="Rider Inclusion/Exclusion", Changes!RiderType="Cancer"), T14*Changes!NewChangedValue,IF(db!$D$12="Yes",(db!$B$12)*T14,0)))</f>
        <v>500000000</v>
      </c>
      <c r="AL14" s="29">
        <f>ROUND(IF(C14&gt;59,0,IF(C14=0,0,IF(AK14&lt;=db!$L$6,AK14,db!$L$6))),0)</f>
        <v>300000000</v>
      </c>
      <c r="AM14" s="32"/>
      <c r="AN14" s="18">
        <f>IF(B14=0,0,IF(C14&lt;(db!$E$2+5),LOOKUP(C14,'Mortality Table'!$A$2:$A$108,'Mortality Table'!$P$2:$P$108),IF((C14&gt;=db!$E$2+10),LOOKUP(C14,'Mortality Table'!$A$2:$A$108,'Mortality Table'!$R$2:$R$108),LOOKUP(C14,'Mortality Table'!$A$2:$A$108,'Mortality Table'!$Q$2:$Q$108))))</f>
        <v>2.7171057257964438E-3</v>
      </c>
      <c r="AO14" s="22">
        <f t="shared" si="2"/>
        <v>5434211</v>
      </c>
      <c r="AP14" s="19">
        <f>IF(B14=0,0, LOOKUP(IF(AND(Changes!Change="Yes", Changes!ValidityYear&lt;=Table14[[#This Row],[Year]], Changes!ChangeType="Change Job Class"),Changes!NewChangedValue, db!$A$8),db!$AX$4:$AX$8,db!$AY$4:$AY$8))</f>
        <v>0.6</v>
      </c>
      <c r="AQ14" s="20">
        <f>ROUND((AP14/1000)*W14 * (1-db!$AS$9),0)</f>
        <v>906000</v>
      </c>
      <c r="AR14" s="20">
        <f>(AP14/1000)*W14 * db!$AS$9</f>
        <v>294000</v>
      </c>
      <c r="AS14" s="21">
        <f>IF(B14=0,0, LOOKUP(IF(AND(Changes!Change="Yes", Changes!ValidityYear&lt;=Table14[[#This Row],[Year]], Changes!ChangeType="Change Job Class"),Changes!NewChangedValue, db!$A$8),db!$AX$4:$AX$8,db!$AZ$4:$AZ$8))</f>
        <v>0.6</v>
      </c>
      <c r="AT14" s="22">
        <f>(AS14/1000)*Y14*(1-db!$AS$9)</f>
        <v>453000</v>
      </c>
      <c r="AU14" s="22">
        <f>(AS14/1000)*Y14*(db!$AS$9)</f>
        <v>147000</v>
      </c>
      <c r="AV14" s="23">
        <f>IF(B14=0,0, LOOKUP(IF(AND(Changes!Change="Yes", Changes!ValidityYear&lt;=Table14[[#This Row],[Year]], Changes!ChangeType="Change Job Class"),Changes!NewChangedValue, db!$A$8),db!$AX$4:$AX$8,db!$BA$4:$BA$8))</f>
        <v>0.8</v>
      </c>
      <c r="AW14" s="20">
        <f>ROUND((AV14/(100))*AA14*(1-db!$AS$9),0)</f>
        <v>302000</v>
      </c>
      <c r="AX14" s="20">
        <f>ROUND((AV14/(100))*AA14*(db!$AS$9),0)</f>
        <v>98000</v>
      </c>
      <c r="AY14" s="21">
        <f>IF(db!$D$8="Yes",AS14,0)</f>
        <v>0.6</v>
      </c>
      <c r="AZ14" s="22">
        <f>(AY14*AF14)/1000*(1-db!$AS$9)</f>
        <v>917174.10747673025</v>
      </c>
      <c r="BA14" s="22">
        <f>(AY14*AF14)/1000*(db!$AS$9)</f>
        <v>297626.03487655486</v>
      </c>
      <c r="BB14" s="23">
        <f t="shared" si="3"/>
        <v>0.6</v>
      </c>
      <c r="BC14" s="20">
        <f>(BB14*AH14/1000)*(1-db!$AS$9)</f>
        <v>4878760.4686191641</v>
      </c>
      <c r="BD14" s="20">
        <f>(BB14*AH14/1000)*(db!$AS$9)</f>
        <v>1583173.9269029077</v>
      </c>
      <c r="BE14" s="22">
        <f>IF(B14=0,0,IF(C14&gt;60,0,LOOKUP(Table14[[#This Row],[Medical
Age]],db!$BC$3:$BC$63,db!$BD$3:$BD$63)))</f>
        <v>2800</v>
      </c>
      <c r="BF14" s="22">
        <f>BG14*db!$AS$10</f>
        <v>56000</v>
      </c>
      <c r="BG14" s="22">
        <f t="shared" si="4"/>
        <v>560000</v>
      </c>
      <c r="BH14" s="22">
        <f>(BE14/1000000)*AJ14*(1-db!$AS$10)</f>
        <v>504000</v>
      </c>
      <c r="BI14" s="20">
        <f>IF(B14=0,0,IF(C14&gt;59,0,LOOKUP(Table14[[#This Row],[Medical
Age]],db!$BC$3:$BC$63,db!$BE$3:$BE$63)))</f>
        <v>2800</v>
      </c>
      <c r="BJ14" s="20">
        <f>(BI14/1000000)*AL14*(1-db!$AS$11)</f>
        <v>756000</v>
      </c>
      <c r="BK14" s="20">
        <f>(BI14/1000000)*AL14*(db!$AS$11)</f>
        <v>84000</v>
      </c>
      <c r="BL14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8.6848567919454263E-4</v>
      </c>
      <c r="BM14" s="20">
        <f>Table14[[#This Row],[RiskLoading
Rate]]*Table14[[#This Row],[Death Capital (2)]]</f>
        <v>1736971.3583890852</v>
      </c>
      <c r="BN14" s="36"/>
      <c r="BO14" s="37">
        <f t="shared" si="5"/>
        <v>5434211</v>
      </c>
      <c r="BP14" s="35">
        <f t="shared" si="6"/>
        <v>7456934.576095894</v>
      </c>
      <c r="BQ14" s="35">
        <f t="shared" si="7"/>
        <v>2419799.9617794626</v>
      </c>
      <c r="BR14" s="37">
        <f t="shared" si="11"/>
        <v>1260000</v>
      </c>
      <c r="BS14" s="37">
        <f t="shared" si="12"/>
        <v>140000</v>
      </c>
      <c r="BT14" s="35">
        <f t="shared" si="13"/>
        <v>8716935</v>
      </c>
      <c r="BU14" s="35">
        <f t="shared" si="14"/>
        <v>2559800</v>
      </c>
      <c r="BV14" s="37">
        <f>(db!$AS$4/100)*(L14-BT14-BU14)</f>
        <v>13204999.635</v>
      </c>
      <c r="BW14" s="37">
        <f>(db!$AS$8/100)*(L14-BT14-BU14)</f>
        <v>26409999.27</v>
      </c>
      <c r="BX14" s="35"/>
      <c r="BY14" s="37"/>
      <c r="BZ14" s="37"/>
      <c r="CA14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58062916</v>
      </c>
      <c r="CB14" s="33"/>
      <c r="CC14" s="39">
        <f>ROUND((Table14[[#This Row],[Premium]]-Table14[[#This Row],[All Deductions]]),0)</f>
        <v>833547128</v>
      </c>
      <c r="CD14" s="40">
        <f>ROUND(IF(B14=0,0,((CC14)*(1+ IF(AND(Changes!Change="Yes",Changes!ValidityYear&lt;=Table14[[#This Row],[Year]],Annulment&gt;Table14[[#This Row],[Year]],Changes!ChangeType="Paid-Up"),db!Y16+0.02,db!Y16)))+((CD13)*(1+IF(AND(Changes!Change="Yes",Changes!ValidityYear&lt;=Table14[[#This Row],[Year]],Annulment&gt;Table14[[#This Row],[Year]],Changes!ChangeType="Paid-Up"),db!U16+0.02,db!U16)))),0)</f>
        <v>9747692820</v>
      </c>
      <c r="CE14" s="40">
        <f>ROUND(IF(B14=0,0,((CC14)*(1+db!Y16))+((CE13)*(1+db!U16))),0)</f>
        <v>9747692820</v>
      </c>
      <c r="CF14" s="40">
        <f t="shared" si="19"/>
        <v>9747693000</v>
      </c>
      <c r="CG14" s="15">
        <f t="shared" si="15"/>
        <v>13</v>
      </c>
      <c r="CH14" s="39">
        <f>IF(B14=0,0,((CC14)*(1+db!AH16))+((CH13)*(1+db!AD16)))</f>
        <v>12608295653.342539</v>
      </c>
      <c r="CI14" s="39">
        <f>IF(B14=0,0,((CC14)*(1+db!AH16))+((CI13)*(1+db!AD16)))</f>
        <v>12608295653.342539</v>
      </c>
      <c r="CJ14" s="40">
        <f>IF(B14=0,0,((CC14)*(1+db!AO16))+((CJ13)*(1+db!AK16)))</f>
        <v>14160365736.253939</v>
      </c>
      <c r="CK14" s="40">
        <f>CJ14-(SUM(BX$7:$BX15))</f>
        <v>14160365736.253939</v>
      </c>
      <c r="CL14" s="46"/>
    </row>
    <row r="15" spans="1:95">
      <c r="A15" s="347">
        <f t="shared" si="16"/>
        <v>14</v>
      </c>
      <c r="B15" s="345">
        <f>IF(AND(Changes!Change="Yes", Changes!ChangeType="Change Contract Duration"),IF(B14=0,0,IF(Changes!NewChangedValue&lt;B14+1,0,B14+1)),IF(B14=0,0,IF('Application Annually'!$C$5&lt;B14+1,0,B14+1)))</f>
        <v>14</v>
      </c>
      <c r="C15" s="15">
        <f t="shared" si="17"/>
        <v>41</v>
      </c>
      <c r="D15" s="312">
        <f t="shared" si="18"/>
        <v>41</v>
      </c>
      <c r="E15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43</v>
      </c>
      <c r="F15" s="29">
        <f t="shared" si="8"/>
        <v>1069932000</v>
      </c>
      <c r="G15" s="29">
        <f t="shared" si="9"/>
        <v>1069932000</v>
      </c>
      <c r="H15" s="29">
        <f t="shared" si="0"/>
        <v>1155527000</v>
      </c>
      <c r="I15" s="29">
        <f>IF(B15&gt;0,IF(AND(Table14[[#This Row],[Year]]&gt;Changes!ValidityYear,Changes!Change="Yes",Changes!ChangeType="Change Value Adjustment"),Changes!$G$22,'Application Annually'!$C$11),0)</f>
        <v>15</v>
      </c>
      <c r="J15" s="29">
        <f>IF(B15&gt;0,IF(AND(Table14[[#This Row],[Year]]&gt;Changes!ValidityYear,Changes!Change="Yes",Changes!ChangeType="Change Value Adjustment"),Changes!$G$24,'Application Annually'!$C$7),0)</f>
        <v>20</v>
      </c>
      <c r="K15" s="29">
        <f>ROUND(IF(B15=0,0,IF(AND(Changes!Change="Yes", Changes!ValidityYear=Table14[[#This Row],[Year]], Changes!ChangeType="Change Premium"), Changes!NewChangedValue, (K14*(1+db!$B$3)))),0)</f>
        <v>1069932053</v>
      </c>
      <c r="L15" s="29">
        <f>ROUND(IF(B15=0,0,IF(AND(Changes!Change="Yes", Changes!ValidityYear=Table14[[#This Row],[Year]], Changes!ChangeType="Change Premium"), Changes!NewChangedValue, (L14*(1+Table14[[#This Row],[Adjustment Factor of Premium]]/100)))),0)</f>
        <v>1069932053</v>
      </c>
      <c r="M15" s="29">
        <f>IF(Table14[[#This Row],[Year]]=1,ROUND(MIN($L$2 -( Table14[[#This Row],[Riders Risk Premiums]] + Table14[[#This Row],[Acquisition Cost]]) *0.75,Table14[[#This Row],[Death Capital (1)]]* 0.03),0),0)</f>
        <v>0</v>
      </c>
      <c r="N15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5" s="29">
        <f>ROUND(IF(ROW()-1&gt;InsurancePeriod,0,(O14*(1+(Table14[[#This Row],[Adjustment Factor of Premium]]/100)))),0)</f>
        <v>1069932053</v>
      </c>
      <c r="P15" s="29">
        <f>IF(Table14[Year] = 0, 0, SUM(L$2:L15))</f>
        <v>5919592320</v>
      </c>
      <c r="Q15" s="17">
        <f t="shared" si="1"/>
        <v>2000000000</v>
      </c>
      <c r="R15" s="17">
        <f>IF(Table14[[#This Row],[Year]]=0,0,IF($C$2&lt;=50,LOOKUP(Table14[[#This Row],[Age]],db!BG16:BG122,db!BH16:BH122),LOOKUP(Table14[[#This Row],[Age]],db!BJ16:BJ122,db!BK16:BK122)))</f>
        <v>2000000000</v>
      </c>
      <c r="S15" s="17">
        <f>IF(B15=0,0, IF(AND(Changes!Change="Yes", Changes!ValidityYear=Table14[[#This Row],[Year]], Changes!ChangeType="Change Death Capital"), Changes!NewChangedValue, S14*(1+(Table14[[#This Row],[Adjustment Factor of Death Capital]]/100))))</f>
        <v>6152787621.2947617</v>
      </c>
      <c r="T15" s="17">
        <f>MIN(IF(B15=0,0,Table14[[#This Row],[Death Capital (1)]]),Table14[[#This Row],[Max Sum Insured For Death]])</f>
        <v>2000000000</v>
      </c>
      <c r="U15" s="29">
        <f t="shared" si="10"/>
        <v>2000000000</v>
      </c>
      <c r="V15" s="29">
        <f>IF(B15=0,0,IF(AND(Changes!Change="Yes", Changes!ValidityYear&lt;=Table14[[#This Row],[Year]], Changes!ChangeType="Rider Inclusion/Exclusion", Changes!RiderType="Accident Death"), T15*Changes!NewChangedValue,IF(db!$D$6="Yes",(db!$B$6)*T15,0)))</f>
        <v>2000000000</v>
      </c>
      <c r="W15" s="29">
        <f>MIN(IF(V15&lt;=db!$L$2,V15,db!$L$2),MAX_ACC_CAPITAL)</f>
        <v>2000000000</v>
      </c>
      <c r="X15" s="17">
        <f>IF(OR(B15=0,Table14[[#This Row],[Accident Capital (2)]]=0),0,IF(AND(Changes!Change="Yes", Changes!ValidityYear&lt;=Table14[[#This Row],[Year]], Changes!ChangeType="Rider Inclusion/Exclusion", Changes!RiderType="Accident Disability"), T15*Changes!NewChangedValue,IF(db!$D$7="Yes",(db!$B$7)*T15,0)))</f>
        <v>1000000000</v>
      </c>
      <c r="Y15" s="42">
        <f>IF(C15&gt;69,0,IF(C15=0,0,IF(X15&lt;=db!$L$3,X15,db!$L$3)))</f>
        <v>1000000000</v>
      </c>
      <c r="Z15" s="29">
        <f>IF(OR(B15=0,Table14[[#This Row],[Accident Capital (2)]]=0),0,IF(AND(Changes!Change="Yes", Changes!ValidityYear&lt;=Table14[[#This Row],[Year]], Changes!ChangeType="Rider Inclusion/Exclusion", Changes!RiderType="Accident Medical Cost"), T15*Changes!NewChangedValue,IF(db!$D$9="Yes",(db!$B$9)*T15,0)))</f>
        <v>400000000</v>
      </c>
      <c r="AA15" s="29">
        <f>ROUND(IF(C15&gt;69,0,IF(C15=0,0,IF(Z15&lt;=db!$L$4,Z15,db!$L$4))),0)</f>
        <v>50000000</v>
      </c>
      <c r="AB15" s="38">
        <f>IF(AND(Changes!Change = "Yes", Changes!ChangeType = "Rider Inclusion/Exclusion", Changes!RiderType = "WOP"), IF( Changes!ValidityYear &lt;= Table14[[#This Row],[Year]], IF(WOP = "Yes", 0, 1),  IF(WOP = "Yes", 1, 0)), IF(AND(db!$D$8="Yes",C15&lt;=69,ROW()-1&lt;=InsurancePeriod), 1, 0))</f>
        <v>1</v>
      </c>
      <c r="AC15" s="17">
        <f>(AC16+K16)*AB15*((1)/(1+db!AA17))*(LOOKUP(C15,'Mortality Table'!$A$2:$A$108,'Mortality Table'!$E$2:$E$108))</f>
        <v>1163566396.6264446</v>
      </c>
      <c r="AD15" s="340">
        <f>IF(AND(Changes!ValidityYear&lt;= Table14[[#This Row],[Year]],Changes!ChangeType="Change Value Adjustment",Changes!Change="Yes"), (AD16+L16)*AB15*((1)/(1+db!AA17))*(LOOKUP(C15,'Mortality Table'!$A$2:$A$108,'Mortality Table'!$E$2:$E$108)),Table14[[#This Row],[WOP Before Adj. BT]])</f>
        <v>1163566396.6264446</v>
      </c>
      <c r="AE15" s="341">
        <f>IF(AND(Changes!Change="Yes", Changes!ChangeType="Change Value Adjustment"),Table14[[#This Row],[WOP Capital]],(AE16+O16)*AB15*((1)/(1+db!AA17))*(LOOKUP(D15,'Mortality Table'!$A$2:$A$108,'Mortality Table'!$E$2:$E$108)))</f>
        <v>1163566396.6264446</v>
      </c>
      <c r="AF15" s="17">
        <f>IF(AND(Changes!Change="Yes", Changes!ValidityYear&lt;=ROW()-1),Table14[[#This Row],[WOP Capital]],Table14[[#This Row],[WOP without change]])</f>
        <v>1163566396.6264446</v>
      </c>
      <c r="AG15" s="42">
        <f>IF(AND(Changes!Change="Yes", Changes!ValidityYear&lt;=Table14[[#This Row],[Year]], Changes!ChangeType="Rider Inclusion/Exclusion", Changes!RiderType="Disability Annuity"), L15*Changes!NewChangedValue,L15*db!B$10*IF(db!$D$10="Yes",1,0))</f>
        <v>2139864106</v>
      </c>
      <c r="AH15" s="29">
        <f>Table14[[#This Row],[Code Annuity Capital]]*IF('Annual Calculation'!C15&gt;69,0,(LOOKUP('Annual Calculation'!C15+1,'Mortality Table'!$A$2:$A$108,'Mortality Table'!$O$2:$O$108)-LOOKUP('Annual Calculation'!C15+11,'Mortality Table'!$A$2:$A$108,'Mortality Table'!$O$2:$O$108))/LOOKUP('Annual Calculation'!C15,'Mortality Table'!$A$2:$A$108,'Mortality Table'!$M$2:$M$108))</f>
        <v>12904436657.158367</v>
      </c>
      <c r="AI15" s="17">
        <f>IF(B15=0,0,IF(AND(Changes!Change="Yes", Changes!ValidityYear&lt;=Table14[[#This Row],[Year]], Changes!ChangeType="Rider Inclusion/Exclusion", Changes!RiderType="Dread Disease"), T15*Changes!NewChangedValue,IF(db!$D$11="Yes",(db!$B$11)*T15,0)))</f>
        <v>300000000</v>
      </c>
      <c r="AJ15" s="42">
        <f>ROUND(IF(C15&gt;59,0,IF(C15=0,0,IF(AI15&lt;=db!$L$5,AI15,db!$L$5))),0)</f>
        <v>200000000</v>
      </c>
      <c r="AK15" s="29">
        <f>IF(B15=0,0,IF(AND(Changes!Change="Yes", Changes!ValidityYear&lt;=Table14[[#This Row],[Year]], Changes!ChangeType="Rider Inclusion/Exclusion", Changes!RiderType="Cancer"), T15*Changes!NewChangedValue,IF(db!$D$12="Yes",(db!$B$12)*T15,0)))</f>
        <v>500000000</v>
      </c>
      <c r="AL15" s="29">
        <f>ROUND(IF(C15&gt;59,0,IF(C15=0,0,IF(AK15&lt;=db!$L$6,AK15,db!$L$6))),0)</f>
        <v>300000000</v>
      </c>
      <c r="AM15" s="32"/>
      <c r="AN15" s="18">
        <f>IF(B15=0,0,IF(C15&lt;(db!$E$2+5),LOOKUP(C15,'Mortality Table'!$A$2:$A$108,'Mortality Table'!$P$2:$P$108),IF((C15&gt;=db!$E$2+10),LOOKUP(C15,'Mortality Table'!$A$2:$A$108,'Mortality Table'!$R$2:$R$108),LOOKUP(C15,'Mortality Table'!$A$2:$A$108,'Mortality Table'!$Q$2:$Q$108))))</f>
        <v>2.967081599964054E-3</v>
      </c>
      <c r="AO15" s="22">
        <f t="shared" si="2"/>
        <v>5934163</v>
      </c>
      <c r="AP15" s="19">
        <f>IF(B15=0,0, LOOKUP(IF(AND(Changes!Change="Yes", Changes!ValidityYear&lt;=Table14[[#This Row],[Year]], Changes!ChangeType="Change Job Class"),Changes!NewChangedValue, db!$A$8),db!$AX$4:$AX$8,db!$AY$4:$AY$8))</f>
        <v>0.6</v>
      </c>
      <c r="AQ15" s="20">
        <f>ROUND((AP15/1000)*W15 * (1-db!$AS$9),0)</f>
        <v>906000</v>
      </c>
      <c r="AR15" s="20">
        <f>(AP15/1000)*W15 * db!$AS$9</f>
        <v>294000</v>
      </c>
      <c r="AS15" s="21">
        <f>IF(B15=0,0, LOOKUP(IF(AND(Changes!Change="Yes", Changes!ValidityYear&lt;=Table14[[#This Row],[Year]], Changes!ChangeType="Change Job Class"),Changes!NewChangedValue, db!$A$8),db!$AX$4:$AX$8,db!$AZ$4:$AZ$8))</f>
        <v>0.6</v>
      </c>
      <c r="AT15" s="22">
        <f>(AS15/1000)*Y15*(1-db!$AS$9)</f>
        <v>453000</v>
      </c>
      <c r="AU15" s="22">
        <f>(AS15/1000)*Y15*(db!$AS$9)</f>
        <v>147000</v>
      </c>
      <c r="AV15" s="23">
        <f>IF(B15=0,0, LOOKUP(IF(AND(Changes!Change="Yes", Changes!ValidityYear&lt;=Table14[[#This Row],[Year]], Changes!ChangeType="Change Job Class"),Changes!NewChangedValue, db!$A$8),db!$AX$4:$AX$8,db!$BA$4:$BA$8))</f>
        <v>0.8</v>
      </c>
      <c r="AW15" s="20">
        <f>ROUND((AV15/(100))*AA15*(1-db!$AS$9),0)</f>
        <v>302000</v>
      </c>
      <c r="AX15" s="20">
        <f>ROUND((AV15/(100))*AA15*(db!$AS$9),0)</f>
        <v>98000</v>
      </c>
      <c r="AY15" s="21">
        <f>IF(db!$D$8="Yes",AS15,0)</f>
        <v>0.6</v>
      </c>
      <c r="AZ15" s="22">
        <f>(AY15*AF15)/1000*(1-db!$AS$9)</f>
        <v>527095.57767177932</v>
      </c>
      <c r="BA15" s="22">
        <f>(AY15*AF15)/1000*(db!$AS$9)</f>
        <v>171044.26030408731</v>
      </c>
      <c r="BB15" s="23">
        <f t="shared" si="3"/>
        <v>0.6</v>
      </c>
      <c r="BC15" s="20">
        <f>(BB15*AH15/1000)*(1-db!$AS$9)</f>
        <v>5845709.8056927398</v>
      </c>
      <c r="BD15" s="20">
        <f>(BB15*AH15/1000)*(db!$AS$9)</f>
        <v>1896952.1886022799</v>
      </c>
      <c r="BE15" s="22">
        <f>IF(B15=0,0,IF(C15&gt;60,0,LOOKUP(Table14[[#This Row],[Medical
Age]],db!$BC$3:$BC$63,db!$BD$3:$BD$63)))</f>
        <v>2800</v>
      </c>
      <c r="BF15" s="22">
        <f>BG15*db!$AS$10</f>
        <v>56000</v>
      </c>
      <c r="BG15" s="22">
        <f t="shared" si="4"/>
        <v>560000</v>
      </c>
      <c r="BH15" s="22">
        <f>(BE15/1000000)*AJ15*(1-db!$AS$10)</f>
        <v>504000</v>
      </c>
      <c r="BI15" s="20">
        <f>IF(B15=0,0,IF(C15&gt;59,0,LOOKUP(Table14[[#This Row],[Medical
Age]],db!$BC$3:$BC$63,db!$BE$3:$BE$63)))</f>
        <v>2800</v>
      </c>
      <c r="BJ15" s="20">
        <f>(BI15/1000000)*AL15*(1-db!$AS$11)</f>
        <v>756000</v>
      </c>
      <c r="BK15" s="20">
        <f>(BI15/1000000)*AL15*(db!$AS$11)</f>
        <v>84000</v>
      </c>
      <c r="BL15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6.1850980502693243E-4</v>
      </c>
      <c r="BM15" s="20">
        <f>Table14[[#This Row],[RiskLoading
Rate]]*Table14[[#This Row],[Death Capital (2)]]</f>
        <v>1237019.6100538648</v>
      </c>
      <c r="BN15" s="36"/>
      <c r="BO15" s="37">
        <f t="shared" si="5"/>
        <v>5934163</v>
      </c>
      <c r="BP15" s="35">
        <f t="shared" si="6"/>
        <v>8033805.3833645191</v>
      </c>
      <c r="BQ15" s="35">
        <f t="shared" si="7"/>
        <v>2606996.4489063672</v>
      </c>
      <c r="BR15" s="37">
        <f t="shared" si="11"/>
        <v>1260000</v>
      </c>
      <c r="BS15" s="37">
        <f t="shared" si="12"/>
        <v>140000</v>
      </c>
      <c r="BT15" s="35">
        <f t="shared" si="13"/>
        <v>9293805</v>
      </c>
      <c r="BU15" s="35">
        <f t="shared" si="14"/>
        <v>2746996</v>
      </c>
      <c r="BV15" s="37">
        <f>(db!$AS$4/100)*(L15-BT15-BU15)</f>
        <v>15868368.779999999</v>
      </c>
      <c r="BW15" s="37">
        <f>(db!$AS$8/100)*(L15-BT15-BU15)</f>
        <v>31736737.559999999</v>
      </c>
      <c r="BX15" s="35"/>
      <c r="BY15" s="37"/>
      <c r="BZ15" s="37"/>
      <c r="CA15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66817090</v>
      </c>
      <c r="CB15" s="33"/>
      <c r="CC15" s="39">
        <f>ROUND((Table14[[#This Row],[Premium]]-Table14[[#This Row],[All Deductions]]),0)</f>
        <v>1003114963</v>
      </c>
      <c r="CD15" s="40">
        <f>ROUND(IF(B15=0,0,((CC15)*(1+ IF(AND(Changes!Change="Yes",Changes!ValidityYear&lt;=Table14[[#This Row],[Year]],Annulment&gt;Table14[[#This Row],[Year]],Changes!ChangeType="Paid-Up"),db!Y17+0.02,db!Y17)))+((CD14)*(1+IF(AND(Changes!Change="Yes",Changes!ValidityYear&lt;=Table14[[#This Row],[Year]],Annulment&gt;Table14[[#This Row],[Year]],Changes!ChangeType="Paid-Up"),db!U17+0.02,db!U17)))),0)</f>
        <v>12363428950</v>
      </c>
      <c r="CE15" s="40">
        <f>ROUND(IF(B15=0,0,((CC15)*(1+db!Y17))+((CE14)*(1+db!U17))),0)</f>
        <v>12363428950</v>
      </c>
      <c r="CF15" s="40">
        <f t="shared" si="19"/>
        <v>12363429000</v>
      </c>
      <c r="CG15" s="15">
        <f t="shared" si="15"/>
        <v>14</v>
      </c>
      <c r="CH15" s="39">
        <f>IF(B15=0,0,((CC15)*(1+db!AH17))+((CH14)*(1+db!AD17)))</f>
        <v>16333692739.611046</v>
      </c>
      <c r="CI15" s="39">
        <f>IF(B15=0,0,((CC15)*(1+db!AH17))+((CI14)*(1+db!AD17)))</f>
        <v>16333692739.611046</v>
      </c>
      <c r="CJ15" s="40">
        <f>IF(B15=0,0,((CC15)*(1+db!AO17))+((CJ14)*(1+db!AK17)))</f>
        <v>18499446453.089806</v>
      </c>
      <c r="CK15" s="40">
        <f>CJ15-(SUM(BX$7:$BX16))</f>
        <v>18499446453.089806</v>
      </c>
      <c r="CL15" s="46"/>
    </row>
    <row r="16" spans="1:95">
      <c r="A16" s="347">
        <f t="shared" si="16"/>
        <v>15</v>
      </c>
      <c r="B16" s="345">
        <f>IF(AND(Changes!Change="Yes", Changes!ChangeType="Change Contract Duration"),IF(B15=0,0,IF(Changes!NewChangedValue&lt;B15+1,0,B15+1)),IF(B15=0,0,IF('Application Annually'!$C$5&lt;B15+1,0,B15+1)))</f>
        <v>15</v>
      </c>
      <c r="C16" s="15">
        <f t="shared" si="17"/>
        <v>42</v>
      </c>
      <c r="D16" s="312">
        <f t="shared" si="18"/>
        <v>42</v>
      </c>
      <c r="E16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44</v>
      </c>
      <c r="F16" s="29">
        <f t="shared" si="8"/>
        <v>1283918000</v>
      </c>
      <c r="G16" s="29">
        <f t="shared" si="9"/>
        <v>1283918000</v>
      </c>
      <c r="H16" s="29">
        <f t="shared" si="0"/>
        <v>1386632000</v>
      </c>
      <c r="I16" s="29">
        <f>IF(B16&gt;0,IF(AND(Table14[[#This Row],[Year]]&gt;Changes!ValidityYear,Changes!Change="Yes",Changes!ChangeType="Change Value Adjustment"),Changes!$G$22,'Application Annually'!$C$11),0)</f>
        <v>15</v>
      </c>
      <c r="J16" s="29">
        <f>IF(B16&gt;0,IF(AND(Table14[[#This Row],[Year]]&gt;Changes!ValidityYear,Changes!Change="Yes",Changes!ChangeType="Change Value Adjustment"),Changes!$G$24,'Application Annually'!$C$7),0)</f>
        <v>20</v>
      </c>
      <c r="K16" s="29">
        <f>ROUND(IF(B16=0,0,IF(AND(Changes!Change="Yes", Changes!ValidityYear=Table14[[#This Row],[Year]], Changes!ChangeType="Change Premium"), Changes!NewChangedValue, (K15*(1+db!$B$3)))),0)</f>
        <v>1283918464</v>
      </c>
      <c r="L16" s="29">
        <f>ROUND(IF(B16=0,0,IF(AND(Changes!Change="Yes", Changes!ValidityYear=Table14[[#This Row],[Year]], Changes!ChangeType="Change Premium"), Changes!NewChangedValue, (L15*(1+Table14[[#This Row],[Adjustment Factor of Premium]]/100)))),0)</f>
        <v>1283918464</v>
      </c>
      <c r="M16" s="29">
        <f>IF(Table14[[#This Row],[Year]]=1,ROUND(MIN($L$2 -( Table14[[#This Row],[Riders Risk Premiums]] + Table14[[#This Row],[Acquisition Cost]]) *0.75,Table14[[#This Row],[Death Capital (1)]]* 0.03),0),0)</f>
        <v>0</v>
      </c>
      <c r="N16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6" s="29">
        <f>ROUND(IF(ROW()-1&gt;InsurancePeriod,0,(O15*(1+(Table14[[#This Row],[Adjustment Factor of Premium]]/100)))),0)</f>
        <v>1283918464</v>
      </c>
      <c r="P16" s="29">
        <f>IF(Table14[Year] = 0, 0, SUM(L$2:L16))</f>
        <v>7203510784</v>
      </c>
      <c r="Q16" s="17">
        <f t="shared" si="1"/>
        <v>2000000000</v>
      </c>
      <c r="R16" s="17">
        <f>IF(Table14[[#This Row],[Year]]=0,0,IF($C$2&lt;=50,LOOKUP(Table14[[#This Row],[Age]],db!BG17:BG123,db!BH17:BH123),LOOKUP(Table14[[#This Row],[Age]],db!BJ17:BJ123,db!BK17:BK123)))</f>
        <v>2000000000</v>
      </c>
      <c r="S16" s="17">
        <f>IF(B16=0,0, IF(AND(Changes!Change="Yes", Changes!ValidityYear=Table14[[#This Row],[Year]], Changes!ChangeType="Change Death Capital"), Changes!NewChangedValue, S15*(1+(Table14[[#This Row],[Adjustment Factor of Death Capital]]/100))))</f>
        <v>7075705764.4889755</v>
      </c>
      <c r="T16" s="17">
        <f>MIN(IF(B16=0,0,Table14[[#This Row],[Death Capital (1)]]),Table14[[#This Row],[Max Sum Insured For Death]])</f>
        <v>2000000000</v>
      </c>
      <c r="U16" s="29">
        <f t="shared" si="10"/>
        <v>2000000000</v>
      </c>
      <c r="V16" s="29">
        <f>IF(B16=0,0,IF(AND(Changes!Change="Yes", Changes!ValidityYear&lt;=Table14[[#This Row],[Year]], Changes!ChangeType="Rider Inclusion/Exclusion", Changes!RiderType="Accident Death"), T16*Changes!NewChangedValue,IF(db!$D$6="Yes",(db!$B$6)*T16,0)))</f>
        <v>2000000000</v>
      </c>
      <c r="W16" s="29">
        <f>MIN(IF(V16&lt;=db!$L$2,V16,db!$L$2),MAX_ACC_CAPITAL)</f>
        <v>2000000000</v>
      </c>
      <c r="X16" s="17">
        <f>IF(OR(B16=0,Table14[[#This Row],[Accident Capital (2)]]=0),0,IF(AND(Changes!Change="Yes", Changes!ValidityYear&lt;=Table14[[#This Row],[Year]], Changes!ChangeType="Rider Inclusion/Exclusion", Changes!RiderType="Accident Disability"), T16*Changes!NewChangedValue,IF(db!$D$7="Yes",(db!$B$7)*T16,0)))</f>
        <v>1000000000</v>
      </c>
      <c r="Y16" s="42">
        <f>IF(C16&gt;69,0,IF(C16=0,0,IF(X16&lt;=db!$L$3,X16,db!$L$3)))</f>
        <v>1000000000</v>
      </c>
      <c r="Z16" s="29">
        <f>IF(OR(B16=0,Table14[[#This Row],[Accident Capital (2)]]=0),0,IF(AND(Changes!Change="Yes", Changes!ValidityYear&lt;=Table14[[#This Row],[Year]], Changes!ChangeType="Rider Inclusion/Exclusion", Changes!RiderType="Accident Medical Cost"), T16*Changes!NewChangedValue,IF(db!$D$9="Yes",(db!$B$9)*T16,0)))</f>
        <v>400000000</v>
      </c>
      <c r="AA16" s="29">
        <f>ROUND(IF(C16&gt;69,0,IF(C16=0,0,IF(Z16&lt;=db!$L$4,Z16,db!$L$4))),0)</f>
        <v>50000000</v>
      </c>
      <c r="AB16" s="38">
        <f>IF(AND(Changes!Change = "Yes", Changes!ChangeType = "Rider Inclusion/Exclusion", Changes!RiderType = "WOP"), IF( Changes!ValidityYear &lt;= Table14[[#This Row],[Year]], IF(WOP = "Yes", 0, 1),  IF(WOP = "Yes", 1, 0)), IF(AND(db!$D$8="Yes",C16&lt;=69,ROW()-1&lt;=InsurancePeriod), 1, 0))</f>
        <v>1</v>
      </c>
      <c r="AC16" s="17">
        <f>(AC17+K17)*AB16*((1)/(1+db!AA18))*(LOOKUP(C16,'Mortality Table'!$A$2:$A$108,'Mortality Table'!$E$2:$E$108))</f>
        <v>0</v>
      </c>
      <c r="AD16" s="340">
        <f>IF(AND(Changes!ValidityYear&lt;= Table14[[#This Row],[Year]],Changes!ChangeType="Change Value Adjustment",Changes!Change="Yes"), (AD17+L17)*AB16*((1)/(1+db!AA18))*(LOOKUP(C16,'Mortality Table'!$A$2:$A$108,'Mortality Table'!$E$2:$E$108)),Table14[[#This Row],[WOP Before Adj. BT]])</f>
        <v>0</v>
      </c>
      <c r="AE16" s="341">
        <f>IF(AND(Changes!Change="Yes", Changes!ChangeType="Change Value Adjustment"),Table14[[#This Row],[WOP Capital]],(AE17+O17)*AB16*((1)/(1+db!AA18))*(LOOKUP(D16,'Mortality Table'!$A$2:$A$108,'Mortality Table'!$E$2:$E$108)))</f>
        <v>0</v>
      </c>
      <c r="AF16" s="17">
        <f>IF(AND(Changes!Change="Yes", Changes!ValidityYear&lt;=ROW()-1),Table14[[#This Row],[WOP Capital]],Table14[[#This Row],[WOP without change]])</f>
        <v>0</v>
      </c>
      <c r="AG16" s="42">
        <f>IF(AND(Changes!Change="Yes", Changes!ValidityYear&lt;=Table14[[#This Row],[Year]], Changes!ChangeType="Rider Inclusion/Exclusion", Changes!RiderType="Disability Annuity"), L16*Changes!NewChangedValue,L16*db!B$10*IF(db!$D$10="Yes",1,0))</f>
        <v>2567836928</v>
      </c>
      <c r="AH16" s="29">
        <f>Table14[[#This Row],[Code Annuity Capital]]*IF('Annual Calculation'!C16&gt;69,0,(LOOKUP('Annual Calculation'!C16+1,'Mortality Table'!$A$2:$A$108,'Mortality Table'!$O$2:$O$108)-LOOKUP('Annual Calculation'!C16+11,'Mortality Table'!$A$2:$A$108,'Mortality Table'!$O$2:$O$108))/LOOKUP('Annual Calculation'!C16,'Mortality Table'!$A$2:$A$108,'Mortality Table'!$M$2:$M$108))</f>
        <v>15460104793.176714</v>
      </c>
      <c r="AI16" s="17">
        <f>IF(B16=0,0,IF(AND(Changes!Change="Yes", Changes!ValidityYear&lt;=Table14[[#This Row],[Year]], Changes!ChangeType="Rider Inclusion/Exclusion", Changes!RiderType="Dread Disease"), T16*Changes!NewChangedValue,IF(db!$D$11="Yes",(db!$B$11)*T16,0)))</f>
        <v>300000000</v>
      </c>
      <c r="AJ16" s="42">
        <f>ROUND(IF(C16&gt;59,0,IF(C16=0,0,IF(AI16&lt;=db!$L$5,AI16,db!$L$5))),0)</f>
        <v>200000000</v>
      </c>
      <c r="AK16" s="29">
        <f>IF(B16=0,0,IF(AND(Changes!Change="Yes", Changes!ValidityYear&lt;=Table14[[#This Row],[Year]], Changes!ChangeType="Rider Inclusion/Exclusion", Changes!RiderType="Cancer"), T16*Changes!NewChangedValue,IF(db!$D$12="Yes",(db!$B$12)*T16,0)))</f>
        <v>500000000</v>
      </c>
      <c r="AL16" s="29">
        <f>ROUND(IF(C16&gt;59,0,IF(C16=0,0,IF(AK16&lt;=db!$L$6,AK16,db!$L$6))),0)</f>
        <v>300000000</v>
      </c>
      <c r="AM16" s="32"/>
      <c r="AN16" s="18">
        <f>IF(B16=0,0,IF(C16&lt;(db!$E$2+5),LOOKUP(C16,'Mortality Table'!$A$2:$A$108,'Mortality Table'!$P$2:$P$108),IF((C16&gt;=db!$E$2+10),LOOKUP(C16,'Mortality Table'!$A$2:$A$108,'Mortality Table'!$R$2:$R$108),LOOKUP(C16,'Mortality Table'!$A$2:$A$108,'Mortality Table'!$Q$2:$Q$108))))</f>
        <v>3.1788160478978577E-3</v>
      </c>
      <c r="AO16" s="22">
        <f t="shared" si="2"/>
        <v>6357632</v>
      </c>
      <c r="AP16" s="19">
        <f>IF(B16=0,0, LOOKUP(IF(AND(Changes!Change="Yes", Changes!ValidityYear&lt;=Table14[[#This Row],[Year]], Changes!ChangeType="Change Job Class"),Changes!NewChangedValue, db!$A$8),db!$AX$4:$AX$8,db!$AY$4:$AY$8))</f>
        <v>0.6</v>
      </c>
      <c r="AQ16" s="20">
        <f>ROUND((AP16/1000)*W16 * (1-db!$AS$9),0)</f>
        <v>906000</v>
      </c>
      <c r="AR16" s="20">
        <f>(AP16/1000)*W16 * db!$AS$9</f>
        <v>294000</v>
      </c>
      <c r="AS16" s="21">
        <f>IF(B16=0,0, LOOKUP(IF(AND(Changes!Change="Yes", Changes!ValidityYear&lt;=Table14[[#This Row],[Year]], Changes!ChangeType="Change Job Class"),Changes!NewChangedValue, db!$A$8),db!$AX$4:$AX$8,db!$AZ$4:$AZ$8))</f>
        <v>0.6</v>
      </c>
      <c r="AT16" s="22">
        <f>(AS16/1000)*Y16*(1-db!$AS$9)</f>
        <v>453000</v>
      </c>
      <c r="AU16" s="22">
        <f>(AS16/1000)*Y16*(db!$AS$9)</f>
        <v>147000</v>
      </c>
      <c r="AV16" s="23">
        <f>IF(B16=0,0, LOOKUP(IF(AND(Changes!Change="Yes", Changes!ValidityYear&lt;=Table14[[#This Row],[Year]], Changes!ChangeType="Change Job Class"),Changes!NewChangedValue, db!$A$8),db!$AX$4:$AX$8,db!$BA$4:$BA$8))</f>
        <v>0.8</v>
      </c>
      <c r="AW16" s="20">
        <f>ROUND((AV16/(100))*AA16*(1-db!$AS$9),0)</f>
        <v>302000</v>
      </c>
      <c r="AX16" s="20">
        <f>ROUND((AV16/(100))*AA16*(db!$AS$9),0)</f>
        <v>98000</v>
      </c>
      <c r="AY16" s="21">
        <f>IF(db!$D$8="Yes",AS16,0)</f>
        <v>0.6</v>
      </c>
      <c r="AZ16" s="22">
        <f>(AY16*AF16)/1000*(1-db!$AS$9)</f>
        <v>0</v>
      </c>
      <c r="BA16" s="22">
        <f>(AY16*AF16)/1000*(db!$AS$9)</f>
        <v>0</v>
      </c>
      <c r="BB16" s="23">
        <f t="shared" si="3"/>
        <v>0.6</v>
      </c>
      <c r="BC16" s="20">
        <f>(BB16*AH16/1000)*(1-db!$AS$9)</f>
        <v>7003427.4713090509</v>
      </c>
      <c r="BD16" s="20">
        <f>(BB16*AH16/1000)*(db!$AS$9)</f>
        <v>2272635.4045969769</v>
      </c>
      <c r="BE16" s="22">
        <f>IF(B16=0,0,IF(C16&gt;60,0,LOOKUP(Table14[[#This Row],[Medical
Age]],db!$BC$3:$BC$63,db!$BD$3:$BD$63)))</f>
        <v>2800</v>
      </c>
      <c r="BF16" s="22">
        <f>BG16*db!$AS$10</f>
        <v>56000</v>
      </c>
      <c r="BG16" s="22">
        <f t="shared" si="4"/>
        <v>560000</v>
      </c>
      <c r="BH16" s="22">
        <f>(BE16/1000000)*AJ16*(1-db!$AS$10)</f>
        <v>504000</v>
      </c>
      <c r="BI16" s="20">
        <f>IF(B16=0,0,IF(C16&gt;59,0,LOOKUP(Table14[[#This Row],[Medical
Age]],db!$BC$3:$BC$63,db!$BE$3:$BE$63)))</f>
        <v>2800</v>
      </c>
      <c r="BJ16" s="20">
        <f>(BI16/1000000)*AL16*(1-db!$AS$11)</f>
        <v>756000</v>
      </c>
      <c r="BK16" s="20">
        <f>(BI16/1000000)*AL16*(db!$AS$11)</f>
        <v>84000</v>
      </c>
      <c r="BL16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7.1598916080466146E-4</v>
      </c>
      <c r="BM16" s="20">
        <f>Table14[[#This Row],[RiskLoading
Rate]]*Table14[[#This Row],[Death Capital (2)]]</f>
        <v>1431978.3216093229</v>
      </c>
      <c r="BN16" s="36"/>
      <c r="BO16" s="37">
        <f t="shared" si="5"/>
        <v>6357632</v>
      </c>
      <c r="BP16" s="35">
        <f t="shared" si="6"/>
        <v>8664427.4713090509</v>
      </c>
      <c r="BQ16" s="35">
        <f t="shared" si="7"/>
        <v>2811635.4045969769</v>
      </c>
      <c r="BR16" s="37">
        <f t="shared" si="11"/>
        <v>1260000</v>
      </c>
      <c r="BS16" s="37">
        <f t="shared" si="12"/>
        <v>140000</v>
      </c>
      <c r="BT16" s="35">
        <f t="shared" si="13"/>
        <v>9924427</v>
      </c>
      <c r="BU16" s="35">
        <f t="shared" si="14"/>
        <v>2951635</v>
      </c>
      <c r="BV16" s="37">
        <f>(db!$AS$4/100)*(L16-BT16-BU16)</f>
        <v>19065636.029999997</v>
      </c>
      <c r="BW16" s="37">
        <f>(db!$AS$8/100)*(L16-BT16-BU16)</f>
        <v>38131272.059999995</v>
      </c>
      <c r="BX16" s="35"/>
      <c r="BY16" s="37"/>
      <c r="BZ16" s="37"/>
      <c r="CA16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77862580</v>
      </c>
      <c r="CB16" s="33"/>
      <c r="CC16" s="39">
        <f>ROUND((Table14[[#This Row],[Premium]]-Table14[[#This Row],[All Deductions]]),0)</f>
        <v>1206055884</v>
      </c>
      <c r="CD16" s="40">
        <f>ROUND(IF(B16=0,0,((CC16)*(1+ IF(AND(Changes!Change="Yes",Changes!ValidityYear&lt;=Table14[[#This Row],[Year]],Annulment&gt;Table14[[#This Row],[Year]],Changes!ChangeType="Paid-Up"),db!Y18+0.02,db!Y18)))+((CD15)*(1+IF(AND(Changes!Change="Yes",Changes!ValidityYear&lt;=Table14[[#This Row],[Year]],Annulment&gt;Table14[[#This Row],[Year]],Changes!ChangeType="Paid-Up"),db!U18+0.02,db!U18)))),0)</f>
        <v>15604907559</v>
      </c>
      <c r="CE16" s="40">
        <f>ROUND(IF(B16=0,0,((CC16)*(1+db!Y18))+((CE15)*(1+db!U18))),0)</f>
        <v>15604907559</v>
      </c>
      <c r="CF16" s="40">
        <f t="shared" si="19"/>
        <v>15604908000</v>
      </c>
      <c r="CG16" s="15">
        <f t="shared" si="15"/>
        <v>15</v>
      </c>
      <c r="CH16" s="39">
        <f>IF(B16=0,0,((CC16)*(1+db!AH18))+((CH15)*(1+db!AD18)))</f>
        <v>21047698348.333252</v>
      </c>
      <c r="CI16" s="39">
        <f>IF(B16=0,0,((CC16)*(1+db!AH18))+((CI15)*(1+db!AD18)))</f>
        <v>21047698348.333252</v>
      </c>
      <c r="CJ16" s="40">
        <f>IF(B16=0,0,((CC16)*(1+db!AO18))+((CJ15)*(1+db!AK18)))</f>
        <v>24040712851.249561</v>
      </c>
      <c r="CK16" s="40">
        <f>CJ16-(SUM(BX$7:$BX17))</f>
        <v>24040712851.249561</v>
      </c>
      <c r="CL16" s="46"/>
    </row>
    <row r="17" spans="1:90">
      <c r="A17" s="347">
        <f t="shared" si="16"/>
        <v>16</v>
      </c>
      <c r="B17" s="345">
        <f>IF(AND(Changes!Change="Yes", Changes!ChangeType="Change Contract Duration"),IF(B16=0,0,IF(Changes!NewChangedValue&lt;B16+1,0,B16+1)),IF(B16=0,0,IF('Application Annually'!$C$5&lt;B16+1,0,B16+1)))</f>
        <v>0</v>
      </c>
      <c r="C17" s="15">
        <f t="shared" si="17"/>
        <v>0</v>
      </c>
      <c r="D17" s="312">
        <f t="shared" si="18"/>
        <v>43</v>
      </c>
      <c r="E17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17" s="29">
        <f t="shared" si="8"/>
        <v>0</v>
      </c>
      <c r="G17" s="29">
        <f t="shared" si="9"/>
        <v>0</v>
      </c>
      <c r="H17" s="29">
        <f t="shared" si="0"/>
        <v>0</v>
      </c>
      <c r="I17" s="29">
        <f>IF(B17&gt;0,IF(AND(Table14[[#This Row],[Year]]&gt;Changes!ValidityYear,Changes!Change="Yes",Changes!ChangeType="Change Value Adjustment"),Changes!$G$22,'Application Annually'!$C$11),0)</f>
        <v>0</v>
      </c>
      <c r="J17" s="29">
        <f>IF(B17&gt;0,IF(AND(Table14[[#This Row],[Year]]&gt;Changes!ValidityYear,Changes!Change="Yes",Changes!ChangeType="Change Value Adjustment"),Changes!$G$24,'Application Annually'!$C$7),0)</f>
        <v>0</v>
      </c>
      <c r="K17" s="29">
        <f>ROUND(IF(B17=0,0,IF(AND(Changes!Change="Yes", Changes!ValidityYear=Table14[[#This Row],[Year]], Changes!ChangeType="Change Premium"), Changes!NewChangedValue, (K16*(1+db!$B$3)))),0)</f>
        <v>0</v>
      </c>
      <c r="L17" s="29">
        <f>ROUND(IF(B17=0,0,IF(AND(Changes!Change="Yes", Changes!ValidityYear=Table14[[#This Row],[Year]], Changes!ChangeType="Change Premium"), Changes!NewChangedValue, (L16*(1+Table14[[#This Row],[Adjustment Factor of Premium]]/100)))),0)</f>
        <v>0</v>
      </c>
      <c r="M17" s="29">
        <f>IF(Table14[[#This Row],[Year]]=1,ROUND(MIN($L$2 -( Table14[[#This Row],[Riders Risk Premiums]] + Table14[[#This Row],[Acquisition Cost]]) *0.75,Table14[[#This Row],[Death Capital (1)]]* 0.03),0),0)</f>
        <v>0</v>
      </c>
      <c r="N17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7" s="29">
        <f>ROUND(IF(ROW()-1&gt;InsurancePeriod,0,(O16*(1+(Table14[[#This Row],[Adjustment Factor of Premium]]/100)))),0)</f>
        <v>0</v>
      </c>
      <c r="P17" s="29">
        <f>IF(Table14[Year] = 0, 0, SUM(L$2:L17))</f>
        <v>0</v>
      </c>
      <c r="Q17" s="17">
        <f t="shared" si="1"/>
        <v>0</v>
      </c>
      <c r="R17" s="17">
        <f>IF(Table14[[#This Row],[Year]]=0,0,IF($C$2&lt;=50,LOOKUP(Table14[[#This Row],[Age]],db!BG18:BG124,db!BH18:BH124),LOOKUP(Table14[[#This Row],[Age]],db!BJ18:BJ124,db!BK18:BK124)))</f>
        <v>0</v>
      </c>
      <c r="S17" s="17">
        <f>IF(B17=0,0, IF(AND(Changes!Change="Yes", Changes!ValidityYear=Table14[[#This Row],[Year]], Changes!ChangeType="Change Death Capital"), Changes!NewChangedValue, S16*(1+(Table14[[#This Row],[Adjustment Factor of Death Capital]]/100))))</f>
        <v>0</v>
      </c>
      <c r="T17" s="17">
        <f>MIN(IF(B17=0,0,Table14[[#This Row],[Death Capital (1)]]),Table14[[#This Row],[Max Sum Insured For Death]])</f>
        <v>0</v>
      </c>
      <c r="U17" s="29">
        <f t="shared" si="10"/>
        <v>0</v>
      </c>
      <c r="V17" s="29">
        <f>IF(B17=0,0,IF(AND(Changes!Change="Yes", Changes!ValidityYear&lt;=Table14[[#This Row],[Year]], Changes!ChangeType="Rider Inclusion/Exclusion", Changes!RiderType="Accident Death"), T17*Changes!NewChangedValue,IF(db!$D$6="Yes",(db!$B$6)*T17,0)))</f>
        <v>0</v>
      </c>
      <c r="W17" s="29">
        <f>MIN(IF(V17&lt;=db!$L$2,V17,db!$L$2),MAX_ACC_CAPITAL)</f>
        <v>0</v>
      </c>
      <c r="X17" s="17">
        <f>IF(OR(B17=0,Table14[[#This Row],[Accident Capital (2)]]=0),0,IF(AND(Changes!Change="Yes", Changes!ValidityYear&lt;=Table14[[#This Row],[Year]], Changes!ChangeType="Rider Inclusion/Exclusion", Changes!RiderType="Accident Disability"), T17*Changes!NewChangedValue,IF(db!$D$7="Yes",(db!$B$7)*T17,0)))</f>
        <v>0</v>
      </c>
      <c r="Y17" s="42">
        <f>IF(C17&gt;69,0,IF(C17=0,0,IF(X17&lt;=db!$L$3,X17,db!$L$3)))</f>
        <v>0</v>
      </c>
      <c r="Z17" s="29">
        <f>IF(OR(B17=0,Table14[[#This Row],[Accident Capital (2)]]=0),0,IF(AND(Changes!Change="Yes", Changes!ValidityYear&lt;=Table14[[#This Row],[Year]], Changes!ChangeType="Rider Inclusion/Exclusion", Changes!RiderType="Accident Medical Cost"), T17*Changes!NewChangedValue,IF(db!$D$9="Yes",(db!$B$9)*T17,0)))</f>
        <v>0</v>
      </c>
      <c r="AA17" s="29">
        <f>ROUND(IF(C17&gt;69,0,IF(C17=0,0,IF(Z17&lt;=db!$L$4,Z17,db!$L$4))),0)</f>
        <v>0</v>
      </c>
      <c r="AB17" s="38">
        <f>IF(AND(Changes!Change = "Yes", Changes!ChangeType = "Rider Inclusion/Exclusion", Changes!RiderType = "WOP"), IF( Changes!ValidityYear &lt;= Table14[[#This Row],[Year]], IF(WOP = "Yes", 0, 1),  IF(WOP = "Yes", 1, 0)), IF(AND(db!$D$8="Yes",C17&lt;=69,ROW()-1&lt;=InsurancePeriod), 1, 0))</f>
        <v>0</v>
      </c>
      <c r="AC17" s="17">
        <f>(AC18+K18)*AB17*((1)/(1+db!AA19))*(LOOKUP(C17,'Mortality Table'!$A$2:$A$108,'Mortality Table'!$E$2:$E$108))</f>
        <v>0</v>
      </c>
      <c r="AD17" s="340">
        <f>IF(AND(Changes!ValidityYear&lt;= Table14[[#This Row],[Year]],Changes!ChangeType="Change Value Adjustment",Changes!Change="Yes"), (AD18+L18)*AB17*((1)/(1+db!AA19))*(LOOKUP(C17,'Mortality Table'!$A$2:$A$108,'Mortality Table'!$E$2:$E$108)),Table14[[#This Row],[WOP Before Adj. BT]])</f>
        <v>0</v>
      </c>
      <c r="AE17" s="341">
        <f>IF(AND(Changes!Change="Yes", Changes!ChangeType="Change Value Adjustment"),Table14[[#This Row],[WOP Capital]],(AE18+O18)*AB17*((1)/(1+db!AA19))*(LOOKUP(D17,'Mortality Table'!$A$2:$A$108,'Mortality Table'!$E$2:$E$108)))</f>
        <v>0</v>
      </c>
      <c r="AF17" s="17">
        <f>IF(AND(Changes!Change="Yes", Changes!ValidityYear&lt;=ROW()-1),Table14[[#This Row],[WOP Capital]],Table14[[#This Row],[WOP without change]])</f>
        <v>0</v>
      </c>
      <c r="AG17" s="42">
        <f>IF(AND(Changes!Change="Yes", Changes!ValidityYear&lt;=Table14[[#This Row],[Year]], Changes!ChangeType="Rider Inclusion/Exclusion", Changes!RiderType="Disability Annuity"), L17*Changes!NewChangedValue,L17*db!B$10*IF(db!$D$10="Yes",1,0))</f>
        <v>0</v>
      </c>
      <c r="AH17" s="29">
        <f>Table14[[#This Row],[Code Annuity Capital]]*IF('Annual Calculation'!C17&gt;69,0,(LOOKUP('Annual Calculation'!C17+1,'Mortality Table'!$A$2:$A$108,'Mortality Table'!$O$2:$O$108)-LOOKUP('Annual Calculation'!C17+11,'Mortality Table'!$A$2:$A$108,'Mortality Table'!$O$2:$O$108))/LOOKUP('Annual Calculation'!C17,'Mortality Table'!$A$2:$A$108,'Mortality Table'!$M$2:$M$108))</f>
        <v>0</v>
      </c>
      <c r="AI17" s="17">
        <f>IF(B17=0,0,IF(AND(Changes!Change="Yes", Changes!ValidityYear&lt;=Table14[[#This Row],[Year]], Changes!ChangeType="Rider Inclusion/Exclusion", Changes!RiderType="Dread Disease"), T17*Changes!NewChangedValue,IF(db!$D$11="Yes",(db!$B$11)*T17,0)))</f>
        <v>0</v>
      </c>
      <c r="AJ17" s="42">
        <f>ROUND(IF(C17&gt;59,0,IF(C17=0,0,IF(AI17&lt;=db!$L$5,AI17,db!$L$5))),0)</f>
        <v>0</v>
      </c>
      <c r="AK17" s="29">
        <f>IF(B17=0,0,IF(AND(Changes!Change="Yes", Changes!ValidityYear&lt;=Table14[[#This Row],[Year]], Changes!ChangeType="Rider Inclusion/Exclusion", Changes!RiderType="Cancer"), T17*Changes!NewChangedValue,IF(db!$D$12="Yes",(db!$B$12)*T17,0)))</f>
        <v>0</v>
      </c>
      <c r="AL17" s="29">
        <f>ROUND(IF(C17&gt;59,0,IF(C17=0,0,IF(AK17&lt;=db!$L$6,AK17,db!$L$6))),0)</f>
        <v>0</v>
      </c>
      <c r="AM17" s="32"/>
      <c r="AN17" s="18">
        <f>IF(B17=0,0,IF(C17&lt;(db!$E$2+5),LOOKUP(C17,'Mortality Table'!$A$2:$A$108,'Mortality Table'!$P$2:$P$108),IF((C17&gt;=db!$E$2+10),LOOKUP(C17,'Mortality Table'!$A$2:$A$108,'Mortality Table'!$R$2:$R$108),LOOKUP(C17,'Mortality Table'!$A$2:$A$108,'Mortality Table'!$Q$2:$Q$108))))</f>
        <v>0</v>
      </c>
      <c r="AO17" s="22">
        <f t="shared" si="2"/>
        <v>0</v>
      </c>
      <c r="AP17" s="19">
        <f>IF(B17=0,0, LOOKUP(IF(AND(Changes!Change="Yes", Changes!ValidityYear&lt;=Table14[[#This Row],[Year]], Changes!ChangeType="Change Job Class"),Changes!NewChangedValue, db!$A$8),db!$AX$4:$AX$8,db!$AY$4:$AY$8))</f>
        <v>0</v>
      </c>
      <c r="AQ17" s="20">
        <f>ROUND((AP17/1000)*W17 * (1-db!$AS$9),0)</f>
        <v>0</v>
      </c>
      <c r="AR17" s="20">
        <f>(AP17/1000)*W17 * db!$AS$9</f>
        <v>0</v>
      </c>
      <c r="AS17" s="21">
        <f>IF(B17=0,0, LOOKUP(IF(AND(Changes!Change="Yes", Changes!ValidityYear&lt;=Table14[[#This Row],[Year]], Changes!ChangeType="Change Job Class"),Changes!NewChangedValue, db!$A$8),db!$AX$4:$AX$8,db!$AZ$4:$AZ$8))</f>
        <v>0</v>
      </c>
      <c r="AT17" s="22">
        <f>(AS17/1000)*Y17*(1-db!$AS$9)</f>
        <v>0</v>
      </c>
      <c r="AU17" s="22">
        <f>(AS17/1000)*Y17*(db!$AS$9)</f>
        <v>0</v>
      </c>
      <c r="AV17" s="23">
        <f>IF(B17=0,0, LOOKUP(IF(AND(Changes!Change="Yes", Changes!ValidityYear&lt;=Table14[[#This Row],[Year]], Changes!ChangeType="Change Job Class"),Changes!NewChangedValue, db!$A$8),db!$AX$4:$AX$8,db!$BA$4:$BA$8))</f>
        <v>0</v>
      </c>
      <c r="AW17" s="20">
        <f>ROUND((AV17/(100))*AA17*(1-db!$AS$9),0)</f>
        <v>0</v>
      </c>
      <c r="AX17" s="20">
        <f>ROUND((AV17/(100))*AA17*(db!$AS$9),0)</f>
        <v>0</v>
      </c>
      <c r="AY17" s="21">
        <f>IF(db!$D$8="Yes",AS17,0)</f>
        <v>0</v>
      </c>
      <c r="AZ17" s="22">
        <f>(AY17*AF17)/1000*(1-db!$AS$9)</f>
        <v>0</v>
      </c>
      <c r="BA17" s="22">
        <f>(AY17*AF17)/1000*(db!$AS$9)</f>
        <v>0</v>
      </c>
      <c r="BB17" s="23">
        <f t="shared" si="3"/>
        <v>0</v>
      </c>
      <c r="BC17" s="20">
        <f>(BB17*AH17/1000)*(1-db!$AS$9)</f>
        <v>0</v>
      </c>
      <c r="BD17" s="20">
        <f>(BB17*AH17/1000)*(db!$AS$9)</f>
        <v>0</v>
      </c>
      <c r="BE17" s="22">
        <f>IF(B17=0,0,IF(C17&gt;60,0,LOOKUP(Table14[[#This Row],[Medical
Age]],db!$BC$3:$BC$63,db!$BD$3:$BD$63)))</f>
        <v>0</v>
      </c>
      <c r="BF17" s="22">
        <f>BG17*db!$AS$10</f>
        <v>0</v>
      </c>
      <c r="BG17" s="22">
        <f t="shared" si="4"/>
        <v>0</v>
      </c>
      <c r="BH17" s="22">
        <f>(BE17/1000000)*AJ17*(1-db!$AS$10)</f>
        <v>0</v>
      </c>
      <c r="BI17" s="20">
        <f>IF(B17=0,0,IF(C17&gt;59,0,LOOKUP(Table14[[#This Row],[Medical
Age]],db!$BC$3:$BC$63,db!$BE$3:$BE$63)))</f>
        <v>0</v>
      </c>
      <c r="BJ17" s="20">
        <f>(BI17/1000000)*AL17*(1-db!$AS$11)</f>
        <v>0</v>
      </c>
      <c r="BK17" s="20">
        <f>(BI17/1000000)*AL17*(db!$AS$11)</f>
        <v>0</v>
      </c>
      <c r="BL17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17" s="20">
        <f>Table14[[#This Row],[RiskLoading
Rate]]*Table14[[#This Row],[Death Capital (2)]]</f>
        <v>0</v>
      </c>
      <c r="BN17" s="36"/>
      <c r="BO17" s="37">
        <f t="shared" si="5"/>
        <v>0</v>
      </c>
      <c r="BP17" s="35">
        <f t="shared" si="6"/>
        <v>0</v>
      </c>
      <c r="BQ17" s="35">
        <f t="shared" si="7"/>
        <v>0</v>
      </c>
      <c r="BR17" s="37">
        <f t="shared" si="11"/>
        <v>0</v>
      </c>
      <c r="BS17" s="37">
        <f t="shared" si="12"/>
        <v>0</v>
      </c>
      <c r="BT17" s="35">
        <f t="shared" si="13"/>
        <v>0</v>
      </c>
      <c r="BU17" s="35">
        <f t="shared" si="14"/>
        <v>0</v>
      </c>
      <c r="BV17" s="37">
        <f>(db!$AS$4/100)*(L17-BT17-BU17)</f>
        <v>0</v>
      </c>
      <c r="BW17" s="37">
        <f>(db!$AS$8/100)*(L17-BT17-BU17)</f>
        <v>0</v>
      </c>
      <c r="BX17" s="35"/>
      <c r="BY17" s="37"/>
      <c r="BZ17" s="37"/>
      <c r="CA17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17" s="33"/>
      <c r="CC17" s="39">
        <f>ROUND((Table14[[#This Row],[Premium]]-Table14[[#This Row],[All Deductions]]),0)</f>
        <v>0</v>
      </c>
      <c r="CD17" s="40">
        <f>ROUND(IF(B17=0,0,((CC17)*(1+ IF(AND(Changes!Change="Yes",Changes!ValidityYear&lt;=Table14[[#This Row],[Year]],Annulment&gt;Table14[[#This Row],[Year]],Changes!ChangeType="Paid-Up"),db!Y19+0.02,db!Y19)))+((CD16)*(1+IF(AND(Changes!Change="Yes",Changes!ValidityYear&lt;=Table14[[#This Row],[Year]],Annulment&gt;Table14[[#This Row],[Year]],Changes!ChangeType="Paid-Up"),db!U19+0.02,db!U19)))),0)</f>
        <v>0</v>
      </c>
      <c r="CE17" s="40">
        <f>ROUND(IF(B17=0,0,((CC17)*(1+db!Y19))+((CE16)*(1+db!U19))),0)</f>
        <v>0</v>
      </c>
      <c r="CF17" s="40">
        <f t="shared" si="19"/>
        <v>0</v>
      </c>
      <c r="CG17" s="15">
        <f t="shared" si="15"/>
        <v>16</v>
      </c>
      <c r="CH17" s="39">
        <f>IF(B17=0,0,((CC17)*(1+db!AH19))+((CH16)*(1+db!AD19)))</f>
        <v>0</v>
      </c>
      <c r="CI17" s="39">
        <f>IF(B17=0,0,((CC17)*(1+db!AH19))+((CI16)*(1+db!AD19)))</f>
        <v>0</v>
      </c>
      <c r="CJ17" s="40">
        <f>IF(B17=0,0,((CC17)*(1+db!AO19))+((CJ16)*(1+db!AK19)))</f>
        <v>0</v>
      </c>
      <c r="CK17" s="40">
        <f>CJ17-(SUM(BX$7:$BX18))</f>
        <v>0</v>
      </c>
      <c r="CL17" s="46"/>
    </row>
    <row r="18" spans="1:90">
      <c r="A18" s="347">
        <f t="shared" si="16"/>
        <v>17</v>
      </c>
      <c r="B18" s="345">
        <f>IF(AND(Changes!Change="Yes", Changes!ChangeType="Change Contract Duration"),IF(B17=0,0,IF(Changes!NewChangedValue&lt;B17+1,0,B17+1)),IF(B17=0,0,IF('Application Annually'!$C$5&lt;B17+1,0,B17+1)))</f>
        <v>0</v>
      </c>
      <c r="C18" s="15">
        <f t="shared" si="17"/>
        <v>0</v>
      </c>
      <c r="D18" s="312">
        <f t="shared" si="18"/>
        <v>44</v>
      </c>
      <c r="E18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18" s="29">
        <f t="shared" si="8"/>
        <v>0</v>
      </c>
      <c r="G18" s="29">
        <f t="shared" si="9"/>
        <v>0</v>
      </c>
      <c r="H18" s="29">
        <f t="shared" si="0"/>
        <v>0</v>
      </c>
      <c r="I18" s="29">
        <f>IF(B18&gt;0,IF(AND(Table14[[#This Row],[Year]]&gt;Changes!ValidityYear,Changes!Change="Yes",Changes!ChangeType="Change Value Adjustment"),Changes!$G$22,'Application Annually'!$C$11),0)</f>
        <v>0</v>
      </c>
      <c r="J18" s="29">
        <f>IF(B18&gt;0,IF(AND(Table14[[#This Row],[Year]]&gt;Changes!ValidityYear,Changes!Change="Yes",Changes!ChangeType="Change Value Adjustment"),Changes!$G$24,'Application Annually'!$C$7),0)</f>
        <v>0</v>
      </c>
      <c r="K18" s="29">
        <f>ROUND(IF(B18=0,0,IF(AND(Changes!Change="Yes", Changes!ValidityYear=Table14[[#This Row],[Year]], Changes!ChangeType="Change Premium"), Changes!NewChangedValue, (K17*(1+db!$B$3)))),0)</f>
        <v>0</v>
      </c>
      <c r="L18" s="29">
        <f>ROUND(IF(B18=0,0,IF(AND(Changes!Change="Yes", Changes!ValidityYear=Table14[[#This Row],[Year]], Changes!ChangeType="Change Premium"), Changes!NewChangedValue, (L17*(1+Table14[[#This Row],[Adjustment Factor of Premium]]/100)))),0)</f>
        <v>0</v>
      </c>
      <c r="M18" s="29">
        <f>IF(Table14[[#This Row],[Year]]=1,ROUND(MIN($L$2 -( Table14[[#This Row],[Riders Risk Premiums]] + Table14[[#This Row],[Acquisition Cost]]) *0.75,Table14[[#This Row],[Death Capital (1)]]* 0.03),0),0)</f>
        <v>0</v>
      </c>
      <c r="N18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8" s="29">
        <f>ROUND(IF(ROW()-1&gt;InsurancePeriod,0,(O17*(1+(Table14[[#This Row],[Adjustment Factor of Premium]]/100)))),0)</f>
        <v>0</v>
      </c>
      <c r="P18" s="29">
        <f>IF(Table14[Year] = 0, 0, SUM(L$2:L18))</f>
        <v>0</v>
      </c>
      <c r="Q18" s="17">
        <f t="shared" si="1"/>
        <v>0</v>
      </c>
      <c r="R18" s="17">
        <f>IF(Table14[[#This Row],[Year]]=0,0,IF($C$2&lt;=50,LOOKUP(Table14[[#This Row],[Age]],db!BG19:BG125,db!BH19:BH125),LOOKUP(Table14[[#This Row],[Age]],db!BJ19:BJ125,db!BK19:BK125)))</f>
        <v>0</v>
      </c>
      <c r="S18" s="17">
        <f>IF(B18=0,0, IF(AND(Changes!Change="Yes", Changes!ValidityYear=Table14[[#This Row],[Year]], Changes!ChangeType="Change Death Capital"), Changes!NewChangedValue, S17*(1+(Table14[[#This Row],[Adjustment Factor of Death Capital]]/100))))</f>
        <v>0</v>
      </c>
      <c r="T18" s="17">
        <f>MIN(IF(B18=0,0,Table14[[#This Row],[Death Capital (1)]]),Table14[[#This Row],[Max Sum Insured For Death]])</f>
        <v>0</v>
      </c>
      <c r="U18" s="29">
        <f t="shared" si="10"/>
        <v>0</v>
      </c>
      <c r="V18" s="29">
        <f>IF(B18=0,0,IF(AND(Changes!Change="Yes", Changes!ValidityYear&lt;=Table14[[#This Row],[Year]], Changes!ChangeType="Rider Inclusion/Exclusion", Changes!RiderType="Accident Death"), T18*Changes!NewChangedValue,IF(db!$D$6="Yes",(db!$B$6)*T18,0)))</f>
        <v>0</v>
      </c>
      <c r="W18" s="29">
        <f>MIN(IF(V18&lt;=db!$L$2,V18,db!$L$2),MAX_ACC_CAPITAL)</f>
        <v>0</v>
      </c>
      <c r="X18" s="17">
        <f>IF(OR(B18=0,Table14[[#This Row],[Accident Capital (2)]]=0),0,IF(AND(Changes!Change="Yes", Changes!ValidityYear&lt;=Table14[[#This Row],[Year]], Changes!ChangeType="Rider Inclusion/Exclusion", Changes!RiderType="Accident Disability"), T18*Changes!NewChangedValue,IF(db!$D$7="Yes",(db!$B$7)*T18,0)))</f>
        <v>0</v>
      </c>
      <c r="Y18" s="42">
        <f>IF(C18&gt;69,0,IF(C18=0,0,IF(X18&lt;=db!$L$3,X18,db!$L$3)))</f>
        <v>0</v>
      </c>
      <c r="Z18" s="29">
        <f>IF(OR(B18=0,Table14[[#This Row],[Accident Capital (2)]]=0),0,IF(AND(Changes!Change="Yes", Changes!ValidityYear&lt;=Table14[[#This Row],[Year]], Changes!ChangeType="Rider Inclusion/Exclusion", Changes!RiderType="Accident Medical Cost"), T18*Changes!NewChangedValue,IF(db!$D$9="Yes",(db!$B$9)*T18,0)))</f>
        <v>0</v>
      </c>
      <c r="AA18" s="29">
        <f>ROUND(IF(C18&gt;69,0,IF(C18=0,0,IF(Z18&lt;=db!$L$4,Z18,db!$L$4))),0)</f>
        <v>0</v>
      </c>
      <c r="AB18" s="38">
        <f>IF(AND(Changes!Change = "Yes", Changes!ChangeType = "Rider Inclusion/Exclusion", Changes!RiderType = "WOP"), IF( Changes!ValidityYear &lt;= Table14[[#This Row],[Year]], IF(WOP = "Yes", 0, 1),  IF(WOP = "Yes", 1, 0)), IF(AND(db!$D$8="Yes",C18&lt;=69,ROW()-1&lt;=InsurancePeriod), 1, 0))</f>
        <v>0</v>
      </c>
      <c r="AC18" s="17">
        <f>(AC19+K19)*AB18*((1)/(1+db!AA20))*(LOOKUP(C18,'Mortality Table'!$A$2:$A$108,'Mortality Table'!$E$2:$E$108))</f>
        <v>0</v>
      </c>
      <c r="AD18" s="340">
        <f>IF(AND(Changes!ValidityYear&lt;= Table14[[#This Row],[Year]],Changes!ChangeType="Change Value Adjustment",Changes!Change="Yes"), (AD19+L19)*AB18*((1)/(1+db!AA20))*(LOOKUP(C18,'Mortality Table'!$A$2:$A$108,'Mortality Table'!$E$2:$E$108)),Table14[[#This Row],[WOP Before Adj. BT]])</f>
        <v>0</v>
      </c>
      <c r="AE18" s="341">
        <f>IF(AND(Changes!Change="Yes", Changes!ChangeType="Change Value Adjustment"),Table14[[#This Row],[WOP Capital]],(AE19+O19)*AB18*((1)/(1+db!AA20))*(LOOKUP(D18,'Mortality Table'!$A$2:$A$108,'Mortality Table'!$E$2:$E$108)))</f>
        <v>0</v>
      </c>
      <c r="AF18" s="17">
        <f>IF(AND(Changes!Change="Yes", Changes!ValidityYear&lt;=ROW()-1),Table14[[#This Row],[WOP Capital]],Table14[[#This Row],[WOP without change]])</f>
        <v>0</v>
      </c>
      <c r="AG18" s="42">
        <f>IF(AND(Changes!Change="Yes", Changes!ValidityYear&lt;=Table14[[#This Row],[Year]], Changes!ChangeType="Rider Inclusion/Exclusion", Changes!RiderType="Disability Annuity"), L18*Changes!NewChangedValue,L18*db!B$10*IF(db!$D$10="Yes",1,0))</f>
        <v>0</v>
      </c>
      <c r="AH18" s="29">
        <f>Table14[[#This Row],[Code Annuity Capital]]*IF('Annual Calculation'!C18&gt;69,0,(LOOKUP('Annual Calculation'!C18+1,'Mortality Table'!$A$2:$A$108,'Mortality Table'!$O$2:$O$108)-LOOKUP('Annual Calculation'!C18+11,'Mortality Table'!$A$2:$A$108,'Mortality Table'!$O$2:$O$108))/LOOKUP('Annual Calculation'!C18,'Mortality Table'!$A$2:$A$108,'Mortality Table'!$M$2:$M$108))</f>
        <v>0</v>
      </c>
      <c r="AI18" s="17">
        <f>IF(B18=0,0,IF(AND(Changes!Change="Yes", Changes!ValidityYear&lt;=Table14[[#This Row],[Year]], Changes!ChangeType="Rider Inclusion/Exclusion", Changes!RiderType="Dread Disease"), T18*Changes!NewChangedValue,IF(db!$D$11="Yes",(db!$B$11)*T18,0)))</f>
        <v>0</v>
      </c>
      <c r="AJ18" s="42">
        <f>ROUND(IF(C18&gt;59,0,IF(C18=0,0,IF(AI18&lt;=db!$L$5,AI18,db!$L$5))),0)</f>
        <v>0</v>
      </c>
      <c r="AK18" s="29">
        <f>IF(B18=0,0,IF(AND(Changes!Change="Yes", Changes!ValidityYear&lt;=Table14[[#This Row],[Year]], Changes!ChangeType="Rider Inclusion/Exclusion", Changes!RiderType="Cancer"), T18*Changes!NewChangedValue,IF(db!$D$12="Yes",(db!$B$12)*T18,0)))</f>
        <v>0</v>
      </c>
      <c r="AL18" s="29">
        <f>ROUND(IF(C18&gt;59,0,IF(C18=0,0,IF(AK18&lt;=db!$L$6,AK18,db!$L$6))),0)</f>
        <v>0</v>
      </c>
      <c r="AM18" s="32"/>
      <c r="AN18" s="18">
        <f>IF(B18=0,0,IF(C18&lt;(db!$E$2+5),LOOKUP(C18,'Mortality Table'!$A$2:$A$108,'Mortality Table'!$P$2:$P$108),IF((C18&gt;=db!$E$2+10),LOOKUP(C18,'Mortality Table'!$A$2:$A$108,'Mortality Table'!$R$2:$R$108),LOOKUP(C18,'Mortality Table'!$A$2:$A$108,'Mortality Table'!$Q$2:$Q$108))))</f>
        <v>0</v>
      </c>
      <c r="AO18" s="22">
        <f t="shared" si="2"/>
        <v>0</v>
      </c>
      <c r="AP18" s="19">
        <f>IF(B18=0,0, LOOKUP(IF(AND(Changes!Change="Yes", Changes!ValidityYear&lt;=Table14[[#This Row],[Year]], Changes!ChangeType="Change Job Class"),Changes!NewChangedValue, db!$A$8),db!$AX$4:$AX$8,db!$AY$4:$AY$8))</f>
        <v>0</v>
      </c>
      <c r="AQ18" s="20">
        <f>ROUND((AP18/1000)*W18 * (1-db!$AS$9),0)</f>
        <v>0</v>
      </c>
      <c r="AR18" s="20">
        <f>(AP18/1000)*W18 * db!$AS$9</f>
        <v>0</v>
      </c>
      <c r="AS18" s="21">
        <f>IF(B18=0,0, LOOKUP(IF(AND(Changes!Change="Yes", Changes!ValidityYear&lt;=Table14[[#This Row],[Year]], Changes!ChangeType="Change Job Class"),Changes!NewChangedValue, db!$A$8),db!$AX$4:$AX$8,db!$AZ$4:$AZ$8))</f>
        <v>0</v>
      </c>
      <c r="AT18" s="22">
        <f>(AS18/1000)*Y18*(1-db!$AS$9)</f>
        <v>0</v>
      </c>
      <c r="AU18" s="22">
        <f>(AS18/1000)*Y18*(db!$AS$9)</f>
        <v>0</v>
      </c>
      <c r="AV18" s="23">
        <f>IF(B18=0,0, LOOKUP(IF(AND(Changes!Change="Yes", Changes!ValidityYear&lt;=Table14[[#This Row],[Year]], Changes!ChangeType="Change Job Class"),Changes!NewChangedValue, db!$A$8),db!$AX$4:$AX$8,db!$BA$4:$BA$8))</f>
        <v>0</v>
      </c>
      <c r="AW18" s="20">
        <f>ROUND((AV18/(100))*AA18*(1-db!$AS$9),0)</f>
        <v>0</v>
      </c>
      <c r="AX18" s="20">
        <f>ROUND((AV18/(100))*AA18*(db!$AS$9),0)</f>
        <v>0</v>
      </c>
      <c r="AY18" s="21">
        <f>IF(db!$D$8="Yes",AS18,0)</f>
        <v>0</v>
      </c>
      <c r="AZ18" s="22">
        <f>(AY18*AF18)/1000*(1-db!$AS$9)</f>
        <v>0</v>
      </c>
      <c r="BA18" s="22">
        <f>(AY18*AF18)/1000*(db!$AS$9)</f>
        <v>0</v>
      </c>
      <c r="BB18" s="23">
        <f t="shared" si="3"/>
        <v>0</v>
      </c>
      <c r="BC18" s="20">
        <f>(BB18*AH18/1000)*(1-db!$AS$9)</f>
        <v>0</v>
      </c>
      <c r="BD18" s="20">
        <f>(BB18*AH18/1000)*(db!$AS$9)</f>
        <v>0</v>
      </c>
      <c r="BE18" s="22">
        <f>IF(B18=0,0,IF(C18&gt;60,0,LOOKUP(Table14[[#This Row],[Medical
Age]],db!$BC$3:$BC$63,db!$BD$3:$BD$63)))</f>
        <v>0</v>
      </c>
      <c r="BF18" s="22">
        <f>BG18*db!$AS$10</f>
        <v>0</v>
      </c>
      <c r="BG18" s="22">
        <f t="shared" si="4"/>
        <v>0</v>
      </c>
      <c r="BH18" s="22">
        <f>(BE18/1000000)*AJ18*(1-db!$AS$10)</f>
        <v>0</v>
      </c>
      <c r="BI18" s="20">
        <f>IF(B18=0,0,IF(C18&gt;59,0,LOOKUP(Table14[[#This Row],[Medical
Age]],db!$BC$3:$BC$63,db!$BE$3:$BE$63)))</f>
        <v>0</v>
      </c>
      <c r="BJ18" s="20">
        <f>(BI18/1000000)*AL18*(1-db!$AS$11)</f>
        <v>0</v>
      </c>
      <c r="BK18" s="20">
        <f>(BI18/1000000)*AL18*(db!$AS$11)</f>
        <v>0</v>
      </c>
      <c r="BL18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18" s="20">
        <f>Table14[[#This Row],[RiskLoading
Rate]]*Table14[[#This Row],[Death Capital (2)]]</f>
        <v>0</v>
      </c>
      <c r="BN18" s="36"/>
      <c r="BO18" s="37">
        <f t="shared" si="5"/>
        <v>0</v>
      </c>
      <c r="BP18" s="35">
        <f t="shared" si="6"/>
        <v>0</v>
      </c>
      <c r="BQ18" s="35">
        <f t="shared" si="7"/>
        <v>0</v>
      </c>
      <c r="BR18" s="37">
        <f t="shared" si="11"/>
        <v>0</v>
      </c>
      <c r="BS18" s="37">
        <f t="shared" si="12"/>
        <v>0</v>
      </c>
      <c r="BT18" s="35">
        <f t="shared" si="13"/>
        <v>0</v>
      </c>
      <c r="BU18" s="35">
        <f t="shared" si="14"/>
        <v>0</v>
      </c>
      <c r="BV18" s="37">
        <f>(db!$AS$4/100)*(L18-BT18-BU18)</f>
        <v>0</v>
      </c>
      <c r="BW18" s="37">
        <f>(db!$AS$8/100)*(L18-BT18-BU18)</f>
        <v>0</v>
      </c>
      <c r="BX18" s="35"/>
      <c r="BY18" s="37"/>
      <c r="BZ18" s="37"/>
      <c r="CA18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18" s="33"/>
      <c r="CC18" s="39">
        <f>ROUND((Table14[[#This Row],[Premium]]-Table14[[#This Row],[All Deductions]]),0)</f>
        <v>0</v>
      </c>
      <c r="CD18" s="40">
        <f>ROUND(IF(B18=0,0,((CC18)*(1+ IF(AND(Changes!Change="Yes",Changes!ValidityYear&lt;=Table14[[#This Row],[Year]],Annulment&gt;Table14[[#This Row],[Year]],Changes!ChangeType="Paid-Up"),db!Y20+0.02,db!Y20)))+((CD17)*(1+IF(AND(Changes!Change="Yes",Changes!ValidityYear&lt;=Table14[[#This Row],[Year]],Annulment&gt;Table14[[#This Row],[Year]],Changes!ChangeType="Paid-Up"),db!U20+0.02,db!U20)))),0)</f>
        <v>0</v>
      </c>
      <c r="CE18" s="40">
        <f>ROUND(IF(B18=0,0,((CC18)*(1+db!Y20))+((CE17)*(1+db!U20))),0)</f>
        <v>0</v>
      </c>
      <c r="CF18" s="40">
        <f t="shared" si="19"/>
        <v>0</v>
      </c>
      <c r="CG18" s="15">
        <f t="shared" si="15"/>
        <v>17</v>
      </c>
      <c r="CH18" s="39">
        <f>IF(B18=0,0,((CC18)*(1+db!AH20))+((CH17)*(1+db!AD20)))</f>
        <v>0</v>
      </c>
      <c r="CI18" s="39">
        <f>IF(B18=0,0,((CC18)*(1+db!AH20))+((CI17)*(1+db!AD20)))</f>
        <v>0</v>
      </c>
      <c r="CJ18" s="40">
        <f>IF(B18=0,0,((CC18)*(1+db!AO20))+((CJ17)*(1+db!AK20)))</f>
        <v>0</v>
      </c>
      <c r="CK18" s="40">
        <f>CJ18-(SUM(BX$7:$BX19))</f>
        <v>0</v>
      </c>
      <c r="CL18" s="46"/>
    </row>
    <row r="19" spans="1:90">
      <c r="A19" s="347">
        <f t="shared" si="16"/>
        <v>18</v>
      </c>
      <c r="B19" s="345">
        <f>IF(AND(Changes!Change="Yes", Changes!ChangeType="Change Contract Duration"),IF(B18=0,0,IF(Changes!NewChangedValue&lt;B18+1,0,B18+1)),IF(B18=0,0,IF('Application Annually'!$C$5&lt;B18+1,0,B18+1)))</f>
        <v>0</v>
      </c>
      <c r="C19" s="15">
        <f t="shared" si="17"/>
        <v>0</v>
      </c>
      <c r="D19" s="312">
        <f t="shared" si="18"/>
        <v>45</v>
      </c>
      <c r="E19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19" s="29">
        <f t="shared" si="8"/>
        <v>0</v>
      </c>
      <c r="G19" s="29">
        <f t="shared" si="9"/>
        <v>0</v>
      </c>
      <c r="H19" s="29">
        <f t="shared" si="0"/>
        <v>0</v>
      </c>
      <c r="I19" s="29">
        <f>IF(B19&gt;0,IF(AND(Table14[[#This Row],[Year]]&gt;Changes!ValidityYear,Changes!Change="Yes",Changes!ChangeType="Change Value Adjustment"),Changes!$G$22,'Application Annually'!$C$11),0)</f>
        <v>0</v>
      </c>
      <c r="J19" s="29">
        <f>IF(B19&gt;0,IF(AND(Table14[[#This Row],[Year]]&gt;Changes!ValidityYear,Changes!Change="Yes",Changes!ChangeType="Change Value Adjustment"),Changes!$G$24,'Application Annually'!$C$7),0)</f>
        <v>0</v>
      </c>
      <c r="K19" s="29">
        <f>ROUND(IF(B19=0,0,IF(AND(Changes!Change="Yes", Changes!ValidityYear=Table14[[#This Row],[Year]], Changes!ChangeType="Change Premium"), Changes!NewChangedValue, (K18*(1+db!$B$3)))),0)</f>
        <v>0</v>
      </c>
      <c r="L19" s="29">
        <f>ROUND(IF(B19=0,0,IF(AND(Changes!Change="Yes", Changes!ValidityYear=Table14[[#This Row],[Year]], Changes!ChangeType="Change Premium"), Changes!NewChangedValue, (L18*(1+Table14[[#This Row],[Adjustment Factor of Premium]]/100)))),0)</f>
        <v>0</v>
      </c>
      <c r="M19" s="29">
        <f>IF(Table14[[#This Row],[Year]]=1,ROUND(MIN($L$2 -( Table14[[#This Row],[Riders Risk Premiums]] + Table14[[#This Row],[Acquisition Cost]]) *0.75,Table14[[#This Row],[Death Capital (1)]]* 0.03),0),0)</f>
        <v>0</v>
      </c>
      <c r="N19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9" s="29">
        <f>ROUND(IF(ROW()-1&gt;InsurancePeriod,0,(O18*(1+(Table14[[#This Row],[Adjustment Factor of Premium]]/100)))),0)</f>
        <v>0</v>
      </c>
      <c r="P19" s="29">
        <f>IF(Table14[Year] = 0, 0, SUM(L$2:L19))</f>
        <v>0</v>
      </c>
      <c r="Q19" s="17">
        <f t="shared" si="1"/>
        <v>0</v>
      </c>
      <c r="R19" s="17">
        <f>IF(Table14[[#This Row],[Year]]=0,0,IF($C$2&lt;=50,LOOKUP(Table14[[#This Row],[Age]],db!BG20:BG126,db!BH20:BH126),LOOKUP(Table14[[#This Row],[Age]],db!BJ20:BJ126,db!BK20:BK126)))</f>
        <v>0</v>
      </c>
      <c r="S19" s="17">
        <f>IF(B19=0,0, IF(AND(Changes!Change="Yes", Changes!ValidityYear=Table14[[#This Row],[Year]], Changes!ChangeType="Change Death Capital"), Changes!NewChangedValue, S18*(1+(Table14[[#This Row],[Adjustment Factor of Death Capital]]/100))))</f>
        <v>0</v>
      </c>
      <c r="T19" s="17">
        <f>MIN(IF(B19=0,0,Table14[[#This Row],[Death Capital (1)]]),Table14[[#This Row],[Max Sum Insured For Death]])</f>
        <v>0</v>
      </c>
      <c r="U19" s="29">
        <f t="shared" si="10"/>
        <v>0</v>
      </c>
      <c r="V19" s="29">
        <f>IF(B19=0,0,IF(AND(Changes!Change="Yes", Changes!ValidityYear&lt;=Table14[[#This Row],[Year]], Changes!ChangeType="Rider Inclusion/Exclusion", Changes!RiderType="Accident Death"), T19*Changes!NewChangedValue,IF(db!$D$6="Yes",(db!$B$6)*T19,0)))</f>
        <v>0</v>
      </c>
      <c r="W19" s="29">
        <f>MIN(IF(V19&lt;=db!$L$2,V19,db!$L$2),MAX_ACC_CAPITAL)</f>
        <v>0</v>
      </c>
      <c r="X19" s="17">
        <f>IF(OR(B19=0,Table14[[#This Row],[Accident Capital (2)]]=0),0,IF(AND(Changes!Change="Yes", Changes!ValidityYear&lt;=Table14[[#This Row],[Year]], Changes!ChangeType="Rider Inclusion/Exclusion", Changes!RiderType="Accident Disability"), T19*Changes!NewChangedValue,IF(db!$D$7="Yes",(db!$B$7)*T19,0)))</f>
        <v>0</v>
      </c>
      <c r="Y19" s="42">
        <f>IF(C19&gt;69,0,IF(C19=0,0,IF(X19&lt;=db!$L$3,X19,db!$L$3)))</f>
        <v>0</v>
      </c>
      <c r="Z19" s="29">
        <f>IF(OR(B19=0,Table14[[#This Row],[Accident Capital (2)]]=0),0,IF(AND(Changes!Change="Yes", Changes!ValidityYear&lt;=Table14[[#This Row],[Year]], Changes!ChangeType="Rider Inclusion/Exclusion", Changes!RiderType="Accident Medical Cost"), T19*Changes!NewChangedValue,IF(db!$D$9="Yes",(db!$B$9)*T19,0)))</f>
        <v>0</v>
      </c>
      <c r="AA19" s="29">
        <f>ROUND(IF(C19&gt;69,0,IF(C19=0,0,IF(Z19&lt;=db!$L$4,Z19,db!$L$4))),0)</f>
        <v>0</v>
      </c>
      <c r="AB19" s="38">
        <f>IF(AND(Changes!Change = "Yes", Changes!ChangeType = "Rider Inclusion/Exclusion", Changes!RiderType = "WOP"), IF( Changes!ValidityYear &lt;= Table14[[#This Row],[Year]], IF(WOP = "Yes", 0, 1),  IF(WOP = "Yes", 1, 0)), IF(AND(db!$D$8="Yes",C19&lt;=69,ROW()-1&lt;=InsurancePeriod), 1, 0))</f>
        <v>0</v>
      </c>
      <c r="AC19" s="17">
        <f>(AC20+K20)*AB19*((1)/(1+db!AA21))*(LOOKUP(C19,'Mortality Table'!$A$2:$A$108,'Mortality Table'!$E$2:$E$108))</f>
        <v>0</v>
      </c>
      <c r="AD19" s="340">
        <f>IF(AND(Changes!ValidityYear&lt;= Table14[[#This Row],[Year]],Changes!ChangeType="Change Value Adjustment",Changes!Change="Yes"), (AD20+L20)*AB19*((1)/(1+db!AA21))*(LOOKUP(C19,'Mortality Table'!$A$2:$A$108,'Mortality Table'!$E$2:$E$108)),Table14[[#This Row],[WOP Before Adj. BT]])</f>
        <v>0</v>
      </c>
      <c r="AE19" s="341">
        <f>IF(AND(Changes!Change="Yes", Changes!ChangeType="Change Value Adjustment"),Table14[[#This Row],[WOP Capital]],(AE20+O20)*AB19*((1)/(1+db!AA21))*(LOOKUP(D19,'Mortality Table'!$A$2:$A$108,'Mortality Table'!$E$2:$E$108)))</f>
        <v>0</v>
      </c>
      <c r="AF19" s="17">
        <f>IF(AND(Changes!Change="Yes", Changes!ValidityYear&lt;=ROW()-1),Table14[[#This Row],[WOP Capital]],Table14[[#This Row],[WOP without change]])</f>
        <v>0</v>
      </c>
      <c r="AG19" s="42">
        <f>IF(AND(Changes!Change="Yes", Changes!ValidityYear&lt;=Table14[[#This Row],[Year]], Changes!ChangeType="Rider Inclusion/Exclusion", Changes!RiderType="Disability Annuity"), L19*Changes!NewChangedValue,L19*db!B$10*IF(db!$D$10="Yes",1,0))</f>
        <v>0</v>
      </c>
      <c r="AH19" s="29">
        <f>Table14[[#This Row],[Code Annuity Capital]]*IF('Annual Calculation'!C19&gt;69,0,(LOOKUP('Annual Calculation'!C19+1,'Mortality Table'!$A$2:$A$108,'Mortality Table'!$O$2:$O$108)-LOOKUP('Annual Calculation'!C19+11,'Mortality Table'!$A$2:$A$108,'Mortality Table'!$O$2:$O$108))/LOOKUP('Annual Calculation'!C19,'Mortality Table'!$A$2:$A$108,'Mortality Table'!$M$2:$M$108))</f>
        <v>0</v>
      </c>
      <c r="AI19" s="17">
        <f>IF(B19=0,0,IF(AND(Changes!Change="Yes", Changes!ValidityYear&lt;=Table14[[#This Row],[Year]], Changes!ChangeType="Rider Inclusion/Exclusion", Changes!RiderType="Dread Disease"), T19*Changes!NewChangedValue,IF(db!$D$11="Yes",(db!$B$11)*T19,0)))</f>
        <v>0</v>
      </c>
      <c r="AJ19" s="42">
        <f>ROUND(IF(C19&gt;59,0,IF(C19=0,0,IF(AI19&lt;=db!$L$5,AI19,db!$L$5))),0)</f>
        <v>0</v>
      </c>
      <c r="AK19" s="29">
        <f>IF(B19=0,0,IF(AND(Changes!Change="Yes", Changes!ValidityYear&lt;=Table14[[#This Row],[Year]], Changes!ChangeType="Rider Inclusion/Exclusion", Changes!RiderType="Cancer"), T19*Changes!NewChangedValue,IF(db!$D$12="Yes",(db!$B$12)*T19,0)))</f>
        <v>0</v>
      </c>
      <c r="AL19" s="29">
        <f>ROUND(IF(C19&gt;59,0,IF(C19=0,0,IF(AK19&lt;=db!$L$6,AK19,db!$L$6))),0)</f>
        <v>0</v>
      </c>
      <c r="AM19" s="32"/>
      <c r="AN19" s="18">
        <f>IF(B19=0,0,IF(C19&lt;(db!$E$2+5),LOOKUP(C19,'Mortality Table'!$A$2:$A$108,'Mortality Table'!$P$2:$P$108),IF((C19&gt;=db!$E$2+10),LOOKUP(C19,'Mortality Table'!$A$2:$A$108,'Mortality Table'!$R$2:$R$108),LOOKUP(C19,'Mortality Table'!$A$2:$A$108,'Mortality Table'!$Q$2:$Q$108))))</f>
        <v>0</v>
      </c>
      <c r="AO19" s="22">
        <f t="shared" si="2"/>
        <v>0</v>
      </c>
      <c r="AP19" s="19">
        <f>IF(B19=0,0, LOOKUP(IF(AND(Changes!Change="Yes", Changes!ValidityYear&lt;=Table14[[#This Row],[Year]], Changes!ChangeType="Change Job Class"),Changes!NewChangedValue, db!$A$8),db!$AX$4:$AX$8,db!$AY$4:$AY$8))</f>
        <v>0</v>
      </c>
      <c r="AQ19" s="20">
        <f>ROUND((AP19/1000)*W19 * (1-db!$AS$9),0)</f>
        <v>0</v>
      </c>
      <c r="AR19" s="20">
        <f>(AP19/1000)*W19 * db!$AS$9</f>
        <v>0</v>
      </c>
      <c r="AS19" s="21">
        <f>IF(B19=0,0, LOOKUP(IF(AND(Changes!Change="Yes", Changes!ValidityYear&lt;=Table14[[#This Row],[Year]], Changes!ChangeType="Change Job Class"),Changes!NewChangedValue, db!$A$8),db!$AX$4:$AX$8,db!$AZ$4:$AZ$8))</f>
        <v>0</v>
      </c>
      <c r="AT19" s="22">
        <f>(AS19/1000)*Y19*(1-db!$AS$9)</f>
        <v>0</v>
      </c>
      <c r="AU19" s="22">
        <f>(AS19/1000)*Y19*(db!$AS$9)</f>
        <v>0</v>
      </c>
      <c r="AV19" s="23">
        <f>IF(B19=0,0, LOOKUP(IF(AND(Changes!Change="Yes", Changes!ValidityYear&lt;=Table14[[#This Row],[Year]], Changes!ChangeType="Change Job Class"),Changes!NewChangedValue, db!$A$8),db!$AX$4:$AX$8,db!$BA$4:$BA$8))</f>
        <v>0</v>
      </c>
      <c r="AW19" s="20">
        <f>ROUND((AV19/(100))*AA19*(1-db!$AS$9),0)</f>
        <v>0</v>
      </c>
      <c r="AX19" s="20">
        <f>ROUND((AV19/(100))*AA19*(db!$AS$9),0)</f>
        <v>0</v>
      </c>
      <c r="AY19" s="21">
        <f>IF(db!$D$8="Yes",AS19,0)</f>
        <v>0</v>
      </c>
      <c r="AZ19" s="22">
        <f>(AY19*AF19)/1000*(1-db!$AS$9)</f>
        <v>0</v>
      </c>
      <c r="BA19" s="22">
        <f>(AY19*AF19)/1000*(db!$AS$9)</f>
        <v>0</v>
      </c>
      <c r="BB19" s="23">
        <f t="shared" si="3"/>
        <v>0</v>
      </c>
      <c r="BC19" s="20">
        <f>(BB19*AH19/1000)*(1-db!$AS$9)</f>
        <v>0</v>
      </c>
      <c r="BD19" s="20">
        <f>(BB19*AH19/1000)*(db!$AS$9)</f>
        <v>0</v>
      </c>
      <c r="BE19" s="22">
        <f>IF(B19=0,0,IF(C19&gt;60,0,LOOKUP(Table14[[#This Row],[Medical
Age]],db!$BC$3:$BC$63,db!$BD$3:$BD$63)))</f>
        <v>0</v>
      </c>
      <c r="BF19" s="22">
        <f>BG19*db!$AS$10</f>
        <v>0</v>
      </c>
      <c r="BG19" s="22">
        <f t="shared" si="4"/>
        <v>0</v>
      </c>
      <c r="BH19" s="22">
        <f>(BE19/1000000)*AJ19*(1-db!$AS$10)</f>
        <v>0</v>
      </c>
      <c r="BI19" s="20">
        <f>IF(B19=0,0,IF(C19&gt;59,0,LOOKUP(Table14[[#This Row],[Medical
Age]],db!$BC$3:$BC$63,db!$BE$3:$BE$63)))</f>
        <v>0</v>
      </c>
      <c r="BJ19" s="20">
        <f>(BI19/1000000)*AL19*(1-db!$AS$11)</f>
        <v>0</v>
      </c>
      <c r="BK19" s="20">
        <f>(BI19/1000000)*AL19*(db!$AS$11)</f>
        <v>0</v>
      </c>
      <c r="BL19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19" s="20">
        <f>Table14[[#This Row],[RiskLoading
Rate]]*Table14[[#This Row],[Death Capital (2)]]</f>
        <v>0</v>
      </c>
      <c r="BN19" s="36"/>
      <c r="BO19" s="37">
        <f t="shared" si="5"/>
        <v>0</v>
      </c>
      <c r="BP19" s="35">
        <f t="shared" si="6"/>
        <v>0</v>
      </c>
      <c r="BQ19" s="35">
        <f t="shared" si="7"/>
        <v>0</v>
      </c>
      <c r="BR19" s="37">
        <f t="shared" si="11"/>
        <v>0</v>
      </c>
      <c r="BS19" s="37">
        <f t="shared" si="12"/>
        <v>0</v>
      </c>
      <c r="BT19" s="35">
        <f t="shared" si="13"/>
        <v>0</v>
      </c>
      <c r="BU19" s="35">
        <f t="shared" si="14"/>
        <v>0</v>
      </c>
      <c r="BV19" s="37">
        <f>(db!$AS$4/100)*(L19-BT19-BU19)</f>
        <v>0</v>
      </c>
      <c r="BW19" s="37">
        <f>(db!$AS$8/100)*(L19-BT19-BU19)</f>
        <v>0</v>
      </c>
      <c r="BX19" s="35"/>
      <c r="BY19" s="37"/>
      <c r="BZ19" s="37"/>
      <c r="CA19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19" s="33"/>
      <c r="CC19" s="39">
        <f>ROUND((Table14[[#This Row],[Premium]]-Table14[[#This Row],[All Deductions]]),0)</f>
        <v>0</v>
      </c>
      <c r="CD19" s="40">
        <f>ROUND(IF(B19=0,0,((CC19)*(1+ IF(AND(Changes!Change="Yes",Changes!ValidityYear&lt;=Table14[[#This Row],[Year]],Annulment&gt;Table14[[#This Row],[Year]],Changes!ChangeType="Paid-Up"),db!Y21+0.02,db!Y21)))+((CD18)*(1+IF(AND(Changes!Change="Yes",Changes!ValidityYear&lt;=Table14[[#This Row],[Year]],Annulment&gt;Table14[[#This Row],[Year]],Changes!ChangeType="Paid-Up"),db!U21+0.02,db!U21)))),0)</f>
        <v>0</v>
      </c>
      <c r="CE19" s="40">
        <f>ROUND(IF(B19=0,0,((CC19)*(1+db!Y21))+((CE18)*(1+db!U21))),0)</f>
        <v>0</v>
      </c>
      <c r="CF19" s="40">
        <f t="shared" si="19"/>
        <v>0</v>
      </c>
      <c r="CG19" s="15">
        <f t="shared" si="15"/>
        <v>18</v>
      </c>
      <c r="CH19" s="39">
        <f>IF(B19=0,0,((CC19)*(1+db!AH21))+((CH18)*(1+db!AD21)))</f>
        <v>0</v>
      </c>
      <c r="CI19" s="39">
        <f>IF(B19=0,0,((CC19)*(1+db!AH21))+((CI18)*(1+db!AD21)))</f>
        <v>0</v>
      </c>
      <c r="CJ19" s="40">
        <f>IF(B19=0,0,((CC19)*(1+db!AO21))+((CJ18)*(1+db!AK21)))</f>
        <v>0</v>
      </c>
      <c r="CK19" s="40">
        <f>CJ19-(SUM(BX$7:$BX20))</f>
        <v>0</v>
      </c>
      <c r="CL19" s="46"/>
    </row>
    <row r="20" spans="1:90">
      <c r="A20" s="347">
        <f t="shared" si="16"/>
        <v>19</v>
      </c>
      <c r="B20" s="345">
        <f>IF(AND(Changes!Change="Yes", Changes!ChangeType="Change Contract Duration"),IF(B19=0,0,IF(Changes!NewChangedValue&lt;B19+1,0,B19+1)),IF(B19=0,0,IF('Application Annually'!$C$5&lt;B19+1,0,B19+1)))</f>
        <v>0</v>
      </c>
      <c r="C20" s="15">
        <f t="shared" si="17"/>
        <v>0</v>
      </c>
      <c r="D20" s="312">
        <f t="shared" si="18"/>
        <v>46</v>
      </c>
      <c r="E20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20" s="29">
        <f t="shared" si="8"/>
        <v>0</v>
      </c>
      <c r="G20" s="29">
        <f t="shared" si="9"/>
        <v>0</v>
      </c>
      <c r="H20" s="29">
        <f t="shared" si="0"/>
        <v>0</v>
      </c>
      <c r="I20" s="29">
        <f>IF(B20&gt;0,IF(AND(Table14[[#This Row],[Year]]&gt;Changes!ValidityYear,Changes!Change="Yes",Changes!ChangeType="Change Value Adjustment"),Changes!$G$22,'Application Annually'!$C$11),0)</f>
        <v>0</v>
      </c>
      <c r="J20" s="29">
        <f>IF(B20&gt;0,IF(AND(Table14[[#This Row],[Year]]&gt;Changes!ValidityYear,Changes!Change="Yes",Changes!ChangeType="Change Value Adjustment"),Changes!$G$24,'Application Annually'!$C$7),0)</f>
        <v>0</v>
      </c>
      <c r="K20" s="29">
        <f>ROUND(IF(B20=0,0,IF(AND(Changes!Change="Yes", Changes!ValidityYear=Table14[[#This Row],[Year]], Changes!ChangeType="Change Premium"), Changes!NewChangedValue, (K19*(1+db!$B$3)))),0)</f>
        <v>0</v>
      </c>
      <c r="L20" s="29">
        <f>ROUND(IF(B20=0,0,IF(AND(Changes!Change="Yes", Changes!ValidityYear=Table14[[#This Row],[Year]], Changes!ChangeType="Change Premium"), Changes!NewChangedValue, (L19*(1+Table14[[#This Row],[Adjustment Factor of Premium]]/100)))),0)</f>
        <v>0</v>
      </c>
      <c r="M20" s="29">
        <f>IF(Table14[[#This Row],[Year]]=1,ROUND(MIN($L$2 -( Table14[[#This Row],[Riders Risk Premiums]] + Table14[[#This Row],[Acquisition Cost]]) *0.75,Table14[[#This Row],[Death Capital (1)]]* 0.03),0),0)</f>
        <v>0</v>
      </c>
      <c r="N20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20" s="29">
        <f>ROUND(IF(ROW()-1&gt;InsurancePeriod,0,(O19*(1+(Table14[[#This Row],[Adjustment Factor of Premium]]/100)))),0)</f>
        <v>0</v>
      </c>
      <c r="P20" s="29">
        <f>IF(Table14[Year] = 0, 0, SUM(L$2:L20))</f>
        <v>0</v>
      </c>
      <c r="Q20" s="17">
        <f t="shared" si="1"/>
        <v>0</v>
      </c>
      <c r="R20" s="17">
        <f>IF(Table14[[#This Row],[Year]]=0,0,IF($C$2&lt;=50,LOOKUP(Table14[[#This Row],[Age]],db!BG21:BG127,db!BH21:BH127),LOOKUP(Table14[[#This Row],[Age]],db!BJ21:BJ127,db!BK21:BK127)))</f>
        <v>0</v>
      </c>
      <c r="S20" s="17">
        <f>IF(B20=0,0, IF(AND(Changes!Change="Yes", Changes!ValidityYear=Table14[[#This Row],[Year]], Changes!ChangeType="Change Death Capital"), Changes!NewChangedValue, S19*(1+(Table14[[#This Row],[Adjustment Factor of Death Capital]]/100))))</f>
        <v>0</v>
      </c>
      <c r="T20" s="17">
        <f>MIN(IF(B20=0,0,Table14[[#This Row],[Death Capital (1)]]),Table14[[#This Row],[Max Sum Insured For Death]])</f>
        <v>0</v>
      </c>
      <c r="U20" s="29">
        <f t="shared" si="10"/>
        <v>0</v>
      </c>
      <c r="V20" s="29">
        <f>IF(B20=0,0,IF(AND(Changes!Change="Yes", Changes!ValidityYear&lt;=Table14[[#This Row],[Year]], Changes!ChangeType="Rider Inclusion/Exclusion", Changes!RiderType="Accident Death"), T20*Changes!NewChangedValue,IF(db!$D$6="Yes",(db!$B$6)*T20,0)))</f>
        <v>0</v>
      </c>
      <c r="W20" s="29">
        <f>MIN(IF(V20&lt;=db!$L$2,V20,db!$L$2),MAX_ACC_CAPITAL)</f>
        <v>0</v>
      </c>
      <c r="X20" s="17">
        <f>IF(OR(B20=0,Table14[[#This Row],[Accident Capital (2)]]=0),0,IF(AND(Changes!Change="Yes", Changes!ValidityYear&lt;=Table14[[#This Row],[Year]], Changes!ChangeType="Rider Inclusion/Exclusion", Changes!RiderType="Accident Disability"), T20*Changes!NewChangedValue,IF(db!$D$7="Yes",(db!$B$7)*T20,0)))</f>
        <v>0</v>
      </c>
      <c r="Y20" s="42">
        <f>IF(C20&gt;69,0,IF(C20=0,0,IF(X20&lt;=db!$L$3,X20,db!$L$3)))</f>
        <v>0</v>
      </c>
      <c r="Z20" s="29">
        <f>IF(OR(B20=0,Table14[[#This Row],[Accident Capital (2)]]=0),0,IF(AND(Changes!Change="Yes", Changes!ValidityYear&lt;=Table14[[#This Row],[Year]], Changes!ChangeType="Rider Inclusion/Exclusion", Changes!RiderType="Accident Medical Cost"), T20*Changes!NewChangedValue,IF(db!$D$9="Yes",(db!$B$9)*T20,0)))</f>
        <v>0</v>
      </c>
      <c r="AA20" s="29">
        <f>ROUND(IF(C20&gt;69,0,IF(C20=0,0,IF(Z20&lt;=db!$L$4,Z20,db!$L$4))),0)</f>
        <v>0</v>
      </c>
      <c r="AB20" s="38">
        <f>IF(AND(Changes!Change = "Yes", Changes!ChangeType = "Rider Inclusion/Exclusion", Changes!RiderType = "WOP"), IF( Changes!ValidityYear &lt;= Table14[[#This Row],[Year]], IF(WOP = "Yes", 0, 1),  IF(WOP = "Yes", 1, 0)), IF(AND(db!$D$8="Yes",C20&lt;=69,ROW()-1&lt;=InsurancePeriod), 1, 0))</f>
        <v>0</v>
      </c>
      <c r="AC20" s="17">
        <f>(AC21+K21)*AB20*((1)/(1+db!AA22))*(LOOKUP(C20,'Mortality Table'!$A$2:$A$108,'Mortality Table'!$E$2:$E$108))</f>
        <v>0</v>
      </c>
      <c r="AD20" s="340">
        <f>IF(AND(Changes!ValidityYear&lt;= Table14[[#This Row],[Year]],Changes!ChangeType="Change Value Adjustment",Changes!Change="Yes"), (AD21+L21)*AB20*((1)/(1+db!AA22))*(LOOKUP(C20,'Mortality Table'!$A$2:$A$108,'Mortality Table'!$E$2:$E$108)),Table14[[#This Row],[WOP Before Adj. BT]])</f>
        <v>0</v>
      </c>
      <c r="AE20" s="341">
        <f>IF(AND(Changes!Change="Yes", Changes!ChangeType="Change Value Adjustment"),Table14[[#This Row],[WOP Capital]],(AE21+O21)*AB20*((1)/(1+db!AA22))*(LOOKUP(D20,'Mortality Table'!$A$2:$A$108,'Mortality Table'!$E$2:$E$108)))</f>
        <v>0</v>
      </c>
      <c r="AF20" s="17">
        <f>IF(AND(Changes!Change="Yes", Changes!ValidityYear&lt;=ROW()-1),Table14[[#This Row],[WOP Capital]],Table14[[#This Row],[WOP without change]])</f>
        <v>0</v>
      </c>
      <c r="AG20" s="42">
        <f>IF(AND(Changes!Change="Yes", Changes!ValidityYear&lt;=Table14[[#This Row],[Year]], Changes!ChangeType="Rider Inclusion/Exclusion", Changes!RiderType="Disability Annuity"), L20*Changes!NewChangedValue,L20*db!B$10*IF(db!$D$10="Yes",1,0))</f>
        <v>0</v>
      </c>
      <c r="AH20" s="29">
        <f>Table14[[#This Row],[Code Annuity Capital]]*IF('Annual Calculation'!C20&gt;69,0,(LOOKUP('Annual Calculation'!C20+1,'Mortality Table'!$A$2:$A$108,'Mortality Table'!$O$2:$O$108)-LOOKUP('Annual Calculation'!C20+11,'Mortality Table'!$A$2:$A$108,'Mortality Table'!$O$2:$O$108))/LOOKUP('Annual Calculation'!C20,'Mortality Table'!$A$2:$A$108,'Mortality Table'!$M$2:$M$108))</f>
        <v>0</v>
      </c>
      <c r="AI20" s="17">
        <f>IF(B20=0,0,IF(AND(Changes!Change="Yes", Changes!ValidityYear&lt;=Table14[[#This Row],[Year]], Changes!ChangeType="Rider Inclusion/Exclusion", Changes!RiderType="Dread Disease"), T20*Changes!NewChangedValue,IF(db!$D$11="Yes",(db!$B$11)*T20,0)))</f>
        <v>0</v>
      </c>
      <c r="AJ20" s="42">
        <f>ROUND(IF(C20&gt;59,0,IF(C20=0,0,IF(AI20&lt;=db!$L$5,AI20,db!$L$5))),0)</f>
        <v>0</v>
      </c>
      <c r="AK20" s="29">
        <f>IF(B20=0,0,IF(AND(Changes!Change="Yes", Changes!ValidityYear&lt;=Table14[[#This Row],[Year]], Changes!ChangeType="Rider Inclusion/Exclusion", Changes!RiderType="Cancer"), T20*Changes!NewChangedValue,IF(db!$D$12="Yes",(db!$B$12)*T20,0)))</f>
        <v>0</v>
      </c>
      <c r="AL20" s="29">
        <f>ROUND(IF(C20&gt;59,0,IF(C20=0,0,IF(AK20&lt;=db!$L$6,AK20,db!$L$6))),0)</f>
        <v>0</v>
      </c>
      <c r="AM20" s="32"/>
      <c r="AN20" s="18">
        <f>IF(B20=0,0,IF(C20&lt;(db!$E$2+5),LOOKUP(C20,'Mortality Table'!$A$2:$A$108,'Mortality Table'!$P$2:$P$108),IF((C20&gt;=db!$E$2+10),LOOKUP(C20,'Mortality Table'!$A$2:$A$108,'Mortality Table'!$R$2:$R$108),LOOKUP(C20,'Mortality Table'!$A$2:$A$108,'Mortality Table'!$Q$2:$Q$108))))</f>
        <v>0</v>
      </c>
      <c r="AO20" s="22">
        <f t="shared" si="2"/>
        <v>0</v>
      </c>
      <c r="AP20" s="19">
        <f>IF(B20=0,0, LOOKUP(IF(AND(Changes!Change="Yes", Changes!ValidityYear&lt;=Table14[[#This Row],[Year]], Changes!ChangeType="Change Job Class"),Changes!NewChangedValue, db!$A$8),db!$AX$4:$AX$8,db!$AY$4:$AY$8))</f>
        <v>0</v>
      </c>
      <c r="AQ20" s="20">
        <f>ROUND((AP20/1000)*W20 * (1-db!$AS$9),0)</f>
        <v>0</v>
      </c>
      <c r="AR20" s="20">
        <f>(AP20/1000)*W20 * db!$AS$9</f>
        <v>0</v>
      </c>
      <c r="AS20" s="21">
        <f>IF(B20=0,0, LOOKUP(IF(AND(Changes!Change="Yes", Changes!ValidityYear&lt;=Table14[[#This Row],[Year]], Changes!ChangeType="Change Job Class"),Changes!NewChangedValue, db!$A$8),db!$AX$4:$AX$8,db!$AZ$4:$AZ$8))</f>
        <v>0</v>
      </c>
      <c r="AT20" s="22">
        <f>(AS20/1000)*Y20*(1-db!$AS$9)</f>
        <v>0</v>
      </c>
      <c r="AU20" s="22">
        <f>(AS20/1000)*Y20*(db!$AS$9)</f>
        <v>0</v>
      </c>
      <c r="AV20" s="23">
        <f>IF(B20=0,0, LOOKUP(IF(AND(Changes!Change="Yes", Changes!ValidityYear&lt;=Table14[[#This Row],[Year]], Changes!ChangeType="Change Job Class"),Changes!NewChangedValue, db!$A$8),db!$AX$4:$AX$8,db!$BA$4:$BA$8))</f>
        <v>0</v>
      </c>
      <c r="AW20" s="20">
        <f>ROUND((AV20/(100))*AA20*(1-db!$AS$9),0)</f>
        <v>0</v>
      </c>
      <c r="AX20" s="20">
        <f>ROUND((AV20/(100))*AA20*(db!$AS$9),0)</f>
        <v>0</v>
      </c>
      <c r="AY20" s="21">
        <f>IF(db!$D$8="Yes",AS20,0)</f>
        <v>0</v>
      </c>
      <c r="AZ20" s="22">
        <f>(AY20*AF20)/1000*(1-db!$AS$9)</f>
        <v>0</v>
      </c>
      <c r="BA20" s="22">
        <f>(AY20*AF20)/1000*(db!$AS$9)</f>
        <v>0</v>
      </c>
      <c r="BB20" s="23">
        <f t="shared" si="3"/>
        <v>0</v>
      </c>
      <c r="BC20" s="20">
        <f>(BB20*AH20/1000)*(1-db!$AS$9)</f>
        <v>0</v>
      </c>
      <c r="BD20" s="20">
        <f>(BB20*AH20/1000)*(db!$AS$9)</f>
        <v>0</v>
      </c>
      <c r="BE20" s="22">
        <f>IF(B20=0,0,IF(C20&gt;60,0,LOOKUP(Table14[[#This Row],[Medical
Age]],db!$BC$3:$BC$63,db!$BD$3:$BD$63)))</f>
        <v>0</v>
      </c>
      <c r="BF20" s="22">
        <f>BG20*db!$AS$10</f>
        <v>0</v>
      </c>
      <c r="BG20" s="22">
        <f t="shared" si="4"/>
        <v>0</v>
      </c>
      <c r="BH20" s="22">
        <f>(BE20/1000000)*AJ20*(1-db!$AS$10)</f>
        <v>0</v>
      </c>
      <c r="BI20" s="20">
        <f>IF(B20=0,0,IF(C20&gt;59,0,LOOKUP(Table14[[#This Row],[Medical
Age]],db!$BC$3:$BC$63,db!$BE$3:$BE$63)))</f>
        <v>0</v>
      </c>
      <c r="BJ20" s="20">
        <f>(BI20/1000000)*AL20*(1-db!$AS$11)</f>
        <v>0</v>
      </c>
      <c r="BK20" s="20">
        <f>(BI20/1000000)*AL20*(db!$AS$11)</f>
        <v>0</v>
      </c>
      <c r="BL20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20" s="20">
        <f>Table14[[#This Row],[RiskLoading
Rate]]*Table14[[#This Row],[Death Capital (2)]]</f>
        <v>0</v>
      </c>
      <c r="BN20" s="36"/>
      <c r="BO20" s="37">
        <f t="shared" si="5"/>
        <v>0</v>
      </c>
      <c r="BP20" s="35">
        <f t="shared" si="6"/>
        <v>0</v>
      </c>
      <c r="BQ20" s="35">
        <f t="shared" si="7"/>
        <v>0</v>
      </c>
      <c r="BR20" s="37">
        <f t="shared" si="11"/>
        <v>0</v>
      </c>
      <c r="BS20" s="37">
        <f t="shared" si="12"/>
        <v>0</v>
      </c>
      <c r="BT20" s="35">
        <f t="shared" si="13"/>
        <v>0</v>
      </c>
      <c r="BU20" s="35">
        <f t="shared" si="14"/>
        <v>0</v>
      </c>
      <c r="BV20" s="37">
        <f>(db!$AS$4/100)*(L20-BT20-BU20)</f>
        <v>0</v>
      </c>
      <c r="BW20" s="37">
        <f>(db!$AS$8/100)*(L20-BT20-BU20)</f>
        <v>0</v>
      </c>
      <c r="BX20" s="35"/>
      <c r="BY20" s="37"/>
      <c r="BZ20" s="37"/>
      <c r="CA20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20" s="33"/>
      <c r="CC20" s="39">
        <f>ROUND((Table14[[#This Row],[Premium]]-Table14[[#This Row],[All Deductions]]),0)</f>
        <v>0</v>
      </c>
      <c r="CD20" s="40">
        <f>ROUND(IF(B20=0,0,((CC20)*(1+ IF(AND(Changes!Change="Yes",Changes!ValidityYear&lt;=Table14[[#This Row],[Year]],Annulment&gt;Table14[[#This Row],[Year]],Changes!ChangeType="Paid-Up"),db!Y22+0.02,db!Y22)))+((CD19)*(1+IF(AND(Changes!Change="Yes",Changes!ValidityYear&lt;=Table14[[#This Row],[Year]],Annulment&gt;Table14[[#This Row],[Year]],Changes!ChangeType="Paid-Up"),db!U22+0.02,db!U22)))),0)</f>
        <v>0</v>
      </c>
      <c r="CE20" s="40">
        <f>ROUND(IF(B20=0,0,((CC20)*(1+db!Y22))+((CE19)*(1+db!U22))),0)</f>
        <v>0</v>
      </c>
      <c r="CF20" s="40">
        <f t="shared" si="19"/>
        <v>0</v>
      </c>
      <c r="CG20" s="15">
        <f t="shared" si="15"/>
        <v>19</v>
      </c>
      <c r="CH20" s="39">
        <f>IF(B20=0,0,((CC20)*(1+db!AH22))+((CH19)*(1+db!AD22)))</f>
        <v>0</v>
      </c>
      <c r="CI20" s="39">
        <f>IF(B20=0,0,((CC20)*(1+db!AH22))+((CI19)*(1+db!AD22)))</f>
        <v>0</v>
      </c>
      <c r="CJ20" s="40">
        <f>IF(B20=0,0,((CC20)*(1+db!AO22))+((CJ19)*(1+db!AK22)))</f>
        <v>0</v>
      </c>
      <c r="CK20" s="40">
        <f>CJ20-(SUM(BX$7:$BX21))</f>
        <v>0</v>
      </c>
      <c r="CL20" s="46"/>
    </row>
    <row r="21" spans="1:90">
      <c r="A21" s="347">
        <f t="shared" si="16"/>
        <v>20</v>
      </c>
      <c r="B21" s="345">
        <f>IF(AND(Changes!Change="Yes", Changes!ChangeType="Change Contract Duration"),IF(B20=0,0,IF(Changes!NewChangedValue&lt;B20+1,0,B20+1)),IF(B20=0,0,IF('Application Annually'!$C$5&lt;B20+1,0,B20+1)))</f>
        <v>0</v>
      </c>
      <c r="C21" s="15">
        <f t="shared" si="17"/>
        <v>0</v>
      </c>
      <c r="D21" s="312">
        <f t="shared" si="18"/>
        <v>47</v>
      </c>
      <c r="E21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21" s="29">
        <f t="shared" si="8"/>
        <v>0</v>
      </c>
      <c r="G21" s="29">
        <f t="shared" si="9"/>
        <v>0</v>
      </c>
      <c r="H21" s="29">
        <f t="shared" si="0"/>
        <v>0</v>
      </c>
      <c r="I21" s="29">
        <f>IF(B21&gt;0,IF(AND(Table14[[#This Row],[Year]]&gt;Changes!ValidityYear,Changes!Change="Yes",Changes!ChangeType="Change Value Adjustment"),Changes!$G$22,'Application Annually'!$C$11),0)</f>
        <v>0</v>
      </c>
      <c r="J21" s="29">
        <f>IF(B21&gt;0,IF(AND(Table14[[#This Row],[Year]]&gt;Changes!ValidityYear,Changes!Change="Yes",Changes!ChangeType="Change Value Adjustment"),Changes!$G$24,'Application Annually'!$C$7),0)</f>
        <v>0</v>
      </c>
      <c r="K21" s="29">
        <f>ROUND(IF(B21=0,0,IF(AND(Changes!Change="Yes", Changes!ValidityYear=Table14[[#This Row],[Year]], Changes!ChangeType="Change Premium"), Changes!NewChangedValue, (K20*(1+db!$B$3)))),0)</f>
        <v>0</v>
      </c>
      <c r="L21" s="29">
        <f>ROUND(IF(B21=0,0,IF(AND(Changes!Change="Yes", Changes!ValidityYear=Table14[[#This Row],[Year]], Changes!ChangeType="Change Premium"), Changes!NewChangedValue, (L20*(1+Table14[[#This Row],[Adjustment Factor of Premium]]/100)))),0)</f>
        <v>0</v>
      </c>
      <c r="M21" s="29">
        <f>IF(Table14[[#This Row],[Year]]=1,ROUND(MIN($L$2 -( Table14[[#This Row],[Riders Risk Premiums]] + Table14[[#This Row],[Acquisition Cost]]) *0.75,Table14[[#This Row],[Death Capital (1)]]* 0.03),0),0)</f>
        <v>0</v>
      </c>
      <c r="N21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21" s="29">
        <f>ROUND(IF(ROW()-1&gt;InsurancePeriod,0,(O20*(1+(Table14[[#This Row],[Adjustment Factor of Premium]]/100)))),0)</f>
        <v>0</v>
      </c>
      <c r="P21" s="29">
        <f>IF(Table14[Year] = 0, 0, SUM(L$2:L21))</f>
        <v>0</v>
      </c>
      <c r="Q21" s="17">
        <f t="shared" si="1"/>
        <v>0</v>
      </c>
      <c r="R21" s="17">
        <f>IF(Table14[[#This Row],[Year]]=0,0,IF($C$2&lt;=50,LOOKUP(Table14[[#This Row],[Age]],db!BG22:BG128,db!BH22:BH128),LOOKUP(Table14[[#This Row],[Age]],db!BJ22:BJ128,db!BK22:BK128)))</f>
        <v>0</v>
      </c>
      <c r="S21" s="17">
        <f>IF(B21=0,0, IF(AND(Changes!Change="Yes", Changes!ValidityYear=Table14[[#This Row],[Year]], Changes!ChangeType="Change Death Capital"), Changes!NewChangedValue, S20*(1+(Table14[[#This Row],[Adjustment Factor of Death Capital]]/100))))</f>
        <v>0</v>
      </c>
      <c r="T21" s="17">
        <f>MIN(IF(B21=0,0,Table14[[#This Row],[Death Capital (1)]]),Table14[[#This Row],[Max Sum Insured For Death]])</f>
        <v>0</v>
      </c>
      <c r="U21" s="29">
        <f t="shared" si="10"/>
        <v>0</v>
      </c>
      <c r="V21" s="29">
        <f>IF(B21=0,0,IF(AND(Changes!Change="Yes", Changes!ValidityYear&lt;=Table14[[#This Row],[Year]], Changes!ChangeType="Rider Inclusion/Exclusion", Changes!RiderType="Accident Death"), T21*Changes!NewChangedValue,IF(db!$D$6="Yes",(db!$B$6)*T21,0)))</f>
        <v>0</v>
      </c>
      <c r="W21" s="29">
        <f>MIN(IF(V21&lt;=db!$L$2,V21,db!$L$2),MAX_ACC_CAPITAL)</f>
        <v>0</v>
      </c>
      <c r="X21" s="17">
        <f>IF(OR(B21=0,Table14[[#This Row],[Accident Capital (2)]]=0),0,IF(AND(Changes!Change="Yes", Changes!ValidityYear&lt;=Table14[[#This Row],[Year]], Changes!ChangeType="Rider Inclusion/Exclusion", Changes!RiderType="Accident Disability"), T21*Changes!NewChangedValue,IF(db!$D$7="Yes",(db!$B$7)*T21,0)))</f>
        <v>0</v>
      </c>
      <c r="Y21" s="42">
        <f>IF(C21&gt;69,0,IF(C21=0,0,IF(X21&lt;=db!$L$3,X21,db!$L$3)))</f>
        <v>0</v>
      </c>
      <c r="Z21" s="29">
        <f>IF(OR(B21=0,Table14[[#This Row],[Accident Capital (2)]]=0),0,IF(AND(Changes!Change="Yes", Changes!ValidityYear&lt;=Table14[[#This Row],[Year]], Changes!ChangeType="Rider Inclusion/Exclusion", Changes!RiderType="Accident Medical Cost"), T21*Changes!NewChangedValue,IF(db!$D$9="Yes",(db!$B$9)*T21,0)))</f>
        <v>0</v>
      </c>
      <c r="AA21" s="29">
        <f>ROUND(IF(C21&gt;69,0,IF(C21=0,0,IF(Z21&lt;=db!$L$4,Z21,db!$L$4))),0)</f>
        <v>0</v>
      </c>
      <c r="AB21" s="38">
        <f>IF(AND(Changes!Change = "Yes", Changes!ChangeType = "Rider Inclusion/Exclusion", Changes!RiderType = "WOP"), IF( Changes!ValidityYear &lt;= Table14[[#This Row],[Year]], IF(WOP = "Yes", 0, 1),  IF(WOP = "Yes", 1, 0)), IF(AND(db!$D$8="Yes",C21&lt;=69,ROW()-1&lt;=InsurancePeriod), 1, 0))</f>
        <v>0</v>
      </c>
      <c r="AC21" s="17">
        <f>(AC22+K22)*AB21*((1)/(1+db!AA23))*(LOOKUP(C21,'Mortality Table'!$A$2:$A$108,'Mortality Table'!$E$2:$E$108))</f>
        <v>0</v>
      </c>
      <c r="AD21" s="340">
        <f>IF(AND(Changes!ValidityYear&lt;= Table14[[#This Row],[Year]],Changes!ChangeType="Change Value Adjustment",Changes!Change="Yes"), (AD22+L22)*AB21*((1)/(1+db!AA23))*(LOOKUP(C21,'Mortality Table'!$A$2:$A$108,'Mortality Table'!$E$2:$E$108)),Table14[[#This Row],[WOP Before Adj. BT]])</f>
        <v>0</v>
      </c>
      <c r="AE21" s="341">
        <f>IF(AND(Changes!Change="Yes", Changes!ChangeType="Change Value Adjustment"),Table14[[#This Row],[WOP Capital]],(AE22+O22)*AB21*((1)/(1+db!AA23))*(LOOKUP(D21,'Mortality Table'!$A$2:$A$108,'Mortality Table'!$E$2:$E$108)))</f>
        <v>0</v>
      </c>
      <c r="AF21" s="17">
        <f>IF(AND(Changes!Change="Yes", Changes!ValidityYear&lt;=ROW()-1),Table14[[#This Row],[WOP Capital]],Table14[[#This Row],[WOP without change]])</f>
        <v>0</v>
      </c>
      <c r="AG21" s="42">
        <f>IF(AND(Changes!Change="Yes", Changes!ValidityYear&lt;=Table14[[#This Row],[Year]], Changes!ChangeType="Rider Inclusion/Exclusion", Changes!RiderType="Disability Annuity"), L21*Changes!NewChangedValue,L21*db!B$10*IF(db!$D$10="Yes",1,0))</f>
        <v>0</v>
      </c>
      <c r="AH21" s="29">
        <f>Table14[[#This Row],[Code Annuity Capital]]*IF('Annual Calculation'!C21&gt;69,0,(LOOKUP('Annual Calculation'!C21+1,'Mortality Table'!$A$2:$A$108,'Mortality Table'!$O$2:$O$108)-LOOKUP('Annual Calculation'!C21+11,'Mortality Table'!$A$2:$A$108,'Mortality Table'!$O$2:$O$108))/LOOKUP('Annual Calculation'!C21,'Mortality Table'!$A$2:$A$108,'Mortality Table'!$M$2:$M$108))</f>
        <v>0</v>
      </c>
      <c r="AI21" s="17">
        <f>IF(B21=0,0,IF(AND(Changes!Change="Yes", Changes!ValidityYear&lt;=Table14[[#This Row],[Year]], Changes!ChangeType="Rider Inclusion/Exclusion", Changes!RiderType="Dread Disease"), T21*Changes!NewChangedValue,IF(db!$D$11="Yes",(db!$B$11)*T21,0)))</f>
        <v>0</v>
      </c>
      <c r="AJ21" s="42">
        <f>ROUND(IF(C21&gt;59,0,IF(C21=0,0,IF(AI21&lt;=db!$L$5,AI21,db!$L$5))),0)</f>
        <v>0</v>
      </c>
      <c r="AK21" s="29">
        <f>IF(B21=0,0,IF(AND(Changes!Change="Yes", Changes!ValidityYear&lt;=Table14[[#This Row],[Year]], Changes!ChangeType="Rider Inclusion/Exclusion", Changes!RiderType="Cancer"), T21*Changes!NewChangedValue,IF(db!$D$12="Yes",(db!$B$12)*T21,0)))</f>
        <v>0</v>
      </c>
      <c r="AL21" s="29">
        <f>ROUND(IF(C21&gt;59,0,IF(C21=0,0,IF(AK21&lt;=db!$L$6,AK21,db!$L$6))),0)</f>
        <v>0</v>
      </c>
      <c r="AM21" s="32"/>
      <c r="AN21" s="18">
        <f>IF(B21=0,0,IF(C21&lt;(db!$E$2+5),LOOKUP(C21,'Mortality Table'!$A$2:$A$108,'Mortality Table'!$P$2:$P$108),IF((C21&gt;=db!$E$2+10),LOOKUP(C21,'Mortality Table'!$A$2:$A$108,'Mortality Table'!$R$2:$R$108),LOOKUP(C21,'Mortality Table'!$A$2:$A$108,'Mortality Table'!$Q$2:$Q$108))))</f>
        <v>0</v>
      </c>
      <c r="AO21" s="22">
        <f t="shared" si="2"/>
        <v>0</v>
      </c>
      <c r="AP21" s="19">
        <f>IF(B21=0,0, LOOKUP(IF(AND(Changes!Change="Yes", Changes!ValidityYear&lt;=Table14[[#This Row],[Year]], Changes!ChangeType="Change Job Class"),Changes!NewChangedValue, db!$A$8),db!$AX$4:$AX$8,db!$AY$4:$AY$8))</f>
        <v>0</v>
      </c>
      <c r="AQ21" s="20">
        <f>ROUND((AP21/1000)*W21 * (1-db!$AS$9),0)</f>
        <v>0</v>
      </c>
      <c r="AR21" s="20">
        <f>(AP21/1000)*W21 * db!$AS$9</f>
        <v>0</v>
      </c>
      <c r="AS21" s="21">
        <f>IF(B21=0,0, LOOKUP(IF(AND(Changes!Change="Yes", Changes!ValidityYear&lt;=Table14[[#This Row],[Year]], Changes!ChangeType="Change Job Class"),Changes!NewChangedValue, db!$A$8),db!$AX$4:$AX$8,db!$AZ$4:$AZ$8))</f>
        <v>0</v>
      </c>
      <c r="AT21" s="22">
        <f>(AS21/1000)*Y21*(1-db!$AS$9)</f>
        <v>0</v>
      </c>
      <c r="AU21" s="22">
        <f>(AS21/1000)*Y21*(db!$AS$9)</f>
        <v>0</v>
      </c>
      <c r="AV21" s="23">
        <f>IF(B21=0,0, LOOKUP(IF(AND(Changes!Change="Yes", Changes!ValidityYear&lt;=Table14[[#This Row],[Year]], Changes!ChangeType="Change Job Class"),Changes!NewChangedValue, db!$A$8),db!$AX$4:$AX$8,db!$BA$4:$BA$8))</f>
        <v>0</v>
      </c>
      <c r="AW21" s="20">
        <f>ROUND((AV21/(100))*AA21*(1-db!$AS$9),0)</f>
        <v>0</v>
      </c>
      <c r="AX21" s="20">
        <f>ROUND((AV21/(100))*AA21*(db!$AS$9),0)</f>
        <v>0</v>
      </c>
      <c r="AY21" s="21">
        <f>IF(db!$D$8="Yes",AS21,0)</f>
        <v>0</v>
      </c>
      <c r="AZ21" s="22">
        <f>(AY21*AF21)/1000*(1-db!$AS$9)</f>
        <v>0</v>
      </c>
      <c r="BA21" s="22">
        <f>(AY21*AF21)/1000*(db!$AS$9)</f>
        <v>0</v>
      </c>
      <c r="BB21" s="23">
        <f t="shared" si="3"/>
        <v>0</v>
      </c>
      <c r="BC21" s="20">
        <f>(BB21*AH21/1000)*(1-db!$AS$9)</f>
        <v>0</v>
      </c>
      <c r="BD21" s="20">
        <f>(BB21*AH21/1000)*(db!$AS$9)</f>
        <v>0</v>
      </c>
      <c r="BE21" s="22">
        <f>IF(B21=0,0,IF(C21&gt;60,0,LOOKUP(Table14[[#This Row],[Medical
Age]],db!$BC$3:$BC$63,db!$BD$3:$BD$63)))</f>
        <v>0</v>
      </c>
      <c r="BF21" s="22">
        <f>BG21*db!$AS$10</f>
        <v>0</v>
      </c>
      <c r="BG21" s="22">
        <f t="shared" si="4"/>
        <v>0</v>
      </c>
      <c r="BH21" s="22">
        <f>(BE21/1000000)*AJ21*(1-db!$AS$10)</f>
        <v>0</v>
      </c>
      <c r="BI21" s="20">
        <f>IF(B21=0,0,IF(C21&gt;59,0,LOOKUP(Table14[[#This Row],[Medical
Age]],db!$BC$3:$BC$63,db!$BE$3:$BE$63)))</f>
        <v>0</v>
      </c>
      <c r="BJ21" s="20">
        <f>(BI21/1000000)*AL21*(1-db!$AS$11)</f>
        <v>0</v>
      </c>
      <c r="BK21" s="20">
        <f>(BI21/1000000)*AL21*(db!$AS$11)</f>
        <v>0</v>
      </c>
      <c r="BL21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21" s="20">
        <f>Table14[[#This Row],[RiskLoading
Rate]]*Table14[[#This Row],[Death Capital (2)]]</f>
        <v>0</v>
      </c>
      <c r="BN21" s="36"/>
      <c r="BO21" s="37">
        <f t="shared" si="5"/>
        <v>0</v>
      </c>
      <c r="BP21" s="35">
        <f t="shared" si="6"/>
        <v>0</v>
      </c>
      <c r="BQ21" s="35">
        <f t="shared" si="7"/>
        <v>0</v>
      </c>
      <c r="BR21" s="37">
        <f t="shared" si="11"/>
        <v>0</v>
      </c>
      <c r="BS21" s="37">
        <f t="shared" si="12"/>
        <v>0</v>
      </c>
      <c r="BT21" s="35">
        <f t="shared" si="13"/>
        <v>0</v>
      </c>
      <c r="BU21" s="35">
        <f t="shared" si="14"/>
        <v>0</v>
      </c>
      <c r="BV21" s="37">
        <f>(db!$AS$4/100)*(L21-BT21-BU21)</f>
        <v>0</v>
      </c>
      <c r="BW21" s="37">
        <f>(db!$AS$8/100)*(L21-BT21-BU21)</f>
        <v>0</v>
      </c>
      <c r="BX21" s="35"/>
      <c r="BY21" s="37"/>
      <c r="BZ21" s="37"/>
      <c r="CA21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21" s="33"/>
      <c r="CC21" s="39">
        <f>ROUND((Table14[[#This Row],[Premium]]-Table14[[#This Row],[All Deductions]]),0)</f>
        <v>0</v>
      </c>
      <c r="CD21" s="40">
        <f>ROUND(IF(B21=0,0,((CC21)*(1+ IF(AND(Changes!Change="Yes",Changes!ValidityYear&lt;=Table14[[#This Row],[Year]],Annulment&gt;Table14[[#This Row],[Year]],Changes!ChangeType="Paid-Up"),db!Y23+0.02,db!Y23)))+((CD20)*(1+IF(AND(Changes!Change="Yes",Changes!ValidityYear&lt;=Table14[[#This Row],[Year]],Annulment&gt;Table14[[#This Row],[Year]],Changes!ChangeType="Paid-Up"),db!U23+0.02,db!U23)))),0)</f>
        <v>0</v>
      </c>
      <c r="CE21" s="40">
        <f>ROUND(IF(B21=0,0,((CC21)*(1+db!Y23))+((CE20)*(1+db!U23))),0)</f>
        <v>0</v>
      </c>
      <c r="CF21" s="40">
        <f t="shared" si="19"/>
        <v>0</v>
      </c>
      <c r="CG21" s="15">
        <f t="shared" si="15"/>
        <v>20</v>
      </c>
      <c r="CH21" s="39">
        <f>IF(B21=0,0,((CC21)*(1+db!AH23))+((CH20)*(1+db!AD23)))</f>
        <v>0</v>
      </c>
      <c r="CI21" s="39">
        <f>IF(B21=0,0,((CC21)*(1+db!AH23))+((CI20)*(1+db!AD23)))</f>
        <v>0</v>
      </c>
      <c r="CJ21" s="40">
        <f>IF(B21=0,0,((CC21)*(1+db!AO23))+((CJ20)*(1+db!AK23)))</f>
        <v>0</v>
      </c>
      <c r="CK21" s="40">
        <f>CJ21-(SUM(BX$7:$BX22))</f>
        <v>0</v>
      </c>
      <c r="CL21" s="46"/>
    </row>
    <row r="22" spans="1:90">
      <c r="A22" s="347">
        <f t="shared" si="16"/>
        <v>21</v>
      </c>
      <c r="B22" s="345">
        <f>IF(AND(Changes!Change="Yes", Changes!ChangeType="Change Contract Duration"),IF(B21=0,0,IF(Changes!NewChangedValue&lt;B21+1,0,B21+1)),IF(B21=0,0,IF('Application Annually'!$C$5&lt;B21+1,0,B21+1)))</f>
        <v>0</v>
      </c>
      <c r="C22" s="15">
        <f t="shared" si="17"/>
        <v>0</v>
      </c>
      <c r="D22" s="312">
        <f t="shared" si="18"/>
        <v>48</v>
      </c>
      <c r="E22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22" s="29">
        <f t="shared" si="8"/>
        <v>0</v>
      </c>
      <c r="G22" s="29">
        <f t="shared" si="9"/>
        <v>0</v>
      </c>
      <c r="H22" s="29">
        <f t="shared" si="0"/>
        <v>0</v>
      </c>
      <c r="I22" s="29">
        <f>IF(B22&gt;0,IF(AND(Table14[[#This Row],[Year]]&gt;Changes!ValidityYear,Changes!Change="Yes",Changes!ChangeType="Change Value Adjustment"),Changes!$G$22,'Application Annually'!$C$11),0)</f>
        <v>0</v>
      </c>
      <c r="J22" s="29">
        <f>IF(B22&gt;0,IF(AND(Table14[[#This Row],[Year]]&gt;Changes!ValidityYear,Changes!Change="Yes",Changes!ChangeType="Change Value Adjustment"),Changes!$G$24,'Application Annually'!$C$7),0)</f>
        <v>0</v>
      </c>
      <c r="K22" s="29">
        <f>ROUND(IF(B22=0,0,IF(AND(Changes!Change="Yes", Changes!ValidityYear=Table14[[#This Row],[Year]], Changes!ChangeType="Change Premium"), Changes!NewChangedValue, (K21*(1+db!$B$3)))),0)</f>
        <v>0</v>
      </c>
      <c r="L22" s="29">
        <f>ROUND(IF(B22=0,0,IF(AND(Changes!Change="Yes", Changes!ValidityYear=Table14[[#This Row],[Year]], Changes!ChangeType="Change Premium"), Changes!NewChangedValue, (L21*(1+Table14[[#This Row],[Adjustment Factor of Premium]]/100)))),0)</f>
        <v>0</v>
      </c>
      <c r="M22" s="29">
        <f>IF(Table14[[#This Row],[Year]]=1,ROUND(MIN($L$2 -( Table14[[#This Row],[Riders Risk Premiums]] + Table14[[#This Row],[Acquisition Cost]]) *0.75,Table14[[#This Row],[Death Capital (1)]]* 0.03),0),0)</f>
        <v>0</v>
      </c>
      <c r="N22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22" s="29">
        <f>ROUND(IF(ROW()-1&gt;InsurancePeriod,0,(O21*(1+(Table14[[#This Row],[Adjustment Factor of Premium]]/100)))),0)</f>
        <v>0</v>
      </c>
      <c r="P22" s="29">
        <f>IF(Table14[Year] = 0, 0, SUM(L$2:L22))</f>
        <v>0</v>
      </c>
      <c r="Q22" s="17">
        <f t="shared" si="1"/>
        <v>0</v>
      </c>
      <c r="R22" s="17">
        <f>IF(Table14[[#This Row],[Year]]=0,0,IF($C$2&lt;=50,LOOKUP(Table14[[#This Row],[Age]],db!BG23:BG129,db!BH23:BH129),LOOKUP(Table14[[#This Row],[Age]],db!BJ23:BJ129,db!BK23:BK129)))</f>
        <v>0</v>
      </c>
      <c r="S22" s="17">
        <f>IF(B22=0,0, IF(AND(Changes!Change="Yes", Changes!ValidityYear=Table14[[#This Row],[Year]], Changes!ChangeType="Change Death Capital"), Changes!NewChangedValue, S21*(1+(Table14[[#This Row],[Adjustment Factor of Death Capital]]/100))))</f>
        <v>0</v>
      </c>
      <c r="T22" s="17">
        <f>MIN(IF(B22=0,0,Table14[[#This Row],[Death Capital (1)]]),Table14[[#This Row],[Max Sum Insured For Death]])</f>
        <v>0</v>
      </c>
      <c r="U22" s="29">
        <f t="shared" si="10"/>
        <v>0</v>
      </c>
      <c r="V22" s="29">
        <f>IF(B22=0,0,IF(AND(Changes!Change="Yes", Changes!ValidityYear&lt;=Table14[[#This Row],[Year]], Changes!ChangeType="Rider Inclusion/Exclusion", Changes!RiderType="Accident Death"), T22*Changes!NewChangedValue,IF(db!$D$6="Yes",(db!$B$6)*T22,0)))</f>
        <v>0</v>
      </c>
      <c r="W22" s="29">
        <f>MIN(IF(V22&lt;=db!$L$2,V22,db!$L$2),MAX_ACC_CAPITAL)</f>
        <v>0</v>
      </c>
      <c r="X22" s="17">
        <f>IF(OR(B22=0,Table14[[#This Row],[Accident Capital (2)]]=0),0,IF(AND(Changes!Change="Yes", Changes!ValidityYear&lt;=Table14[[#This Row],[Year]], Changes!ChangeType="Rider Inclusion/Exclusion", Changes!RiderType="Accident Disability"), T22*Changes!NewChangedValue,IF(db!$D$7="Yes",(db!$B$7)*T22,0)))</f>
        <v>0</v>
      </c>
      <c r="Y22" s="42">
        <f>IF(C22&gt;69,0,IF(C22=0,0,IF(X22&lt;=db!$L$3,X22,db!$L$3)))</f>
        <v>0</v>
      </c>
      <c r="Z22" s="29">
        <f>IF(OR(B22=0,Table14[[#This Row],[Accident Capital (2)]]=0),0,IF(AND(Changes!Change="Yes", Changes!ValidityYear&lt;=Table14[[#This Row],[Year]], Changes!ChangeType="Rider Inclusion/Exclusion", Changes!RiderType="Accident Medical Cost"), T22*Changes!NewChangedValue,IF(db!$D$9="Yes",(db!$B$9)*T22,0)))</f>
        <v>0</v>
      </c>
      <c r="AA22" s="29">
        <f>ROUND(IF(C22&gt;69,0,IF(C22=0,0,IF(Z22&lt;=db!$L$4,Z22,db!$L$4))),0)</f>
        <v>0</v>
      </c>
      <c r="AB22" s="38">
        <f>IF(AND(Changes!Change = "Yes", Changes!ChangeType = "Rider Inclusion/Exclusion", Changes!RiderType = "WOP"), IF( Changes!ValidityYear &lt;= Table14[[#This Row],[Year]], IF(WOP = "Yes", 0, 1),  IF(WOP = "Yes", 1, 0)), IF(AND(db!$D$8="Yes",C22&lt;=69,ROW()-1&lt;=InsurancePeriod), 1, 0))</f>
        <v>0</v>
      </c>
      <c r="AC22" s="17">
        <f>(AC23+K23)*AB22*((1)/(1+db!AA24))*(LOOKUP(C22,'Mortality Table'!$A$2:$A$108,'Mortality Table'!$E$2:$E$108))</f>
        <v>0</v>
      </c>
      <c r="AD22" s="340">
        <f>IF(AND(Changes!ValidityYear&lt;= Table14[[#This Row],[Year]],Changes!ChangeType="Change Value Adjustment",Changes!Change="Yes"), (AD23+L23)*AB22*((1)/(1+db!AA24))*(LOOKUP(C22,'Mortality Table'!$A$2:$A$108,'Mortality Table'!$E$2:$E$108)),Table14[[#This Row],[WOP Before Adj. BT]])</f>
        <v>0</v>
      </c>
      <c r="AE22" s="341">
        <f>IF(AND(Changes!Change="Yes", Changes!ChangeType="Change Value Adjustment"),Table14[[#This Row],[WOP Capital]],(AE23+O23)*AB22*((1)/(1+db!AA24))*(LOOKUP(D22,'Mortality Table'!$A$2:$A$108,'Mortality Table'!$E$2:$E$108)))</f>
        <v>0</v>
      </c>
      <c r="AF22" s="17">
        <f>IF(AND(Changes!Change="Yes", Changes!ValidityYear&lt;=ROW()-1),Table14[[#This Row],[WOP Capital]],Table14[[#This Row],[WOP without change]])</f>
        <v>0</v>
      </c>
      <c r="AG22" s="42">
        <f>IF(AND(Changes!Change="Yes", Changes!ValidityYear&lt;=Table14[[#This Row],[Year]], Changes!ChangeType="Rider Inclusion/Exclusion", Changes!RiderType="Disability Annuity"), L22*Changes!NewChangedValue,L22*db!B$10*IF(db!$D$10="Yes",1,0))</f>
        <v>0</v>
      </c>
      <c r="AH22" s="29">
        <f>Table14[[#This Row],[Code Annuity Capital]]*IF('Annual Calculation'!C22&gt;69,0,(LOOKUP('Annual Calculation'!C22+1,'Mortality Table'!$A$2:$A$108,'Mortality Table'!$O$2:$O$108)-LOOKUP('Annual Calculation'!C22+11,'Mortality Table'!$A$2:$A$108,'Mortality Table'!$O$2:$O$108))/LOOKUP('Annual Calculation'!C22,'Mortality Table'!$A$2:$A$108,'Mortality Table'!$M$2:$M$108))</f>
        <v>0</v>
      </c>
      <c r="AI22" s="17">
        <f>IF(B22=0,0,IF(AND(Changes!Change="Yes", Changes!ValidityYear&lt;=Table14[[#This Row],[Year]], Changes!ChangeType="Rider Inclusion/Exclusion", Changes!RiderType="Dread Disease"), T22*Changes!NewChangedValue,IF(db!$D$11="Yes",(db!$B$11)*T22,0)))</f>
        <v>0</v>
      </c>
      <c r="AJ22" s="42">
        <f>ROUND(IF(C22&gt;59,0,IF(C22=0,0,IF(AI22&lt;=db!$L$5,AI22,db!$L$5))),0)</f>
        <v>0</v>
      </c>
      <c r="AK22" s="29">
        <f>IF(B22=0,0,IF(AND(Changes!Change="Yes", Changes!ValidityYear&lt;=Table14[[#This Row],[Year]], Changes!ChangeType="Rider Inclusion/Exclusion", Changes!RiderType="Cancer"), T22*Changes!NewChangedValue,IF(db!$D$12="Yes",(db!$B$12)*T22,0)))</f>
        <v>0</v>
      </c>
      <c r="AL22" s="29">
        <f>ROUND(IF(C22&gt;59,0,IF(C22=0,0,IF(AK22&lt;=db!$L$6,AK22,db!$L$6))),0)</f>
        <v>0</v>
      </c>
      <c r="AM22" s="32"/>
      <c r="AN22" s="18">
        <f>IF(B22=0,0,IF(C22&lt;(db!$E$2+5),LOOKUP(C22,'Mortality Table'!$A$2:$A$108,'Mortality Table'!$P$2:$P$108),IF((C22&gt;=db!$E$2+10),LOOKUP(C22,'Mortality Table'!$A$2:$A$108,'Mortality Table'!$R$2:$R$108),LOOKUP(C22,'Mortality Table'!$A$2:$A$108,'Mortality Table'!$Q$2:$Q$108))))</f>
        <v>0</v>
      </c>
      <c r="AO22" s="22">
        <f t="shared" si="2"/>
        <v>0</v>
      </c>
      <c r="AP22" s="19">
        <f>IF(B22=0,0, LOOKUP(IF(AND(Changes!Change="Yes", Changes!ValidityYear&lt;=Table14[[#This Row],[Year]], Changes!ChangeType="Change Job Class"),Changes!NewChangedValue, db!$A$8),db!$AX$4:$AX$8,db!$AY$4:$AY$8))</f>
        <v>0</v>
      </c>
      <c r="AQ22" s="20">
        <f>ROUND((AP22/1000)*W22 * (1-db!$AS$9),0)</f>
        <v>0</v>
      </c>
      <c r="AR22" s="20">
        <f>(AP22/1000)*W22 * db!$AS$9</f>
        <v>0</v>
      </c>
      <c r="AS22" s="21">
        <f>IF(B22=0,0, LOOKUP(IF(AND(Changes!Change="Yes", Changes!ValidityYear&lt;=Table14[[#This Row],[Year]], Changes!ChangeType="Change Job Class"),Changes!NewChangedValue, db!$A$8),db!$AX$4:$AX$8,db!$AZ$4:$AZ$8))</f>
        <v>0</v>
      </c>
      <c r="AT22" s="22">
        <f>(AS22/1000)*Y22*(1-db!$AS$9)</f>
        <v>0</v>
      </c>
      <c r="AU22" s="22">
        <f>(AS22/1000)*Y22*(db!$AS$9)</f>
        <v>0</v>
      </c>
      <c r="AV22" s="23">
        <f>IF(B22=0,0, LOOKUP(IF(AND(Changes!Change="Yes", Changes!ValidityYear&lt;=Table14[[#This Row],[Year]], Changes!ChangeType="Change Job Class"),Changes!NewChangedValue, db!$A$8),db!$AX$4:$AX$8,db!$BA$4:$BA$8))</f>
        <v>0</v>
      </c>
      <c r="AW22" s="20">
        <f>ROUND((AV22/(100))*AA22*(1-db!$AS$9),0)</f>
        <v>0</v>
      </c>
      <c r="AX22" s="20">
        <f>ROUND((AV22/(100))*AA22*(db!$AS$9),0)</f>
        <v>0</v>
      </c>
      <c r="AY22" s="21">
        <f>IF(db!$D$8="Yes",AS22,0)</f>
        <v>0</v>
      </c>
      <c r="AZ22" s="22">
        <f>(AY22*AF22)/1000*(1-db!$AS$9)</f>
        <v>0</v>
      </c>
      <c r="BA22" s="22">
        <f>(AY22*AF22)/1000*(db!$AS$9)</f>
        <v>0</v>
      </c>
      <c r="BB22" s="23">
        <f t="shared" si="3"/>
        <v>0</v>
      </c>
      <c r="BC22" s="20">
        <f>(BB22*AH22/1000)*(1-db!$AS$9)</f>
        <v>0</v>
      </c>
      <c r="BD22" s="20">
        <f>(BB22*AH22/1000)*(db!$AS$9)</f>
        <v>0</v>
      </c>
      <c r="BE22" s="22">
        <f>IF(B22=0,0,IF(C22&gt;60,0,LOOKUP(Table14[[#This Row],[Medical
Age]],db!$BC$3:$BC$63,db!$BD$3:$BD$63)))</f>
        <v>0</v>
      </c>
      <c r="BF22" s="22">
        <f>BG22*db!$AS$10</f>
        <v>0</v>
      </c>
      <c r="BG22" s="22">
        <f t="shared" si="4"/>
        <v>0</v>
      </c>
      <c r="BH22" s="22">
        <f>(BE22/1000000)*AJ22*(1-db!$AS$10)</f>
        <v>0</v>
      </c>
      <c r="BI22" s="20">
        <f>IF(B22=0,0,IF(C22&gt;59,0,LOOKUP(Table14[[#This Row],[Medical
Age]],db!$BC$3:$BC$63,db!$BE$3:$BE$63)))</f>
        <v>0</v>
      </c>
      <c r="BJ22" s="20">
        <f>(BI22/1000000)*AL22*(1-db!$AS$11)</f>
        <v>0</v>
      </c>
      <c r="BK22" s="20">
        <f>(BI22/1000000)*AL22*(db!$AS$11)</f>
        <v>0</v>
      </c>
      <c r="BL22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22" s="20">
        <f>Table14[[#This Row],[RiskLoading
Rate]]*Table14[[#This Row],[Death Capital (2)]]</f>
        <v>0</v>
      </c>
      <c r="BN22" s="36"/>
      <c r="BO22" s="37">
        <f t="shared" si="5"/>
        <v>0</v>
      </c>
      <c r="BP22" s="35">
        <f t="shared" si="6"/>
        <v>0</v>
      </c>
      <c r="BQ22" s="35">
        <f t="shared" si="7"/>
        <v>0</v>
      </c>
      <c r="BR22" s="37">
        <f t="shared" si="11"/>
        <v>0</v>
      </c>
      <c r="BS22" s="37">
        <f t="shared" si="12"/>
        <v>0</v>
      </c>
      <c r="BT22" s="35">
        <f t="shared" si="13"/>
        <v>0</v>
      </c>
      <c r="BU22" s="35">
        <f t="shared" si="14"/>
        <v>0</v>
      </c>
      <c r="BV22" s="37">
        <f>(db!$AS$4/100)*(L22-BT22-BU22)</f>
        <v>0</v>
      </c>
      <c r="BW22" s="37">
        <f>(db!$AS$8/100)*(L22-BT22-BU22)</f>
        <v>0</v>
      </c>
      <c r="BX22" s="35"/>
      <c r="BY22" s="37"/>
      <c r="BZ22" s="37"/>
      <c r="CA22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22" s="33"/>
      <c r="CC22" s="39">
        <f>ROUND((Table14[[#This Row],[Premium]]-Table14[[#This Row],[All Deductions]]),0)</f>
        <v>0</v>
      </c>
      <c r="CD22" s="40">
        <f>ROUND(IF(B22=0,0,((CC22)*(1+ IF(AND(Changes!Change="Yes",Changes!ValidityYear&lt;=Table14[[#This Row],[Year]],Annulment&gt;Table14[[#This Row],[Year]],Changes!ChangeType="Paid-Up"),db!Y24+0.02,db!Y24)))+((CD21)*(1+IF(AND(Changes!Change="Yes",Changes!ValidityYear&lt;=Table14[[#This Row],[Year]],Annulment&gt;Table14[[#This Row],[Year]],Changes!ChangeType="Paid-Up"),db!U24+0.02,db!U24)))),0)</f>
        <v>0</v>
      </c>
      <c r="CE22" s="40">
        <f>ROUND(IF(B22=0,0,((CC22)*(1+db!Y24))+((CE21)*(1+db!U24))),0)</f>
        <v>0</v>
      </c>
      <c r="CF22" s="40">
        <f t="shared" si="19"/>
        <v>0</v>
      </c>
      <c r="CG22" s="15">
        <f t="shared" si="15"/>
        <v>21</v>
      </c>
      <c r="CH22" s="39">
        <f>IF(B22=0,0,((CC22)*(1+db!AH24))+((CH21)*(1+db!AD24)))</f>
        <v>0</v>
      </c>
      <c r="CI22" s="39">
        <f>IF(B22=0,0,((CC22)*(1+db!AH24))+((CI21)*(1+db!AD24)))</f>
        <v>0</v>
      </c>
      <c r="CJ22" s="40">
        <f>IF(B22=0,0,((CC22)*(1+db!AO24))+((CJ21)*(1+db!AK24)))</f>
        <v>0</v>
      </c>
      <c r="CK22" s="40">
        <f>CJ22-(SUM(BX$7:$BX23))</f>
        <v>0</v>
      </c>
      <c r="CL22" s="46"/>
    </row>
    <row r="23" spans="1:90">
      <c r="A23" s="347">
        <f t="shared" si="16"/>
        <v>22</v>
      </c>
      <c r="B23" s="345">
        <f>IF(AND(Changes!Change="Yes", Changes!ChangeType="Change Contract Duration"),IF(B22=0,0,IF(Changes!NewChangedValue&lt;B22+1,0,B22+1)),IF(B22=0,0,IF('Application Annually'!$C$5&lt;B22+1,0,B22+1)))</f>
        <v>0</v>
      </c>
      <c r="C23" s="15">
        <f t="shared" si="17"/>
        <v>0</v>
      </c>
      <c r="D23" s="312">
        <f t="shared" si="18"/>
        <v>49</v>
      </c>
      <c r="E23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23" s="29">
        <f t="shared" si="8"/>
        <v>0</v>
      </c>
      <c r="G23" s="29">
        <f t="shared" si="9"/>
        <v>0</v>
      </c>
      <c r="H23" s="29">
        <f t="shared" si="0"/>
        <v>0</v>
      </c>
      <c r="I23" s="29">
        <f>IF(B23&gt;0,IF(AND(Table14[[#This Row],[Year]]&gt;Changes!ValidityYear,Changes!Change="Yes",Changes!ChangeType="Change Value Adjustment"),Changes!$G$22,'Application Annually'!$C$11),0)</f>
        <v>0</v>
      </c>
      <c r="J23" s="29">
        <f>IF(B23&gt;0,IF(AND(Table14[[#This Row],[Year]]&gt;Changes!ValidityYear,Changes!Change="Yes",Changes!ChangeType="Change Value Adjustment"),Changes!$G$24,'Application Annually'!$C$7),0)</f>
        <v>0</v>
      </c>
      <c r="K23" s="29">
        <f>ROUND(IF(B23=0,0,IF(AND(Changes!Change="Yes", Changes!ValidityYear=Table14[[#This Row],[Year]], Changes!ChangeType="Change Premium"), Changes!NewChangedValue, (K22*(1+db!$B$3)))),0)</f>
        <v>0</v>
      </c>
      <c r="L23" s="29">
        <f>ROUND(IF(B23=0,0,IF(AND(Changes!Change="Yes", Changes!ValidityYear=Table14[[#This Row],[Year]], Changes!ChangeType="Change Premium"), Changes!NewChangedValue, (L22*(1+Table14[[#This Row],[Adjustment Factor of Premium]]/100)))),0)</f>
        <v>0</v>
      </c>
      <c r="M23" s="29">
        <f>IF(Table14[[#This Row],[Year]]=1,ROUND(MIN($L$2 -( Table14[[#This Row],[Riders Risk Premiums]] + Table14[[#This Row],[Acquisition Cost]]) *0.75,Table14[[#This Row],[Death Capital (1)]]* 0.03),0),0)</f>
        <v>0</v>
      </c>
      <c r="N23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23" s="29">
        <f>ROUND(IF(ROW()-1&gt;InsurancePeriod,0,(O22*(1+(Table14[[#This Row],[Adjustment Factor of Premium]]/100)))),0)</f>
        <v>0</v>
      </c>
      <c r="P23" s="29">
        <f>IF(Table14[Year] = 0, 0, SUM(L$2:L23))</f>
        <v>0</v>
      </c>
      <c r="Q23" s="17">
        <f t="shared" si="1"/>
        <v>0</v>
      </c>
      <c r="R23" s="17">
        <f>IF(Table14[[#This Row],[Year]]=0,0,IF($C$2&lt;=50,LOOKUP(Table14[[#This Row],[Age]],db!BG24:BG130,db!BH24:BH130),LOOKUP(Table14[[#This Row],[Age]],db!BJ24:BJ130,db!BK24:BK130)))</f>
        <v>0</v>
      </c>
      <c r="S23" s="17">
        <f>IF(B23=0,0, IF(AND(Changes!Change="Yes", Changes!ValidityYear=Table14[[#This Row],[Year]], Changes!ChangeType="Change Death Capital"), Changes!NewChangedValue, S22*(1+(Table14[[#This Row],[Adjustment Factor of Death Capital]]/100))))</f>
        <v>0</v>
      </c>
      <c r="T23" s="17">
        <f>MIN(IF(B23=0,0,Table14[[#This Row],[Death Capital (1)]]),Table14[[#This Row],[Max Sum Insured For Death]])</f>
        <v>0</v>
      </c>
      <c r="U23" s="29">
        <f t="shared" si="10"/>
        <v>0</v>
      </c>
      <c r="V23" s="29">
        <f>IF(B23=0,0,IF(AND(Changes!Change="Yes", Changes!ValidityYear&lt;=Table14[[#This Row],[Year]], Changes!ChangeType="Rider Inclusion/Exclusion", Changes!RiderType="Accident Death"), T23*Changes!NewChangedValue,IF(db!$D$6="Yes",(db!$B$6)*T23,0)))</f>
        <v>0</v>
      </c>
      <c r="W23" s="29">
        <f>MIN(IF(V23&lt;=db!$L$2,V23,db!$L$2),MAX_ACC_CAPITAL)</f>
        <v>0</v>
      </c>
      <c r="X23" s="17">
        <f>IF(OR(B23=0,Table14[[#This Row],[Accident Capital (2)]]=0),0,IF(AND(Changes!Change="Yes", Changes!ValidityYear&lt;=Table14[[#This Row],[Year]], Changes!ChangeType="Rider Inclusion/Exclusion", Changes!RiderType="Accident Disability"), T23*Changes!NewChangedValue,IF(db!$D$7="Yes",(db!$B$7)*T23,0)))</f>
        <v>0</v>
      </c>
      <c r="Y23" s="42">
        <f>IF(C23&gt;69,0,IF(C23=0,0,IF(X23&lt;=db!$L$3,X23,db!$L$3)))</f>
        <v>0</v>
      </c>
      <c r="Z23" s="29">
        <f>IF(OR(B23=0,Table14[[#This Row],[Accident Capital (2)]]=0),0,IF(AND(Changes!Change="Yes", Changes!ValidityYear&lt;=Table14[[#This Row],[Year]], Changes!ChangeType="Rider Inclusion/Exclusion", Changes!RiderType="Accident Medical Cost"), T23*Changes!NewChangedValue,IF(db!$D$9="Yes",(db!$B$9)*T23,0)))</f>
        <v>0</v>
      </c>
      <c r="AA23" s="29">
        <f>ROUND(IF(C23&gt;69,0,IF(C23=0,0,IF(Z23&lt;=db!$L$4,Z23,db!$L$4))),0)</f>
        <v>0</v>
      </c>
      <c r="AB23" s="38">
        <f>IF(AND(Changes!Change = "Yes", Changes!ChangeType = "Rider Inclusion/Exclusion", Changes!RiderType = "WOP"), IF( Changes!ValidityYear &lt;= Table14[[#This Row],[Year]], IF(WOP = "Yes", 0, 1),  IF(WOP = "Yes", 1, 0)), IF(AND(db!$D$8="Yes",C23&lt;=69,ROW()-1&lt;=InsurancePeriod), 1, 0))</f>
        <v>0</v>
      </c>
      <c r="AC23" s="17">
        <f>(AC24+K24)*AB23*((1)/(1+db!AA25))*(LOOKUP(C23,'Mortality Table'!$A$2:$A$108,'Mortality Table'!$E$2:$E$108))</f>
        <v>0</v>
      </c>
      <c r="AD23" s="340">
        <f>IF(AND(Changes!ValidityYear&lt;= Table14[[#This Row],[Year]],Changes!ChangeType="Change Value Adjustment",Changes!Change="Yes"), (AD24+L24)*AB23*((1)/(1+db!AA25))*(LOOKUP(C23,'Mortality Table'!$A$2:$A$108,'Mortality Table'!$E$2:$E$108)),Table14[[#This Row],[WOP Before Adj. BT]])</f>
        <v>0</v>
      </c>
      <c r="AE23" s="341">
        <f>IF(AND(Changes!Change="Yes", Changes!ChangeType="Change Value Adjustment"),Table14[[#This Row],[WOP Capital]],(AE24+O24)*AB23*((1)/(1+db!AA25))*(LOOKUP(D23,'Mortality Table'!$A$2:$A$108,'Mortality Table'!$E$2:$E$108)))</f>
        <v>0</v>
      </c>
      <c r="AF23" s="17">
        <f>IF(AND(Changes!Change="Yes", Changes!ValidityYear&lt;=ROW()-1),Table14[[#This Row],[WOP Capital]],Table14[[#This Row],[WOP without change]])</f>
        <v>0</v>
      </c>
      <c r="AG23" s="42">
        <f>IF(AND(Changes!Change="Yes", Changes!ValidityYear&lt;=Table14[[#This Row],[Year]], Changes!ChangeType="Rider Inclusion/Exclusion", Changes!RiderType="Disability Annuity"), L23*Changes!NewChangedValue,L23*db!B$10*IF(db!$D$10="Yes",1,0))</f>
        <v>0</v>
      </c>
      <c r="AH23" s="29">
        <f>Table14[[#This Row],[Code Annuity Capital]]*IF('Annual Calculation'!C23&gt;69,0,(LOOKUP('Annual Calculation'!C23+1,'Mortality Table'!$A$2:$A$108,'Mortality Table'!$O$2:$O$108)-LOOKUP('Annual Calculation'!C23+11,'Mortality Table'!$A$2:$A$108,'Mortality Table'!$O$2:$O$108))/LOOKUP('Annual Calculation'!C23,'Mortality Table'!$A$2:$A$108,'Mortality Table'!$M$2:$M$108))</f>
        <v>0</v>
      </c>
      <c r="AI23" s="17">
        <f>IF(B23=0,0,IF(AND(Changes!Change="Yes", Changes!ValidityYear&lt;=Table14[[#This Row],[Year]], Changes!ChangeType="Rider Inclusion/Exclusion", Changes!RiderType="Dread Disease"), T23*Changes!NewChangedValue,IF(db!$D$11="Yes",(db!$B$11)*T23,0)))</f>
        <v>0</v>
      </c>
      <c r="AJ23" s="42">
        <f>ROUND(IF(C23&gt;59,0,IF(C23=0,0,IF(AI23&lt;=db!$L$5,AI23,db!$L$5))),0)</f>
        <v>0</v>
      </c>
      <c r="AK23" s="29">
        <f>IF(B23=0,0,IF(AND(Changes!Change="Yes", Changes!ValidityYear&lt;=Table14[[#This Row],[Year]], Changes!ChangeType="Rider Inclusion/Exclusion", Changes!RiderType="Cancer"), T23*Changes!NewChangedValue,IF(db!$D$12="Yes",(db!$B$12)*T23,0)))</f>
        <v>0</v>
      </c>
      <c r="AL23" s="29">
        <f>ROUND(IF(C23&gt;59,0,IF(C23=0,0,IF(AK23&lt;=db!$L$6,AK23,db!$L$6))),0)</f>
        <v>0</v>
      </c>
      <c r="AM23" s="32"/>
      <c r="AN23" s="18">
        <f>IF(B23=0,0,IF(C23&lt;(db!$E$2+5),LOOKUP(C23,'Mortality Table'!$A$2:$A$108,'Mortality Table'!$P$2:$P$108),IF((C23&gt;=db!$E$2+10),LOOKUP(C23,'Mortality Table'!$A$2:$A$108,'Mortality Table'!$R$2:$R$108),LOOKUP(C23,'Mortality Table'!$A$2:$A$108,'Mortality Table'!$Q$2:$Q$108))))</f>
        <v>0</v>
      </c>
      <c r="AO23" s="22">
        <f t="shared" si="2"/>
        <v>0</v>
      </c>
      <c r="AP23" s="19">
        <f>IF(B23=0,0, LOOKUP(IF(AND(Changes!Change="Yes", Changes!ValidityYear&lt;=Table14[[#This Row],[Year]], Changes!ChangeType="Change Job Class"),Changes!NewChangedValue, db!$A$8),db!$AX$4:$AX$8,db!$AY$4:$AY$8))</f>
        <v>0</v>
      </c>
      <c r="AQ23" s="20">
        <f>ROUND((AP23/1000)*W23 * (1-db!$AS$9),0)</f>
        <v>0</v>
      </c>
      <c r="AR23" s="20">
        <f>(AP23/1000)*W23 * db!$AS$9</f>
        <v>0</v>
      </c>
      <c r="AS23" s="21">
        <f>IF(B23=0,0, LOOKUP(IF(AND(Changes!Change="Yes", Changes!ValidityYear&lt;=Table14[[#This Row],[Year]], Changes!ChangeType="Change Job Class"),Changes!NewChangedValue, db!$A$8),db!$AX$4:$AX$8,db!$AZ$4:$AZ$8))</f>
        <v>0</v>
      </c>
      <c r="AT23" s="22">
        <f>(AS23/1000)*Y23*(1-db!$AS$9)</f>
        <v>0</v>
      </c>
      <c r="AU23" s="22">
        <f>(AS23/1000)*Y23*(db!$AS$9)</f>
        <v>0</v>
      </c>
      <c r="AV23" s="23">
        <f>IF(B23=0,0, LOOKUP(IF(AND(Changes!Change="Yes", Changes!ValidityYear&lt;=Table14[[#This Row],[Year]], Changes!ChangeType="Change Job Class"),Changes!NewChangedValue, db!$A$8),db!$AX$4:$AX$8,db!$BA$4:$BA$8))</f>
        <v>0</v>
      </c>
      <c r="AW23" s="20">
        <f>ROUND((AV23/(100))*AA23*(1-db!$AS$9),0)</f>
        <v>0</v>
      </c>
      <c r="AX23" s="20">
        <f>ROUND((AV23/(100))*AA23*(db!$AS$9),0)</f>
        <v>0</v>
      </c>
      <c r="AY23" s="21">
        <f>IF(db!$D$8="Yes",AS23,0)</f>
        <v>0</v>
      </c>
      <c r="AZ23" s="22">
        <f>(AY23*AF23)/1000*(1-db!$AS$9)</f>
        <v>0</v>
      </c>
      <c r="BA23" s="22">
        <f>(AY23*AF23)/1000*(db!$AS$9)</f>
        <v>0</v>
      </c>
      <c r="BB23" s="23">
        <f t="shared" si="3"/>
        <v>0</v>
      </c>
      <c r="BC23" s="20">
        <f>(BB23*AH23/1000)*(1-db!$AS$9)</f>
        <v>0</v>
      </c>
      <c r="BD23" s="20">
        <f>(BB23*AH23/1000)*(db!$AS$9)</f>
        <v>0</v>
      </c>
      <c r="BE23" s="22">
        <f>IF(B23=0,0,IF(C23&gt;60,0,LOOKUP(Table14[[#This Row],[Medical
Age]],db!$BC$3:$BC$63,db!$BD$3:$BD$63)))</f>
        <v>0</v>
      </c>
      <c r="BF23" s="22">
        <f>BG23*db!$AS$10</f>
        <v>0</v>
      </c>
      <c r="BG23" s="22">
        <f t="shared" si="4"/>
        <v>0</v>
      </c>
      <c r="BH23" s="22">
        <f>(BE23/1000000)*AJ23*(1-db!$AS$10)</f>
        <v>0</v>
      </c>
      <c r="BI23" s="20">
        <f>IF(B23=0,0,IF(C23&gt;59,0,LOOKUP(Table14[[#This Row],[Medical
Age]],db!$BC$3:$BC$63,db!$BE$3:$BE$63)))</f>
        <v>0</v>
      </c>
      <c r="BJ23" s="20">
        <f>(BI23/1000000)*AL23*(1-db!$AS$11)</f>
        <v>0</v>
      </c>
      <c r="BK23" s="20">
        <f>(BI23/1000000)*AL23*(db!$AS$11)</f>
        <v>0</v>
      </c>
      <c r="BL23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23" s="20">
        <f>Table14[[#This Row],[RiskLoading
Rate]]*Table14[[#This Row],[Death Capital (2)]]</f>
        <v>0</v>
      </c>
      <c r="BN23" s="36"/>
      <c r="BO23" s="37">
        <f t="shared" si="5"/>
        <v>0</v>
      </c>
      <c r="BP23" s="35">
        <f t="shared" si="6"/>
        <v>0</v>
      </c>
      <c r="BQ23" s="35">
        <f t="shared" si="7"/>
        <v>0</v>
      </c>
      <c r="BR23" s="37">
        <f t="shared" si="11"/>
        <v>0</v>
      </c>
      <c r="BS23" s="37">
        <f t="shared" si="12"/>
        <v>0</v>
      </c>
      <c r="BT23" s="35">
        <f t="shared" si="13"/>
        <v>0</v>
      </c>
      <c r="BU23" s="35">
        <f t="shared" si="14"/>
        <v>0</v>
      </c>
      <c r="BV23" s="37">
        <f>(db!$AS$4/100)*(L23-BT23-BU23)</f>
        <v>0</v>
      </c>
      <c r="BW23" s="37">
        <f>(db!$AS$8/100)*(L23-BT23-BU23)</f>
        <v>0</v>
      </c>
      <c r="BX23" s="35"/>
      <c r="BY23" s="37"/>
      <c r="BZ23" s="37"/>
      <c r="CA23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23" s="33"/>
      <c r="CC23" s="39">
        <f>ROUND((Table14[[#This Row],[Premium]]-Table14[[#This Row],[All Deductions]]),0)</f>
        <v>0</v>
      </c>
      <c r="CD23" s="40">
        <f>ROUND(IF(B23=0,0,((CC23)*(1+ IF(AND(Changes!Change="Yes",Changes!ValidityYear&lt;=Table14[[#This Row],[Year]],Annulment&gt;Table14[[#This Row],[Year]],Changes!ChangeType="Paid-Up"),db!Y25+0.02,db!Y25)))+((CD22)*(1+IF(AND(Changes!Change="Yes",Changes!ValidityYear&lt;=Table14[[#This Row],[Year]],Annulment&gt;Table14[[#This Row],[Year]],Changes!ChangeType="Paid-Up"),db!U25+0.02,db!U25)))),0)</f>
        <v>0</v>
      </c>
      <c r="CE23" s="40">
        <f>ROUND(IF(B23=0,0,((CC23)*(1+db!Y25))+((CE22)*(1+db!U25))),0)</f>
        <v>0</v>
      </c>
      <c r="CF23" s="40">
        <f t="shared" si="19"/>
        <v>0</v>
      </c>
      <c r="CG23" s="15">
        <f t="shared" si="15"/>
        <v>22</v>
      </c>
      <c r="CH23" s="39">
        <f>IF(B23=0,0,((CC23)*(1+db!AH25))+((CH22)*(1+db!AD25)))</f>
        <v>0</v>
      </c>
      <c r="CI23" s="39">
        <f>IF(B23=0,0,((CC23)*(1+db!AH25))+((CI22)*(1+db!AD25)))</f>
        <v>0</v>
      </c>
      <c r="CJ23" s="40">
        <f>IF(B23=0,0,((CC23)*(1+db!AO25))+((CJ22)*(1+db!AK25)))</f>
        <v>0</v>
      </c>
      <c r="CK23" s="40">
        <f>CJ23-(SUM(BX$7:$BX24))</f>
        <v>0</v>
      </c>
      <c r="CL23" s="46"/>
    </row>
    <row r="24" spans="1:90">
      <c r="A24" s="347">
        <f t="shared" si="16"/>
        <v>23</v>
      </c>
      <c r="B24" s="345">
        <f>IF(AND(Changes!Change="Yes", Changes!ChangeType="Change Contract Duration"),IF(B23=0,0,IF(Changes!NewChangedValue&lt;B23+1,0,B23+1)),IF(B23=0,0,IF('Application Annually'!$C$5&lt;B23+1,0,B23+1)))</f>
        <v>0</v>
      </c>
      <c r="C24" s="15">
        <f t="shared" si="17"/>
        <v>0</v>
      </c>
      <c r="D24" s="312">
        <f t="shared" si="18"/>
        <v>50</v>
      </c>
      <c r="E24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24" s="29">
        <f t="shared" si="8"/>
        <v>0</v>
      </c>
      <c r="G24" s="29">
        <f t="shared" si="9"/>
        <v>0</v>
      </c>
      <c r="H24" s="29">
        <f t="shared" si="0"/>
        <v>0</v>
      </c>
      <c r="I24" s="29">
        <f>IF(B24&gt;0,IF(AND(Table14[[#This Row],[Year]]&gt;Changes!ValidityYear,Changes!Change="Yes",Changes!ChangeType="Change Value Adjustment"),Changes!$G$22,'Application Annually'!$C$11),0)</f>
        <v>0</v>
      </c>
      <c r="J24" s="29">
        <f>IF(B24&gt;0,IF(AND(Table14[[#This Row],[Year]]&gt;Changes!ValidityYear,Changes!Change="Yes",Changes!ChangeType="Change Value Adjustment"),Changes!$G$24,'Application Annually'!$C$7),0)</f>
        <v>0</v>
      </c>
      <c r="K24" s="29">
        <f>ROUND(IF(B24=0,0,IF(AND(Changes!Change="Yes", Changes!ValidityYear=Table14[[#This Row],[Year]], Changes!ChangeType="Change Premium"), Changes!NewChangedValue, (K23*(1+db!$B$3)))),0)</f>
        <v>0</v>
      </c>
      <c r="L24" s="29">
        <f>ROUND(IF(B24=0,0,IF(AND(Changes!Change="Yes", Changes!ValidityYear=Table14[[#This Row],[Year]], Changes!ChangeType="Change Premium"), Changes!NewChangedValue, (L23*(1+Table14[[#This Row],[Adjustment Factor of Premium]]/100)))),0)</f>
        <v>0</v>
      </c>
      <c r="M24" s="29">
        <f>IF(Table14[[#This Row],[Year]]=1,ROUND(MIN($L$2 -( Table14[[#This Row],[Riders Risk Premiums]] + Table14[[#This Row],[Acquisition Cost]]) *0.75,Table14[[#This Row],[Death Capital (1)]]* 0.03),0),0)</f>
        <v>0</v>
      </c>
      <c r="N24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24" s="29">
        <f>ROUND(IF(ROW()-1&gt;InsurancePeriod,0,(O23*(1+(Table14[[#This Row],[Adjustment Factor of Premium]]/100)))),0)</f>
        <v>0</v>
      </c>
      <c r="P24" s="29">
        <f>IF(Table14[Year] = 0, 0, SUM(L$2:L24))</f>
        <v>0</v>
      </c>
      <c r="Q24" s="17">
        <f t="shared" si="1"/>
        <v>0</v>
      </c>
      <c r="R24" s="17">
        <f>IF(Table14[[#This Row],[Year]]=0,0,IF($C$2&lt;=50,LOOKUP(Table14[[#This Row],[Age]],db!BG25:BG131,db!BH25:BH131),LOOKUP(Table14[[#This Row],[Age]],db!BJ25:BJ131,db!BK25:BK131)))</f>
        <v>0</v>
      </c>
      <c r="S24" s="17">
        <f>IF(B24=0,0, IF(AND(Changes!Change="Yes", Changes!ValidityYear=Table14[[#This Row],[Year]], Changes!ChangeType="Change Death Capital"), Changes!NewChangedValue, S23*(1+(Table14[[#This Row],[Adjustment Factor of Death Capital]]/100))))</f>
        <v>0</v>
      </c>
      <c r="T24" s="17">
        <f>MIN(IF(B24=0,0,Table14[[#This Row],[Death Capital (1)]]),Table14[[#This Row],[Max Sum Insured For Death]])</f>
        <v>0</v>
      </c>
      <c r="U24" s="29">
        <f t="shared" si="10"/>
        <v>0</v>
      </c>
      <c r="V24" s="29">
        <f>IF(B24=0,0,IF(AND(Changes!Change="Yes", Changes!ValidityYear&lt;=Table14[[#This Row],[Year]], Changes!ChangeType="Rider Inclusion/Exclusion", Changes!RiderType="Accident Death"), T24*Changes!NewChangedValue,IF(db!$D$6="Yes",(db!$B$6)*T24,0)))</f>
        <v>0</v>
      </c>
      <c r="W24" s="29">
        <f>MIN(IF(V24&lt;=db!$L$2,V24,db!$L$2),MAX_ACC_CAPITAL)</f>
        <v>0</v>
      </c>
      <c r="X24" s="17">
        <f>IF(OR(B24=0,Table14[[#This Row],[Accident Capital (2)]]=0),0,IF(AND(Changes!Change="Yes", Changes!ValidityYear&lt;=Table14[[#This Row],[Year]], Changes!ChangeType="Rider Inclusion/Exclusion", Changes!RiderType="Accident Disability"), T24*Changes!NewChangedValue,IF(db!$D$7="Yes",(db!$B$7)*T24,0)))</f>
        <v>0</v>
      </c>
      <c r="Y24" s="42">
        <f>IF(C24&gt;69,0,IF(C24=0,0,IF(X24&lt;=db!$L$3,X24,db!$L$3)))</f>
        <v>0</v>
      </c>
      <c r="Z24" s="29">
        <f>IF(OR(B24=0,Table14[[#This Row],[Accident Capital (2)]]=0),0,IF(AND(Changes!Change="Yes", Changes!ValidityYear&lt;=Table14[[#This Row],[Year]], Changes!ChangeType="Rider Inclusion/Exclusion", Changes!RiderType="Accident Medical Cost"), T24*Changes!NewChangedValue,IF(db!$D$9="Yes",(db!$B$9)*T24,0)))</f>
        <v>0</v>
      </c>
      <c r="AA24" s="29">
        <f>ROUND(IF(C24&gt;69,0,IF(C24=0,0,IF(Z24&lt;=db!$L$4,Z24,db!$L$4))),0)</f>
        <v>0</v>
      </c>
      <c r="AB24" s="38">
        <f>IF(AND(Changes!Change = "Yes", Changes!ChangeType = "Rider Inclusion/Exclusion", Changes!RiderType = "WOP"), IF( Changes!ValidityYear &lt;= Table14[[#This Row],[Year]], IF(WOP = "Yes", 0, 1),  IF(WOP = "Yes", 1, 0)), IF(AND(db!$D$8="Yes",C24&lt;=69,ROW()-1&lt;=InsurancePeriod), 1, 0))</f>
        <v>0</v>
      </c>
      <c r="AC24" s="17">
        <f>(AC25+K25)*AB24*((1)/(1+db!AA26))*(LOOKUP(C24,'Mortality Table'!$A$2:$A$108,'Mortality Table'!$E$2:$E$108))</f>
        <v>0</v>
      </c>
      <c r="AD24" s="340">
        <f>IF(AND(Changes!ValidityYear&lt;= Table14[[#This Row],[Year]],Changes!ChangeType="Change Value Adjustment",Changes!Change="Yes"), (AD25+L25)*AB24*((1)/(1+db!AA26))*(LOOKUP(C24,'Mortality Table'!$A$2:$A$108,'Mortality Table'!$E$2:$E$108)),Table14[[#This Row],[WOP Before Adj. BT]])</f>
        <v>0</v>
      </c>
      <c r="AE24" s="341">
        <f>IF(AND(Changes!Change="Yes", Changes!ChangeType="Change Value Adjustment"),Table14[[#This Row],[WOP Capital]],(AE25+O25)*AB24*((1)/(1+db!AA26))*(LOOKUP(D24,'Mortality Table'!$A$2:$A$108,'Mortality Table'!$E$2:$E$108)))</f>
        <v>0</v>
      </c>
      <c r="AF24" s="17">
        <f>IF(AND(Changes!Change="Yes", Changes!ValidityYear&lt;=ROW()-1),Table14[[#This Row],[WOP Capital]],Table14[[#This Row],[WOP without change]])</f>
        <v>0</v>
      </c>
      <c r="AG24" s="42">
        <f>IF(AND(Changes!Change="Yes", Changes!ValidityYear&lt;=Table14[[#This Row],[Year]], Changes!ChangeType="Rider Inclusion/Exclusion", Changes!RiderType="Disability Annuity"), L24*Changes!NewChangedValue,L24*db!B$10*IF(db!$D$10="Yes",1,0))</f>
        <v>0</v>
      </c>
      <c r="AH24" s="29">
        <f>Table14[[#This Row],[Code Annuity Capital]]*IF('Annual Calculation'!C24&gt;69,0,(LOOKUP('Annual Calculation'!C24+1,'Mortality Table'!$A$2:$A$108,'Mortality Table'!$O$2:$O$108)-LOOKUP('Annual Calculation'!C24+11,'Mortality Table'!$A$2:$A$108,'Mortality Table'!$O$2:$O$108))/LOOKUP('Annual Calculation'!C24,'Mortality Table'!$A$2:$A$108,'Mortality Table'!$M$2:$M$108))</f>
        <v>0</v>
      </c>
      <c r="AI24" s="17">
        <f>IF(B24=0,0,IF(AND(Changes!Change="Yes", Changes!ValidityYear&lt;=Table14[[#This Row],[Year]], Changes!ChangeType="Rider Inclusion/Exclusion", Changes!RiderType="Dread Disease"), T24*Changes!NewChangedValue,IF(db!$D$11="Yes",(db!$B$11)*T24,0)))</f>
        <v>0</v>
      </c>
      <c r="AJ24" s="42">
        <f>ROUND(IF(C24&gt;59,0,IF(C24=0,0,IF(AI24&lt;=db!$L$5,AI24,db!$L$5))),0)</f>
        <v>0</v>
      </c>
      <c r="AK24" s="29">
        <f>IF(B24=0,0,IF(AND(Changes!Change="Yes", Changes!ValidityYear&lt;=Table14[[#This Row],[Year]], Changes!ChangeType="Rider Inclusion/Exclusion", Changes!RiderType="Cancer"), T24*Changes!NewChangedValue,IF(db!$D$12="Yes",(db!$B$12)*T24,0)))</f>
        <v>0</v>
      </c>
      <c r="AL24" s="29">
        <f>ROUND(IF(C24&gt;59,0,IF(C24=0,0,IF(AK24&lt;=db!$L$6,AK24,db!$L$6))),0)</f>
        <v>0</v>
      </c>
      <c r="AM24" s="32"/>
      <c r="AN24" s="18">
        <f>IF(B24=0,0,IF(C24&lt;(db!$E$2+5),LOOKUP(C24,'Mortality Table'!$A$2:$A$108,'Mortality Table'!$P$2:$P$108),IF((C24&gt;=db!$E$2+10),LOOKUP(C24,'Mortality Table'!$A$2:$A$108,'Mortality Table'!$R$2:$R$108),LOOKUP(C24,'Mortality Table'!$A$2:$A$108,'Mortality Table'!$Q$2:$Q$108))))</f>
        <v>0</v>
      </c>
      <c r="AO24" s="22">
        <f t="shared" si="2"/>
        <v>0</v>
      </c>
      <c r="AP24" s="19">
        <f>IF(B24=0,0, LOOKUP(IF(AND(Changes!Change="Yes", Changes!ValidityYear&lt;=Table14[[#This Row],[Year]], Changes!ChangeType="Change Job Class"),Changes!NewChangedValue, db!$A$8),db!$AX$4:$AX$8,db!$AY$4:$AY$8))</f>
        <v>0</v>
      </c>
      <c r="AQ24" s="20">
        <f>ROUND((AP24/1000)*W24 * (1-db!$AS$9),0)</f>
        <v>0</v>
      </c>
      <c r="AR24" s="20">
        <f>(AP24/1000)*W24 * db!$AS$9</f>
        <v>0</v>
      </c>
      <c r="AS24" s="21">
        <f>IF(B24=0,0, LOOKUP(IF(AND(Changes!Change="Yes", Changes!ValidityYear&lt;=Table14[[#This Row],[Year]], Changes!ChangeType="Change Job Class"),Changes!NewChangedValue, db!$A$8),db!$AX$4:$AX$8,db!$AZ$4:$AZ$8))</f>
        <v>0</v>
      </c>
      <c r="AT24" s="22">
        <f>(AS24/1000)*Y24*(1-db!$AS$9)</f>
        <v>0</v>
      </c>
      <c r="AU24" s="22">
        <f>(AS24/1000)*Y24*(db!$AS$9)</f>
        <v>0</v>
      </c>
      <c r="AV24" s="23">
        <f>IF(B24=0,0, LOOKUP(IF(AND(Changes!Change="Yes", Changes!ValidityYear&lt;=Table14[[#This Row],[Year]], Changes!ChangeType="Change Job Class"),Changes!NewChangedValue, db!$A$8),db!$AX$4:$AX$8,db!$BA$4:$BA$8))</f>
        <v>0</v>
      </c>
      <c r="AW24" s="20">
        <f>ROUND((AV24/(100))*AA24*(1-db!$AS$9),0)</f>
        <v>0</v>
      </c>
      <c r="AX24" s="20">
        <f>ROUND((AV24/(100))*AA24*(db!$AS$9),0)</f>
        <v>0</v>
      </c>
      <c r="AY24" s="21">
        <f>IF(db!$D$8="Yes",AS24,0)</f>
        <v>0</v>
      </c>
      <c r="AZ24" s="22">
        <f>(AY24*AF24)/1000*(1-db!$AS$9)</f>
        <v>0</v>
      </c>
      <c r="BA24" s="22">
        <f>(AY24*AF24)/1000*(db!$AS$9)</f>
        <v>0</v>
      </c>
      <c r="BB24" s="23">
        <f t="shared" si="3"/>
        <v>0</v>
      </c>
      <c r="BC24" s="20">
        <f>(BB24*AH24/1000)*(1-db!$AS$9)</f>
        <v>0</v>
      </c>
      <c r="BD24" s="20">
        <f>(BB24*AH24/1000)*(db!$AS$9)</f>
        <v>0</v>
      </c>
      <c r="BE24" s="22">
        <f>IF(B24=0,0,IF(C24&gt;60,0,LOOKUP(Table14[[#This Row],[Medical
Age]],db!$BC$3:$BC$63,db!$BD$3:$BD$63)))</f>
        <v>0</v>
      </c>
      <c r="BF24" s="22">
        <f>BG24*db!$AS$10</f>
        <v>0</v>
      </c>
      <c r="BG24" s="22">
        <f t="shared" si="4"/>
        <v>0</v>
      </c>
      <c r="BH24" s="22">
        <f>(BE24/1000000)*AJ24*(1-db!$AS$10)</f>
        <v>0</v>
      </c>
      <c r="BI24" s="20">
        <f>IF(B24=0,0,IF(C24&gt;59,0,LOOKUP(Table14[[#This Row],[Medical
Age]],db!$BC$3:$BC$63,db!$BE$3:$BE$63)))</f>
        <v>0</v>
      </c>
      <c r="BJ24" s="20">
        <f>(BI24/1000000)*AL24*(1-db!$AS$11)</f>
        <v>0</v>
      </c>
      <c r="BK24" s="20">
        <f>(BI24/1000000)*AL24*(db!$AS$11)</f>
        <v>0</v>
      </c>
      <c r="BL24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24" s="20">
        <f>Table14[[#This Row],[RiskLoading
Rate]]*Table14[[#This Row],[Death Capital (2)]]</f>
        <v>0</v>
      </c>
      <c r="BN24" s="36"/>
      <c r="BO24" s="37">
        <f t="shared" si="5"/>
        <v>0</v>
      </c>
      <c r="BP24" s="35">
        <f t="shared" si="6"/>
        <v>0</v>
      </c>
      <c r="BQ24" s="35">
        <f t="shared" si="7"/>
        <v>0</v>
      </c>
      <c r="BR24" s="37">
        <f t="shared" si="11"/>
        <v>0</v>
      </c>
      <c r="BS24" s="37">
        <f t="shared" si="12"/>
        <v>0</v>
      </c>
      <c r="BT24" s="35">
        <f t="shared" si="13"/>
        <v>0</v>
      </c>
      <c r="BU24" s="35">
        <f t="shared" si="14"/>
        <v>0</v>
      </c>
      <c r="BV24" s="37">
        <f>(db!$AS$4/100)*(L24-BT24-BU24)</f>
        <v>0</v>
      </c>
      <c r="BW24" s="37">
        <f>(db!$AS$8/100)*(L24-BT24-BU24)</f>
        <v>0</v>
      </c>
      <c r="BX24" s="35"/>
      <c r="BY24" s="37"/>
      <c r="BZ24" s="37"/>
      <c r="CA24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24" s="33"/>
      <c r="CC24" s="39">
        <f>ROUND((Table14[[#This Row],[Premium]]-Table14[[#This Row],[All Deductions]]),0)</f>
        <v>0</v>
      </c>
      <c r="CD24" s="40">
        <f>ROUND(IF(B24=0,0,((CC24)*(1+ IF(AND(Changes!Change="Yes",Changes!ValidityYear&lt;=Table14[[#This Row],[Year]],Annulment&gt;Table14[[#This Row],[Year]],Changes!ChangeType="Paid-Up"),db!Y26+0.02,db!Y26)))+((CD23)*(1+IF(AND(Changes!Change="Yes",Changes!ValidityYear&lt;=Table14[[#This Row],[Year]],Annulment&gt;Table14[[#This Row],[Year]],Changes!ChangeType="Paid-Up"),db!U26+0.02,db!U26)))),0)</f>
        <v>0</v>
      </c>
      <c r="CE24" s="40">
        <f>ROUND(IF(B24=0,0,((CC24)*(1+db!Y26))+((CE23)*(1+db!U26))),0)</f>
        <v>0</v>
      </c>
      <c r="CF24" s="40">
        <f t="shared" si="19"/>
        <v>0</v>
      </c>
      <c r="CG24" s="15">
        <f t="shared" si="15"/>
        <v>23</v>
      </c>
      <c r="CH24" s="39">
        <f>IF(B24=0,0,((CC24)*(1+db!AH26))+((CH23)*(1+db!AD26)))</f>
        <v>0</v>
      </c>
      <c r="CI24" s="39">
        <f>IF(B24=0,0,((CC24)*(1+db!AH26))+((CI23)*(1+db!AD26)))</f>
        <v>0</v>
      </c>
      <c r="CJ24" s="40">
        <f>IF(B24=0,0,((CC24)*(1+db!AO26))+((CJ23)*(1+db!AK26)))</f>
        <v>0</v>
      </c>
      <c r="CK24" s="40">
        <f>CJ24-(SUM(BX$7:$BX25))</f>
        <v>0</v>
      </c>
      <c r="CL24" s="46"/>
    </row>
    <row r="25" spans="1:90">
      <c r="A25" s="347">
        <f t="shared" si="16"/>
        <v>24</v>
      </c>
      <c r="B25" s="345">
        <f>IF(AND(Changes!Change="Yes", Changes!ChangeType="Change Contract Duration"),IF(B24=0,0,IF(Changes!NewChangedValue&lt;B24+1,0,B24+1)),IF(B24=0,0,IF('Application Annually'!$C$5&lt;B24+1,0,B24+1)))</f>
        <v>0</v>
      </c>
      <c r="C25" s="15">
        <f t="shared" si="17"/>
        <v>0</v>
      </c>
      <c r="D25" s="312">
        <f t="shared" si="18"/>
        <v>51</v>
      </c>
      <c r="E25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25" s="29">
        <f t="shared" si="8"/>
        <v>0</v>
      </c>
      <c r="G25" s="29">
        <f t="shared" si="9"/>
        <v>0</v>
      </c>
      <c r="H25" s="29">
        <f t="shared" si="0"/>
        <v>0</v>
      </c>
      <c r="I25" s="29">
        <f>IF(B25&gt;0,IF(AND(Table14[[#This Row],[Year]]&gt;Changes!ValidityYear,Changes!Change="Yes",Changes!ChangeType="Change Value Adjustment"),Changes!$G$22,'Application Annually'!$C$11),0)</f>
        <v>0</v>
      </c>
      <c r="J25" s="29">
        <f>IF(B25&gt;0,IF(AND(Table14[[#This Row],[Year]]&gt;Changes!ValidityYear,Changes!Change="Yes",Changes!ChangeType="Change Value Adjustment"),Changes!$G$24,'Application Annually'!$C$7),0)</f>
        <v>0</v>
      </c>
      <c r="K25" s="29">
        <f>ROUND(IF(B25=0,0,IF(AND(Changes!Change="Yes", Changes!ValidityYear=Table14[[#This Row],[Year]], Changes!ChangeType="Change Premium"), Changes!NewChangedValue, (K24*(1+db!$B$3)))),0)</f>
        <v>0</v>
      </c>
      <c r="L25" s="29">
        <f>ROUND(IF(B25=0,0,IF(AND(Changes!Change="Yes", Changes!ValidityYear=Table14[[#This Row],[Year]], Changes!ChangeType="Change Premium"), Changes!NewChangedValue, (L24*(1+Table14[[#This Row],[Adjustment Factor of Premium]]/100)))),0)</f>
        <v>0</v>
      </c>
      <c r="M25" s="29">
        <f>IF(Table14[[#This Row],[Year]]=1,ROUND(MIN($L$2 -( Table14[[#This Row],[Riders Risk Premiums]] + Table14[[#This Row],[Acquisition Cost]]) *0.75,Table14[[#This Row],[Death Capital (1)]]* 0.03),0),0)</f>
        <v>0</v>
      </c>
      <c r="N25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25" s="29">
        <f>ROUND(IF(ROW()-1&gt;InsurancePeriod,0,(O24*(1+(Table14[[#This Row],[Adjustment Factor of Premium]]/100)))),0)</f>
        <v>0</v>
      </c>
      <c r="P25" s="29">
        <f>IF(Table14[Year] = 0, 0, SUM(L$2:L25))</f>
        <v>0</v>
      </c>
      <c r="Q25" s="17">
        <f t="shared" si="1"/>
        <v>0</v>
      </c>
      <c r="R25" s="17">
        <f>IF(Table14[[#This Row],[Year]]=0,0,IF($C$2&lt;=50,LOOKUP(Table14[[#This Row],[Age]],db!BG26:BG132,db!BH26:BH132),LOOKUP(Table14[[#This Row],[Age]],db!BJ26:BJ132,db!BK26:BK132)))</f>
        <v>0</v>
      </c>
      <c r="S25" s="17">
        <f>IF(B25=0,0, IF(AND(Changes!Change="Yes", Changes!ValidityYear=Table14[[#This Row],[Year]], Changes!ChangeType="Change Death Capital"), Changes!NewChangedValue, S24*(1+(Table14[[#This Row],[Adjustment Factor of Death Capital]]/100))))</f>
        <v>0</v>
      </c>
      <c r="T25" s="17">
        <f>MIN(IF(B25=0,0,Table14[[#This Row],[Death Capital (1)]]),Table14[[#This Row],[Max Sum Insured For Death]])</f>
        <v>0</v>
      </c>
      <c r="U25" s="29">
        <f t="shared" si="10"/>
        <v>0</v>
      </c>
      <c r="V25" s="29">
        <f>IF(B25=0,0,IF(AND(Changes!Change="Yes", Changes!ValidityYear&lt;=Table14[[#This Row],[Year]], Changes!ChangeType="Rider Inclusion/Exclusion", Changes!RiderType="Accident Death"), T25*Changes!NewChangedValue,IF(db!$D$6="Yes",(db!$B$6)*T25,0)))</f>
        <v>0</v>
      </c>
      <c r="W25" s="29">
        <f>MIN(IF(V25&lt;=db!$L$2,V25,db!$L$2),MAX_ACC_CAPITAL)</f>
        <v>0</v>
      </c>
      <c r="X25" s="17">
        <f>IF(OR(B25=0,Table14[[#This Row],[Accident Capital (2)]]=0),0,IF(AND(Changes!Change="Yes", Changes!ValidityYear&lt;=Table14[[#This Row],[Year]], Changes!ChangeType="Rider Inclusion/Exclusion", Changes!RiderType="Accident Disability"), T25*Changes!NewChangedValue,IF(db!$D$7="Yes",(db!$B$7)*T25,0)))</f>
        <v>0</v>
      </c>
      <c r="Y25" s="42">
        <f>IF(C25&gt;69,0,IF(C25=0,0,IF(X25&lt;=db!$L$3,X25,db!$L$3)))</f>
        <v>0</v>
      </c>
      <c r="Z25" s="29">
        <f>IF(OR(B25=0,Table14[[#This Row],[Accident Capital (2)]]=0),0,IF(AND(Changes!Change="Yes", Changes!ValidityYear&lt;=Table14[[#This Row],[Year]], Changes!ChangeType="Rider Inclusion/Exclusion", Changes!RiderType="Accident Medical Cost"), T25*Changes!NewChangedValue,IF(db!$D$9="Yes",(db!$B$9)*T25,0)))</f>
        <v>0</v>
      </c>
      <c r="AA25" s="29">
        <f>ROUND(IF(C25&gt;69,0,IF(C25=0,0,IF(Z25&lt;=db!$L$4,Z25,db!$L$4))),0)</f>
        <v>0</v>
      </c>
      <c r="AB25" s="38">
        <f>IF(AND(Changes!Change = "Yes", Changes!ChangeType = "Rider Inclusion/Exclusion", Changes!RiderType = "WOP"), IF( Changes!ValidityYear &lt;= Table14[[#This Row],[Year]], IF(WOP = "Yes", 0, 1),  IF(WOP = "Yes", 1, 0)), IF(AND(db!$D$8="Yes",C25&lt;=69,ROW()-1&lt;=InsurancePeriod), 1, 0))</f>
        <v>0</v>
      </c>
      <c r="AC25" s="17">
        <f>(AC26+K26)*AB25*((1)/(1+db!AA27))*(LOOKUP(C25,'Mortality Table'!$A$2:$A$108,'Mortality Table'!$E$2:$E$108))</f>
        <v>0</v>
      </c>
      <c r="AD25" s="340">
        <f>IF(AND(Changes!ValidityYear&lt;= Table14[[#This Row],[Year]],Changes!ChangeType="Change Value Adjustment",Changes!Change="Yes"), (AD26+L26)*AB25*((1)/(1+db!AA27))*(LOOKUP(C25,'Mortality Table'!$A$2:$A$108,'Mortality Table'!$E$2:$E$108)),Table14[[#This Row],[WOP Before Adj. BT]])</f>
        <v>0</v>
      </c>
      <c r="AE25" s="341">
        <f>IF(AND(Changes!Change="Yes", Changes!ChangeType="Change Value Adjustment"),Table14[[#This Row],[WOP Capital]],(AE26+O26)*AB25*((1)/(1+db!AA27))*(LOOKUP(D25,'Mortality Table'!$A$2:$A$108,'Mortality Table'!$E$2:$E$108)))</f>
        <v>0</v>
      </c>
      <c r="AF25" s="17">
        <f>IF(AND(Changes!Change="Yes", Changes!ValidityYear&lt;=ROW()-1),Table14[[#This Row],[WOP Capital]],Table14[[#This Row],[WOP without change]])</f>
        <v>0</v>
      </c>
      <c r="AG25" s="42">
        <f>IF(AND(Changes!Change="Yes", Changes!ValidityYear&lt;=Table14[[#This Row],[Year]], Changes!ChangeType="Rider Inclusion/Exclusion", Changes!RiderType="Disability Annuity"), L25*Changes!NewChangedValue,L25*db!B$10*IF(db!$D$10="Yes",1,0))</f>
        <v>0</v>
      </c>
      <c r="AH25" s="29">
        <f>Table14[[#This Row],[Code Annuity Capital]]*IF('Annual Calculation'!C25&gt;69,0,(LOOKUP('Annual Calculation'!C25+1,'Mortality Table'!$A$2:$A$108,'Mortality Table'!$O$2:$O$108)-LOOKUP('Annual Calculation'!C25+11,'Mortality Table'!$A$2:$A$108,'Mortality Table'!$O$2:$O$108))/LOOKUP('Annual Calculation'!C25,'Mortality Table'!$A$2:$A$108,'Mortality Table'!$M$2:$M$108))</f>
        <v>0</v>
      </c>
      <c r="AI25" s="17">
        <f>IF(B25=0,0,IF(AND(Changes!Change="Yes", Changes!ValidityYear&lt;=Table14[[#This Row],[Year]], Changes!ChangeType="Rider Inclusion/Exclusion", Changes!RiderType="Dread Disease"), T25*Changes!NewChangedValue,IF(db!$D$11="Yes",(db!$B$11)*T25,0)))</f>
        <v>0</v>
      </c>
      <c r="AJ25" s="42">
        <f>ROUND(IF(C25&gt;59,0,IF(C25=0,0,IF(AI25&lt;=db!$L$5,AI25,db!$L$5))),0)</f>
        <v>0</v>
      </c>
      <c r="AK25" s="29">
        <f>IF(B25=0,0,IF(AND(Changes!Change="Yes", Changes!ValidityYear&lt;=Table14[[#This Row],[Year]], Changes!ChangeType="Rider Inclusion/Exclusion", Changes!RiderType="Cancer"), T25*Changes!NewChangedValue,IF(db!$D$12="Yes",(db!$B$12)*T25,0)))</f>
        <v>0</v>
      </c>
      <c r="AL25" s="29">
        <f>ROUND(IF(C25&gt;59,0,IF(C25=0,0,IF(AK25&lt;=db!$L$6,AK25,db!$L$6))),0)</f>
        <v>0</v>
      </c>
      <c r="AM25" s="32"/>
      <c r="AN25" s="18">
        <f>IF(B25=0,0,IF(C25&lt;(db!$E$2+5),LOOKUP(C25,'Mortality Table'!$A$2:$A$108,'Mortality Table'!$P$2:$P$108),IF((C25&gt;=db!$E$2+10),LOOKUP(C25,'Mortality Table'!$A$2:$A$108,'Mortality Table'!$R$2:$R$108),LOOKUP(C25,'Mortality Table'!$A$2:$A$108,'Mortality Table'!$Q$2:$Q$108))))</f>
        <v>0</v>
      </c>
      <c r="AO25" s="22">
        <f t="shared" si="2"/>
        <v>0</v>
      </c>
      <c r="AP25" s="19">
        <f>IF(B25=0,0, LOOKUP(IF(AND(Changes!Change="Yes", Changes!ValidityYear&lt;=Table14[[#This Row],[Year]], Changes!ChangeType="Change Job Class"),Changes!NewChangedValue, db!$A$8),db!$AX$4:$AX$8,db!$AY$4:$AY$8))</f>
        <v>0</v>
      </c>
      <c r="AQ25" s="20">
        <f>ROUND((AP25/1000)*W25 * (1-db!$AS$9),0)</f>
        <v>0</v>
      </c>
      <c r="AR25" s="20">
        <f>(AP25/1000)*W25 * db!$AS$9</f>
        <v>0</v>
      </c>
      <c r="AS25" s="21">
        <f>IF(B25=0,0, LOOKUP(IF(AND(Changes!Change="Yes", Changes!ValidityYear&lt;=Table14[[#This Row],[Year]], Changes!ChangeType="Change Job Class"),Changes!NewChangedValue, db!$A$8),db!$AX$4:$AX$8,db!$AZ$4:$AZ$8))</f>
        <v>0</v>
      </c>
      <c r="AT25" s="22">
        <f>(AS25/1000)*Y25*(1-db!$AS$9)</f>
        <v>0</v>
      </c>
      <c r="AU25" s="22">
        <f>(AS25/1000)*Y25*(db!$AS$9)</f>
        <v>0</v>
      </c>
      <c r="AV25" s="23">
        <f>IF(B25=0,0, LOOKUP(IF(AND(Changes!Change="Yes", Changes!ValidityYear&lt;=Table14[[#This Row],[Year]], Changes!ChangeType="Change Job Class"),Changes!NewChangedValue, db!$A$8),db!$AX$4:$AX$8,db!$BA$4:$BA$8))</f>
        <v>0</v>
      </c>
      <c r="AW25" s="20">
        <f>ROUND((AV25/(100))*AA25*(1-db!$AS$9),0)</f>
        <v>0</v>
      </c>
      <c r="AX25" s="20">
        <f>ROUND((AV25/(100))*AA25*(db!$AS$9),0)</f>
        <v>0</v>
      </c>
      <c r="AY25" s="21">
        <f>IF(db!$D$8="Yes",AS25,0)</f>
        <v>0</v>
      </c>
      <c r="AZ25" s="22">
        <f>(AY25*AF25)/1000*(1-db!$AS$9)</f>
        <v>0</v>
      </c>
      <c r="BA25" s="22">
        <f>(AY25*AF25)/1000*(db!$AS$9)</f>
        <v>0</v>
      </c>
      <c r="BB25" s="23">
        <f t="shared" si="3"/>
        <v>0</v>
      </c>
      <c r="BC25" s="20">
        <f>(BB25*AH25/1000)*(1-db!$AS$9)</f>
        <v>0</v>
      </c>
      <c r="BD25" s="20">
        <f>(BB25*AH25/1000)*(db!$AS$9)</f>
        <v>0</v>
      </c>
      <c r="BE25" s="22">
        <f>IF(B25=0,0,IF(C25&gt;60,0,LOOKUP(Table14[[#This Row],[Medical
Age]],db!$BC$3:$BC$63,db!$BD$3:$BD$63)))</f>
        <v>0</v>
      </c>
      <c r="BF25" s="22">
        <f>BG25*db!$AS$10</f>
        <v>0</v>
      </c>
      <c r="BG25" s="22">
        <f t="shared" si="4"/>
        <v>0</v>
      </c>
      <c r="BH25" s="22">
        <f>(BE25/1000000)*AJ25*(1-db!$AS$10)</f>
        <v>0</v>
      </c>
      <c r="BI25" s="20">
        <f>IF(B25=0,0,IF(C25&gt;59,0,LOOKUP(Table14[[#This Row],[Medical
Age]],db!$BC$3:$BC$63,db!$BE$3:$BE$63)))</f>
        <v>0</v>
      </c>
      <c r="BJ25" s="20">
        <f>(BI25/1000000)*AL25*(1-db!$AS$11)</f>
        <v>0</v>
      </c>
      <c r="BK25" s="20">
        <f>(BI25/1000000)*AL25*(db!$AS$11)</f>
        <v>0</v>
      </c>
      <c r="BL25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25" s="20">
        <f>Table14[[#This Row],[RiskLoading
Rate]]*Table14[[#This Row],[Death Capital (2)]]</f>
        <v>0</v>
      </c>
      <c r="BN25" s="36"/>
      <c r="BO25" s="37">
        <f t="shared" si="5"/>
        <v>0</v>
      </c>
      <c r="BP25" s="35">
        <f t="shared" si="6"/>
        <v>0</v>
      </c>
      <c r="BQ25" s="35">
        <f t="shared" si="7"/>
        <v>0</v>
      </c>
      <c r="BR25" s="37">
        <f t="shared" si="11"/>
        <v>0</v>
      </c>
      <c r="BS25" s="37">
        <f t="shared" si="12"/>
        <v>0</v>
      </c>
      <c r="BT25" s="35">
        <f t="shared" si="13"/>
        <v>0</v>
      </c>
      <c r="BU25" s="35">
        <f t="shared" si="14"/>
        <v>0</v>
      </c>
      <c r="BV25" s="37">
        <f>(db!$AS$4/100)*(L25-BT25-BU25)</f>
        <v>0</v>
      </c>
      <c r="BW25" s="37">
        <f>(db!$AS$8/100)*(L25-BT25-BU25)</f>
        <v>0</v>
      </c>
      <c r="BX25" s="35"/>
      <c r="BY25" s="37"/>
      <c r="BZ25" s="37"/>
      <c r="CA25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25" s="33"/>
      <c r="CC25" s="39">
        <f>ROUND((Table14[[#This Row],[Premium]]-Table14[[#This Row],[All Deductions]]),0)</f>
        <v>0</v>
      </c>
      <c r="CD25" s="40">
        <f>ROUND(IF(B25=0,0,((CC25)*(1+ IF(AND(Changes!Change="Yes",Changes!ValidityYear&lt;=Table14[[#This Row],[Year]],Annulment&gt;Table14[[#This Row],[Year]],Changes!ChangeType="Paid-Up"),db!Y27+0.02,db!Y27)))+((CD24)*(1+IF(AND(Changes!Change="Yes",Changes!ValidityYear&lt;=Table14[[#This Row],[Year]],Annulment&gt;Table14[[#This Row],[Year]],Changes!ChangeType="Paid-Up"),db!U27+0.02,db!U27)))),0)</f>
        <v>0</v>
      </c>
      <c r="CE25" s="40">
        <f>ROUND(IF(B25=0,0,((CC25)*(1+db!Y27))+((CE24)*(1+db!U27))),0)</f>
        <v>0</v>
      </c>
      <c r="CF25" s="40">
        <f t="shared" si="19"/>
        <v>0</v>
      </c>
      <c r="CG25" s="15">
        <f t="shared" si="15"/>
        <v>24</v>
      </c>
      <c r="CH25" s="39">
        <f>IF(B25=0,0,((CC25)*(1+db!AH27))+((CH24)*(1+db!AD27)))</f>
        <v>0</v>
      </c>
      <c r="CI25" s="39">
        <f>IF(B25=0,0,((CC25)*(1+db!AH27))+((CI24)*(1+db!AD27)))</f>
        <v>0</v>
      </c>
      <c r="CJ25" s="40">
        <f>IF(B25=0,0,((CC25)*(1+db!AO27))+((CJ24)*(1+db!AK27)))</f>
        <v>0</v>
      </c>
      <c r="CK25" s="40">
        <f>CJ25-(SUM(BX$7:$BX26))</f>
        <v>0</v>
      </c>
      <c r="CL25" s="46"/>
    </row>
    <row r="26" spans="1:90">
      <c r="A26" s="347">
        <f t="shared" si="16"/>
        <v>25</v>
      </c>
      <c r="B26" s="345">
        <f>IF(AND(Changes!Change="Yes", Changes!ChangeType="Change Contract Duration"),IF(B25=0,0,IF(Changes!NewChangedValue&lt;B25+1,0,B25+1)),IF(B25=0,0,IF('Application Annually'!$C$5&lt;B25+1,0,B25+1)))</f>
        <v>0</v>
      </c>
      <c r="C26" s="15">
        <f t="shared" si="17"/>
        <v>0</v>
      </c>
      <c r="D26" s="312">
        <f t="shared" si="18"/>
        <v>52</v>
      </c>
      <c r="E26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26" s="29">
        <f t="shared" si="8"/>
        <v>0</v>
      </c>
      <c r="G26" s="29">
        <f t="shared" si="9"/>
        <v>0</v>
      </c>
      <c r="H26" s="29">
        <f t="shared" si="0"/>
        <v>0</v>
      </c>
      <c r="I26" s="29">
        <f>IF(B26&gt;0,IF(AND(Table14[[#This Row],[Year]]&gt;Changes!ValidityYear,Changes!Change="Yes",Changes!ChangeType="Change Value Adjustment"),Changes!$G$22,'Application Annually'!$C$11),0)</f>
        <v>0</v>
      </c>
      <c r="J26" s="29">
        <f>IF(B26&gt;0,IF(AND(Table14[[#This Row],[Year]]&gt;Changes!ValidityYear,Changes!Change="Yes",Changes!ChangeType="Change Value Adjustment"),Changes!$G$24,'Application Annually'!$C$7),0)</f>
        <v>0</v>
      </c>
      <c r="K26" s="29">
        <f>ROUND(IF(B26=0,0,IF(AND(Changes!Change="Yes", Changes!ValidityYear=Table14[[#This Row],[Year]], Changes!ChangeType="Change Premium"), Changes!NewChangedValue, (K25*(1+db!$B$3)))),0)</f>
        <v>0</v>
      </c>
      <c r="L26" s="29">
        <f>ROUND(IF(B26=0,0,IF(AND(Changes!Change="Yes", Changes!ValidityYear=Table14[[#This Row],[Year]], Changes!ChangeType="Change Premium"), Changes!NewChangedValue, (L25*(1+Table14[[#This Row],[Adjustment Factor of Premium]]/100)))),0)</f>
        <v>0</v>
      </c>
      <c r="M26" s="29">
        <f>IF(Table14[[#This Row],[Year]]=1,ROUND(MIN($L$2 -( Table14[[#This Row],[Riders Risk Premiums]] + Table14[[#This Row],[Acquisition Cost]]) *0.75,Table14[[#This Row],[Death Capital (1)]]* 0.03),0),0)</f>
        <v>0</v>
      </c>
      <c r="N26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26" s="29">
        <f>ROUND(IF(ROW()-1&gt;InsurancePeriod,0,(O25*(1+(Table14[[#This Row],[Adjustment Factor of Premium]]/100)))),0)</f>
        <v>0</v>
      </c>
      <c r="P26" s="29">
        <f>IF(Table14[Year] = 0, 0, SUM(L$2:L26))</f>
        <v>0</v>
      </c>
      <c r="Q26" s="17">
        <f t="shared" si="1"/>
        <v>0</v>
      </c>
      <c r="R26" s="17">
        <f>IF(Table14[[#This Row],[Year]]=0,0,IF($C$2&lt;=50,LOOKUP(Table14[[#This Row],[Age]],db!BG27:BG133,db!BH27:BH133),LOOKUP(Table14[[#This Row],[Age]],db!BJ27:BJ133,db!BK27:BK133)))</f>
        <v>0</v>
      </c>
      <c r="S26" s="17">
        <f>IF(B26=0,0, IF(AND(Changes!Change="Yes", Changes!ValidityYear=Table14[[#This Row],[Year]], Changes!ChangeType="Change Death Capital"), Changes!NewChangedValue, S25*(1+(Table14[[#This Row],[Adjustment Factor of Death Capital]]/100))))</f>
        <v>0</v>
      </c>
      <c r="T26" s="17">
        <f>MIN(IF(B26=0,0,Table14[[#This Row],[Death Capital (1)]]),Table14[[#This Row],[Max Sum Insured For Death]])</f>
        <v>0</v>
      </c>
      <c r="U26" s="29">
        <f t="shared" si="10"/>
        <v>0</v>
      </c>
      <c r="V26" s="29">
        <f>IF(B26=0,0,IF(AND(Changes!Change="Yes", Changes!ValidityYear&lt;=Table14[[#This Row],[Year]], Changes!ChangeType="Rider Inclusion/Exclusion", Changes!RiderType="Accident Death"), T26*Changes!NewChangedValue,IF(db!$D$6="Yes",(db!$B$6)*T26,0)))</f>
        <v>0</v>
      </c>
      <c r="W26" s="29">
        <f>MIN(IF(V26&lt;=db!$L$2,V26,db!$L$2),MAX_ACC_CAPITAL)</f>
        <v>0</v>
      </c>
      <c r="X26" s="17">
        <f>IF(OR(B26=0,Table14[[#This Row],[Accident Capital (2)]]=0),0,IF(AND(Changes!Change="Yes", Changes!ValidityYear&lt;=Table14[[#This Row],[Year]], Changes!ChangeType="Rider Inclusion/Exclusion", Changes!RiderType="Accident Disability"), T26*Changes!NewChangedValue,IF(db!$D$7="Yes",(db!$B$7)*T26,0)))</f>
        <v>0</v>
      </c>
      <c r="Y26" s="42">
        <f>IF(C26&gt;69,0,IF(C26=0,0,IF(X26&lt;=db!$L$3,X26,db!$L$3)))</f>
        <v>0</v>
      </c>
      <c r="Z26" s="29">
        <f>IF(OR(B26=0,Table14[[#This Row],[Accident Capital (2)]]=0),0,IF(AND(Changes!Change="Yes", Changes!ValidityYear&lt;=Table14[[#This Row],[Year]], Changes!ChangeType="Rider Inclusion/Exclusion", Changes!RiderType="Accident Medical Cost"), T26*Changes!NewChangedValue,IF(db!$D$9="Yes",(db!$B$9)*T26,0)))</f>
        <v>0</v>
      </c>
      <c r="AA26" s="29">
        <f>ROUND(IF(C26&gt;69,0,IF(C26=0,0,IF(Z26&lt;=db!$L$4,Z26,db!$L$4))),0)</f>
        <v>0</v>
      </c>
      <c r="AB26" s="38">
        <f>IF(AND(Changes!Change = "Yes", Changes!ChangeType = "Rider Inclusion/Exclusion", Changes!RiderType = "WOP"), IF( Changes!ValidityYear &lt;= Table14[[#This Row],[Year]], IF(WOP = "Yes", 0, 1),  IF(WOP = "Yes", 1, 0)), IF(AND(db!$D$8="Yes",C26&lt;=69,ROW()-1&lt;=InsurancePeriod), 1, 0))</f>
        <v>0</v>
      </c>
      <c r="AC26" s="17">
        <f>(AC27+K27)*AB26*((1)/(1+db!AA28))*(LOOKUP(C26,'Mortality Table'!$A$2:$A$108,'Mortality Table'!$E$2:$E$108))</f>
        <v>0</v>
      </c>
      <c r="AD26" s="340">
        <f>IF(AND(Changes!ValidityYear&lt;= Table14[[#This Row],[Year]],Changes!ChangeType="Change Value Adjustment",Changes!Change="Yes"), (AD27+L27)*AB26*((1)/(1+db!AA28))*(LOOKUP(C26,'Mortality Table'!$A$2:$A$108,'Mortality Table'!$E$2:$E$108)),Table14[[#This Row],[WOP Before Adj. BT]])</f>
        <v>0</v>
      </c>
      <c r="AE26" s="341">
        <f>IF(AND(Changes!Change="Yes", Changes!ChangeType="Change Value Adjustment"),Table14[[#This Row],[WOP Capital]],(AE27+O27)*AB26*((1)/(1+db!AA28))*(LOOKUP(D26,'Mortality Table'!$A$2:$A$108,'Mortality Table'!$E$2:$E$108)))</f>
        <v>0</v>
      </c>
      <c r="AF26" s="17">
        <f>IF(AND(Changes!Change="Yes", Changes!ValidityYear&lt;=ROW()-1),Table14[[#This Row],[WOP Capital]],Table14[[#This Row],[WOP without change]])</f>
        <v>0</v>
      </c>
      <c r="AG26" s="42">
        <f>IF(AND(Changes!Change="Yes", Changes!ValidityYear&lt;=Table14[[#This Row],[Year]], Changes!ChangeType="Rider Inclusion/Exclusion", Changes!RiderType="Disability Annuity"), L26*Changes!NewChangedValue,L26*db!B$10*IF(db!$D$10="Yes",1,0))</f>
        <v>0</v>
      </c>
      <c r="AH26" s="29">
        <f>Table14[[#This Row],[Code Annuity Capital]]*IF('Annual Calculation'!C26&gt;69,0,(LOOKUP('Annual Calculation'!C26+1,'Mortality Table'!$A$2:$A$108,'Mortality Table'!$O$2:$O$108)-LOOKUP('Annual Calculation'!C26+11,'Mortality Table'!$A$2:$A$108,'Mortality Table'!$O$2:$O$108))/LOOKUP('Annual Calculation'!C26,'Mortality Table'!$A$2:$A$108,'Mortality Table'!$M$2:$M$108))</f>
        <v>0</v>
      </c>
      <c r="AI26" s="17">
        <f>IF(B26=0,0,IF(AND(Changes!Change="Yes", Changes!ValidityYear&lt;=Table14[[#This Row],[Year]], Changes!ChangeType="Rider Inclusion/Exclusion", Changes!RiderType="Dread Disease"), T26*Changes!NewChangedValue,IF(db!$D$11="Yes",(db!$B$11)*T26,0)))</f>
        <v>0</v>
      </c>
      <c r="AJ26" s="42">
        <f>ROUND(IF(C26&gt;59,0,IF(C26=0,0,IF(AI26&lt;=db!$L$5,AI26,db!$L$5))),0)</f>
        <v>0</v>
      </c>
      <c r="AK26" s="29">
        <f>IF(B26=0,0,IF(AND(Changes!Change="Yes", Changes!ValidityYear&lt;=Table14[[#This Row],[Year]], Changes!ChangeType="Rider Inclusion/Exclusion", Changes!RiderType="Cancer"), T26*Changes!NewChangedValue,IF(db!$D$12="Yes",(db!$B$12)*T26,0)))</f>
        <v>0</v>
      </c>
      <c r="AL26" s="29">
        <f>ROUND(IF(C26&gt;59,0,IF(C26=0,0,IF(AK26&lt;=db!$L$6,AK26,db!$L$6))),0)</f>
        <v>0</v>
      </c>
      <c r="AM26" s="32"/>
      <c r="AN26" s="18">
        <f>IF(B26=0,0,IF(C26&lt;(db!$E$2+5),LOOKUP(C26,'Mortality Table'!$A$2:$A$108,'Mortality Table'!$P$2:$P$108),IF((C26&gt;=db!$E$2+10),LOOKUP(C26,'Mortality Table'!$A$2:$A$108,'Mortality Table'!$R$2:$R$108),LOOKUP(C26,'Mortality Table'!$A$2:$A$108,'Mortality Table'!$Q$2:$Q$108))))</f>
        <v>0</v>
      </c>
      <c r="AO26" s="22">
        <f t="shared" si="2"/>
        <v>0</v>
      </c>
      <c r="AP26" s="19">
        <f>IF(B26=0,0, LOOKUP(IF(AND(Changes!Change="Yes", Changes!ValidityYear&lt;=Table14[[#This Row],[Year]], Changes!ChangeType="Change Job Class"),Changes!NewChangedValue, db!$A$8),db!$AX$4:$AX$8,db!$AY$4:$AY$8))</f>
        <v>0</v>
      </c>
      <c r="AQ26" s="20">
        <f>ROUND((AP26/1000)*W26 * (1-db!$AS$9),0)</f>
        <v>0</v>
      </c>
      <c r="AR26" s="20">
        <f>(AP26/1000)*W26 * db!$AS$9</f>
        <v>0</v>
      </c>
      <c r="AS26" s="21">
        <f>IF(B26=0,0, LOOKUP(IF(AND(Changes!Change="Yes", Changes!ValidityYear&lt;=Table14[[#This Row],[Year]], Changes!ChangeType="Change Job Class"),Changes!NewChangedValue, db!$A$8),db!$AX$4:$AX$8,db!$AZ$4:$AZ$8))</f>
        <v>0</v>
      </c>
      <c r="AT26" s="22">
        <f>(AS26/1000)*Y26*(1-db!$AS$9)</f>
        <v>0</v>
      </c>
      <c r="AU26" s="22">
        <f>(AS26/1000)*Y26*(db!$AS$9)</f>
        <v>0</v>
      </c>
      <c r="AV26" s="23">
        <f>IF(B26=0,0, LOOKUP(IF(AND(Changes!Change="Yes", Changes!ValidityYear&lt;=Table14[[#This Row],[Year]], Changes!ChangeType="Change Job Class"),Changes!NewChangedValue, db!$A$8),db!$AX$4:$AX$8,db!$BA$4:$BA$8))</f>
        <v>0</v>
      </c>
      <c r="AW26" s="20">
        <f>ROUND((AV26/(100))*AA26*(1-db!$AS$9),0)</f>
        <v>0</v>
      </c>
      <c r="AX26" s="20">
        <f>ROUND((AV26/(100))*AA26*(db!$AS$9),0)</f>
        <v>0</v>
      </c>
      <c r="AY26" s="21">
        <f>IF(db!$D$8="Yes",AS26,0)</f>
        <v>0</v>
      </c>
      <c r="AZ26" s="22">
        <f>(AY26*AF26)/1000*(1-db!$AS$9)</f>
        <v>0</v>
      </c>
      <c r="BA26" s="22">
        <f>(AY26*AF26)/1000*(db!$AS$9)</f>
        <v>0</v>
      </c>
      <c r="BB26" s="23">
        <f t="shared" si="3"/>
        <v>0</v>
      </c>
      <c r="BC26" s="20">
        <f>(BB26*AH26/1000)*(1-db!$AS$9)</f>
        <v>0</v>
      </c>
      <c r="BD26" s="20">
        <f>(BB26*AH26/1000)*(db!$AS$9)</f>
        <v>0</v>
      </c>
      <c r="BE26" s="22">
        <f>IF(B26=0,0,IF(C26&gt;60,0,LOOKUP(Table14[[#This Row],[Medical
Age]],db!$BC$3:$BC$63,db!$BD$3:$BD$63)))</f>
        <v>0</v>
      </c>
      <c r="BF26" s="22">
        <f>BG26*db!$AS$10</f>
        <v>0</v>
      </c>
      <c r="BG26" s="22">
        <f t="shared" si="4"/>
        <v>0</v>
      </c>
      <c r="BH26" s="22">
        <f>(BE26/1000000)*AJ26*(1-db!$AS$10)</f>
        <v>0</v>
      </c>
      <c r="BI26" s="20">
        <f>IF(B26=0,0,IF(C26&gt;59,0,LOOKUP(Table14[[#This Row],[Medical
Age]],db!$BC$3:$BC$63,db!$BE$3:$BE$63)))</f>
        <v>0</v>
      </c>
      <c r="BJ26" s="20">
        <f>(BI26/1000000)*AL26*(1-db!$AS$11)</f>
        <v>0</v>
      </c>
      <c r="BK26" s="20">
        <f>(BI26/1000000)*AL26*(db!$AS$11)</f>
        <v>0</v>
      </c>
      <c r="BL26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26" s="20">
        <f>Table14[[#This Row],[RiskLoading
Rate]]*Table14[[#This Row],[Death Capital (2)]]</f>
        <v>0</v>
      </c>
      <c r="BN26" s="36"/>
      <c r="BO26" s="37">
        <f t="shared" si="5"/>
        <v>0</v>
      </c>
      <c r="BP26" s="35">
        <f t="shared" si="6"/>
        <v>0</v>
      </c>
      <c r="BQ26" s="35">
        <f t="shared" si="7"/>
        <v>0</v>
      </c>
      <c r="BR26" s="37">
        <f t="shared" si="11"/>
        <v>0</v>
      </c>
      <c r="BS26" s="37">
        <f t="shared" si="12"/>
        <v>0</v>
      </c>
      <c r="BT26" s="35">
        <f t="shared" si="13"/>
        <v>0</v>
      </c>
      <c r="BU26" s="35">
        <f t="shared" si="14"/>
        <v>0</v>
      </c>
      <c r="BV26" s="37">
        <f>(db!$AS$4/100)*(L26-BT26-BU26)</f>
        <v>0</v>
      </c>
      <c r="BW26" s="37">
        <f>(db!$AS$8/100)*(L26-BT26-BU26)</f>
        <v>0</v>
      </c>
      <c r="BX26" s="35"/>
      <c r="BY26" s="37"/>
      <c r="BZ26" s="37"/>
      <c r="CA26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26" s="33"/>
      <c r="CC26" s="39">
        <f>ROUND((Table14[[#This Row],[Premium]]-Table14[[#This Row],[All Deductions]]),0)</f>
        <v>0</v>
      </c>
      <c r="CD26" s="40">
        <f>ROUND(IF(B26=0,0,((CC26)*(1+ IF(AND(Changes!Change="Yes",Changes!ValidityYear&lt;=Table14[[#This Row],[Year]],Annulment&gt;Table14[[#This Row],[Year]],Changes!ChangeType="Paid-Up"),db!Y28+0.02,db!Y28)))+((CD25)*(1+IF(AND(Changes!Change="Yes",Changes!ValidityYear&lt;=Table14[[#This Row],[Year]],Annulment&gt;Table14[[#This Row],[Year]],Changes!ChangeType="Paid-Up"),db!U28+0.02,db!U28)))),0)</f>
        <v>0</v>
      </c>
      <c r="CE26" s="40">
        <f>ROUND(IF(B26=0,0,((CC26)*(1+db!Y28))+((CE25)*(1+db!U28))),0)</f>
        <v>0</v>
      </c>
      <c r="CF26" s="40">
        <f t="shared" si="19"/>
        <v>0</v>
      </c>
      <c r="CG26" s="15">
        <f t="shared" si="15"/>
        <v>25</v>
      </c>
      <c r="CH26" s="39">
        <f>IF(B26=0,0,((CC26)*(1+db!AH28))+((CH25)*(1+db!AD28)))</f>
        <v>0</v>
      </c>
      <c r="CI26" s="39">
        <f>IF(B26=0,0,((CC26)*(1+db!AH28))+((CI25)*(1+db!AD28)))</f>
        <v>0</v>
      </c>
      <c r="CJ26" s="40">
        <f>IF(B26=0,0,((CC26)*(1+db!AO28))+((CJ25)*(1+db!AK28)))</f>
        <v>0</v>
      </c>
      <c r="CK26" s="40">
        <f>CJ26-(SUM(BX$7:$BX27))</f>
        <v>0</v>
      </c>
      <c r="CL26" s="46"/>
    </row>
    <row r="27" spans="1:90">
      <c r="A27" s="347">
        <f t="shared" si="16"/>
        <v>26</v>
      </c>
      <c r="B27" s="345">
        <f>IF(AND(Changes!Change="Yes", Changes!ChangeType="Change Contract Duration"),IF(B26=0,0,IF(Changes!NewChangedValue&lt;B26+1,0,B26+1)),IF(B26=0,0,IF('Application Annually'!$C$5&lt;B26+1,0,B26+1)))</f>
        <v>0</v>
      </c>
      <c r="C27" s="15">
        <f t="shared" si="17"/>
        <v>0</v>
      </c>
      <c r="D27" s="312">
        <f t="shared" si="18"/>
        <v>53</v>
      </c>
      <c r="E27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27" s="29">
        <f t="shared" si="8"/>
        <v>0</v>
      </c>
      <c r="G27" s="29">
        <f t="shared" si="9"/>
        <v>0</v>
      </c>
      <c r="H27" s="29">
        <f t="shared" si="0"/>
        <v>0</v>
      </c>
      <c r="I27" s="29">
        <f>IF(B27&gt;0,IF(AND(Table14[[#This Row],[Year]]&gt;Changes!ValidityYear,Changes!Change="Yes",Changes!ChangeType="Change Value Adjustment"),Changes!$G$22,'Application Annually'!$C$11),0)</f>
        <v>0</v>
      </c>
      <c r="J27" s="29">
        <f>IF(B27&gt;0,IF(AND(Table14[[#This Row],[Year]]&gt;Changes!ValidityYear,Changes!Change="Yes",Changes!ChangeType="Change Value Adjustment"),Changes!$G$24,'Application Annually'!$C$7),0)</f>
        <v>0</v>
      </c>
      <c r="K27" s="29">
        <f>ROUND(IF(B27=0,0,IF(AND(Changes!Change="Yes", Changes!ValidityYear=Table14[[#This Row],[Year]], Changes!ChangeType="Change Premium"), Changes!NewChangedValue, (K26*(1+db!$B$3)))),0)</f>
        <v>0</v>
      </c>
      <c r="L27" s="29">
        <f>ROUND(IF(B27=0,0,IF(AND(Changes!Change="Yes", Changes!ValidityYear=Table14[[#This Row],[Year]], Changes!ChangeType="Change Premium"), Changes!NewChangedValue, (L26*(1+Table14[[#This Row],[Adjustment Factor of Premium]]/100)))),0)</f>
        <v>0</v>
      </c>
      <c r="M27" s="29">
        <f>IF(Table14[[#This Row],[Year]]=1,ROUND(MIN($L$2 -( Table14[[#This Row],[Riders Risk Premiums]] + Table14[[#This Row],[Acquisition Cost]]) *0.75,Table14[[#This Row],[Death Capital (1)]]* 0.03),0),0)</f>
        <v>0</v>
      </c>
      <c r="N27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27" s="29">
        <f>ROUND(IF(ROW()-1&gt;InsurancePeriod,0,(O26*(1+(Table14[[#This Row],[Adjustment Factor of Premium]]/100)))),0)</f>
        <v>0</v>
      </c>
      <c r="P27" s="29">
        <f>IF(Table14[Year] = 0, 0, SUM(L$2:L27))</f>
        <v>0</v>
      </c>
      <c r="Q27" s="17">
        <f t="shared" si="1"/>
        <v>0</v>
      </c>
      <c r="R27" s="17">
        <f>IF(Table14[[#This Row],[Year]]=0,0,IF($C$2&lt;=50,LOOKUP(Table14[[#This Row],[Age]],db!BG28:BG134,db!BH28:BH134),LOOKUP(Table14[[#This Row],[Age]],db!BJ28:BJ134,db!BK28:BK134)))</f>
        <v>0</v>
      </c>
      <c r="S27" s="17">
        <f>IF(B27=0,0, IF(AND(Changes!Change="Yes", Changes!ValidityYear=Table14[[#This Row],[Year]], Changes!ChangeType="Change Death Capital"), Changes!NewChangedValue, S26*(1+(Table14[[#This Row],[Adjustment Factor of Death Capital]]/100))))</f>
        <v>0</v>
      </c>
      <c r="T27" s="17">
        <f>MIN(IF(B27=0,0,Table14[[#This Row],[Death Capital (1)]]),Table14[[#This Row],[Max Sum Insured For Death]])</f>
        <v>0</v>
      </c>
      <c r="U27" s="29">
        <f t="shared" si="10"/>
        <v>0</v>
      </c>
      <c r="V27" s="29">
        <f>IF(B27=0,0,IF(AND(Changes!Change="Yes", Changes!ValidityYear&lt;=Table14[[#This Row],[Year]], Changes!ChangeType="Rider Inclusion/Exclusion", Changes!RiderType="Accident Death"), T27*Changes!NewChangedValue,IF(db!$D$6="Yes",(db!$B$6)*T27,0)))</f>
        <v>0</v>
      </c>
      <c r="W27" s="29">
        <f>MIN(IF(V27&lt;=db!$L$2,V27,db!$L$2),MAX_ACC_CAPITAL)</f>
        <v>0</v>
      </c>
      <c r="X27" s="17">
        <f>IF(OR(B27=0,Table14[[#This Row],[Accident Capital (2)]]=0),0,IF(AND(Changes!Change="Yes", Changes!ValidityYear&lt;=Table14[[#This Row],[Year]], Changes!ChangeType="Rider Inclusion/Exclusion", Changes!RiderType="Accident Disability"), T27*Changes!NewChangedValue,IF(db!$D$7="Yes",(db!$B$7)*T27,0)))</f>
        <v>0</v>
      </c>
      <c r="Y27" s="42">
        <f>IF(C27&gt;69,0,IF(C27=0,0,IF(X27&lt;=db!$L$3,X27,db!$L$3)))</f>
        <v>0</v>
      </c>
      <c r="Z27" s="29">
        <f>IF(OR(B27=0,Table14[[#This Row],[Accident Capital (2)]]=0),0,IF(AND(Changes!Change="Yes", Changes!ValidityYear&lt;=Table14[[#This Row],[Year]], Changes!ChangeType="Rider Inclusion/Exclusion", Changes!RiderType="Accident Medical Cost"), T27*Changes!NewChangedValue,IF(db!$D$9="Yes",(db!$B$9)*T27,0)))</f>
        <v>0</v>
      </c>
      <c r="AA27" s="29">
        <f>ROUND(IF(C27&gt;69,0,IF(C27=0,0,IF(Z27&lt;=db!$L$4,Z27,db!$L$4))),0)</f>
        <v>0</v>
      </c>
      <c r="AB27" s="38">
        <f>IF(AND(Changes!Change = "Yes", Changes!ChangeType = "Rider Inclusion/Exclusion", Changes!RiderType = "WOP"), IF( Changes!ValidityYear &lt;= Table14[[#This Row],[Year]], IF(WOP = "Yes", 0, 1),  IF(WOP = "Yes", 1, 0)), IF(AND(db!$D$8="Yes",C27&lt;=69,ROW()-1&lt;=InsurancePeriod), 1, 0))</f>
        <v>0</v>
      </c>
      <c r="AC27" s="17">
        <f>(AC28+K28)*AB27*((1)/(1+db!AA29))*(LOOKUP(C27,'Mortality Table'!$A$2:$A$108,'Mortality Table'!$E$2:$E$108))</f>
        <v>0</v>
      </c>
      <c r="AD27" s="340">
        <f>IF(AND(Changes!ValidityYear&lt;= Table14[[#This Row],[Year]],Changes!ChangeType="Change Value Adjustment",Changes!Change="Yes"), (AD28+L28)*AB27*((1)/(1+db!AA29))*(LOOKUP(C27,'Mortality Table'!$A$2:$A$108,'Mortality Table'!$E$2:$E$108)),Table14[[#This Row],[WOP Before Adj. BT]])</f>
        <v>0</v>
      </c>
      <c r="AE27" s="341">
        <f>IF(AND(Changes!Change="Yes", Changes!ChangeType="Change Value Adjustment"),Table14[[#This Row],[WOP Capital]],(AE28+O28)*AB27*((1)/(1+db!AA29))*(LOOKUP(D27,'Mortality Table'!$A$2:$A$108,'Mortality Table'!$E$2:$E$108)))</f>
        <v>0</v>
      </c>
      <c r="AF27" s="17">
        <f>IF(AND(Changes!Change="Yes", Changes!ValidityYear&lt;=ROW()-1),Table14[[#This Row],[WOP Capital]],Table14[[#This Row],[WOP without change]])</f>
        <v>0</v>
      </c>
      <c r="AG27" s="42">
        <f>IF(AND(Changes!Change="Yes", Changes!ValidityYear&lt;=Table14[[#This Row],[Year]], Changes!ChangeType="Rider Inclusion/Exclusion", Changes!RiderType="Disability Annuity"), L27*Changes!NewChangedValue,L27*db!B$10*IF(db!$D$10="Yes",1,0))</f>
        <v>0</v>
      </c>
      <c r="AH27" s="29">
        <f>Table14[[#This Row],[Code Annuity Capital]]*IF('Annual Calculation'!C27&gt;69,0,(LOOKUP('Annual Calculation'!C27+1,'Mortality Table'!$A$2:$A$108,'Mortality Table'!$O$2:$O$108)-LOOKUP('Annual Calculation'!C27+11,'Mortality Table'!$A$2:$A$108,'Mortality Table'!$O$2:$O$108))/LOOKUP('Annual Calculation'!C27,'Mortality Table'!$A$2:$A$108,'Mortality Table'!$M$2:$M$108))</f>
        <v>0</v>
      </c>
      <c r="AI27" s="17">
        <f>IF(B27=0,0,IF(AND(Changes!Change="Yes", Changes!ValidityYear&lt;=Table14[[#This Row],[Year]], Changes!ChangeType="Rider Inclusion/Exclusion", Changes!RiderType="Dread Disease"), T27*Changes!NewChangedValue,IF(db!$D$11="Yes",(db!$B$11)*T27,0)))</f>
        <v>0</v>
      </c>
      <c r="AJ27" s="42">
        <f>ROUND(IF(C27&gt;59,0,IF(C27=0,0,IF(AI27&lt;=db!$L$5,AI27,db!$L$5))),0)</f>
        <v>0</v>
      </c>
      <c r="AK27" s="29">
        <f>IF(B27=0,0,IF(AND(Changes!Change="Yes", Changes!ValidityYear&lt;=Table14[[#This Row],[Year]], Changes!ChangeType="Rider Inclusion/Exclusion", Changes!RiderType="Cancer"), T27*Changes!NewChangedValue,IF(db!$D$12="Yes",(db!$B$12)*T27,0)))</f>
        <v>0</v>
      </c>
      <c r="AL27" s="29">
        <f>ROUND(IF(C27&gt;59,0,IF(C27=0,0,IF(AK27&lt;=db!$L$6,AK27,db!$L$6))),0)</f>
        <v>0</v>
      </c>
      <c r="AM27" s="32"/>
      <c r="AN27" s="18">
        <f>IF(B27=0,0,IF(C27&lt;(db!$E$2+5),LOOKUP(C27,'Mortality Table'!$A$2:$A$108,'Mortality Table'!$P$2:$P$108),IF((C27&gt;=db!$E$2+10),LOOKUP(C27,'Mortality Table'!$A$2:$A$108,'Mortality Table'!$R$2:$R$108),LOOKUP(C27,'Mortality Table'!$A$2:$A$108,'Mortality Table'!$Q$2:$Q$108))))</f>
        <v>0</v>
      </c>
      <c r="AO27" s="22">
        <f t="shared" si="2"/>
        <v>0</v>
      </c>
      <c r="AP27" s="19">
        <f>IF(B27=0,0, LOOKUP(IF(AND(Changes!Change="Yes", Changes!ValidityYear&lt;=Table14[[#This Row],[Year]], Changes!ChangeType="Change Job Class"),Changes!NewChangedValue, db!$A$8),db!$AX$4:$AX$8,db!$AY$4:$AY$8))</f>
        <v>0</v>
      </c>
      <c r="AQ27" s="20">
        <f>ROUND((AP27/1000)*W27 * (1-db!$AS$9),0)</f>
        <v>0</v>
      </c>
      <c r="AR27" s="20">
        <f>(AP27/1000)*W27 * db!$AS$9</f>
        <v>0</v>
      </c>
      <c r="AS27" s="21">
        <f>IF(B27=0,0, LOOKUP(IF(AND(Changes!Change="Yes", Changes!ValidityYear&lt;=Table14[[#This Row],[Year]], Changes!ChangeType="Change Job Class"),Changes!NewChangedValue, db!$A$8),db!$AX$4:$AX$8,db!$AZ$4:$AZ$8))</f>
        <v>0</v>
      </c>
      <c r="AT27" s="22">
        <f>(AS27/1000)*Y27*(1-db!$AS$9)</f>
        <v>0</v>
      </c>
      <c r="AU27" s="22">
        <f>(AS27/1000)*Y27*(db!$AS$9)</f>
        <v>0</v>
      </c>
      <c r="AV27" s="23">
        <f>IF(B27=0,0, LOOKUP(IF(AND(Changes!Change="Yes", Changes!ValidityYear&lt;=Table14[[#This Row],[Year]], Changes!ChangeType="Change Job Class"),Changes!NewChangedValue, db!$A$8),db!$AX$4:$AX$8,db!$BA$4:$BA$8))</f>
        <v>0</v>
      </c>
      <c r="AW27" s="20">
        <f>ROUND((AV27/(100))*AA27*(1-db!$AS$9),0)</f>
        <v>0</v>
      </c>
      <c r="AX27" s="20">
        <f>ROUND((AV27/(100))*AA27*(db!$AS$9),0)</f>
        <v>0</v>
      </c>
      <c r="AY27" s="21">
        <f>IF(db!$D$8="Yes",AS27,0)</f>
        <v>0</v>
      </c>
      <c r="AZ27" s="22">
        <f>(AY27*AF27)/1000*(1-db!$AS$9)</f>
        <v>0</v>
      </c>
      <c r="BA27" s="22">
        <f>(AY27*AF27)/1000*(db!$AS$9)</f>
        <v>0</v>
      </c>
      <c r="BB27" s="23">
        <f t="shared" si="3"/>
        <v>0</v>
      </c>
      <c r="BC27" s="20">
        <f>(BB27*AH27/1000)*(1-db!$AS$9)</f>
        <v>0</v>
      </c>
      <c r="BD27" s="20">
        <f>(BB27*AH27/1000)*(db!$AS$9)</f>
        <v>0</v>
      </c>
      <c r="BE27" s="22">
        <f>IF(B27=0,0,IF(C27&gt;60,0,LOOKUP(Table14[[#This Row],[Medical
Age]],db!$BC$3:$BC$63,db!$BD$3:$BD$63)))</f>
        <v>0</v>
      </c>
      <c r="BF27" s="22">
        <f>BG27*db!$AS$10</f>
        <v>0</v>
      </c>
      <c r="BG27" s="22">
        <f t="shared" si="4"/>
        <v>0</v>
      </c>
      <c r="BH27" s="22">
        <f>(BE27/1000000)*AJ27*(1-db!$AS$10)</f>
        <v>0</v>
      </c>
      <c r="BI27" s="20">
        <f>IF(B27=0,0,IF(C27&gt;59,0,LOOKUP(Table14[[#This Row],[Medical
Age]],db!$BC$3:$BC$63,db!$BE$3:$BE$63)))</f>
        <v>0</v>
      </c>
      <c r="BJ27" s="20">
        <f>(BI27/1000000)*AL27*(1-db!$AS$11)</f>
        <v>0</v>
      </c>
      <c r="BK27" s="20">
        <f>(BI27/1000000)*AL27*(db!$AS$11)</f>
        <v>0</v>
      </c>
      <c r="BL27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27" s="20">
        <f>Table14[[#This Row],[RiskLoading
Rate]]*Table14[[#This Row],[Death Capital (2)]]</f>
        <v>0</v>
      </c>
      <c r="BN27" s="36"/>
      <c r="BO27" s="37">
        <f t="shared" si="5"/>
        <v>0</v>
      </c>
      <c r="BP27" s="35">
        <f t="shared" si="6"/>
        <v>0</v>
      </c>
      <c r="BQ27" s="35">
        <f t="shared" si="7"/>
        <v>0</v>
      </c>
      <c r="BR27" s="37">
        <f t="shared" si="11"/>
        <v>0</v>
      </c>
      <c r="BS27" s="37">
        <f t="shared" si="12"/>
        <v>0</v>
      </c>
      <c r="BT27" s="35">
        <f t="shared" si="13"/>
        <v>0</v>
      </c>
      <c r="BU27" s="35">
        <f t="shared" si="14"/>
        <v>0</v>
      </c>
      <c r="BV27" s="37">
        <f>(db!$AS$4/100)*(L27-BT27-BU27)</f>
        <v>0</v>
      </c>
      <c r="BW27" s="37">
        <f>(db!$AS$8/100)*(L27-BT27-BU27)</f>
        <v>0</v>
      </c>
      <c r="BX27" s="35"/>
      <c r="BY27" s="37"/>
      <c r="BZ27" s="37"/>
      <c r="CA27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27" s="33"/>
      <c r="CC27" s="39">
        <f>ROUND((Table14[[#This Row],[Premium]]-Table14[[#This Row],[All Deductions]]),0)</f>
        <v>0</v>
      </c>
      <c r="CD27" s="40">
        <f>ROUND(IF(B27=0,0,((CC27)*(1+ IF(AND(Changes!Change="Yes",Changes!ValidityYear&lt;=Table14[[#This Row],[Year]],Annulment&gt;Table14[[#This Row],[Year]],Changes!ChangeType="Paid-Up"),db!Y29+0.02,db!Y29)))+((CD26)*(1+IF(AND(Changes!Change="Yes",Changes!ValidityYear&lt;=Table14[[#This Row],[Year]],Annulment&gt;Table14[[#This Row],[Year]],Changes!ChangeType="Paid-Up"),db!U29+0.02,db!U29)))),0)</f>
        <v>0</v>
      </c>
      <c r="CE27" s="40">
        <f>ROUND(IF(B27=0,0,((CC27)*(1+db!Y29))+((CE26)*(1+db!U29))),0)</f>
        <v>0</v>
      </c>
      <c r="CF27" s="40">
        <f t="shared" si="19"/>
        <v>0</v>
      </c>
      <c r="CG27" s="15">
        <f t="shared" si="15"/>
        <v>26</v>
      </c>
      <c r="CH27" s="39">
        <f>IF(B27=0,0,((CC27)*(1+db!AH29))+((CH26)*(1+db!AD29)))</f>
        <v>0</v>
      </c>
      <c r="CI27" s="39">
        <f>IF(B27=0,0,((CC27)*(1+db!AH29))+((CI26)*(1+db!AD29)))</f>
        <v>0</v>
      </c>
      <c r="CJ27" s="40">
        <f>IF(B27=0,0,((CC27)*(1+db!AO29))+((CJ26)*(1+db!AK29)))</f>
        <v>0</v>
      </c>
      <c r="CK27" s="40">
        <f>CJ27-(SUM(BX$7:$BX28))</f>
        <v>0</v>
      </c>
      <c r="CL27" s="46"/>
    </row>
    <row r="28" spans="1:90">
      <c r="A28" s="347">
        <f t="shared" si="16"/>
        <v>27</v>
      </c>
      <c r="B28" s="345">
        <f>IF(AND(Changes!Change="Yes", Changes!ChangeType="Change Contract Duration"),IF(B27=0,0,IF(Changes!NewChangedValue&lt;B27+1,0,B27+1)),IF(B27=0,0,IF('Application Annually'!$C$5&lt;B27+1,0,B27+1)))</f>
        <v>0</v>
      </c>
      <c r="C28" s="15">
        <f t="shared" si="17"/>
        <v>0</v>
      </c>
      <c r="D28" s="312">
        <f t="shared" si="18"/>
        <v>54</v>
      </c>
      <c r="E28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28" s="29">
        <f t="shared" si="8"/>
        <v>0</v>
      </c>
      <c r="G28" s="29">
        <f t="shared" si="9"/>
        <v>0</v>
      </c>
      <c r="H28" s="29">
        <f t="shared" si="0"/>
        <v>0</v>
      </c>
      <c r="I28" s="29">
        <f>IF(B28&gt;0,IF(AND(Table14[[#This Row],[Year]]&gt;Changes!ValidityYear,Changes!Change="Yes",Changes!ChangeType="Change Value Adjustment"),Changes!$G$22,'Application Annually'!$C$11),0)</f>
        <v>0</v>
      </c>
      <c r="J28" s="29">
        <f>IF(B28&gt;0,IF(AND(Table14[[#This Row],[Year]]&gt;Changes!ValidityYear,Changes!Change="Yes",Changes!ChangeType="Change Value Adjustment"),Changes!$G$24,'Application Annually'!$C$7),0)</f>
        <v>0</v>
      </c>
      <c r="K28" s="29">
        <f>ROUND(IF(B28=0,0,IF(AND(Changes!Change="Yes", Changes!ValidityYear=Table14[[#This Row],[Year]], Changes!ChangeType="Change Premium"), Changes!NewChangedValue, (K27*(1+db!$B$3)))),0)</f>
        <v>0</v>
      </c>
      <c r="L28" s="29">
        <f>ROUND(IF(B28=0,0,IF(AND(Changes!Change="Yes", Changes!ValidityYear=Table14[[#This Row],[Year]], Changes!ChangeType="Change Premium"), Changes!NewChangedValue, (L27*(1+Table14[[#This Row],[Adjustment Factor of Premium]]/100)))),0)</f>
        <v>0</v>
      </c>
      <c r="M28" s="29">
        <f>IF(Table14[[#This Row],[Year]]=1,ROUND(MIN($L$2 -( Table14[[#This Row],[Riders Risk Premiums]] + Table14[[#This Row],[Acquisition Cost]]) *0.75,Table14[[#This Row],[Death Capital (1)]]* 0.03),0),0)</f>
        <v>0</v>
      </c>
      <c r="N28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28" s="29">
        <f>ROUND(IF(ROW()-1&gt;InsurancePeriod,0,(O27*(1+(Table14[[#This Row],[Adjustment Factor of Premium]]/100)))),0)</f>
        <v>0</v>
      </c>
      <c r="P28" s="29">
        <f>IF(Table14[Year] = 0, 0, SUM(L$2:L28))</f>
        <v>0</v>
      </c>
      <c r="Q28" s="17">
        <f t="shared" si="1"/>
        <v>0</v>
      </c>
      <c r="R28" s="17">
        <f>IF(Table14[[#This Row],[Year]]=0,0,IF($C$2&lt;=50,LOOKUP(Table14[[#This Row],[Age]],db!BG29:BG135,db!BH29:BH135),LOOKUP(Table14[[#This Row],[Age]],db!BJ29:BJ135,db!BK29:BK135)))</f>
        <v>0</v>
      </c>
      <c r="S28" s="17">
        <f>IF(B28=0,0, IF(AND(Changes!Change="Yes", Changes!ValidityYear=Table14[[#This Row],[Year]], Changes!ChangeType="Change Death Capital"), Changes!NewChangedValue, S27*(1+(Table14[[#This Row],[Adjustment Factor of Death Capital]]/100))))</f>
        <v>0</v>
      </c>
      <c r="T28" s="17">
        <f>MIN(IF(B28=0,0,Table14[[#This Row],[Death Capital (1)]]),Table14[[#This Row],[Max Sum Insured For Death]])</f>
        <v>0</v>
      </c>
      <c r="U28" s="29">
        <f t="shared" si="10"/>
        <v>0</v>
      </c>
      <c r="V28" s="29">
        <f>IF(B28=0,0,IF(AND(Changes!Change="Yes", Changes!ValidityYear&lt;=Table14[[#This Row],[Year]], Changes!ChangeType="Rider Inclusion/Exclusion", Changes!RiderType="Accident Death"), T28*Changes!NewChangedValue,IF(db!$D$6="Yes",(db!$B$6)*T28,0)))</f>
        <v>0</v>
      </c>
      <c r="W28" s="29">
        <f>MIN(IF(V28&lt;=db!$L$2,V28,db!$L$2),MAX_ACC_CAPITAL)</f>
        <v>0</v>
      </c>
      <c r="X28" s="17">
        <f>IF(OR(B28=0,Table14[[#This Row],[Accident Capital (2)]]=0),0,IF(AND(Changes!Change="Yes", Changes!ValidityYear&lt;=Table14[[#This Row],[Year]], Changes!ChangeType="Rider Inclusion/Exclusion", Changes!RiderType="Accident Disability"), T28*Changes!NewChangedValue,IF(db!$D$7="Yes",(db!$B$7)*T28,0)))</f>
        <v>0</v>
      </c>
      <c r="Y28" s="42">
        <f>IF(C28&gt;69,0,IF(C28=0,0,IF(X28&lt;=db!$L$3,X28,db!$L$3)))</f>
        <v>0</v>
      </c>
      <c r="Z28" s="29">
        <f>IF(OR(B28=0,Table14[[#This Row],[Accident Capital (2)]]=0),0,IF(AND(Changes!Change="Yes", Changes!ValidityYear&lt;=Table14[[#This Row],[Year]], Changes!ChangeType="Rider Inclusion/Exclusion", Changes!RiderType="Accident Medical Cost"), T28*Changes!NewChangedValue,IF(db!$D$9="Yes",(db!$B$9)*T28,0)))</f>
        <v>0</v>
      </c>
      <c r="AA28" s="29">
        <f>ROUND(IF(C28&gt;69,0,IF(C28=0,0,IF(Z28&lt;=db!$L$4,Z28,db!$L$4))),0)</f>
        <v>0</v>
      </c>
      <c r="AB28" s="38">
        <f>IF(AND(Changes!Change = "Yes", Changes!ChangeType = "Rider Inclusion/Exclusion", Changes!RiderType = "WOP"), IF( Changes!ValidityYear &lt;= Table14[[#This Row],[Year]], IF(WOP = "Yes", 0, 1),  IF(WOP = "Yes", 1, 0)), IF(AND(db!$D$8="Yes",C28&lt;=69,ROW()-1&lt;=InsurancePeriod), 1, 0))</f>
        <v>0</v>
      </c>
      <c r="AC28" s="17">
        <f>(AC29+K29)*AB28*((1)/(1+db!AA30))*(LOOKUP(C28,'Mortality Table'!$A$2:$A$108,'Mortality Table'!$E$2:$E$108))</f>
        <v>0</v>
      </c>
      <c r="AD28" s="340">
        <f>IF(AND(Changes!ValidityYear&lt;= Table14[[#This Row],[Year]],Changes!ChangeType="Change Value Adjustment",Changes!Change="Yes"), (AD29+L29)*AB28*((1)/(1+db!AA30))*(LOOKUP(C28,'Mortality Table'!$A$2:$A$108,'Mortality Table'!$E$2:$E$108)),Table14[[#This Row],[WOP Before Adj. BT]])</f>
        <v>0</v>
      </c>
      <c r="AE28" s="341">
        <f>IF(AND(Changes!Change="Yes", Changes!ChangeType="Change Value Adjustment"),Table14[[#This Row],[WOP Capital]],(AE29+O29)*AB28*((1)/(1+db!AA30))*(LOOKUP(D28,'Mortality Table'!$A$2:$A$108,'Mortality Table'!$E$2:$E$108)))</f>
        <v>0</v>
      </c>
      <c r="AF28" s="17">
        <f>IF(AND(Changes!Change="Yes", Changes!ValidityYear&lt;=ROW()-1),Table14[[#This Row],[WOP Capital]],Table14[[#This Row],[WOP without change]])</f>
        <v>0</v>
      </c>
      <c r="AG28" s="42">
        <f>IF(AND(Changes!Change="Yes", Changes!ValidityYear&lt;=Table14[[#This Row],[Year]], Changes!ChangeType="Rider Inclusion/Exclusion", Changes!RiderType="Disability Annuity"), L28*Changes!NewChangedValue,L28*db!B$10*IF(db!$D$10="Yes",1,0))</f>
        <v>0</v>
      </c>
      <c r="AH28" s="29">
        <f>Table14[[#This Row],[Code Annuity Capital]]*IF('Annual Calculation'!C28&gt;69,0,(LOOKUP('Annual Calculation'!C28+1,'Mortality Table'!$A$2:$A$108,'Mortality Table'!$O$2:$O$108)-LOOKUP('Annual Calculation'!C28+11,'Mortality Table'!$A$2:$A$108,'Mortality Table'!$O$2:$O$108))/LOOKUP('Annual Calculation'!C28,'Mortality Table'!$A$2:$A$108,'Mortality Table'!$M$2:$M$108))</f>
        <v>0</v>
      </c>
      <c r="AI28" s="17">
        <f>IF(B28=0,0,IF(AND(Changes!Change="Yes", Changes!ValidityYear&lt;=Table14[[#This Row],[Year]], Changes!ChangeType="Rider Inclusion/Exclusion", Changes!RiderType="Dread Disease"), T28*Changes!NewChangedValue,IF(db!$D$11="Yes",(db!$B$11)*T28,0)))</f>
        <v>0</v>
      </c>
      <c r="AJ28" s="42">
        <f>ROUND(IF(C28&gt;59,0,IF(C28=0,0,IF(AI28&lt;=db!$L$5,AI28,db!$L$5))),0)</f>
        <v>0</v>
      </c>
      <c r="AK28" s="29">
        <f>IF(B28=0,0,IF(AND(Changes!Change="Yes", Changes!ValidityYear&lt;=Table14[[#This Row],[Year]], Changes!ChangeType="Rider Inclusion/Exclusion", Changes!RiderType="Cancer"), T28*Changes!NewChangedValue,IF(db!$D$12="Yes",(db!$B$12)*T28,0)))</f>
        <v>0</v>
      </c>
      <c r="AL28" s="29">
        <f>ROUND(IF(C28&gt;59,0,IF(C28=0,0,IF(AK28&lt;=db!$L$6,AK28,db!$L$6))),0)</f>
        <v>0</v>
      </c>
      <c r="AM28" s="32"/>
      <c r="AN28" s="18">
        <f>IF(B28=0,0,IF(C28&lt;(db!$E$2+5),LOOKUP(C28,'Mortality Table'!$A$2:$A$108,'Mortality Table'!$P$2:$P$108),IF((C28&gt;=db!$E$2+10),LOOKUP(C28,'Mortality Table'!$A$2:$A$108,'Mortality Table'!$R$2:$R$108),LOOKUP(C28,'Mortality Table'!$A$2:$A$108,'Mortality Table'!$Q$2:$Q$108))))</f>
        <v>0</v>
      </c>
      <c r="AO28" s="22">
        <f t="shared" si="2"/>
        <v>0</v>
      </c>
      <c r="AP28" s="19">
        <f>IF(B28=0,0, LOOKUP(IF(AND(Changes!Change="Yes", Changes!ValidityYear&lt;=Table14[[#This Row],[Year]], Changes!ChangeType="Change Job Class"),Changes!NewChangedValue, db!$A$8),db!$AX$4:$AX$8,db!$AY$4:$AY$8))</f>
        <v>0</v>
      </c>
      <c r="AQ28" s="20">
        <f>ROUND((AP28/1000)*W28 * (1-db!$AS$9),0)</f>
        <v>0</v>
      </c>
      <c r="AR28" s="20">
        <f>(AP28/1000)*W28 * db!$AS$9</f>
        <v>0</v>
      </c>
      <c r="AS28" s="21">
        <f>IF(B28=0,0, LOOKUP(IF(AND(Changes!Change="Yes", Changes!ValidityYear&lt;=Table14[[#This Row],[Year]], Changes!ChangeType="Change Job Class"),Changes!NewChangedValue, db!$A$8),db!$AX$4:$AX$8,db!$AZ$4:$AZ$8))</f>
        <v>0</v>
      </c>
      <c r="AT28" s="22">
        <f>(AS28/1000)*Y28*(1-db!$AS$9)</f>
        <v>0</v>
      </c>
      <c r="AU28" s="22">
        <f>(AS28/1000)*Y28*(db!$AS$9)</f>
        <v>0</v>
      </c>
      <c r="AV28" s="23">
        <f>IF(B28=0,0, LOOKUP(IF(AND(Changes!Change="Yes", Changes!ValidityYear&lt;=Table14[[#This Row],[Year]], Changes!ChangeType="Change Job Class"),Changes!NewChangedValue, db!$A$8),db!$AX$4:$AX$8,db!$BA$4:$BA$8))</f>
        <v>0</v>
      </c>
      <c r="AW28" s="20">
        <f>ROUND((AV28/(100))*AA28*(1-db!$AS$9),0)</f>
        <v>0</v>
      </c>
      <c r="AX28" s="20">
        <f>ROUND((AV28/(100))*AA28*(db!$AS$9),0)</f>
        <v>0</v>
      </c>
      <c r="AY28" s="21">
        <f>IF(db!$D$8="Yes",AS28,0)</f>
        <v>0</v>
      </c>
      <c r="AZ28" s="22">
        <f>(AY28*AF28)/1000*(1-db!$AS$9)</f>
        <v>0</v>
      </c>
      <c r="BA28" s="22">
        <f>(AY28*AF28)/1000*(db!$AS$9)</f>
        <v>0</v>
      </c>
      <c r="BB28" s="23">
        <f t="shared" si="3"/>
        <v>0</v>
      </c>
      <c r="BC28" s="20">
        <f>(BB28*AH28/1000)*(1-db!$AS$9)</f>
        <v>0</v>
      </c>
      <c r="BD28" s="20">
        <f>(BB28*AH28/1000)*(db!$AS$9)</f>
        <v>0</v>
      </c>
      <c r="BE28" s="22">
        <f>IF(B28=0,0,IF(C28&gt;60,0,LOOKUP(Table14[[#This Row],[Medical
Age]],db!$BC$3:$BC$63,db!$BD$3:$BD$63)))</f>
        <v>0</v>
      </c>
      <c r="BF28" s="22">
        <f>BG28*db!$AS$10</f>
        <v>0</v>
      </c>
      <c r="BG28" s="22">
        <f t="shared" si="4"/>
        <v>0</v>
      </c>
      <c r="BH28" s="22">
        <f>(BE28/1000000)*AJ28*(1-db!$AS$10)</f>
        <v>0</v>
      </c>
      <c r="BI28" s="20">
        <f>IF(B28=0,0,IF(C28&gt;59,0,LOOKUP(Table14[[#This Row],[Medical
Age]],db!$BC$3:$BC$63,db!$BE$3:$BE$63)))</f>
        <v>0</v>
      </c>
      <c r="BJ28" s="20">
        <f>(BI28/1000000)*AL28*(1-db!$AS$11)</f>
        <v>0</v>
      </c>
      <c r="BK28" s="20">
        <f>(BI28/1000000)*AL28*(db!$AS$11)</f>
        <v>0</v>
      </c>
      <c r="BL28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28" s="20">
        <f>Table14[[#This Row],[RiskLoading
Rate]]*Table14[[#This Row],[Death Capital (2)]]</f>
        <v>0</v>
      </c>
      <c r="BN28" s="36"/>
      <c r="BO28" s="37">
        <f t="shared" si="5"/>
        <v>0</v>
      </c>
      <c r="BP28" s="35">
        <f t="shared" si="6"/>
        <v>0</v>
      </c>
      <c r="BQ28" s="35">
        <f t="shared" si="7"/>
        <v>0</v>
      </c>
      <c r="BR28" s="37">
        <f t="shared" si="11"/>
        <v>0</v>
      </c>
      <c r="BS28" s="37">
        <f t="shared" si="12"/>
        <v>0</v>
      </c>
      <c r="BT28" s="35">
        <f t="shared" si="13"/>
        <v>0</v>
      </c>
      <c r="BU28" s="35">
        <f t="shared" si="14"/>
        <v>0</v>
      </c>
      <c r="BV28" s="37">
        <f>(db!$AS$4/100)*(L28-BT28-BU28)</f>
        <v>0</v>
      </c>
      <c r="BW28" s="37">
        <f>(db!$AS$8/100)*(L28-BT28-BU28)</f>
        <v>0</v>
      </c>
      <c r="BX28" s="35"/>
      <c r="BY28" s="37"/>
      <c r="BZ28" s="37"/>
      <c r="CA28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28" s="33"/>
      <c r="CC28" s="39">
        <f>ROUND((Table14[[#This Row],[Premium]]-Table14[[#This Row],[All Deductions]]),0)</f>
        <v>0</v>
      </c>
      <c r="CD28" s="40">
        <f>ROUND(IF(B28=0,0,((CC28)*(1+ IF(AND(Changes!Change="Yes",Changes!ValidityYear&lt;=Table14[[#This Row],[Year]],Annulment&gt;Table14[[#This Row],[Year]],Changes!ChangeType="Paid-Up"),db!Y30+0.02,db!Y30)))+((CD27)*(1+IF(AND(Changes!Change="Yes",Changes!ValidityYear&lt;=Table14[[#This Row],[Year]],Annulment&gt;Table14[[#This Row],[Year]],Changes!ChangeType="Paid-Up"),db!U30+0.02,db!U30)))),0)</f>
        <v>0</v>
      </c>
      <c r="CE28" s="40">
        <f>ROUND(IF(B28=0,0,((CC28)*(1+db!Y30))+((CE27)*(1+db!U30))),0)</f>
        <v>0</v>
      </c>
      <c r="CF28" s="40">
        <f t="shared" si="19"/>
        <v>0</v>
      </c>
      <c r="CG28" s="15">
        <f t="shared" si="15"/>
        <v>27</v>
      </c>
      <c r="CH28" s="39">
        <f>IF(B28=0,0,((CC28)*(1+db!AH30))+((CH27)*(1+db!AD30)))</f>
        <v>0</v>
      </c>
      <c r="CI28" s="39">
        <f>IF(B28=0,0,((CC28)*(1+db!AH30))+((CI27)*(1+db!AD30)))</f>
        <v>0</v>
      </c>
      <c r="CJ28" s="40">
        <f>IF(B28=0,0,((CC28)*(1+db!AO30))+((CJ27)*(1+db!AK30)))</f>
        <v>0</v>
      </c>
      <c r="CK28" s="40">
        <f>CJ28-(SUM(BX$7:$BX29))</f>
        <v>0</v>
      </c>
      <c r="CL28" s="46"/>
    </row>
    <row r="29" spans="1:90">
      <c r="A29" s="347">
        <f t="shared" si="16"/>
        <v>28</v>
      </c>
      <c r="B29" s="345">
        <f>IF(AND(Changes!Change="Yes", Changes!ChangeType="Change Contract Duration"),IF(B28=0,0,IF(Changes!NewChangedValue&lt;B28+1,0,B28+1)),IF(B28=0,0,IF('Application Annually'!$C$5&lt;B28+1,0,B28+1)))</f>
        <v>0</v>
      </c>
      <c r="C29" s="15">
        <f t="shared" si="17"/>
        <v>0</v>
      </c>
      <c r="D29" s="312">
        <f t="shared" si="18"/>
        <v>55</v>
      </c>
      <c r="E29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29" s="29">
        <f t="shared" si="8"/>
        <v>0</v>
      </c>
      <c r="G29" s="29">
        <f t="shared" si="9"/>
        <v>0</v>
      </c>
      <c r="H29" s="29">
        <f t="shared" si="0"/>
        <v>0</v>
      </c>
      <c r="I29" s="29">
        <f>IF(B29&gt;0,IF(AND(Table14[[#This Row],[Year]]&gt;Changes!ValidityYear,Changes!Change="Yes",Changes!ChangeType="Change Value Adjustment"),Changes!$G$22,'Application Annually'!$C$11),0)</f>
        <v>0</v>
      </c>
      <c r="J29" s="29">
        <f>IF(B29&gt;0,IF(AND(Table14[[#This Row],[Year]]&gt;Changes!ValidityYear,Changes!Change="Yes",Changes!ChangeType="Change Value Adjustment"),Changes!$G$24,'Application Annually'!$C$7),0)</f>
        <v>0</v>
      </c>
      <c r="K29" s="29">
        <f>ROUND(IF(B29=0,0,IF(AND(Changes!Change="Yes", Changes!ValidityYear=Table14[[#This Row],[Year]], Changes!ChangeType="Change Premium"), Changes!NewChangedValue, (K28*(1+db!$B$3)))),0)</f>
        <v>0</v>
      </c>
      <c r="L29" s="29">
        <f>ROUND(IF(B29=0,0,IF(AND(Changes!Change="Yes", Changes!ValidityYear=Table14[[#This Row],[Year]], Changes!ChangeType="Change Premium"), Changes!NewChangedValue, (L28*(1+Table14[[#This Row],[Adjustment Factor of Premium]]/100)))),0)</f>
        <v>0</v>
      </c>
      <c r="M29" s="29">
        <f>IF(Table14[[#This Row],[Year]]=1,ROUND(MIN($L$2 -( Table14[[#This Row],[Riders Risk Premiums]] + Table14[[#This Row],[Acquisition Cost]]) *0.75,Table14[[#This Row],[Death Capital (1)]]* 0.03),0),0)</f>
        <v>0</v>
      </c>
      <c r="N29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29" s="29">
        <f>ROUND(IF(ROW()-1&gt;InsurancePeriod,0,(O28*(1+(Table14[[#This Row],[Adjustment Factor of Premium]]/100)))),0)</f>
        <v>0</v>
      </c>
      <c r="P29" s="29">
        <f>IF(Table14[Year] = 0, 0, SUM(L$2:L29))</f>
        <v>0</v>
      </c>
      <c r="Q29" s="17">
        <f t="shared" si="1"/>
        <v>0</v>
      </c>
      <c r="R29" s="17">
        <f>IF(Table14[[#This Row],[Year]]=0,0,IF($C$2&lt;=50,LOOKUP(Table14[[#This Row],[Age]],db!BG30:BG136,db!BH30:BH136),LOOKUP(Table14[[#This Row],[Age]],db!BJ30:BJ136,db!BK30:BK136)))</f>
        <v>0</v>
      </c>
      <c r="S29" s="17">
        <f>IF(B29=0,0, IF(AND(Changes!Change="Yes", Changes!ValidityYear=Table14[[#This Row],[Year]], Changes!ChangeType="Change Death Capital"), Changes!NewChangedValue, S28*(1+(Table14[[#This Row],[Adjustment Factor of Death Capital]]/100))))</f>
        <v>0</v>
      </c>
      <c r="T29" s="17">
        <f>MIN(IF(B29=0,0,Table14[[#This Row],[Death Capital (1)]]),Table14[[#This Row],[Max Sum Insured For Death]])</f>
        <v>0</v>
      </c>
      <c r="U29" s="29">
        <f t="shared" si="10"/>
        <v>0</v>
      </c>
      <c r="V29" s="29">
        <f>IF(B29=0,0,IF(AND(Changes!Change="Yes", Changes!ValidityYear&lt;=Table14[[#This Row],[Year]], Changes!ChangeType="Rider Inclusion/Exclusion", Changes!RiderType="Accident Death"), T29*Changes!NewChangedValue,IF(db!$D$6="Yes",(db!$B$6)*T29,0)))</f>
        <v>0</v>
      </c>
      <c r="W29" s="29">
        <f>MIN(IF(V29&lt;=db!$L$2,V29,db!$L$2),MAX_ACC_CAPITAL)</f>
        <v>0</v>
      </c>
      <c r="X29" s="17">
        <f>IF(OR(B29=0,Table14[[#This Row],[Accident Capital (2)]]=0),0,IF(AND(Changes!Change="Yes", Changes!ValidityYear&lt;=Table14[[#This Row],[Year]], Changes!ChangeType="Rider Inclusion/Exclusion", Changes!RiderType="Accident Disability"), T29*Changes!NewChangedValue,IF(db!$D$7="Yes",(db!$B$7)*T29,0)))</f>
        <v>0</v>
      </c>
      <c r="Y29" s="42">
        <f>IF(C29&gt;69,0,IF(C29=0,0,IF(X29&lt;=db!$L$3,X29,db!$L$3)))</f>
        <v>0</v>
      </c>
      <c r="Z29" s="29">
        <f>IF(OR(B29=0,Table14[[#This Row],[Accident Capital (2)]]=0),0,IF(AND(Changes!Change="Yes", Changes!ValidityYear&lt;=Table14[[#This Row],[Year]], Changes!ChangeType="Rider Inclusion/Exclusion", Changes!RiderType="Accident Medical Cost"), T29*Changes!NewChangedValue,IF(db!$D$9="Yes",(db!$B$9)*T29,0)))</f>
        <v>0</v>
      </c>
      <c r="AA29" s="29">
        <f>ROUND(IF(C29&gt;69,0,IF(C29=0,0,IF(Z29&lt;=db!$L$4,Z29,db!$L$4))),0)</f>
        <v>0</v>
      </c>
      <c r="AB29" s="38">
        <f>IF(AND(Changes!Change = "Yes", Changes!ChangeType = "Rider Inclusion/Exclusion", Changes!RiderType = "WOP"), IF( Changes!ValidityYear &lt;= Table14[[#This Row],[Year]], IF(WOP = "Yes", 0, 1),  IF(WOP = "Yes", 1, 0)), IF(AND(db!$D$8="Yes",C29&lt;=69,ROW()-1&lt;=InsurancePeriod), 1, 0))</f>
        <v>0</v>
      </c>
      <c r="AC29" s="17">
        <f>(AC30+K30)*AB29*((1)/(1+db!AA31))*(LOOKUP(C29,'Mortality Table'!$A$2:$A$108,'Mortality Table'!$E$2:$E$108))</f>
        <v>0</v>
      </c>
      <c r="AD29" s="340">
        <f>IF(AND(Changes!ValidityYear&lt;= Table14[[#This Row],[Year]],Changes!ChangeType="Change Value Adjustment",Changes!Change="Yes"), (AD30+L30)*AB29*((1)/(1+db!AA31))*(LOOKUP(C29,'Mortality Table'!$A$2:$A$108,'Mortality Table'!$E$2:$E$108)),Table14[[#This Row],[WOP Before Adj. BT]])</f>
        <v>0</v>
      </c>
      <c r="AE29" s="341">
        <f>IF(AND(Changes!Change="Yes", Changes!ChangeType="Change Value Adjustment"),Table14[[#This Row],[WOP Capital]],(AE30+O30)*AB29*((1)/(1+db!AA31))*(LOOKUP(D29,'Mortality Table'!$A$2:$A$108,'Mortality Table'!$E$2:$E$108)))</f>
        <v>0</v>
      </c>
      <c r="AF29" s="17">
        <f>IF(AND(Changes!Change="Yes", Changes!ValidityYear&lt;=ROW()-1),Table14[[#This Row],[WOP Capital]],Table14[[#This Row],[WOP without change]])</f>
        <v>0</v>
      </c>
      <c r="AG29" s="42">
        <f>IF(AND(Changes!Change="Yes", Changes!ValidityYear&lt;=Table14[[#This Row],[Year]], Changes!ChangeType="Rider Inclusion/Exclusion", Changes!RiderType="Disability Annuity"), L29*Changes!NewChangedValue,L29*db!B$10*IF(db!$D$10="Yes",1,0))</f>
        <v>0</v>
      </c>
      <c r="AH29" s="29">
        <f>Table14[[#This Row],[Code Annuity Capital]]*IF('Annual Calculation'!C29&gt;69,0,(LOOKUP('Annual Calculation'!C29+1,'Mortality Table'!$A$2:$A$108,'Mortality Table'!$O$2:$O$108)-LOOKUP('Annual Calculation'!C29+11,'Mortality Table'!$A$2:$A$108,'Mortality Table'!$O$2:$O$108))/LOOKUP('Annual Calculation'!C29,'Mortality Table'!$A$2:$A$108,'Mortality Table'!$M$2:$M$108))</f>
        <v>0</v>
      </c>
      <c r="AI29" s="17">
        <f>IF(B29=0,0,IF(AND(Changes!Change="Yes", Changes!ValidityYear&lt;=Table14[[#This Row],[Year]], Changes!ChangeType="Rider Inclusion/Exclusion", Changes!RiderType="Dread Disease"), T29*Changes!NewChangedValue,IF(db!$D$11="Yes",(db!$B$11)*T29,0)))</f>
        <v>0</v>
      </c>
      <c r="AJ29" s="42">
        <f>ROUND(IF(C29&gt;59,0,IF(C29=0,0,IF(AI29&lt;=db!$L$5,AI29,db!$L$5))),0)</f>
        <v>0</v>
      </c>
      <c r="AK29" s="29">
        <f>IF(B29=0,0,IF(AND(Changes!Change="Yes", Changes!ValidityYear&lt;=Table14[[#This Row],[Year]], Changes!ChangeType="Rider Inclusion/Exclusion", Changes!RiderType="Cancer"), T29*Changes!NewChangedValue,IF(db!$D$12="Yes",(db!$B$12)*T29,0)))</f>
        <v>0</v>
      </c>
      <c r="AL29" s="29">
        <f>ROUND(IF(C29&gt;59,0,IF(C29=0,0,IF(AK29&lt;=db!$L$6,AK29,db!$L$6))),0)</f>
        <v>0</v>
      </c>
      <c r="AM29" s="32"/>
      <c r="AN29" s="18">
        <f>IF(B29=0,0,IF(C29&lt;(db!$E$2+5),LOOKUP(C29,'Mortality Table'!$A$2:$A$108,'Mortality Table'!$P$2:$P$108),IF((C29&gt;=db!$E$2+10),LOOKUP(C29,'Mortality Table'!$A$2:$A$108,'Mortality Table'!$R$2:$R$108),LOOKUP(C29,'Mortality Table'!$A$2:$A$108,'Mortality Table'!$Q$2:$Q$108))))</f>
        <v>0</v>
      </c>
      <c r="AO29" s="22">
        <f t="shared" si="2"/>
        <v>0</v>
      </c>
      <c r="AP29" s="19">
        <f>IF(B29=0,0, LOOKUP(IF(AND(Changes!Change="Yes", Changes!ValidityYear&lt;=Table14[[#This Row],[Year]], Changes!ChangeType="Change Job Class"),Changes!NewChangedValue, db!$A$8),db!$AX$4:$AX$8,db!$AY$4:$AY$8))</f>
        <v>0</v>
      </c>
      <c r="AQ29" s="20">
        <f>ROUND((AP29/1000)*W29 * (1-db!$AS$9),0)</f>
        <v>0</v>
      </c>
      <c r="AR29" s="20">
        <f>(AP29/1000)*W29 * db!$AS$9</f>
        <v>0</v>
      </c>
      <c r="AS29" s="21">
        <f>IF(B29=0,0, LOOKUP(IF(AND(Changes!Change="Yes", Changes!ValidityYear&lt;=Table14[[#This Row],[Year]], Changes!ChangeType="Change Job Class"),Changes!NewChangedValue, db!$A$8),db!$AX$4:$AX$8,db!$AZ$4:$AZ$8))</f>
        <v>0</v>
      </c>
      <c r="AT29" s="22">
        <f>(AS29/1000)*Y29*(1-db!$AS$9)</f>
        <v>0</v>
      </c>
      <c r="AU29" s="22">
        <f>(AS29/1000)*Y29*(db!$AS$9)</f>
        <v>0</v>
      </c>
      <c r="AV29" s="23">
        <f>IF(B29=0,0, LOOKUP(IF(AND(Changes!Change="Yes", Changes!ValidityYear&lt;=Table14[[#This Row],[Year]], Changes!ChangeType="Change Job Class"),Changes!NewChangedValue, db!$A$8),db!$AX$4:$AX$8,db!$BA$4:$BA$8))</f>
        <v>0</v>
      </c>
      <c r="AW29" s="20">
        <f>ROUND((AV29/(100))*AA29*(1-db!$AS$9),0)</f>
        <v>0</v>
      </c>
      <c r="AX29" s="20">
        <f>ROUND((AV29/(100))*AA29*(db!$AS$9),0)</f>
        <v>0</v>
      </c>
      <c r="AY29" s="21">
        <f>IF(db!$D$8="Yes",AS29,0)</f>
        <v>0</v>
      </c>
      <c r="AZ29" s="22">
        <f>(AY29*AF29)/1000*(1-db!$AS$9)</f>
        <v>0</v>
      </c>
      <c r="BA29" s="22">
        <f>(AY29*AF29)/1000*(db!$AS$9)</f>
        <v>0</v>
      </c>
      <c r="BB29" s="23">
        <f t="shared" si="3"/>
        <v>0</v>
      </c>
      <c r="BC29" s="20">
        <f>(BB29*AH29/1000)*(1-db!$AS$9)</f>
        <v>0</v>
      </c>
      <c r="BD29" s="20">
        <f>(BB29*AH29/1000)*(db!$AS$9)</f>
        <v>0</v>
      </c>
      <c r="BE29" s="22">
        <f>IF(B29=0,0,IF(C29&gt;60,0,LOOKUP(Table14[[#This Row],[Medical
Age]],db!$BC$3:$BC$63,db!$BD$3:$BD$63)))</f>
        <v>0</v>
      </c>
      <c r="BF29" s="22">
        <f>BG29*db!$AS$10</f>
        <v>0</v>
      </c>
      <c r="BG29" s="22">
        <f t="shared" si="4"/>
        <v>0</v>
      </c>
      <c r="BH29" s="22">
        <f>(BE29/1000000)*AJ29*(1-db!$AS$10)</f>
        <v>0</v>
      </c>
      <c r="BI29" s="20">
        <f>IF(B29=0,0,IF(C29&gt;59,0,LOOKUP(Table14[[#This Row],[Medical
Age]],db!$BC$3:$BC$63,db!$BE$3:$BE$63)))</f>
        <v>0</v>
      </c>
      <c r="BJ29" s="20">
        <f>(BI29/1000000)*AL29*(1-db!$AS$11)</f>
        <v>0</v>
      </c>
      <c r="BK29" s="20">
        <f>(BI29/1000000)*AL29*(db!$AS$11)</f>
        <v>0</v>
      </c>
      <c r="BL29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29" s="20">
        <f>Table14[[#This Row],[RiskLoading
Rate]]*Table14[[#This Row],[Death Capital (2)]]</f>
        <v>0</v>
      </c>
      <c r="BN29" s="36"/>
      <c r="BO29" s="37">
        <f t="shared" si="5"/>
        <v>0</v>
      </c>
      <c r="BP29" s="35">
        <f t="shared" si="6"/>
        <v>0</v>
      </c>
      <c r="BQ29" s="35">
        <f t="shared" si="7"/>
        <v>0</v>
      </c>
      <c r="BR29" s="37">
        <f t="shared" si="11"/>
        <v>0</v>
      </c>
      <c r="BS29" s="37">
        <f t="shared" si="12"/>
        <v>0</v>
      </c>
      <c r="BT29" s="35">
        <f t="shared" si="13"/>
        <v>0</v>
      </c>
      <c r="BU29" s="35">
        <f t="shared" si="14"/>
        <v>0</v>
      </c>
      <c r="BV29" s="37">
        <f>(db!$AS$4/100)*(L29-BT29-BU29)</f>
        <v>0</v>
      </c>
      <c r="BW29" s="37">
        <f>(db!$AS$8/100)*(L29-BT29-BU29)</f>
        <v>0</v>
      </c>
      <c r="BX29" s="35"/>
      <c r="BY29" s="37"/>
      <c r="BZ29" s="37"/>
      <c r="CA29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29" s="33"/>
      <c r="CC29" s="39">
        <f>ROUND((Table14[[#This Row],[Premium]]-Table14[[#This Row],[All Deductions]]),0)</f>
        <v>0</v>
      </c>
      <c r="CD29" s="40">
        <f>ROUND(IF(B29=0,0,((CC29)*(1+ IF(AND(Changes!Change="Yes",Changes!ValidityYear&lt;=Table14[[#This Row],[Year]],Annulment&gt;Table14[[#This Row],[Year]],Changes!ChangeType="Paid-Up"),db!Y31+0.02,db!Y31)))+((CD28)*(1+IF(AND(Changes!Change="Yes",Changes!ValidityYear&lt;=Table14[[#This Row],[Year]],Annulment&gt;Table14[[#This Row],[Year]],Changes!ChangeType="Paid-Up"),db!U31+0.02,db!U31)))),0)</f>
        <v>0</v>
      </c>
      <c r="CE29" s="40">
        <f>ROUND(IF(B29=0,0,((CC29)*(1+db!Y31))+((CE28)*(1+db!U31))),0)</f>
        <v>0</v>
      </c>
      <c r="CF29" s="40">
        <f t="shared" si="19"/>
        <v>0</v>
      </c>
      <c r="CG29" s="15">
        <f t="shared" si="15"/>
        <v>28</v>
      </c>
      <c r="CH29" s="39">
        <f>IF(B29=0,0,((CC29)*(1+db!AH31))+((CH28)*(1+db!AD31)))</f>
        <v>0</v>
      </c>
      <c r="CI29" s="39">
        <f>IF(B29=0,0,((CC29)*(1+db!AH31))+((CI28)*(1+db!AD31)))</f>
        <v>0</v>
      </c>
      <c r="CJ29" s="40">
        <f>IF(B29=0,0,((CC29)*(1+db!AO31))+((CJ28)*(1+db!AK31)))</f>
        <v>0</v>
      </c>
      <c r="CK29" s="40">
        <f>CJ29-(SUM(BX$7:$BX30))</f>
        <v>0</v>
      </c>
      <c r="CL29" s="46"/>
    </row>
    <row r="30" spans="1:90">
      <c r="A30" s="347">
        <f t="shared" si="16"/>
        <v>29</v>
      </c>
      <c r="B30" s="345">
        <f>IF(AND(Changes!Change="Yes", Changes!ChangeType="Change Contract Duration"),IF(B29=0,0,IF(Changes!NewChangedValue&lt;B29+1,0,B29+1)),IF(B29=0,0,IF('Application Annually'!$C$5&lt;B29+1,0,B29+1)))</f>
        <v>0</v>
      </c>
      <c r="C30" s="15">
        <f t="shared" si="17"/>
        <v>0</v>
      </c>
      <c r="D30" s="312">
        <f t="shared" si="18"/>
        <v>56</v>
      </c>
      <c r="E30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30" s="29">
        <f t="shared" si="8"/>
        <v>0</v>
      </c>
      <c r="G30" s="29">
        <f t="shared" si="9"/>
        <v>0</v>
      </c>
      <c r="H30" s="29">
        <f t="shared" si="0"/>
        <v>0</v>
      </c>
      <c r="I30" s="29">
        <f>IF(B30&gt;0,IF(AND(Table14[[#This Row],[Year]]&gt;Changes!ValidityYear,Changes!Change="Yes",Changes!ChangeType="Change Value Adjustment"),Changes!$G$22,'Application Annually'!$C$11),0)</f>
        <v>0</v>
      </c>
      <c r="J30" s="29">
        <f>IF(B30&gt;0,IF(AND(Table14[[#This Row],[Year]]&gt;Changes!ValidityYear,Changes!Change="Yes",Changes!ChangeType="Change Value Adjustment"),Changes!$G$24,'Application Annually'!$C$7),0)</f>
        <v>0</v>
      </c>
      <c r="K30" s="29">
        <f>ROUND(IF(B30=0,0,IF(AND(Changes!Change="Yes", Changes!ValidityYear=Table14[[#This Row],[Year]], Changes!ChangeType="Change Premium"), Changes!NewChangedValue, (K29*(1+db!$B$3)))),0)</f>
        <v>0</v>
      </c>
      <c r="L30" s="29">
        <f>ROUND(IF(B30=0,0,IF(AND(Changes!Change="Yes", Changes!ValidityYear=Table14[[#This Row],[Year]], Changes!ChangeType="Change Premium"), Changes!NewChangedValue, (L29*(1+Table14[[#This Row],[Adjustment Factor of Premium]]/100)))),0)</f>
        <v>0</v>
      </c>
      <c r="M30" s="29">
        <f>IF(Table14[[#This Row],[Year]]=1,ROUND(MIN($L$2 -( Table14[[#This Row],[Riders Risk Premiums]] + Table14[[#This Row],[Acquisition Cost]]) *0.75,Table14[[#This Row],[Death Capital (1)]]* 0.03),0),0)</f>
        <v>0</v>
      </c>
      <c r="N30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30" s="29">
        <f>ROUND(IF(ROW()-1&gt;InsurancePeriod,0,(O29*(1+(Table14[[#This Row],[Adjustment Factor of Premium]]/100)))),0)</f>
        <v>0</v>
      </c>
      <c r="P30" s="29">
        <f>IF(Table14[Year] = 0, 0, SUM(L$2:L30))</f>
        <v>0</v>
      </c>
      <c r="Q30" s="17">
        <f t="shared" si="1"/>
        <v>0</v>
      </c>
      <c r="R30" s="17">
        <f>IF(Table14[[#This Row],[Year]]=0,0,IF($C$2&lt;=50,LOOKUP(Table14[[#This Row],[Age]],db!BG31:BG137,db!BH31:BH137),LOOKUP(Table14[[#This Row],[Age]],db!BJ31:BJ137,db!BK31:BK137)))</f>
        <v>0</v>
      </c>
      <c r="S30" s="17">
        <f>IF(B30=0,0, IF(AND(Changes!Change="Yes", Changes!ValidityYear=Table14[[#This Row],[Year]], Changes!ChangeType="Change Death Capital"), Changes!NewChangedValue, S29*(1+(Table14[[#This Row],[Adjustment Factor of Death Capital]]/100))))</f>
        <v>0</v>
      </c>
      <c r="T30" s="17">
        <f>MIN(IF(B30=0,0,Table14[[#This Row],[Death Capital (1)]]),Table14[[#This Row],[Max Sum Insured For Death]])</f>
        <v>0</v>
      </c>
      <c r="U30" s="29">
        <f t="shared" si="10"/>
        <v>0</v>
      </c>
      <c r="V30" s="29">
        <f>IF(B30=0,0,IF(AND(Changes!Change="Yes", Changes!ValidityYear&lt;=Table14[[#This Row],[Year]], Changes!ChangeType="Rider Inclusion/Exclusion", Changes!RiderType="Accident Death"), T30*Changes!NewChangedValue,IF(db!$D$6="Yes",(db!$B$6)*T30,0)))</f>
        <v>0</v>
      </c>
      <c r="W30" s="29">
        <f>MIN(IF(V30&lt;=db!$L$2,V30,db!$L$2),MAX_ACC_CAPITAL)</f>
        <v>0</v>
      </c>
      <c r="X30" s="17">
        <f>IF(OR(B30=0,Table14[[#This Row],[Accident Capital (2)]]=0),0,IF(AND(Changes!Change="Yes", Changes!ValidityYear&lt;=Table14[[#This Row],[Year]], Changes!ChangeType="Rider Inclusion/Exclusion", Changes!RiderType="Accident Disability"), T30*Changes!NewChangedValue,IF(db!$D$7="Yes",(db!$B$7)*T30,0)))</f>
        <v>0</v>
      </c>
      <c r="Y30" s="42">
        <f>IF(C30&gt;69,0,IF(C30=0,0,IF(X30&lt;=db!$L$3,X30,db!$L$3)))</f>
        <v>0</v>
      </c>
      <c r="Z30" s="29">
        <f>IF(OR(B30=0,Table14[[#This Row],[Accident Capital (2)]]=0),0,IF(AND(Changes!Change="Yes", Changes!ValidityYear&lt;=Table14[[#This Row],[Year]], Changes!ChangeType="Rider Inclusion/Exclusion", Changes!RiderType="Accident Medical Cost"), T30*Changes!NewChangedValue,IF(db!$D$9="Yes",(db!$B$9)*T30,0)))</f>
        <v>0</v>
      </c>
      <c r="AA30" s="29">
        <f>ROUND(IF(C30&gt;69,0,IF(C30=0,0,IF(Z30&lt;=db!$L$4,Z30,db!$L$4))),0)</f>
        <v>0</v>
      </c>
      <c r="AB30" s="38">
        <f>IF(AND(Changes!Change = "Yes", Changes!ChangeType = "Rider Inclusion/Exclusion", Changes!RiderType = "WOP"), IF( Changes!ValidityYear &lt;= Table14[[#This Row],[Year]], IF(WOP = "Yes", 0, 1),  IF(WOP = "Yes", 1, 0)), IF(AND(db!$D$8="Yes",C30&lt;=69,ROW()-1&lt;=InsurancePeriod), 1, 0))</f>
        <v>0</v>
      </c>
      <c r="AC30" s="17">
        <f>(AC31+K31)*AB30*((1)/(1+db!AA32))*(LOOKUP(C30,'Mortality Table'!$A$2:$A$108,'Mortality Table'!$E$2:$E$108))</f>
        <v>0</v>
      </c>
      <c r="AD30" s="340">
        <f>IF(AND(Changes!ValidityYear&lt;= Table14[[#This Row],[Year]],Changes!ChangeType="Change Value Adjustment",Changes!Change="Yes"), (AD31+L31)*AB30*((1)/(1+db!AA32))*(LOOKUP(C30,'Mortality Table'!$A$2:$A$108,'Mortality Table'!$E$2:$E$108)),Table14[[#This Row],[WOP Before Adj. BT]])</f>
        <v>0</v>
      </c>
      <c r="AE30" s="341">
        <f>IF(AND(Changes!Change="Yes", Changes!ChangeType="Change Value Adjustment"),Table14[[#This Row],[WOP Capital]],(AE31+O31)*AB30*((1)/(1+db!AA32))*(LOOKUP(D30,'Mortality Table'!$A$2:$A$108,'Mortality Table'!$E$2:$E$108)))</f>
        <v>0</v>
      </c>
      <c r="AF30" s="17">
        <f>IF(AND(Changes!Change="Yes", Changes!ValidityYear&lt;=ROW()-1),Table14[[#This Row],[WOP Capital]],Table14[[#This Row],[WOP without change]])</f>
        <v>0</v>
      </c>
      <c r="AG30" s="42">
        <f>IF(AND(Changes!Change="Yes", Changes!ValidityYear&lt;=Table14[[#This Row],[Year]], Changes!ChangeType="Rider Inclusion/Exclusion", Changes!RiderType="Disability Annuity"), L30*Changes!NewChangedValue,L30*db!B$10*IF(db!$D$10="Yes",1,0))</f>
        <v>0</v>
      </c>
      <c r="AH30" s="29">
        <f>Table14[[#This Row],[Code Annuity Capital]]*IF('Annual Calculation'!C30&gt;69,0,(LOOKUP('Annual Calculation'!C30+1,'Mortality Table'!$A$2:$A$108,'Mortality Table'!$O$2:$O$108)-LOOKUP('Annual Calculation'!C30+11,'Mortality Table'!$A$2:$A$108,'Mortality Table'!$O$2:$O$108))/LOOKUP('Annual Calculation'!C30,'Mortality Table'!$A$2:$A$108,'Mortality Table'!$M$2:$M$108))</f>
        <v>0</v>
      </c>
      <c r="AI30" s="17">
        <f>IF(B30=0,0,IF(AND(Changes!Change="Yes", Changes!ValidityYear&lt;=Table14[[#This Row],[Year]], Changes!ChangeType="Rider Inclusion/Exclusion", Changes!RiderType="Dread Disease"), T30*Changes!NewChangedValue,IF(db!$D$11="Yes",(db!$B$11)*T30,0)))</f>
        <v>0</v>
      </c>
      <c r="AJ30" s="42">
        <f>ROUND(IF(C30&gt;59,0,IF(C30=0,0,IF(AI30&lt;=db!$L$5,AI30,db!$L$5))),0)</f>
        <v>0</v>
      </c>
      <c r="AK30" s="29">
        <f>IF(B30=0,0,IF(AND(Changes!Change="Yes", Changes!ValidityYear&lt;=Table14[[#This Row],[Year]], Changes!ChangeType="Rider Inclusion/Exclusion", Changes!RiderType="Cancer"), T30*Changes!NewChangedValue,IF(db!$D$12="Yes",(db!$B$12)*T30,0)))</f>
        <v>0</v>
      </c>
      <c r="AL30" s="29">
        <f>ROUND(IF(C30&gt;59,0,IF(C30=0,0,IF(AK30&lt;=db!$L$6,AK30,db!$L$6))),0)</f>
        <v>0</v>
      </c>
      <c r="AM30" s="32"/>
      <c r="AN30" s="18">
        <f>IF(B30=0,0,IF(C30&lt;(db!$E$2+5),LOOKUP(C30,'Mortality Table'!$A$2:$A$108,'Mortality Table'!$P$2:$P$108),IF((C30&gt;=db!$E$2+10),LOOKUP(C30,'Mortality Table'!$A$2:$A$108,'Mortality Table'!$R$2:$R$108),LOOKUP(C30,'Mortality Table'!$A$2:$A$108,'Mortality Table'!$Q$2:$Q$108))))</f>
        <v>0</v>
      </c>
      <c r="AO30" s="22">
        <f t="shared" si="2"/>
        <v>0</v>
      </c>
      <c r="AP30" s="19">
        <f>IF(B30=0,0, LOOKUP(IF(AND(Changes!Change="Yes", Changes!ValidityYear&lt;=Table14[[#This Row],[Year]], Changes!ChangeType="Change Job Class"),Changes!NewChangedValue, db!$A$8),db!$AX$4:$AX$8,db!$AY$4:$AY$8))</f>
        <v>0</v>
      </c>
      <c r="AQ30" s="20">
        <f>ROUND((AP30/1000)*W30 * (1-db!$AS$9),0)</f>
        <v>0</v>
      </c>
      <c r="AR30" s="20">
        <f>(AP30/1000)*W30 * db!$AS$9</f>
        <v>0</v>
      </c>
      <c r="AS30" s="21">
        <f>IF(B30=0,0, LOOKUP(IF(AND(Changes!Change="Yes", Changes!ValidityYear&lt;=Table14[[#This Row],[Year]], Changes!ChangeType="Change Job Class"),Changes!NewChangedValue, db!$A$8),db!$AX$4:$AX$8,db!$AZ$4:$AZ$8))</f>
        <v>0</v>
      </c>
      <c r="AT30" s="22">
        <f>(AS30/1000)*Y30*(1-db!$AS$9)</f>
        <v>0</v>
      </c>
      <c r="AU30" s="22">
        <f>(AS30/1000)*Y30*(db!$AS$9)</f>
        <v>0</v>
      </c>
      <c r="AV30" s="23">
        <f>IF(B30=0,0, LOOKUP(IF(AND(Changes!Change="Yes", Changes!ValidityYear&lt;=Table14[[#This Row],[Year]], Changes!ChangeType="Change Job Class"),Changes!NewChangedValue, db!$A$8),db!$AX$4:$AX$8,db!$BA$4:$BA$8))</f>
        <v>0</v>
      </c>
      <c r="AW30" s="20">
        <f>ROUND((AV30/(100))*AA30*(1-db!$AS$9),0)</f>
        <v>0</v>
      </c>
      <c r="AX30" s="20">
        <f>ROUND((AV30/(100))*AA30*(db!$AS$9),0)</f>
        <v>0</v>
      </c>
      <c r="AY30" s="21">
        <f>IF(db!$D$8="Yes",AS30,0)</f>
        <v>0</v>
      </c>
      <c r="AZ30" s="22">
        <f>(AY30*AF30)/1000*(1-db!$AS$9)</f>
        <v>0</v>
      </c>
      <c r="BA30" s="22">
        <f>(AY30*AF30)/1000*(db!$AS$9)</f>
        <v>0</v>
      </c>
      <c r="BB30" s="23">
        <f t="shared" si="3"/>
        <v>0</v>
      </c>
      <c r="BC30" s="20">
        <f>(BB30*AH30/1000)*(1-db!$AS$9)</f>
        <v>0</v>
      </c>
      <c r="BD30" s="20">
        <f>(BB30*AH30/1000)*(db!$AS$9)</f>
        <v>0</v>
      </c>
      <c r="BE30" s="22">
        <f>IF(B30=0,0,IF(C30&gt;60,0,LOOKUP(Table14[[#This Row],[Medical
Age]],db!$BC$3:$BC$63,db!$BD$3:$BD$63)))</f>
        <v>0</v>
      </c>
      <c r="BF30" s="22">
        <f>BG30*db!$AS$10</f>
        <v>0</v>
      </c>
      <c r="BG30" s="22">
        <f t="shared" si="4"/>
        <v>0</v>
      </c>
      <c r="BH30" s="22">
        <f>(BE30/1000000)*AJ30*(1-db!$AS$10)</f>
        <v>0</v>
      </c>
      <c r="BI30" s="20">
        <f>IF(B30=0,0,IF(C30&gt;59,0,LOOKUP(Table14[[#This Row],[Medical
Age]],db!$BC$3:$BC$63,db!$BE$3:$BE$63)))</f>
        <v>0</v>
      </c>
      <c r="BJ30" s="20">
        <f>(BI30/1000000)*AL30*(1-db!$AS$11)</f>
        <v>0</v>
      </c>
      <c r="BK30" s="20">
        <f>(BI30/1000000)*AL30*(db!$AS$11)</f>
        <v>0</v>
      </c>
      <c r="BL30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30" s="20">
        <f>Table14[[#This Row],[RiskLoading
Rate]]*Table14[[#This Row],[Death Capital (2)]]</f>
        <v>0</v>
      </c>
      <c r="BN30" s="36"/>
      <c r="BO30" s="37">
        <f t="shared" si="5"/>
        <v>0</v>
      </c>
      <c r="BP30" s="35">
        <f t="shared" si="6"/>
        <v>0</v>
      </c>
      <c r="BQ30" s="35">
        <f t="shared" si="7"/>
        <v>0</v>
      </c>
      <c r="BR30" s="37">
        <f t="shared" si="11"/>
        <v>0</v>
      </c>
      <c r="BS30" s="37">
        <f t="shared" si="12"/>
        <v>0</v>
      </c>
      <c r="BT30" s="35">
        <f t="shared" si="13"/>
        <v>0</v>
      </c>
      <c r="BU30" s="35">
        <f t="shared" si="14"/>
        <v>0</v>
      </c>
      <c r="BV30" s="37">
        <f>(db!$AS$4/100)*(L30-BT30-BU30)</f>
        <v>0</v>
      </c>
      <c r="BW30" s="37">
        <f>(db!$AS$8/100)*(L30-BT30-BU30)</f>
        <v>0</v>
      </c>
      <c r="BX30" s="35"/>
      <c r="BY30" s="37"/>
      <c r="BZ30" s="37"/>
      <c r="CA30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30" s="33"/>
      <c r="CC30" s="39">
        <f>ROUND((Table14[[#This Row],[Premium]]-Table14[[#This Row],[All Deductions]]),0)</f>
        <v>0</v>
      </c>
      <c r="CD30" s="40">
        <f>ROUND(IF(B30=0,0,((CC30)*(1+ IF(AND(Changes!Change="Yes",Changes!ValidityYear&lt;=Table14[[#This Row],[Year]],Annulment&gt;Table14[[#This Row],[Year]],Changes!ChangeType="Paid-Up"),db!Y32+0.02,db!Y32)))+((CD29)*(1+IF(AND(Changes!Change="Yes",Changes!ValidityYear&lt;=Table14[[#This Row],[Year]],Annulment&gt;Table14[[#This Row],[Year]],Changes!ChangeType="Paid-Up"),db!U32+0.02,db!U32)))),0)</f>
        <v>0</v>
      </c>
      <c r="CE30" s="40">
        <f>ROUND(IF(B30=0,0,((CC30)*(1+db!Y32))+((CE29)*(1+db!U32))),0)</f>
        <v>0</v>
      </c>
      <c r="CF30" s="40">
        <f t="shared" si="19"/>
        <v>0</v>
      </c>
      <c r="CG30" s="15">
        <f t="shared" si="15"/>
        <v>29</v>
      </c>
      <c r="CH30" s="39">
        <f>IF(B30=0,0,((CC30)*(1+db!AH32))+((CH29)*(1+db!AD32)))</f>
        <v>0</v>
      </c>
      <c r="CI30" s="39">
        <f>IF(B30=0,0,((CC30)*(1+db!AH32))+((CI29)*(1+db!AD32)))</f>
        <v>0</v>
      </c>
      <c r="CJ30" s="40">
        <f>IF(B30=0,0,((CC30)*(1+db!AO32))+((CJ29)*(1+db!AK32)))</f>
        <v>0</v>
      </c>
      <c r="CK30" s="40">
        <f>CJ30-(SUM(BX$7:$BX31))</f>
        <v>0</v>
      </c>
      <c r="CL30" s="46"/>
    </row>
    <row r="31" spans="1:90">
      <c r="A31" s="347">
        <f t="shared" si="16"/>
        <v>30</v>
      </c>
      <c r="B31" s="345">
        <f>IF(AND(Changes!Change="Yes", Changes!ChangeType="Change Contract Duration"),IF(B30=0,0,IF(Changes!NewChangedValue&lt;B30+1,0,B30+1)),IF(B30=0,0,IF('Application Annually'!$C$5&lt;B30+1,0,B30+1)))</f>
        <v>0</v>
      </c>
      <c r="C31" s="15">
        <f t="shared" si="17"/>
        <v>0</v>
      </c>
      <c r="D31" s="312">
        <f t="shared" si="18"/>
        <v>57</v>
      </c>
      <c r="E31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31" s="29">
        <f t="shared" si="8"/>
        <v>0</v>
      </c>
      <c r="G31" s="29">
        <f t="shared" si="9"/>
        <v>0</v>
      </c>
      <c r="H31" s="29">
        <f t="shared" si="0"/>
        <v>0</v>
      </c>
      <c r="I31" s="29">
        <f>IF(B31&gt;0,IF(AND(Table14[[#This Row],[Year]]&gt;Changes!ValidityYear,Changes!Change="Yes",Changes!ChangeType="Change Value Adjustment"),Changes!$G$22,'Application Annually'!$C$11),0)</f>
        <v>0</v>
      </c>
      <c r="J31" s="29">
        <f>IF(B31&gt;0,IF(AND(Table14[[#This Row],[Year]]&gt;Changes!ValidityYear,Changes!Change="Yes",Changes!ChangeType="Change Value Adjustment"),Changes!$G$24,'Application Annually'!$C$7),0)</f>
        <v>0</v>
      </c>
      <c r="K31" s="29">
        <f>ROUND(IF(B31=0,0,IF(AND(Changes!Change="Yes", Changes!ValidityYear=Table14[[#This Row],[Year]], Changes!ChangeType="Change Premium"), Changes!NewChangedValue, (K30*(1+db!$B$3)))),0)</f>
        <v>0</v>
      </c>
      <c r="L31" s="29">
        <f>ROUND(IF(B31=0,0,IF(AND(Changes!Change="Yes", Changes!ValidityYear=Table14[[#This Row],[Year]], Changes!ChangeType="Change Premium"), Changes!NewChangedValue, (L30*(1+Table14[[#This Row],[Adjustment Factor of Premium]]/100)))),0)</f>
        <v>0</v>
      </c>
      <c r="M31" s="29">
        <f>IF(Table14[[#This Row],[Year]]=1,ROUND(MIN($L$2 -( Table14[[#This Row],[Riders Risk Premiums]] + Table14[[#This Row],[Acquisition Cost]]) *0.75,Table14[[#This Row],[Death Capital (1)]]* 0.03),0),0)</f>
        <v>0</v>
      </c>
      <c r="N31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31" s="29">
        <f>ROUND(IF(ROW()-1&gt;InsurancePeriod,0,(O30*(1+(Table14[[#This Row],[Adjustment Factor of Premium]]/100)))),0)</f>
        <v>0</v>
      </c>
      <c r="P31" s="29">
        <f>IF(Table14[Year] = 0, 0, SUM(L$2:L31))</f>
        <v>0</v>
      </c>
      <c r="Q31" s="17">
        <f t="shared" si="1"/>
        <v>0</v>
      </c>
      <c r="R31" s="17">
        <f>IF(Table14[[#This Row],[Year]]=0,0,IF($C$2&lt;=50,LOOKUP(Table14[[#This Row],[Age]],db!BG32:BG138,db!BH32:BH138),LOOKUP(Table14[[#This Row],[Age]],db!BJ32:BJ138,db!BK32:BK138)))</f>
        <v>0</v>
      </c>
      <c r="S31" s="17">
        <f>IF(B31=0,0, IF(AND(Changes!Change="Yes", Changes!ValidityYear=Table14[[#This Row],[Year]], Changes!ChangeType="Change Death Capital"), Changes!NewChangedValue, S30*(1+(Table14[[#This Row],[Adjustment Factor of Death Capital]]/100))))</f>
        <v>0</v>
      </c>
      <c r="T31" s="17">
        <f>MIN(IF(B31=0,0,Table14[[#This Row],[Death Capital (1)]]),Table14[[#This Row],[Max Sum Insured For Death]])</f>
        <v>0</v>
      </c>
      <c r="U31" s="29">
        <f t="shared" si="10"/>
        <v>0</v>
      </c>
      <c r="V31" s="29">
        <f>IF(B31=0,0,IF(AND(Changes!Change="Yes", Changes!ValidityYear&lt;=Table14[[#This Row],[Year]], Changes!ChangeType="Rider Inclusion/Exclusion", Changes!RiderType="Accident Death"), T31*Changes!NewChangedValue,IF(db!$D$6="Yes",(db!$B$6)*T31,0)))</f>
        <v>0</v>
      </c>
      <c r="W31" s="29">
        <f>MIN(IF(V31&lt;=db!$L$2,V31,db!$L$2),MAX_ACC_CAPITAL)</f>
        <v>0</v>
      </c>
      <c r="X31" s="17">
        <f>IF(OR(B31=0,Table14[[#This Row],[Accident Capital (2)]]=0),0,IF(AND(Changes!Change="Yes", Changes!ValidityYear&lt;=Table14[[#This Row],[Year]], Changes!ChangeType="Rider Inclusion/Exclusion", Changes!RiderType="Accident Disability"), T31*Changes!NewChangedValue,IF(db!$D$7="Yes",(db!$B$7)*T31,0)))</f>
        <v>0</v>
      </c>
      <c r="Y31" s="42">
        <f>IF(C31&gt;69,0,IF(C31=0,0,IF(X31&lt;=db!$L$3,X31,db!$L$3)))</f>
        <v>0</v>
      </c>
      <c r="Z31" s="29">
        <f>IF(OR(B31=0,Table14[[#This Row],[Accident Capital (2)]]=0),0,IF(AND(Changes!Change="Yes", Changes!ValidityYear&lt;=Table14[[#This Row],[Year]], Changes!ChangeType="Rider Inclusion/Exclusion", Changes!RiderType="Accident Medical Cost"), T31*Changes!NewChangedValue,IF(db!$D$9="Yes",(db!$B$9)*T31,0)))</f>
        <v>0</v>
      </c>
      <c r="AA31" s="29">
        <f>ROUND(IF(C31&gt;69,0,IF(C31=0,0,IF(Z31&lt;=db!$L$4,Z31,db!$L$4))),0)</f>
        <v>0</v>
      </c>
      <c r="AB31" s="38">
        <f>IF(AND(Changes!Change = "Yes", Changes!ChangeType = "Rider Inclusion/Exclusion", Changes!RiderType = "WOP"), IF( Changes!ValidityYear &lt;= Table14[[#This Row],[Year]], IF(WOP = "Yes", 0, 1),  IF(WOP = "Yes", 1, 0)), IF(AND(db!$D$8="Yes",C31&lt;=69,ROW()-1&lt;=InsurancePeriod), 1, 0))</f>
        <v>0</v>
      </c>
      <c r="AC31" s="17">
        <f>(AC32+K32)*AB31*((1)/(1+db!AA33))*(LOOKUP(C31,'Mortality Table'!$A$2:$A$108,'Mortality Table'!$E$2:$E$108))</f>
        <v>0</v>
      </c>
      <c r="AD31" s="340">
        <f>IF(AND(Changes!ValidityYear&lt;= Table14[[#This Row],[Year]],Changes!ChangeType="Change Value Adjustment",Changes!Change="Yes"), (AD32+L32)*AB31*((1)/(1+db!AA33))*(LOOKUP(C31,'Mortality Table'!$A$2:$A$108,'Mortality Table'!$E$2:$E$108)),Table14[[#This Row],[WOP Before Adj. BT]])</f>
        <v>0</v>
      </c>
      <c r="AE31" s="341">
        <f>IF(AND(Changes!Change="Yes", Changes!ChangeType="Change Value Adjustment"),Table14[[#This Row],[WOP Capital]],(AE32+O32)*AB31*((1)/(1+db!AA33))*(LOOKUP(D31,'Mortality Table'!$A$2:$A$108,'Mortality Table'!$E$2:$E$108)))</f>
        <v>0</v>
      </c>
      <c r="AF31" s="17">
        <f>IF(AND(Changes!Change="Yes", Changes!ValidityYear&lt;=ROW()-1),Table14[[#This Row],[WOP Capital]],Table14[[#This Row],[WOP without change]])</f>
        <v>0</v>
      </c>
      <c r="AG31" s="42">
        <f>IF(AND(Changes!Change="Yes", Changes!ValidityYear&lt;=Table14[[#This Row],[Year]], Changes!ChangeType="Rider Inclusion/Exclusion", Changes!RiderType="Disability Annuity"), L31*Changes!NewChangedValue,L31*db!B$10*IF(db!$D$10="Yes",1,0))</f>
        <v>0</v>
      </c>
      <c r="AH31" s="29">
        <f>Table14[[#This Row],[Code Annuity Capital]]*IF('Annual Calculation'!C31&gt;69,0,(LOOKUP('Annual Calculation'!C31+1,'Mortality Table'!$A$2:$A$108,'Mortality Table'!$O$2:$O$108)-LOOKUP('Annual Calculation'!C31+11,'Mortality Table'!$A$2:$A$108,'Mortality Table'!$O$2:$O$108))/LOOKUP('Annual Calculation'!C31,'Mortality Table'!$A$2:$A$108,'Mortality Table'!$M$2:$M$108))</f>
        <v>0</v>
      </c>
      <c r="AI31" s="17">
        <f>IF(B31=0,0,IF(AND(Changes!Change="Yes", Changes!ValidityYear&lt;=Table14[[#This Row],[Year]], Changes!ChangeType="Rider Inclusion/Exclusion", Changes!RiderType="Dread Disease"), T31*Changes!NewChangedValue,IF(db!$D$11="Yes",(db!$B$11)*T31,0)))</f>
        <v>0</v>
      </c>
      <c r="AJ31" s="42">
        <f>ROUND(IF(C31&gt;59,0,IF(C31=0,0,IF(AI31&lt;=db!$L$5,AI31,db!$L$5))),0)</f>
        <v>0</v>
      </c>
      <c r="AK31" s="29">
        <f>IF(B31=0,0,IF(AND(Changes!Change="Yes", Changes!ValidityYear&lt;=Table14[[#This Row],[Year]], Changes!ChangeType="Rider Inclusion/Exclusion", Changes!RiderType="Cancer"), T31*Changes!NewChangedValue,IF(db!$D$12="Yes",(db!$B$12)*T31,0)))</f>
        <v>0</v>
      </c>
      <c r="AL31" s="29">
        <f>ROUND(IF(C31&gt;59,0,IF(C31=0,0,IF(AK31&lt;=db!$L$6,AK31,db!$L$6))),0)</f>
        <v>0</v>
      </c>
      <c r="AM31" s="32"/>
      <c r="AN31" s="18">
        <f>IF(B31=0,0,IF(C31&lt;(db!$E$2+5),LOOKUP(C31,'Mortality Table'!$A$2:$A$108,'Mortality Table'!$P$2:$P$108),IF((C31&gt;=db!$E$2+10),LOOKUP(C31,'Mortality Table'!$A$2:$A$108,'Mortality Table'!$R$2:$R$108),LOOKUP(C31,'Mortality Table'!$A$2:$A$108,'Mortality Table'!$Q$2:$Q$108))))</f>
        <v>0</v>
      </c>
      <c r="AO31" s="22">
        <f t="shared" si="2"/>
        <v>0</v>
      </c>
      <c r="AP31" s="19">
        <f>IF(B31=0,0, LOOKUP(IF(AND(Changes!Change="Yes", Changes!ValidityYear&lt;=Table14[[#This Row],[Year]], Changes!ChangeType="Change Job Class"),Changes!NewChangedValue, db!$A$8),db!$AX$4:$AX$8,db!$AY$4:$AY$8))</f>
        <v>0</v>
      </c>
      <c r="AQ31" s="20">
        <f>ROUND((AP31/1000)*W31 * (1-db!$AS$9),0)</f>
        <v>0</v>
      </c>
      <c r="AR31" s="20">
        <f>(AP31/1000)*W31 * db!$AS$9</f>
        <v>0</v>
      </c>
      <c r="AS31" s="21">
        <f>IF(B31=0,0, LOOKUP(IF(AND(Changes!Change="Yes", Changes!ValidityYear&lt;=Table14[[#This Row],[Year]], Changes!ChangeType="Change Job Class"),Changes!NewChangedValue, db!$A$8),db!$AX$4:$AX$8,db!$AZ$4:$AZ$8))</f>
        <v>0</v>
      </c>
      <c r="AT31" s="22">
        <f>(AS31/1000)*Y31*(1-db!$AS$9)</f>
        <v>0</v>
      </c>
      <c r="AU31" s="22">
        <f>(AS31/1000)*Y31*(db!$AS$9)</f>
        <v>0</v>
      </c>
      <c r="AV31" s="23">
        <f>IF(B31=0,0, LOOKUP(IF(AND(Changes!Change="Yes", Changes!ValidityYear&lt;=Table14[[#This Row],[Year]], Changes!ChangeType="Change Job Class"),Changes!NewChangedValue, db!$A$8),db!$AX$4:$AX$8,db!$BA$4:$BA$8))</f>
        <v>0</v>
      </c>
      <c r="AW31" s="20">
        <f>ROUND((AV31/(100))*AA31*(1-db!$AS$9),0)</f>
        <v>0</v>
      </c>
      <c r="AX31" s="20">
        <f>ROUND((AV31/(100))*AA31*(db!$AS$9),0)</f>
        <v>0</v>
      </c>
      <c r="AY31" s="21">
        <f>IF(db!$D$8="Yes",AS31,0)</f>
        <v>0</v>
      </c>
      <c r="AZ31" s="22">
        <f>(AY31*AF31)/1000*(1-db!$AS$9)</f>
        <v>0</v>
      </c>
      <c r="BA31" s="22">
        <f>(AY31*AF31)/1000*(db!$AS$9)</f>
        <v>0</v>
      </c>
      <c r="BB31" s="23">
        <f t="shared" si="3"/>
        <v>0</v>
      </c>
      <c r="BC31" s="20">
        <f>(BB31*AH31/1000)*(1-db!$AS$9)</f>
        <v>0</v>
      </c>
      <c r="BD31" s="20">
        <f>(BB31*AH31/1000)*(db!$AS$9)</f>
        <v>0</v>
      </c>
      <c r="BE31" s="22">
        <f>IF(B31=0,0,IF(C31&gt;60,0,LOOKUP(Table14[[#This Row],[Medical
Age]],db!$BC$3:$BC$63,db!$BD$3:$BD$63)))</f>
        <v>0</v>
      </c>
      <c r="BF31" s="22">
        <f>BG31*db!$AS$10</f>
        <v>0</v>
      </c>
      <c r="BG31" s="22">
        <f t="shared" si="4"/>
        <v>0</v>
      </c>
      <c r="BH31" s="22">
        <f>(BE31/1000000)*AJ31*(1-db!$AS$10)</f>
        <v>0</v>
      </c>
      <c r="BI31" s="20">
        <f>IF(B31=0,0,IF(C31&gt;59,0,LOOKUP(Table14[[#This Row],[Medical
Age]],db!$BC$3:$BC$63,db!$BE$3:$BE$63)))</f>
        <v>0</v>
      </c>
      <c r="BJ31" s="20">
        <f>(BI31/1000000)*AL31*(1-db!$AS$11)</f>
        <v>0</v>
      </c>
      <c r="BK31" s="20">
        <f>(BI31/1000000)*AL31*(db!$AS$11)</f>
        <v>0</v>
      </c>
      <c r="BL31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31" s="20">
        <f>Table14[[#This Row],[RiskLoading
Rate]]*Table14[[#This Row],[Death Capital (2)]]</f>
        <v>0</v>
      </c>
      <c r="BN31" s="36"/>
      <c r="BO31" s="37">
        <f t="shared" si="5"/>
        <v>0</v>
      </c>
      <c r="BP31" s="35">
        <f t="shared" si="6"/>
        <v>0</v>
      </c>
      <c r="BQ31" s="35">
        <f t="shared" si="7"/>
        <v>0</v>
      </c>
      <c r="BR31" s="37">
        <f t="shared" si="11"/>
        <v>0</v>
      </c>
      <c r="BS31" s="37">
        <f t="shared" si="12"/>
        <v>0</v>
      </c>
      <c r="BT31" s="35">
        <f t="shared" si="13"/>
        <v>0</v>
      </c>
      <c r="BU31" s="35">
        <f t="shared" si="14"/>
        <v>0</v>
      </c>
      <c r="BV31" s="37">
        <f>(db!$AS$4/100)*(L31-BT31-BU31)</f>
        <v>0</v>
      </c>
      <c r="BW31" s="37">
        <f>(db!$AS$8/100)*(L31-BT31-BU31)</f>
        <v>0</v>
      </c>
      <c r="BX31" s="35"/>
      <c r="BY31" s="37"/>
      <c r="BZ31" s="37"/>
      <c r="CA31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31" s="33"/>
      <c r="CC31" s="39">
        <f>ROUND((Table14[[#This Row],[Premium]]-Table14[[#This Row],[All Deductions]]),0)</f>
        <v>0</v>
      </c>
      <c r="CD31" s="40">
        <f>ROUND(IF(B31=0,0,((CC31)*(1+ IF(AND(Changes!Change="Yes",Changes!ValidityYear&lt;=Table14[[#This Row],[Year]],Annulment&gt;Table14[[#This Row],[Year]],Changes!ChangeType="Paid-Up"),db!Y33+0.02,db!Y33)))+((CD30)*(1+IF(AND(Changes!Change="Yes",Changes!ValidityYear&lt;=Table14[[#This Row],[Year]],Annulment&gt;Table14[[#This Row],[Year]],Changes!ChangeType="Paid-Up"),db!U33+0.02,db!U33)))),0)</f>
        <v>0</v>
      </c>
      <c r="CE31" s="40">
        <f>ROUND(IF(B31=0,0,((CC31)*(1+db!Y33))+((CE30)*(1+db!U33))),0)</f>
        <v>0</v>
      </c>
      <c r="CF31" s="40">
        <f t="shared" si="19"/>
        <v>0</v>
      </c>
      <c r="CG31" s="15">
        <f>1+CG30</f>
        <v>30</v>
      </c>
      <c r="CH31" s="39">
        <f>IF(B31=0,0,((CC31)*(1+db!AH33))+((CH30)*(1+db!AD33)))</f>
        <v>0</v>
      </c>
      <c r="CI31" s="39">
        <f>IF(B31=0,0,((CC31)*(1+db!AH33))+((CI30)*(1+db!AD33)))</f>
        <v>0</v>
      </c>
      <c r="CJ31" s="40">
        <f>IF(B31=0,0,((CC31)*(1+db!AO33))+((CJ30)*(1+db!AK33)))</f>
        <v>0</v>
      </c>
      <c r="CK31" s="40">
        <f>CJ31-(SUM(BX$7:$BX32))</f>
        <v>0</v>
      </c>
      <c r="CL31" s="46"/>
    </row>
    <row r="32" spans="1:90">
      <c r="A32" s="347">
        <f t="shared" si="16"/>
        <v>31</v>
      </c>
      <c r="B32" s="345">
        <f>IF(AND(Changes!Change="Yes", Changes!ChangeType="Change Contract Duration"),IF(B31=0,0,IF(Changes!NewChangedValue&lt;B31+1,0,B31+1)),IF(B31=0,0,IF('Application Annually'!$C$5&lt;B31+1,0,B31+1)))</f>
        <v>0</v>
      </c>
      <c r="C32" s="15">
        <f t="shared" si="17"/>
        <v>0</v>
      </c>
      <c r="D32" s="312">
        <f t="shared" si="18"/>
        <v>58</v>
      </c>
      <c r="E32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32" s="29">
        <f t="shared" si="8"/>
        <v>0</v>
      </c>
      <c r="G32" s="29">
        <f t="shared" si="9"/>
        <v>0</v>
      </c>
      <c r="H32" s="29">
        <f t="shared" si="0"/>
        <v>0</v>
      </c>
      <c r="I32" s="29">
        <f>IF(B32&gt;0,IF(AND(Table14[[#This Row],[Year]]&gt;Changes!ValidityYear,Changes!Change="Yes",Changes!ChangeType="Change Value Adjustment"),Changes!$G$22,'Application Annually'!$C$11),0)</f>
        <v>0</v>
      </c>
      <c r="J32" s="29">
        <f>IF(B32&gt;0,IF(AND(Table14[[#This Row],[Year]]&gt;Changes!ValidityYear,Changes!Change="Yes",Changes!ChangeType="Change Value Adjustment"),Changes!$G$24,'Application Annually'!$C$7),0)</f>
        <v>0</v>
      </c>
      <c r="K32" s="29">
        <f>ROUND(IF(B32=0,0,IF(AND(Changes!Change="Yes", Changes!ValidityYear=Table14[[#This Row],[Year]], Changes!ChangeType="Change Premium"), Changes!NewChangedValue, (K31*(1+db!$B$3)))),0)</f>
        <v>0</v>
      </c>
      <c r="L32" s="29">
        <f>ROUND(IF(B32=0,0,IF(AND(Changes!Change="Yes", Changes!ValidityYear=Table14[[#This Row],[Year]], Changes!ChangeType="Change Premium"), Changes!NewChangedValue, (L31*(1+Table14[[#This Row],[Adjustment Factor of Premium]]/100)))),0)</f>
        <v>0</v>
      </c>
      <c r="M32" s="29">
        <f>IF(Table14[[#This Row],[Year]]=1,ROUND(MIN($L$2 -( Table14[[#This Row],[Riders Risk Premiums]] + Table14[[#This Row],[Acquisition Cost]]) *0.75,Table14[[#This Row],[Death Capital (1)]]* 0.03),0),0)</f>
        <v>0</v>
      </c>
      <c r="N32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32" s="29">
        <f>ROUND(IF(ROW()-1&gt;InsurancePeriod,0,(O31*(1+(Table14[[#This Row],[Adjustment Factor of Premium]]/100)))),0)</f>
        <v>0</v>
      </c>
      <c r="P32" s="29">
        <f>IF(Table14[Year] = 0, 0, SUM(L$2:L32))</f>
        <v>0</v>
      </c>
      <c r="Q32" s="17">
        <f t="shared" si="1"/>
        <v>0</v>
      </c>
      <c r="R32" s="17">
        <f>IF(Table14[[#This Row],[Year]]=0,0,IF($C$2&lt;=50,LOOKUP(Table14[[#This Row],[Age]],db!BG33:BG139,db!BH33:BH139),LOOKUP(Table14[[#This Row],[Age]],db!BJ33:BJ139,db!BK33:BK139)))</f>
        <v>0</v>
      </c>
      <c r="S32" s="17">
        <f>IF(B32=0,0, IF(AND(Changes!Change="Yes", Changes!ValidityYear=Table14[[#This Row],[Year]], Changes!ChangeType="Change Death Capital"), Changes!NewChangedValue, S31*(1+(Table14[[#This Row],[Adjustment Factor of Death Capital]]/100))))</f>
        <v>0</v>
      </c>
      <c r="T32" s="17">
        <f>MIN(IF(B32=0,0,Table14[[#This Row],[Death Capital (1)]]),Table14[[#This Row],[Max Sum Insured For Death]])</f>
        <v>0</v>
      </c>
      <c r="U32" s="29">
        <f t="shared" si="10"/>
        <v>0</v>
      </c>
      <c r="V32" s="29">
        <f>IF(B32=0,0,IF(AND(Changes!Change="Yes", Changes!ValidityYear&lt;=Table14[[#This Row],[Year]], Changes!ChangeType="Rider Inclusion/Exclusion", Changes!RiderType="Accident Death"), T32*Changes!NewChangedValue,IF(db!$D$6="Yes",(db!$B$6)*T32,0)))</f>
        <v>0</v>
      </c>
      <c r="W32" s="29">
        <f>MIN(IF(V32&lt;=db!$L$2,V32,db!$L$2),MAX_ACC_CAPITAL)</f>
        <v>0</v>
      </c>
      <c r="X32" s="17">
        <f>IF(OR(B32=0,Table14[[#This Row],[Accident Capital (2)]]=0),0,IF(AND(Changes!Change="Yes", Changes!ValidityYear&lt;=Table14[[#This Row],[Year]], Changes!ChangeType="Rider Inclusion/Exclusion", Changes!RiderType="Accident Disability"), T32*Changes!NewChangedValue,IF(db!$D$7="Yes",(db!$B$7)*T32,0)))</f>
        <v>0</v>
      </c>
      <c r="Y32" s="42">
        <f>IF(C32&gt;69,0,IF(C32=0,0,IF(X32&lt;=db!$L$3,X32,db!$L$3)))</f>
        <v>0</v>
      </c>
      <c r="Z32" s="29">
        <f>IF(OR(B32=0,Table14[[#This Row],[Accident Capital (2)]]=0),0,IF(AND(Changes!Change="Yes", Changes!ValidityYear&lt;=Table14[[#This Row],[Year]], Changes!ChangeType="Rider Inclusion/Exclusion", Changes!RiderType="Accident Medical Cost"), T32*Changes!NewChangedValue,IF(db!$D$9="Yes",(db!$B$9)*T32,0)))</f>
        <v>0</v>
      </c>
      <c r="AA32" s="29">
        <f>ROUND(IF(C32&gt;69,0,IF(C32=0,0,IF(Z32&lt;=db!$L$4,Z32,db!$L$4))),0)</f>
        <v>0</v>
      </c>
      <c r="AB32" s="38">
        <f>IF(AND(Changes!Change = "Yes", Changes!ChangeType = "Rider Inclusion/Exclusion", Changes!RiderType = "WOP"), IF( Changes!ValidityYear &lt;= Table14[[#This Row],[Year]], IF(WOP = "Yes", 0, 1),  IF(WOP = "Yes", 1, 0)), IF(AND(db!$D$8="Yes",C32&lt;=69,ROW()-1&lt;=InsurancePeriod), 1, 0))</f>
        <v>0</v>
      </c>
      <c r="AC32" s="17">
        <f>(AC33+K33)*AB32*((1)/(1+db!AA34))*(LOOKUP(C32,'Mortality Table'!$A$2:$A$108,'Mortality Table'!$E$2:$E$108))</f>
        <v>0</v>
      </c>
      <c r="AD32" s="340">
        <f>IF(AND(Changes!ValidityYear&lt;= Table14[[#This Row],[Year]],Changes!ChangeType="Change Value Adjustment",Changes!Change="Yes"), (AD33+L33)*AB32*((1)/(1+db!AA34))*(LOOKUP(C32,'Mortality Table'!$A$2:$A$108,'Mortality Table'!$E$2:$E$108)),Table14[[#This Row],[WOP Before Adj. BT]])</f>
        <v>0</v>
      </c>
      <c r="AE32" s="341">
        <f>IF(AND(Changes!Change="Yes", Changes!ChangeType="Change Value Adjustment"),Table14[[#This Row],[WOP Capital]],(AE33+O33)*AB32*((1)/(1+db!AA34))*(LOOKUP(D32,'Mortality Table'!$A$2:$A$108,'Mortality Table'!$E$2:$E$108)))</f>
        <v>0</v>
      </c>
      <c r="AF32" s="17">
        <f>IF(AND(Changes!Change="Yes", Changes!ValidityYear&lt;=ROW()-1),Table14[[#This Row],[WOP Capital]],Table14[[#This Row],[WOP without change]])</f>
        <v>0</v>
      </c>
      <c r="AG32" s="42">
        <f>IF(AND(Changes!Change="Yes", Changes!ValidityYear&lt;=Table14[[#This Row],[Year]], Changes!ChangeType="Rider Inclusion/Exclusion", Changes!RiderType="Disability Annuity"), L32*Changes!NewChangedValue,L32*db!B$10*IF(db!$D$10="Yes",1,0))</f>
        <v>0</v>
      </c>
      <c r="AH32" s="29">
        <f>Table14[[#This Row],[Code Annuity Capital]]*IF('Annual Calculation'!C32&gt;69,0,(LOOKUP('Annual Calculation'!C32+1,'Mortality Table'!$A$2:$A$108,'Mortality Table'!$O$2:$O$108)-LOOKUP('Annual Calculation'!C32+11,'Mortality Table'!$A$2:$A$108,'Mortality Table'!$O$2:$O$108))/LOOKUP('Annual Calculation'!C32,'Mortality Table'!$A$2:$A$108,'Mortality Table'!$M$2:$M$108))</f>
        <v>0</v>
      </c>
      <c r="AI32" s="17">
        <f>IF(B32=0,0,IF(AND(Changes!Change="Yes", Changes!ValidityYear&lt;=Table14[[#This Row],[Year]], Changes!ChangeType="Rider Inclusion/Exclusion", Changes!RiderType="Dread Disease"), T32*Changes!NewChangedValue,IF(db!$D$11="Yes",(db!$B$11)*T32,0)))</f>
        <v>0</v>
      </c>
      <c r="AJ32" s="42">
        <f>ROUND(IF(C32&gt;59,0,IF(C32=0,0,IF(AI32&lt;=db!$L$5,AI32,db!$L$5))),0)</f>
        <v>0</v>
      </c>
      <c r="AK32" s="29">
        <f>IF(B32=0,0,IF(AND(Changes!Change="Yes", Changes!ValidityYear&lt;=Table14[[#This Row],[Year]], Changes!ChangeType="Rider Inclusion/Exclusion", Changes!RiderType="Cancer"), T32*Changes!NewChangedValue,IF(db!$D$12="Yes",(db!$B$12)*T32,0)))</f>
        <v>0</v>
      </c>
      <c r="AL32" s="29">
        <f>ROUND(IF(C32&gt;59,0,IF(C32=0,0,IF(AK32&lt;=db!$L$6,AK32,db!$L$6))),0)</f>
        <v>0</v>
      </c>
      <c r="AM32" s="32"/>
      <c r="AN32" s="18">
        <f>IF(B32=0,0,IF(C32&lt;(db!$E$2+5),LOOKUP(C32,'Mortality Table'!$A$2:$A$108,'Mortality Table'!$P$2:$P$108),IF((C32&gt;=db!$E$2+10),LOOKUP(C32,'Mortality Table'!$A$2:$A$108,'Mortality Table'!$R$2:$R$108),LOOKUP(C32,'Mortality Table'!$A$2:$A$108,'Mortality Table'!$Q$2:$Q$108))))</f>
        <v>0</v>
      </c>
      <c r="AO32" s="22">
        <f t="shared" si="2"/>
        <v>0</v>
      </c>
      <c r="AP32" s="19">
        <f>IF(B32=0,0, LOOKUP(IF(AND(Changes!Change="Yes", Changes!ValidityYear&lt;=Table14[[#This Row],[Year]], Changes!ChangeType="Change Job Class"),Changes!NewChangedValue, db!$A$8),db!$AX$4:$AX$8,db!$AY$4:$AY$8))</f>
        <v>0</v>
      </c>
      <c r="AQ32" s="20">
        <f>ROUND((AP32/1000)*W32 * (1-db!$AS$9),0)</f>
        <v>0</v>
      </c>
      <c r="AR32" s="20">
        <f>(AP32/1000)*W32 * db!$AS$9</f>
        <v>0</v>
      </c>
      <c r="AS32" s="21">
        <f>IF(B32=0,0, LOOKUP(IF(AND(Changes!Change="Yes", Changes!ValidityYear&lt;=Table14[[#This Row],[Year]], Changes!ChangeType="Change Job Class"),Changes!NewChangedValue, db!$A$8),db!$AX$4:$AX$8,db!$AZ$4:$AZ$8))</f>
        <v>0</v>
      </c>
      <c r="AT32" s="22">
        <f>(AS32/1000)*Y32*(1-db!$AS$9)</f>
        <v>0</v>
      </c>
      <c r="AU32" s="22">
        <f>(AS32/1000)*Y32*(db!$AS$9)</f>
        <v>0</v>
      </c>
      <c r="AV32" s="23">
        <f>IF(B32=0,0, LOOKUP(IF(AND(Changes!Change="Yes", Changes!ValidityYear&lt;=Table14[[#This Row],[Year]], Changes!ChangeType="Change Job Class"),Changes!NewChangedValue, db!$A$8),db!$AX$4:$AX$8,db!$BA$4:$BA$8))</f>
        <v>0</v>
      </c>
      <c r="AW32" s="20">
        <f>ROUND((AV32/(100))*AA32*(1-db!$AS$9),0)</f>
        <v>0</v>
      </c>
      <c r="AX32" s="20">
        <f>ROUND((AV32/(100))*AA32*(db!$AS$9),0)</f>
        <v>0</v>
      </c>
      <c r="AY32" s="21">
        <f>IF(db!$D$8="Yes",AS32,0)</f>
        <v>0</v>
      </c>
      <c r="AZ32" s="22">
        <f>(AY32*AF32)/1000*(1-db!$AS$9)</f>
        <v>0</v>
      </c>
      <c r="BA32" s="22">
        <f>(AY32*AF32)/1000*(db!$AS$9)</f>
        <v>0</v>
      </c>
      <c r="BB32" s="23">
        <f t="shared" si="3"/>
        <v>0</v>
      </c>
      <c r="BC32" s="20">
        <f>(BB32*AH32/1000)*(1-db!$AS$9)</f>
        <v>0</v>
      </c>
      <c r="BD32" s="20">
        <f>(BB32*AH32/1000)*(db!$AS$9)</f>
        <v>0</v>
      </c>
      <c r="BE32" s="22">
        <f>IF(B32=0,0,IF(C32&gt;60,0,LOOKUP(Table14[[#This Row],[Medical
Age]],db!$BC$3:$BC$63,db!$BD$3:$BD$63)))</f>
        <v>0</v>
      </c>
      <c r="BF32" s="22">
        <f>BG32*db!$AS$10</f>
        <v>0</v>
      </c>
      <c r="BG32" s="22">
        <f t="shared" si="4"/>
        <v>0</v>
      </c>
      <c r="BH32" s="22">
        <f>(BE32/1000000)*AJ32*(1-db!$AS$10)</f>
        <v>0</v>
      </c>
      <c r="BI32" s="20">
        <f>IF(B32=0,0,IF(C32&gt;59,0,LOOKUP(Table14[[#This Row],[Medical
Age]],db!$BC$3:$BC$63,db!$BE$3:$BE$63)))</f>
        <v>0</v>
      </c>
      <c r="BJ32" s="20">
        <f>(BI32/1000000)*AL32*(1-db!$AS$11)</f>
        <v>0</v>
      </c>
      <c r="BK32" s="20">
        <f>(BI32/1000000)*AL32*(db!$AS$11)</f>
        <v>0</v>
      </c>
      <c r="BL32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32" s="20">
        <f>Table14[[#This Row],[RiskLoading
Rate]]*Table14[[#This Row],[Death Capital (2)]]</f>
        <v>0</v>
      </c>
      <c r="BN32" s="36"/>
      <c r="BO32" s="37">
        <f t="shared" si="5"/>
        <v>0</v>
      </c>
      <c r="BP32" s="35">
        <f t="shared" si="6"/>
        <v>0</v>
      </c>
      <c r="BQ32" s="35">
        <f t="shared" si="7"/>
        <v>0</v>
      </c>
      <c r="BR32" s="37">
        <f t="shared" si="11"/>
        <v>0</v>
      </c>
      <c r="BS32" s="37">
        <f t="shared" si="12"/>
        <v>0</v>
      </c>
      <c r="BT32" s="35">
        <f t="shared" si="13"/>
        <v>0</v>
      </c>
      <c r="BU32" s="35">
        <f t="shared" si="14"/>
        <v>0</v>
      </c>
      <c r="BV32" s="37">
        <f>(db!$AS$4/100)*(L32-BT32-BU32)</f>
        <v>0</v>
      </c>
      <c r="BW32" s="37">
        <f>(db!$AS$8/100)*(L32-BT32-BU32)</f>
        <v>0</v>
      </c>
      <c r="BX32" s="35"/>
      <c r="BY32" s="37"/>
      <c r="BZ32" s="37"/>
      <c r="CA32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32" s="33"/>
      <c r="CC32" s="39">
        <f>ROUND((Table14[[#This Row],[Premium]]-Table14[[#This Row],[All Deductions]]),0)</f>
        <v>0</v>
      </c>
      <c r="CD32" s="40">
        <f>ROUND(IF(B32=0,0,((CC32)*(1+ IF(AND(Changes!Change="Yes",Changes!ValidityYear&lt;=Table14[[#This Row],[Year]],Annulment&gt;Table14[[#This Row],[Year]],Changes!ChangeType="Paid-Up"),db!Y34+0.02,db!Y34)))+((CD31)*(1+IF(AND(Changes!Change="Yes",Changes!ValidityYear&lt;=Table14[[#This Row],[Year]],Annulment&gt;Table14[[#This Row],[Year]],Changes!ChangeType="Paid-Up"),db!U34+0.02,db!U34)))),0)</f>
        <v>0</v>
      </c>
      <c r="CE32" s="40">
        <f>ROUND(IF(B32=0,0,((CC32)*(1+db!Y34))+((CE31)*(1+db!U34))),0)</f>
        <v>0</v>
      </c>
      <c r="CF32" s="40">
        <f t="shared" si="19"/>
        <v>0</v>
      </c>
      <c r="CG32" s="15">
        <f t="shared" si="15"/>
        <v>31</v>
      </c>
      <c r="CH32" s="39">
        <f>IF(B32=0,0,((CC32)*(1+db!AH34))+((CH31)*(1+db!AD34)))</f>
        <v>0</v>
      </c>
      <c r="CI32" s="39">
        <f>IF(B32=0,0,((CC32)*(1+db!AH34))+((CI31)*(1+db!AD34)))</f>
        <v>0</v>
      </c>
      <c r="CJ32" s="40">
        <f>IF(B32=0,0,((CC32)*(1+db!AO34))+((CJ31)*(1+db!AK34)))</f>
        <v>0</v>
      </c>
      <c r="CK32" s="40">
        <f>CJ32-(SUM(BX$7:$BX33))</f>
        <v>0</v>
      </c>
      <c r="CL32" s="46"/>
    </row>
    <row r="33" spans="1:90">
      <c r="A33" s="347">
        <f t="shared" si="16"/>
        <v>32</v>
      </c>
      <c r="B33" s="345">
        <f>IF(AND(Changes!Change="Yes", Changes!ChangeType="Change Contract Duration"),IF(B32=0,0,IF(Changes!NewChangedValue&lt;B32+1,0,B32+1)),IF(B32=0,0,IF('Application Annually'!$C$5&lt;B32+1,0,B32+1)))</f>
        <v>0</v>
      </c>
      <c r="C33" s="15">
        <f t="shared" si="17"/>
        <v>0</v>
      </c>
      <c r="D33" s="312">
        <f t="shared" si="18"/>
        <v>59</v>
      </c>
      <c r="E33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33" s="29">
        <f t="shared" si="8"/>
        <v>0</v>
      </c>
      <c r="G33" s="29">
        <f t="shared" si="9"/>
        <v>0</v>
      </c>
      <c r="H33" s="29">
        <f t="shared" si="0"/>
        <v>0</v>
      </c>
      <c r="I33" s="29">
        <f>IF(B33&gt;0,IF(AND(Table14[[#This Row],[Year]]&gt;Changes!ValidityYear,Changes!Change="Yes",Changes!ChangeType="Change Value Adjustment"),Changes!$G$22,'Application Annually'!$C$11),0)</f>
        <v>0</v>
      </c>
      <c r="J33" s="29">
        <f>IF(B33&gt;0,IF(AND(Table14[[#This Row],[Year]]&gt;Changes!ValidityYear,Changes!Change="Yes",Changes!ChangeType="Change Value Adjustment"),Changes!$G$24,'Application Annually'!$C$7),0)</f>
        <v>0</v>
      </c>
      <c r="K33" s="29">
        <f>ROUND(IF(B33=0,0,IF(AND(Changes!Change="Yes", Changes!ValidityYear=Table14[[#This Row],[Year]], Changes!ChangeType="Change Premium"), Changes!NewChangedValue, (K32*(1+db!$B$3)))),0)</f>
        <v>0</v>
      </c>
      <c r="L33" s="29">
        <f>ROUND(IF(B33=0,0,IF(AND(Changes!Change="Yes", Changes!ValidityYear=Table14[[#This Row],[Year]], Changes!ChangeType="Change Premium"), Changes!NewChangedValue, (L32*(1+Table14[[#This Row],[Adjustment Factor of Premium]]/100)))),0)</f>
        <v>0</v>
      </c>
      <c r="M33" s="29">
        <f>IF(Table14[[#This Row],[Year]]=1,ROUND(MIN($L$2 -( Table14[[#This Row],[Riders Risk Premiums]] + Table14[[#This Row],[Acquisition Cost]]) *0.75,Table14[[#This Row],[Death Capital (1)]]* 0.03),0),0)</f>
        <v>0</v>
      </c>
      <c r="N33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33" s="29">
        <f>ROUND(IF(ROW()-1&gt;InsurancePeriod,0,(O32*(1+(Table14[[#This Row],[Adjustment Factor of Premium]]/100)))),0)</f>
        <v>0</v>
      </c>
      <c r="P33" s="29">
        <f>IF(Table14[Year] = 0, 0, SUM(L$2:L33))</f>
        <v>0</v>
      </c>
      <c r="Q33" s="17">
        <f t="shared" si="1"/>
        <v>0</v>
      </c>
      <c r="R33" s="17">
        <f>IF(Table14[[#This Row],[Year]]=0,0,IF($C$2&lt;=50,LOOKUP(Table14[[#This Row],[Age]],db!BG34:BG140,db!BH34:BH140),LOOKUP(Table14[[#This Row],[Age]],db!BJ34:BJ140,db!BK34:BK140)))</f>
        <v>0</v>
      </c>
      <c r="S33" s="17">
        <f>IF(B33=0,0, IF(AND(Changes!Change="Yes", Changes!ValidityYear=Table14[[#This Row],[Year]], Changes!ChangeType="Change Death Capital"), Changes!NewChangedValue, S32*(1+(Table14[[#This Row],[Adjustment Factor of Death Capital]]/100))))</f>
        <v>0</v>
      </c>
      <c r="T33" s="17">
        <f>MIN(IF(B33=0,0,Table14[[#This Row],[Death Capital (1)]]),Table14[[#This Row],[Max Sum Insured For Death]])</f>
        <v>0</v>
      </c>
      <c r="U33" s="29">
        <f t="shared" si="10"/>
        <v>0</v>
      </c>
      <c r="V33" s="29">
        <f>IF(B33=0,0,IF(AND(Changes!Change="Yes", Changes!ValidityYear&lt;=Table14[[#This Row],[Year]], Changes!ChangeType="Rider Inclusion/Exclusion", Changes!RiderType="Accident Death"), T33*Changes!NewChangedValue,IF(db!$D$6="Yes",(db!$B$6)*T33,0)))</f>
        <v>0</v>
      </c>
      <c r="W33" s="29">
        <f>MIN(IF(V33&lt;=db!$L$2,V33,db!$L$2),MAX_ACC_CAPITAL)</f>
        <v>0</v>
      </c>
      <c r="X33" s="17">
        <f>IF(OR(B33=0,Table14[[#This Row],[Accident Capital (2)]]=0),0,IF(AND(Changes!Change="Yes", Changes!ValidityYear&lt;=Table14[[#This Row],[Year]], Changes!ChangeType="Rider Inclusion/Exclusion", Changes!RiderType="Accident Disability"), T33*Changes!NewChangedValue,IF(db!$D$7="Yes",(db!$B$7)*T33,0)))</f>
        <v>0</v>
      </c>
      <c r="Y33" s="42">
        <f>IF(C33&gt;69,0,IF(C33=0,0,IF(X33&lt;=db!$L$3,X33,db!$L$3)))</f>
        <v>0</v>
      </c>
      <c r="Z33" s="29">
        <f>IF(OR(B33=0,Table14[[#This Row],[Accident Capital (2)]]=0),0,IF(AND(Changes!Change="Yes", Changes!ValidityYear&lt;=Table14[[#This Row],[Year]], Changes!ChangeType="Rider Inclusion/Exclusion", Changes!RiderType="Accident Medical Cost"), T33*Changes!NewChangedValue,IF(db!$D$9="Yes",(db!$B$9)*T33,0)))</f>
        <v>0</v>
      </c>
      <c r="AA33" s="29">
        <f>ROUND(IF(C33&gt;69,0,IF(C33=0,0,IF(Z33&lt;=db!$L$4,Z33,db!$L$4))),0)</f>
        <v>0</v>
      </c>
      <c r="AB33" s="38">
        <f>IF(AND(Changes!Change = "Yes", Changes!ChangeType = "Rider Inclusion/Exclusion", Changes!RiderType = "WOP"), IF( Changes!ValidityYear &lt;= Table14[[#This Row],[Year]], IF(WOP = "Yes", 0, 1),  IF(WOP = "Yes", 1, 0)), IF(AND(db!$D$8="Yes",C33&lt;=69,ROW()-1&lt;=InsurancePeriod), 1, 0))</f>
        <v>0</v>
      </c>
      <c r="AC33" s="17">
        <f>(AC34+K34)*AB33*((1)/(1+db!AA35))*(LOOKUP(C33,'Mortality Table'!$A$2:$A$108,'Mortality Table'!$E$2:$E$108))</f>
        <v>0</v>
      </c>
      <c r="AD33" s="340">
        <f>IF(AND(Changes!ValidityYear&lt;= Table14[[#This Row],[Year]],Changes!ChangeType="Change Value Adjustment",Changes!Change="Yes"), (AD34+L34)*AB33*((1)/(1+db!AA35))*(LOOKUP(C33,'Mortality Table'!$A$2:$A$108,'Mortality Table'!$E$2:$E$108)),Table14[[#This Row],[WOP Before Adj. BT]])</f>
        <v>0</v>
      </c>
      <c r="AE33" s="341">
        <f>IF(AND(Changes!Change="Yes", Changes!ChangeType="Change Value Adjustment"),Table14[[#This Row],[WOP Capital]],(AE34+O34)*AB33*((1)/(1+db!AA35))*(LOOKUP(D33,'Mortality Table'!$A$2:$A$108,'Mortality Table'!$E$2:$E$108)))</f>
        <v>0</v>
      </c>
      <c r="AF33" s="17">
        <f>IF(AND(Changes!Change="Yes", Changes!ValidityYear&lt;=ROW()-1),Table14[[#This Row],[WOP Capital]],Table14[[#This Row],[WOP without change]])</f>
        <v>0</v>
      </c>
      <c r="AG33" s="42">
        <f>IF(AND(Changes!Change="Yes", Changes!ValidityYear&lt;=Table14[[#This Row],[Year]], Changes!ChangeType="Rider Inclusion/Exclusion", Changes!RiderType="Disability Annuity"), L33*Changes!NewChangedValue,L33*db!B$10*IF(db!$D$10="Yes",1,0))</f>
        <v>0</v>
      </c>
      <c r="AH33" s="29">
        <f>Table14[[#This Row],[Code Annuity Capital]]*IF('Annual Calculation'!C33&gt;69,0,(LOOKUP('Annual Calculation'!C33+1,'Mortality Table'!$A$2:$A$108,'Mortality Table'!$O$2:$O$108)-LOOKUP('Annual Calculation'!C33+11,'Mortality Table'!$A$2:$A$108,'Mortality Table'!$O$2:$O$108))/LOOKUP('Annual Calculation'!C33,'Mortality Table'!$A$2:$A$108,'Mortality Table'!$M$2:$M$108))</f>
        <v>0</v>
      </c>
      <c r="AI33" s="17">
        <f>IF(B33=0,0,IF(AND(Changes!Change="Yes", Changes!ValidityYear&lt;=Table14[[#This Row],[Year]], Changes!ChangeType="Rider Inclusion/Exclusion", Changes!RiderType="Dread Disease"), T33*Changes!NewChangedValue,IF(db!$D$11="Yes",(db!$B$11)*T33,0)))</f>
        <v>0</v>
      </c>
      <c r="AJ33" s="42">
        <f>ROUND(IF(C33&gt;59,0,IF(C33=0,0,IF(AI33&lt;=db!$L$5,AI33,db!$L$5))),0)</f>
        <v>0</v>
      </c>
      <c r="AK33" s="29">
        <f>IF(B33=0,0,IF(AND(Changes!Change="Yes", Changes!ValidityYear&lt;=Table14[[#This Row],[Year]], Changes!ChangeType="Rider Inclusion/Exclusion", Changes!RiderType="Cancer"), T33*Changes!NewChangedValue,IF(db!$D$12="Yes",(db!$B$12)*T33,0)))</f>
        <v>0</v>
      </c>
      <c r="AL33" s="29">
        <f>ROUND(IF(C33&gt;59,0,IF(C33=0,0,IF(AK33&lt;=db!$L$6,AK33,db!$L$6))),0)</f>
        <v>0</v>
      </c>
      <c r="AM33" s="32"/>
      <c r="AN33" s="18">
        <f>IF(B33=0,0,IF(C33&lt;(db!$E$2+5),LOOKUP(C33,'Mortality Table'!$A$2:$A$108,'Mortality Table'!$P$2:$P$108),IF((C33&gt;=db!$E$2+10),LOOKUP(C33,'Mortality Table'!$A$2:$A$108,'Mortality Table'!$R$2:$R$108),LOOKUP(C33,'Mortality Table'!$A$2:$A$108,'Mortality Table'!$Q$2:$Q$108))))</f>
        <v>0</v>
      </c>
      <c r="AO33" s="22">
        <f t="shared" si="2"/>
        <v>0</v>
      </c>
      <c r="AP33" s="19">
        <f>IF(B33=0,0, LOOKUP(IF(AND(Changes!Change="Yes", Changes!ValidityYear&lt;=Table14[[#This Row],[Year]], Changes!ChangeType="Change Job Class"),Changes!NewChangedValue, db!$A$8),db!$AX$4:$AX$8,db!$AY$4:$AY$8))</f>
        <v>0</v>
      </c>
      <c r="AQ33" s="20">
        <f>ROUND((AP33/1000)*W33 * (1-db!$AS$9),0)</f>
        <v>0</v>
      </c>
      <c r="AR33" s="20">
        <f>(AP33/1000)*W33 * db!$AS$9</f>
        <v>0</v>
      </c>
      <c r="AS33" s="21">
        <f>IF(B33=0,0, LOOKUP(IF(AND(Changes!Change="Yes", Changes!ValidityYear&lt;=Table14[[#This Row],[Year]], Changes!ChangeType="Change Job Class"),Changes!NewChangedValue, db!$A$8),db!$AX$4:$AX$8,db!$AZ$4:$AZ$8))</f>
        <v>0</v>
      </c>
      <c r="AT33" s="22">
        <f>(AS33/1000)*Y33*(1-db!$AS$9)</f>
        <v>0</v>
      </c>
      <c r="AU33" s="22">
        <f>(AS33/1000)*Y33*(db!$AS$9)</f>
        <v>0</v>
      </c>
      <c r="AV33" s="23">
        <f>IF(B33=0,0, LOOKUP(IF(AND(Changes!Change="Yes", Changes!ValidityYear&lt;=Table14[[#This Row],[Year]], Changes!ChangeType="Change Job Class"),Changes!NewChangedValue, db!$A$8),db!$AX$4:$AX$8,db!$BA$4:$BA$8))</f>
        <v>0</v>
      </c>
      <c r="AW33" s="20">
        <f>ROUND((AV33/(100))*AA33*(1-db!$AS$9),0)</f>
        <v>0</v>
      </c>
      <c r="AX33" s="20">
        <f>ROUND((AV33/(100))*AA33*(db!$AS$9),0)</f>
        <v>0</v>
      </c>
      <c r="AY33" s="21">
        <f>IF(db!$D$8="Yes",AS33,0)</f>
        <v>0</v>
      </c>
      <c r="AZ33" s="22">
        <f>(AY33*AF33)/1000*(1-db!$AS$9)</f>
        <v>0</v>
      </c>
      <c r="BA33" s="22">
        <f>(AY33*AF33)/1000*(db!$AS$9)</f>
        <v>0</v>
      </c>
      <c r="BB33" s="23">
        <f t="shared" si="3"/>
        <v>0</v>
      </c>
      <c r="BC33" s="20">
        <f>(BB33*AH33/1000)*(1-db!$AS$9)</f>
        <v>0</v>
      </c>
      <c r="BD33" s="20">
        <f>(BB33*AH33/1000)*(db!$AS$9)</f>
        <v>0</v>
      </c>
      <c r="BE33" s="22">
        <f>IF(B33=0,0,IF(C33&gt;60,0,LOOKUP(Table14[[#This Row],[Medical
Age]],db!$BC$3:$BC$63,db!$BD$3:$BD$63)))</f>
        <v>0</v>
      </c>
      <c r="BF33" s="22">
        <f>BG33*db!$AS$10</f>
        <v>0</v>
      </c>
      <c r="BG33" s="22">
        <f t="shared" si="4"/>
        <v>0</v>
      </c>
      <c r="BH33" s="22">
        <f>(BE33/1000000)*AJ33*(1-db!$AS$10)</f>
        <v>0</v>
      </c>
      <c r="BI33" s="20">
        <f>IF(B33=0,0,IF(C33&gt;59,0,LOOKUP(Table14[[#This Row],[Medical
Age]],db!$BC$3:$BC$63,db!$BE$3:$BE$63)))</f>
        <v>0</v>
      </c>
      <c r="BJ33" s="20">
        <f>(BI33/1000000)*AL33*(1-db!$AS$11)</f>
        <v>0</v>
      </c>
      <c r="BK33" s="20">
        <f>(BI33/1000000)*AL33*(db!$AS$11)</f>
        <v>0</v>
      </c>
      <c r="BL33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33" s="20">
        <f>Table14[[#This Row],[RiskLoading
Rate]]*Table14[[#This Row],[Death Capital (2)]]</f>
        <v>0</v>
      </c>
      <c r="BN33" s="36"/>
      <c r="BO33" s="37">
        <f t="shared" si="5"/>
        <v>0</v>
      </c>
      <c r="BP33" s="35">
        <f t="shared" si="6"/>
        <v>0</v>
      </c>
      <c r="BQ33" s="35">
        <f t="shared" si="7"/>
        <v>0</v>
      </c>
      <c r="BR33" s="37">
        <f t="shared" si="11"/>
        <v>0</v>
      </c>
      <c r="BS33" s="37">
        <f t="shared" si="12"/>
        <v>0</v>
      </c>
      <c r="BT33" s="35">
        <f t="shared" si="13"/>
        <v>0</v>
      </c>
      <c r="BU33" s="35">
        <f t="shared" si="14"/>
        <v>0</v>
      </c>
      <c r="BV33" s="37">
        <f>(db!$AS$4/100)*(L33-BT33-BU33)</f>
        <v>0</v>
      </c>
      <c r="BW33" s="37">
        <f>(db!$AS$8/100)*(L33-BT33-BU33)</f>
        <v>0</v>
      </c>
      <c r="BX33" s="35"/>
      <c r="BY33" s="37"/>
      <c r="BZ33" s="37"/>
      <c r="CA33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33" s="33"/>
      <c r="CC33" s="39">
        <f>ROUND((Table14[[#This Row],[Premium]]-Table14[[#This Row],[All Deductions]]),0)</f>
        <v>0</v>
      </c>
      <c r="CD33" s="40">
        <f>ROUND(IF(B33=0,0,((CC33)*(1+ IF(AND(Changes!Change="Yes",Changes!ValidityYear&lt;=Table14[[#This Row],[Year]],Annulment&gt;Table14[[#This Row],[Year]],Changes!ChangeType="Paid-Up"),db!Y35+0.02,db!Y35)))+((CD32)*(1+IF(AND(Changes!Change="Yes",Changes!ValidityYear&lt;=Table14[[#This Row],[Year]],Annulment&gt;Table14[[#This Row],[Year]],Changes!ChangeType="Paid-Up"),db!U35+0.02,db!U35)))),0)</f>
        <v>0</v>
      </c>
      <c r="CE33" s="40">
        <f>ROUND(IF(B33=0,0,((CC33)*(1+db!Y35))+((CE32)*(1+db!U35))),0)</f>
        <v>0</v>
      </c>
      <c r="CF33" s="40">
        <f t="shared" si="19"/>
        <v>0</v>
      </c>
      <c r="CG33" s="15">
        <f t="shared" si="15"/>
        <v>32</v>
      </c>
      <c r="CH33" s="39">
        <f>IF(B33=0,0,((CC33)*(1+db!AH35))+((CH32)*(1+db!AD35)))</f>
        <v>0</v>
      </c>
      <c r="CI33" s="39">
        <f>IF(B33=0,0,((CC33)*(1+db!AH35))+((CI32)*(1+db!AD35)))</f>
        <v>0</v>
      </c>
      <c r="CJ33" s="40">
        <f>IF(B33=0,0,((CC33)*(1+db!AO35))+((CJ32)*(1+db!AK35)))</f>
        <v>0</v>
      </c>
      <c r="CK33" s="40">
        <f>CJ33-(SUM(BX$7:$BX34))</f>
        <v>0</v>
      </c>
      <c r="CL33" s="46"/>
    </row>
    <row r="34" spans="1:90">
      <c r="A34" s="347">
        <f t="shared" si="16"/>
        <v>33</v>
      </c>
      <c r="B34" s="345">
        <f>IF(AND(Changes!Change="Yes", Changes!ChangeType="Change Contract Duration"),IF(B33=0,0,IF(Changes!NewChangedValue&lt;B33+1,0,B33+1)),IF(B33=0,0,IF('Application Annually'!$C$5&lt;B33+1,0,B33+1)))</f>
        <v>0</v>
      </c>
      <c r="C34" s="15">
        <f t="shared" si="17"/>
        <v>0</v>
      </c>
      <c r="D34" s="312">
        <f t="shared" si="18"/>
        <v>60</v>
      </c>
      <c r="E34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34" s="29">
        <f t="shared" si="8"/>
        <v>0</v>
      </c>
      <c r="G34" s="29">
        <f t="shared" si="9"/>
        <v>0</v>
      </c>
      <c r="H34" s="29">
        <f t="shared" si="0"/>
        <v>0</v>
      </c>
      <c r="I34" s="29">
        <f>IF(B34&gt;0,IF(AND(Table14[[#This Row],[Year]]&gt;Changes!ValidityYear,Changes!Change="Yes",Changes!ChangeType="Change Value Adjustment"),Changes!$G$22,'Application Annually'!$C$11),0)</f>
        <v>0</v>
      </c>
      <c r="J34" s="29">
        <f>IF(B34&gt;0,IF(AND(Table14[[#This Row],[Year]]&gt;Changes!ValidityYear,Changes!Change="Yes",Changes!ChangeType="Change Value Adjustment"),Changes!$G$24,'Application Annually'!$C$7),0)</f>
        <v>0</v>
      </c>
      <c r="K34" s="29">
        <f>ROUND(IF(B34=0,0,IF(AND(Changes!Change="Yes", Changes!ValidityYear=Table14[[#This Row],[Year]], Changes!ChangeType="Change Premium"), Changes!NewChangedValue, (K33*(1+db!$B$3)))),0)</f>
        <v>0</v>
      </c>
      <c r="L34" s="29">
        <f>ROUND(IF(B34=0,0,IF(AND(Changes!Change="Yes", Changes!ValidityYear=Table14[[#This Row],[Year]], Changes!ChangeType="Change Premium"), Changes!NewChangedValue, (L33*(1+Table14[[#This Row],[Adjustment Factor of Premium]]/100)))),0)</f>
        <v>0</v>
      </c>
      <c r="M34" s="29">
        <f>IF(Table14[[#This Row],[Year]]=1,ROUND(MIN($L$2 -( Table14[[#This Row],[Riders Risk Premiums]] + Table14[[#This Row],[Acquisition Cost]]) *0.75,Table14[[#This Row],[Death Capital (1)]]* 0.03),0),0)</f>
        <v>0</v>
      </c>
      <c r="N34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34" s="29">
        <f>ROUND(IF(ROW()-1&gt;InsurancePeriod,0,(O33*(1+(Table14[[#This Row],[Adjustment Factor of Premium]]/100)))),0)</f>
        <v>0</v>
      </c>
      <c r="P34" s="29">
        <f>IF(Table14[Year] = 0, 0, SUM(L$2:L34))</f>
        <v>0</v>
      </c>
      <c r="Q34" s="17">
        <f t="shared" si="1"/>
        <v>0</v>
      </c>
      <c r="R34" s="17">
        <f>IF(Table14[[#This Row],[Year]]=0,0,IF($C$2&lt;=50,LOOKUP(Table14[[#This Row],[Age]],db!BG35:BG141,db!BH35:BH141),LOOKUP(Table14[[#This Row],[Age]],db!BJ35:BJ141,db!BK35:BK141)))</f>
        <v>0</v>
      </c>
      <c r="S34" s="17">
        <f>IF(B34=0,0, IF(AND(Changes!Change="Yes", Changes!ValidityYear=Table14[[#This Row],[Year]], Changes!ChangeType="Change Death Capital"), Changes!NewChangedValue, S33*(1+(Table14[[#This Row],[Adjustment Factor of Death Capital]]/100))))</f>
        <v>0</v>
      </c>
      <c r="T34" s="17">
        <f>MIN(IF(B34=0,0,Table14[[#This Row],[Death Capital (1)]]),Table14[[#This Row],[Max Sum Insured For Death]])</f>
        <v>0</v>
      </c>
      <c r="U34" s="29">
        <f t="shared" si="10"/>
        <v>0</v>
      </c>
      <c r="V34" s="29">
        <f>IF(B34=0,0,IF(AND(Changes!Change="Yes", Changes!ValidityYear&lt;=Table14[[#This Row],[Year]], Changes!ChangeType="Rider Inclusion/Exclusion", Changes!RiderType="Accident Death"), T34*Changes!NewChangedValue,IF(db!$D$6="Yes",(db!$B$6)*T34,0)))</f>
        <v>0</v>
      </c>
      <c r="W34" s="29">
        <f>MIN(IF(V34&lt;=db!$L$2,V34,db!$L$2),MAX_ACC_CAPITAL)</f>
        <v>0</v>
      </c>
      <c r="X34" s="17">
        <f>IF(OR(B34=0,Table14[[#This Row],[Accident Capital (2)]]=0),0,IF(AND(Changes!Change="Yes", Changes!ValidityYear&lt;=Table14[[#This Row],[Year]], Changes!ChangeType="Rider Inclusion/Exclusion", Changes!RiderType="Accident Disability"), T34*Changes!NewChangedValue,IF(db!$D$7="Yes",(db!$B$7)*T34,0)))</f>
        <v>0</v>
      </c>
      <c r="Y34" s="42">
        <f>IF(C34&gt;69,0,IF(C34=0,0,IF(X34&lt;=db!$L$3,X34,db!$L$3)))</f>
        <v>0</v>
      </c>
      <c r="Z34" s="29">
        <f>IF(OR(B34=0,Table14[[#This Row],[Accident Capital (2)]]=0),0,IF(AND(Changes!Change="Yes", Changes!ValidityYear&lt;=Table14[[#This Row],[Year]], Changes!ChangeType="Rider Inclusion/Exclusion", Changes!RiderType="Accident Medical Cost"), T34*Changes!NewChangedValue,IF(db!$D$9="Yes",(db!$B$9)*T34,0)))</f>
        <v>0</v>
      </c>
      <c r="AA34" s="29">
        <f>ROUND(IF(C34&gt;69,0,IF(C34=0,0,IF(Z34&lt;=db!$L$4,Z34,db!$L$4))),0)</f>
        <v>0</v>
      </c>
      <c r="AB34" s="38">
        <f>IF(AND(Changes!Change = "Yes", Changes!ChangeType = "Rider Inclusion/Exclusion", Changes!RiderType = "WOP"), IF( Changes!ValidityYear &lt;= Table14[[#This Row],[Year]], IF(WOP = "Yes", 0, 1),  IF(WOP = "Yes", 1, 0)), IF(AND(db!$D$8="Yes",C34&lt;=69,ROW()-1&lt;=InsurancePeriod), 1, 0))</f>
        <v>0</v>
      </c>
      <c r="AC34" s="17">
        <f>(AC35+K35)*AB34*((1)/(1+db!AA36))*(LOOKUP(C34,'Mortality Table'!$A$2:$A$108,'Mortality Table'!$E$2:$E$108))</f>
        <v>0</v>
      </c>
      <c r="AD34" s="340">
        <f>IF(AND(Changes!ValidityYear&lt;= Table14[[#This Row],[Year]],Changes!ChangeType="Change Value Adjustment",Changes!Change="Yes"), (AD35+L35)*AB34*((1)/(1+db!AA36))*(LOOKUP(C34,'Mortality Table'!$A$2:$A$108,'Mortality Table'!$E$2:$E$108)),Table14[[#This Row],[WOP Before Adj. BT]])</f>
        <v>0</v>
      </c>
      <c r="AE34" s="341">
        <f>IF(AND(Changes!Change="Yes", Changes!ChangeType="Change Value Adjustment"),Table14[[#This Row],[WOP Capital]],(AE35+O35)*AB34*((1)/(1+db!AA36))*(LOOKUP(D34,'Mortality Table'!$A$2:$A$108,'Mortality Table'!$E$2:$E$108)))</f>
        <v>0</v>
      </c>
      <c r="AF34" s="17">
        <f>IF(AND(Changes!Change="Yes", Changes!ValidityYear&lt;=ROW()-1),Table14[[#This Row],[WOP Capital]],Table14[[#This Row],[WOP without change]])</f>
        <v>0</v>
      </c>
      <c r="AG34" s="42">
        <f>IF(AND(Changes!Change="Yes", Changes!ValidityYear&lt;=Table14[[#This Row],[Year]], Changes!ChangeType="Rider Inclusion/Exclusion", Changes!RiderType="Disability Annuity"), L34*Changes!NewChangedValue,L34*db!B$10*IF(db!$D$10="Yes",1,0))</f>
        <v>0</v>
      </c>
      <c r="AH34" s="29">
        <f>Table14[[#This Row],[Code Annuity Capital]]*IF('Annual Calculation'!C34&gt;69,0,(LOOKUP('Annual Calculation'!C34+1,'Mortality Table'!$A$2:$A$108,'Mortality Table'!$O$2:$O$108)-LOOKUP('Annual Calculation'!C34+11,'Mortality Table'!$A$2:$A$108,'Mortality Table'!$O$2:$O$108))/LOOKUP('Annual Calculation'!C34,'Mortality Table'!$A$2:$A$108,'Mortality Table'!$M$2:$M$108))</f>
        <v>0</v>
      </c>
      <c r="AI34" s="17">
        <f>IF(B34=0,0,IF(AND(Changes!Change="Yes", Changes!ValidityYear&lt;=Table14[[#This Row],[Year]], Changes!ChangeType="Rider Inclusion/Exclusion", Changes!RiderType="Dread Disease"), T34*Changes!NewChangedValue,IF(db!$D$11="Yes",(db!$B$11)*T34,0)))</f>
        <v>0</v>
      </c>
      <c r="AJ34" s="42">
        <f>ROUND(IF(C34&gt;59,0,IF(C34=0,0,IF(AI34&lt;=db!$L$5,AI34,db!$L$5))),0)</f>
        <v>0</v>
      </c>
      <c r="AK34" s="29">
        <f>IF(B34=0,0,IF(AND(Changes!Change="Yes", Changes!ValidityYear&lt;=Table14[[#This Row],[Year]], Changes!ChangeType="Rider Inclusion/Exclusion", Changes!RiderType="Cancer"), T34*Changes!NewChangedValue,IF(db!$D$12="Yes",(db!$B$12)*T34,0)))</f>
        <v>0</v>
      </c>
      <c r="AL34" s="29">
        <f>ROUND(IF(C34&gt;59,0,IF(C34=0,0,IF(AK34&lt;=db!$L$6,AK34,db!$L$6))),0)</f>
        <v>0</v>
      </c>
      <c r="AM34" s="32"/>
      <c r="AN34" s="18">
        <f>IF(B34=0,0,IF(C34&lt;(db!$E$2+5),LOOKUP(C34,'Mortality Table'!$A$2:$A$108,'Mortality Table'!$P$2:$P$108),IF((C34&gt;=db!$E$2+10),LOOKUP(C34,'Mortality Table'!$A$2:$A$108,'Mortality Table'!$R$2:$R$108),LOOKUP(C34,'Mortality Table'!$A$2:$A$108,'Mortality Table'!$Q$2:$Q$108))))</f>
        <v>0</v>
      </c>
      <c r="AO34" s="22">
        <f t="shared" si="2"/>
        <v>0</v>
      </c>
      <c r="AP34" s="19">
        <f>IF(B34=0,0, LOOKUP(IF(AND(Changes!Change="Yes", Changes!ValidityYear&lt;=Table14[[#This Row],[Year]], Changes!ChangeType="Change Job Class"),Changes!NewChangedValue, db!$A$8),db!$AX$4:$AX$8,db!$AY$4:$AY$8))</f>
        <v>0</v>
      </c>
      <c r="AQ34" s="20">
        <f>ROUND((AP34/1000)*W34 * (1-db!$AS$9),0)</f>
        <v>0</v>
      </c>
      <c r="AR34" s="20">
        <f>(AP34/1000)*W34 * db!$AS$9</f>
        <v>0</v>
      </c>
      <c r="AS34" s="21">
        <f>IF(B34=0,0, LOOKUP(IF(AND(Changes!Change="Yes", Changes!ValidityYear&lt;=Table14[[#This Row],[Year]], Changes!ChangeType="Change Job Class"),Changes!NewChangedValue, db!$A$8),db!$AX$4:$AX$8,db!$AZ$4:$AZ$8))</f>
        <v>0</v>
      </c>
      <c r="AT34" s="22">
        <f>(AS34/1000)*Y34*(1-db!$AS$9)</f>
        <v>0</v>
      </c>
      <c r="AU34" s="22">
        <f>(AS34/1000)*Y34*(db!$AS$9)</f>
        <v>0</v>
      </c>
      <c r="AV34" s="23">
        <f>IF(B34=0,0, LOOKUP(IF(AND(Changes!Change="Yes", Changes!ValidityYear&lt;=Table14[[#This Row],[Year]], Changes!ChangeType="Change Job Class"),Changes!NewChangedValue, db!$A$8),db!$AX$4:$AX$8,db!$BA$4:$BA$8))</f>
        <v>0</v>
      </c>
      <c r="AW34" s="20">
        <f>ROUND((AV34/(100))*AA34*(1-db!$AS$9),0)</f>
        <v>0</v>
      </c>
      <c r="AX34" s="20">
        <f>ROUND((AV34/(100))*AA34*(db!$AS$9),0)</f>
        <v>0</v>
      </c>
      <c r="AY34" s="21">
        <f>IF(db!$D$8="Yes",AS34,0)</f>
        <v>0</v>
      </c>
      <c r="AZ34" s="22">
        <f>(AY34*AF34)/1000*(1-db!$AS$9)</f>
        <v>0</v>
      </c>
      <c r="BA34" s="22">
        <f>(AY34*AF34)/1000*(db!$AS$9)</f>
        <v>0</v>
      </c>
      <c r="BB34" s="23">
        <f t="shared" si="3"/>
        <v>0</v>
      </c>
      <c r="BC34" s="20">
        <f>(BB34*AH34/1000)*(1-db!$AS$9)</f>
        <v>0</v>
      </c>
      <c r="BD34" s="20">
        <f>(BB34*AH34/1000)*(db!$AS$9)</f>
        <v>0</v>
      </c>
      <c r="BE34" s="22">
        <f>IF(B34=0,0,IF(C34&gt;60,0,LOOKUP(Table14[[#This Row],[Medical
Age]],db!$BC$3:$BC$63,db!$BD$3:$BD$63)))</f>
        <v>0</v>
      </c>
      <c r="BF34" s="22">
        <f>BG34*db!$AS$10</f>
        <v>0</v>
      </c>
      <c r="BG34" s="22">
        <f t="shared" si="4"/>
        <v>0</v>
      </c>
      <c r="BH34" s="22">
        <f>(BE34/1000000)*AJ34*(1-db!$AS$10)</f>
        <v>0</v>
      </c>
      <c r="BI34" s="20">
        <f>IF(B34=0,0,IF(C34&gt;59,0,LOOKUP(Table14[[#This Row],[Medical
Age]],db!$BC$3:$BC$63,db!$BE$3:$BE$63)))</f>
        <v>0</v>
      </c>
      <c r="BJ34" s="20">
        <f>(BI34/1000000)*AL34*(1-db!$AS$11)</f>
        <v>0</v>
      </c>
      <c r="BK34" s="20">
        <f>(BI34/1000000)*AL34*(db!$AS$11)</f>
        <v>0</v>
      </c>
      <c r="BL34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34" s="20">
        <f>Table14[[#This Row],[RiskLoading
Rate]]*Table14[[#This Row],[Death Capital (2)]]</f>
        <v>0</v>
      </c>
      <c r="BN34" s="36"/>
      <c r="BO34" s="37">
        <f t="shared" si="5"/>
        <v>0</v>
      </c>
      <c r="BP34" s="35">
        <f t="shared" si="6"/>
        <v>0</v>
      </c>
      <c r="BQ34" s="35">
        <f t="shared" si="7"/>
        <v>0</v>
      </c>
      <c r="BR34" s="37">
        <f t="shared" si="11"/>
        <v>0</v>
      </c>
      <c r="BS34" s="37">
        <f t="shared" si="12"/>
        <v>0</v>
      </c>
      <c r="BT34" s="35">
        <f t="shared" si="13"/>
        <v>0</v>
      </c>
      <c r="BU34" s="35">
        <f t="shared" si="14"/>
        <v>0</v>
      </c>
      <c r="BV34" s="37">
        <f>(db!$AS$4/100)*(L34-BT34-BU34)</f>
        <v>0</v>
      </c>
      <c r="BW34" s="37">
        <f>(db!$AS$8/100)*(L34-BT34-BU34)</f>
        <v>0</v>
      </c>
      <c r="BX34" s="35"/>
      <c r="BY34" s="37"/>
      <c r="BZ34" s="37"/>
      <c r="CA34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34" s="33"/>
      <c r="CC34" s="39">
        <f>ROUND((Table14[[#This Row],[Premium]]-Table14[[#This Row],[All Deductions]]),0)</f>
        <v>0</v>
      </c>
      <c r="CD34" s="40">
        <f>ROUND(IF(B34=0,0,((CC34)*(1+ IF(AND(Changes!Change="Yes",Changes!ValidityYear&lt;=Table14[[#This Row],[Year]],Annulment&gt;Table14[[#This Row],[Year]],Changes!ChangeType="Paid-Up"),db!Y36+0.02,db!Y36)))+((CD33)*(1+IF(AND(Changes!Change="Yes",Changes!ValidityYear&lt;=Table14[[#This Row],[Year]],Annulment&gt;Table14[[#This Row],[Year]],Changes!ChangeType="Paid-Up"),db!U36+0.02,db!U36)))),0)</f>
        <v>0</v>
      </c>
      <c r="CE34" s="40">
        <f>ROUND(IF(B34=0,0,((CC34)*(1+db!Y36))+((CE33)*(1+db!U36))),0)</f>
        <v>0</v>
      </c>
      <c r="CF34" s="40">
        <f t="shared" si="19"/>
        <v>0</v>
      </c>
      <c r="CG34" s="15">
        <f t="shared" si="15"/>
        <v>33</v>
      </c>
      <c r="CH34" s="39">
        <f>IF(B34=0,0,((CC34)*(1+db!AH36))+((CH33)*(1+db!AD36)))</f>
        <v>0</v>
      </c>
      <c r="CI34" s="39">
        <f>IF(B34=0,0,((CC34)*(1+db!AH36))+((CI33)*(1+db!AD36)))</f>
        <v>0</v>
      </c>
      <c r="CJ34" s="40">
        <f>IF(B34=0,0,((CC34)*(1+db!AO36))+((CJ33)*(1+db!AK36)))</f>
        <v>0</v>
      </c>
      <c r="CK34" s="40">
        <f>CJ34-(SUM(BX$7:$BX35))</f>
        <v>0</v>
      </c>
      <c r="CL34" s="46"/>
    </row>
    <row r="35" spans="1:90">
      <c r="A35" s="347">
        <f t="shared" si="16"/>
        <v>34</v>
      </c>
      <c r="B35" s="345">
        <f>IF(AND(Changes!Change="Yes", Changes!ChangeType="Change Contract Duration"),IF(B34=0,0,IF(Changes!NewChangedValue&lt;B34+1,0,B34+1)),IF(B34=0,0,IF('Application Annually'!$C$5&lt;B34+1,0,B34+1)))</f>
        <v>0</v>
      </c>
      <c r="C35" s="15">
        <f t="shared" si="17"/>
        <v>0</v>
      </c>
      <c r="D35" s="312">
        <f t="shared" si="18"/>
        <v>61</v>
      </c>
      <c r="E35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35" s="29">
        <f t="shared" si="8"/>
        <v>0</v>
      </c>
      <c r="G35" s="29">
        <f t="shared" si="9"/>
        <v>0</v>
      </c>
      <c r="H35" s="29">
        <f t="shared" si="0"/>
        <v>0</v>
      </c>
      <c r="I35" s="29">
        <f>IF(B35&gt;0,IF(AND(Table14[[#This Row],[Year]]&gt;Changes!ValidityYear,Changes!Change="Yes",Changes!ChangeType="Change Value Adjustment"),Changes!$G$22,'Application Annually'!$C$11),0)</f>
        <v>0</v>
      </c>
      <c r="J35" s="29">
        <f>IF(B35&gt;0,IF(AND(Table14[[#This Row],[Year]]&gt;Changes!ValidityYear,Changes!Change="Yes",Changes!ChangeType="Change Value Adjustment"),Changes!$G$24,'Application Annually'!$C$7),0)</f>
        <v>0</v>
      </c>
      <c r="K35" s="29">
        <f>ROUND(IF(B35=0,0,IF(AND(Changes!Change="Yes", Changes!ValidityYear=Table14[[#This Row],[Year]], Changes!ChangeType="Change Premium"), Changes!NewChangedValue, (K34*(1+db!$B$3)))),0)</f>
        <v>0</v>
      </c>
      <c r="L35" s="29">
        <f>ROUND(IF(B35=0,0,IF(AND(Changes!Change="Yes", Changes!ValidityYear=Table14[[#This Row],[Year]], Changes!ChangeType="Change Premium"), Changes!NewChangedValue, (L34*(1+Table14[[#This Row],[Adjustment Factor of Premium]]/100)))),0)</f>
        <v>0</v>
      </c>
      <c r="M35" s="29">
        <f>IF(Table14[[#This Row],[Year]]=1,ROUND(MIN($L$2 -( Table14[[#This Row],[Riders Risk Premiums]] + Table14[[#This Row],[Acquisition Cost]]) *0.75,Table14[[#This Row],[Death Capital (1)]]* 0.03),0),0)</f>
        <v>0</v>
      </c>
      <c r="N35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35" s="29">
        <f>ROUND(IF(ROW()-1&gt;InsurancePeriod,0,(O34*(1+(Table14[[#This Row],[Adjustment Factor of Premium]]/100)))),0)</f>
        <v>0</v>
      </c>
      <c r="P35" s="29">
        <f>IF(Table14[Year] = 0, 0, SUM(L$2:L35))</f>
        <v>0</v>
      </c>
      <c r="Q35" s="17">
        <f t="shared" si="1"/>
        <v>0</v>
      </c>
      <c r="R35" s="17">
        <f>IF(Table14[[#This Row],[Year]]=0,0,IF($C$2&lt;=50,LOOKUP(Table14[[#This Row],[Age]],db!BG36:BG142,db!BH36:BH142),LOOKUP(Table14[[#This Row],[Age]],db!BJ36:BJ142,db!BK36:BK142)))</f>
        <v>0</v>
      </c>
      <c r="S35" s="17">
        <f>IF(B35=0,0, IF(AND(Changes!Change="Yes", Changes!ValidityYear=Table14[[#This Row],[Year]], Changes!ChangeType="Change Death Capital"), Changes!NewChangedValue, S34*(1+(Table14[[#This Row],[Adjustment Factor of Death Capital]]/100))))</f>
        <v>0</v>
      </c>
      <c r="T35" s="17">
        <f>MIN(IF(B35=0,0,Table14[[#This Row],[Death Capital (1)]]),Table14[[#This Row],[Max Sum Insured For Death]])</f>
        <v>0</v>
      </c>
      <c r="U35" s="29">
        <f t="shared" si="10"/>
        <v>0</v>
      </c>
      <c r="V35" s="29">
        <f>IF(B35=0,0,IF(AND(Changes!Change="Yes", Changes!ValidityYear&lt;=Table14[[#This Row],[Year]], Changes!ChangeType="Rider Inclusion/Exclusion", Changes!RiderType="Accident Death"), T35*Changes!NewChangedValue,IF(db!$D$6="Yes",(db!$B$6)*T35,0)))</f>
        <v>0</v>
      </c>
      <c r="W35" s="29">
        <f>MIN(IF(V35&lt;=db!$L$2,V35,db!$L$2),MAX_ACC_CAPITAL)</f>
        <v>0</v>
      </c>
      <c r="X35" s="17">
        <f>IF(OR(B35=0,Table14[[#This Row],[Accident Capital (2)]]=0),0,IF(AND(Changes!Change="Yes", Changes!ValidityYear&lt;=Table14[[#This Row],[Year]], Changes!ChangeType="Rider Inclusion/Exclusion", Changes!RiderType="Accident Disability"), T35*Changes!NewChangedValue,IF(db!$D$7="Yes",(db!$B$7)*T35,0)))</f>
        <v>0</v>
      </c>
      <c r="Y35" s="42">
        <f>IF(C35&gt;69,0,IF(C35=0,0,IF(X35&lt;=db!$L$3,X35,db!$L$3)))</f>
        <v>0</v>
      </c>
      <c r="Z35" s="29">
        <f>IF(OR(B35=0,Table14[[#This Row],[Accident Capital (2)]]=0),0,IF(AND(Changes!Change="Yes", Changes!ValidityYear&lt;=Table14[[#This Row],[Year]], Changes!ChangeType="Rider Inclusion/Exclusion", Changes!RiderType="Accident Medical Cost"), T35*Changes!NewChangedValue,IF(db!$D$9="Yes",(db!$B$9)*T35,0)))</f>
        <v>0</v>
      </c>
      <c r="AA35" s="29">
        <f>ROUND(IF(C35&gt;69,0,IF(C35=0,0,IF(Z35&lt;=db!$L$4,Z35,db!$L$4))),0)</f>
        <v>0</v>
      </c>
      <c r="AB35" s="38">
        <f>IF(AND(Changes!Change = "Yes", Changes!ChangeType = "Rider Inclusion/Exclusion", Changes!RiderType = "WOP"), IF( Changes!ValidityYear &lt;= Table14[[#This Row],[Year]], IF(WOP = "Yes", 0, 1),  IF(WOP = "Yes", 1, 0)), IF(AND(db!$D$8="Yes",C35&lt;=69,ROW()-1&lt;=InsurancePeriod), 1, 0))</f>
        <v>0</v>
      </c>
      <c r="AC35" s="17">
        <f>(AC36+K36)*AB35*((1)/(1+db!AA37))*(LOOKUP(C35,'Mortality Table'!$A$2:$A$108,'Mortality Table'!$E$2:$E$108))</f>
        <v>0</v>
      </c>
      <c r="AD35" s="340">
        <f>IF(AND(Changes!ValidityYear&lt;= Table14[[#This Row],[Year]],Changes!ChangeType="Change Value Adjustment",Changes!Change="Yes"), (AD36+L36)*AB35*((1)/(1+db!AA37))*(LOOKUP(C35,'Mortality Table'!$A$2:$A$108,'Mortality Table'!$E$2:$E$108)),Table14[[#This Row],[WOP Before Adj. BT]])</f>
        <v>0</v>
      </c>
      <c r="AE35" s="341">
        <f>IF(AND(Changes!Change="Yes", Changes!ChangeType="Change Value Adjustment"),Table14[[#This Row],[WOP Capital]],(AE36+O36)*AB35*((1)/(1+db!AA37))*(LOOKUP(D35,'Mortality Table'!$A$2:$A$108,'Mortality Table'!$E$2:$E$108)))</f>
        <v>0</v>
      </c>
      <c r="AF35" s="17">
        <f>IF(AND(Changes!Change="Yes", Changes!ValidityYear&lt;=ROW()-1),Table14[[#This Row],[WOP Capital]],Table14[[#This Row],[WOP without change]])</f>
        <v>0</v>
      </c>
      <c r="AG35" s="42">
        <f>IF(AND(Changes!Change="Yes", Changes!ValidityYear&lt;=Table14[[#This Row],[Year]], Changes!ChangeType="Rider Inclusion/Exclusion", Changes!RiderType="Disability Annuity"), L35*Changes!NewChangedValue,L35*db!B$10*IF(db!$D$10="Yes",1,0))</f>
        <v>0</v>
      </c>
      <c r="AH35" s="29">
        <f>Table14[[#This Row],[Code Annuity Capital]]*IF('Annual Calculation'!C35&gt;69,0,(LOOKUP('Annual Calculation'!C35+1,'Mortality Table'!$A$2:$A$108,'Mortality Table'!$O$2:$O$108)-LOOKUP('Annual Calculation'!C35+11,'Mortality Table'!$A$2:$A$108,'Mortality Table'!$O$2:$O$108))/LOOKUP('Annual Calculation'!C35,'Mortality Table'!$A$2:$A$108,'Mortality Table'!$M$2:$M$108))</f>
        <v>0</v>
      </c>
      <c r="AI35" s="17">
        <f>IF(B35=0,0,IF(AND(Changes!Change="Yes", Changes!ValidityYear&lt;=Table14[[#This Row],[Year]], Changes!ChangeType="Rider Inclusion/Exclusion", Changes!RiderType="Dread Disease"), T35*Changes!NewChangedValue,IF(db!$D$11="Yes",(db!$B$11)*T35,0)))</f>
        <v>0</v>
      </c>
      <c r="AJ35" s="42">
        <f>ROUND(IF(C35&gt;59,0,IF(C35=0,0,IF(AI35&lt;=db!$L$5,AI35,db!$L$5))),0)</f>
        <v>0</v>
      </c>
      <c r="AK35" s="29">
        <f>IF(B35=0,0,IF(AND(Changes!Change="Yes", Changes!ValidityYear&lt;=Table14[[#This Row],[Year]], Changes!ChangeType="Rider Inclusion/Exclusion", Changes!RiderType="Cancer"), T35*Changes!NewChangedValue,IF(db!$D$12="Yes",(db!$B$12)*T35,0)))</f>
        <v>0</v>
      </c>
      <c r="AL35" s="29">
        <f>ROUND(IF(C35&gt;59,0,IF(C35=0,0,IF(AK35&lt;=db!$L$6,AK35,db!$L$6))),0)</f>
        <v>0</v>
      </c>
      <c r="AM35" s="32"/>
      <c r="AN35" s="18">
        <f>IF(B35=0,0,IF(C35&lt;(db!$E$2+5),LOOKUP(C35,'Mortality Table'!$A$2:$A$108,'Mortality Table'!$P$2:$P$108),IF((C35&gt;=db!$E$2+10),LOOKUP(C35,'Mortality Table'!$A$2:$A$108,'Mortality Table'!$R$2:$R$108),LOOKUP(C35,'Mortality Table'!$A$2:$A$108,'Mortality Table'!$Q$2:$Q$108))))</f>
        <v>0</v>
      </c>
      <c r="AO35" s="22">
        <f t="shared" si="2"/>
        <v>0</v>
      </c>
      <c r="AP35" s="19">
        <f>IF(B35=0,0, LOOKUP(IF(AND(Changes!Change="Yes", Changes!ValidityYear&lt;=Table14[[#This Row],[Year]], Changes!ChangeType="Change Job Class"),Changes!NewChangedValue, db!$A$8),db!$AX$4:$AX$8,db!$AY$4:$AY$8))</f>
        <v>0</v>
      </c>
      <c r="AQ35" s="20">
        <f>ROUND((AP35/1000)*W35 * (1-db!$AS$9),0)</f>
        <v>0</v>
      </c>
      <c r="AR35" s="20">
        <f>(AP35/1000)*W35 * db!$AS$9</f>
        <v>0</v>
      </c>
      <c r="AS35" s="21">
        <f>IF(B35=0,0, LOOKUP(IF(AND(Changes!Change="Yes", Changes!ValidityYear&lt;=Table14[[#This Row],[Year]], Changes!ChangeType="Change Job Class"),Changes!NewChangedValue, db!$A$8),db!$AX$4:$AX$8,db!$AZ$4:$AZ$8))</f>
        <v>0</v>
      </c>
      <c r="AT35" s="22">
        <f>(AS35/1000)*Y35*(1-db!$AS$9)</f>
        <v>0</v>
      </c>
      <c r="AU35" s="22">
        <f>(AS35/1000)*Y35*(db!$AS$9)</f>
        <v>0</v>
      </c>
      <c r="AV35" s="23">
        <f>IF(B35=0,0, LOOKUP(IF(AND(Changes!Change="Yes", Changes!ValidityYear&lt;=Table14[[#This Row],[Year]], Changes!ChangeType="Change Job Class"),Changes!NewChangedValue, db!$A$8),db!$AX$4:$AX$8,db!$BA$4:$BA$8))</f>
        <v>0</v>
      </c>
      <c r="AW35" s="20">
        <f>ROUND((AV35/(100))*AA35*(1-db!$AS$9),0)</f>
        <v>0</v>
      </c>
      <c r="AX35" s="20">
        <f>ROUND((AV35/(100))*AA35*(db!$AS$9),0)</f>
        <v>0</v>
      </c>
      <c r="AY35" s="21">
        <f>IF(db!$D$8="Yes",AS35,0)</f>
        <v>0</v>
      </c>
      <c r="AZ35" s="22">
        <f>(AY35*AF35)/1000*(1-db!$AS$9)</f>
        <v>0</v>
      </c>
      <c r="BA35" s="22">
        <f>(AY35*AF35)/1000*(db!$AS$9)</f>
        <v>0</v>
      </c>
      <c r="BB35" s="23">
        <f t="shared" si="3"/>
        <v>0</v>
      </c>
      <c r="BC35" s="20">
        <f>(BB35*AH35/1000)*(1-db!$AS$9)</f>
        <v>0</v>
      </c>
      <c r="BD35" s="20">
        <f>(BB35*AH35/1000)*(db!$AS$9)</f>
        <v>0</v>
      </c>
      <c r="BE35" s="22">
        <f>IF(B35=0,0,IF(C35&gt;60,0,LOOKUP(Table14[[#This Row],[Medical
Age]],db!$BC$3:$BC$63,db!$BD$3:$BD$63)))</f>
        <v>0</v>
      </c>
      <c r="BF35" s="22">
        <f>BG35*db!$AS$10</f>
        <v>0</v>
      </c>
      <c r="BG35" s="22">
        <f t="shared" si="4"/>
        <v>0</v>
      </c>
      <c r="BH35" s="22">
        <f>(BE35/1000000)*AJ35*(1-db!$AS$10)</f>
        <v>0</v>
      </c>
      <c r="BI35" s="20">
        <f>IF(B35=0,0,IF(C35&gt;59,0,LOOKUP(Table14[[#This Row],[Medical
Age]],db!$BC$3:$BC$63,db!$BE$3:$BE$63)))</f>
        <v>0</v>
      </c>
      <c r="BJ35" s="20">
        <f>(BI35/1000000)*AL35*(1-db!$AS$11)</f>
        <v>0</v>
      </c>
      <c r="BK35" s="20">
        <f>(BI35/1000000)*AL35*(db!$AS$11)</f>
        <v>0</v>
      </c>
      <c r="BL35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35" s="20">
        <f>Table14[[#This Row],[RiskLoading
Rate]]*Table14[[#This Row],[Death Capital (2)]]</f>
        <v>0</v>
      </c>
      <c r="BN35" s="36"/>
      <c r="BO35" s="37">
        <f t="shared" si="5"/>
        <v>0</v>
      </c>
      <c r="BP35" s="35">
        <f t="shared" si="6"/>
        <v>0</v>
      </c>
      <c r="BQ35" s="35">
        <f t="shared" si="7"/>
        <v>0</v>
      </c>
      <c r="BR35" s="37">
        <f t="shared" si="11"/>
        <v>0</v>
      </c>
      <c r="BS35" s="37">
        <f t="shared" si="12"/>
        <v>0</v>
      </c>
      <c r="BT35" s="35">
        <f t="shared" si="13"/>
        <v>0</v>
      </c>
      <c r="BU35" s="35">
        <f t="shared" si="14"/>
        <v>0</v>
      </c>
      <c r="BV35" s="37">
        <f>(db!$AS$4/100)*(L35-BT35-BU35)</f>
        <v>0</v>
      </c>
      <c r="BW35" s="37">
        <f>(db!$AS$8/100)*(L35-BT35-BU35)</f>
        <v>0</v>
      </c>
      <c r="BX35" s="35"/>
      <c r="BY35" s="37"/>
      <c r="BZ35" s="37"/>
      <c r="CA35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35" s="33"/>
      <c r="CC35" s="39">
        <f>ROUND((Table14[[#This Row],[Premium]]-Table14[[#This Row],[All Deductions]]),0)</f>
        <v>0</v>
      </c>
      <c r="CD35" s="40">
        <f>ROUND(IF(B35=0,0,((CC35)*(1+ IF(AND(Changes!Change="Yes",Changes!ValidityYear&lt;=Table14[[#This Row],[Year]],Annulment&gt;Table14[[#This Row],[Year]],Changes!ChangeType="Paid-Up"),db!Y37+0.02,db!Y37)))+((CD34)*(1+IF(AND(Changes!Change="Yes",Changes!ValidityYear&lt;=Table14[[#This Row],[Year]],Annulment&gt;Table14[[#This Row],[Year]],Changes!ChangeType="Paid-Up"),db!U37+0.02,db!U37)))),0)</f>
        <v>0</v>
      </c>
      <c r="CE35" s="40">
        <f>ROUND(IF(B35=0,0,((CC35)*(1+db!Y37))+((CE34)*(1+db!U37))),0)</f>
        <v>0</v>
      </c>
      <c r="CF35" s="40">
        <f t="shared" si="19"/>
        <v>0</v>
      </c>
      <c r="CG35" s="15">
        <f t="shared" si="15"/>
        <v>34</v>
      </c>
      <c r="CH35" s="39">
        <f>IF(B35=0,0,((CC35)*(1+db!AH37))+((CH34)*(1+db!AD37)))</f>
        <v>0</v>
      </c>
      <c r="CI35" s="39">
        <f>IF(B35=0,0,((CC35)*(1+db!AH37))+((CI34)*(1+db!AD37)))</f>
        <v>0</v>
      </c>
      <c r="CJ35" s="40">
        <f>IF(B35=0,0,((CC35)*(1+db!AO37))+((CJ34)*(1+db!AK37)))</f>
        <v>0</v>
      </c>
      <c r="CK35" s="40">
        <f>CJ35-(SUM(BX$7:$BX36))</f>
        <v>0</v>
      </c>
      <c r="CL35" s="46"/>
    </row>
    <row r="36" spans="1:90">
      <c r="A36" s="347">
        <f t="shared" si="16"/>
        <v>35</v>
      </c>
      <c r="B36" s="345">
        <f>IF(AND(Changes!Change="Yes", Changes!ChangeType="Change Contract Duration"),IF(B35=0,0,IF(Changes!NewChangedValue&lt;B35+1,0,B35+1)),IF(B35=0,0,IF('Application Annually'!$C$5&lt;B35+1,0,B35+1)))</f>
        <v>0</v>
      </c>
      <c r="C36" s="15">
        <f t="shared" si="17"/>
        <v>0</v>
      </c>
      <c r="D36" s="312">
        <f t="shared" si="18"/>
        <v>62</v>
      </c>
      <c r="E36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36" s="29">
        <f t="shared" si="8"/>
        <v>0</v>
      </c>
      <c r="G36" s="29">
        <f t="shared" si="9"/>
        <v>0</v>
      </c>
      <c r="H36" s="29">
        <f t="shared" si="0"/>
        <v>0</v>
      </c>
      <c r="I36" s="29">
        <f>IF(B36&gt;0,IF(AND(Table14[[#This Row],[Year]]&gt;Changes!ValidityYear,Changes!Change="Yes",Changes!ChangeType="Change Value Adjustment"),Changes!$G$22,'Application Annually'!$C$11),0)</f>
        <v>0</v>
      </c>
      <c r="J36" s="29">
        <f>IF(B36&gt;0,IF(AND(Table14[[#This Row],[Year]]&gt;Changes!ValidityYear,Changes!Change="Yes",Changes!ChangeType="Change Value Adjustment"),Changes!$G$24,'Application Annually'!$C$7),0)</f>
        <v>0</v>
      </c>
      <c r="K36" s="29">
        <f>ROUND(IF(B36=0,0,IF(AND(Changes!Change="Yes", Changes!ValidityYear=Table14[[#This Row],[Year]], Changes!ChangeType="Change Premium"), Changes!NewChangedValue, (K35*(1+db!$B$3)))),0)</f>
        <v>0</v>
      </c>
      <c r="L36" s="29">
        <f>ROUND(IF(B36=0,0,IF(AND(Changes!Change="Yes", Changes!ValidityYear=Table14[[#This Row],[Year]], Changes!ChangeType="Change Premium"), Changes!NewChangedValue, (L35*(1+Table14[[#This Row],[Adjustment Factor of Premium]]/100)))),0)</f>
        <v>0</v>
      </c>
      <c r="M36" s="29">
        <f>IF(Table14[[#This Row],[Year]]=1,ROUND(MIN($L$2 -( Table14[[#This Row],[Riders Risk Premiums]] + Table14[[#This Row],[Acquisition Cost]]) *0.75,Table14[[#This Row],[Death Capital (1)]]* 0.03),0),0)</f>
        <v>0</v>
      </c>
      <c r="N36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36" s="29">
        <f>ROUND(IF(ROW()-1&gt;InsurancePeriod,0,(O35*(1+(Table14[[#This Row],[Adjustment Factor of Premium]]/100)))),0)</f>
        <v>0</v>
      </c>
      <c r="P36" s="29">
        <f>IF(Table14[Year] = 0, 0, SUM(L$2:L36))</f>
        <v>0</v>
      </c>
      <c r="Q36" s="17">
        <f t="shared" si="1"/>
        <v>0</v>
      </c>
      <c r="R36" s="17">
        <f>IF(Table14[[#This Row],[Year]]=0,0,IF($C$2&lt;=50,LOOKUP(Table14[[#This Row],[Age]],db!BG37:BG143,db!BH37:BH143),LOOKUP(Table14[[#This Row],[Age]],db!BJ37:BJ143,db!BK37:BK143)))</f>
        <v>0</v>
      </c>
      <c r="S36" s="17">
        <f>IF(B36=0,0, IF(AND(Changes!Change="Yes", Changes!ValidityYear=Table14[[#This Row],[Year]], Changes!ChangeType="Change Death Capital"), Changes!NewChangedValue, S35*(1+(Table14[[#This Row],[Adjustment Factor of Death Capital]]/100))))</f>
        <v>0</v>
      </c>
      <c r="T36" s="17">
        <f>MIN(IF(B36=0,0,Table14[[#This Row],[Death Capital (1)]]),Table14[[#This Row],[Max Sum Insured For Death]])</f>
        <v>0</v>
      </c>
      <c r="U36" s="29">
        <f t="shared" si="10"/>
        <v>0</v>
      </c>
      <c r="V36" s="29">
        <f>IF(B36=0,0,IF(AND(Changes!Change="Yes", Changes!ValidityYear&lt;=Table14[[#This Row],[Year]], Changes!ChangeType="Rider Inclusion/Exclusion", Changes!RiderType="Accident Death"), T36*Changes!NewChangedValue,IF(db!$D$6="Yes",(db!$B$6)*T36,0)))</f>
        <v>0</v>
      </c>
      <c r="W36" s="29">
        <f>MIN(IF(V36&lt;=db!$L$2,V36,db!$L$2),MAX_ACC_CAPITAL)</f>
        <v>0</v>
      </c>
      <c r="X36" s="17">
        <f>IF(OR(B36=0,Table14[[#This Row],[Accident Capital (2)]]=0),0,IF(AND(Changes!Change="Yes", Changes!ValidityYear&lt;=Table14[[#This Row],[Year]], Changes!ChangeType="Rider Inclusion/Exclusion", Changes!RiderType="Accident Disability"), T36*Changes!NewChangedValue,IF(db!$D$7="Yes",(db!$B$7)*T36,0)))</f>
        <v>0</v>
      </c>
      <c r="Y36" s="42">
        <f>IF(C36&gt;69,0,IF(C36=0,0,IF(X36&lt;=db!$L$3,X36,db!$L$3)))</f>
        <v>0</v>
      </c>
      <c r="Z36" s="29">
        <f>IF(OR(B36=0,Table14[[#This Row],[Accident Capital (2)]]=0),0,IF(AND(Changes!Change="Yes", Changes!ValidityYear&lt;=Table14[[#This Row],[Year]], Changes!ChangeType="Rider Inclusion/Exclusion", Changes!RiderType="Accident Medical Cost"), T36*Changes!NewChangedValue,IF(db!$D$9="Yes",(db!$B$9)*T36,0)))</f>
        <v>0</v>
      </c>
      <c r="AA36" s="29">
        <f>ROUND(IF(C36&gt;69,0,IF(C36=0,0,IF(Z36&lt;=db!$L$4,Z36,db!$L$4))),0)</f>
        <v>0</v>
      </c>
      <c r="AB36" s="38">
        <f>IF(AND(Changes!Change = "Yes", Changes!ChangeType = "Rider Inclusion/Exclusion", Changes!RiderType = "WOP"), IF( Changes!ValidityYear &lt;= Table14[[#This Row],[Year]], IF(WOP = "Yes", 0, 1),  IF(WOP = "Yes", 1, 0)), IF(AND(db!$D$8="Yes",C36&lt;=69,ROW()-1&lt;=InsurancePeriod), 1, 0))</f>
        <v>0</v>
      </c>
      <c r="AC36" s="17">
        <f>(AC37+K37)*AB36*((1)/(1+db!AA38))*(LOOKUP(C36,'Mortality Table'!$A$2:$A$108,'Mortality Table'!$E$2:$E$108))</f>
        <v>0</v>
      </c>
      <c r="AD36" s="340">
        <f>IF(AND(Changes!ValidityYear&lt;= Table14[[#This Row],[Year]],Changes!ChangeType="Change Value Adjustment",Changes!Change="Yes"), (AD37+L37)*AB36*((1)/(1+db!AA38))*(LOOKUP(C36,'Mortality Table'!$A$2:$A$108,'Mortality Table'!$E$2:$E$108)),Table14[[#This Row],[WOP Before Adj. BT]])</f>
        <v>0</v>
      </c>
      <c r="AE36" s="341">
        <f>IF(AND(Changes!Change="Yes", Changes!ChangeType="Change Value Adjustment"),Table14[[#This Row],[WOP Capital]],(AE37+O37)*AB36*((1)/(1+db!AA38))*(LOOKUP(D36,'Mortality Table'!$A$2:$A$108,'Mortality Table'!$E$2:$E$108)))</f>
        <v>0</v>
      </c>
      <c r="AF36" s="17">
        <f>IF(AND(Changes!Change="Yes", Changes!ValidityYear&lt;=ROW()-1),Table14[[#This Row],[WOP Capital]],Table14[[#This Row],[WOP without change]])</f>
        <v>0</v>
      </c>
      <c r="AG36" s="42">
        <f>IF(AND(Changes!Change="Yes", Changes!ValidityYear&lt;=Table14[[#This Row],[Year]], Changes!ChangeType="Rider Inclusion/Exclusion", Changes!RiderType="Disability Annuity"), L36*Changes!NewChangedValue,L36*db!B$10*IF(db!$D$10="Yes",1,0))</f>
        <v>0</v>
      </c>
      <c r="AH36" s="29">
        <f>Table14[[#This Row],[Code Annuity Capital]]*IF('Annual Calculation'!C36&gt;69,0,(LOOKUP('Annual Calculation'!C36+1,'Mortality Table'!$A$2:$A$108,'Mortality Table'!$O$2:$O$108)-LOOKUP('Annual Calculation'!C36+11,'Mortality Table'!$A$2:$A$108,'Mortality Table'!$O$2:$O$108))/LOOKUP('Annual Calculation'!C36,'Mortality Table'!$A$2:$A$108,'Mortality Table'!$M$2:$M$108))</f>
        <v>0</v>
      </c>
      <c r="AI36" s="17">
        <f>IF(B36=0,0,IF(AND(Changes!Change="Yes", Changes!ValidityYear&lt;=Table14[[#This Row],[Year]], Changes!ChangeType="Rider Inclusion/Exclusion", Changes!RiderType="Dread Disease"), T36*Changes!NewChangedValue,IF(db!$D$11="Yes",(db!$B$11)*T36,0)))</f>
        <v>0</v>
      </c>
      <c r="AJ36" s="42">
        <f>ROUND(IF(C36&gt;59,0,IF(C36=0,0,IF(AI36&lt;=db!$L$5,AI36,db!$L$5))),0)</f>
        <v>0</v>
      </c>
      <c r="AK36" s="29">
        <f>IF(B36=0,0,IF(AND(Changes!Change="Yes", Changes!ValidityYear&lt;=Table14[[#This Row],[Year]], Changes!ChangeType="Rider Inclusion/Exclusion", Changes!RiderType="Cancer"), T36*Changes!NewChangedValue,IF(db!$D$12="Yes",(db!$B$12)*T36,0)))</f>
        <v>0</v>
      </c>
      <c r="AL36" s="29">
        <f>ROUND(IF(C36&gt;59,0,IF(C36=0,0,IF(AK36&lt;=db!$L$6,AK36,db!$L$6))),0)</f>
        <v>0</v>
      </c>
      <c r="AM36" s="32"/>
      <c r="AN36" s="18">
        <f>IF(B36=0,0,IF(C36&lt;(db!$E$2+5),LOOKUP(C36,'Mortality Table'!$A$2:$A$108,'Mortality Table'!$P$2:$P$108),IF((C36&gt;=db!$E$2+10),LOOKUP(C36,'Mortality Table'!$A$2:$A$108,'Mortality Table'!$R$2:$R$108),LOOKUP(C36,'Mortality Table'!$A$2:$A$108,'Mortality Table'!$Q$2:$Q$108))))</f>
        <v>0</v>
      </c>
      <c r="AO36" s="22">
        <f t="shared" si="2"/>
        <v>0</v>
      </c>
      <c r="AP36" s="19">
        <f>IF(B36=0,0, LOOKUP(IF(AND(Changes!Change="Yes", Changes!ValidityYear&lt;=Table14[[#This Row],[Year]], Changes!ChangeType="Change Job Class"),Changes!NewChangedValue, db!$A$8),db!$AX$4:$AX$8,db!$AY$4:$AY$8))</f>
        <v>0</v>
      </c>
      <c r="AQ36" s="20">
        <f>ROUND((AP36/1000)*W36 * (1-db!$AS$9),0)</f>
        <v>0</v>
      </c>
      <c r="AR36" s="20">
        <f>(AP36/1000)*W36 * db!$AS$9</f>
        <v>0</v>
      </c>
      <c r="AS36" s="21">
        <f>IF(B36=0,0, LOOKUP(IF(AND(Changes!Change="Yes", Changes!ValidityYear&lt;=Table14[[#This Row],[Year]], Changes!ChangeType="Change Job Class"),Changes!NewChangedValue, db!$A$8),db!$AX$4:$AX$8,db!$AZ$4:$AZ$8))</f>
        <v>0</v>
      </c>
      <c r="AT36" s="22">
        <f>(AS36/1000)*Y36*(1-db!$AS$9)</f>
        <v>0</v>
      </c>
      <c r="AU36" s="22">
        <f>(AS36/1000)*Y36*(db!$AS$9)</f>
        <v>0</v>
      </c>
      <c r="AV36" s="23">
        <f>IF(B36=0,0, LOOKUP(IF(AND(Changes!Change="Yes", Changes!ValidityYear&lt;=Table14[[#This Row],[Year]], Changes!ChangeType="Change Job Class"),Changes!NewChangedValue, db!$A$8),db!$AX$4:$AX$8,db!$BA$4:$BA$8))</f>
        <v>0</v>
      </c>
      <c r="AW36" s="20">
        <f>ROUND((AV36/(100))*AA36*(1-db!$AS$9),0)</f>
        <v>0</v>
      </c>
      <c r="AX36" s="20">
        <f>ROUND((AV36/(100))*AA36*(db!$AS$9),0)</f>
        <v>0</v>
      </c>
      <c r="AY36" s="21">
        <f>IF(db!$D$8="Yes",AS36,0)</f>
        <v>0</v>
      </c>
      <c r="AZ36" s="22">
        <f>(AY36*AF36)/1000*(1-db!$AS$9)</f>
        <v>0</v>
      </c>
      <c r="BA36" s="22">
        <f>(AY36*AF36)/1000*(db!$AS$9)</f>
        <v>0</v>
      </c>
      <c r="BB36" s="23">
        <f t="shared" si="3"/>
        <v>0</v>
      </c>
      <c r="BC36" s="20">
        <f>(BB36*AH36/1000)*(1-db!$AS$9)</f>
        <v>0</v>
      </c>
      <c r="BD36" s="20">
        <f>(BB36*AH36/1000)*(db!$AS$9)</f>
        <v>0</v>
      </c>
      <c r="BE36" s="22">
        <f>IF(B36=0,0,IF(C36&gt;60,0,LOOKUP(Table14[[#This Row],[Medical
Age]],db!$BC$3:$BC$63,db!$BD$3:$BD$63)))</f>
        <v>0</v>
      </c>
      <c r="BF36" s="22">
        <f>BG36*db!$AS$10</f>
        <v>0</v>
      </c>
      <c r="BG36" s="22">
        <f t="shared" si="4"/>
        <v>0</v>
      </c>
      <c r="BH36" s="22">
        <f>(BE36/1000000)*AJ36*(1-db!$AS$10)</f>
        <v>0</v>
      </c>
      <c r="BI36" s="20">
        <f>IF(B36=0,0,IF(C36&gt;59,0,LOOKUP(Table14[[#This Row],[Medical
Age]],db!$BC$3:$BC$63,db!$BE$3:$BE$63)))</f>
        <v>0</v>
      </c>
      <c r="BJ36" s="20">
        <f>(BI36/1000000)*AL36*(1-db!$AS$11)</f>
        <v>0</v>
      </c>
      <c r="BK36" s="20">
        <f>(BI36/1000000)*AL36*(db!$AS$11)</f>
        <v>0</v>
      </c>
      <c r="BL36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36" s="20">
        <f>Table14[[#This Row],[RiskLoading
Rate]]*Table14[[#This Row],[Death Capital (2)]]</f>
        <v>0</v>
      </c>
      <c r="BN36" s="36"/>
      <c r="BO36" s="37">
        <f t="shared" si="5"/>
        <v>0</v>
      </c>
      <c r="BP36" s="35">
        <f t="shared" si="6"/>
        <v>0</v>
      </c>
      <c r="BQ36" s="35">
        <f t="shared" si="7"/>
        <v>0</v>
      </c>
      <c r="BR36" s="37">
        <f t="shared" si="11"/>
        <v>0</v>
      </c>
      <c r="BS36" s="37">
        <f t="shared" si="12"/>
        <v>0</v>
      </c>
      <c r="BT36" s="35">
        <f t="shared" si="13"/>
        <v>0</v>
      </c>
      <c r="BU36" s="35">
        <f t="shared" si="14"/>
        <v>0</v>
      </c>
      <c r="BV36" s="37">
        <f>(db!$AS$4/100)*(L36-BT36-BU36)</f>
        <v>0</v>
      </c>
      <c r="BW36" s="37">
        <f>(db!$AS$8/100)*(L36-BT36-BU36)</f>
        <v>0</v>
      </c>
      <c r="BX36" s="35"/>
      <c r="BY36" s="37"/>
      <c r="BZ36" s="37"/>
      <c r="CA36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36" s="33"/>
      <c r="CC36" s="39">
        <f>ROUND((Table14[[#This Row],[Premium]]-Table14[[#This Row],[All Deductions]]),0)</f>
        <v>0</v>
      </c>
      <c r="CD36" s="40">
        <f>ROUND(IF(B36=0,0,((CC36)*(1+ IF(AND(Changes!Change="Yes",Changes!ValidityYear&lt;=Table14[[#This Row],[Year]],Annulment&gt;Table14[[#This Row],[Year]],Changes!ChangeType="Paid-Up"),db!Y38+0.02,db!Y38)))+((CD35)*(1+IF(AND(Changes!Change="Yes",Changes!ValidityYear&lt;=Table14[[#This Row],[Year]],Annulment&gt;Table14[[#This Row],[Year]],Changes!ChangeType="Paid-Up"),db!U38+0.02,db!U38)))),0)</f>
        <v>0</v>
      </c>
      <c r="CE36" s="40">
        <f>ROUND(IF(B36=0,0,((CC36)*(1+db!Y38))+((CE35)*(1+db!U38))),0)</f>
        <v>0</v>
      </c>
      <c r="CF36" s="40">
        <f t="shared" si="19"/>
        <v>0</v>
      </c>
      <c r="CG36" s="15">
        <f t="shared" si="15"/>
        <v>35</v>
      </c>
      <c r="CH36" s="39">
        <f>IF(B36=0,0,((CC36)*(1+db!AH38))+((CH35)*(1+db!AD38)))</f>
        <v>0</v>
      </c>
      <c r="CI36" s="39">
        <f>IF(B36=0,0,((CC36)*(1+db!AH38))+((CI35)*(1+db!AD38)))</f>
        <v>0</v>
      </c>
      <c r="CJ36" s="40">
        <f>IF(B36=0,0,((CC36)*(1+db!AO38))+((CJ35)*(1+db!AK38)))</f>
        <v>0</v>
      </c>
      <c r="CK36" s="40">
        <f>CJ36-(SUM(BX$7:$BX37))</f>
        <v>0</v>
      </c>
      <c r="CL36" s="46"/>
    </row>
    <row r="37" spans="1:90">
      <c r="A37" s="347">
        <f t="shared" si="16"/>
        <v>36</v>
      </c>
      <c r="B37" s="345">
        <f>IF(AND(Changes!Change="Yes", Changes!ChangeType="Change Contract Duration"),IF(B36=0,0,IF(Changes!NewChangedValue&lt;B36+1,0,B36+1)),IF(B36=0,0,IF('Application Annually'!$C$5&lt;B36+1,0,B36+1)))</f>
        <v>0</v>
      </c>
      <c r="C37" s="15">
        <f t="shared" si="17"/>
        <v>0</v>
      </c>
      <c r="D37" s="312">
        <f t="shared" si="18"/>
        <v>63</v>
      </c>
      <c r="E37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37" s="29">
        <f t="shared" si="8"/>
        <v>0</v>
      </c>
      <c r="G37" s="29">
        <f t="shared" si="9"/>
        <v>0</v>
      </c>
      <c r="H37" s="29">
        <f t="shared" si="0"/>
        <v>0</v>
      </c>
      <c r="I37" s="29">
        <f>IF(B37&gt;0,IF(AND(Table14[[#This Row],[Year]]&gt;Changes!ValidityYear,Changes!Change="Yes",Changes!ChangeType="Change Value Adjustment"),Changes!$G$22,'Application Annually'!$C$11),0)</f>
        <v>0</v>
      </c>
      <c r="J37" s="29">
        <f>IF(B37&gt;0,IF(AND(Table14[[#This Row],[Year]]&gt;Changes!ValidityYear,Changes!Change="Yes",Changes!ChangeType="Change Value Adjustment"),Changes!$G$24,'Application Annually'!$C$7),0)</f>
        <v>0</v>
      </c>
      <c r="K37" s="29">
        <f>ROUND(IF(B37=0,0,IF(AND(Changes!Change="Yes", Changes!ValidityYear=Table14[[#This Row],[Year]], Changes!ChangeType="Change Premium"), Changes!NewChangedValue, (K36*(1+db!$B$3)))),0)</f>
        <v>0</v>
      </c>
      <c r="L37" s="29">
        <f>ROUND(IF(B37=0,0,IF(AND(Changes!Change="Yes", Changes!ValidityYear=Table14[[#This Row],[Year]], Changes!ChangeType="Change Premium"), Changes!NewChangedValue, (L36*(1+Table14[[#This Row],[Adjustment Factor of Premium]]/100)))),0)</f>
        <v>0</v>
      </c>
      <c r="M37" s="29">
        <f>IF(Table14[[#This Row],[Year]]=1,ROUND(MIN($L$2 -( Table14[[#This Row],[Riders Risk Premiums]] + Table14[[#This Row],[Acquisition Cost]]) *0.75,Table14[[#This Row],[Death Capital (1)]]* 0.03),0),0)</f>
        <v>0</v>
      </c>
      <c r="N37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37" s="29">
        <f>ROUND(IF(ROW()-1&gt;InsurancePeriod,0,(O36*(1+(Table14[[#This Row],[Adjustment Factor of Premium]]/100)))),0)</f>
        <v>0</v>
      </c>
      <c r="P37" s="29">
        <f>IF(Table14[Year] = 0, 0, SUM(L$2:L37))</f>
        <v>0</v>
      </c>
      <c r="Q37" s="17">
        <f t="shared" si="1"/>
        <v>0</v>
      </c>
      <c r="R37" s="17">
        <f>IF(Table14[[#This Row],[Year]]=0,0,IF($C$2&lt;=50,LOOKUP(Table14[[#This Row],[Age]],db!BG38:BG144,db!BH38:BH144),LOOKUP(Table14[[#This Row],[Age]],db!BJ38:BJ144,db!BK38:BK144)))</f>
        <v>0</v>
      </c>
      <c r="S37" s="17">
        <f>IF(B37=0,0, IF(AND(Changes!Change="Yes", Changes!ValidityYear=Table14[[#This Row],[Year]], Changes!ChangeType="Change Death Capital"), Changes!NewChangedValue, S36*(1+(Table14[[#This Row],[Adjustment Factor of Death Capital]]/100))))</f>
        <v>0</v>
      </c>
      <c r="T37" s="17">
        <f>MIN(IF(B37=0,0,Table14[[#This Row],[Death Capital (1)]]),Table14[[#This Row],[Max Sum Insured For Death]])</f>
        <v>0</v>
      </c>
      <c r="U37" s="29">
        <f t="shared" si="10"/>
        <v>0</v>
      </c>
      <c r="V37" s="29">
        <f>IF(B37=0,0,IF(AND(Changes!Change="Yes", Changes!ValidityYear&lt;=Table14[[#This Row],[Year]], Changes!ChangeType="Rider Inclusion/Exclusion", Changes!RiderType="Accident Death"), T37*Changes!NewChangedValue,IF(db!$D$6="Yes",(db!$B$6)*T37,0)))</f>
        <v>0</v>
      </c>
      <c r="W37" s="29">
        <f>MIN(IF(V37&lt;=db!$L$2,V37,db!$L$2),MAX_ACC_CAPITAL)</f>
        <v>0</v>
      </c>
      <c r="X37" s="17">
        <f>IF(OR(B37=0,Table14[[#This Row],[Accident Capital (2)]]=0),0,IF(AND(Changes!Change="Yes", Changes!ValidityYear&lt;=Table14[[#This Row],[Year]], Changes!ChangeType="Rider Inclusion/Exclusion", Changes!RiderType="Accident Disability"), T37*Changes!NewChangedValue,IF(db!$D$7="Yes",(db!$B$7)*T37,0)))</f>
        <v>0</v>
      </c>
      <c r="Y37" s="42">
        <f>IF(C37&gt;69,0,IF(C37=0,0,IF(X37&lt;=db!$L$3,X37,db!$L$3)))</f>
        <v>0</v>
      </c>
      <c r="Z37" s="29">
        <f>IF(OR(B37=0,Table14[[#This Row],[Accident Capital (2)]]=0),0,IF(AND(Changes!Change="Yes", Changes!ValidityYear&lt;=Table14[[#This Row],[Year]], Changes!ChangeType="Rider Inclusion/Exclusion", Changes!RiderType="Accident Medical Cost"), T37*Changes!NewChangedValue,IF(db!$D$9="Yes",(db!$B$9)*T37,0)))</f>
        <v>0</v>
      </c>
      <c r="AA37" s="29">
        <f>ROUND(IF(C37&gt;69,0,IF(C37=0,0,IF(Z37&lt;=db!$L$4,Z37,db!$L$4))),0)</f>
        <v>0</v>
      </c>
      <c r="AB37" s="38">
        <f>IF(AND(Changes!Change = "Yes", Changes!ChangeType = "Rider Inclusion/Exclusion", Changes!RiderType = "WOP"), IF( Changes!ValidityYear &lt;= Table14[[#This Row],[Year]], IF(WOP = "Yes", 0, 1),  IF(WOP = "Yes", 1, 0)), IF(AND(db!$D$8="Yes",C37&lt;=69,ROW()-1&lt;=InsurancePeriod), 1, 0))</f>
        <v>0</v>
      </c>
      <c r="AC37" s="17">
        <f>(AC38+K38)*AB37*((1)/(1+db!AA39))*(LOOKUP(C37,'Mortality Table'!$A$2:$A$108,'Mortality Table'!$E$2:$E$108))</f>
        <v>0</v>
      </c>
      <c r="AD37" s="340">
        <f>IF(AND(Changes!ValidityYear&lt;= Table14[[#This Row],[Year]],Changes!ChangeType="Change Value Adjustment",Changes!Change="Yes"), (AD38+L38)*AB37*((1)/(1+db!AA39))*(LOOKUP(C37,'Mortality Table'!$A$2:$A$108,'Mortality Table'!$E$2:$E$108)),Table14[[#This Row],[WOP Before Adj. BT]])</f>
        <v>0</v>
      </c>
      <c r="AE37" s="341">
        <f>IF(AND(Changes!Change="Yes", Changes!ChangeType="Change Value Adjustment"),Table14[[#This Row],[WOP Capital]],(AE38+O38)*AB37*((1)/(1+db!AA39))*(LOOKUP(D37,'Mortality Table'!$A$2:$A$108,'Mortality Table'!$E$2:$E$108)))</f>
        <v>0</v>
      </c>
      <c r="AF37" s="17">
        <f>IF(AND(Changes!Change="Yes", Changes!ValidityYear&lt;=ROW()-1),Table14[[#This Row],[WOP Capital]],Table14[[#This Row],[WOP without change]])</f>
        <v>0</v>
      </c>
      <c r="AG37" s="42">
        <f>IF(AND(Changes!Change="Yes", Changes!ValidityYear&lt;=Table14[[#This Row],[Year]], Changes!ChangeType="Rider Inclusion/Exclusion", Changes!RiderType="Disability Annuity"), L37*Changes!NewChangedValue,L37*db!B$10*IF(db!$D$10="Yes",1,0))</f>
        <v>0</v>
      </c>
      <c r="AH37" s="29">
        <f>Table14[[#This Row],[Code Annuity Capital]]*IF('Annual Calculation'!C37&gt;69,0,(LOOKUP('Annual Calculation'!C37+1,'Mortality Table'!$A$2:$A$108,'Mortality Table'!$O$2:$O$108)-LOOKUP('Annual Calculation'!C37+11,'Mortality Table'!$A$2:$A$108,'Mortality Table'!$O$2:$O$108))/LOOKUP('Annual Calculation'!C37,'Mortality Table'!$A$2:$A$108,'Mortality Table'!$M$2:$M$108))</f>
        <v>0</v>
      </c>
      <c r="AI37" s="17">
        <f>IF(B37=0,0,IF(AND(Changes!Change="Yes", Changes!ValidityYear&lt;=Table14[[#This Row],[Year]], Changes!ChangeType="Rider Inclusion/Exclusion", Changes!RiderType="Dread Disease"), T37*Changes!NewChangedValue,IF(db!$D$11="Yes",(db!$B$11)*T37,0)))</f>
        <v>0</v>
      </c>
      <c r="AJ37" s="42">
        <f>ROUND(IF(C37&gt;59,0,IF(C37=0,0,IF(AI37&lt;=db!$L$5,AI37,db!$L$5))),0)</f>
        <v>0</v>
      </c>
      <c r="AK37" s="29">
        <f>IF(B37=0,0,IF(AND(Changes!Change="Yes", Changes!ValidityYear&lt;=Table14[[#This Row],[Year]], Changes!ChangeType="Rider Inclusion/Exclusion", Changes!RiderType="Cancer"), T37*Changes!NewChangedValue,IF(db!$D$12="Yes",(db!$B$12)*T37,0)))</f>
        <v>0</v>
      </c>
      <c r="AL37" s="29">
        <f>ROUND(IF(C37&gt;59,0,IF(C37=0,0,IF(AK37&lt;=db!$L$6,AK37,db!$L$6))),0)</f>
        <v>0</v>
      </c>
      <c r="AM37" s="32"/>
      <c r="AN37" s="18">
        <f>IF(B37=0,0,IF(C37&lt;(db!$E$2+5),LOOKUP(C37,'Mortality Table'!$A$2:$A$108,'Mortality Table'!$P$2:$P$108),IF((C37&gt;=db!$E$2+10),LOOKUP(C37,'Mortality Table'!$A$2:$A$108,'Mortality Table'!$R$2:$R$108),LOOKUP(C37,'Mortality Table'!$A$2:$A$108,'Mortality Table'!$Q$2:$Q$108))))</f>
        <v>0</v>
      </c>
      <c r="AO37" s="22">
        <f t="shared" si="2"/>
        <v>0</v>
      </c>
      <c r="AP37" s="19">
        <f>IF(B37=0,0, LOOKUP(IF(AND(Changes!Change="Yes", Changes!ValidityYear&lt;=Table14[[#This Row],[Year]], Changes!ChangeType="Change Job Class"),Changes!NewChangedValue, db!$A$8),db!$AX$4:$AX$8,db!$AY$4:$AY$8))</f>
        <v>0</v>
      </c>
      <c r="AQ37" s="20">
        <f>ROUND((AP37/1000)*W37 * (1-db!$AS$9),0)</f>
        <v>0</v>
      </c>
      <c r="AR37" s="20">
        <f>(AP37/1000)*W37 * db!$AS$9</f>
        <v>0</v>
      </c>
      <c r="AS37" s="21">
        <f>IF(B37=0,0, LOOKUP(IF(AND(Changes!Change="Yes", Changes!ValidityYear&lt;=Table14[[#This Row],[Year]], Changes!ChangeType="Change Job Class"),Changes!NewChangedValue, db!$A$8),db!$AX$4:$AX$8,db!$AZ$4:$AZ$8))</f>
        <v>0</v>
      </c>
      <c r="AT37" s="22">
        <f>(AS37/1000)*Y37*(1-db!$AS$9)</f>
        <v>0</v>
      </c>
      <c r="AU37" s="22">
        <f>(AS37/1000)*Y37*(db!$AS$9)</f>
        <v>0</v>
      </c>
      <c r="AV37" s="23">
        <f>IF(B37=0,0, LOOKUP(IF(AND(Changes!Change="Yes", Changes!ValidityYear&lt;=Table14[[#This Row],[Year]], Changes!ChangeType="Change Job Class"),Changes!NewChangedValue, db!$A$8),db!$AX$4:$AX$8,db!$BA$4:$BA$8))</f>
        <v>0</v>
      </c>
      <c r="AW37" s="20">
        <f>ROUND((AV37/(100))*AA37*(1-db!$AS$9),0)</f>
        <v>0</v>
      </c>
      <c r="AX37" s="20">
        <f>ROUND((AV37/(100))*AA37*(db!$AS$9),0)</f>
        <v>0</v>
      </c>
      <c r="AY37" s="21">
        <f>IF(db!$D$8="Yes",AS37,0)</f>
        <v>0</v>
      </c>
      <c r="AZ37" s="22">
        <f>(AY37*AF37)/1000*(1-db!$AS$9)</f>
        <v>0</v>
      </c>
      <c r="BA37" s="22">
        <f>(AY37*AF37)/1000*(db!$AS$9)</f>
        <v>0</v>
      </c>
      <c r="BB37" s="23">
        <f t="shared" si="3"/>
        <v>0</v>
      </c>
      <c r="BC37" s="20">
        <f>(BB37*AH37/1000)*(1-db!$AS$9)</f>
        <v>0</v>
      </c>
      <c r="BD37" s="20">
        <f>(BB37*AH37/1000)*(db!$AS$9)</f>
        <v>0</v>
      </c>
      <c r="BE37" s="22">
        <f>IF(B37=0,0,IF(C37&gt;60,0,LOOKUP(Table14[[#This Row],[Medical
Age]],db!$BC$3:$BC$63,db!$BD$3:$BD$63)))</f>
        <v>0</v>
      </c>
      <c r="BF37" s="22">
        <f>BG37*db!$AS$10</f>
        <v>0</v>
      </c>
      <c r="BG37" s="22">
        <f t="shared" si="4"/>
        <v>0</v>
      </c>
      <c r="BH37" s="22">
        <f>(BE37/1000000)*AJ37*(1-db!$AS$10)</f>
        <v>0</v>
      </c>
      <c r="BI37" s="20">
        <f>IF(B37=0,0,IF(C37&gt;59,0,LOOKUP(Table14[[#This Row],[Medical
Age]],db!$BC$3:$BC$63,db!$BE$3:$BE$63)))</f>
        <v>0</v>
      </c>
      <c r="BJ37" s="20">
        <f>(BI37/1000000)*AL37*(1-db!$AS$11)</f>
        <v>0</v>
      </c>
      <c r="BK37" s="20">
        <f>(BI37/1000000)*AL37*(db!$AS$11)</f>
        <v>0</v>
      </c>
      <c r="BL37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37" s="20">
        <f>Table14[[#This Row],[RiskLoading
Rate]]*Table14[[#This Row],[Death Capital (2)]]</f>
        <v>0</v>
      </c>
      <c r="BN37" s="36"/>
      <c r="BO37" s="37">
        <f t="shared" si="5"/>
        <v>0</v>
      </c>
      <c r="BP37" s="35">
        <f t="shared" si="6"/>
        <v>0</v>
      </c>
      <c r="BQ37" s="35">
        <f t="shared" si="7"/>
        <v>0</v>
      </c>
      <c r="BR37" s="37">
        <f t="shared" si="11"/>
        <v>0</v>
      </c>
      <c r="BS37" s="37">
        <f t="shared" si="12"/>
        <v>0</v>
      </c>
      <c r="BT37" s="35">
        <f t="shared" si="13"/>
        <v>0</v>
      </c>
      <c r="BU37" s="35">
        <f t="shared" si="14"/>
        <v>0</v>
      </c>
      <c r="BV37" s="37">
        <f>(db!$AS$4/100)*(L37-BT37-BU37)</f>
        <v>0</v>
      </c>
      <c r="BW37" s="37">
        <f>(db!$AS$8/100)*(L37-BT37-BU37)</f>
        <v>0</v>
      </c>
      <c r="BX37" s="35"/>
      <c r="BY37" s="37"/>
      <c r="BZ37" s="37"/>
      <c r="CA37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37" s="33"/>
      <c r="CC37" s="39">
        <f>ROUND((Table14[[#This Row],[Premium]]-Table14[[#This Row],[All Deductions]]),0)</f>
        <v>0</v>
      </c>
      <c r="CD37" s="40">
        <f>ROUND(IF(B37=0,0,((CC37)*(1+ IF(AND(Changes!Change="Yes",Changes!ValidityYear&lt;=Table14[[#This Row],[Year]],Annulment&gt;Table14[[#This Row],[Year]],Changes!ChangeType="Paid-Up"),db!Y39+0.02,db!Y39)))+((CD36)*(1+IF(AND(Changes!Change="Yes",Changes!ValidityYear&lt;=Table14[[#This Row],[Year]],Annulment&gt;Table14[[#This Row],[Year]],Changes!ChangeType="Paid-Up"),db!U39+0.02,db!U39)))),0)</f>
        <v>0</v>
      </c>
      <c r="CE37" s="40">
        <f>ROUND(IF(B37=0,0,((CC37)*(1+db!Y39))+((CE36)*(1+db!U39))),0)</f>
        <v>0</v>
      </c>
      <c r="CF37" s="40">
        <f t="shared" si="19"/>
        <v>0</v>
      </c>
      <c r="CG37" s="15">
        <f t="shared" si="15"/>
        <v>36</v>
      </c>
      <c r="CH37" s="39">
        <f>IF(B37=0,0,((CC37)*(1+db!AH39))+((CH36)*(1+db!AD39)))</f>
        <v>0</v>
      </c>
      <c r="CI37" s="39">
        <f>IF(B37=0,0,((CC37)*(1+db!AH39))+((CI36)*(1+db!AD39)))</f>
        <v>0</v>
      </c>
      <c r="CJ37" s="40">
        <f>IF(B37=0,0,((CC37)*(1+db!AO39))+((CJ36)*(1+db!AK39)))</f>
        <v>0</v>
      </c>
      <c r="CK37" s="40">
        <f>CJ37-(SUM(BX$7:$BX38))</f>
        <v>0</v>
      </c>
      <c r="CL37" s="46"/>
    </row>
    <row r="38" spans="1:90">
      <c r="A38" s="347">
        <f t="shared" si="16"/>
        <v>37</v>
      </c>
      <c r="B38" s="345">
        <f>IF(AND(Changes!Change="Yes", Changes!ChangeType="Change Contract Duration"),IF(B37=0,0,IF(Changes!NewChangedValue&lt;B37+1,0,B37+1)),IF(B37=0,0,IF('Application Annually'!$C$5&lt;B37+1,0,B37+1)))</f>
        <v>0</v>
      </c>
      <c r="C38" s="15">
        <f t="shared" si="17"/>
        <v>0</v>
      </c>
      <c r="D38" s="312">
        <f t="shared" si="18"/>
        <v>64</v>
      </c>
      <c r="E38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38" s="29">
        <f t="shared" si="8"/>
        <v>0</v>
      </c>
      <c r="G38" s="29">
        <f t="shared" si="9"/>
        <v>0</v>
      </c>
      <c r="H38" s="29">
        <f t="shared" si="0"/>
        <v>0</v>
      </c>
      <c r="I38" s="29">
        <f>IF(B38&gt;0,IF(AND(Table14[[#This Row],[Year]]&gt;Changes!ValidityYear,Changes!Change="Yes",Changes!ChangeType="Change Value Adjustment"),Changes!$G$22,'Application Annually'!$C$11),0)</f>
        <v>0</v>
      </c>
      <c r="J38" s="29">
        <f>IF(B38&gt;0,IF(AND(Table14[[#This Row],[Year]]&gt;Changes!ValidityYear,Changes!Change="Yes",Changes!ChangeType="Change Value Adjustment"),Changes!$G$24,'Application Annually'!$C$7),0)</f>
        <v>0</v>
      </c>
      <c r="K38" s="29">
        <f>ROUND(IF(B38=0,0,IF(AND(Changes!Change="Yes", Changes!ValidityYear=Table14[[#This Row],[Year]], Changes!ChangeType="Change Premium"), Changes!NewChangedValue, (K37*(1+db!$B$3)))),0)</f>
        <v>0</v>
      </c>
      <c r="L38" s="29">
        <f>ROUND(IF(B38=0,0,IF(AND(Changes!Change="Yes", Changes!ValidityYear=Table14[[#This Row],[Year]], Changes!ChangeType="Change Premium"), Changes!NewChangedValue, (L37*(1+Table14[[#This Row],[Adjustment Factor of Premium]]/100)))),0)</f>
        <v>0</v>
      </c>
      <c r="M38" s="29">
        <f>IF(Table14[[#This Row],[Year]]=1,ROUND(MIN($L$2 -( Table14[[#This Row],[Riders Risk Premiums]] + Table14[[#This Row],[Acquisition Cost]]) *0.75,Table14[[#This Row],[Death Capital (1)]]* 0.03),0),0)</f>
        <v>0</v>
      </c>
      <c r="N38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38" s="29">
        <f>ROUND(IF(ROW()-1&gt;InsurancePeriod,0,(O37*(1+(Table14[[#This Row],[Adjustment Factor of Premium]]/100)))),0)</f>
        <v>0</v>
      </c>
      <c r="P38" s="29">
        <f>IF(Table14[Year] = 0, 0, SUM(L$2:L38))</f>
        <v>0</v>
      </c>
      <c r="Q38" s="17">
        <f t="shared" si="1"/>
        <v>0</v>
      </c>
      <c r="R38" s="17">
        <f>IF(Table14[[#This Row],[Year]]=0,0,IF($C$2&lt;=50,LOOKUP(Table14[[#This Row],[Age]],db!BG39:BG145,db!BH39:BH145),LOOKUP(Table14[[#This Row],[Age]],db!BJ39:BJ145,db!BK39:BK145)))</f>
        <v>0</v>
      </c>
      <c r="S38" s="17">
        <f>IF(B38=0,0, IF(AND(Changes!Change="Yes", Changes!ValidityYear=Table14[[#This Row],[Year]], Changes!ChangeType="Change Death Capital"), Changes!NewChangedValue, S37*(1+(Table14[[#This Row],[Adjustment Factor of Death Capital]]/100))))</f>
        <v>0</v>
      </c>
      <c r="T38" s="17">
        <f>MIN(IF(B38=0,0,Table14[[#This Row],[Death Capital (1)]]),Table14[[#This Row],[Max Sum Insured For Death]])</f>
        <v>0</v>
      </c>
      <c r="U38" s="29">
        <f t="shared" si="10"/>
        <v>0</v>
      </c>
      <c r="V38" s="29">
        <f>IF(B38=0,0,IF(AND(Changes!Change="Yes", Changes!ValidityYear&lt;=Table14[[#This Row],[Year]], Changes!ChangeType="Rider Inclusion/Exclusion", Changes!RiderType="Accident Death"), T38*Changes!NewChangedValue,IF(db!$D$6="Yes",(db!$B$6)*T38,0)))</f>
        <v>0</v>
      </c>
      <c r="W38" s="29">
        <f>MIN(IF(V38&lt;=db!$L$2,V38,db!$L$2),MAX_ACC_CAPITAL)</f>
        <v>0</v>
      </c>
      <c r="X38" s="17">
        <f>IF(OR(B38=0,Table14[[#This Row],[Accident Capital (2)]]=0),0,IF(AND(Changes!Change="Yes", Changes!ValidityYear&lt;=Table14[[#This Row],[Year]], Changes!ChangeType="Rider Inclusion/Exclusion", Changes!RiderType="Accident Disability"), T38*Changes!NewChangedValue,IF(db!$D$7="Yes",(db!$B$7)*T38,0)))</f>
        <v>0</v>
      </c>
      <c r="Y38" s="42">
        <f>IF(C38&gt;69,0,IF(C38=0,0,IF(X38&lt;=db!$L$3,X38,db!$L$3)))</f>
        <v>0</v>
      </c>
      <c r="Z38" s="29">
        <f>IF(OR(B38=0,Table14[[#This Row],[Accident Capital (2)]]=0),0,IF(AND(Changes!Change="Yes", Changes!ValidityYear&lt;=Table14[[#This Row],[Year]], Changes!ChangeType="Rider Inclusion/Exclusion", Changes!RiderType="Accident Medical Cost"), T38*Changes!NewChangedValue,IF(db!$D$9="Yes",(db!$B$9)*T38,0)))</f>
        <v>0</v>
      </c>
      <c r="AA38" s="29">
        <f>ROUND(IF(C38&gt;69,0,IF(C38=0,0,IF(Z38&lt;=db!$L$4,Z38,db!$L$4))),0)</f>
        <v>0</v>
      </c>
      <c r="AB38" s="38">
        <f>IF(AND(Changes!Change = "Yes", Changes!ChangeType = "Rider Inclusion/Exclusion", Changes!RiderType = "WOP"), IF( Changes!ValidityYear &lt;= Table14[[#This Row],[Year]], IF(WOP = "Yes", 0, 1),  IF(WOP = "Yes", 1, 0)), IF(AND(db!$D$8="Yes",C38&lt;=69,ROW()-1&lt;=InsurancePeriod), 1, 0))</f>
        <v>0</v>
      </c>
      <c r="AC38" s="17">
        <f>(AC39+K39)*AB38*((1)/(1+db!AA40))*(LOOKUP(C38,'Mortality Table'!$A$2:$A$108,'Mortality Table'!$E$2:$E$108))</f>
        <v>0</v>
      </c>
      <c r="AD38" s="340">
        <f>IF(AND(Changes!ValidityYear&lt;= Table14[[#This Row],[Year]],Changes!ChangeType="Change Value Adjustment",Changes!Change="Yes"), (AD39+L39)*AB38*((1)/(1+db!AA40))*(LOOKUP(C38,'Mortality Table'!$A$2:$A$108,'Mortality Table'!$E$2:$E$108)),Table14[[#This Row],[WOP Before Adj. BT]])</f>
        <v>0</v>
      </c>
      <c r="AE38" s="341">
        <f>IF(AND(Changes!Change="Yes", Changes!ChangeType="Change Value Adjustment"),Table14[[#This Row],[WOP Capital]],(AE39+O39)*AB38*((1)/(1+db!AA40))*(LOOKUP(D38,'Mortality Table'!$A$2:$A$108,'Mortality Table'!$E$2:$E$108)))</f>
        <v>0</v>
      </c>
      <c r="AF38" s="17">
        <f>IF(AND(Changes!Change="Yes", Changes!ValidityYear&lt;=ROW()-1),Table14[[#This Row],[WOP Capital]],Table14[[#This Row],[WOP without change]])</f>
        <v>0</v>
      </c>
      <c r="AG38" s="42">
        <f>IF(AND(Changes!Change="Yes", Changes!ValidityYear&lt;=Table14[[#This Row],[Year]], Changes!ChangeType="Rider Inclusion/Exclusion", Changes!RiderType="Disability Annuity"), L38*Changes!NewChangedValue,L38*db!B$10*IF(db!$D$10="Yes",1,0))</f>
        <v>0</v>
      </c>
      <c r="AH38" s="29">
        <f>Table14[[#This Row],[Code Annuity Capital]]*IF('Annual Calculation'!C38&gt;69,0,(LOOKUP('Annual Calculation'!C38+1,'Mortality Table'!$A$2:$A$108,'Mortality Table'!$O$2:$O$108)-LOOKUP('Annual Calculation'!C38+11,'Mortality Table'!$A$2:$A$108,'Mortality Table'!$O$2:$O$108))/LOOKUP('Annual Calculation'!C38,'Mortality Table'!$A$2:$A$108,'Mortality Table'!$M$2:$M$108))</f>
        <v>0</v>
      </c>
      <c r="AI38" s="17">
        <f>IF(B38=0,0,IF(AND(Changes!Change="Yes", Changes!ValidityYear&lt;=Table14[[#This Row],[Year]], Changes!ChangeType="Rider Inclusion/Exclusion", Changes!RiderType="Dread Disease"), T38*Changes!NewChangedValue,IF(db!$D$11="Yes",(db!$B$11)*T38,0)))</f>
        <v>0</v>
      </c>
      <c r="AJ38" s="42">
        <f>ROUND(IF(C38&gt;59,0,IF(C38=0,0,IF(AI38&lt;=db!$L$5,AI38,db!$L$5))),0)</f>
        <v>0</v>
      </c>
      <c r="AK38" s="29">
        <f>IF(B38=0,0,IF(AND(Changes!Change="Yes", Changes!ValidityYear&lt;=Table14[[#This Row],[Year]], Changes!ChangeType="Rider Inclusion/Exclusion", Changes!RiderType="Cancer"), T38*Changes!NewChangedValue,IF(db!$D$12="Yes",(db!$B$12)*T38,0)))</f>
        <v>0</v>
      </c>
      <c r="AL38" s="29">
        <f>ROUND(IF(C38&gt;59,0,IF(C38=0,0,IF(AK38&lt;=db!$L$6,AK38,db!$L$6))),0)</f>
        <v>0</v>
      </c>
      <c r="AM38" s="32"/>
      <c r="AN38" s="18">
        <f>IF(B38=0,0,IF(C38&lt;(db!$E$2+5),LOOKUP(C38,'Mortality Table'!$A$2:$A$108,'Mortality Table'!$P$2:$P$108),IF((C38&gt;=db!$E$2+10),LOOKUP(C38,'Mortality Table'!$A$2:$A$108,'Mortality Table'!$R$2:$R$108),LOOKUP(C38,'Mortality Table'!$A$2:$A$108,'Mortality Table'!$Q$2:$Q$108))))</f>
        <v>0</v>
      </c>
      <c r="AO38" s="22">
        <f t="shared" si="2"/>
        <v>0</v>
      </c>
      <c r="AP38" s="19">
        <f>IF(B38=0,0, LOOKUP(IF(AND(Changes!Change="Yes", Changes!ValidityYear&lt;=Table14[[#This Row],[Year]], Changes!ChangeType="Change Job Class"),Changes!NewChangedValue, db!$A$8),db!$AX$4:$AX$8,db!$AY$4:$AY$8))</f>
        <v>0</v>
      </c>
      <c r="AQ38" s="20">
        <f>ROUND((AP38/1000)*W38 * (1-db!$AS$9),0)</f>
        <v>0</v>
      </c>
      <c r="AR38" s="20">
        <f>(AP38/1000)*W38 * db!$AS$9</f>
        <v>0</v>
      </c>
      <c r="AS38" s="21">
        <f>IF(B38=0,0, LOOKUP(IF(AND(Changes!Change="Yes", Changes!ValidityYear&lt;=Table14[[#This Row],[Year]], Changes!ChangeType="Change Job Class"),Changes!NewChangedValue, db!$A$8),db!$AX$4:$AX$8,db!$AZ$4:$AZ$8))</f>
        <v>0</v>
      </c>
      <c r="AT38" s="22">
        <f>(AS38/1000)*Y38*(1-db!$AS$9)</f>
        <v>0</v>
      </c>
      <c r="AU38" s="22">
        <f>(AS38/1000)*Y38*(db!$AS$9)</f>
        <v>0</v>
      </c>
      <c r="AV38" s="23">
        <f>IF(B38=0,0, LOOKUP(IF(AND(Changes!Change="Yes", Changes!ValidityYear&lt;=Table14[[#This Row],[Year]], Changes!ChangeType="Change Job Class"),Changes!NewChangedValue, db!$A$8),db!$AX$4:$AX$8,db!$BA$4:$BA$8))</f>
        <v>0</v>
      </c>
      <c r="AW38" s="20">
        <f>ROUND((AV38/(100))*AA38*(1-db!$AS$9),0)</f>
        <v>0</v>
      </c>
      <c r="AX38" s="20">
        <f>ROUND((AV38/(100))*AA38*(db!$AS$9),0)</f>
        <v>0</v>
      </c>
      <c r="AY38" s="21">
        <f>IF(db!$D$8="Yes",AS38,0)</f>
        <v>0</v>
      </c>
      <c r="AZ38" s="22">
        <f>(AY38*AF38)/1000*(1-db!$AS$9)</f>
        <v>0</v>
      </c>
      <c r="BA38" s="22">
        <f>(AY38*AF38)/1000*(db!$AS$9)</f>
        <v>0</v>
      </c>
      <c r="BB38" s="23">
        <f t="shared" si="3"/>
        <v>0</v>
      </c>
      <c r="BC38" s="20">
        <f>(BB38*AH38/1000)*(1-db!$AS$9)</f>
        <v>0</v>
      </c>
      <c r="BD38" s="20">
        <f>(BB38*AH38/1000)*(db!$AS$9)</f>
        <v>0</v>
      </c>
      <c r="BE38" s="22">
        <f>IF(B38=0,0,IF(C38&gt;60,0,LOOKUP(Table14[[#This Row],[Medical
Age]],db!$BC$3:$BC$63,db!$BD$3:$BD$63)))</f>
        <v>0</v>
      </c>
      <c r="BF38" s="22">
        <f>BG38*db!$AS$10</f>
        <v>0</v>
      </c>
      <c r="BG38" s="22">
        <f t="shared" si="4"/>
        <v>0</v>
      </c>
      <c r="BH38" s="22">
        <f>(BE38/1000000)*AJ38*(1-db!$AS$10)</f>
        <v>0</v>
      </c>
      <c r="BI38" s="20">
        <f>IF(B38=0,0,IF(C38&gt;59,0,LOOKUP(Table14[[#This Row],[Medical
Age]],db!$BC$3:$BC$63,db!$BE$3:$BE$63)))</f>
        <v>0</v>
      </c>
      <c r="BJ38" s="20">
        <f>(BI38/1000000)*AL38*(1-db!$AS$11)</f>
        <v>0</v>
      </c>
      <c r="BK38" s="20">
        <f>(BI38/1000000)*AL38*(db!$AS$11)</f>
        <v>0</v>
      </c>
      <c r="BL38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38" s="20">
        <f>Table14[[#This Row],[RiskLoading
Rate]]*Table14[[#This Row],[Death Capital (2)]]</f>
        <v>0</v>
      </c>
      <c r="BN38" s="36"/>
      <c r="BO38" s="37">
        <f t="shared" si="5"/>
        <v>0</v>
      </c>
      <c r="BP38" s="35">
        <f t="shared" si="6"/>
        <v>0</v>
      </c>
      <c r="BQ38" s="35">
        <f t="shared" si="7"/>
        <v>0</v>
      </c>
      <c r="BR38" s="37">
        <f t="shared" si="11"/>
        <v>0</v>
      </c>
      <c r="BS38" s="37">
        <f t="shared" si="12"/>
        <v>0</v>
      </c>
      <c r="BT38" s="35">
        <f t="shared" si="13"/>
        <v>0</v>
      </c>
      <c r="BU38" s="35">
        <f t="shared" si="14"/>
        <v>0</v>
      </c>
      <c r="BV38" s="37">
        <f>(db!$AS$4/100)*(L38-BT38-BU38)</f>
        <v>0</v>
      </c>
      <c r="BW38" s="37">
        <f>(db!$AS$8/100)*(L38-BT38-BU38)</f>
        <v>0</v>
      </c>
      <c r="BX38" s="35"/>
      <c r="BY38" s="37"/>
      <c r="BZ38" s="37"/>
      <c r="CA38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38" s="33"/>
      <c r="CC38" s="39">
        <f>ROUND((Table14[[#This Row],[Premium]]-Table14[[#This Row],[All Deductions]]),0)</f>
        <v>0</v>
      </c>
      <c r="CD38" s="40">
        <f>ROUND(IF(B38=0,0,((CC38)*(1+ IF(AND(Changes!Change="Yes",Changes!ValidityYear&lt;=Table14[[#This Row],[Year]],Annulment&gt;Table14[[#This Row],[Year]],Changes!ChangeType="Paid-Up"),db!Y40+0.02,db!Y40)))+((CD37)*(1+IF(AND(Changes!Change="Yes",Changes!ValidityYear&lt;=Table14[[#This Row],[Year]],Annulment&gt;Table14[[#This Row],[Year]],Changes!ChangeType="Paid-Up"),db!U40+0.02,db!U40)))),0)</f>
        <v>0</v>
      </c>
      <c r="CE38" s="40">
        <f>ROUND(IF(B38=0,0,((CC38)*(1+db!Y40))+((CE37)*(1+db!U40))),0)</f>
        <v>0</v>
      </c>
      <c r="CF38" s="40">
        <f t="shared" si="19"/>
        <v>0</v>
      </c>
      <c r="CG38" s="15">
        <f t="shared" si="15"/>
        <v>37</v>
      </c>
      <c r="CH38" s="39">
        <f>IF(B38=0,0,((CC38)*(1+db!AH40))+((CH37)*(1+db!AD40)))</f>
        <v>0</v>
      </c>
      <c r="CI38" s="39">
        <f>IF(B38=0,0,((CC38)*(1+db!AH40))+((CI37)*(1+db!AD40)))</f>
        <v>0</v>
      </c>
      <c r="CJ38" s="40">
        <f>IF(B38=0,0,((CC38)*(1+db!AO40))+((CJ37)*(1+db!AK40)))</f>
        <v>0</v>
      </c>
      <c r="CK38" s="40">
        <f>CJ38-(SUM(BX$7:$BX39))</f>
        <v>0</v>
      </c>
      <c r="CL38" s="46"/>
    </row>
    <row r="39" spans="1:90">
      <c r="A39" s="347">
        <f t="shared" si="16"/>
        <v>38</v>
      </c>
      <c r="B39" s="345">
        <f>IF(AND(Changes!Change="Yes", Changes!ChangeType="Change Contract Duration"),IF(B38=0,0,IF(Changes!NewChangedValue&lt;B38+1,0,B38+1)),IF(B38=0,0,IF('Application Annually'!$C$5&lt;B38+1,0,B38+1)))</f>
        <v>0</v>
      </c>
      <c r="C39" s="15">
        <f t="shared" si="17"/>
        <v>0</v>
      </c>
      <c r="D39" s="312">
        <f t="shared" si="18"/>
        <v>65</v>
      </c>
      <c r="E39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39" s="29">
        <f t="shared" si="8"/>
        <v>0</v>
      </c>
      <c r="G39" s="29">
        <f t="shared" si="9"/>
        <v>0</v>
      </c>
      <c r="H39" s="29">
        <f t="shared" si="0"/>
        <v>0</v>
      </c>
      <c r="I39" s="29">
        <f>IF(B39&gt;0,IF(AND(Table14[[#This Row],[Year]]&gt;Changes!ValidityYear,Changes!Change="Yes",Changes!ChangeType="Change Value Adjustment"),Changes!$G$22,'Application Annually'!$C$11),0)</f>
        <v>0</v>
      </c>
      <c r="J39" s="29">
        <f>IF(B39&gt;0,IF(AND(Table14[[#This Row],[Year]]&gt;Changes!ValidityYear,Changes!Change="Yes",Changes!ChangeType="Change Value Adjustment"),Changes!$G$24,'Application Annually'!$C$7),0)</f>
        <v>0</v>
      </c>
      <c r="K39" s="29">
        <f>ROUND(IF(B39=0,0,IF(AND(Changes!Change="Yes", Changes!ValidityYear=Table14[[#This Row],[Year]], Changes!ChangeType="Change Premium"), Changes!NewChangedValue, (K38*(1+db!$B$3)))),0)</f>
        <v>0</v>
      </c>
      <c r="L39" s="29">
        <f>ROUND(IF(B39=0,0,IF(AND(Changes!Change="Yes", Changes!ValidityYear=Table14[[#This Row],[Year]], Changes!ChangeType="Change Premium"), Changes!NewChangedValue, (L38*(1+Table14[[#This Row],[Adjustment Factor of Premium]]/100)))),0)</f>
        <v>0</v>
      </c>
      <c r="M39" s="29">
        <f>IF(Table14[[#This Row],[Year]]=1,ROUND(MIN($L$2 -( Table14[[#This Row],[Riders Risk Premiums]] + Table14[[#This Row],[Acquisition Cost]]) *0.75,Table14[[#This Row],[Death Capital (1)]]* 0.03),0),0)</f>
        <v>0</v>
      </c>
      <c r="N39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39" s="29">
        <f>ROUND(IF(ROW()-1&gt;InsurancePeriod,0,(O38*(1+(Table14[[#This Row],[Adjustment Factor of Premium]]/100)))),0)</f>
        <v>0</v>
      </c>
      <c r="P39" s="29">
        <f>IF(Table14[Year] = 0, 0, SUM(L$2:L39))</f>
        <v>0</v>
      </c>
      <c r="Q39" s="17">
        <f t="shared" si="1"/>
        <v>0</v>
      </c>
      <c r="R39" s="17">
        <f>IF(Table14[[#This Row],[Year]]=0,0,IF($C$2&lt;=50,LOOKUP(Table14[[#This Row],[Age]],db!BG40:BG146,db!BH40:BH146),LOOKUP(Table14[[#This Row],[Age]],db!BJ40:BJ146,db!BK40:BK146)))</f>
        <v>0</v>
      </c>
      <c r="S39" s="17">
        <f>IF(B39=0,0, IF(AND(Changes!Change="Yes", Changes!ValidityYear=Table14[[#This Row],[Year]], Changes!ChangeType="Change Death Capital"), Changes!NewChangedValue, S38*(1+(Table14[[#This Row],[Adjustment Factor of Death Capital]]/100))))</f>
        <v>0</v>
      </c>
      <c r="T39" s="17">
        <f>MIN(IF(B39=0,0,Table14[[#This Row],[Death Capital (1)]]),Table14[[#This Row],[Max Sum Insured For Death]])</f>
        <v>0</v>
      </c>
      <c r="U39" s="29">
        <f t="shared" si="10"/>
        <v>0</v>
      </c>
      <c r="V39" s="29">
        <f>IF(B39=0,0,IF(AND(Changes!Change="Yes", Changes!ValidityYear&lt;=Table14[[#This Row],[Year]], Changes!ChangeType="Rider Inclusion/Exclusion", Changes!RiderType="Accident Death"), T39*Changes!NewChangedValue,IF(db!$D$6="Yes",(db!$B$6)*T39,0)))</f>
        <v>0</v>
      </c>
      <c r="W39" s="29">
        <f>MIN(IF(V39&lt;=db!$L$2,V39,db!$L$2),MAX_ACC_CAPITAL)</f>
        <v>0</v>
      </c>
      <c r="X39" s="17">
        <f>IF(OR(B39=0,Table14[[#This Row],[Accident Capital (2)]]=0),0,IF(AND(Changes!Change="Yes", Changes!ValidityYear&lt;=Table14[[#This Row],[Year]], Changes!ChangeType="Rider Inclusion/Exclusion", Changes!RiderType="Accident Disability"), T39*Changes!NewChangedValue,IF(db!$D$7="Yes",(db!$B$7)*T39,0)))</f>
        <v>0</v>
      </c>
      <c r="Y39" s="42">
        <f>IF(C39&gt;69,0,IF(C39=0,0,IF(X39&lt;=db!$L$3,X39,db!$L$3)))</f>
        <v>0</v>
      </c>
      <c r="Z39" s="29">
        <f>IF(OR(B39=0,Table14[[#This Row],[Accident Capital (2)]]=0),0,IF(AND(Changes!Change="Yes", Changes!ValidityYear&lt;=Table14[[#This Row],[Year]], Changes!ChangeType="Rider Inclusion/Exclusion", Changes!RiderType="Accident Medical Cost"), T39*Changes!NewChangedValue,IF(db!$D$9="Yes",(db!$B$9)*T39,0)))</f>
        <v>0</v>
      </c>
      <c r="AA39" s="29">
        <f>ROUND(IF(C39&gt;69,0,IF(C39=0,0,IF(Z39&lt;=db!$L$4,Z39,db!$L$4))),0)</f>
        <v>0</v>
      </c>
      <c r="AB39" s="38">
        <f>IF(AND(Changes!Change = "Yes", Changes!ChangeType = "Rider Inclusion/Exclusion", Changes!RiderType = "WOP"), IF( Changes!ValidityYear &lt;= Table14[[#This Row],[Year]], IF(WOP = "Yes", 0, 1),  IF(WOP = "Yes", 1, 0)), IF(AND(db!$D$8="Yes",C39&lt;=69,ROW()-1&lt;=InsurancePeriod), 1, 0))</f>
        <v>0</v>
      </c>
      <c r="AC39" s="17">
        <f>(AC40+K40)*AB39*((1)/(1+db!AA41))*(LOOKUP(C39,'Mortality Table'!$A$2:$A$108,'Mortality Table'!$E$2:$E$108))</f>
        <v>0</v>
      </c>
      <c r="AD39" s="340">
        <f>IF(AND(Changes!ValidityYear&lt;= Table14[[#This Row],[Year]],Changes!ChangeType="Change Value Adjustment",Changes!Change="Yes"), (AD40+L40)*AB39*((1)/(1+db!AA41))*(LOOKUP(C39,'Mortality Table'!$A$2:$A$108,'Mortality Table'!$E$2:$E$108)),Table14[[#This Row],[WOP Before Adj. BT]])</f>
        <v>0</v>
      </c>
      <c r="AE39" s="341">
        <f>IF(AND(Changes!Change="Yes", Changes!ChangeType="Change Value Adjustment"),Table14[[#This Row],[WOP Capital]],(AE40+O40)*AB39*((1)/(1+db!AA41))*(LOOKUP(D39,'Mortality Table'!$A$2:$A$108,'Mortality Table'!$E$2:$E$108)))</f>
        <v>0</v>
      </c>
      <c r="AF39" s="17">
        <f>IF(AND(Changes!Change="Yes", Changes!ValidityYear&lt;=ROW()-1),Table14[[#This Row],[WOP Capital]],Table14[[#This Row],[WOP without change]])</f>
        <v>0</v>
      </c>
      <c r="AG39" s="42">
        <f>IF(AND(Changes!Change="Yes", Changes!ValidityYear&lt;=Table14[[#This Row],[Year]], Changes!ChangeType="Rider Inclusion/Exclusion", Changes!RiderType="Disability Annuity"), L39*Changes!NewChangedValue,L39*db!B$10*IF(db!$D$10="Yes",1,0))</f>
        <v>0</v>
      </c>
      <c r="AH39" s="29">
        <f>Table14[[#This Row],[Code Annuity Capital]]*IF('Annual Calculation'!C39&gt;69,0,(LOOKUP('Annual Calculation'!C39+1,'Mortality Table'!$A$2:$A$108,'Mortality Table'!$O$2:$O$108)-LOOKUP('Annual Calculation'!C39+11,'Mortality Table'!$A$2:$A$108,'Mortality Table'!$O$2:$O$108))/LOOKUP('Annual Calculation'!C39,'Mortality Table'!$A$2:$A$108,'Mortality Table'!$M$2:$M$108))</f>
        <v>0</v>
      </c>
      <c r="AI39" s="17">
        <f>IF(B39=0,0,IF(AND(Changes!Change="Yes", Changes!ValidityYear&lt;=Table14[[#This Row],[Year]], Changes!ChangeType="Rider Inclusion/Exclusion", Changes!RiderType="Dread Disease"), T39*Changes!NewChangedValue,IF(db!$D$11="Yes",(db!$B$11)*T39,0)))</f>
        <v>0</v>
      </c>
      <c r="AJ39" s="42">
        <f>ROUND(IF(C39&gt;59,0,IF(C39=0,0,IF(AI39&lt;=db!$L$5,AI39,db!$L$5))),0)</f>
        <v>0</v>
      </c>
      <c r="AK39" s="29">
        <f>IF(B39=0,0,IF(AND(Changes!Change="Yes", Changes!ValidityYear&lt;=Table14[[#This Row],[Year]], Changes!ChangeType="Rider Inclusion/Exclusion", Changes!RiderType="Cancer"), T39*Changes!NewChangedValue,IF(db!$D$12="Yes",(db!$B$12)*T39,0)))</f>
        <v>0</v>
      </c>
      <c r="AL39" s="29">
        <f>ROUND(IF(C39&gt;59,0,IF(C39=0,0,IF(AK39&lt;=db!$L$6,AK39,db!$L$6))),0)</f>
        <v>0</v>
      </c>
      <c r="AM39" s="32"/>
      <c r="AN39" s="18">
        <f>IF(B39=0,0,IF(C39&lt;(db!$E$2+5),LOOKUP(C39,'Mortality Table'!$A$2:$A$108,'Mortality Table'!$P$2:$P$108),IF((C39&gt;=db!$E$2+10),LOOKUP(C39,'Mortality Table'!$A$2:$A$108,'Mortality Table'!$R$2:$R$108),LOOKUP(C39,'Mortality Table'!$A$2:$A$108,'Mortality Table'!$Q$2:$Q$108))))</f>
        <v>0</v>
      </c>
      <c r="AO39" s="22">
        <f t="shared" si="2"/>
        <v>0</v>
      </c>
      <c r="AP39" s="19">
        <f>IF(B39=0,0, LOOKUP(IF(AND(Changes!Change="Yes", Changes!ValidityYear&lt;=Table14[[#This Row],[Year]], Changes!ChangeType="Change Job Class"),Changes!NewChangedValue, db!$A$8),db!$AX$4:$AX$8,db!$AY$4:$AY$8))</f>
        <v>0</v>
      </c>
      <c r="AQ39" s="20">
        <f>ROUND((AP39/1000)*W39 * (1-db!$AS$9),0)</f>
        <v>0</v>
      </c>
      <c r="AR39" s="20">
        <f>(AP39/1000)*W39 * db!$AS$9</f>
        <v>0</v>
      </c>
      <c r="AS39" s="21">
        <f>IF(B39=0,0, LOOKUP(IF(AND(Changes!Change="Yes", Changes!ValidityYear&lt;=Table14[[#This Row],[Year]], Changes!ChangeType="Change Job Class"),Changes!NewChangedValue, db!$A$8),db!$AX$4:$AX$8,db!$AZ$4:$AZ$8))</f>
        <v>0</v>
      </c>
      <c r="AT39" s="22">
        <f>(AS39/1000)*Y39*(1-db!$AS$9)</f>
        <v>0</v>
      </c>
      <c r="AU39" s="22">
        <f>(AS39/1000)*Y39*(db!$AS$9)</f>
        <v>0</v>
      </c>
      <c r="AV39" s="23">
        <f>IF(B39=0,0, LOOKUP(IF(AND(Changes!Change="Yes", Changes!ValidityYear&lt;=Table14[[#This Row],[Year]], Changes!ChangeType="Change Job Class"),Changes!NewChangedValue, db!$A$8),db!$AX$4:$AX$8,db!$BA$4:$BA$8))</f>
        <v>0</v>
      </c>
      <c r="AW39" s="20">
        <f>ROUND((AV39/(100))*AA39*(1-db!$AS$9),0)</f>
        <v>0</v>
      </c>
      <c r="AX39" s="20">
        <f>ROUND((AV39/(100))*AA39*(db!$AS$9),0)</f>
        <v>0</v>
      </c>
      <c r="AY39" s="21">
        <f>IF(db!$D$8="Yes",AS39,0)</f>
        <v>0</v>
      </c>
      <c r="AZ39" s="22">
        <f>(AY39*AF39)/1000*(1-db!$AS$9)</f>
        <v>0</v>
      </c>
      <c r="BA39" s="22">
        <f>(AY39*AF39)/1000*(db!$AS$9)</f>
        <v>0</v>
      </c>
      <c r="BB39" s="23">
        <f t="shared" si="3"/>
        <v>0</v>
      </c>
      <c r="BC39" s="20">
        <f>(BB39*AH39/1000)*(1-db!$AS$9)</f>
        <v>0</v>
      </c>
      <c r="BD39" s="20">
        <f>(BB39*AH39/1000)*(db!$AS$9)</f>
        <v>0</v>
      </c>
      <c r="BE39" s="22">
        <f>IF(B39=0,0,IF(C39&gt;60,0,LOOKUP(Table14[[#This Row],[Medical
Age]],db!$BC$3:$BC$63,db!$BD$3:$BD$63)))</f>
        <v>0</v>
      </c>
      <c r="BF39" s="22">
        <f>BG39*db!$AS$10</f>
        <v>0</v>
      </c>
      <c r="BG39" s="22">
        <f t="shared" si="4"/>
        <v>0</v>
      </c>
      <c r="BH39" s="22">
        <f>(BE39/1000000)*AJ39*(1-db!$AS$10)</f>
        <v>0</v>
      </c>
      <c r="BI39" s="20">
        <f>IF(B39=0,0,IF(C39&gt;59,0,LOOKUP(Table14[[#This Row],[Medical
Age]],db!$BC$3:$BC$63,db!$BE$3:$BE$63)))</f>
        <v>0</v>
      </c>
      <c r="BJ39" s="20">
        <f>(BI39/1000000)*AL39*(1-db!$AS$11)</f>
        <v>0</v>
      </c>
      <c r="BK39" s="20">
        <f>(BI39/1000000)*AL39*(db!$AS$11)</f>
        <v>0</v>
      </c>
      <c r="BL39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39" s="20">
        <f>Table14[[#This Row],[RiskLoading
Rate]]*Table14[[#This Row],[Death Capital (2)]]</f>
        <v>0</v>
      </c>
      <c r="BN39" s="36"/>
      <c r="BO39" s="37">
        <f t="shared" si="5"/>
        <v>0</v>
      </c>
      <c r="BP39" s="35">
        <f t="shared" si="6"/>
        <v>0</v>
      </c>
      <c r="BQ39" s="35">
        <f t="shared" si="7"/>
        <v>0</v>
      </c>
      <c r="BR39" s="37">
        <f t="shared" si="11"/>
        <v>0</v>
      </c>
      <c r="BS39" s="37">
        <f t="shared" si="12"/>
        <v>0</v>
      </c>
      <c r="BT39" s="35">
        <f t="shared" si="13"/>
        <v>0</v>
      </c>
      <c r="BU39" s="35">
        <f t="shared" si="14"/>
        <v>0</v>
      </c>
      <c r="BV39" s="37">
        <f>(db!$AS$4/100)*(L39-BT39-BU39)</f>
        <v>0</v>
      </c>
      <c r="BW39" s="37">
        <f>(db!$AS$8/100)*(L39-BT39-BU39)</f>
        <v>0</v>
      </c>
      <c r="BX39" s="35"/>
      <c r="BY39" s="37"/>
      <c r="BZ39" s="37"/>
      <c r="CA39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39" s="33"/>
      <c r="CC39" s="39">
        <f>ROUND((Table14[[#This Row],[Premium]]-Table14[[#This Row],[All Deductions]]),0)</f>
        <v>0</v>
      </c>
      <c r="CD39" s="40">
        <f>ROUND(IF(B39=0,0,((CC39)*(1+ IF(AND(Changes!Change="Yes",Changes!ValidityYear&lt;=Table14[[#This Row],[Year]],Annulment&gt;Table14[[#This Row],[Year]],Changes!ChangeType="Paid-Up"),db!Y41+0.02,db!Y41)))+((CD38)*(1+IF(AND(Changes!Change="Yes",Changes!ValidityYear&lt;=Table14[[#This Row],[Year]],Annulment&gt;Table14[[#This Row],[Year]],Changes!ChangeType="Paid-Up"),db!U41+0.02,db!U41)))),0)</f>
        <v>0</v>
      </c>
      <c r="CE39" s="40">
        <f>ROUND(IF(B39=0,0,((CC39)*(1+db!Y41))+((CE38)*(1+db!U41))),0)</f>
        <v>0</v>
      </c>
      <c r="CF39" s="40">
        <f t="shared" si="19"/>
        <v>0</v>
      </c>
      <c r="CG39" s="15">
        <f t="shared" si="15"/>
        <v>38</v>
      </c>
      <c r="CH39" s="39">
        <f>IF(B39=0,0,((CC39)*(1+db!AH41))+((CH38)*(1+db!AD41)))</f>
        <v>0</v>
      </c>
      <c r="CI39" s="39">
        <f>IF(B39=0,0,((CC39)*(1+db!AH41))+((CI38)*(1+db!AD41)))</f>
        <v>0</v>
      </c>
      <c r="CJ39" s="40">
        <f>IF(B39=0,0,((CC39)*(1+db!AO41))+((CJ38)*(1+db!AK41)))</f>
        <v>0</v>
      </c>
      <c r="CK39" s="40">
        <f>CJ39-(SUM(BX$7:$BX40))</f>
        <v>0</v>
      </c>
      <c r="CL39" s="46"/>
    </row>
    <row r="40" spans="1:90">
      <c r="A40" s="347">
        <f t="shared" si="16"/>
        <v>39</v>
      </c>
      <c r="B40" s="345">
        <f>IF(AND(Changes!Change="Yes", Changes!ChangeType="Change Contract Duration"),IF(B39=0,0,IF(Changes!NewChangedValue&lt;B39+1,0,B39+1)),IF(B39=0,0,IF('Application Annually'!$C$5&lt;B39+1,0,B39+1)))</f>
        <v>0</v>
      </c>
      <c r="C40" s="15">
        <f t="shared" si="17"/>
        <v>0</v>
      </c>
      <c r="D40" s="312">
        <f t="shared" si="18"/>
        <v>66</v>
      </c>
      <c r="E40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40" s="29">
        <f t="shared" si="8"/>
        <v>0</v>
      </c>
      <c r="G40" s="29">
        <f t="shared" si="9"/>
        <v>0</v>
      </c>
      <c r="H40" s="29">
        <f t="shared" si="0"/>
        <v>0</v>
      </c>
      <c r="I40" s="29">
        <f>IF(B40&gt;0,IF(AND(Table14[[#This Row],[Year]]&gt;Changes!ValidityYear,Changes!Change="Yes",Changes!ChangeType="Change Value Adjustment"),Changes!$G$22,'Application Annually'!$C$11),0)</f>
        <v>0</v>
      </c>
      <c r="J40" s="29">
        <f>IF(B40&gt;0,IF(AND(Table14[[#This Row],[Year]]&gt;Changes!ValidityYear,Changes!Change="Yes",Changes!ChangeType="Change Value Adjustment"),Changes!$G$24,'Application Annually'!$C$7),0)</f>
        <v>0</v>
      </c>
      <c r="K40" s="29">
        <f>ROUND(IF(B40=0,0,IF(AND(Changes!Change="Yes", Changes!ValidityYear=Table14[[#This Row],[Year]], Changes!ChangeType="Change Premium"), Changes!NewChangedValue, (K39*(1+db!$B$3)))),0)</f>
        <v>0</v>
      </c>
      <c r="L40" s="29">
        <f>ROUND(IF(B40=0,0,IF(AND(Changes!Change="Yes", Changes!ValidityYear=Table14[[#This Row],[Year]], Changes!ChangeType="Change Premium"), Changes!NewChangedValue, (L39*(1+Table14[[#This Row],[Adjustment Factor of Premium]]/100)))),0)</f>
        <v>0</v>
      </c>
      <c r="M40" s="29">
        <f>IF(Table14[[#This Row],[Year]]=1,ROUND(MIN($L$2 -( Table14[[#This Row],[Riders Risk Premiums]] + Table14[[#This Row],[Acquisition Cost]]) *0.75,Table14[[#This Row],[Death Capital (1)]]* 0.03),0),0)</f>
        <v>0</v>
      </c>
      <c r="N40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40" s="29">
        <f>ROUND(IF(ROW()-1&gt;InsurancePeriod,0,(O39*(1+(Table14[[#This Row],[Adjustment Factor of Premium]]/100)))),0)</f>
        <v>0</v>
      </c>
      <c r="P40" s="29">
        <f>IF(Table14[Year] = 0, 0, SUM(L$2:L40))</f>
        <v>0</v>
      </c>
      <c r="Q40" s="17">
        <f t="shared" si="1"/>
        <v>0</v>
      </c>
      <c r="R40" s="17">
        <f>IF(Table14[[#This Row],[Year]]=0,0,IF($C$2&lt;=50,LOOKUP(Table14[[#This Row],[Age]],db!BG41:BG147,db!BH41:BH147),LOOKUP(Table14[[#This Row],[Age]],db!BJ41:BJ147,db!BK41:BK147)))</f>
        <v>0</v>
      </c>
      <c r="S40" s="17">
        <f>IF(B40=0,0, IF(AND(Changes!Change="Yes", Changes!ValidityYear=Table14[[#This Row],[Year]], Changes!ChangeType="Change Death Capital"), Changes!NewChangedValue, S39*(1+(Table14[[#This Row],[Adjustment Factor of Death Capital]]/100))))</f>
        <v>0</v>
      </c>
      <c r="T40" s="17">
        <f>MIN(IF(B40=0,0,Table14[[#This Row],[Death Capital (1)]]),Table14[[#This Row],[Max Sum Insured For Death]])</f>
        <v>0</v>
      </c>
      <c r="U40" s="29">
        <f t="shared" si="10"/>
        <v>0</v>
      </c>
      <c r="V40" s="29">
        <f>IF(B40=0,0,IF(AND(Changes!Change="Yes", Changes!ValidityYear&lt;=Table14[[#This Row],[Year]], Changes!ChangeType="Rider Inclusion/Exclusion", Changes!RiderType="Accident Death"), T40*Changes!NewChangedValue,IF(db!$D$6="Yes",(db!$B$6)*T40,0)))</f>
        <v>0</v>
      </c>
      <c r="W40" s="29">
        <f>MIN(IF(V40&lt;=db!$L$2,V40,db!$L$2),MAX_ACC_CAPITAL)</f>
        <v>0</v>
      </c>
      <c r="X40" s="17">
        <f>IF(OR(B40=0,Table14[[#This Row],[Accident Capital (2)]]=0),0,IF(AND(Changes!Change="Yes", Changes!ValidityYear&lt;=Table14[[#This Row],[Year]], Changes!ChangeType="Rider Inclusion/Exclusion", Changes!RiderType="Accident Disability"), T40*Changes!NewChangedValue,IF(db!$D$7="Yes",(db!$B$7)*T40,0)))</f>
        <v>0</v>
      </c>
      <c r="Y40" s="42">
        <f>IF(C40&gt;69,0,IF(C40=0,0,IF(X40&lt;=db!$L$3,X40,db!$L$3)))</f>
        <v>0</v>
      </c>
      <c r="Z40" s="29">
        <f>IF(OR(B40=0,Table14[[#This Row],[Accident Capital (2)]]=0),0,IF(AND(Changes!Change="Yes", Changes!ValidityYear&lt;=Table14[[#This Row],[Year]], Changes!ChangeType="Rider Inclusion/Exclusion", Changes!RiderType="Accident Medical Cost"), T40*Changes!NewChangedValue,IF(db!$D$9="Yes",(db!$B$9)*T40,0)))</f>
        <v>0</v>
      </c>
      <c r="AA40" s="29">
        <f>ROUND(IF(C40&gt;69,0,IF(C40=0,0,IF(Z40&lt;=db!$L$4,Z40,db!$L$4))),0)</f>
        <v>0</v>
      </c>
      <c r="AB40" s="38">
        <f>IF(AND(Changes!Change = "Yes", Changes!ChangeType = "Rider Inclusion/Exclusion", Changes!RiderType = "WOP"), IF( Changes!ValidityYear &lt;= Table14[[#This Row],[Year]], IF(WOP = "Yes", 0, 1),  IF(WOP = "Yes", 1, 0)), IF(AND(db!$D$8="Yes",C40&lt;=69,ROW()-1&lt;=InsurancePeriod), 1, 0))</f>
        <v>0</v>
      </c>
      <c r="AC40" s="17">
        <f>(AC41+K41)*AB40*((1)/(1+db!AA42))*(LOOKUP(C40,'Mortality Table'!$A$2:$A$108,'Mortality Table'!$E$2:$E$108))</f>
        <v>0</v>
      </c>
      <c r="AD40" s="340">
        <f>IF(AND(Changes!ValidityYear&lt;= Table14[[#This Row],[Year]],Changes!ChangeType="Change Value Adjustment",Changes!Change="Yes"), (AD41+L41)*AB40*((1)/(1+db!AA42))*(LOOKUP(C40,'Mortality Table'!$A$2:$A$108,'Mortality Table'!$E$2:$E$108)),Table14[[#This Row],[WOP Before Adj. BT]])</f>
        <v>0</v>
      </c>
      <c r="AE40" s="341">
        <f>IF(AND(Changes!Change="Yes", Changes!ChangeType="Change Value Adjustment"),Table14[[#This Row],[WOP Capital]],(AE41+O41)*AB40*((1)/(1+db!AA42))*(LOOKUP(D40,'Mortality Table'!$A$2:$A$108,'Mortality Table'!$E$2:$E$108)))</f>
        <v>0</v>
      </c>
      <c r="AF40" s="17">
        <f>IF(AND(Changes!Change="Yes", Changes!ValidityYear&lt;=ROW()-1),Table14[[#This Row],[WOP Capital]],Table14[[#This Row],[WOP without change]])</f>
        <v>0</v>
      </c>
      <c r="AG40" s="42">
        <f>IF(AND(Changes!Change="Yes", Changes!ValidityYear&lt;=Table14[[#This Row],[Year]], Changes!ChangeType="Rider Inclusion/Exclusion", Changes!RiderType="Disability Annuity"), L40*Changes!NewChangedValue,L40*db!B$10*IF(db!$D$10="Yes",1,0))</f>
        <v>0</v>
      </c>
      <c r="AH40" s="29">
        <f>Table14[[#This Row],[Code Annuity Capital]]*IF('Annual Calculation'!C40&gt;69,0,(LOOKUP('Annual Calculation'!C40+1,'Mortality Table'!$A$2:$A$108,'Mortality Table'!$O$2:$O$108)-LOOKUP('Annual Calculation'!C40+11,'Mortality Table'!$A$2:$A$108,'Mortality Table'!$O$2:$O$108))/LOOKUP('Annual Calculation'!C40,'Mortality Table'!$A$2:$A$108,'Mortality Table'!$M$2:$M$108))</f>
        <v>0</v>
      </c>
      <c r="AI40" s="17">
        <f>IF(B40=0,0,IF(AND(Changes!Change="Yes", Changes!ValidityYear&lt;=Table14[[#This Row],[Year]], Changes!ChangeType="Rider Inclusion/Exclusion", Changes!RiderType="Dread Disease"), T40*Changes!NewChangedValue,IF(db!$D$11="Yes",(db!$B$11)*T40,0)))</f>
        <v>0</v>
      </c>
      <c r="AJ40" s="42">
        <f>ROUND(IF(C40&gt;59,0,IF(C40=0,0,IF(AI40&lt;=db!$L$5,AI40,db!$L$5))),0)</f>
        <v>0</v>
      </c>
      <c r="AK40" s="29">
        <f>IF(B40=0,0,IF(AND(Changes!Change="Yes", Changes!ValidityYear&lt;=Table14[[#This Row],[Year]], Changes!ChangeType="Rider Inclusion/Exclusion", Changes!RiderType="Cancer"), T40*Changes!NewChangedValue,IF(db!$D$12="Yes",(db!$B$12)*T40,0)))</f>
        <v>0</v>
      </c>
      <c r="AL40" s="29">
        <f>ROUND(IF(C40&gt;59,0,IF(C40=0,0,IF(AK40&lt;=db!$L$6,AK40,db!$L$6))),0)</f>
        <v>0</v>
      </c>
      <c r="AM40" s="32"/>
      <c r="AN40" s="18">
        <f>IF(B40=0,0,IF(C40&lt;(db!$E$2+5),LOOKUP(C40,'Mortality Table'!$A$2:$A$108,'Mortality Table'!$P$2:$P$108),IF((C40&gt;=db!$E$2+10),LOOKUP(C40,'Mortality Table'!$A$2:$A$108,'Mortality Table'!$R$2:$R$108),LOOKUP(C40,'Mortality Table'!$A$2:$A$108,'Mortality Table'!$Q$2:$Q$108))))</f>
        <v>0</v>
      </c>
      <c r="AO40" s="22">
        <f t="shared" si="2"/>
        <v>0</v>
      </c>
      <c r="AP40" s="19">
        <f>IF(B40=0,0, LOOKUP(IF(AND(Changes!Change="Yes", Changes!ValidityYear&lt;=Table14[[#This Row],[Year]], Changes!ChangeType="Change Job Class"),Changes!NewChangedValue, db!$A$8),db!$AX$4:$AX$8,db!$AY$4:$AY$8))</f>
        <v>0</v>
      </c>
      <c r="AQ40" s="20">
        <f>ROUND((AP40/1000)*W40 * (1-db!$AS$9),0)</f>
        <v>0</v>
      </c>
      <c r="AR40" s="20">
        <f>(AP40/1000)*W40 * db!$AS$9</f>
        <v>0</v>
      </c>
      <c r="AS40" s="21">
        <f>IF(B40=0,0, LOOKUP(IF(AND(Changes!Change="Yes", Changes!ValidityYear&lt;=Table14[[#This Row],[Year]], Changes!ChangeType="Change Job Class"),Changes!NewChangedValue, db!$A$8),db!$AX$4:$AX$8,db!$AZ$4:$AZ$8))</f>
        <v>0</v>
      </c>
      <c r="AT40" s="22">
        <f>(AS40/1000)*Y40*(1-db!$AS$9)</f>
        <v>0</v>
      </c>
      <c r="AU40" s="22">
        <f>(AS40/1000)*Y40*(db!$AS$9)</f>
        <v>0</v>
      </c>
      <c r="AV40" s="23">
        <f>IF(B40=0,0, LOOKUP(IF(AND(Changes!Change="Yes", Changes!ValidityYear&lt;=Table14[[#This Row],[Year]], Changes!ChangeType="Change Job Class"),Changes!NewChangedValue, db!$A$8),db!$AX$4:$AX$8,db!$BA$4:$BA$8))</f>
        <v>0</v>
      </c>
      <c r="AW40" s="20">
        <f>ROUND((AV40/(100))*AA40*(1-db!$AS$9),0)</f>
        <v>0</v>
      </c>
      <c r="AX40" s="20">
        <f>ROUND((AV40/(100))*AA40*(db!$AS$9),0)</f>
        <v>0</v>
      </c>
      <c r="AY40" s="21">
        <f>IF(db!$D$8="Yes",AS40,0)</f>
        <v>0</v>
      </c>
      <c r="AZ40" s="22">
        <f>(AY40*AF40)/1000*(1-db!$AS$9)</f>
        <v>0</v>
      </c>
      <c r="BA40" s="22">
        <f>(AY40*AF40)/1000*(db!$AS$9)</f>
        <v>0</v>
      </c>
      <c r="BB40" s="23">
        <f t="shared" si="3"/>
        <v>0</v>
      </c>
      <c r="BC40" s="20">
        <f>(BB40*AH40/1000)*(1-db!$AS$9)</f>
        <v>0</v>
      </c>
      <c r="BD40" s="20">
        <f>(BB40*AH40/1000)*(db!$AS$9)</f>
        <v>0</v>
      </c>
      <c r="BE40" s="22">
        <f>IF(B40=0,0,IF(C40&gt;60,0,LOOKUP(Table14[[#This Row],[Medical
Age]],db!$BC$3:$BC$63,db!$BD$3:$BD$63)))</f>
        <v>0</v>
      </c>
      <c r="BF40" s="22">
        <f>BG40*db!$AS$10</f>
        <v>0</v>
      </c>
      <c r="BG40" s="22">
        <f t="shared" si="4"/>
        <v>0</v>
      </c>
      <c r="BH40" s="22">
        <f>(BE40/1000000)*AJ40*(1-db!$AS$10)</f>
        <v>0</v>
      </c>
      <c r="BI40" s="20">
        <f>IF(B40=0,0,IF(C40&gt;59,0,LOOKUP(Table14[[#This Row],[Medical
Age]],db!$BC$3:$BC$63,db!$BE$3:$BE$63)))</f>
        <v>0</v>
      </c>
      <c r="BJ40" s="20">
        <f>(BI40/1000000)*AL40*(1-db!$AS$11)</f>
        <v>0</v>
      </c>
      <c r="BK40" s="20">
        <f>(BI40/1000000)*AL40*(db!$AS$11)</f>
        <v>0</v>
      </c>
      <c r="BL40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40" s="20">
        <f>Table14[[#This Row],[RiskLoading
Rate]]*Table14[[#This Row],[Death Capital (2)]]</f>
        <v>0</v>
      </c>
      <c r="BN40" s="36"/>
      <c r="BO40" s="37">
        <f t="shared" si="5"/>
        <v>0</v>
      </c>
      <c r="BP40" s="35">
        <f t="shared" si="6"/>
        <v>0</v>
      </c>
      <c r="BQ40" s="35">
        <f t="shared" si="7"/>
        <v>0</v>
      </c>
      <c r="BR40" s="37">
        <f t="shared" si="11"/>
        <v>0</v>
      </c>
      <c r="BS40" s="37">
        <f t="shared" si="12"/>
        <v>0</v>
      </c>
      <c r="BT40" s="35">
        <f t="shared" si="13"/>
        <v>0</v>
      </c>
      <c r="BU40" s="35">
        <f t="shared" si="14"/>
        <v>0</v>
      </c>
      <c r="BV40" s="37">
        <f>(db!$AS$4/100)*(L40-BT40-BU40)</f>
        <v>0</v>
      </c>
      <c r="BW40" s="37">
        <f>(db!$AS$8/100)*(L40-BT40-BU40)</f>
        <v>0</v>
      </c>
      <c r="BX40" s="35"/>
      <c r="BY40" s="37"/>
      <c r="BZ40" s="37"/>
      <c r="CA40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40" s="33"/>
      <c r="CC40" s="39">
        <f>ROUND((Table14[[#This Row],[Premium]]-Table14[[#This Row],[All Deductions]]),0)</f>
        <v>0</v>
      </c>
      <c r="CD40" s="40">
        <f>ROUND(IF(B40=0,0,((CC40)*(1+ IF(AND(Changes!Change="Yes",Changes!ValidityYear&lt;=Table14[[#This Row],[Year]],Annulment&gt;Table14[[#This Row],[Year]],Changes!ChangeType="Paid-Up"),db!Y42+0.02,db!Y42)))+((CD39)*(1+IF(AND(Changes!Change="Yes",Changes!ValidityYear&lt;=Table14[[#This Row],[Year]],Annulment&gt;Table14[[#This Row],[Year]],Changes!ChangeType="Paid-Up"),db!U42+0.02,db!U42)))),0)</f>
        <v>0</v>
      </c>
      <c r="CE40" s="40">
        <f>ROUND(IF(B40=0,0,((CC40)*(1+db!Y42))+((CE39)*(1+db!U42))),0)</f>
        <v>0</v>
      </c>
      <c r="CF40" s="40">
        <f t="shared" si="19"/>
        <v>0</v>
      </c>
      <c r="CG40" s="15">
        <f t="shared" si="15"/>
        <v>39</v>
      </c>
      <c r="CH40" s="39">
        <f>IF(B40=0,0,((CC40)*(1+db!AH42))+((CH39)*(1+db!AD42)))</f>
        <v>0</v>
      </c>
      <c r="CI40" s="39">
        <f>IF(B40=0,0,((CC40)*(1+db!AH42))+((CI39)*(1+db!AD42)))</f>
        <v>0</v>
      </c>
      <c r="CJ40" s="40">
        <f>IF(B40=0,0,((CC40)*(1+db!AO42))+((CJ39)*(1+db!AK42)))</f>
        <v>0</v>
      </c>
      <c r="CK40" s="40">
        <f>CJ40-(SUM(BX$7:$BX41))</f>
        <v>0</v>
      </c>
      <c r="CL40" s="46"/>
    </row>
    <row r="41" spans="1:90">
      <c r="A41" s="347">
        <f t="shared" si="16"/>
        <v>40</v>
      </c>
      <c r="B41" s="345">
        <f>IF(AND(Changes!Change="Yes", Changes!ChangeType="Change Contract Duration"),IF(B40=0,0,IF(Changes!NewChangedValue&lt;B40+1,0,B40+1)),IF(B40=0,0,IF('Application Annually'!$C$5&lt;B40+1,0,B40+1)))</f>
        <v>0</v>
      </c>
      <c r="C41" s="15">
        <f t="shared" si="17"/>
        <v>0</v>
      </c>
      <c r="D41" s="312">
        <f t="shared" si="18"/>
        <v>67</v>
      </c>
      <c r="E41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41" s="29">
        <f t="shared" si="8"/>
        <v>0</v>
      </c>
      <c r="G41" s="29">
        <f t="shared" si="9"/>
        <v>0</v>
      </c>
      <c r="H41" s="29">
        <f t="shared" si="0"/>
        <v>0</v>
      </c>
      <c r="I41" s="29">
        <f>IF(B41&gt;0,IF(AND(Table14[[#This Row],[Year]]&gt;Changes!ValidityYear,Changes!Change="Yes",Changes!ChangeType="Change Value Adjustment"),Changes!$G$22,'Application Annually'!$C$11),0)</f>
        <v>0</v>
      </c>
      <c r="J41" s="29">
        <f>IF(B41&gt;0,IF(AND(Table14[[#This Row],[Year]]&gt;Changes!ValidityYear,Changes!Change="Yes",Changes!ChangeType="Change Value Adjustment"),Changes!$G$24,'Application Annually'!$C$7),0)</f>
        <v>0</v>
      </c>
      <c r="K41" s="29">
        <f>ROUND(IF(B41=0,0,IF(AND(Changes!Change="Yes", Changes!ValidityYear=Table14[[#This Row],[Year]], Changes!ChangeType="Change Premium"), Changes!NewChangedValue, (K40*(1+db!$B$3)))),0)</f>
        <v>0</v>
      </c>
      <c r="L41" s="29">
        <f>ROUND(IF(B41=0,0,IF(AND(Changes!Change="Yes", Changes!ValidityYear=Table14[[#This Row],[Year]], Changes!ChangeType="Change Premium"), Changes!NewChangedValue, (L40*(1+Table14[[#This Row],[Adjustment Factor of Premium]]/100)))),0)</f>
        <v>0</v>
      </c>
      <c r="M41" s="29">
        <f>IF(Table14[[#This Row],[Year]]=1,ROUND(MIN($L$2 -( Table14[[#This Row],[Riders Risk Premiums]] + Table14[[#This Row],[Acquisition Cost]]) *0.75,Table14[[#This Row],[Death Capital (1)]]* 0.03),0),0)</f>
        <v>0</v>
      </c>
      <c r="N41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41" s="29">
        <f>ROUND(IF(ROW()-1&gt;InsurancePeriod,0,(O40*(1+(Table14[[#This Row],[Adjustment Factor of Premium]]/100)))),0)</f>
        <v>0</v>
      </c>
      <c r="P41" s="29">
        <f>IF(Table14[Year] = 0, 0, SUM(L$2:L41))</f>
        <v>0</v>
      </c>
      <c r="Q41" s="17">
        <f t="shared" si="1"/>
        <v>0</v>
      </c>
      <c r="R41" s="17">
        <f>IF(Table14[[#This Row],[Year]]=0,0,IF($C$2&lt;=50,LOOKUP(Table14[[#This Row],[Age]],db!BG42:BG148,db!BH42:BH148),LOOKUP(Table14[[#This Row],[Age]],db!BJ42:BJ148,db!BK42:BK148)))</f>
        <v>0</v>
      </c>
      <c r="S41" s="17">
        <f>IF(B41=0,0, IF(AND(Changes!Change="Yes", Changes!ValidityYear=Table14[[#This Row],[Year]], Changes!ChangeType="Change Death Capital"), Changes!NewChangedValue, S40*(1+(Table14[[#This Row],[Adjustment Factor of Death Capital]]/100))))</f>
        <v>0</v>
      </c>
      <c r="T41" s="17">
        <f>MIN(IF(B41=0,0,Table14[[#This Row],[Death Capital (1)]]),Table14[[#This Row],[Max Sum Insured For Death]])</f>
        <v>0</v>
      </c>
      <c r="U41" s="29">
        <f t="shared" si="10"/>
        <v>0</v>
      </c>
      <c r="V41" s="29">
        <f>IF(B41=0,0,IF(AND(Changes!Change="Yes", Changes!ValidityYear&lt;=Table14[[#This Row],[Year]], Changes!ChangeType="Rider Inclusion/Exclusion", Changes!RiderType="Accident Death"), T41*Changes!NewChangedValue,IF(db!$D$6="Yes",(db!$B$6)*T41,0)))</f>
        <v>0</v>
      </c>
      <c r="W41" s="29">
        <f>MIN(IF(V41&lt;=db!$L$2,V41,db!$L$2),MAX_ACC_CAPITAL)</f>
        <v>0</v>
      </c>
      <c r="X41" s="17">
        <f>IF(OR(B41=0,Table14[[#This Row],[Accident Capital (2)]]=0),0,IF(AND(Changes!Change="Yes", Changes!ValidityYear&lt;=Table14[[#This Row],[Year]], Changes!ChangeType="Rider Inclusion/Exclusion", Changes!RiderType="Accident Disability"), T41*Changes!NewChangedValue,IF(db!$D$7="Yes",(db!$B$7)*T41,0)))</f>
        <v>0</v>
      </c>
      <c r="Y41" s="42">
        <f>IF(C41&gt;69,0,IF(C41=0,0,IF(X41&lt;=db!$L$3,X41,db!$L$3)))</f>
        <v>0</v>
      </c>
      <c r="Z41" s="29">
        <f>IF(OR(B41=0,Table14[[#This Row],[Accident Capital (2)]]=0),0,IF(AND(Changes!Change="Yes", Changes!ValidityYear&lt;=Table14[[#This Row],[Year]], Changes!ChangeType="Rider Inclusion/Exclusion", Changes!RiderType="Accident Medical Cost"), T41*Changes!NewChangedValue,IF(db!$D$9="Yes",(db!$B$9)*T41,0)))</f>
        <v>0</v>
      </c>
      <c r="AA41" s="29">
        <f>ROUND(IF(C41&gt;69,0,IF(C41=0,0,IF(Z41&lt;=db!$L$4,Z41,db!$L$4))),0)</f>
        <v>0</v>
      </c>
      <c r="AB41" s="38">
        <f>IF(AND(Changes!Change = "Yes", Changes!ChangeType = "Rider Inclusion/Exclusion", Changes!RiderType = "WOP"), IF( Changes!ValidityYear &lt;= Table14[[#This Row],[Year]], IF(WOP = "Yes", 0, 1),  IF(WOP = "Yes", 1, 0)), IF(AND(db!$D$8="Yes",C41&lt;=69,ROW()-1&lt;=InsurancePeriod), 1, 0))</f>
        <v>0</v>
      </c>
      <c r="AC41" s="17">
        <f>(AC42+K42)*AB41*((1)/(1+db!AA43))*(LOOKUP(C41,'Mortality Table'!$A$2:$A$108,'Mortality Table'!$E$2:$E$108))</f>
        <v>0</v>
      </c>
      <c r="AD41" s="340">
        <f>IF(AND(Changes!ValidityYear&lt;= Table14[[#This Row],[Year]],Changes!ChangeType="Change Value Adjustment",Changes!Change="Yes"), (AD42+L42)*AB41*((1)/(1+db!AA43))*(LOOKUP(C41,'Mortality Table'!$A$2:$A$108,'Mortality Table'!$E$2:$E$108)),Table14[[#This Row],[WOP Before Adj. BT]])</f>
        <v>0</v>
      </c>
      <c r="AE41" s="341">
        <f>IF(AND(Changes!Change="Yes", Changes!ChangeType="Change Value Adjustment"),Table14[[#This Row],[WOP Capital]],(AE42+O42)*AB41*((1)/(1+db!AA43))*(LOOKUP(D41,'Mortality Table'!$A$2:$A$108,'Mortality Table'!$E$2:$E$108)))</f>
        <v>0</v>
      </c>
      <c r="AF41" s="17">
        <f>IF(AND(Changes!Change="Yes", Changes!ValidityYear&lt;=ROW()-1),Table14[[#This Row],[WOP Capital]],Table14[[#This Row],[WOP without change]])</f>
        <v>0</v>
      </c>
      <c r="AG41" s="42">
        <f>IF(AND(Changes!Change="Yes", Changes!ValidityYear&lt;=Table14[[#This Row],[Year]], Changes!ChangeType="Rider Inclusion/Exclusion", Changes!RiderType="Disability Annuity"), L41*Changes!NewChangedValue,L41*db!B$10*IF(db!$D$10="Yes",1,0))</f>
        <v>0</v>
      </c>
      <c r="AH41" s="29">
        <f>Table14[[#This Row],[Code Annuity Capital]]*IF('Annual Calculation'!C41&gt;69,0,(LOOKUP('Annual Calculation'!C41+1,'Mortality Table'!$A$2:$A$108,'Mortality Table'!$O$2:$O$108)-LOOKUP('Annual Calculation'!C41+11,'Mortality Table'!$A$2:$A$108,'Mortality Table'!$O$2:$O$108))/LOOKUP('Annual Calculation'!C41,'Mortality Table'!$A$2:$A$108,'Mortality Table'!$M$2:$M$108))</f>
        <v>0</v>
      </c>
      <c r="AI41" s="17">
        <f>IF(B41=0,0,IF(AND(Changes!Change="Yes", Changes!ValidityYear&lt;=Table14[[#This Row],[Year]], Changes!ChangeType="Rider Inclusion/Exclusion", Changes!RiderType="Dread Disease"), T41*Changes!NewChangedValue,IF(db!$D$11="Yes",(db!$B$11)*T41,0)))</f>
        <v>0</v>
      </c>
      <c r="AJ41" s="42">
        <f>ROUND(IF(C41&gt;59,0,IF(C41=0,0,IF(AI41&lt;=db!$L$5,AI41,db!$L$5))),0)</f>
        <v>0</v>
      </c>
      <c r="AK41" s="29">
        <f>IF(B41=0,0,IF(AND(Changes!Change="Yes", Changes!ValidityYear&lt;=Table14[[#This Row],[Year]], Changes!ChangeType="Rider Inclusion/Exclusion", Changes!RiderType="Cancer"), T41*Changes!NewChangedValue,IF(db!$D$12="Yes",(db!$B$12)*T41,0)))</f>
        <v>0</v>
      </c>
      <c r="AL41" s="29">
        <f>ROUND(IF(C41&gt;59,0,IF(C41=0,0,IF(AK41&lt;=db!$L$6,AK41,db!$L$6))),0)</f>
        <v>0</v>
      </c>
      <c r="AM41" s="32"/>
      <c r="AN41" s="18">
        <f>IF(B41=0,0,IF(C41&lt;(db!$E$2+5),LOOKUP(C41,'Mortality Table'!$A$2:$A$108,'Mortality Table'!$P$2:$P$108),IF((C41&gt;=db!$E$2+10),LOOKUP(C41,'Mortality Table'!$A$2:$A$108,'Mortality Table'!$R$2:$R$108),LOOKUP(C41,'Mortality Table'!$A$2:$A$108,'Mortality Table'!$Q$2:$Q$108))))</f>
        <v>0</v>
      </c>
      <c r="AO41" s="22">
        <f t="shared" si="2"/>
        <v>0</v>
      </c>
      <c r="AP41" s="19">
        <f>IF(B41=0,0, LOOKUP(IF(AND(Changes!Change="Yes", Changes!ValidityYear&lt;=Table14[[#This Row],[Year]], Changes!ChangeType="Change Job Class"),Changes!NewChangedValue, db!$A$8),db!$AX$4:$AX$8,db!$AY$4:$AY$8))</f>
        <v>0</v>
      </c>
      <c r="AQ41" s="20">
        <f>ROUND((AP41/1000)*W41 * (1-db!$AS$9),0)</f>
        <v>0</v>
      </c>
      <c r="AR41" s="20">
        <f>(AP41/1000)*W41 * db!$AS$9</f>
        <v>0</v>
      </c>
      <c r="AS41" s="21">
        <f>IF(B41=0,0, LOOKUP(IF(AND(Changes!Change="Yes", Changes!ValidityYear&lt;=Table14[[#This Row],[Year]], Changes!ChangeType="Change Job Class"),Changes!NewChangedValue, db!$A$8),db!$AX$4:$AX$8,db!$AZ$4:$AZ$8))</f>
        <v>0</v>
      </c>
      <c r="AT41" s="22">
        <f>(AS41/1000)*Y41*(1-db!$AS$9)</f>
        <v>0</v>
      </c>
      <c r="AU41" s="22">
        <f>(AS41/1000)*Y41*(db!$AS$9)</f>
        <v>0</v>
      </c>
      <c r="AV41" s="23">
        <f>IF(B41=0,0, LOOKUP(IF(AND(Changes!Change="Yes", Changes!ValidityYear&lt;=Table14[[#This Row],[Year]], Changes!ChangeType="Change Job Class"),Changes!NewChangedValue, db!$A$8),db!$AX$4:$AX$8,db!$BA$4:$BA$8))</f>
        <v>0</v>
      </c>
      <c r="AW41" s="20">
        <f>ROUND((AV41/(100))*AA41*(1-db!$AS$9),0)</f>
        <v>0</v>
      </c>
      <c r="AX41" s="20">
        <f>ROUND((AV41/(100))*AA41*(db!$AS$9),0)</f>
        <v>0</v>
      </c>
      <c r="AY41" s="21">
        <f>IF(db!$D$8="Yes",AS41,0)</f>
        <v>0</v>
      </c>
      <c r="AZ41" s="22">
        <f>(AY41*AF41)/1000*(1-db!$AS$9)</f>
        <v>0</v>
      </c>
      <c r="BA41" s="22">
        <f>(AY41*AF41)/1000*(db!$AS$9)</f>
        <v>0</v>
      </c>
      <c r="BB41" s="23">
        <f t="shared" si="3"/>
        <v>0</v>
      </c>
      <c r="BC41" s="20">
        <f>(BB41*AH41/1000)*(1-db!$AS$9)</f>
        <v>0</v>
      </c>
      <c r="BD41" s="20">
        <f>(BB41*AH41/1000)*(db!$AS$9)</f>
        <v>0</v>
      </c>
      <c r="BE41" s="22">
        <f>IF(B41=0,0,IF(C41&gt;60,0,LOOKUP(Table14[[#This Row],[Medical
Age]],db!$BC$3:$BC$63,db!$BD$3:$BD$63)))</f>
        <v>0</v>
      </c>
      <c r="BF41" s="22">
        <f>BG41*db!$AS$10</f>
        <v>0</v>
      </c>
      <c r="BG41" s="22">
        <f t="shared" si="4"/>
        <v>0</v>
      </c>
      <c r="BH41" s="22">
        <f>(BE41/1000000)*AJ41*(1-db!$AS$10)</f>
        <v>0</v>
      </c>
      <c r="BI41" s="20">
        <f>IF(B41=0,0,IF(C41&gt;59,0,LOOKUP(Table14[[#This Row],[Medical
Age]],db!$BC$3:$BC$63,db!$BE$3:$BE$63)))</f>
        <v>0</v>
      </c>
      <c r="BJ41" s="20">
        <f>(BI41/1000000)*AL41*(1-db!$AS$11)</f>
        <v>0</v>
      </c>
      <c r="BK41" s="20">
        <f>(BI41/1000000)*AL41*(db!$AS$11)</f>
        <v>0</v>
      </c>
      <c r="BL41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41" s="20">
        <f>Table14[[#This Row],[RiskLoading
Rate]]*Table14[[#This Row],[Death Capital (2)]]</f>
        <v>0</v>
      </c>
      <c r="BN41" s="36"/>
      <c r="BO41" s="37">
        <f t="shared" si="5"/>
        <v>0</v>
      </c>
      <c r="BP41" s="35">
        <f t="shared" si="6"/>
        <v>0</v>
      </c>
      <c r="BQ41" s="35">
        <f t="shared" si="7"/>
        <v>0</v>
      </c>
      <c r="BR41" s="37">
        <f t="shared" si="11"/>
        <v>0</v>
      </c>
      <c r="BS41" s="37">
        <f t="shared" si="12"/>
        <v>0</v>
      </c>
      <c r="BT41" s="35">
        <f t="shared" si="13"/>
        <v>0</v>
      </c>
      <c r="BU41" s="35">
        <f t="shared" si="14"/>
        <v>0</v>
      </c>
      <c r="BV41" s="37">
        <f>(db!$AS$4/100)*(L41-BT41-BU41)</f>
        <v>0</v>
      </c>
      <c r="BW41" s="37">
        <f>(db!$AS$8/100)*(L41-BT41-BU41)</f>
        <v>0</v>
      </c>
      <c r="BX41" s="35"/>
      <c r="BY41" s="37"/>
      <c r="BZ41" s="37"/>
      <c r="CA41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41" s="33"/>
      <c r="CC41" s="39">
        <f>ROUND((Table14[[#This Row],[Premium]]-Table14[[#This Row],[All Deductions]]),0)</f>
        <v>0</v>
      </c>
      <c r="CD41" s="40">
        <f>ROUND(IF(B41=0,0,((CC41)*(1+ IF(AND(Changes!Change="Yes",Changes!ValidityYear&lt;=Table14[[#This Row],[Year]],Annulment&gt;Table14[[#This Row],[Year]],Changes!ChangeType="Paid-Up"),db!Y43+0.02,db!Y43)))+((CD40)*(1+IF(AND(Changes!Change="Yes",Changes!ValidityYear&lt;=Table14[[#This Row],[Year]],Annulment&gt;Table14[[#This Row],[Year]],Changes!ChangeType="Paid-Up"),db!U43+0.02,db!U43)))),0)</f>
        <v>0</v>
      </c>
      <c r="CE41" s="40">
        <f>ROUND(IF(B41=0,0,((CC41)*(1+db!Y43))+((CE40)*(1+db!U43))),0)</f>
        <v>0</v>
      </c>
      <c r="CF41" s="40">
        <f t="shared" si="19"/>
        <v>0</v>
      </c>
      <c r="CG41" s="15">
        <f t="shared" si="15"/>
        <v>40</v>
      </c>
      <c r="CH41" s="39">
        <f>IF(B41=0,0,((CC41)*(1+db!AH43))+((CH40)*(1+db!AD43)))</f>
        <v>0</v>
      </c>
      <c r="CI41" s="39">
        <f>IF(B41=0,0,((CC41)*(1+db!AH43))+((CI40)*(1+db!AD43)))</f>
        <v>0</v>
      </c>
      <c r="CJ41" s="40">
        <f>IF(B41=0,0,((CC41)*(1+db!AO43))+((CJ40)*(1+db!AK43)))</f>
        <v>0</v>
      </c>
      <c r="CK41" s="40">
        <f>CJ41-(SUM(BX$7:$BX42))</f>
        <v>0</v>
      </c>
      <c r="CL41" s="46"/>
    </row>
    <row r="42" spans="1:90">
      <c r="A42" s="347">
        <f t="shared" si="16"/>
        <v>41</v>
      </c>
      <c r="B42" s="345">
        <f>IF(AND(Changes!Change="Yes", Changes!ChangeType="Change Contract Duration"),IF(B41=0,0,IF(Changes!NewChangedValue&lt;B41+1,0,B41+1)),IF(B41=0,0,IF('Application Annually'!$C$5&lt;B41+1,0,B41+1)))</f>
        <v>0</v>
      </c>
      <c r="C42" s="15">
        <f t="shared" si="17"/>
        <v>0</v>
      </c>
      <c r="D42" s="312">
        <f t="shared" si="18"/>
        <v>68</v>
      </c>
      <c r="E42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42" s="29">
        <f t="shared" si="8"/>
        <v>0</v>
      </c>
      <c r="G42" s="29">
        <f t="shared" si="9"/>
        <v>0</v>
      </c>
      <c r="H42" s="29">
        <f t="shared" si="0"/>
        <v>0</v>
      </c>
      <c r="I42" s="29">
        <f>IF(B42&gt;0,IF(AND(Table14[[#This Row],[Year]]&gt;Changes!ValidityYear,Changes!Change="Yes",Changes!ChangeType="Change Value Adjustment"),Changes!$G$22,'Application Annually'!$C$11),0)</f>
        <v>0</v>
      </c>
      <c r="J42" s="29">
        <f>IF(B42&gt;0,IF(AND(Table14[[#This Row],[Year]]&gt;Changes!ValidityYear,Changes!Change="Yes",Changes!ChangeType="Change Value Adjustment"),Changes!$G$24,'Application Annually'!$C$7),0)</f>
        <v>0</v>
      </c>
      <c r="K42" s="29">
        <f>ROUND(IF(B42=0,0,IF(AND(Changes!Change="Yes", Changes!ValidityYear=Table14[[#This Row],[Year]], Changes!ChangeType="Change Premium"), Changes!NewChangedValue, (K41*(1+db!$B$3)))),0)</f>
        <v>0</v>
      </c>
      <c r="L42" s="29">
        <f>ROUND(IF(B42=0,0,IF(AND(Changes!Change="Yes", Changes!ValidityYear=Table14[[#This Row],[Year]], Changes!ChangeType="Change Premium"), Changes!NewChangedValue, (L41*(1+Table14[[#This Row],[Adjustment Factor of Premium]]/100)))),0)</f>
        <v>0</v>
      </c>
      <c r="M42" s="29">
        <f>IF(Table14[[#This Row],[Year]]=1,ROUND(MIN($L$2 -( Table14[[#This Row],[Riders Risk Premiums]] + Table14[[#This Row],[Acquisition Cost]]) *0.75,Table14[[#This Row],[Death Capital (1)]]* 0.03),0),0)</f>
        <v>0</v>
      </c>
      <c r="N42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42" s="29">
        <f>ROUND(IF(ROW()-1&gt;InsurancePeriod,0,(O41*(1+(Table14[[#This Row],[Adjustment Factor of Premium]]/100)))),0)</f>
        <v>0</v>
      </c>
      <c r="P42" s="29">
        <f>IF(Table14[Year] = 0, 0, SUM(L$2:L42))</f>
        <v>0</v>
      </c>
      <c r="Q42" s="17">
        <f t="shared" si="1"/>
        <v>0</v>
      </c>
      <c r="R42" s="17">
        <f>IF(Table14[[#This Row],[Year]]=0,0,IF($C$2&lt;=50,LOOKUP(Table14[[#This Row],[Age]],db!BG43:BG149,db!BH43:BH149),LOOKUP(Table14[[#This Row],[Age]],db!BJ43:BJ149,db!BK43:BK149)))</f>
        <v>0</v>
      </c>
      <c r="S42" s="17">
        <f>IF(B42=0,0, IF(AND(Changes!Change="Yes", Changes!ValidityYear=Table14[[#This Row],[Year]], Changes!ChangeType="Change Death Capital"), Changes!NewChangedValue, S41*(1+(Table14[[#This Row],[Adjustment Factor of Death Capital]]/100))))</f>
        <v>0</v>
      </c>
      <c r="T42" s="17">
        <f>MIN(IF(B42=0,0,Table14[[#This Row],[Death Capital (1)]]),Table14[[#This Row],[Max Sum Insured For Death]])</f>
        <v>0</v>
      </c>
      <c r="U42" s="29">
        <f t="shared" si="10"/>
        <v>0</v>
      </c>
      <c r="V42" s="29">
        <f>IF(B42=0,0,IF(AND(Changes!Change="Yes", Changes!ValidityYear&lt;=Table14[[#This Row],[Year]], Changes!ChangeType="Rider Inclusion/Exclusion", Changes!RiderType="Accident Death"), T42*Changes!NewChangedValue,IF(db!$D$6="Yes",(db!$B$6)*T42,0)))</f>
        <v>0</v>
      </c>
      <c r="W42" s="29">
        <f>MIN(IF(V42&lt;=db!$L$2,V42,db!$L$2),MAX_ACC_CAPITAL)</f>
        <v>0</v>
      </c>
      <c r="X42" s="17">
        <f>IF(OR(B42=0,Table14[[#This Row],[Accident Capital (2)]]=0),0,IF(AND(Changes!Change="Yes", Changes!ValidityYear&lt;=Table14[[#This Row],[Year]], Changes!ChangeType="Rider Inclusion/Exclusion", Changes!RiderType="Accident Disability"), T42*Changes!NewChangedValue,IF(db!$D$7="Yes",(db!$B$7)*T42,0)))</f>
        <v>0</v>
      </c>
      <c r="Y42" s="42">
        <f>IF(C42&gt;69,0,IF(C42=0,0,IF(X42&lt;=db!$L$3,X42,db!$L$3)))</f>
        <v>0</v>
      </c>
      <c r="Z42" s="29">
        <f>IF(OR(B42=0,Table14[[#This Row],[Accident Capital (2)]]=0),0,IF(AND(Changes!Change="Yes", Changes!ValidityYear&lt;=Table14[[#This Row],[Year]], Changes!ChangeType="Rider Inclusion/Exclusion", Changes!RiderType="Accident Medical Cost"), T42*Changes!NewChangedValue,IF(db!$D$9="Yes",(db!$B$9)*T42,0)))</f>
        <v>0</v>
      </c>
      <c r="AA42" s="29">
        <f>ROUND(IF(C42&gt;69,0,IF(C42=0,0,IF(Z42&lt;=db!$L$4,Z42,db!$L$4))),0)</f>
        <v>0</v>
      </c>
      <c r="AB42" s="38">
        <f>IF(AND(Changes!Change = "Yes", Changes!ChangeType = "Rider Inclusion/Exclusion", Changes!RiderType = "WOP"), IF( Changes!ValidityYear &lt;= Table14[[#This Row],[Year]], IF(WOP = "Yes", 0, 1),  IF(WOP = "Yes", 1, 0)), IF(AND(db!$D$8="Yes",C42&lt;=69,ROW()-1&lt;=InsurancePeriod), 1, 0))</f>
        <v>0</v>
      </c>
      <c r="AC42" s="17">
        <f>(AC43+K43)*AB42*((1)/(1+db!AA44))*(LOOKUP(C42,'Mortality Table'!$A$2:$A$108,'Mortality Table'!$E$2:$E$108))</f>
        <v>0</v>
      </c>
      <c r="AD42" s="340">
        <f>IF(AND(Changes!ValidityYear&lt;= Table14[[#This Row],[Year]],Changes!ChangeType="Change Value Adjustment",Changes!Change="Yes"), (AD43+L43)*AB42*((1)/(1+db!AA44))*(LOOKUP(C42,'Mortality Table'!$A$2:$A$108,'Mortality Table'!$E$2:$E$108)),Table14[[#This Row],[WOP Before Adj. BT]])</f>
        <v>0</v>
      </c>
      <c r="AE42" s="341">
        <f>IF(AND(Changes!Change="Yes", Changes!ChangeType="Change Value Adjustment"),Table14[[#This Row],[WOP Capital]],(AE43+O43)*AB42*((1)/(1+db!AA44))*(LOOKUP(D42,'Mortality Table'!$A$2:$A$108,'Mortality Table'!$E$2:$E$108)))</f>
        <v>0</v>
      </c>
      <c r="AF42" s="17">
        <f>IF(AND(Changes!Change="Yes", Changes!ValidityYear&lt;=ROW()-1),Table14[[#This Row],[WOP Capital]],Table14[[#This Row],[WOP without change]])</f>
        <v>0</v>
      </c>
      <c r="AG42" s="42">
        <f>IF(AND(Changes!Change="Yes", Changes!ValidityYear&lt;=Table14[[#This Row],[Year]], Changes!ChangeType="Rider Inclusion/Exclusion", Changes!RiderType="Disability Annuity"), L42*Changes!NewChangedValue,L42*db!B$10*IF(db!$D$10="Yes",1,0))</f>
        <v>0</v>
      </c>
      <c r="AH42" s="29">
        <f>Table14[[#This Row],[Code Annuity Capital]]*IF('Annual Calculation'!C42&gt;69,0,(LOOKUP('Annual Calculation'!C42+1,'Mortality Table'!$A$2:$A$108,'Mortality Table'!$O$2:$O$108)-LOOKUP('Annual Calculation'!C42+11,'Mortality Table'!$A$2:$A$108,'Mortality Table'!$O$2:$O$108))/LOOKUP('Annual Calculation'!C42,'Mortality Table'!$A$2:$A$108,'Mortality Table'!$M$2:$M$108))</f>
        <v>0</v>
      </c>
      <c r="AI42" s="17">
        <f>IF(B42=0,0,IF(AND(Changes!Change="Yes", Changes!ValidityYear&lt;=Table14[[#This Row],[Year]], Changes!ChangeType="Rider Inclusion/Exclusion", Changes!RiderType="Dread Disease"), T42*Changes!NewChangedValue,IF(db!$D$11="Yes",(db!$B$11)*T42,0)))</f>
        <v>0</v>
      </c>
      <c r="AJ42" s="42">
        <f>ROUND(IF(C42&gt;59,0,IF(C42=0,0,IF(AI42&lt;=db!$L$5,AI42,db!$L$5))),0)</f>
        <v>0</v>
      </c>
      <c r="AK42" s="29">
        <f>IF(B42=0,0,IF(AND(Changes!Change="Yes", Changes!ValidityYear&lt;=Table14[[#This Row],[Year]], Changes!ChangeType="Rider Inclusion/Exclusion", Changes!RiderType="Cancer"), T42*Changes!NewChangedValue,IF(db!$D$12="Yes",(db!$B$12)*T42,0)))</f>
        <v>0</v>
      </c>
      <c r="AL42" s="29">
        <f>ROUND(IF(C42&gt;59,0,IF(C42=0,0,IF(AK42&lt;=db!$L$6,AK42,db!$L$6))),0)</f>
        <v>0</v>
      </c>
      <c r="AM42" s="32"/>
      <c r="AN42" s="18">
        <f>IF(B42=0,0,IF(C42&lt;(db!$E$2+5),LOOKUP(C42,'Mortality Table'!$A$2:$A$108,'Mortality Table'!$P$2:$P$108),IF((C42&gt;=db!$E$2+10),LOOKUP(C42,'Mortality Table'!$A$2:$A$108,'Mortality Table'!$R$2:$R$108),LOOKUP(C42,'Mortality Table'!$A$2:$A$108,'Mortality Table'!$Q$2:$Q$108))))</f>
        <v>0</v>
      </c>
      <c r="AO42" s="22">
        <f t="shared" si="2"/>
        <v>0</v>
      </c>
      <c r="AP42" s="19">
        <f>IF(B42=0,0, LOOKUP(IF(AND(Changes!Change="Yes", Changes!ValidityYear&lt;=Table14[[#This Row],[Year]], Changes!ChangeType="Change Job Class"),Changes!NewChangedValue, db!$A$8),db!$AX$4:$AX$8,db!$AY$4:$AY$8))</f>
        <v>0</v>
      </c>
      <c r="AQ42" s="20">
        <f>ROUND((AP42/1000)*W42 * (1-db!$AS$9),0)</f>
        <v>0</v>
      </c>
      <c r="AR42" s="20">
        <f>(AP42/1000)*W42 * db!$AS$9</f>
        <v>0</v>
      </c>
      <c r="AS42" s="21">
        <f>IF(B42=0,0, LOOKUP(IF(AND(Changes!Change="Yes", Changes!ValidityYear&lt;=Table14[[#This Row],[Year]], Changes!ChangeType="Change Job Class"),Changes!NewChangedValue, db!$A$8),db!$AX$4:$AX$8,db!$AZ$4:$AZ$8))</f>
        <v>0</v>
      </c>
      <c r="AT42" s="22">
        <f>(AS42/1000)*Y42*(1-db!$AS$9)</f>
        <v>0</v>
      </c>
      <c r="AU42" s="22">
        <f>(AS42/1000)*Y42*(db!$AS$9)</f>
        <v>0</v>
      </c>
      <c r="AV42" s="23">
        <f>IF(B42=0,0, LOOKUP(IF(AND(Changes!Change="Yes", Changes!ValidityYear&lt;=Table14[[#This Row],[Year]], Changes!ChangeType="Change Job Class"),Changes!NewChangedValue, db!$A$8),db!$AX$4:$AX$8,db!$BA$4:$BA$8))</f>
        <v>0</v>
      </c>
      <c r="AW42" s="20">
        <f>ROUND((AV42/(100))*AA42*(1-db!$AS$9),0)</f>
        <v>0</v>
      </c>
      <c r="AX42" s="20">
        <f>ROUND((AV42/(100))*AA42*(db!$AS$9),0)</f>
        <v>0</v>
      </c>
      <c r="AY42" s="21">
        <f>IF(db!$D$8="Yes",AS42,0)</f>
        <v>0</v>
      </c>
      <c r="AZ42" s="22">
        <f>(AY42*AF42)/1000*(1-db!$AS$9)</f>
        <v>0</v>
      </c>
      <c r="BA42" s="22">
        <f>(AY42*AF42)/1000*(db!$AS$9)</f>
        <v>0</v>
      </c>
      <c r="BB42" s="23">
        <f t="shared" si="3"/>
        <v>0</v>
      </c>
      <c r="BC42" s="20">
        <f>(BB42*AH42/1000)*(1-db!$AS$9)</f>
        <v>0</v>
      </c>
      <c r="BD42" s="20">
        <f>(BB42*AH42/1000)*(db!$AS$9)</f>
        <v>0</v>
      </c>
      <c r="BE42" s="22">
        <f>IF(B42=0,0,IF(C42&gt;60,0,LOOKUP(Table14[[#This Row],[Medical
Age]],db!$BC$3:$BC$63,db!$BD$3:$BD$63)))</f>
        <v>0</v>
      </c>
      <c r="BF42" s="22">
        <f>BG42*db!$AS$10</f>
        <v>0</v>
      </c>
      <c r="BG42" s="22">
        <f t="shared" si="4"/>
        <v>0</v>
      </c>
      <c r="BH42" s="22">
        <f>(BE42/1000000)*AJ42*(1-db!$AS$10)</f>
        <v>0</v>
      </c>
      <c r="BI42" s="20">
        <f>IF(B42=0,0,IF(C42&gt;59,0,LOOKUP(Table14[[#This Row],[Medical
Age]],db!$BC$3:$BC$63,db!$BE$3:$BE$63)))</f>
        <v>0</v>
      </c>
      <c r="BJ42" s="20">
        <f>(BI42/1000000)*AL42*(1-db!$AS$11)</f>
        <v>0</v>
      </c>
      <c r="BK42" s="20">
        <f>(BI42/1000000)*AL42*(db!$AS$11)</f>
        <v>0</v>
      </c>
      <c r="BL42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42" s="20">
        <f>Table14[[#This Row],[RiskLoading
Rate]]*Table14[[#This Row],[Death Capital (2)]]</f>
        <v>0</v>
      </c>
      <c r="BN42" s="36"/>
      <c r="BO42" s="37">
        <f t="shared" si="5"/>
        <v>0</v>
      </c>
      <c r="BP42" s="35">
        <f t="shared" si="6"/>
        <v>0</v>
      </c>
      <c r="BQ42" s="35">
        <f t="shared" si="7"/>
        <v>0</v>
      </c>
      <c r="BR42" s="37">
        <f t="shared" si="11"/>
        <v>0</v>
      </c>
      <c r="BS42" s="37">
        <f t="shared" si="12"/>
        <v>0</v>
      </c>
      <c r="BT42" s="35">
        <f t="shared" si="13"/>
        <v>0</v>
      </c>
      <c r="BU42" s="35">
        <f t="shared" si="14"/>
        <v>0</v>
      </c>
      <c r="BV42" s="37">
        <f>(db!$AS$4/100)*(L42-BT42-BU42)</f>
        <v>0</v>
      </c>
      <c r="BW42" s="37">
        <f>(db!$AS$8/100)*(L42-BT42-BU42)</f>
        <v>0</v>
      </c>
      <c r="BX42" s="35"/>
      <c r="BY42" s="37"/>
      <c r="BZ42" s="37"/>
      <c r="CA42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42" s="33"/>
      <c r="CC42" s="39">
        <f>ROUND((Table14[[#This Row],[Premium]]-Table14[[#This Row],[All Deductions]]),0)</f>
        <v>0</v>
      </c>
      <c r="CD42" s="40">
        <f>ROUND(IF(B42=0,0,((CC42)*(1+ IF(AND(Changes!Change="Yes",Changes!ValidityYear&lt;=Table14[[#This Row],[Year]],Annulment&gt;Table14[[#This Row],[Year]],Changes!ChangeType="Paid-Up"),db!Y44+0.02,db!Y44)))+((CD41)*(1+IF(AND(Changes!Change="Yes",Changes!ValidityYear&lt;=Table14[[#This Row],[Year]],Annulment&gt;Table14[[#This Row],[Year]],Changes!ChangeType="Paid-Up"),db!U44+0.02,db!U44)))),0)</f>
        <v>0</v>
      </c>
      <c r="CE42" s="40">
        <f>ROUND(IF(B42=0,0,((CC42)*(1+db!Y44))+((CE41)*(1+db!U44))),0)</f>
        <v>0</v>
      </c>
      <c r="CF42" s="40">
        <f t="shared" si="19"/>
        <v>0</v>
      </c>
      <c r="CG42" s="15">
        <f t="shared" si="15"/>
        <v>41</v>
      </c>
      <c r="CH42" s="39">
        <f>IF(B42=0,0,((CC42)*(1+db!AH44))+((CH41)*(1+db!AD44)))</f>
        <v>0</v>
      </c>
      <c r="CI42" s="39">
        <f>IF(B42=0,0,((CC42)*(1+db!AH44))+((CI41)*(1+db!AD44)))</f>
        <v>0</v>
      </c>
      <c r="CJ42" s="40">
        <f>IF(B42=0,0,((CC42)*(1+db!AO44))+((CJ41)*(1+db!AK44)))</f>
        <v>0</v>
      </c>
      <c r="CK42" s="40">
        <f>CJ42-(SUM(BX$7:$BX43))</f>
        <v>0</v>
      </c>
      <c r="CL42" s="46"/>
    </row>
    <row r="43" spans="1:90">
      <c r="A43" s="347">
        <f t="shared" si="16"/>
        <v>42</v>
      </c>
      <c r="B43" s="345">
        <f>IF(AND(Changes!Change="Yes", Changes!ChangeType="Change Contract Duration"),IF(B42=0,0,IF(Changes!NewChangedValue&lt;B42+1,0,B42+1)),IF(B42=0,0,IF('Application Annually'!$C$5&lt;B42+1,0,B42+1)))</f>
        <v>0</v>
      </c>
      <c r="C43" s="15">
        <f t="shared" si="17"/>
        <v>0</v>
      </c>
      <c r="D43" s="312">
        <f t="shared" si="18"/>
        <v>69</v>
      </c>
      <c r="E43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43" s="29">
        <f t="shared" si="8"/>
        <v>0</v>
      </c>
      <c r="G43" s="29">
        <f t="shared" si="9"/>
        <v>0</v>
      </c>
      <c r="H43" s="29">
        <f t="shared" si="0"/>
        <v>0</v>
      </c>
      <c r="I43" s="29">
        <f>IF(B43&gt;0,IF(AND(Table14[[#This Row],[Year]]&gt;Changes!ValidityYear,Changes!Change="Yes",Changes!ChangeType="Change Value Adjustment"),Changes!$G$22,'Application Annually'!$C$11),0)</f>
        <v>0</v>
      </c>
      <c r="J43" s="29">
        <f>IF(B43&gt;0,IF(AND(Table14[[#This Row],[Year]]&gt;Changes!ValidityYear,Changes!Change="Yes",Changes!ChangeType="Change Value Adjustment"),Changes!$G$24,'Application Annually'!$C$7),0)</f>
        <v>0</v>
      </c>
      <c r="K43" s="29">
        <f>ROUND(IF(B43=0,0,IF(AND(Changes!Change="Yes", Changes!ValidityYear=Table14[[#This Row],[Year]], Changes!ChangeType="Change Premium"), Changes!NewChangedValue, (K42*(1+db!$B$3)))),0)</f>
        <v>0</v>
      </c>
      <c r="L43" s="29">
        <f>ROUND(IF(B43=0,0,IF(AND(Changes!Change="Yes", Changes!ValidityYear=Table14[[#This Row],[Year]], Changes!ChangeType="Change Premium"), Changes!NewChangedValue, (L42*(1+Table14[[#This Row],[Adjustment Factor of Premium]]/100)))),0)</f>
        <v>0</v>
      </c>
      <c r="M43" s="29">
        <f>IF(Table14[[#This Row],[Year]]=1,ROUND(MIN($L$2 -( Table14[[#This Row],[Riders Risk Premiums]] + Table14[[#This Row],[Acquisition Cost]]) *0.75,Table14[[#This Row],[Death Capital (1)]]* 0.03),0),0)</f>
        <v>0</v>
      </c>
      <c r="N43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43" s="29">
        <f>ROUND(IF(ROW()-1&gt;InsurancePeriod,0,(O42*(1+(Table14[[#This Row],[Adjustment Factor of Premium]]/100)))),0)</f>
        <v>0</v>
      </c>
      <c r="P43" s="29">
        <f>IF(Table14[Year] = 0, 0, SUM(L$2:L43))</f>
        <v>0</v>
      </c>
      <c r="Q43" s="17">
        <f t="shared" si="1"/>
        <v>0</v>
      </c>
      <c r="R43" s="17">
        <f>IF(Table14[[#This Row],[Year]]=0,0,IF($C$2&lt;=50,LOOKUP(Table14[[#This Row],[Age]],db!BG44:BG150,db!BH44:BH150),LOOKUP(Table14[[#This Row],[Age]],db!BJ44:BJ150,db!BK44:BK150)))</f>
        <v>0</v>
      </c>
      <c r="S43" s="17">
        <f>IF(B43=0,0, IF(AND(Changes!Change="Yes", Changes!ValidityYear=Table14[[#This Row],[Year]], Changes!ChangeType="Change Death Capital"), Changes!NewChangedValue, S42*(1+(Table14[[#This Row],[Adjustment Factor of Death Capital]]/100))))</f>
        <v>0</v>
      </c>
      <c r="T43" s="17">
        <f>MIN(IF(B43=0,0,Table14[[#This Row],[Death Capital (1)]]),Table14[[#This Row],[Max Sum Insured For Death]])</f>
        <v>0</v>
      </c>
      <c r="U43" s="29">
        <f t="shared" si="10"/>
        <v>0</v>
      </c>
      <c r="V43" s="29">
        <f>IF(B43=0,0,IF(AND(Changes!Change="Yes", Changes!ValidityYear&lt;=Table14[[#This Row],[Year]], Changes!ChangeType="Rider Inclusion/Exclusion", Changes!RiderType="Accident Death"), T43*Changes!NewChangedValue,IF(db!$D$6="Yes",(db!$B$6)*T43,0)))</f>
        <v>0</v>
      </c>
      <c r="W43" s="29">
        <f>MIN(IF(V43&lt;=db!$L$2,V43,db!$L$2),MAX_ACC_CAPITAL)</f>
        <v>0</v>
      </c>
      <c r="X43" s="17">
        <f>IF(OR(B43=0,Table14[[#This Row],[Accident Capital (2)]]=0),0,IF(AND(Changes!Change="Yes", Changes!ValidityYear&lt;=Table14[[#This Row],[Year]], Changes!ChangeType="Rider Inclusion/Exclusion", Changes!RiderType="Accident Disability"), T43*Changes!NewChangedValue,IF(db!$D$7="Yes",(db!$B$7)*T43,0)))</f>
        <v>0</v>
      </c>
      <c r="Y43" s="42">
        <f>IF(C43&gt;69,0,IF(C43=0,0,IF(X43&lt;=db!$L$3,X43,db!$L$3)))</f>
        <v>0</v>
      </c>
      <c r="Z43" s="29">
        <f>IF(OR(B43=0,Table14[[#This Row],[Accident Capital (2)]]=0),0,IF(AND(Changes!Change="Yes", Changes!ValidityYear&lt;=Table14[[#This Row],[Year]], Changes!ChangeType="Rider Inclusion/Exclusion", Changes!RiderType="Accident Medical Cost"), T43*Changes!NewChangedValue,IF(db!$D$9="Yes",(db!$B$9)*T43,0)))</f>
        <v>0</v>
      </c>
      <c r="AA43" s="29">
        <f>ROUND(IF(C43&gt;69,0,IF(C43=0,0,IF(Z43&lt;=db!$L$4,Z43,db!$L$4))),0)</f>
        <v>0</v>
      </c>
      <c r="AB43" s="38">
        <f>IF(AND(Changes!Change = "Yes", Changes!ChangeType = "Rider Inclusion/Exclusion", Changes!RiderType = "WOP"), IF( Changes!ValidityYear &lt;= Table14[[#This Row],[Year]], IF(WOP = "Yes", 0, 1),  IF(WOP = "Yes", 1, 0)), IF(AND(db!$D$8="Yes",C43&lt;=69,ROW()-1&lt;=InsurancePeriod), 1, 0))</f>
        <v>0</v>
      </c>
      <c r="AC43" s="17">
        <f>(AC44+K44)*AB43*((1)/(1+db!AA45))*(LOOKUP(C43,'Mortality Table'!$A$2:$A$108,'Mortality Table'!$E$2:$E$108))</f>
        <v>0</v>
      </c>
      <c r="AD43" s="340">
        <f>IF(AND(Changes!ValidityYear&lt;= Table14[[#This Row],[Year]],Changes!ChangeType="Change Value Adjustment",Changes!Change="Yes"), (AD44+L44)*AB43*((1)/(1+db!AA45))*(LOOKUP(C43,'Mortality Table'!$A$2:$A$108,'Mortality Table'!$E$2:$E$108)),Table14[[#This Row],[WOP Before Adj. BT]])</f>
        <v>0</v>
      </c>
      <c r="AE43" s="341">
        <f>IF(AND(Changes!Change="Yes", Changes!ChangeType="Change Value Adjustment"),Table14[[#This Row],[WOP Capital]],(AE44+O44)*AB43*((1)/(1+db!AA45))*(LOOKUP(D43,'Mortality Table'!$A$2:$A$108,'Mortality Table'!$E$2:$E$108)))</f>
        <v>0</v>
      </c>
      <c r="AF43" s="17">
        <f>IF(AND(Changes!Change="Yes", Changes!ValidityYear&lt;=ROW()-1),Table14[[#This Row],[WOP Capital]],Table14[[#This Row],[WOP without change]])</f>
        <v>0</v>
      </c>
      <c r="AG43" s="42">
        <f>IF(AND(Changes!Change="Yes", Changes!ValidityYear&lt;=Table14[[#This Row],[Year]], Changes!ChangeType="Rider Inclusion/Exclusion", Changes!RiderType="Disability Annuity"), L43*Changes!NewChangedValue,L43*db!B$10*IF(db!$D$10="Yes",1,0))</f>
        <v>0</v>
      </c>
      <c r="AH43" s="29">
        <f>Table14[[#This Row],[Code Annuity Capital]]*IF('Annual Calculation'!C43&gt;69,0,(LOOKUP('Annual Calculation'!C43+1,'Mortality Table'!$A$2:$A$108,'Mortality Table'!$O$2:$O$108)-LOOKUP('Annual Calculation'!C43+11,'Mortality Table'!$A$2:$A$108,'Mortality Table'!$O$2:$O$108))/LOOKUP('Annual Calculation'!C43,'Mortality Table'!$A$2:$A$108,'Mortality Table'!$M$2:$M$108))</f>
        <v>0</v>
      </c>
      <c r="AI43" s="17">
        <f>IF(B43=0,0,IF(AND(Changes!Change="Yes", Changes!ValidityYear&lt;=Table14[[#This Row],[Year]], Changes!ChangeType="Rider Inclusion/Exclusion", Changes!RiderType="Dread Disease"), T43*Changes!NewChangedValue,IF(db!$D$11="Yes",(db!$B$11)*T43,0)))</f>
        <v>0</v>
      </c>
      <c r="AJ43" s="42">
        <f>ROUND(IF(C43&gt;59,0,IF(C43=0,0,IF(AI43&lt;=db!$L$5,AI43,db!$L$5))),0)</f>
        <v>0</v>
      </c>
      <c r="AK43" s="29">
        <f>IF(B43=0,0,IF(AND(Changes!Change="Yes", Changes!ValidityYear&lt;=Table14[[#This Row],[Year]], Changes!ChangeType="Rider Inclusion/Exclusion", Changes!RiderType="Cancer"), T43*Changes!NewChangedValue,IF(db!$D$12="Yes",(db!$B$12)*T43,0)))</f>
        <v>0</v>
      </c>
      <c r="AL43" s="29">
        <f>ROUND(IF(C43&gt;59,0,IF(C43=0,0,IF(AK43&lt;=db!$L$6,AK43,db!$L$6))),0)</f>
        <v>0</v>
      </c>
      <c r="AM43" s="32"/>
      <c r="AN43" s="18">
        <f>IF(B43=0,0,IF(C43&lt;(db!$E$2+5),LOOKUP(C43,'Mortality Table'!$A$2:$A$108,'Mortality Table'!$P$2:$P$108),IF((C43&gt;=db!$E$2+10),LOOKUP(C43,'Mortality Table'!$A$2:$A$108,'Mortality Table'!$R$2:$R$108),LOOKUP(C43,'Mortality Table'!$A$2:$A$108,'Mortality Table'!$Q$2:$Q$108))))</f>
        <v>0</v>
      </c>
      <c r="AO43" s="22">
        <f t="shared" si="2"/>
        <v>0</v>
      </c>
      <c r="AP43" s="19">
        <f>IF(B43=0,0, LOOKUP(IF(AND(Changes!Change="Yes", Changes!ValidityYear&lt;=Table14[[#This Row],[Year]], Changes!ChangeType="Change Job Class"),Changes!NewChangedValue, db!$A$8),db!$AX$4:$AX$8,db!$AY$4:$AY$8))</f>
        <v>0</v>
      </c>
      <c r="AQ43" s="20">
        <f>ROUND((AP43/1000)*W43 * (1-db!$AS$9),0)</f>
        <v>0</v>
      </c>
      <c r="AR43" s="20">
        <f>(AP43/1000)*W43 * db!$AS$9</f>
        <v>0</v>
      </c>
      <c r="AS43" s="21">
        <f>IF(B43=0,0, LOOKUP(IF(AND(Changes!Change="Yes", Changes!ValidityYear&lt;=Table14[[#This Row],[Year]], Changes!ChangeType="Change Job Class"),Changes!NewChangedValue, db!$A$8),db!$AX$4:$AX$8,db!$AZ$4:$AZ$8))</f>
        <v>0</v>
      </c>
      <c r="AT43" s="22">
        <f>(AS43/1000)*Y43*(1-db!$AS$9)</f>
        <v>0</v>
      </c>
      <c r="AU43" s="22">
        <f>(AS43/1000)*Y43*(db!$AS$9)</f>
        <v>0</v>
      </c>
      <c r="AV43" s="23">
        <f>IF(B43=0,0, LOOKUP(IF(AND(Changes!Change="Yes", Changes!ValidityYear&lt;=Table14[[#This Row],[Year]], Changes!ChangeType="Change Job Class"),Changes!NewChangedValue, db!$A$8),db!$AX$4:$AX$8,db!$BA$4:$BA$8))</f>
        <v>0</v>
      </c>
      <c r="AW43" s="20">
        <f>ROUND((AV43/(100))*AA43*(1-db!$AS$9),0)</f>
        <v>0</v>
      </c>
      <c r="AX43" s="20">
        <f>ROUND((AV43/(100))*AA43*(db!$AS$9),0)</f>
        <v>0</v>
      </c>
      <c r="AY43" s="21">
        <f>IF(db!$D$8="Yes",AS43,0)</f>
        <v>0</v>
      </c>
      <c r="AZ43" s="22">
        <f>(AY43*AF43)/1000*(1-db!$AS$9)</f>
        <v>0</v>
      </c>
      <c r="BA43" s="22">
        <f>(AY43*AF43)/1000*(db!$AS$9)</f>
        <v>0</v>
      </c>
      <c r="BB43" s="23">
        <f t="shared" si="3"/>
        <v>0</v>
      </c>
      <c r="BC43" s="20">
        <f>(BB43*AH43/1000)*(1-db!$AS$9)</f>
        <v>0</v>
      </c>
      <c r="BD43" s="20">
        <f>(BB43*AH43/1000)*(db!$AS$9)</f>
        <v>0</v>
      </c>
      <c r="BE43" s="22">
        <f>IF(B43=0,0,IF(C43&gt;60,0,LOOKUP(Table14[[#This Row],[Medical
Age]],db!$BC$3:$BC$63,db!$BD$3:$BD$63)))</f>
        <v>0</v>
      </c>
      <c r="BF43" s="22">
        <f>BG43*db!$AS$10</f>
        <v>0</v>
      </c>
      <c r="BG43" s="22">
        <f t="shared" si="4"/>
        <v>0</v>
      </c>
      <c r="BH43" s="22">
        <f>(BE43/1000000)*AJ43*(1-db!$AS$10)</f>
        <v>0</v>
      </c>
      <c r="BI43" s="20">
        <f>IF(B43=0,0,IF(C43&gt;59,0,LOOKUP(Table14[[#This Row],[Medical
Age]],db!$BC$3:$BC$63,db!$BE$3:$BE$63)))</f>
        <v>0</v>
      </c>
      <c r="BJ43" s="20">
        <f>(BI43/1000000)*AL43*(1-db!$AS$11)</f>
        <v>0</v>
      </c>
      <c r="BK43" s="20">
        <f>(BI43/1000000)*AL43*(db!$AS$11)</f>
        <v>0</v>
      </c>
      <c r="BL43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43" s="20">
        <f>Table14[[#This Row],[RiskLoading
Rate]]*Table14[[#This Row],[Death Capital (2)]]</f>
        <v>0</v>
      </c>
      <c r="BN43" s="36"/>
      <c r="BO43" s="37">
        <f t="shared" si="5"/>
        <v>0</v>
      </c>
      <c r="BP43" s="35">
        <f t="shared" si="6"/>
        <v>0</v>
      </c>
      <c r="BQ43" s="35">
        <f t="shared" si="7"/>
        <v>0</v>
      </c>
      <c r="BR43" s="37">
        <f t="shared" si="11"/>
        <v>0</v>
      </c>
      <c r="BS43" s="37">
        <f t="shared" si="12"/>
        <v>0</v>
      </c>
      <c r="BT43" s="35">
        <f t="shared" si="13"/>
        <v>0</v>
      </c>
      <c r="BU43" s="35">
        <f t="shared" si="14"/>
        <v>0</v>
      </c>
      <c r="BV43" s="37">
        <f>(db!$AS$4/100)*(L43-BT43-BU43)</f>
        <v>0</v>
      </c>
      <c r="BW43" s="37">
        <f>(db!$AS$8/100)*(L43-BT43-BU43)</f>
        <v>0</v>
      </c>
      <c r="BX43" s="35"/>
      <c r="BY43" s="37"/>
      <c r="BZ43" s="37"/>
      <c r="CA43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43" s="33"/>
      <c r="CC43" s="39">
        <f>ROUND((Table14[[#This Row],[Premium]]-Table14[[#This Row],[All Deductions]]),0)</f>
        <v>0</v>
      </c>
      <c r="CD43" s="40">
        <f>ROUND(IF(B43=0,0,((CC43)*(1+ IF(AND(Changes!Change="Yes",Changes!ValidityYear&lt;=Table14[[#This Row],[Year]],Annulment&gt;Table14[[#This Row],[Year]],Changes!ChangeType="Paid-Up"),db!Y45+0.02,db!Y45)))+((CD42)*(1+IF(AND(Changes!Change="Yes",Changes!ValidityYear&lt;=Table14[[#This Row],[Year]],Annulment&gt;Table14[[#This Row],[Year]],Changes!ChangeType="Paid-Up"),db!U45+0.02,db!U45)))),0)</f>
        <v>0</v>
      </c>
      <c r="CE43" s="40">
        <f>ROUND(IF(B43=0,0,((CC43)*(1+db!Y45))+((CE42)*(1+db!U45))),0)</f>
        <v>0</v>
      </c>
      <c r="CF43" s="40">
        <f t="shared" si="19"/>
        <v>0</v>
      </c>
      <c r="CG43" s="15">
        <f t="shared" si="15"/>
        <v>42</v>
      </c>
      <c r="CH43" s="39">
        <f>IF(B43=0,0,((CC43)*(1+db!AH45))+((CH42)*(1+db!AD45)))</f>
        <v>0</v>
      </c>
      <c r="CI43" s="39">
        <f>IF(B43=0,0,((CC43)*(1+db!AH45))+((CI42)*(1+db!AD45)))</f>
        <v>0</v>
      </c>
      <c r="CJ43" s="40">
        <f>IF(B43=0,0,((CC43)*(1+db!AO45))+((CJ42)*(1+db!AK45)))</f>
        <v>0</v>
      </c>
      <c r="CK43" s="40">
        <f>CJ43-(SUM(BX$7:$BX44))</f>
        <v>0</v>
      </c>
      <c r="CL43" s="46"/>
    </row>
    <row r="44" spans="1:90">
      <c r="A44" s="347">
        <f t="shared" si="16"/>
        <v>43</v>
      </c>
      <c r="B44" s="345">
        <f>IF(AND(Changes!Change="Yes", Changes!ChangeType="Change Contract Duration"),IF(B43=0,0,IF(Changes!NewChangedValue&lt;B43+1,0,B43+1)),IF(B43=0,0,IF('Application Annually'!$C$5&lt;B43+1,0,B43+1)))</f>
        <v>0</v>
      </c>
      <c r="C44" s="15">
        <f t="shared" si="17"/>
        <v>0</v>
      </c>
      <c r="D44" s="312">
        <f t="shared" si="18"/>
        <v>70</v>
      </c>
      <c r="E44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44" s="29">
        <f t="shared" si="8"/>
        <v>0</v>
      </c>
      <c r="G44" s="29">
        <f t="shared" si="9"/>
        <v>0</v>
      </c>
      <c r="H44" s="29">
        <f t="shared" si="0"/>
        <v>0</v>
      </c>
      <c r="I44" s="29">
        <f>IF(B44&gt;0,IF(AND(Table14[[#This Row],[Year]]&gt;Changes!ValidityYear,Changes!Change="Yes",Changes!ChangeType="Change Value Adjustment"),Changes!$G$22,'Application Annually'!$C$11),0)</f>
        <v>0</v>
      </c>
      <c r="J44" s="29">
        <f>IF(B44&gt;0,IF(AND(Table14[[#This Row],[Year]]&gt;Changes!ValidityYear,Changes!Change="Yes",Changes!ChangeType="Change Value Adjustment"),Changes!$G$24,'Application Annually'!$C$7),0)</f>
        <v>0</v>
      </c>
      <c r="K44" s="29">
        <f>ROUND(IF(B44=0,0,IF(AND(Changes!Change="Yes", Changes!ValidityYear=Table14[[#This Row],[Year]], Changes!ChangeType="Change Premium"), Changes!NewChangedValue, (K43*(1+db!$B$3)))),0)</f>
        <v>0</v>
      </c>
      <c r="L44" s="29">
        <f>ROUND(IF(B44=0,0,IF(AND(Changes!Change="Yes", Changes!ValidityYear=Table14[[#This Row],[Year]], Changes!ChangeType="Change Premium"), Changes!NewChangedValue, (L43*(1+Table14[[#This Row],[Adjustment Factor of Premium]]/100)))),0)</f>
        <v>0</v>
      </c>
      <c r="M44" s="29">
        <f>IF(Table14[[#This Row],[Year]]=1,ROUND(MIN($L$2 -( Table14[[#This Row],[Riders Risk Premiums]] + Table14[[#This Row],[Acquisition Cost]]) *0.75,Table14[[#This Row],[Death Capital (1)]]* 0.03),0),0)</f>
        <v>0</v>
      </c>
      <c r="N44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44" s="29">
        <f>ROUND(IF(ROW()-1&gt;InsurancePeriod,0,(O43*(1+(Table14[[#This Row],[Adjustment Factor of Premium]]/100)))),0)</f>
        <v>0</v>
      </c>
      <c r="P44" s="29">
        <f>IF(Table14[Year] = 0, 0, SUM(L$2:L44))</f>
        <v>0</v>
      </c>
      <c r="Q44" s="17">
        <f t="shared" si="1"/>
        <v>0</v>
      </c>
      <c r="R44" s="17">
        <f>IF(Table14[[#This Row],[Year]]=0,0,IF($C$2&lt;=50,LOOKUP(Table14[[#This Row],[Age]],db!BG45:BG151,db!BH45:BH151),LOOKUP(Table14[[#This Row],[Age]],db!BJ45:BJ151,db!BK45:BK151)))</f>
        <v>0</v>
      </c>
      <c r="S44" s="17">
        <f>IF(B44=0,0, IF(AND(Changes!Change="Yes", Changes!ValidityYear=Table14[[#This Row],[Year]], Changes!ChangeType="Change Death Capital"), Changes!NewChangedValue, S43*(1+(Table14[[#This Row],[Adjustment Factor of Death Capital]]/100))))</f>
        <v>0</v>
      </c>
      <c r="T44" s="17">
        <f>MIN(IF(B44=0,0,Table14[[#This Row],[Death Capital (1)]]),Table14[[#This Row],[Max Sum Insured For Death]])</f>
        <v>0</v>
      </c>
      <c r="U44" s="29">
        <f t="shared" si="10"/>
        <v>0</v>
      </c>
      <c r="V44" s="29">
        <f>IF(B44=0,0,IF(AND(Changes!Change="Yes", Changes!ValidityYear&lt;=Table14[[#This Row],[Year]], Changes!ChangeType="Rider Inclusion/Exclusion", Changes!RiderType="Accident Death"), T44*Changes!NewChangedValue,IF(db!$D$6="Yes",(db!$B$6)*T44,0)))</f>
        <v>0</v>
      </c>
      <c r="W44" s="29">
        <f>MIN(IF(V44&lt;=db!$L$2,V44,db!$L$2),MAX_ACC_CAPITAL)</f>
        <v>0</v>
      </c>
      <c r="X44" s="17">
        <f>IF(OR(B44=0,Table14[[#This Row],[Accident Capital (2)]]=0),0,IF(AND(Changes!Change="Yes", Changes!ValidityYear&lt;=Table14[[#This Row],[Year]], Changes!ChangeType="Rider Inclusion/Exclusion", Changes!RiderType="Accident Disability"), T44*Changes!NewChangedValue,IF(db!$D$7="Yes",(db!$B$7)*T44,0)))</f>
        <v>0</v>
      </c>
      <c r="Y44" s="42">
        <f>IF(C44&gt;69,0,IF(C44=0,0,IF(X44&lt;=db!$L$3,X44,db!$L$3)))</f>
        <v>0</v>
      </c>
      <c r="Z44" s="29">
        <f>IF(OR(B44=0,Table14[[#This Row],[Accident Capital (2)]]=0),0,IF(AND(Changes!Change="Yes", Changes!ValidityYear&lt;=Table14[[#This Row],[Year]], Changes!ChangeType="Rider Inclusion/Exclusion", Changes!RiderType="Accident Medical Cost"), T44*Changes!NewChangedValue,IF(db!$D$9="Yes",(db!$B$9)*T44,0)))</f>
        <v>0</v>
      </c>
      <c r="AA44" s="29">
        <f>ROUND(IF(C44&gt;69,0,IF(C44=0,0,IF(Z44&lt;=db!$L$4,Z44,db!$L$4))),0)</f>
        <v>0</v>
      </c>
      <c r="AB44" s="38">
        <f>IF(AND(Changes!Change = "Yes", Changes!ChangeType = "Rider Inclusion/Exclusion", Changes!RiderType = "WOP"), IF( Changes!ValidityYear &lt;= Table14[[#This Row],[Year]], IF(WOP = "Yes", 0, 1),  IF(WOP = "Yes", 1, 0)), IF(AND(db!$D$8="Yes",C44&lt;=69,ROW()-1&lt;=InsurancePeriod), 1, 0))</f>
        <v>0</v>
      </c>
      <c r="AC44" s="17">
        <f>(AC45+K45)*AB44*((1)/(1+db!AA46))*(LOOKUP(C44,'Mortality Table'!$A$2:$A$108,'Mortality Table'!$E$2:$E$108))</f>
        <v>0</v>
      </c>
      <c r="AD44" s="340">
        <f>IF(AND(Changes!ValidityYear&lt;= Table14[[#This Row],[Year]],Changes!ChangeType="Change Value Adjustment",Changes!Change="Yes"), (AD45+L45)*AB44*((1)/(1+db!AA46))*(LOOKUP(C44,'Mortality Table'!$A$2:$A$108,'Mortality Table'!$E$2:$E$108)),Table14[[#This Row],[WOP Before Adj. BT]])</f>
        <v>0</v>
      </c>
      <c r="AE44" s="341">
        <f>IF(AND(Changes!Change="Yes", Changes!ChangeType="Change Value Adjustment"),Table14[[#This Row],[WOP Capital]],(AE45+O45)*AB44*((1)/(1+db!AA46))*(LOOKUP(D44,'Mortality Table'!$A$2:$A$108,'Mortality Table'!$E$2:$E$108)))</f>
        <v>0</v>
      </c>
      <c r="AF44" s="17">
        <f>IF(AND(Changes!Change="Yes", Changes!ValidityYear&lt;=ROW()-1),Table14[[#This Row],[WOP Capital]],Table14[[#This Row],[WOP without change]])</f>
        <v>0</v>
      </c>
      <c r="AG44" s="42">
        <f>IF(AND(Changes!Change="Yes", Changes!ValidityYear&lt;=Table14[[#This Row],[Year]], Changes!ChangeType="Rider Inclusion/Exclusion", Changes!RiderType="Disability Annuity"), L44*Changes!NewChangedValue,L44*db!B$10*IF(db!$D$10="Yes",1,0))</f>
        <v>0</v>
      </c>
      <c r="AH44" s="29">
        <f>Table14[[#This Row],[Code Annuity Capital]]*IF('Annual Calculation'!C44&gt;69,0,(LOOKUP('Annual Calculation'!C44+1,'Mortality Table'!$A$2:$A$108,'Mortality Table'!$O$2:$O$108)-LOOKUP('Annual Calculation'!C44+11,'Mortality Table'!$A$2:$A$108,'Mortality Table'!$O$2:$O$108))/LOOKUP('Annual Calculation'!C44,'Mortality Table'!$A$2:$A$108,'Mortality Table'!$M$2:$M$108))</f>
        <v>0</v>
      </c>
      <c r="AI44" s="17">
        <f>IF(B44=0,0,IF(AND(Changes!Change="Yes", Changes!ValidityYear&lt;=Table14[[#This Row],[Year]], Changes!ChangeType="Rider Inclusion/Exclusion", Changes!RiderType="Dread Disease"), T44*Changes!NewChangedValue,IF(db!$D$11="Yes",(db!$B$11)*T44,0)))</f>
        <v>0</v>
      </c>
      <c r="AJ44" s="42">
        <f>ROUND(IF(C44&gt;59,0,IF(C44=0,0,IF(AI44&lt;=db!$L$5,AI44,db!$L$5))),0)</f>
        <v>0</v>
      </c>
      <c r="AK44" s="29">
        <f>IF(B44=0,0,IF(AND(Changes!Change="Yes", Changes!ValidityYear&lt;=Table14[[#This Row],[Year]], Changes!ChangeType="Rider Inclusion/Exclusion", Changes!RiderType="Cancer"), T44*Changes!NewChangedValue,IF(db!$D$12="Yes",(db!$B$12)*T44,0)))</f>
        <v>0</v>
      </c>
      <c r="AL44" s="29">
        <f>ROUND(IF(C44&gt;59,0,IF(C44=0,0,IF(AK44&lt;=db!$L$6,AK44,db!$L$6))),0)</f>
        <v>0</v>
      </c>
      <c r="AM44" s="32"/>
      <c r="AN44" s="18">
        <f>IF(B44=0,0,IF(C44&lt;(db!$E$2+5),LOOKUP(C44,'Mortality Table'!$A$2:$A$108,'Mortality Table'!$P$2:$P$108),IF((C44&gt;=db!$E$2+10),LOOKUP(C44,'Mortality Table'!$A$2:$A$108,'Mortality Table'!$R$2:$R$108),LOOKUP(C44,'Mortality Table'!$A$2:$A$108,'Mortality Table'!$Q$2:$Q$108))))</f>
        <v>0</v>
      </c>
      <c r="AO44" s="22">
        <f t="shared" si="2"/>
        <v>0</v>
      </c>
      <c r="AP44" s="19">
        <f>IF(B44=0,0, LOOKUP(IF(AND(Changes!Change="Yes", Changes!ValidityYear&lt;=Table14[[#This Row],[Year]], Changes!ChangeType="Change Job Class"),Changes!NewChangedValue, db!$A$8),db!$AX$4:$AX$8,db!$AY$4:$AY$8))</f>
        <v>0</v>
      </c>
      <c r="AQ44" s="20">
        <f>ROUND((AP44/1000)*W44 * (1-db!$AS$9),0)</f>
        <v>0</v>
      </c>
      <c r="AR44" s="20">
        <f>(AP44/1000)*W44 * db!$AS$9</f>
        <v>0</v>
      </c>
      <c r="AS44" s="21">
        <f>IF(B44=0,0, LOOKUP(IF(AND(Changes!Change="Yes", Changes!ValidityYear&lt;=Table14[[#This Row],[Year]], Changes!ChangeType="Change Job Class"),Changes!NewChangedValue, db!$A$8),db!$AX$4:$AX$8,db!$AZ$4:$AZ$8))</f>
        <v>0</v>
      </c>
      <c r="AT44" s="22">
        <f>(AS44/1000)*Y44*(1-db!$AS$9)</f>
        <v>0</v>
      </c>
      <c r="AU44" s="22">
        <f>(AS44/1000)*Y44*(db!$AS$9)</f>
        <v>0</v>
      </c>
      <c r="AV44" s="23">
        <f>IF(B44=0,0, LOOKUP(IF(AND(Changes!Change="Yes", Changes!ValidityYear&lt;=Table14[[#This Row],[Year]], Changes!ChangeType="Change Job Class"),Changes!NewChangedValue, db!$A$8),db!$AX$4:$AX$8,db!$BA$4:$BA$8))</f>
        <v>0</v>
      </c>
      <c r="AW44" s="20">
        <f>ROUND((AV44/(100))*AA44*(1-db!$AS$9),0)</f>
        <v>0</v>
      </c>
      <c r="AX44" s="20">
        <f>ROUND((AV44/(100))*AA44*(db!$AS$9),0)</f>
        <v>0</v>
      </c>
      <c r="AY44" s="21">
        <f>IF(db!$D$8="Yes",AS44,0)</f>
        <v>0</v>
      </c>
      <c r="AZ44" s="22">
        <f>(AY44*AF44)/1000*(1-db!$AS$9)</f>
        <v>0</v>
      </c>
      <c r="BA44" s="22">
        <f>(AY44*AF44)/1000*(db!$AS$9)</f>
        <v>0</v>
      </c>
      <c r="BB44" s="23">
        <f t="shared" si="3"/>
        <v>0</v>
      </c>
      <c r="BC44" s="20">
        <f>(BB44*AH44/1000)*(1-db!$AS$9)</f>
        <v>0</v>
      </c>
      <c r="BD44" s="20">
        <f>(BB44*AH44/1000)*(db!$AS$9)</f>
        <v>0</v>
      </c>
      <c r="BE44" s="22">
        <f>IF(B44=0,0,IF(C44&gt;60,0,LOOKUP(Table14[[#This Row],[Medical
Age]],db!$BC$3:$BC$63,db!$BD$3:$BD$63)))</f>
        <v>0</v>
      </c>
      <c r="BF44" s="22">
        <f>BG44*db!$AS$10</f>
        <v>0</v>
      </c>
      <c r="BG44" s="22">
        <f t="shared" si="4"/>
        <v>0</v>
      </c>
      <c r="BH44" s="22">
        <f>(BE44/1000000)*AJ44*(1-db!$AS$10)</f>
        <v>0</v>
      </c>
      <c r="BI44" s="20">
        <f>IF(B44=0,0,IF(C44&gt;59,0,LOOKUP(Table14[[#This Row],[Medical
Age]],db!$BC$3:$BC$63,db!$BE$3:$BE$63)))</f>
        <v>0</v>
      </c>
      <c r="BJ44" s="20">
        <f>(BI44/1000000)*AL44*(1-db!$AS$11)</f>
        <v>0</v>
      </c>
      <c r="BK44" s="20">
        <f>(BI44/1000000)*AL44*(db!$AS$11)</f>
        <v>0</v>
      </c>
      <c r="BL44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44" s="20">
        <f>Table14[[#This Row],[RiskLoading
Rate]]*Table14[[#This Row],[Death Capital (2)]]</f>
        <v>0</v>
      </c>
      <c r="BN44" s="36"/>
      <c r="BO44" s="37">
        <f t="shared" si="5"/>
        <v>0</v>
      </c>
      <c r="BP44" s="35">
        <f t="shared" si="6"/>
        <v>0</v>
      </c>
      <c r="BQ44" s="35">
        <f t="shared" si="7"/>
        <v>0</v>
      </c>
      <c r="BR44" s="37">
        <f t="shared" si="11"/>
        <v>0</v>
      </c>
      <c r="BS44" s="37">
        <f t="shared" si="12"/>
        <v>0</v>
      </c>
      <c r="BT44" s="35">
        <f t="shared" si="13"/>
        <v>0</v>
      </c>
      <c r="BU44" s="35">
        <f t="shared" si="14"/>
        <v>0</v>
      </c>
      <c r="BV44" s="37">
        <f>(db!$AS$4/100)*(L44-BT44-BU44)</f>
        <v>0</v>
      </c>
      <c r="BW44" s="37">
        <f>(db!$AS$8/100)*(L44-BT44-BU44)</f>
        <v>0</v>
      </c>
      <c r="BX44" s="35"/>
      <c r="BY44" s="37"/>
      <c r="BZ44" s="37"/>
      <c r="CA44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44" s="33"/>
      <c r="CC44" s="39">
        <f>ROUND((Table14[[#This Row],[Premium]]-Table14[[#This Row],[All Deductions]]),0)</f>
        <v>0</v>
      </c>
      <c r="CD44" s="40">
        <f>ROUND(IF(B44=0,0,((CC44)*(1+ IF(AND(Changes!Change="Yes",Changes!ValidityYear&lt;=Table14[[#This Row],[Year]],Annulment&gt;Table14[[#This Row],[Year]],Changes!ChangeType="Paid-Up"),db!Y46+0.02,db!Y46)))+((CD43)*(1+IF(AND(Changes!Change="Yes",Changes!ValidityYear&lt;=Table14[[#This Row],[Year]],Annulment&gt;Table14[[#This Row],[Year]],Changes!ChangeType="Paid-Up"),db!U46+0.02,db!U46)))),0)</f>
        <v>0</v>
      </c>
      <c r="CE44" s="40">
        <f>ROUND(IF(B44=0,0,((CC44)*(1+db!Y46))+((CE43)*(1+db!U46))),0)</f>
        <v>0</v>
      </c>
      <c r="CF44" s="40">
        <f t="shared" si="19"/>
        <v>0</v>
      </c>
      <c r="CG44" s="15">
        <f t="shared" si="15"/>
        <v>43</v>
      </c>
      <c r="CH44" s="39">
        <f>IF(B44=0,0,((CC44)*(1+db!AH46))+((CH43)*(1+db!AD46)))</f>
        <v>0</v>
      </c>
      <c r="CI44" s="39">
        <f>IF(B44=0,0,((CC44)*(1+db!AH46))+((CI43)*(1+db!AD46)))</f>
        <v>0</v>
      </c>
      <c r="CJ44" s="40">
        <f>IF(B44=0,0,((CC44)*(1+db!AO46))+((CJ43)*(1+db!AK46)))</f>
        <v>0</v>
      </c>
      <c r="CK44" s="40">
        <f>CJ44-(SUM(BX$7:$BX45))</f>
        <v>0</v>
      </c>
      <c r="CL44" s="46"/>
    </row>
    <row r="45" spans="1:90">
      <c r="A45" s="347">
        <f t="shared" si="16"/>
        <v>44</v>
      </c>
      <c r="B45" s="345">
        <f>IF(AND(Changes!Change="Yes", Changes!ChangeType="Change Contract Duration"),IF(B44=0,0,IF(Changes!NewChangedValue&lt;B44+1,0,B44+1)),IF(B44=0,0,IF('Application Annually'!$C$5&lt;B44+1,0,B44+1)))</f>
        <v>0</v>
      </c>
      <c r="C45" s="15">
        <f t="shared" si="17"/>
        <v>0</v>
      </c>
      <c r="D45" s="312">
        <f t="shared" si="18"/>
        <v>71</v>
      </c>
      <c r="E45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45" s="29">
        <f t="shared" si="8"/>
        <v>0</v>
      </c>
      <c r="G45" s="29">
        <f t="shared" si="9"/>
        <v>0</v>
      </c>
      <c r="H45" s="29">
        <f t="shared" si="0"/>
        <v>0</v>
      </c>
      <c r="I45" s="29">
        <f>IF(B45&gt;0,IF(AND(Table14[[#This Row],[Year]]&gt;Changes!ValidityYear,Changes!Change="Yes",Changes!ChangeType="Change Value Adjustment"),Changes!$G$22,'Application Annually'!$C$11),0)</f>
        <v>0</v>
      </c>
      <c r="J45" s="29">
        <f>IF(B45&gt;0,IF(AND(Table14[[#This Row],[Year]]&gt;Changes!ValidityYear,Changes!Change="Yes",Changes!ChangeType="Change Value Adjustment"),Changes!$G$24,'Application Annually'!$C$7),0)</f>
        <v>0</v>
      </c>
      <c r="K45" s="29">
        <f>ROUND(IF(B45=0,0,IF(AND(Changes!Change="Yes", Changes!ValidityYear=Table14[[#This Row],[Year]], Changes!ChangeType="Change Premium"), Changes!NewChangedValue, (K44*(1+db!$B$3)))),0)</f>
        <v>0</v>
      </c>
      <c r="L45" s="29">
        <f>ROUND(IF(B45=0,0,IF(AND(Changes!Change="Yes", Changes!ValidityYear=Table14[[#This Row],[Year]], Changes!ChangeType="Change Premium"), Changes!NewChangedValue, (L44*(1+Table14[[#This Row],[Adjustment Factor of Premium]]/100)))),0)</f>
        <v>0</v>
      </c>
      <c r="M45" s="29">
        <f>IF(Table14[[#This Row],[Year]]=1,ROUND(MIN($L$2 -( Table14[[#This Row],[Riders Risk Premiums]] + Table14[[#This Row],[Acquisition Cost]]) *0.75,Table14[[#This Row],[Death Capital (1)]]* 0.03),0),0)</f>
        <v>0</v>
      </c>
      <c r="N45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45" s="29">
        <f>ROUND(IF(ROW()-1&gt;InsurancePeriod,0,(O44*(1+(Table14[[#This Row],[Adjustment Factor of Premium]]/100)))),0)</f>
        <v>0</v>
      </c>
      <c r="P45" s="29">
        <f>IF(Table14[Year] = 0, 0, SUM(L$2:L45))</f>
        <v>0</v>
      </c>
      <c r="Q45" s="17">
        <f t="shared" si="1"/>
        <v>0</v>
      </c>
      <c r="R45" s="17">
        <f>IF(Table14[[#This Row],[Year]]=0,0,IF($C$2&lt;=50,LOOKUP(Table14[[#This Row],[Age]],db!BG46:BG152,db!BH46:BH152),LOOKUP(Table14[[#This Row],[Age]],db!BJ46:BJ152,db!BK46:BK152)))</f>
        <v>0</v>
      </c>
      <c r="S45" s="17">
        <f>IF(B45=0,0, IF(AND(Changes!Change="Yes", Changes!ValidityYear=Table14[[#This Row],[Year]], Changes!ChangeType="Change Death Capital"), Changes!NewChangedValue, S44*(1+(Table14[[#This Row],[Adjustment Factor of Death Capital]]/100))))</f>
        <v>0</v>
      </c>
      <c r="T45" s="17">
        <f>MIN(IF(B45=0,0,Table14[[#This Row],[Death Capital (1)]]),Table14[[#This Row],[Max Sum Insured For Death]])</f>
        <v>0</v>
      </c>
      <c r="U45" s="29">
        <f t="shared" si="10"/>
        <v>0</v>
      </c>
      <c r="V45" s="29">
        <f>IF(B45=0,0,IF(AND(Changes!Change="Yes", Changes!ValidityYear&lt;=Table14[[#This Row],[Year]], Changes!ChangeType="Rider Inclusion/Exclusion", Changes!RiderType="Accident Death"), T45*Changes!NewChangedValue,IF(db!$D$6="Yes",(db!$B$6)*T45,0)))</f>
        <v>0</v>
      </c>
      <c r="W45" s="29">
        <f>MIN(IF(V45&lt;=db!$L$2,V45,db!$L$2),MAX_ACC_CAPITAL)</f>
        <v>0</v>
      </c>
      <c r="X45" s="17">
        <f>IF(OR(B45=0,Table14[[#This Row],[Accident Capital (2)]]=0),0,IF(AND(Changes!Change="Yes", Changes!ValidityYear&lt;=Table14[[#This Row],[Year]], Changes!ChangeType="Rider Inclusion/Exclusion", Changes!RiderType="Accident Disability"), T45*Changes!NewChangedValue,IF(db!$D$7="Yes",(db!$B$7)*T45,0)))</f>
        <v>0</v>
      </c>
      <c r="Y45" s="42">
        <f>IF(C45&gt;69,0,IF(C45=0,0,IF(X45&lt;=db!$L$3,X45,db!$L$3)))</f>
        <v>0</v>
      </c>
      <c r="Z45" s="29">
        <f>IF(OR(B45=0,Table14[[#This Row],[Accident Capital (2)]]=0),0,IF(AND(Changes!Change="Yes", Changes!ValidityYear&lt;=Table14[[#This Row],[Year]], Changes!ChangeType="Rider Inclusion/Exclusion", Changes!RiderType="Accident Medical Cost"), T45*Changes!NewChangedValue,IF(db!$D$9="Yes",(db!$B$9)*T45,0)))</f>
        <v>0</v>
      </c>
      <c r="AA45" s="29">
        <f>ROUND(IF(C45&gt;69,0,IF(C45=0,0,IF(Z45&lt;=db!$L$4,Z45,db!$L$4))),0)</f>
        <v>0</v>
      </c>
      <c r="AB45" s="38">
        <f>IF(AND(Changes!Change = "Yes", Changes!ChangeType = "Rider Inclusion/Exclusion", Changes!RiderType = "WOP"), IF( Changes!ValidityYear &lt;= Table14[[#This Row],[Year]], IF(WOP = "Yes", 0, 1),  IF(WOP = "Yes", 1, 0)), IF(AND(db!$D$8="Yes",C45&lt;=69,ROW()-1&lt;=InsurancePeriod), 1, 0))</f>
        <v>0</v>
      </c>
      <c r="AC45" s="17">
        <f>(AC46+K46)*AB45*((1)/(1+db!AA47))*(LOOKUP(C45,'Mortality Table'!$A$2:$A$108,'Mortality Table'!$E$2:$E$108))</f>
        <v>0</v>
      </c>
      <c r="AD45" s="340">
        <f>IF(AND(Changes!ValidityYear&lt;= Table14[[#This Row],[Year]],Changes!ChangeType="Change Value Adjustment",Changes!Change="Yes"), (AD46+L46)*AB45*((1)/(1+db!AA47))*(LOOKUP(C45,'Mortality Table'!$A$2:$A$108,'Mortality Table'!$E$2:$E$108)),Table14[[#This Row],[WOP Before Adj. BT]])</f>
        <v>0</v>
      </c>
      <c r="AE45" s="341">
        <f>IF(AND(Changes!Change="Yes", Changes!ChangeType="Change Value Adjustment"),Table14[[#This Row],[WOP Capital]],(AE46+O46)*AB45*((1)/(1+db!AA47))*(LOOKUP(D45,'Mortality Table'!$A$2:$A$108,'Mortality Table'!$E$2:$E$108)))</f>
        <v>0</v>
      </c>
      <c r="AF45" s="17">
        <f>IF(AND(Changes!Change="Yes", Changes!ValidityYear&lt;=ROW()-1),Table14[[#This Row],[WOP Capital]],Table14[[#This Row],[WOP without change]])</f>
        <v>0</v>
      </c>
      <c r="AG45" s="42">
        <f>IF(AND(Changes!Change="Yes", Changes!ValidityYear&lt;=Table14[[#This Row],[Year]], Changes!ChangeType="Rider Inclusion/Exclusion", Changes!RiderType="Disability Annuity"), L45*Changes!NewChangedValue,L45*db!B$10*IF(db!$D$10="Yes",1,0))</f>
        <v>0</v>
      </c>
      <c r="AH45" s="29">
        <f>Table14[[#This Row],[Code Annuity Capital]]*IF('Annual Calculation'!C45&gt;69,0,(LOOKUP('Annual Calculation'!C45+1,'Mortality Table'!$A$2:$A$108,'Mortality Table'!$O$2:$O$108)-LOOKUP('Annual Calculation'!C45+11,'Mortality Table'!$A$2:$A$108,'Mortality Table'!$O$2:$O$108))/LOOKUP('Annual Calculation'!C45,'Mortality Table'!$A$2:$A$108,'Mortality Table'!$M$2:$M$108))</f>
        <v>0</v>
      </c>
      <c r="AI45" s="17">
        <f>IF(B45=0,0,IF(AND(Changes!Change="Yes", Changes!ValidityYear&lt;=Table14[[#This Row],[Year]], Changes!ChangeType="Rider Inclusion/Exclusion", Changes!RiderType="Dread Disease"), T45*Changes!NewChangedValue,IF(db!$D$11="Yes",(db!$B$11)*T45,0)))</f>
        <v>0</v>
      </c>
      <c r="AJ45" s="42">
        <f>ROUND(IF(C45&gt;59,0,IF(C45=0,0,IF(AI45&lt;=db!$L$5,AI45,db!$L$5))),0)</f>
        <v>0</v>
      </c>
      <c r="AK45" s="29">
        <f>IF(B45=0,0,IF(AND(Changes!Change="Yes", Changes!ValidityYear&lt;=Table14[[#This Row],[Year]], Changes!ChangeType="Rider Inclusion/Exclusion", Changes!RiderType="Cancer"), T45*Changes!NewChangedValue,IF(db!$D$12="Yes",(db!$B$12)*T45,0)))</f>
        <v>0</v>
      </c>
      <c r="AL45" s="29">
        <f>ROUND(IF(C45&gt;59,0,IF(C45=0,0,IF(AK45&lt;=db!$L$6,AK45,db!$L$6))),0)</f>
        <v>0</v>
      </c>
      <c r="AM45" s="32"/>
      <c r="AN45" s="18">
        <f>IF(B45=0,0,IF(C45&lt;(db!$E$2+5),LOOKUP(C45,'Mortality Table'!$A$2:$A$108,'Mortality Table'!$P$2:$P$108),IF((C45&gt;=db!$E$2+10),LOOKUP(C45,'Mortality Table'!$A$2:$A$108,'Mortality Table'!$R$2:$R$108),LOOKUP(C45,'Mortality Table'!$A$2:$A$108,'Mortality Table'!$Q$2:$Q$108))))</f>
        <v>0</v>
      </c>
      <c r="AO45" s="22">
        <f t="shared" si="2"/>
        <v>0</v>
      </c>
      <c r="AP45" s="19">
        <f>IF(B45=0,0, LOOKUP(IF(AND(Changes!Change="Yes", Changes!ValidityYear&lt;=Table14[[#This Row],[Year]], Changes!ChangeType="Change Job Class"),Changes!NewChangedValue, db!$A$8),db!$AX$4:$AX$8,db!$AY$4:$AY$8))</f>
        <v>0</v>
      </c>
      <c r="AQ45" s="20">
        <f>ROUND((AP45/1000)*W45 * (1-db!$AS$9),0)</f>
        <v>0</v>
      </c>
      <c r="AR45" s="20">
        <f>(AP45/1000)*W45 * db!$AS$9</f>
        <v>0</v>
      </c>
      <c r="AS45" s="21">
        <f>IF(B45=0,0, LOOKUP(IF(AND(Changes!Change="Yes", Changes!ValidityYear&lt;=Table14[[#This Row],[Year]], Changes!ChangeType="Change Job Class"),Changes!NewChangedValue, db!$A$8),db!$AX$4:$AX$8,db!$AZ$4:$AZ$8))</f>
        <v>0</v>
      </c>
      <c r="AT45" s="22">
        <f>(AS45/1000)*Y45*(1-db!$AS$9)</f>
        <v>0</v>
      </c>
      <c r="AU45" s="22">
        <f>(AS45/1000)*Y45*(db!$AS$9)</f>
        <v>0</v>
      </c>
      <c r="AV45" s="23">
        <f>IF(B45=0,0, LOOKUP(IF(AND(Changes!Change="Yes", Changes!ValidityYear&lt;=Table14[[#This Row],[Year]], Changes!ChangeType="Change Job Class"),Changes!NewChangedValue, db!$A$8),db!$AX$4:$AX$8,db!$BA$4:$BA$8))</f>
        <v>0</v>
      </c>
      <c r="AW45" s="20">
        <f>ROUND((AV45/(100))*AA45*(1-db!$AS$9),0)</f>
        <v>0</v>
      </c>
      <c r="AX45" s="20">
        <f>ROUND((AV45/(100))*AA45*(db!$AS$9),0)</f>
        <v>0</v>
      </c>
      <c r="AY45" s="21">
        <f>IF(db!$D$8="Yes",AS45,0)</f>
        <v>0</v>
      </c>
      <c r="AZ45" s="22">
        <f>(AY45*AF45)/1000*(1-db!$AS$9)</f>
        <v>0</v>
      </c>
      <c r="BA45" s="22">
        <f>(AY45*AF45)/1000*(db!$AS$9)</f>
        <v>0</v>
      </c>
      <c r="BB45" s="23">
        <f t="shared" si="3"/>
        <v>0</v>
      </c>
      <c r="BC45" s="20">
        <f>(BB45*AH45/1000)*(1-db!$AS$9)</f>
        <v>0</v>
      </c>
      <c r="BD45" s="20">
        <f>(BB45*AH45/1000)*(db!$AS$9)</f>
        <v>0</v>
      </c>
      <c r="BE45" s="22">
        <f>IF(B45=0,0,IF(C45&gt;60,0,LOOKUP(Table14[[#This Row],[Medical
Age]],db!$BC$3:$BC$63,db!$BD$3:$BD$63)))</f>
        <v>0</v>
      </c>
      <c r="BF45" s="22">
        <f>BG45*db!$AS$10</f>
        <v>0</v>
      </c>
      <c r="BG45" s="22">
        <f t="shared" si="4"/>
        <v>0</v>
      </c>
      <c r="BH45" s="22">
        <f>(BE45/1000000)*AJ45*(1-db!$AS$10)</f>
        <v>0</v>
      </c>
      <c r="BI45" s="20">
        <f>IF(B45=0,0,IF(C45&gt;59,0,LOOKUP(Table14[[#This Row],[Medical
Age]],db!$BC$3:$BC$63,db!$BE$3:$BE$63)))</f>
        <v>0</v>
      </c>
      <c r="BJ45" s="20">
        <f>(BI45/1000000)*AL45*(1-db!$AS$11)</f>
        <v>0</v>
      </c>
      <c r="BK45" s="20">
        <f>(BI45/1000000)*AL45*(db!$AS$11)</f>
        <v>0</v>
      </c>
      <c r="BL45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45" s="20">
        <f>Table14[[#This Row],[RiskLoading
Rate]]*Table14[[#This Row],[Death Capital (2)]]</f>
        <v>0</v>
      </c>
      <c r="BN45" s="36"/>
      <c r="BO45" s="37">
        <f t="shared" si="5"/>
        <v>0</v>
      </c>
      <c r="BP45" s="35">
        <f t="shared" si="6"/>
        <v>0</v>
      </c>
      <c r="BQ45" s="35">
        <f t="shared" si="7"/>
        <v>0</v>
      </c>
      <c r="BR45" s="37">
        <f t="shared" si="11"/>
        <v>0</v>
      </c>
      <c r="BS45" s="37">
        <f t="shared" si="12"/>
        <v>0</v>
      </c>
      <c r="BT45" s="35">
        <f t="shared" si="13"/>
        <v>0</v>
      </c>
      <c r="BU45" s="35">
        <f t="shared" si="14"/>
        <v>0</v>
      </c>
      <c r="BV45" s="37">
        <f>(db!$AS$4/100)*(L45-BT45-BU45)</f>
        <v>0</v>
      </c>
      <c r="BW45" s="37">
        <f>(db!$AS$8/100)*(L45-BT45-BU45)</f>
        <v>0</v>
      </c>
      <c r="BX45" s="35"/>
      <c r="BY45" s="37"/>
      <c r="BZ45" s="37"/>
      <c r="CA45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45" s="33"/>
      <c r="CC45" s="39">
        <f>ROUND((Table14[[#This Row],[Premium]]-Table14[[#This Row],[All Deductions]]),0)</f>
        <v>0</v>
      </c>
      <c r="CD45" s="40">
        <f>ROUND(IF(B45=0,0,((CC45)*(1+ IF(AND(Changes!Change="Yes",Changes!ValidityYear&lt;=Table14[[#This Row],[Year]],Annulment&gt;Table14[[#This Row],[Year]],Changes!ChangeType="Paid-Up"),db!Y47+0.02,db!Y47)))+((CD44)*(1+IF(AND(Changes!Change="Yes",Changes!ValidityYear&lt;=Table14[[#This Row],[Year]],Annulment&gt;Table14[[#This Row],[Year]],Changes!ChangeType="Paid-Up"),db!U47+0.02,db!U47)))),0)</f>
        <v>0</v>
      </c>
      <c r="CE45" s="40">
        <f>ROUND(IF(B45=0,0,((CC45)*(1+db!Y47))+((CE44)*(1+db!U47))),0)</f>
        <v>0</v>
      </c>
      <c r="CF45" s="40">
        <f t="shared" si="19"/>
        <v>0</v>
      </c>
      <c r="CG45" s="15">
        <f t="shared" si="15"/>
        <v>44</v>
      </c>
      <c r="CH45" s="39">
        <f>IF(B45=0,0,((CC45)*(1+db!AH47))+((CH44)*(1+db!AD47)))</f>
        <v>0</v>
      </c>
      <c r="CI45" s="39">
        <f>IF(B45=0,0,((CC45)*(1+db!AH47))+((CI44)*(1+db!AD47)))</f>
        <v>0</v>
      </c>
      <c r="CJ45" s="40">
        <f>IF(B45=0,0,((CC45)*(1+db!AO47))+((CJ44)*(1+db!AK47)))</f>
        <v>0</v>
      </c>
      <c r="CK45" s="40">
        <f>CJ45-(SUM(BX$7:$BX46))</f>
        <v>0</v>
      </c>
      <c r="CL45" s="46"/>
    </row>
    <row r="46" spans="1:90">
      <c r="A46" s="347">
        <f t="shared" si="16"/>
        <v>45</v>
      </c>
      <c r="B46" s="345">
        <f>IF(AND(Changes!Change="Yes", Changes!ChangeType="Change Contract Duration"),IF(B45=0,0,IF(Changes!NewChangedValue&lt;B45+1,0,B45+1)),IF(B45=0,0,IF('Application Annually'!$C$5&lt;B45+1,0,B45+1)))</f>
        <v>0</v>
      </c>
      <c r="C46" s="15">
        <f t="shared" si="17"/>
        <v>0</v>
      </c>
      <c r="D46" s="312">
        <f t="shared" si="18"/>
        <v>72</v>
      </c>
      <c r="E46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46" s="29">
        <f t="shared" si="8"/>
        <v>0</v>
      </c>
      <c r="G46" s="29">
        <f t="shared" si="9"/>
        <v>0</v>
      </c>
      <c r="H46" s="29">
        <f t="shared" si="0"/>
        <v>0</v>
      </c>
      <c r="I46" s="29">
        <f>IF(B46&gt;0,IF(AND(Table14[[#This Row],[Year]]&gt;Changes!ValidityYear,Changes!Change="Yes",Changes!ChangeType="Change Value Adjustment"),Changes!$G$22,'Application Annually'!$C$11),0)</f>
        <v>0</v>
      </c>
      <c r="J46" s="29">
        <f>IF(B46&gt;0,IF(AND(Table14[[#This Row],[Year]]&gt;Changes!ValidityYear,Changes!Change="Yes",Changes!ChangeType="Change Value Adjustment"),Changes!$G$24,'Application Annually'!$C$7),0)</f>
        <v>0</v>
      </c>
      <c r="K46" s="29">
        <f>ROUND(IF(B46=0,0,IF(AND(Changes!Change="Yes", Changes!ValidityYear=Table14[[#This Row],[Year]], Changes!ChangeType="Change Premium"), Changes!NewChangedValue, (K45*(1+db!$B$3)))),0)</f>
        <v>0</v>
      </c>
      <c r="L46" s="29">
        <f>ROUND(IF(B46=0,0,IF(AND(Changes!Change="Yes", Changes!ValidityYear=Table14[[#This Row],[Year]], Changes!ChangeType="Change Premium"), Changes!NewChangedValue, (L45*(1+Table14[[#This Row],[Adjustment Factor of Premium]]/100)))),0)</f>
        <v>0</v>
      </c>
      <c r="M46" s="29">
        <f>IF(Table14[[#This Row],[Year]]=1,ROUND(MIN($L$2 -( Table14[[#This Row],[Riders Risk Premiums]] + Table14[[#This Row],[Acquisition Cost]]) *0.75,Table14[[#This Row],[Death Capital (1)]]* 0.03),0),0)</f>
        <v>0</v>
      </c>
      <c r="N46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46" s="29">
        <f>ROUND(IF(ROW()-1&gt;InsurancePeriod,0,(O45*(1+(Table14[[#This Row],[Adjustment Factor of Premium]]/100)))),0)</f>
        <v>0</v>
      </c>
      <c r="P46" s="29">
        <f>IF(Table14[Year] = 0, 0, SUM(L$2:L46))</f>
        <v>0</v>
      </c>
      <c r="Q46" s="17">
        <f t="shared" si="1"/>
        <v>0</v>
      </c>
      <c r="R46" s="17">
        <f>IF(Table14[[#This Row],[Year]]=0,0,IF($C$2&lt;=50,LOOKUP(Table14[[#This Row],[Age]],db!BG47:BG153,db!BH47:BH153),LOOKUP(Table14[[#This Row],[Age]],db!BJ47:BJ153,db!BK47:BK153)))</f>
        <v>0</v>
      </c>
      <c r="S46" s="17">
        <f>IF(B46=0,0, IF(AND(Changes!Change="Yes", Changes!ValidityYear=Table14[[#This Row],[Year]], Changes!ChangeType="Change Death Capital"), Changes!NewChangedValue, S45*(1+(Table14[[#This Row],[Adjustment Factor of Death Capital]]/100))))</f>
        <v>0</v>
      </c>
      <c r="T46" s="17">
        <f>MIN(IF(B46=0,0,Table14[[#This Row],[Death Capital (1)]]),Table14[[#This Row],[Max Sum Insured For Death]])</f>
        <v>0</v>
      </c>
      <c r="U46" s="29">
        <f t="shared" si="10"/>
        <v>0</v>
      </c>
      <c r="V46" s="29">
        <f>IF(B46=0,0,IF(AND(Changes!Change="Yes", Changes!ValidityYear&lt;=Table14[[#This Row],[Year]], Changes!ChangeType="Rider Inclusion/Exclusion", Changes!RiderType="Accident Death"), T46*Changes!NewChangedValue,IF(db!$D$6="Yes",(db!$B$6)*T46,0)))</f>
        <v>0</v>
      </c>
      <c r="W46" s="29">
        <f>MIN(IF(V46&lt;=db!$L$2,V46,db!$L$2),MAX_ACC_CAPITAL)</f>
        <v>0</v>
      </c>
      <c r="X46" s="17">
        <f>IF(OR(B46=0,Table14[[#This Row],[Accident Capital (2)]]=0),0,IF(AND(Changes!Change="Yes", Changes!ValidityYear&lt;=Table14[[#This Row],[Year]], Changes!ChangeType="Rider Inclusion/Exclusion", Changes!RiderType="Accident Disability"), T46*Changes!NewChangedValue,IF(db!$D$7="Yes",(db!$B$7)*T46,0)))</f>
        <v>0</v>
      </c>
      <c r="Y46" s="42">
        <f>IF(C46&gt;69,0,IF(C46=0,0,IF(X46&lt;=db!$L$3,X46,db!$L$3)))</f>
        <v>0</v>
      </c>
      <c r="Z46" s="29">
        <f>IF(OR(B46=0,Table14[[#This Row],[Accident Capital (2)]]=0),0,IF(AND(Changes!Change="Yes", Changes!ValidityYear&lt;=Table14[[#This Row],[Year]], Changes!ChangeType="Rider Inclusion/Exclusion", Changes!RiderType="Accident Medical Cost"), T46*Changes!NewChangedValue,IF(db!$D$9="Yes",(db!$B$9)*T46,0)))</f>
        <v>0</v>
      </c>
      <c r="AA46" s="29">
        <f>ROUND(IF(C46&gt;69,0,IF(C46=0,0,IF(Z46&lt;=db!$L$4,Z46,db!$L$4))),0)</f>
        <v>0</v>
      </c>
      <c r="AB46" s="38">
        <f>IF(AND(Changes!Change = "Yes", Changes!ChangeType = "Rider Inclusion/Exclusion", Changes!RiderType = "WOP"), IF( Changes!ValidityYear &lt;= Table14[[#This Row],[Year]], IF(WOP = "Yes", 0, 1),  IF(WOP = "Yes", 1, 0)), IF(AND(db!$D$8="Yes",C46&lt;=69,ROW()-1&lt;=InsurancePeriod), 1, 0))</f>
        <v>0</v>
      </c>
      <c r="AC46" s="17">
        <f>(AC47+K47)*AB46*((1)/(1+db!AA48))*(LOOKUP(C46,'Mortality Table'!$A$2:$A$108,'Mortality Table'!$E$2:$E$108))</f>
        <v>0</v>
      </c>
      <c r="AD46" s="340">
        <f>IF(AND(Changes!ValidityYear&lt;= Table14[[#This Row],[Year]],Changes!ChangeType="Change Value Adjustment",Changes!Change="Yes"), (AD47+L47)*AB46*((1)/(1+db!AA48))*(LOOKUP(C46,'Mortality Table'!$A$2:$A$108,'Mortality Table'!$E$2:$E$108)),Table14[[#This Row],[WOP Before Adj. BT]])</f>
        <v>0</v>
      </c>
      <c r="AE46" s="341">
        <f>IF(AND(Changes!Change="Yes", Changes!ChangeType="Change Value Adjustment"),Table14[[#This Row],[WOP Capital]],(AE47+O47)*AB46*((1)/(1+db!AA48))*(LOOKUP(D46,'Mortality Table'!$A$2:$A$108,'Mortality Table'!$E$2:$E$108)))</f>
        <v>0</v>
      </c>
      <c r="AF46" s="17">
        <f>IF(AND(Changes!Change="Yes", Changes!ValidityYear&lt;=ROW()-1),Table14[[#This Row],[WOP Capital]],Table14[[#This Row],[WOP without change]])</f>
        <v>0</v>
      </c>
      <c r="AG46" s="42">
        <f>IF(AND(Changes!Change="Yes", Changes!ValidityYear&lt;=Table14[[#This Row],[Year]], Changes!ChangeType="Rider Inclusion/Exclusion", Changes!RiderType="Disability Annuity"), L46*Changes!NewChangedValue,L46*db!B$10*IF(db!$D$10="Yes",1,0))</f>
        <v>0</v>
      </c>
      <c r="AH46" s="29">
        <f>Table14[[#This Row],[Code Annuity Capital]]*IF('Annual Calculation'!C46&gt;69,0,(LOOKUP('Annual Calculation'!C46+1,'Mortality Table'!$A$2:$A$108,'Mortality Table'!$O$2:$O$108)-LOOKUP('Annual Calculation'!C46+11,'Mortality Table'!$A$2:$A$108,'Mortality Table'!$O$2:$O$108))/LOOKUP('Annual Calculation'!C46,'Mortality Table'!$A$2:$A$108,'Mortality Table'!$M$2:$M$108))</f>
        <v>0</v>
      </c>
      <c r="AI46" s="17">
        <f>IF(B46=0,0,IF(AND(Changes!Change="Yes", Changes!ValidityYear&lt;=Table14[[#This Row],[Year]], Changes!ChangeType="Rider Inclusion/Exclusion", Changes!RiderType="Dread Disease"), T46*Changes!NewChangedValue,IF(db!$D$11="Yes",(db!$B$11)*T46,0)))</f>
        <v>0</v>
      </c>
      <c r="AJ46" s="42">
        <f>ROUND(IF(C46&gt;59,0,IF(C46=0,0,IF(AI46&lt;=db!$L$5,AI46,db!$L$5))),0)</f>
        <v>0</v>
      </c>
      <c r="AK46" s="29">
        <f>IF(B46=0,0,IF(AND(Changes!Change="Yes", Changes!ValidityYear&lt;=Table14[[#This Row],[Year]], Changes!ChangeType="Rider Inclusion/Exclusion", Changes!RiderType="Cancer"), T46*Changes!NewChangedValue,IF(db!$D$12="Yes",(db!$B$12)*T46,0)))</f>
        <v>0</v>
      </c>
      <c r="AL46" s="29">
        <f>ROUND(IF(C46&gt;59,0,IF(C46=0,0,IF(AK46&lt;=db!$L$6,AK46,db!$L$6))),0)</f>
        <v>0</v>
      </c>
      <c r="AM46" s="32"/>
      <c r="AN46" s="18">
        <f>IF(B46=0,0,IF(C46&lt;(db!$E$2+5),LOOKUP(C46,'Mortality Table'!$A$2:$A$108,'Mortality Table'!$P$2:$P$108),IF((C46&gt;=db!$E$2+10),LOOKUP(C46,'Mortality Table'!$A$2:$A$108,'Mortality Table'!$R$2:$R$108),LOOKUP(C46,'Mortality Table'!$A$2:$A$108,'Mortality Table'!$Q$2:$Q$108))))</f>
        <v>0</v>
      </c>
      <c r="AO46" s="22">
        <f t="shared" si="2"/>
        <v>0</v>
      </c>
      <c r="AP46" s="19">
        <f>IF(B46=0,0, LOOKUP(IF(AND(Changes!Change="Yes", Changes!ValidityYear&lt;=Table14[[#This Row],[Year]], Changes!ChangeType="Change Job Class"),Changes!NewChangedValue, db!$A$8),db!$AX$4:$AX$8,db!$AY$4:$AY$8))</f>
        <v>0</v>
      </c>
      <c r="AQ46" s="20">
        <f>ROUND((AP46/1000)*W46 * (1-db!$AS$9),0)</f>
        <v>0</v>
      </c>
      <c r="AR46" s="20">
        <f>(AP46/1000)*W46 * db!$AS$9</f>
        <v>0</v>
      </c>
      <c r="AS46" s="21">
        <f>IF(B46=0,0, LOOKUP(IF(AND(Changes!Change="Yes", Changes!ValidityYear&lt;=Table14[[#This Row],[Year]], Changes!ChangeType="Change Job Class"),Changes!NewChangedValue, db!$A$8),db!$AX$4:$AX$8,db!$AZ$4:$AZ$8))</f>
        <v>0</v>
      </c>
      <c r="AT46" s="22">
        <f>(AS46/1000)*Y46*(1-db!$AS$9)</f>
        <v>0</v>
      </c>
      <c r="AU46" s="22">
        <f>(AS46/1000)*Y46*(db!$AS$9)</f>
        <v>0</v>
      </c>
      <c r="AV46" s="23">
        <f>IF(B46=0,0, LOOKUP(IF(AND(Changes!Change="Yes", Changes!ValidityYear&lt;=Table14[[#This Row],[Year]], Changes!ChangeType="Change Job Class"),Changes!NewChangedValue, db!$A$8),db!$AX$4:$AX$8,db!$BA$4:$BA$8))</f>
        <v>0</v>
      </c>
      <c r="AW46" s="20">
        <f>ROUND((AV46/(100))*AA46*(1-db!$AS$9),0)</f>
        <v>0</v>
      </c>
      <c r="AX46" s="20">
        <f>ROUND((AV46/(100))*AA46*(db!$AS$9),0)</f>
        <v>0</v>
      </c>
      <c r="AY46" s="21">
        <f>IF(db!$D$8="Yes",AS46,0)</f>
        <v>0</v>
      </c>
      <c r="AZ46" s="22">
        <f>(AY46*AF46)/1000*(1-db!$AS$9)</f>
        <v>0</v>
      </c>
      <c r="BA46" s="22">
        <f>(AY46*AF46)/1000*(db!$AS$9)</f>
        <v>0</v>
      </c>
      <c r="BB46" s="23">
        <f t="shared" si="3"/>
        <v>0</v>
      </c>
      <c r="BC46" s="20">
        <f>(BB46*AH46/1000)*(1-db!$AS$9)</f>
        <v>0</v>
      </c>
      <c r="BD46" s="20">
        <f>(BB46*AH46/1000)*(db!$AS$9)</f>
        <v>0</v>
      </c>
      <c r="BE46" s="22">
        <f>IF(B46=0,0,IF(C46&gt;60,0,LOOKUP(Table14[[#This Row],[Medical
Age]],db!$BC$3:$BC$63,db!$BD$3:$BD$63)))</f>
        <v>0</v>
      </c>
      <c r="BF46" s="22">
        <f>BG46*db!$AS$10</f>
        <v>0</v>
      </c>
      <c r="BG46" s="22">
        <f t="shared" si="4"/>
        <v>0</v>
      </c>
      <c r="BH46" s="22">
        <f>(BE46/1000000)*AJ46*(1-db!$AS$10)</f>
        <v>0</v>
      </c>
      <c r="BI46" s="20">
        <f>IF(B46=0,0,IF(C46&gt;59,0,LOOKUP(Table14[[#This Row],[Medical
Age]],db!$BC$3:$BC$63,db!$BE$3:$BE$63)))</f>
        <v>0</v>
      </c>
      <c r="BJ46" s="20">
        <f>(BI46/1000000)*AL46*(1-db!$AS$11)</f>
        <v>0</v>
      </c>
      <c r="BK46" s="20">
        <f>(BI46/1000000)*AL46*(db!$AS$11)</f>
        <v>0</v>
      </c>
      <c r="BL46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46" s="20">
        <f>Table14[[#This Row],[RiskLoading
Rate]]*Table14[[#This Row],[Death Capital (2)]]</f>
        <v>0</v>
      </c>
      <c r="BN46" s="36"/>
      <c r="BO46" s="37">
        <f t="shared" si="5"/>
        <v>0</v>
      </c>
      <c r="BP46" s="35">
        <f t="shared" si="6"/>
        <v>0</v>
      </c>
      <c r="BQ46" s="35">
        <f t="shared" si="7"/>
        <v>0</v>
      </c>
      <c r="BR46" s="37">
        <f t="shared" si="11"/>
        <v>0</v>
      </c>
      <c r="BS46" s="37">
        <f t="shared" si="12"/>
        <v>0</v>
      </c>
      <c r="BT46" s="35">
        <f t="shared" si="13"/>
        <v>0</v>
      </c>
      <c r="BU46" s="35">
        <f t="shared" si="14"/>
        <v>0</v>
      </c>
      <c r="BV46" s="37">
        <f>(db!$AS$4/100)*(L46-BT46-BU46)</f>
        <v>0</v>
      </c>
      <c r="BW46" s="37">
        <f>(db!$AS$8/100)*(L46-BT46-BU46)</f>
        <v>0</v>
      </c>
      <c r="BX46" s="35"/>
      <c r="BY46" s="37"/>
      <c r="BZ46" s="37"/>
      <c r="CA46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46" s="33"/>
      <c r="CC46" s="39">
        <f>ROUND((Table14[[#This Row],[Premium]]-Table14[[#This Row],[All Deductions]]),0)</f>
        <v>0</v>
      </c>
      <c r="CD46" s="40">
        <f>ROUND(IF(B46=0,0,((CC46)*(1+ IF(AND(Changes!Change="Yes",Changes!ValidityYear&lt;=Table14[[#This Row],[Year]],Annulment&gt;Table14[[#This Row],[Year]],Changes!ChangeType="Paid-Up"),db!Y48+0.02,db!Y48)))+((CD45)*(1+IF(AND(Changes!Change="Yes",Changes!ValidityYear&lt;=Table14[[#This Row],[Year]],Annulment&gt;Table14[[#This Row],[Year]],Changes!ChangeType="Paid-Up"),db!U48+0.02,db!U48)))),0)</f>
        <v>0</v>
      </c>
      <c r="CE46" s="40">
        <f>ROUND(IF(B46=0,0,((CC46)*(1+db!Y48))+((CE45)*(1+db!U48))),0)</f>
        <v>0</v>
      </c>
      <c r="CF46" s="40">
        <f t="shared" si="19"/>
        <v>0</v>
      </c>
      <c r="CG46" s="15">
        <f t="shared" si="15"/>
        <v>45</v>
      </c>
      <c r="CH46" s="39">
        <f>IF(B46=0,0,((CC46)*(1+db!AH48))+((CH45)*(1+db!AD48)))</f>
        <v>0</v>
      </c>
      <c r="CI46" s="39">
        <f>IF(B46=0,0,((CC46)*(1+db!AH48))+((CI45)*(1+db!AD48)))</f>
        <v>0</v>
      </c>
      <c r="CJ46" s="40">
        <f>IF(B46=0,0,((CC46)*(1+db!AO48))+((CJ45)*(1+db!AK48)))</f>
        <v>0</v>
      </c>
      <c r="CK46" s="40">
        <f>CJ46-(SUM(BX$7:$BX47))</f>
        <v>0</v>
      </c>
      <c r="CL46" s="46"/>
    </row>
    <row r="47" spans="1:90">
      <c r="A47" s="347">
        <f t="shared" si="16"/>
        <v>46</v>
      </c>
      <c r="B47" s="345">
        <f>IF(AND(Changes!Change="Yes", Changes!ChangeType="Change Contract Duration"),IF(B46=0,0,IF(Changes!NewChangedValue&lt;B46+1,0,B46+1)),IF(B46=0,0,IF('Application Annually'!$C$5&lt;B46+1,0,B46+1)))</f>
        <v>0</v>
      </c>
      <c r="C47" s="15">
        <f t="shared" si="17"/>
        <v>0</v>
      </c>
      <c r="D47" s="312">
        <f t="shared" si="18"/>
        <v>73</v>
      </c>
      <c r="E47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47" s="29">
        <f t="shared" si="8"/>
        <v>0</v>
      </c>
      <c r="G47" s="29">
        <f t="shared" si="9"/>
        <v>0</v>
      </c>
      <c r="H47" s="29">
        <f t="shared" si="0"/>
        <v>0</v>
      </c>
      <c r="I47" s="29">
        <f>IF(B47&gt;0,IF(AND(Table14[[#This Row],[Year]]&gt;Changes!ValidityYear,Changes!Change="Yes",Changes!ChangeType="Change Value Adjustment"),Changes!$G$22,'Application Annually'!$C$11),0)</f>
        <v>0</v>
      </c>
      <c r="J47" s="29">
        <f>IF(B47&gt;0,IF(AND(Table14[[#This Row],[Year]]&gt;Changes!ValidityYear,Changes!Change="Yes",Changes!ChangeType="Change Value Adjustment"),Changes!$G$24,'Application Annually'!$C$7),0)</f>
        <v>0</v>
      </c>
      <c r="K47" s="29">
        <f>ROUND(IF(B47=0,0,IF(AND(Changes!Change="Yes", Changes!ValidityYear=Table14[[#This Row],[Year]], Changes!ChangeType="Change Premium"), Changes!NewChangedValue, (K46*(1+db!$B$3)))),0)</f>
        <v>0</v>
      </c>
      <c r="L47" s="29">
        <f>ROUND(IF(B47=0,0,IF(AND(Changes!Change="Yes", Changes!ValidityYear=Table14[[#This Row],[Year]], Changes!ChangeType="Change Premium"), Changes!NewChangedValue, (L46*(1+Table14[[#This Row],[Adjustment Factor of Premium]]/100)))),0)</f>
        <v>0</v>
      </c>
      <c r="M47" s="29">
        <f>IF(Table14[[#This Row],[Year]]=1,ROUND(MIN($L$2 -( Table14[[#This Row],[Riders Risk Premiums]] + Table14[[#This Row],[Acquisition Cost]]) *0.75,Table14[[#This Row],[Death Capital (1)]]* 0.03),0),0)</f>
        <v>0</v>
      </c>
      <c r="N47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47" s="29">
        <f>ROUND(IF(ROW()-1&gt;InsurancePeriod,0,(O46*(1+(Table14[[#This Row],[Adjustment Factor of Premium]]/100)))),0)</f>
        <v>0</v>
      </c>
      <c r="P47" s="29">
        <f>IF(Table14[Year] = 0, 0, SUM(L$2:L47))</f>
        <v>0</v>
      </c>
      <c r="Q47" s="17">
        <f t="shared" si="1"/>
        <v>0</v>
      </c>
      <c r="R47" s="17">
        <f>IF(Table14[[#This Row],[Year]]=0,0,IF($C$2&lt;=50,LOOKUP(Table14[[#This Row],[Age]],db!BG48:BG154,db!BH48:BH154),LOOKUP(Table14[[#This Row],[Age]],db!BJ48:BJ154,db!BK48:BK154)))</f>
        <v>0</v>
      </c>
      <c r="S47" s="17">
        <f>IF(B47=0,0, IF(AND(Changes!Change="Yes", Changes!ValidityYear=Table14[[#This Row],[Year]], Changes!ChangeType="Change Death Capital"), Changes!NewChangedValue, S46*(1+(Table14[[#This Row],[Adjustment Factor of Death Capital]]/100))))</f>
        <v>0</v>
      </c>
      <c r="T47" s="17">
        <f>MIN(IF(B47=0,0,Table14[[#This Row],[Death Capital (1)]]),Table14[[#This Row],[Max Sum Insured For Death]])</f>
        <v>0</v>
      </c>
      <c r="U47" s="29">
        <f t="shared" si="10"/>
        <v>0</v>
      </c>
      <c r="V47" s="29">
        <f>IF(B47=0,0,IF(AND(Changes!Change="Yes", Changes!ValidityYear&lt;=Table14[[#This Row],[Year]], Changes!ChangeType="Rider Inclusion/Exclusion", Changes!RiderType="Accident Death"), T47*Changes!NewChangedValue,IF(db!$D$6="Yes",(db!$B$6)*T47,0)))</f>
        <v>0</v>
      </c>
      <c r="W47" s="29">
        <f>MIN(IF(V47&lt;=db!$L$2,V47,db!$L$2),MAX_ACC_CAPITAL)</f>
        <v>0</v>
      </c>
      <c r="X47" s="17">
        <f>IF(OR(B47=0,Table14[[#This Row],[Accident Capital (2)]]=0),0,IF(AND(Changes!Change="Yes", Changes!ValidityYear&lt;=Table14[[#This Row],[Year]], Changes!ChangeType="Rider Inclusion/Exclusion", Changes!RiderType="Accident Disability"), T47*Changes!NewChangedValue,IF(db!$D$7="Yes",(db!$B$7)*T47,0)))</f>
        <v>0</v>
      </c>
      <c r="Y47" s="42">
        <f>IF(C47&gt;69,0,IF(C47=0,0,IF(X47&lt;=db!$L$3,X47,db!$L$3)))</f>
        <v>0</v>
      </c>
      <c r="Z47" s="29">
        <f>IF(OR(B47=0,Table14[[#This Row],[Accident Capital (2)]]=0),0,IF(AND(Changes!Change="Yes", Changes!ValidityYear&lt;=Table14[[#This Row],[Year]], Changes!ChangeType="Rider Inclusion/Exclusion", Changes!RiderType="Accident Medical Cost"), T47*Changes!NewChangedValue,IF(db!$D$9="Yes",(db!$B$9)*T47,0)))</f>
        <v>0</v>
      </c>
      <c r="AA47" s="29">
        <f>ROUND(IF(C47&gt;69,0,IF(C47=0,0,IF(Z47&lt;=db!$L$4,Z47,db!$L$4))),0)</f>
        <v>0</v>
      </c>
      <c r="AB47" s="38">
        <f>IF(AND(Changes!Change = "Yes", Changes!ChangeType = "Rider Inclusion/Exclusion", Changes!RiderType = "WOP"), IF( Changes!ValidityYear &lt;= Table14[[#This Row],[Year]], IF(WOP = "Yes", 0, 1),  IF(WOP = "Yes", 1, 0)), IF(AND(db!$D$8="Yes",C47&lt;=69,ROW()-1&lt;=InsurancePeriod), 1, 0))</f>
        <v>0</v>
      </c>
      <c r="AC47" s="17">
        <f>(AC48+K48)*AB47*((1)/(1+db!AA49))*(LOOKUP(C47,'Mortality Table'!$A$2:$A$108,'Mortality Table'!$E$2:$E$108))</f>
        <v>0</v>
      </c>
      <c r="AD47" s="340">
        <f>IF(AND(Changes!ValidityYear&lt;= Table14[[#This Row],[Year]],Changes!ChangeType="Change Value Adjustment",Changes!Change="Yes"), (AD48+L48)*AB47*((1)/(1+db!AA49))*(LOOKUP(C47,'Mortality Table'!$A$2:$A$108,'Mortality Table'!$E$2:$E$108)),Table14[[#This Row],[WOP Before Adj. BT]])</f>
        <v>0</v>
      </c>
      <c r="AE47" s="341">
        <f>IF(AND(Changes!Change="Yes", Changes!ChangeType="Change Value Adjustment"),Table14[[#This Row],[WOP Capital]],(AE48+O48)*AB47*((1)/(1+db!AA49))*(LOOKUP(D47,'Mortality Table'!$A$2:$A$108,'Mortality Table'!$E$2:$E$108)))</f>
        <v>0</v>
      </c>
      <c r="AF47" s="17">
        <f>IF(AND(Changes!Change="Yes", Changes!ValidityYear&lt;=ROW()-1),Table14[[#This Row],[WOP Capital]],Table14[[#This Row],[WOP without change]])</f>
        <v>0</v>
      </c>
      <c r="AG47" s="42">
        <f>IF(AND(Changes!Change="Yes", Changes!ValidityYear&lt;=Table14[[#This Row],[Year]], Changes!ChangeType="Rider Inclusion/Exclusion", Changes!RiderType="Disability Annuity"), L47*Changes!NewChangedValue,L47*db!B$10*IF(db!$D$10="Yes",1,0))</f>
        <v>0</v>
      </c>
      <c r="AH47" s="29">
        <f>Table14[[#This Row],[Code Annuity Capital]]*IF('Annual Calculation'!C47&gt;69,0,(LOOKUP('Annual Calculation'!C47+1,'Mortality Table'!$A$2:$A$108,'Mortality Table'!$O$2:$O$108)-LOOKUP('Annual Calculation'!C47+11,'Mortality Table'!$A$2:$A$108,'Mortality Table'!$O$2:$O$108))/LOOKUP('Annual Calculation'!C47,'Mortality Table'!$A$2:$A$108,'Mortality Table'!$M$2:$M$108))</f>
        <v>0</v>
      </c>
      <c r="AI47" s="17">
        <f>IF(B47=0,0,IF(AND(Changes!Change="Yes", Changes!ValidityYear&lt;=Table14[[#This Row],[Year]], Changes!ChangeType="Rider Inclusion/Exclusion", Changes!RiderType="Dread Disease"), T47*Changes!NewChangedValue,IF(db!$D$11="Yes",(db!$B$11)*T47,0)))</f>
        <v>0</v>
      </c>
      <c r="AJ47" s="42">
        <f>ROUND(IF(C47&gt;59,0,IF(C47=0,0,IF(AI47&lt;=db!$L$5,AI47,db!$L$5))),0)</f>
        <v>0</v>
      </c>
      <c r="AK47" s="29">
        <f>IF(B47=0,0,IF(AND(Changes!Change="Yes", Changes!ValidityYear&lt;=Table14[[#This Row],[Year]], Changes!ChangeType="Rider Inclusion/Exclusion", Changes!RiderType="Cancer"), T47*Changes!NewChangedValue,IF(db!$D$12="Yes",(db!$B$12)*T47,0)))</f>
        <v>0</v>
      </c>
      <c r="AL47" s="29">
        <f>ROUND(IF(C47&gt;59,0,IF(C47=0,0,IF(AK47&lt;=db!$L$6,AK47,db!$L$6))),0)</f>
        <v>0</v>
      </c>
      <c r="AM47" s="32"/>
      <c r="AN47" s="18">
        <f>IF(B47=0,0,IF(C47&lt;(db!$E$2+5),LOOKUP(C47,'Mortality Table'!$A$2:$A$108,'Mortality Table'!$P$2:$P$108),IF((C47&gt;=db!$E$2+10),LOOKUP(C47,'Mortality Table'!$A$2:$A$108,'Mortality Table'!$R$2:$R$108),LOOKUP(C47,'Mortality Table'!$A$2:$A$108,'Mortality Table'!$Q$2:$Q$108))))</f>
        <v>0</v>
      </c>
      <c r="AO47" s="22">
        <f t="shared" si="2"/>
        <v>0</v>
      </c>
      <c r="AP47" s="19">
        <f>IF(B47=0,0, LOOKUP(IF(AND(Changes!Change="Yes", Changes!ValidityYear&lt;=Table14[[#This Row],[Year]], Changes!ChangeType="Change Job Class"),Changes!NewChangedValue, db!$A$8),db!$AX$4:$AX$8,db!$AY$4:$AY$8))</f>
        <v>0</v>
      </c>
      <c r="AQ47" s="20">
        <f>ROUND((AP47/1000)*W47 * (1-db!$AS$9),0)</f>
        <v>0</v>
      </c>
      <c r="AR47" s="20">
        <f>(AP47/1000)*W47 * db!$AS$9</f>
        <v>0</v>
      </c>
      <c r="AS47" s="21">
        <f>IF(B47=0,0, LOOKUP(IF(AND(Changes!Change="Yes", Changes!ValidityYear&lt;=Table14[[#This Row],[Year]], Changes!ChangeType="Change Job Class"),Changes!NewChangedValue, db!$A$8),db!$AX$4:$AX$8,db!$AZ$4:$AZ$8))</f>
        <v>0</v>
      </c>
      <c r="AT47" s="22">
        <f>(AS47/1000)*Y47*(1-db!$AS$9)</f>
        <v>0</v>
      </c>
      <c r="AU47" s="22">
        <f>(AS47/1000)*Y47*(db!$AS$9)</f>
        <v>0</v>
      </c>
      <c r="AV47" s="23">
        <f>IF(B47=0,0, LOOKUP(IF(AND(Changes!Change="Yes", Changes!ValidityYear&lt;=Table14[[#This Row],[Year]], Changes!ChangeType="Change Job Class"),Changes!NewChangedValue, db!$A$8),db!$AX$4:$AX$8,db!$BA$4:$BA$8))</f>
        <v>0</v>
      </c>
      <c r="AW47" s="20">
        <f>ROUND((AV47/(100))*AA47*(1-db!$AS$9),0)</f>
        <v>0</v>
      </c>
      <c r="AX47" s="20">
        <f>ROUND((AV47/(100))*AA47*(db!$AS$9),0)</f>
        <v>0</v>
      </c>
      <c r="AY47" s="21">
        <f>IF(db!$D$8="Yes",AS47,0)</f>
        <v>0</v>
      </c>
      <c r="AZ47" s="22">
        <f>(AY47*AF47)/1000*(1-db!$AS$9)</f>
        <v>0</v>
      </c>
      <c r="BA47" s="22">
        <f>(AY47*AF47)/1000*(db!$AS$9)</f>
        <v>0</v>
      </c>
      <c r="BB47" s="23">
        <f t="shared" si="3"/>
        <v>0</v>
      </c>
      <c r="BC47" s="20">
        <f>(BB47*AH47/1000)*(1-db!$AS$9)</f>
        <v>0</v>
      </c>
      <c r="BD47" s="20">
        <f>(BB47*AH47/1000)*(db!$AS$9)</f>
        <v>0</v>
      </c>
      <c r="BE47" s="22">
        <f>IF(B47=0,0,IF(C47&gt;60,0,LOOKUP(Table14[[#This Row],[Medical
Age]],db!$BC$3:$BC$63,db!$BD$3:$BD$63)))</f>
        <v>0</v>
      </c>
      <c r="BF47" s="22">
        <f>BG47*db!$AS$10</f>
        <v>0</v>
      </c>
      <c r="BG47" s="22">
        <f t="shared" si="4"/>
        <v>0</v>
      </c>
      <c r="BH47" s="22">
        <f>(BE47/1000000)*AJ47*(1-db!$AS$10)</f>
        <v>0</v>
      </c>
      <c r="BI47" s="20">
        <f>IF(B47=0,0,IF(C47&gt;59,0,LOOKUP(Table14[[#This Row],[Medical
Age]],db!$BC$3:$BC$63,db!$BE$3:$BE$63)))</f>
        <v>0</v>
      </c>
      <c r="BJ47" s="20">
        <f>(BI47/1000000)*AL47*(1-db!$AS$11)</f>
        <v>0</v>
      </c>
      <c r="BK47" s="20">
        <f>(BI47/1000000)*AL47*(db!$AS$11)</f>
        <v>0</v>
      </c>
      <c r="BL47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47" s="20">
        <f>Table14[[#This Row],[RiskLoading
Rate]]*Table14[[#This Row],[Death Capital (2)]]</f>
        <v>0</v>
      </c>
      <c r="BN47" s="36"/>
      <c r="BO47" s="37">
        <f t="shared" si="5"/>
        <v>0</v>
      </c>
      <c r="BP47" s="35">
        <f t="shared" si="6"/>
        <v>0</v>
      </c>
      <c r="BQ47" s="35">
        <f t="shared" si="7"/>
        <v>0</v>
      </c>
      <c r="BR47" s="37">
        <f t="shared" si="11"/>
        <v>0</v>
      </c>
      <c r="BS47" s="37">
        <f t="shared" si="12"/>
        <v>0</v>
      </c>
      <c r="BT47" s="35">
        <f t="shared" si="13"/>
        <v>0</v>
      </c>
      <c r="BU47" s="35">
        <f t="shared" si="14"/>
        <v>0</v>
      </c>
      <c r="BV47" s="37">
        <f>(db!$AS$4/100)*(L47-BT47-BU47)</f>
        <v>0</v>
      </c>
      <c r="BW47" s="37">
        <f>(db!$AS$8/100)*(L47-BT47-BU47)</f>
        <v>0</v>
      </c>
      <c r="BX47" s="35"/>
      <c r="BY47" s="37"/>
      <c r="BZ47" s="37"/>
      <c r="CA47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47" s="33"/>
      <c r="CC47" s="39">
        <f>ROUND((Table14[[#This Row],[Premium]]-Table14[[#This Row],[All Deductions]]),0)</f>
        <v>0</v>
      </c>
      <c r="CD47" s="40">
        <f>ROUND(IF(B47=0,0,((CC47)*(1+ IF(AND(Changes!Change="Yes",Changes!ValidityYear&lt;=Table14[[#This Row],[Year]],Annulment&gt;Table14[[#This Row],[Year]],Changes!ChangeType="Paid-Up"),db!Y49+0.02,db!Y49)))+((CD46)*(1+IF(AND(Changes!Change="Yes",Changes!ValidityYear&lt;=Table14[[#This Row],[Year]],Annulment&gt;Table14[[#This Row],[Year]],Changes!ChangeType="Paid-Up"),db!U49+0.02,db!U49)))),0)</f>
        <v>0</v>
      </c>
      <c r="CE47" s="40">
        <f>ROUND(IF(B47=0,0,((CC47)*(1+db!Y49))+((CE46)*(1+db!U49))),0)</f>
        <v>0</v>
      </c>
      <c r="CF47" s="40">
        <f t="shared" si="19"/>
        <v>0</v>
      </c>
      <c r="CG47" s="15">
        <f t="shared" si="15"/>
        <v>46</v>
      </c>
      <c r="CH47" s="39">
        <f>IF(B47=0,0,((CC47)*(1+db!AH49))+((CH46)*(1+db!AD49)))</f>
        <v>0</v>
      </c>
      <c r="CI47" s="39">
        <f>IF(B47=0,0,((CC47)*(1+db!AH49))+((CI46)*(1+db!AD49)))</f>
        <v>0</v>
      </c>
      <c r="CJ47" s="40">
        <f>IF(B47=0,0,((CC47)*(1+db!AO49))+((CJ46)*(1+db!AK49)))</f>
        <v>0</v>
      </c>
      <c r="CK47" s="40">
        <f>CJ47-(SUM(BX$7:$BX48))</f>
        <v>0</v>
      </c>
      <c r="CL47" s="46"/>
    </row>
    <row r="48" spans="1:90">
      <c r="A48" s="347">
        <f t="shared" si="16"/>
        <v>47</v>
      </c>
      <c r="B48" s="345">
        <f>IF(AND(Changes!Change="Yes", Changes!ChangeType="Change Contract Duration"),IF(B47=0,0,IF(Changes!NewChangedValue&lt;B47+1,0,B47+1)),IF(B47=0,0,IF('Application Annually'!$C$5&lt;B47+1,0,B47+1)))</f>
        <v>0</v>
      </c>
      <c r="C48" s="15">
        <f t="shared" si="17"/>
        <v>0</v>
      </c>
      <c r="D48" s="312">
        <f t="shared" si="18"/>
        <v>74</v>
      </c>
      <c r="E48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48" s="29">
        <f t="shared" si="8"/>
        <v>0</v>
      </c>
      <c r="G48" s="29">
        <f t="shared" si="9"/>
        <v>0</v>
      </c>
      <c r="H48" s="29">
        <f t="shared" si="0"/>
        <v>0</v>
      </c>
      <c r="I48" s="29">
        <f>IF(B48&gt;0,IF(AND(Table14[[#This Row],[Year]]&gt;Changes!ValidityYear,Changes!Change="Yes",Changes!ChangeType="Change Value Adjustment"),Changes!$G$22,'Application Annually'!$C$11),0)</f>
        <v>0</v>
      </c>
      <c r="J48" s="29">
        <f>IF(B48&gt;0,IF(AND(Table14[[#This Row],[Year]]&gt;Changes!ValidityYear,Changes!Change="Yes",Changes!ChangeType="Change Value Adjustment"),Changes!$G$24,'Application Annually'!$C$7),0)</f>
        <v>0</v>
      </c>
      <c r="K48" s="29">
        <f>ROUND(IF(B48=0,0,IF(AND(Changes!Change="Yes", Changes!ValidityYear=Table14[[#This Row],[Year]], Changes!ChangeType="Change Premium"), Changes!NewChangedValue, (K47*(1+db!$B$3)))),0)</f>
        <v>0</v>
      </c>
      <c r="L48" s="29">
        <f>ROUND(IF(B48=0,0,IF(AND(Changes!Change="Yes", Changes!ValidityYear=Table14[[#This Row],[Year]], Changes!ChangeType="Change Premium"), Changes!NewChangedValue, (L47*(1+Table14[[#This Row],[Adjustment Factor of Premium]]/100)))),0)</f>
        <v>0</v>
      </c>
      <c r="M48" s="29">
        <f>IF(Table14[[#This Row],[Year]]=1,ROUND(MIN($L$2 -( Table14[[#This Row],[Riders Risk Premiums]] + Table14[[#This Row],[Acquisition Cost]]) *0.75,Table14[[#This Row],[Death Capital (1)]]* 0.03),0),0)</f>
        <v>0</v>
      </c>
      <c r="N48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48" s="29">
        <f>ROUND(IF(ROW()-1&gt;InsurancePeriod,0,(O47*(1+(Table14[[#This Row],[Adjustment Factor of Premium]]/100)))),0)</f>
        <v>0</v>
      </c>
      <c r="P48" s="29">
        <f>IF(Table14[Year] = 0, 0, SUM(L$2:L48))</f>
        <v>0</v>
      </c>
      <c r="Q48" s="17">
        <f t="shared" si="1"/>
        <v>0</v>
      </c>
      <c r="R48" s="17">
        <f>IF(Table14[[#This Row],[Year]]=0,0,IF($C$2&lt;=50,LOOKUP(Table14[[#This Row],[Age]],db!BG49:BG155,db!BH49:BH155),LOOKUP(Table14[[#This Row],[Age]],db!BJ49:BJ155,db!BK49:BK155)))</f>
        <v>0</v>
      </c>
      <c r="S48" s="17">
        <f>IF(B48=0,0, IF(AND(Changes!Change="Yes", Changes!ValidityYear=Table14[[#This Row],[Year]], Changes!ChangeType="Change Death Capital"), Changes!NewChangedValue, S47*(1+(Table14[[#This Row],[Adjustment Factor of Death Capital]]/100))))</f>
        <v>0</v>
      </c>
      <c r="T48" s="17">
        <f>MIN(IF(B48=0,0,Table14[[#This Row],[Death Capital (1)]]),Table14[[#This Row],[Max Sum Insured For Death]])</f>
        <v>0</v>
      </c>
      <c r="U48" s="29">
        <f t="shared" si="10"/>
        <v>0</v>
      </c>
      <c r="V48" s="29">
        <f>IF(B48=0,0,IF(AND(Changes!Change="Yes", Changes!ValidityYear&lt;=Table14[[#This Row],[Year]], Changes!ChangeType="Rider Inclusion/Exclusion", Changes!RiderType="Accident Death"), T48*Changes!NewChangedValue,IF(db!$D$6="Yes",(db!$B$6)*T48,0)))</f>
        <v>0</v>
      </c>
      <c r="W48" s="29">
        <f>MIN(IF(V48&lt;=db!$L$2,V48,db!$L$2),MAX_ACC_CAPITAL)</f>
        <v>0</v>
      </c>
      <c r="X48" s="17">
        <f>IF(OR(B48=0,Table14[[#This Row],[Accident Capital (2)]]=0),0,IF(AND(Changes!Change="Yes", Changes!ValidityYear&lt;=Table14[[#This Row],[Year]], Changes!ChangeType="Rider Inclusion/Exclusion", Changes!RiderType="Accident Disability"), T48*Changes!NewChangedValue,IF(db!$D$7="Yes",(db!$B$7)*T48,0)))</f>
        <v>0</v>
      </c>
      <c r="Y48" s="42">
        <f>IF(C48&gt;69,0,IF(C48=0,0,IF(X48&lt;=db!$L$3,X48,db!$L$3)))</f>
        <v>0</v>
      </c>
      <c r="Z48" s="29">
        <f>IF(OR(B48=0,Table14[[#This Row],[Accident Capital (2)]]=0),0,IF(AND(Changes!Change="Yes", Changes!ValidityYear&lt;=Table14[[#This Row],[Year]], Changes!ChangeType="Rider Inclusion/Exclusion", Changes!RiderType="Accident Medical Cost"), T48*Changes!NewChangedValue,IF(db!$D$9="Yes",(db!$B$9)*T48,0)))</f>
        <v>0</v>
      </c>
      <c r="AA48" s="29">
        <f>ROUND(IF(C48&gt;69,0,IF(C48=0,0,IF(Z48&lt;=db!$L$4,Z48,db!$L$4))),0)</f>
        <v>0</v>
      </c>
      <c r="AB48" s="38">
        <f>IF(AND(Changes!Change = "Yes", Changes!ChangeType = "Rider Inclusion/Exclusion", Changes!RiderType = "WOP"), IF( Changes!ValidityYear &lt;= Table14[[#This Row],[Year]], IF(WOP = "Yes", 0, 1),  IF(WOP = "Yes", 1, 0)), IF(AND(db!$D$8="Yes",C48&lt;=69,ROW()-1&lt;=InsurancePeriod), 1, 0))</f>
        <v>0</v>
      </c>
      <c r="AC48" s="17">
        <f>(AC49+K49)*AB48*((1)/(1+db!AA50))*(LOOKUP(C48,'Mortality Table'!$A$2:$A$108,'Mortality Table'!$E$2:$E$108))</f>
        <v>0</v>
      </c>
      <c r="AD48" s="340">
        <f>IF(AND(Changes!ValidityYear&lt;= Table14[[#This Row],[Year]],Changes!ChangeType="Change Value Adjustment",Changes!Change="Yes"), (AD49+L49)*AB48*((1)/(1+db!AA50))*(LOOKUP(C48,'Mortality Table'!$A$2:$A$108,'Mortality Table'!$E$2:$E$108)),Table14[[#This Row],[WOP Before Adj. BT]])</f>
        <v>0</v>
      </c>
      <c r="AE48" s="341">
        <f>IF(AND(Changes!Change="Yes", Changes!ChangeType="Change Value Adjustment"),Table14[[#This Row],[WOP Capital]],(AE49+O49)*AB48*((1)/(1+db!AA50))*(LOOKUP(D48,'Mortality Table'!$A$2:$A$108,'Mortality Table'!$E$2:$E$108)))</f>
        <v>0</v>
      </c>
      <c r="AF48" s="17">
        <f>IF(AND(Changes!Change="Yes", Changes!ValidityYear&lt;=ROW()-1),Table14[[#This Row],[WOP Capital]],Table14[[#This Row],[WOP without change]])</f>
        <v>0</v>
      </c>
      <c r="AG48" s="42">
        <f>IF(AND(Changes!Change="Yes", Changes!ValidityYear&lt;=Table14[[#This Row],[Year]], Changes!ChangeType="Rider Inclusion/Exclusion", Changes!RiderType="Disability Annuity"), L48*Changes!NewChangedValue,L48*db!B$10*IF(db!$D$10="Yes",1,0))</f>
        <v>0</v>
      </c>
      <c r="AH48" s="29">
        <f>Table14[[#This Row],[Code Annuity Capital]]*IF('Annual Calculation'!C48&gt;69,0,(LOOKUP('Annual Calculation'!C48+1,'Mortality Table'!$A$2:$A$108,'Mortality Table'!$O$2:$O$108)-LOOKUP('Annual Calculation'!C48+11,'Mortality Table'!$A$2:$A$108,'Mortality Table'!$O$2:$O$108))/LOOKUP('Annual Calculation'!C48,'Mortality Table'!$A$2:$A$108,'Mortality Table'!$M$2:$M$108))</f>
        <v>0</v>
      </c>
      <c r="AI48" s="17">
        <f>IF(B48=0,0,IF(AND(Changes!Change="Yes", Changes!ValidityYear&lt;=Table14[[#This Row],[Year]], Changes!ChangeType="Rider Inclusion/Exclusion", Changes!RiderType="Dread Disease"), T48*Changes!NewChangedValue,IF(db!$D$11="Yes",(db!$B$11)*T48,0)))</f>
        <v>0</v>
      </c>
      <c r="AJ48" s="42">
        <f>ROUND(IF(C48&gt;59,0,IF(C48=0,0,IF(AI48&lt;=db!$L$5,AI48,db!$L$5))),0)</f>
        <v>0</v>
      </c>
      <c r="AK48" s="29">
        <f>IF(B48=0,0,IF(AND(Changes!Change="Yes", Changes!ValidityYear&lt;=Table14[[#This Row],[Year]], Changes!ChangeType="Rider Inclusion/Exclusion", Changes!RiderType="Cancer"), T48*Changes!NewChangedValue,IF(db!$D$12="Yes",(db!$B$12)*T48,0)))</f>
        <v>0</v>
      </c>
      <c r="AL48" s="29">
        <f>ROUND(IF(C48&gt;59,0,IF(C48=0,0,IF(AK48&lt;=db!$L$6,AK48,db!$L$6))),0)</f>
        <v>0</v>
      </c>
      <c r="AM48" s="32"/>
      <c r="AN48" s="18">
        <f>IF(B48=0,0,IF(C48&lt;(db!$E$2+5),LOOKUP(C48,'Mortality Table'!$A$2:$A$108,'Mortality Table'!$P$2:$P$108),IF((C48&gt;=db!$E$2+10),LOOKUP(C48,'Mortality Table'!$A$2:$A$108,'Mortality Table'!$R$2:$R$108),LOOKUP(C48,'Mortality Table'!$A$2:$A$108,'Mortality Table'!$Q$2:$Q$108))))</f>
        <v>0</v>
      </c>
      <c r="AO48" s="22">
        <f t="shared" si="2"/>
        <v>0</v>
      </c>
      <c r="AP48" s="19">
        <f>IF(B48=0,0, LOOKUP(IF(AND(Changes!Change="Yes", Changes!ValidityYear&lt;=Table14[[#This Row],[Year]], Changes!ChangeType="Change Job Class"),Changes!NewChangedValue, db!$A$8),db!$AX$4:$AX$8,db!$AY$4:$AY$8))</f>
        <v>0</v>
      </c>
      <c r="AQ48" s="20">
        <f>ROUND((AP48/1000)*W48 * (1-db!$AS$9),0)</f>
        <v>0</v>
      </c>
      <c r="AR48" s="20">
        <f>(AP48/1000)*W48 * db!$AS$9</f>
        <v>0</v>
      </c>
      <c r="AS48" s="21">
        <f>IF(B48=0,0, LOOKUP(IF(AND(Changes!Change="Yes", Changes!ValidityYear&lt;=Table14[[#This Row],[Year]], Changes!ChangeType="Change Job Class"),Changes!NewChangedValue, db!$A$8),db!$AX$4:$AX$8,db!$AZ$4:$AZ$8))</f>
        <v>0</v>
      </c>
      <c r="AT48" s="22">
        <f>(AS48/1000)*Y48*(1-db!$AS$9)</f>
        <v>0</v>
      </c>
      <c r="AU48" s="22">
        <f>(AS48/1000)*Y48*(db!$AS$9)</f>
        <v>0</v>
      </c>
      <c r="AV48" s="23">
        <f>IF(B48=0,0, LOOKUP(IF(AND(Changes!Change="Yes", Changes!ValidityYear&lt;=Table14[[#This Row],[Year]], Changes!ChangeType="Change Job Class"),Changes!NewChangedValue, db!$A$8),db!$AX$4:$AX$8,db!$BA$4:$BA$8))</f>
        <v>0</v>
      </c>
      <c r="AW48" s="20">
        <f>ROUND((AV48/(100))*AA48*(1-db!$AS$9),0)</f>
        <v>0</v>
      </c>
      <c r="AX48" s="20">
        <f>ROUND((AV48/(100))*AA48*(db!$AS$9),0)</f>
        <v>0</v>
      </c>
      <c r="AY48" s="21">
        <f>IF(db!$D$8="Yes",AS48,0)</f>
        <v>0</v>
      </c>
      <c r="AZ48" s="22">
        <f>(AY48*AF48)/1000*(1-db!$AS$9)</f>
        <v>0</v>
      </c>
      <c r="BA48" s="22">
        <f>(AY48*AF48)/1000*(db!$AS$9)</f>
        <v>0</v>
      </c>
      <c r="BB48" s="23">
        <f t="shared" si="3"/>
        <v>0</v>
      </c>
      <c r="BC48" s="20">
        <f>(BB48*AH48/1000)*(1-db!$AS$9)</f>
        <v>0</v>
      </c>
      <c r="BD48" s="20">
        <f>(BB48*AH48/1000)*(db!$AS$9)</f>
        <v>0</v>
      </c>
      <c r="BE48" s="22">
        <f>IF(B48=0,0,IF(C48&gt;60,0,LOOKUP(Table14[[#This Row],[Medical
Age]],db!$BC$3:$BC$63,db!$BD$3:$BD$63)))</f>
        <v>0</v>
      </c>
      <c r="BF48" s="22">
        <f>BG48*db!$AS$10</f>
        <v>0</v>
      </c>
      <c r="BG48" s="22">
        <f t="shared" si="4"/>
        <v>0</v>
      </c>
      <c r="BH48" s="22">
        <f>(BE48/1000000)*AJ48*(1-db!$AS$10)</f>
        <v>0</v>
      </c>
      <c r="BI48" s="20">
        <f>IF(B48=0,0,IF(C48&gt;59,0,LOOKUP(Table14[[#This Row],[Medical
Age]],db!$BC$3:$BC$63,db!$BE$3:$BE$63)))</f>
        <v>0</v>
      </c>
      <c r="BJ48" s="20">
        <f>(BI48/1000000)*AL48*(1-db!$AS$11)</f>
        <v>0</v>
      </c>
      <c r="BK48" s="20">
        <f>(BI48/1000000)*AL48*(db!$AS$11)</f>
        <v>0</v>
      </c>
      <c r="BL48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48" s="20">
        <f>Table14[[#This Row],[RiskLoading
Rate]]*Table14[[#This Row],[Death Capital (2)]]</f>
        <v>0</v>
      </c>
      <c r="BN48" s="36"/>
      <c r="BO48" s="37">
        <f t="shared" si="5"/>
        <v>0</v>
      </c>
      <c r="BP48" s="35">
        <f t="shared" si="6"/>
        <v>0</v>
      </c>
      <c r="BQ48" s="35">
        <f t="shared" si="7"/>
        <v>0</v>
      </c>
      <c r="BR48" s="37">
        <f t="shared" si="11"/>
        <v>0</v>
      </c>
      <c r="BS48" s="37">
        <f t="shared" si="12"/>
        <v>0</v>
      </c>
      <c r="BT48" s="35">
        <f t="shared" si="13"/>
        <v>0</v>
      </c>
      <c r="BU48" s="35">
        <f t="shared" si="14"/>
        <v>0</v>
      </c>
      <c r="BV48" s="37">
        <f>(db!$AS$4/100)*(L48-BT48-BU48)</f>
        <v>0</v>
      </c>
      <c r="BW48" s="37">
        <f>(db!$AS$8/100)*(L48-BT48-BU48)</f>
        <v>0</v>
      </c>
      <c r="BX48" s="35"/>
      <c r="BY48" s="37"/>
      <c r="BZ48" s="37"/>
      <c r="CA48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48" s="33"/>
      <c r="CC48" s="39">
        <f>ROUND((Table14[[#This Row],[Premium]]-Table14[[#This Row],[All Deductions]]),0)</f>
        <v>0</v>
      </c>
      <c r="CD48" s="40">
        <f>ROUND(IF(B48=0,0,((CC48)*(1+ IF(AND(Changes!Change="Yes",Changes!ValidityYear&lt;=Table14[[#This Row],[Year]],Annulment&gt;Table14[[#This Row],[Year]],Changes!ChangeType="Paid-Up"),db!Y50+0.02,db!Y50)))+((CD47)*(1+IF(AND(Changes!Change="Yes",Changes!ValidityYear&lt;=Table14[[#This Row],[Year]],Annulment&gt;Table14[[#This Row],[Year]],Changes!ChangeType="Paid-Up"),db!U50+0.02,db!U50)))),0)</f>
        <v>0</v>
      </c>
      <c r="CE48" s="40">
        <f>ROUND(IF(B48=0,0,((CC48)*(1+db!Y50))+((CE47)*(1+db!U50))),0)</f>
        <v>0</v>
      </c>
      <c r="CF48" s="40">
        <f t="shared" si="19"/>
        <v>0</v>
      </c>
      <c r="CG48" s="15">
        <f t="shared" si="15"/>
        <v>47</v>
      </c>
      <c r="CH48" s="39">
        <f>IF(B48=0,0,((CC48)*(1+db!AH50))+((CH47)*(1+db!AD50)))</f>
        <v>0</v>
      </c>
      <c r="CI48" s="39">
        <f>IF(B48=0,0,((CC48)*(1+db!AH50))+((CI47)*(1+db!AD50)))</f>
        <v>0</v>
      </c>
      <c r="CJ48" s="40">
        <f>IF(B48=0,0,((CC48)*(1+db!AO50))+((CJ47)*(1+db!AK50)))</f>
        <v>0</v>
      </c>
      <c r="CK48" s="40">
        <f>CJ48-(SUM(BX$7:$BX49))</f>
        <v>0</v>
      </c>
      <c r="CL48" s="46"/>
    </row>
    <row r="49" spans="1:90">
      <c r="A49" s="347">
        <f t="shared" si="16"/>
        <v>48</v>
      </c>
      <c r="B49" s="345">
        <f>IF(AND(Changes!Change="Yes", Changes!ChangeType="Change Contract Duration"),IF(B48=0,0,IF(Changes!NewChangedValue&lt;B48+1,0,B48+1)),IF(B48=0,0,IF('Application Annually'!$C$5&lt;B48+1,0,B48+1)))</f>
        <v>0</v>
      </c>
      <c r="C49" s="15">
        <f t="shared" si="17"/>
        <v>0</v>
      </c>
      <c r="D49" s="312">
        <f t="shared" si="18"/>
        <v>75</v>
      </c>
      <c r="E49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49" s="29">
        <f t="shared" si="8"/>
        <v>0</v>
      </c>
      <c r="G49" s="29">
        <f t="shared" si="9"/>
        <v>0</v>
      </c>
      <c r="H49" s="29">
        <f t="shared" si="0"/>
        <v>0</v>
      </c>
      <c r="I49" s="29">
        <f>IF(B49&gt;0,IF(AND(Table14[[#This Row],[Year]]&gt;Changes!ValidityYear,Changes!Change="Yes",Changes!ChangeType="Change Value Adjustment"),Changes!$G$22,'Application Annually'!$C$11),0)</f>
        <v>0</v>
      </c>
      <c r="J49" s="29">
        <f>IF(B49&gt;0,IF(AND(Table14[[#This Row],[Year]]&gt;Changes!ValidityYear,Changes!Change="Yes",Changes!ChangeType="Change Value Adjustment"),Changes!$G$24,'Application Annually'!$C$7),0)</f>
        <v>0</v>
      </c>
      <c r="K49" s="29">
        <f>ROUND(IF(B49=0,0,IF(AND(Changes!Change="Yes", Changes!ValidityYear=Table14[[#This Row],[Year]], Changes!ChangeType="Change Premium"), Changes!NewChangedValue, (K48*(1+db!$B$3)))),0)</f>
        <v>0</v>
      </c>
      <c r="L49" s="29">
        <f>ROUND(IF(B49=0,0,IF(AND(Changes!Change="Yes", Changes!ValidityYear=Table14[[#This Row],[Year]], Changes!ChangeType="Change Premium"), Changes!NewChangedValue, (L48*(1+Table14[[#This Row],[Adjustment Factor of Premium]]/100)))),0)</f>
        <v>0</v>
      </c>
      <c r="M49" s="29">
        <f>IF(Table14[[#This Row],[Year]]=1,ROUND(MIN($L$2 -( Table14[[#This Row],[Riders Risk Premiums]] + Table14[[#This Row],[Acquisition Cost]]) *0.75,Table14[[#This Row],[Death Capital (1)]]* 0.03),0),0)</f>
        <v>0</v>
      </c>
      <c r="N49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49" s="29">
        <f>ROUND(IF(ROW()-1&gt;InsurancePeriod,0,(O48*(1+(Table14[[#This Row],[Adjustment Factor of Premium]]/100)))),0)</f>
        <v>0</v>
      </c>
      <c r="P49" s="29">
        <f>IF(Table14[Year] = 0, 0, SUM(L$2:L49))</f>
        <v>0</v>
      </c>
      <c r="Q49" s="17">
        <f t="shared" si="1"/>
        <v>0</v>
      </c>
      <c r="R49" s="17">
        <f>IF(Table14[[#This Row],[Year]]=0,0,IF($C$2&lt;=50,LOOKUP(Table14[[#This Row],[Age]],db!BG50:BG156,db!BH50:BH156),LOOKUP(Table14[[#This Row],[Age]],db!BJ50:BJ156,db!BK50:BK156)))</f>
        <v>0</v>
      </c>
      <c r="S49" s="17">
        <f>IF(B49=0,0, IF(AND(Changes!Change="Yes", Changes!ValidityYear=Table14[[#This Row],[Year]], Changes!ChangeType="Change Death Capital"), Changes!NewChangedValue, S48*(1+(Table14[[#This Row],[Adjustment Factor of Death Capital]]/100))))</f>
        <v>0</v>
      </c>
      <c r="T49" s="17">
        <f>MIN(IF(B49=0,0,Table14[[#This Row],[Death Capital (1)]]),Table14[[#This Row],[Max Sum Insured For Death]])</f>
        <v>0</v>
      </c>
      <c r="U49" s="29">
        <f t="shared" si="10"/>
        <v>0</v>
      </c>
      <c r="V49" s="29">
        <f>IF(B49=0,0,IF(AND(Changes!Change="Yes", Changes!ValidityYear&lt;=Table14[[#This Row],[Year]], Changes!ChangeType="Rider Inclusion/Exclusion", Changes!RiderType="Accident Death"), T49*Changes!NewChangedValue,IF(db!$D$6="Yes",(db!$B$6)*T49,0)))</f>
        <v>0</v>
      </c>
      <c r="W49" s="29">
        <f>MIN(IF(V49&lt;=db!$L$2,V49,db!$L$2),MAX_ACC_CAPITAL)</f>
        <v>0</v>
      </c>
      <c r="X49" s="17">
        <f>IF(OR(B49=0,Table14[[#This Row],[Accident Capital (2)]]=0),0,IF(AND(Changes!Change="Yes", Changes!ValidityYear&lt;=Table14[[#This Row],[Year]], Changes!ChangeType="Rider Inclusion/Exclusion", Changes!RiderType="Accident Disability"), T49*Changes!NewChangedValue,IF(db!$D$7="Yes",(db!$B$7)*T49,0)))</f>
        <v>0</v>
      </c>
      <c r="Y49" s="42">
        <f>IF(C49&gt;69,0,IF(C49=0,0,IF(X49&lt;=db!$L$3,X49,db!$L$3)))</f>
        <v>0</v>
      </c>
      <c r="Z49" s="29">
        <f>IF(OR(B49=0,Table14[[#This Row],[Accident Capital (2)]]=0),0,IF(AND(Changes!Change="Yes", Changes!ValidityYear&lt;=Table14[[#This Row],[Year]], Changes!ChangeType="Rider Inclusion/Exclusion", Changes!RiderType="Accident Medical Cost"), T49*Changes!NewChangedValue,IF(db!$D$9="Yes",(db!$B$9)*T49,0)))</f>
        <v>0</v>
      </c>
      <c r="AA49" s="29">
        <f>ROUND(IF(C49&gt;69,0,IF(C49=0,0,IF(Z49&lt;=db!$L$4,Z49,db!$L$4))),0)</f>
        <v>0</v>
      </c>
      <c r="AB49" s="38">
        <f>IF(AND(Changes!Change = "Yes", Changes!ChangeType = "Rider Inclusion/Exclusion", Changes!RiderType = "WOP"), IF( Changes!ValidityYear &lt;= Table14[[#This Row],[Year]], IF(WOP = "Yes", 0, 1),  IF(WOP = "Yes", 1, 0)), IF(AND(db!$D$8="Yes",C49&lt;=69,ROW()-1&lt;=InsurancePeriod), 1, 0))</f>
        <v>0</v>
      </c>
      <c r="AC49" s="17">
        <f>(AC50+K50)*AB49*((1)/(1+db!AA51))*(LOOKUP(C49,'Mortality Table'!$A$2:$A$108,'Mortality Table'!$E$2:$E$108))</f>
        <v>0</v>
      </c>
      <c r="AD49" s="340">
        <f>IF(AND(Changes!ValidityYear&lt;= Table14[[#This Row],[Year]],Changes!ChangeType="Change Value Adjustment",Changes!Change="Yes"), (AD50+L50)*AB49*((1)/(1+db!AA51))*(LOOKUP(C49,'Mortality Table'!$A$2:$A$108,'Mortality Table'!$E$2:$E$108)),Table14[[#This Row],[WOP Before Adj. BT]])</f>
        <v>0</v>
      </c>
      <c r="AE49" s="341">
        <f>IF(AND(Changes!Change="Yes", Changes!ChangeType="Change Value Adjustment"),Table14[[#This Row],[WOP Capital]],(AE50+O50)*AB49*((1)/(1+db!AA51))*(LOOKUP(D49,'Mortality Table'!$A$2:$A$108,'Mortality Table'!$E$2:$E$108)))</f>
        <v>0</v>
      </c>
      <c r="AF49" s="17">
        <f>IF(AND(Changes!Change="Yes", Changes!ValidityYear&lt;=ROW()-1),Table14[[#This Row],[WOP Capital]],Table14[[#This Row],[WOP without change]])</f>
        <v>0</v>
      </c>
      <c r="AG49" s="42">
        <f>IF(AND(Changes!Change="Yes", Changes!ValidityYear&lt;=Table14[[#This Row],[Year]], Changes!ChangeType="Rider Inclusion/Exclusion", Changes!RiderType="Disability Annuity"), L49*Changes!NewChangedValue,L49*db!B$10*IF(db!$D$10="Yes",1,0))</f>
        <v>0</v>
      </c>
      <c r="AH49" s="29">
        <f>Table14[[#This Row],[Code Annuity Capital]]*IF('Annual Calculation'!C49&gt;69,0,(LOOKUP('Annual Calculation'!C49+1,'Mortality Table'!$A$2:$A$108,'Mortality Table'!$O$2:$O$108)-LOOKUP('Annual Calculation'!C49+11,'Mortality Table'!$A$2:$A$108,'Mortality Table'!$O$2:$O$108))/LOOKUP('Annual Calculation'!C49,'Mortality Table'!$A$2:$A$108,'Mortality Table'!$M$2:$M$108))</f>
        <v>0</v>
      </c>
      <c r="AI49" s="17">
        <f>IF(B49=0,0,IF(AND(Changes!Change="Yes", Changes!ValidityYear&lt;=Table14[[#This Row],[Year]], Changes!ChangeType="Rider Inclusion/Exclusion", Changes!RiderType="Dread Disease"), T49*Changes!NewChangedValue,IF(db!$D$11="Yes",(db!$B$11)*T49,0)))</f>
        <v>0</v>
      </c>
      <c r="AJ49" s="42">
        <f>ROUND(IF(C49&gt;59,0,IF(C49=0,0,IF(AI49&lt;=db!$L$5,AI49,db!$L$5))),0)</f>
        <v>0</v>
      </c>
      <c r="AK49" s="29">
        <f>IF(B49=0,0,IF(AND(Changes!Change="Yes", Changes!ValidityYear&lt;=Table14[[#This Row],[Year]], Changes!ChangeType="Rider Inclusion/Exclusion", Changes!RiderType="Cancer"), T49*Changes!NewChangedValue,IF(db!$D$12="Yes",(db!$B$12)*T49,0)))</f>
        <v>0</v>
      </c>
      <c r="AL49" s="29">
        <f>ROUND(IF(C49&gt;59,0,IF(C49=0,0,IF(AK49&lt;=db!$L$6,AK49,db!$L$6))),0)</f>
        <v>0</v>
      </c>
      <c r="AM49" s="32"/>
      <c r="AN49" s="18">
        <f>IF(B49=0,0,IF(C49&lt;(db!$E$2+5),LOOKUP(C49,'Mortality Table'!$A$2:$A$108,'Mortality Table'!$P$2:$P$108),IF((C49&gt;=db!$E$2+10),LOOKUP(C49,'Mortality Table'!$A$2:$A$108,'Mortality Table'!$R$2:$R$108),LOOKUP(C49,'Mortality Table'!$A$2:$A$108,'Mortality Table'!$Q$2:$Q$108))))</f>
        <v>0</v>
      </c>
      <c r="AO49" s="22">
        <f t="shared" si="2"/>
        <v>0</v>
      </c>
      <c r="AP49" s="19">
        <f>IF(B49=0,0, LOOKUP(IF(AND(Changes!Change="Yes", Changes!ValidityYear&lt;=Table14[[#This Row],[Year]], Changes!ChangeType="Change Job Class"),Changes!NewChangedValue, db!$A$8),db!$AX$4:$AX$8,db!$AY$4:$AY$8))</f>
        <v>0</v>
      </c>
      <c r="AQ49" s="20">
        <f>ROUND((AP49/1000)*W49 * (1-db!$AS$9),0)</f>
        <v>0</v>
      </c>
      <c r="AR49" s="20">
        <f>(AP49/1000)*W49 * db!$AS$9</f>
        <v>0</v>
      </c>
      <c r="AS49" s="21">
        <f>IF(B49=0,0, LOOKUP(IF(AND(Changes!Change="Yes", Changes!ValidityYear&lt;=Table14[[#This Row],[Year]], Changes!ChangeType="Change Job Class"),Changes!NewChangedValue, db!$A$8),db!$AX$4:$AX$8,db!$AZ$4:$AZ$8))</f>
        <v>0</v>
      </c>
      <c r="AT49" s="22">
        <f>(AS49/1000)*Y49*(1-db!$AS$9)</f>
        <v>0</v>
      </c>
      <c r="AU49" s="22">
        <f>(AS49/1000)*Y49*(db!$AS$9)</f>
        <v>0</v>
      </c>
      <c r="AV49" s="23">
        <f>IF(B49=0,0, LOOKUP(IF(AND(Changes!Change="Yes", Changes!ValidityYear&lt;=Table14[[#This Row],[Year]], Changes!ChangeType="Change Job Class"),Changes!NewChangedValue, db!$A$8),db!$AX$4:$AX$8,db!$BA$4:$BA$8))</f>
        <v>0</v>
      </c>
      <c r="AW49" s="20">
        <f>ROUND((AV49/(100))*AA49*(1-db!$AS$9),0)</f>
        <v>0</v>
      </c>
      <c r="AX49" s="20">
        <f>ROUND((AV49/(100))*AA49*(db!$AS$9),0)</f>
        <v>0</v>
      </c>
      <c r="AY49" s="21">
        <f>IF(db!$D$8="Yes",AS49,0)</f>
        <v>0</v>
      </c>
      <c r="AZ49" s="22">
        <f>(AY49*AF49)/1000*(1-db!$AS$9)</f>
        <v>0</v>
      </c>
      <c r="BA49" s="22">
        <f>(AY49*AF49)/1000*(db!$AS$9)</f>
        <v>0</v>
      </c>
      <c r="BB49" s="23">
        <f t="shared" si="3"/>
        <v>0</v>
      </c>
      <c r="BC49" s="20">
        <f>(BB49*AH49/1000)*(1-db!$AS$9)</f>
        <v>0</v>
      </c>
      <c r="BD49" s="20">
        <f>(BB49*AH49/1000)*(db!$AS$9)</f>
        <v>0</v>
      </c>
      <c r="BE49" s="22">
        <f>IF(B49=0,0,IF(C49&gt;60,0,LOOKUP(Table14[[#This Row],[Medical
Age]],db!$BC$3:$BC$63,db!$BD$3:$BD$63)))</f>
        <v>0</v>
      </c>
      <c r="BF49" s="22">
        <f>BG49*db!$AS$10</f>
        <v>0</v>
      </c>
      <c r="BG49" s="22">
        <f t="shared" si="4"/>
        <v>0</v>
      </c>
      <c r="BH49" s="22">
        <f>(BE49/1000000)*AJ49*(1-db!$AS$10)</f>
        <v>0</v>
      </c>
      <c r="BI49" s="20">
        <f>IF(B49=0,0,IF(C49&gt;59,0,LOOKUP(Table14[[#This Row],[Medical
Age]],db!$BC$3:$BC$63,db!$BE$3:$BE$63)))</f>
        <v>0</v>
      </c>
      <c r="BJ49" s="20">
        <f>(BI49/1000000)*AL49*(1-db!$AS$11)</f>
        <v>0</v>
      </c>
      <c r="BK49" s="20">
        <f>(BI49/1000000)*AL49*(db!$AS$11)</f>
        <v>0</v>
      </c>
      <c r="BL49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49" s="20">
        <f>Table14[[#This Row],[RiskLoading
Rate]]*Table14[[#This Row],[Death Capital (2)]]</f>
        <v>0</v>
      </c>
      <c r="BN49" s="36"/>
      <c r="BO49" s="37">
        <f t="shared" si="5"/>
        <v>0</v>
      </c>
      <c r="BP49" s="35">
        <f t="shared" si="6"/>
        <v>0</v>
      </c>
      <c r="BQ49" s="35">
        <f t="shared" si="7"/>
        <v>0</v>
      </c>
      <c r="BR49" s="37">
        <f t="shared" si="11"/>
        <v>0</v>
      </c>
      <c r="BS49" s="37">
        <f t="shared" si="12"/>
        <v>0</v>
      </c>
      <c r="BT49" s="35">
        <f t="shared" si="13"/>
        <v>0</v>
      </c>
      <c r="BU49" s="35">
        <f t="shared" si="14"/>
        <v>0</v>
      </c>
      <c r="BV49" s="37">
        <f>(db!$AS$4/100)*(L49-BT49-BU49)</f>
        <v>0</v>
      </c>
      <c r="BW49" s="37">
        <f>(db!$AS$8/100)*(L49-BT49-BU49)</f>
        <v>0</v>
      </c>
      <c r="BX49" s="35"/>
      <c r="BY49" s="37"/>
      <c r="BZ49" s="37"/>
      <c r="CA49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49" s="33"/>
      <c r="CC49" s="39">
        <f>ROUND((Table14[[#This Row],[Premium]]-Table14[[#This Row],[All Deductions]]),0)</f>
        <v>0</v>
      </c>
      <c r="CD49" s="40">
        <f>ROUND(IF(B49=0,0,((CC49)*(1+ IF(AND(Changes!Change="Yes",Changes!ValidityYear&lt;=Table14[[#This Row],[Year]],Annulment&gt;Table14[[#This Row],[Year]],Changes!ChangeType="Paid-Up"),db!Y51+0.02,db!Y51)))+((CD48)*(1+IF(AND(Changes!Change="Yes",Changes!ValidityYear&lt;=Table14[[#This Row],[Year]],Annulment&gt;Table14[[#This Row],[Year]],Changes!ChangeType="Paid-Up"),db!U51+0.02,db!U51)))),0)</f>
        <v>0</v>
      </c>
      <c r="CE49" s="40">
        <f>ROUND(IF(B49=0,0,((CC49)*(1+db!Y51))+((CE48)*(1+db!U51))),0)</f>
        <v>0</v>
      </c>
      <c r="CF49" s="40">
        <f t="shared" si="19"/>
        <v>0</v>
      </c>
      <c r="CG49" s="15">
        <f t="shared" si="15"/>
        <v>48</v>
      </c>
      <c r="CH49" s="39">
        <f>IF(B49=0,0,((CC49)*(1+db!AH51))+((CH48)*(1+db!AD51)))</f>
        <v>0</v>
      </c>
      <c r="CI49" s="39">
        <f>IF(B49=0,0,((CC49)*(1+db!AH51))+((CI48)*(1+db!AD51)))</f>
        <v>0</v>
      </c>
      <c r="CJ49" s="40">
        <f>IF(B49=0,0,((CC49)*(1+db!AO51))+((CJ48)*(1+db!AK51)))</f>
        <v>0</v>
      </c>
      <c r="CK49" s="40">
        <f>CJ49-(SUM(BX$7:$BX50))</f>
        <v>0</v>
      </c>
      <c r="CL49" s="46"/>
    </row>
    <row r="50" spans="1:90">
      <c r="A50" s="347">
        <f t="shared" si="16"/>
        <v>49</v>
      </c>
      <c r="B50" s="345">
        <f>IF(AND(Changes!Change="Yes", Changes!ChangeType="Change Contract Duration"),IF(B49=0,0,IF(Changes!NewChangedValue&lt;B49+1,0,B49+1)),IF(B49=0,0,IF('Application Annually'!$C$5&lt;B49+1,0,B49+1)))</f>
        <v>0</v>
      </c>
      <c r="C50" s="15">
        <f t="shared" si="17"/>
        <v>0</v>
      </c>
      <c r="D50" s="312">
        <f t="shared" si="18"/>
        <v>76</v>
      </c>
      <c r="E50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50" s="29">
        <f t="shared" si="8"/>
        <v>0</v>
      </c>
      <c r="G50" s="29">
        <f t="shared" si="9"/>
        <v>0</v>
      </c>
      <c r="H50" s="29">
        <f t="shared" si="0"/>
        <v>0</v>
      </c>
      <c r="I50" s="29">
        <f>IF(B50&gt;0,IF(AND(Table14[[#This Row],[Year]]&gt;Changes!ValidityYear,Changes!Change="Yes",Changes!ChangeType="Change Value Adjustment"),Changes!$G$22,'Application Annually'!$C$11),0)</f>
        <v>0</v>
      </c>
      <c r="J50" s="29">
        <f>IF(B50&gt;0,IF(AND(Table14[[#This Row],[Year]]&gt;Changes!ValidityYear,Changes!Change="Yes",Changes!ChangeType="Change Value Adjustment"),Changes!$G$24,'Application Annually'!$C$7),0)</f>
        <v>0</v>
      </c>
      <c r="K50" s="29">
        <f>ROUND(IF(B50=0,0,IF(AND(Changes!Change="Yes", Changes!ValidityYear=Table14[[#This Row],[Year]], Changes!ChangeType="Change Premium"), Changes!NewChangedValue, (K49*(1+db!$B$3)))),0)</f>
        <v>0</v>
      </c>
      <c r="L50" s="29">
        <f>ROUND(IF(B50=0,0,IF(AND(Changes!Change="Yes", Changes!ValidityYear=Table14[[#This Row],[Year]], Changes!ChangeType="Change Premium"), Changes!NewChangedValue, (L49*(1+Table14[[#This Row],[Adjustment Factor of Premium]]/100)))),0)</f>
        <v>0</v>
      </c>
      <c r="M50" s="29">
        <f>IF(Table14[[#This Row],[Year]]=1,ROUND(MIN($L$2 -( Table14[[#This Row],[Riders Risk Premiums]] + Table14[[#This Row],[Acquisition Cost]]) *0.75,Table14[[#This Row],[Death Capital (1)]]* 0.03),0),0)</f>
        <v>0</v>
      </c>
      <c r="N50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50" s="29">
        <f>ROUND(IF(ROW()-1&gt;InsurancePeriod,0,(O49*(1+(Table14[[#This Row],[Adjustment Factor of Premium]]/100)))),0)</f>
        <v>0</v>
      </c>
      <c r="P50" s="29">
        <f>IF(Table14[Year] = 0, 0, SUM(L$2:L50))</f>
        <v>0</v>
      </c>
      <c r="Q50" s="17">
        <f t="shared" si="1"/>
        <v>0</v>
      </c>
      <c r="R50" s="17">
        <f>IF(Table14[[#This Row],[Year]]=0,0,IF($C$2&lt;=50,LOOKUP(Table14[[#This Row],[Age]],db!BG51:BG157,db!BH51:BH157),LOOKUP(Table14[[#This Row],[Age]],db!BJ51:BJ157,db!BK51:BK157)))</f>
        <v>0</v>
      </c>
      <c r="S50" s="17">
        <f>IF(B50=0,0, IF(AND(Changes!Change="Yes", Changes!ValidityYear=Table14[[#This Row],[Year]], Changes!ChangeType="Change Death Capital"), Changes!NewChangedValue, S49*(1+(Table14[[#This Row],[Adjustment Factor of Death Capital]]/100))))</f>
        <v>0</v>
      </c>
      <c r="T50" s="17">
        <f>MIN(IF(B50=0,0,Table14[[#This Row],[Death Capital (1)]]),Table14[[#This Row],[Max Sum Insured For Death]])</f>
        <v>0</v>
      </c>
      <c r="U50" s="29">
        <f t="shared" si="10"/>
        <v>0</v>
      </c>
      <c r="V50" s="29">
        <f>IF(B50=0,0,IF(AND(Changes!Change="Yes", Changes!ValidityYear&lt;=Table14[[#This Row],[Year]], Changes!ChangeType="Rider Inclusion/Exclusion", Changes!RiderType="Accident Death"), T50*Changes!NewChangedValue,IF(db!$D$6="Yes",(db!$B$6)*T50,0)))</f>
        <v>0</v>
      </c>
      <c r="W50" s="29">
        <f>MIN(IF(V50&lt;=db!$L$2,V50,db!$L$2),MAX_ACC_CAPITAL)</f>
        <v>0</v>
      </c>
      <c r="X50" s="17">
        <f>IF(OR(B50=0,Table14[[#This Row],[Accident Capital (2)]]=0),0,IF(AND(Changes!Change="Yes", Changes!ValidityYear&lt;=Table14[[#This Row],[Year]], Changes!ChangeType="Rider Inclusion/Exclusion", Changes!RiderType="Accident Disability"), T50*Changes!NewChangedValue,IF(db!$D$7="Yes",(db!$B$7)*T50,0)))</f>
        <v>0</v>
      </c>
      <c r="Y50" s="42">
        <f>IF(C50&gt;69,0,IF(C50=0,0,IF(X50&lt;=db!$L$3,X50,db!$L$3)))</f>
        <v>0</v>
      </c>
      <c r="Z50" s="29">
        <f>IF(OR(B50=0,Table14[[#This Row],[Accident Capital (2)]]=0),0,IF(AND(Changes!Change="Yes", Changes!ValidityYear&lt;=Table14[[#This Row],[Year]], Changes!ChangeType="Rider Inclusion/Exclusion", Changes!RiderType="Accident Medical Cost"), T50*Changes!NewChangedValue,IF(db!$D$9="Yes",(db!$B$9)*T50,0)))</f>
        <v>0</v>
      </c>
      <c r="AA50" s="29">
        <f>ROUND(IF(C50&gt;69,0,IF(C50=0,0,IF(Z50&lt;=db!$L$4,Z50,db!$L$4))),0)</f>
        <v>0</v>
      </c>
      <c r="AB50" s="38">
        <f>IF(AND(Changes!Change = "Yes", Changes!ChangeType = "Rider Inclusion/Exclusion", Changes!RiderType = "WOP"), IF( Changes!ValidityYear &lt;= Table14[[#This Row],[Year]], IF(WOP = "Yes", 0, 1),  IF(WOP = "Yes", 1, 0)), IF(AND(db!$D$8="Yes",C50&lt;=69,ROW()-1&lt;=InsurancePeriod), 1, 0))</f>
        <v>0</v>
      </c>
      <c r="AC50" s="17">
        <f>(AC51+K51)*AB50*((1)/(1+db!AA52))*(LOOKUP(C50,'Mortality Table'!$A$2:$A$108,'Mortality Table'!$E$2:$E$108))</f>
        <v>0</v>
      </c>
      <c r="AD50" s="340">
        <f>IF(AND(Changes!ValidityYear&lt;= Table14[[#This Row],[Year]],Changes!ChangeType="Change Value Adjustment",Changes!Change="Yes"), (AD51+L51)*AB50*((1)/(1+db!AA52))*(LOOKUP(C50,'Mortality Table'!$A$2:$A$108,'Mortality Table'!$E$2:$E$108)),Table14[[#This Row],[WOP Before Adj. BT]])</f>
        <v>0</v>
      </c>
      <c r="AE50" s="341">
        <f>IF(AND(Changes!Change="Yes", Changes!ChangeType="Change Value Adjustment"),Table14[[#This Row],[WOP Capital]],(AE51+O51)*AB50*((1)/(1+db!AA52))*(LOOKUP(D50,'Mortality Table'!$A$2:$A$108,'Mortality Table'!$E$2:$E$108)))</f>
        <v>0</v>
      </c>
      <c r="AF50" s="17">
        <f>IF(AND(Changes!Change="Yes", Changes!ValidityYear&lt;=ROW()-1),Table14[[#This Row],[WOP Capital]],Table14[[#This Row],[WOP without change]])</f>
        <v>0</v>
      </c>
      <c r="AG50" s="42">
        <f>IF(AND(Changes!Change="Yes", Changes!ValidityYear&lt;=Table14[[#This Row],[Year]], Changes!ChangeType="Rider Inclusion/Exclusion", Changes!RiderType="Disability Annuity"), L50*Changes!NewChangedValue,L50*db!B$10*IF(db!$D$10="Yes",1,0))</f>
        <v>0</v>
      </c>
      <c r="AH50" s="29">
        <f>Table14[[#This Row],[Code Annuity Capital]]*IF('Annual Calculation'!C50&gt;69,0,(LOOKUP('Annual Calculation'!C50+1,'Mortality Table'!$A$2:$A$108,'Mortality Table'!$O$2:$O$108)-LOOKUP('Annual Calculation'!C50+11,'Mortality Table'!$A$2:$A$108,'Mortality Table'!$O$2:$O$108))/LOOKUP('Annual Calculation'!C50,'Mortality Table'!$A$2:$A$108,'Mortality Table'!$M$2:$M$108))</f>
        <v>0</v>
      </c>
      <c r="AI50" s="17">
        <f>IF(B50=0,0,IF(AND(Changes!Change="Yes", Changes!ValidityYear&lt;=Table14[[#This Row],[Year]], Changes!ChangeType="Rider Inclusion/Exclusion", Changes!RiderType="Dread Disease"), T50*Changes!NewChangedValue,IF(db!$D$11="Yes",(db!$B$11)*T50,0)))</f>
        <v>0</v>
      </c>
      <c r="AJ50" s="42">
        <f>ROUND(IF(C50&gt;59,0,IF(C50=0,0,IF(AI50&lt;=db!$L$5,AI50,db!$L$5))),0)</f>
        <v>0</v>
      </c>
      <c r="AK50" s="29">
        <f>IF(B50=0,0,IF(AND(Changes!Change="Yes", Changes!ValidityYear&lt;=Table14[[#This Row],[Year]], Changes!ChangeType="Rider Inclusion/Exclusion", Changes!RiderType="Cancer"), T50*Changes!NewChangedValue,IF(db!$D$12="Yes",(db!$B$12)*T50,0)))</f>
        <v>0</v>
      </c>
      <c r="AL50" s="29">
        <f>ROUND(IF(C50&gt;59,0,IF(C50=0,0,IF(AK50&lt;=db!$L$6,AK50,db!$L$6))),0)</f>
        <v>0</v>
      </c>
      <c r="AM50" s="32"/>
      <c r="AN50" s="18">
        <f>IF(B50=0,0,IF(C50&lt;(db!$E$2+5),LOOKUP(C50,'Mortality Table'!$A$2:$A$108,'Mortality Table'!$P$2:$P$108),IF((C50&gt;=db!$E$2+10),LOOKUP(C50,'Mortality Table'!$A$2:$A$108,'Mortality Table'!$R$2:$R$108),LOOKUP(C50,'Mortality Table'!$A$2:$A$108,'Mortality Table'!$Q$2:$Q$108))))</f>
        <v>0</v>
      </c>
      <c r="AO50" s="22">
        <f t="shared" si="2"/>
        <v>0</v>
      </c>
      <c r="AP50" s="19">
        <f>IF(B50=0,0, LOOKUP(IF(AND(Changes!Change="Yes", Changes!ValidityYear&lt;=Table14[[#This Row],[Year]], Changes!ChangeType="Change Job Class"),Changes!NewChangedValue, db!$A$8),db!$AX$4:$AX$8,db!$AY$4:$AY$8))</f>
        <v>0</v>
      </c>
      <c r="AQ50" s="20">
        <f>ROUND((AP50/1000)*W50 * (1-db!$AS$9),0)</f>
        <v>0</v>
      </c>
      <c r="AR50" s="20">
        <f>(AP50/1000)*W50 * db!$AS$9</f>
        <v>0</v>
      </c>
      <c r="AS50" s="21">
        <f>IF(B50=0,0, LOOKUP(IF(AND(Changes!Change="Yes", Changes!ValidityYear&lt;=Table14[[#This Row],[Year]], Changes!ChangeType="Change Job Class"),Changes!NewChangedValue, db!$A$8),db!$AX$4:$AX$8,db!$AZ$4:$AZ$8))</f>
        <v>0</v>
      </c>
      <c r="AT50" s="22">
        <f>(AS50/1000)*Y50*(1-db!$AS$9)</f>
        <v>0</v>
      </c>
      <c r="AU50" s="22">
        <f>(AS50/1000)*Y50*(db!$AS$9)</f>
        <v>0</v>
      </c>
      <c r="AV50" s="23">
        <f>IF(B50=0,0, LOOKUP(IF(AND(Changes!Change="Yes", Changes!ValidityYear&lt;=Table14[[#This Row],[Year]], Changes!ChangeType="Change Job Class"),Changes!NewChangedValue, db!$A$8),db!$AX$4:$AX$8,db!$BA$4:$BA$8))</f>
        <v>0</v>
      </c>
      <c r="AW50" s="20">
        <f>ROUND((AV50/(100))*AA50*(1-db!$AS$9),0)</f>
        <v>0</v>
      </c>
      <c r="AX50" s="20">
        <f>ROUND((AV50/(100))*AA50*(db!$AS$9),0)</f>
        <v>0</v>
      </c>
      <c r="AY50" s="21">
        <f>IF(db!$D$8="Yes",AS50,0)</f>
        <v>0</v>
      </c>
      <c r="AZ50" s="22">
        <f>(AY50*AF50)/1000*(1-db!$AS$9)</f>
        <v>0</v>
      </c>
      <c r="BA50" s="22">
        <f>(AY50*AF50)/1000*(db!$AS$9)</f>
        <v>0</v>
      </c>
      <c r="BB50" s="23">
        <f t="shared" si="3"/>
        <v>0</v>
      </c>
      <c r="BC50" s="20">
        <f>(BB50*AH50/1000)*(1-db!$AS$9)</f>
        <v>0</v>
      </c>
      <c r="BD50" s="20">
        <f>(BB50*AH50/1000)*(db!$AS$9)</f>
        <v>0</v>
      </c>
      <c r="BE50" s="22">
        <f>IF(B50=0,0,IF(C50&gt;60,0,LOOKUP(Table14[[#This Row],[Medical
Age]],db!$BC$3:$BC$63,db!$BD$3:$BD$63)))</f>
        <v>0</v>
      </c>
      <c r="BF50" s="22">
        <f>BG50*db!$AS$10</f>
        <v>0</v>
      </c>
      <c r="BG50" s="22">
        <f t="shared" si="4"/>
        <v>0</v>
      </c>
      <c r="BH50" s="22">
        <f>(BE50/1000000)*AJ50*(1-db!$AS$10)</f>
        <v>0</v>
      </c>
      <c r="BI50" s="20">
        <f>IF(B50=0,0,IF(C50&gt;59,0,LOOKUP(Table14[[#This Row],[Medical
Age]],db!$BC$3:$BC$63,db!$BE$3:$BE$63)))</f>
        <v>0</v>
      </c>
      <c r="BJ50" s="20">
        <f>(BI50/1000000)*AL50*(1-db!$AS$11)</f>
        <v>0</v>
      </c>
      <c r="BK50" s="20">
        <f>(BI50/1000000)*AL50*(db!$AS$11)</f>
        <v>0</v>
      </c>
      <c r="BL50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50" s="20">
        <f>Table14[[#This Row],[RiskLoading
Rate]]*Table14[[#This Row],[Death Capital (2)]]</f>
        <v>0</v>
      </c>
      <c r="BN50" s="36"/>
      <c r="BO50" s="37">
        <f t="shared" si="5"/>
        <v>0</v>
      </c>
      <c r="BP50" s="35">
        <f t="shared" si="6"/>
        <v>0</v>
      </c>
      <c r="BQ50" s="35">
        <f t="shared" si="7"/>
        <v>0</v>
      </c>
      <c r="BR50" s="37">
        <f t="shared" si="11"/>
        <v>0</v>
      </c>
      <c r="BS50" s="37">
        <f t="shared" si="12"/>
        <v>0</v>
      </c>
      <c r="BT50" s="35">
        <f t="shared" si="13"/>
        <v>0</v>
      </c>
      <c r="BU50" s="35">
        <f t="shared" si="14"/>
        <v>0</v>
      </c>
      <c r="BV50" s="37">
        <f>(db!$AS$4/100)*(L50-BT50-BU50)</f>
        <v>0</v>
      </c>
      <c r="BW50" s="37">
        <f>(db!$AS$8/100)*(L50-BT50-BU50)</f>
        <v>0</v>
      </c>
      <c r="BX50" s="35"/>
      <c r="BY50" s="37"/>
      <c r="BZ50" s="37"/>
      <c r="CA50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50" s="33"/>
      <c r="CC50" s="39">
        <f>ROUND((Table14[[#This Row],[Premium]]-Table14[[#This Row],[All Deductions]]),0)</f>
        <v>0</v>
      </c>
      <c r="CD50" s="40">
        <f>ROUND(IF(B50=0,0,((CC50)*(1+ IF(AND(Changes!Change="Yes",Changes!ValidityYear&lt;=Table14[[#This Row],[Year]],Annulment&gt;Table14[[#This Row],[Year]],Changes!ChangeType="Paid-Up"),db!Y52+0.02,db!Y52)))+((CD49)*(1+IF(AND(Changes!Change="Yes",Changes!ValidityYear&lt;=Table14[[#This Row],[Year]],Annulment&gt;Table14[[#This Row],[Year]],Changes!ChangeType="Paid-Up"),db!U52+0.02,db!U52)))),0)</f>
        <v>0</v>
      </c>
      <c r="CE50" s="40">
        <f>ROUND(IF(B50=0,0,((CC50)*(1+db!Y52))+((CE49)*(1+db!U52))),0)</f>
        <v>0</v>
      </c>
      <c r="CF50" s="40">
        <f t="shared" si="19"/>
        <v>0</v>
      </c>
      <c r="CG50" s="15">
        <f t="shared" si="15"/>
        <v>49</v>
      </c>
      <c r="CH50" s="39">
        <f>IF(B50=0,0,((CC50)*(1+db!AH52))+((CH49)*(1+db!AD52)))</f>
        <v>0</v>
      </c>
      <c r="CI50" s="39">
        <f>IF(B50=0,0,((CC50)*(1+db!AH52))+((CI49)*(1+db!AD52)))</f>
        <v>0</v>
      </c>
      <c r="CJ50" s="40">
        <f>IF(B50=0,0,((CC50)*(1+db!AO52))+((CJ49)*(1+db!AK52)))</f>
        <v>0</v>
      </c>
      <c r="CK50" s="40">
        <f>CJ50-(SUM(BX$7:$BX51))</f>
        <v>0</v>
      </c>
      <c r="CL50" s="46"/>
    </row>
    <row r="51" spans="1:90">
      <c r="A51" s="347">
        <f t="shared" si="16"/>
        <v>50</v>
      </c>
      <c r="B51" s="345">
        <f>IF(AND(Changes!Change="Yes", Changes!ChangeType="Change Contract Duration"),IF(B50=0,0,IF(Changes!NewChangedValue&lt;B50+1,0,B50+1)),IF(B50=0,0,IF('Application Annually'!$C$5&lt;B50+1,0,B50+1)))</f>
        <v>0</v>
      </c>
      <c r="C51" s="15">
        <f t="shared" si="17"/>
        <v>0</v>
      </c>
      <c r="D51" s="312">
        <f t="shared" si="18"/>
        <v>77</v>
      </c>
      <c r="E51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51" s="29">
        <f t="shared" si="8"/>
        <v>0</v>
      </c>
      <c r="G51" s="29">
        <f t="shared" si="9"/>
        <v>0</v>
      </c>
      <c r="H51" s="29">
        <f t="shared" si="0"/>
        <v>0</v>
      </c>
      <c r="I51" s="29">
        <f>IF(B51&gt;0,IF(AND(Table14[[#This Row],[Year]]&gt;Changes!ValidityYear,Changes!Change="Yes",Changes!ChangeType="Change Value Adjustment"),Changes!$G$22,'Application Annually'!$C$11),0)</f>
        <v>0</v>
      </c>
      <c r="J51" s="29">
        <f>IF(B51&gt;0,IF(AND(Table14[[#This Row],[Year]]&gt;Changes!ValidityYear,Changes!Change="Yes",Changes!ChangeType="Change Value Adjustment"),Changes!$G$24,'Application Annually'!$C$7),0)</f>
        <v>0</v>
      </c>
      <c r="K51" s="29">
        <f>ROUND(IF(B51=0,0,IF(AND(Changes!Change="Yes", Changes!ValidityYear=Table14[[#This Row],[Year]], Changes!ChangeType="Change Premium"), Changes!NewChangedValue, (K50*(1+db!$B$3)))),0)</f>
        <v>0</v>
      </c>
      <c r="L51" s="29">
        <f>ROUND(IF(B51=0,0,IF(AND(Changes!Change="Yes", Changes!ValidityYear=Table14[[#This Row],[Year]], Changes!ChangeType="Change Premium"), Changes!NewChangedValue, (L50*(1+Table14[[#This Row],[Adjustment Factor of Premium]]/100)))),0)</f>
        <v>0</v>
      </c>
      <c r="M51" s="29">
        <f>IF(Table14[[#This Row],[Year]]=1,ROUND(MIN($L$2 -( Table14[[#This Row],[Riders Risk Premiums]] + Table14[[#This Row],[Acquisition Cost]]) *0.75,Table14[[#This Row],[Death Capital (1)]]* 0.03),0),0)</f>
        <v>0</v>
      </c>
      <c r="N51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51" s="29">
        <f>ROUND(IF(ROW()-1&gt;InsurancePeriod,0,(O50*(1+(Table14[[#This Row],[Adjustment Factor of Premium]]/100)))),0)</f>
        <v>0</v>
      </c>
      <c r="P51" s="29">
        <f>IF(Table14[Year] = 0, 0, SUM(L$2:L51))</f>
        <v>0</v>
      </c>
      <c r="Q51" s="17">
        <f t="shared" si="1"/>
        <v>0</v>
      </c>
      <c r="R51" s="17">
        <f>IF(Table14[[#This Row],[Year]]=0,0,IF($C$2&lt;=50,LOOKUP(Table14[[#This Row],[Age]],db!BG52:BG158,db!BH52:BH158),LOOKUP(Table14[[#This Row],[Age]],db!BJ52:BJ158,db!BK52:BK158)))</f>
        <v>0</v>
      </c>
      <c r="S51" s="17">
        <f>IF(B51=0,0, IF(AND(Changes!Change="Yes", Changes!ValidityYear=Table14[[#This Row],[Year]], Changes!ChangeType="Change Death Capital"), Changes!NewChangedValue, S50*(1+(Table14[[#This Row],[Adjustment Factor of Death Capital]]/100))))</f>
        <v>0</v>
      </c>
      <c r="T51" s="17">
        <f>MIN(IF(B51=0,0,Table14[[#This Row],[Death Capital (1)]]),Table14[[#This Row],[Max Sum Insured For Death]])</f>
        <v>0</v>
      </c>
      <c r="U51" s="29">
        <f t="shared" si="10"/>
        <v>0</v>
      </c>
      <c r="V51" s="29">
        <f>IF(B51=0,0,IF(AND(Changes!Change="Yes", Changes!ValidityYear&lt;=Table14[[#This Row],[Year]], Changes!ChangeType="Rider Inclusion/Exclusion", Changes!RiderType="Accident Death"), T51*Changes!NewChangedValue,IF(db!$D$6="Yes",(db!$B$6)*T51,0)))</f>
        <v>0</v>
      </c>
      <c r="W51" s="29">
        <f>MIN(IF(V51&lt;=db!$L$2,V51,db!$L$2),MAX_ACC_CAPITAL)</f>
        <v>0</v>
      </c>
      <c r="X51" s="17">
        <f>IF(OR(B51=0,Table14[[#This Row],[Accident Capital (2)]]=0),0,IF(AND(Changes!Change="Yes", Changes!ValidityYear&lt;=Table14[[#This Row],[Year]], Changes!ChangeType="Rider Inclusion/Exclusion", Changes!RiderType="Accident Disability"), T51*Changes!NewChangedValue,IF(db!$D$7="Yes",(db!$B$7)*T51,0)))</f>
        <v>0</v>
      </c>
      <c r="Y51" s="42">
        <f>IF(C51&gt;69,0,IF(C51=0,0,IF(X51&lt;=db!$L$3,X51,db!$L$3)))</f>
        <v>0</v>
      </c>
      <c r="Z51" s="29">
        <f>IF(OR(B51=0,Table14[[#This Row],[Accident Capital (2)]]=0),0,IF(AND(Changes!Change="Yes", Changes!ValidityYear&lt;=Table14[[#This Row],[Year]], Changes!ChangeType="Rider Inclusion/Exclusion", Changes!RiderType="Accident Medical Cost"), T51*Changes!NewChangedValue,IF(db!$D$9="Yes",(db!$B$9)*T51,0)))</f>
        <v>0</v>
      </c>
      <c r="AA51" s="29">
        <f>ROUND(IF(C51&gt;69,0,IF(C51=0,0,IF(Z51&lt;=db!$L$4,Z51,db!$L$4))),0)</f>
        <v>0</v>
      </c>
      <c r="AB51" s="38">
        <f>IF(AND(Changes!Change = "Yes", Changes!ChangeType = "Rider Inclusion/Exclusion", Changes!RiderType = "WOP"), IF( Changes!ValidityYear &lt;= Table14[[#This Row],[Year]], IF(WOP = "Yes", 0, 1),  IF(WOP = "Yes", 1, 0)), IF(AND(db!$D$8="Yes",C51&lt;=69,ROW()-1&lt;=InsurancePeriod), 1, 0))</f>
        <v>0</v>
      </c>
      <c r="AC51" s="17">
        <f>(AC52+K52)*AB51*((1)/(1+db!AA53))*(LOOKUP(C51,'Mortality Table'!$A$2:$A$108,'Mortality Table'!$E$2:$E$108))</f>
        <v>0</v>
      </c>
      <c r="AD51" s="340">
        <f>IF(AND(Changes!ValidityYear&lt;= Table14[[#This Row],[Year]],Changes!ChangeType="Change Value Adjustment",Changes!Change="Yes"), (AD52+L52)*AB51*((1)/(1+db!AA53))*(LOOKUP(C51,'Mortality Table'!$A$2:$A$108,'Mortality Table'!$E$2:$E$108)),Table14[[#This Row],[WOP Before Adj. BT]])</f>
        <v>0</v>
      </c>
      <c r="AE51" s="341">
        <f>IF(AND(Changes!Change="Yes", Changes!ChangeType="Change Value Adjustment"),Table14[[#This Row],[WOP Capital]],(AE52+O52)*AB51*((1)/(1+db!AA53))*(LOOKUP(D51,'Mortality Table'!$A$2:$A$108,'Mortality Table'!$E$2:$E$108)))</f>
        <v>0</v>
      </c>
      <c r="AF51" s="17">
        <f>IF(AND(Changes!Change="Yes", Changes!ValidityYear&lt;=ROW()-1),Table14[[#This Row],[WOP Capital]],Table14[[#This Row],[WOP without change]])</f>
        <v>0</v>
      </c>
      <c r="AG51" s="42">
        <f>IF(AND(Changes!Change="Yes", Changes!ValidityYear&lt;=Table14[[#This Row],[Year]], Changes!ChangeType="Rider Inclusion/Exclusion", Changes!RiderType="Disability Annuity"), L51*Changes!NewChangedValue,L51*db!B$10*IF(db!$D$10="Yes",1,0))</f>
        <v>0</v>
      </c>
      <c r="AH51" s="29">
        <f>Table14[[#This Row],[Code Annuity Capital]]*IF('Annual Calculation'!C51&gt;69,0,(LOOKUP('Annual Calculation'!C51+1,'Mortality Table'!$A$2:$A$108,'Mortality Table'!$O$2:$O$108)-LOOKUP('Annual Calculation'!C51+11,'Mortality Table'!$A$2:$A$108,'Mortality Table'!$O$2:$O$108))/LOOKUP('Annual Calculation'!C51,'Mortality Table'!$A$2:$A$108,'Mortality Table'!$M$2:$M$108))</f>
        <v>0</v>
      </c>
      <c r="AI51" s="17">
        <f>IF(B51=0,0,IF(AND(Changes!Change="Yes", Changes!ValidityYear&lt;=Table14[[#This Row],[Year]], Changes!ChangeType="Rider Inclusion/Exclusion", Changes!RiderType="Dread Disease"), T51*Changes!NewChangedValue,IF(db!$D$11="Yes",(db!$B$11)*T51,0)))</f>
        <v>0</v>
      </c>
      <c r="AJ51" s="42">
        <f>ROUND(IF(C51&gt;59,0,IF(C51=0,0,IF(AI51&lt;=db!$L$5,AI51,db!$L$5))),0)</f>
        <v>0</v>
      </c>
      <c r="AK51" s="29">
        <f>IF(B51=0,0,IF(AND(Changes!Change="Yes", Changes!ValidityYear&lt;=Table14[[#This Row],[Year]], Changes!ChangeType="Rider Inclusion/Exclusion", Changes!RiderType="Cancer"), T51*Changes!NewChangedValue,IF(db!$D$12="Yes",(db!$B$12)*T51,0)))</f>
        <v>0</v>
      </c>
      <c r="AL51" s="29">
        <f>ROUND(IF(C51&gt;59,0,IF(C51=0,0,IF(AK51&lt;=db!$L$6,AK51,db!$L$6))),0)</f>
        <v>0</v>
      </c>
      <c r="AM51" s="32"/>
      <c r="AN51" s="18">
        <f>IF(B51=0,0,IF(C51&lt;(db!$E$2+5),LOOKUP(C51,'Mortality Table'!$A$2:$A$108,'Mortality Table'!$P$2:$P$108),IF((C51&gt;=db!$E$2+10),LOOKUP(C51,'Mortality Table'!$A$2:$A$108,'Mortality Table'!$R$2:$R$108),LOOKUP(C51,'Mortality Table'!$A$2:$A$108,'Mortality Table'!$Q$2:$Q$108))))</f>
        <v>0</v>
      </c>
      <c r="AO51" s="22">
        <f t="shared" si="2"/>
        <v>0</v>
      </c>
      <c r="AP51" s="19">
        <f>IF(B51=0,0, LOOKUP(IF(AND(Changes!Change="Yes", Changes!ValidityYear&lt;=Table14[[#This Row],[Year]], Changes!ChangeType="Change Job Class"),Changes!NewChangedValue, db!$A$8),db!$AX$4:$AX$8,db!$AY$4:$AY$8))</f>
        <v>0</v>
      </c>
      <c r="AQ51" s="20">
        <f>ROUND((AP51/1000)*W51 * (1-db!$AS$9),0)</f>
        <v>0</v>
      </c>
      <c r="AR51" s="20">
        <f>(AP51/1000)*W51 * db!$AS$9</f>
        <v>0</v>
      </c>
      <c r="AS51" s="21">
        <f>IF(B51=0,0, LOOKUP(IF(AND(Changes!Change="Yes", Changes!ValidityYear&lt;=Table14[[#This Row],[Year]], Changes!ChangeType="Change Job Class"),Changes!NewChangedValue, db!$A$8),db!$AX$4:$AX$8,db!$AZ$4:$AZ$8))</f>
        <v>0</v>
      </c>
      <c r="AT51" s="22">
        <f>(AS51/1000)*Y51*(1-db!$AS$9)</f>
        <v>0</v>
      </c>
      <c r="AU51" s="22">
        <f>(AS51/1000)*Y51*(db!$AS$9)</f>
        <v>0</v>
      </c>
      <c r="AV51" s="23">
        <f>IF(B51=0,0, LOOKUP(IF(AND(Changes!Change="Yes", Changes!ValidityYear&lt;=Table14[[#This Row],[Year]], Changes!ChangeType="Change Job Class"),Changes!NewChangedValue, db!$A$8),db!$AX$4:$AX$8,db!$BA$4:$BA$8))</f>
        <v>0</v>
      </c>
      <c r="AW51" s="20">
        <f>ROUND((AV51/(100))*AA51*(1-db!$AS$9),0)</f>
        <v>0</v>
      </c>
      <c r="AX51" s="20">
        <f>ROUND((AV51/(100))*AA51*(db!$AS$9),0)</f>
        <v>0</v>
      </c>
      <c r="AY51" s="21">
        <f>IF(db!$D$8="Yes",AS51,0)</f>
        <v>0</v>
      </c>
      <c r="AZ51" s="22">
        <f>(AY51*AF51)/1000*(1-db!$AS$9)</f>
        <v>0</v>
      </c>
      <c r="BA51" s="22">
        <f>(AY51*AF51)/1000*(db!$AS$9)</f>
        <v>0</v>
      </c>
      <c r="BB51" s="23">
        <f t="shared" si="3"/>
        <v>0</v>
      </c>
      <c r="BC51" s="20">
        <f>(BB51*AH51/1000)*(1-db!$AS$9)</f>
        <v>0</v>
      </c>
      <c r="BD51" s="20">
        <f>(BB51*AH51/1000)*(db!$AS$9)</f>
        <v>0</v>
      </c>
      <c r="BE51" s="22">
        <f>IF(B51=0,0,IF(C51&gt;60,0,LOOKUP(Table14[[#This Row],[Medical
Age]],db!$BC$3:$BC$63,db!$BD$3:$BD$63)))</f>
        <v>0</v>
      </c>
      <c r="BF51" s="22">
        <f>BG51*db!$AS$10</f>
        <v>0</v>
      </c>
      <c r="BG51" s="22">
        <f t="shared" si="4"/>
        <v>0</v>
      </c>
      <c r="BH51" s="22">
        <f>(BE51/1000000)*AJ51*(1-db!$AS$10)</f>
        <v>0</v>
      </c>
      <c r="BI51" s="20">
        <f>IF(B51=0,0,IF(C51&gt;59,0,LOOKUP(Table14[[#This Row],[Medical
Age]],db!$BC$3:$BC$63,db!$BE$3:$BE$63)))</f>
        <v>0</v>
      </c>
      <c r="BJ51" s="20">
        <f>(BI51/1000000)*AL51*(1-db!$AS$11)</f>
        <v>0</v>
      </c>
      <c r="BK51" s="20">
        <f>(BI51/1000000)*AL51*(db!$AS$11)</f>
        <v>0</v>
      </c>
      <c r="BL51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51" s="20">
        <f>Table14[[#This Row],[RiskLoading
Rate]]*Table14[[#This Row],[Death Capital (2)]]</f>
        <v>0</v>
      </c>
      <c r="BN51" s="36"/>
      <c r="BO51" s="37">
        <f t="shared" si="5"/>
        <v>0</v>
      </c>
      <c r="BP51" s="35">
        <f t="shared" si="6"/>
        <v>0</v>
      </c>
      <c r="BQ51" s="35">
        <f t="shared" si="7"/>
        <v>0</v>
      </c>
      <c r="BR51" s="37">
        <f t="shared" si="11"/>
        <v>0</v>
      </c>
      <c r="BS51" s="37">
        <f t="shared" si="12"/>
        <v>0</v>
      </c>
      <c r="BT51" s="35">
        <f t="shared" si="13"/>
        <v>0</v>
      </c>
      <c r="BU51" s="35">
        <f t="shared" si="14"/>
        <v>0</v>
      </c>
      <c r="BV51" s="37">
        <f>(db!$AS$4/100)*(L51-BT51-BU51)</f>
        <v>0</v>
      </c>
      <c r="BW51" s="37">
        <f>(db!$AS$8/100)*(L51-BT51-BU51)</f>
        <v>0</v>
      </c>
      <c r="BX51" s="35"/>
      <c r="BY51" s="37"/>
      <c r="BZ51" s="37"/>
      <c r="CA51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51" s="33"/>
      <c r="CC51" s="39">
        <f>ROUND((Table14[[#This Row],[Premium]]-Table14[[#This Row],[All Deductions]]),0)</f>
        <v>0</v>
      </c>
      <c r="CD51" s="40">
        <f>ROUND(IF(B51=0,0,((CC51)*(1+ IF(AND(Changes!Change="Yes",Changes!ValidityYear&lt;=Table14[[#This Row],[Year]],Annulment&gt;Table14[[#This Row],[Year]],Changes!ChangeType="Paid-Up"),db!Y53+0.02,db!Y53)))+((CD50)*(1+IF(AND(Changes!Change="Yes",Changes!ValidityYear&lt;=Table14[[#This Row],[Year]],Annulment&gt;Table14[[#This Row],[Year]],Changes!ChangeType="Paid-Up"),db!U53+0.02,db!U53)))),0)</f>
        <v>0</v>
      </c>
      <c r="CE51" s="40">
        <f>ROUND(IF(B51=0,0,((CC51)*(1+db!Y53))+((CE50)*(1+db!U53))),0)</f>
        <v>0</v>
      </c>
      <c r="CF51" s="40">
        <f t="shared" si="19"/>
        <v>0</v>
      </c>
      <c r="CG51" s="15">
        <f t="shared" si="15"/>
        <v>50</v>
      </c>
      <c r="CH51" s="39">
        <f>IF(B51=0,0,((CC51)*(1+db!AH53))+((CH50)*(1+db!AD53)))</f>
        <v>0</v>
      </c>
      <c r="CI51" s="39">
        <f>IF(B51=0,0,((CC51)*(1+db!AH53))+((CI50)*(1+db!AD53)))</f>
        <v>0</v>
      </c>
      <c r="CJ51" s="40">
        <f>IF(B51=0,0,((CC51)*(1+db!AO53))+((CJ50)*(1+db!AK53)))</f>
        <v>0</v>
      </c>
      <c r="CK51" s="40">
        <f>CJ51-(SUM(BX$7:$BX52))</f>
        <v>0</v>
      </c>
      <c r="CL51" s="46"/>
    </row>
    <row r="52" spans="1:90">
      <c r="A52" s="347">
        <f t="shared" si="16"/>
        <v>51</v>
      </c>
      <c r="B52" s="345">
        <f>IF(AND(Changes!Change="Yes", Changes!ChangeType="Change Contract Duration"),IF(B51=0,0,IF(Changes!NewChangedValue&lt;B51+1,0,B51+1)),IF(B51=0,0,IF('Application Annually'!$C$5&lt;B51+1,0,B51+1)))</f>
        <v>0</v>
      </c>
      <c r="C52" s="15">
        <f t="shared" si="17"/>
        <v>0</v>
      </c>
      <c r="D52" s="312">
        <f t="shared" si="18"/>
        <v>78</v>
      </c>
      <c r="E52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52" s="29">
        <f t="shared" si="8"/>
        <v>0</v>
      </c>
      <c r="G52" s="29">
        <f t="shared" si="9"/>
        <v>0</v>
      </c>
      <c r="H52" s="29">
        <f t="shared" si="0"/>
        <v>0</v>
      </c>
      <c r="I52" s="29">
        <f>IF(B52&gt;0,IF(AND(Table14[[#This Row],[Year]]&gt;Changes!ValidityYear,Changes!Change="Yes",Changes!ChangeType="Change Value Adjustment"),Changes!$G$22,'Application Annually'!$C$11),0)</f>
        <v>0</v>
      </c>
      <c r="J52" s="29">
        <f>IF(B52&gt;0,IF(AND(Table14[[#This Row],[Year]]&gt;Changes!ValidityYear,Changes!Change="Yes",Changes!ChangeType="Change Value Adjustment"),Changes!$G$24,'Application Annually'!$C$7),0)</f>
        <v>0</v>
      </c>
      <c r="K52" s="29">
        <f>ROUND(IF(B52=0,0,IF(AND(Changes!Change="Yes", Changes!ValidityYear=Table14[[#This Row],[Year]], Changes!ChangeType="Change Premium"), Changes!NewChangedValue, (K51*(1+db!$B$3)))),0)</f>
        <v>0</v>
      </c>
      <c r="L52" s="29">
        <f>ROUND(IF(B52=0,0,IF(AND(Changes!Change="Yes", Changes!ValidityYear=Table14[[#This Row],[Year]], Changes!ChangeType="Change Premium"), Changes!NewChangedValue, (L51*(1+Table14[[#This Row],[Adjustment Factor of Premium]]/100)))),0)</f>
        <v>0</v>
      </c>
      <c r="M52" s="29">
        <f>IF(Table14[[#This Row],[Year]]=1,ROUND(MIN($L$2 -( Table14[[#This Row],[Riders Risk Premiums]] + Table14[[#This Row],[Acquisition Cost]]) *0.75,Table14[[#This Row],[Death Capital (1)]]* 0.03),0),0)</f>
        <v>0</v>
      </c>
      <c r="N52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52" s="29">
        <f>ROUND(IF(ROW()-1&gt;InsurancePeriod,0,(O51*(1+(Table14[[#This Row],[Adjustment Factor of Premium]]/100)))),0)</f>
        <v>0</v>
      </c>
      <c r="P52" s="29">
        <f>IF(Table14[Year] = 0, 0, SUM(L$2:L52))</f>
        <v>0</v>
      </c>
      <c r="Q52" s="17">
        <f t="shared" si="1"/>
        <v>0</v>
      </c>
      <c r="R52" s="17">
        <f>IF(Table14[[#This Row],[Year]]=0,0,IF($C$2&lt;=50,LOOKUP(Table14[[#This Row],[Age]],db!BG53:BG159,db!BH53:BH159),LOOKUP(Table14[[#This Row],[Age]],db!BJ53:BJ159,db!BK53:BK159)))</f>
        <v>0</v>
      </c>
      <c r="S52" s="17">
        <f>IF(B52=0,0, IF(AND(Changes!Change="Yes", Changes!ValidityYear=Table14[[#This Row],[Year]], Changes!ChangeType="Change Death Capital"), Changes!NewChangedValue, S51*(1+(Table14[[#This Row],[Adjustment Factor of Death Capital]]/100))))</f>
        <v>0</v>
      </c>
      <c r="T52" s="17">
        <f>MIN(IF(B52=0,0,Table14[[#This Row],[Death Capital (1)]]),Table14[[#This Row],[Max Sum Insured For Death]])</f>
        <v>0</v>
      </c>
      <c r="U52" s="29">
        <f t="shared" si="10"/>
        <v>0</v>
      </c>
      <c r="V52" s="29">
        <f>IF(B52=0,0,IF(AND(Changes!Change="Yes", Changes!ValidityYear&lt;=Table14[[#This Row],[Year]], Changes!ChangeType="Rider Inclusion/Exclusion", Changes!RiderType="Accident Death"), T52*Changes!NewChangedValue,IF(db!$D$6="Yes",(db!$B$6)*T52,0)))</f>
        <v>0</v>
      </c>
      <c r="W52" s="29">
        <f>MIN(IF(V52&lt;=db!$L$2,V52,db!$L$2),MAX_ACC_CAPITAL)</f>
        <v>0</v>
      </c>
      <c r="X52" s="17">
        <f>IF(OR(B52=0,Table14[[#This Row],[Accident Capital (2)]]=0),0,IF(AND(Changes!Change="Yes", Changes!ValidityYear&lt;=Table14[[#This Row],[Year]], Changes!ChangeType="Rider Inclusion/Exclusion", Changes!RiderType="Accident Disability"), T52*Changes!NewChangedValue,IF(db!$D$7="Yes",(db!$B$7)*T52,0)))</f>
        <v>0</v>
      </c>
      <c r="Y52" s="42">
        <f>IF(C52&gt;69,0,IF(C52=0,0,IF(X52&lt;=db!$L$3,X52,db!$L$3)))</f>
        <v>0</v>
      </c>
      <c r="Z52" s="29">
        <f>IF(OR(B52=0,Table14[[#This Row],[Accident Capital (2)]]=0),0,IF(AND(Changes!Change="Yes", Changes!ValidityYear&lt;=Table14[[#This Row],[Year]], Changes!ChangeType="Rider Inclusion/Exclusion", Changes!RiderType="Accident Medical Cost"), T52*Changes!NewChangedValue,IF(db!$D$9="Yes",(db!$B$9)*T52,0)))</f>
        <v>0</v>
      </c>
      <c r="AA52" s="29">
        <f>ROUND(IF(C52&gt;69,0,IF(C52=0,0,IF(Z52&lt;=db!$L$4,Z52,db!$L$4))),0)</f>
        <v>0</v>
      </c>
      <c r="AB52" s="38">
        <f>IF(AND(Changes!Change = "Yes", Changes!ChangeType = "Rider Inclusion/Exclusion", Changes!RiderType = "WOP"), IF( Changes!ValidityYear &lt;= Table14[[#This Row],[Year]], IF(WOP = "Yes", 0, 1),  IF(WOP = "Yes", 1, 0)), IF(AND(db!$D$8="Yes",C52&lt;=69,ROW()-1&lt;=InsurancePeriod), 1, 0))</f>
        <v>0</v>
      </c>
      <c r="AC52" s="17">
        <f>(AC53+K53)*AB52*((1)/(1+db!AA54))*(LOOKUP(C52,'Mortality Table'!$A$2:$A$108,'Mortality Table'!$E$2:$E$108))</f>
        <v>0</v>
      </c>
      <c r="AD52" s="340">
        <f>IF(AND(Changes!ValidityYear&lt;= Table14[[#This Row],[Year]],Changes!ChangeType="Change Value Adjustment",Changes!Change="Yes"), (AD53+L53)*AB52*((1)/(1+db!AA54))*(LOOKUP(C52,'Mortality Table'!$A$2:$A$108,'Mortality Table'!$E$2:$E$108)),Table14[[#This Row],[WOP Before Adj. BT]])</f>
        <v>0</v>
      </c>
      <c r="AE52" s="341">
        <f>IF(AND(Changes!Change="Yes", Changes!ChangeType="Change Value Adjustment"),Table14[[#This Row],[WOP Capital]],(AE53+O53)*AB52*((1)/(1+db!AA54))*(LOOKUP(D52,'Mortality Table'!$A$2:$A$108,'Mortality Table'!$E$2:$E$108)))</f>
        <v>0</v>
      </c>
      <c r="AF52" s="17">
        <f>IF(AND(Changes!Change="Yes", Changes!ValidityYear&lt;=ROW()-1),Table14[[#This Row],[WOP Capital]],Table14[[#This Row],[WOP without change]])</f>
        <v>0</v>
      </c>
      <c r="AG52" s="42">
        <f>IF(AND(Changes!Change="Yes", Changes!ValidityYear&lt;=Table14[[#This Row],[Year]], Changes!ChangeType="Rider Inclusion/Exclusion", Changes!RiderType="Disability Annuity"), L52*Changes!NewChangedValue,L52*db!B$10*IF(db!$D$10="Yes",1,0))</f>
        <v>0</v>
      </c>
      <c r="AH52" s="29">
        <f>Table14[[#This Row],[Code Annuity Capital]]*IF('Annual Calculation'!C52&gt;69,0,(LOOKUP('Annual Calculation'!C52+1,'Mortality Table'!$A$2:$A$108,'Mortality Table'!$O$2:$O$108)-LOOKUP('Annual Calculation'!C52+11,'Mortality Table'!$A$2:$A$108,'Mortality Table'!$O$2:$O$108))/LOOKUP('Annual Calculation'!C52,'Mortality Table'!$A$2:$A$108,'Mortality Table'!$M$2:$M$108))</f>
        <v>0</v>
      </c>
      <c r="AI52" s="17">
        <f>IF(B52=0,0,IF(AND(Changes!Change="Yes", Changes!ValidityYear&lt;=Table14[[#This Row],[Year]], Changes!ChangeType="Rider Inclusion/Exclusion", Changes!RiderType="Dread Disease"), T52*Changes!NewChangedValue,IF(db!$D$11="Yes",(db!$B$11)*T52,0)))</f>
        <v>0</v>
      </c>
      <c r="AJ52" s="42">
        <f>ROUND(IF(C52&gt;59,0,IF(C52=0,0,IF(AI52&lt;=db!$L$5,AI52,db!$L$5))),0)</f>
        <v>0</v>
      </c>
      <c r="AK52" s="29">
        <f>IF(B52=0,0,IF(AND(Changes!Change="Yes", Changes!ValidityYear&lt;=Table14[[#This Row],[Year]], Changes!ChangeType="Rider Inclusion/Exclusion", Changes!RiderType="Cancer"), T52*Changes!NewChangedValue,IF(db!$D$12="Yes",(db!$B$12)*T52,0)))</f>
        <v>0</v>
      </c>
      <c r="AL52" s="29">
        <f>ROUND(IF(C52&gt;59,0,IF(C52=0,0,IF(AK52&lt;=db!$L$6,AK52,db!$L$6))),0)</f>
        <v>0</v>
      </c>
      <c r="AM52" s="32"/>
      <c r="AN52" s="18">
        <f>IF(B52=0,0,IF(C52&lt;(db!$E$2+5),LOOKUP(C52,'Mortality Table'!$A$2:$A$108,'Mortality Table'!$P$2:$P$108),IF((C52&gt;=db!$E$2+10),LOOKUP(C52,'Mortality Table'!$A$2:$A$108,'Mortality Table'!$R$2:$R$108),LOOKUP(C52,'Mortality Table'!$A$2:$A$108,'Mortality Table'!$Q$2:$Q$108))))</f>
        <v>0</v>
      </c>
      <c r="AO52" s="22">
        <f t="shared" si="2"/>
        <v>0</v>
      </c>
      <c r="AP52" s="19">
        <f>IF(B52=0,0, LOOKUP(IF(AND(Changes!Change="Yes", Changes!ValidityYear&lt;=Table14[[#This Row],[Year]], Changes!ChangeType="Change Job Class"),Changes!NewChangedValue, db!$A$8),db!$AX$4:$AX$8,db!$AY$4:$AY$8))</f>
        <v>0</v>
      </c>
      <c r="AQ52" s="20">
        <f>ROUND((AP52/1000)*W52 * (1-db!$AS$9),0)</f>
        <v>0</v>
      </c>
      <c r="AR52" s="20">
        <f>(AP52/1000)*W52 * db!$AS$9</f>
        <v>0</v>
      </c>
      <c r="AS52" s="21">
        <f>IF(B52=0,0, LOOKUP(IF(AND(Changes!Change="Yes", Changes!ValidityYear&lt;=Table14[[#This Row],[Year]], Changes!ChangeType="Change Job Class"),Changes!NewChangedValue, db!$A$8),db!$AX$4:$AX$8,db!$AZ$4:$AZ$8))</f>
        <v>0</v>
      </c>
      <c r="AT52" s="22">
        <f>(AS52/1000)*Y52*(1-db!$AS$9)</f>
        <v>0</v>
      </c>
      <c r="AU52" s="22">
        <f>(AS52/1000)*Y52*(db!$AS$9)</f>
        <v>0</v>
      </c>
      <c r="AV52" s="23">
        <f>IF(B52=0,0, LOOKUP(IF(AND(Changes!Change="Yes", Changes!ValidityYear&lt;=Table14[[#This Row],[Year]], Changes!ChangeType="Change Job Class"),Changes!NewChangedValue, db!$A$8),db!$AX$4:$AX$8,db!$BA$4:$BA$8))</f>
        <v>0</v>
      </c>
      <c r="AW52" s="20">
        <f>ROUND((AV52/(100))*AA52*(1-db!$AS$9),0)</f>
        <v>0</v>
      </c>
      <c r="AX52" s="20">
        <f>ROUND((AV52/(100))*AA52*(db!$AS$9),0)</f>
        <v>0</v>
      </c>
      <c r="AY52" s="21">
        <f>IF(db!$D$8="Yes",AS52,0)</f>
        <v>0</v>
      </c>
      <c r="AZ52" s="22">
        <f>(AY52*AF52)/1000*(1-db!$AS$9)</f>
        <v>0</v>
      </c>
      <c r="BA52" s="22">
        <f>(AY52*AF52)/1000*(db!$AS$9)</f>
        <v>0</v>
      </c>
      <c r="BB52" s="23">
        <f t="shared" si="3"/>
        <v>0</v>
      </c>
      <c r="BC52" s="20">
        <f>(BB52*AH52/1000)*(1-db!$AS$9)</f>
        <v>0</v>
      </c>
      <c r="BD52" s="20">
        <f>(BB52*AH52/1000)*(db!$AS$9)</f>
        <v>0</v>
      </c>
      <c r="BE52" s="22">
        <f>IF(B52=0,0,IF(C52&gt;60,0,LOOKUP(Table14[[#This Row],[Medical
Age]],db!$BC$3:$BC$63,db!$BD$3:$BD$63)))</f>
        <v>0</v>
      </c>
      <c r="BF52" s="22">
        <f>BG52*db!$AS$10</f>
        <v>0</v>
      </c>
      <c r="BG52" s="22">
        <f t="shared" si="4"/>
        <v>0</v>
      </c>
      <c r="BH52" s="22">
        <f>(BE52/1000000)*AJ52*(1-db!$AS$10)</f>
        <v>0</v>
      </c>
      <c r="BI52" s="20">
        <f>IF(B52=0,0,IF(C52&gt;59,0,LOOKUP(Table14[[#This Row],[Medical
Age]],db!$BC$3:$BC$63,db!$BE$3:$BE$63)))</f>
        <v>0</v>
      </c>
      <c r="BJ52" s="20">
        <f>(BI52/1000000)*AL52*(1-db!$AS$11)</f>
        <v>0</v>
      </c>
      <c r="BK52" s="20">
        <f>(BI52/1000000)*AL52*(db!$AS$11)</f>
        <v>0</v>
      </c>
      <c r="BL52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52" s="20">
        <f>Table14[[#This Row],[RiskLoading
Rate]]*Table14[[#This Row],[Death Capital (2)]]</f>
        <v>0</v>
      </c>
      <c r="BN52" s="36"/>
      <c r="BO52" s="37">
        <f t="shared" si="5"/>
        <v>0</v>
      </c>
      <c r="BP52" s="35">
        <f t="shared" si="6"/>
        <v>0</v>
      </c>
      <c r="BQ52" s="35">
        <f t="shared" si="7"/>
        <v>0</v>
      </c>
      <c r="BR52" s="37">
        <f t="shared" si="11"/>
        <v>0</v>
      </c>
      <c r="BS52" s="37">
        <f t="shared" si="12"/>
        <v>0</v>
      </c>
      <c r="BT52" s="35">
        <f t="shared" si="13"/>
        <v>0</v>
      </c>
      <c r="BU52" s="35">
        <f t="shared" si="14"/>
        <v>0</v>
      </c>
      <c r="BV52" s="37">
        <f>(db!$AS$4/100)*(L52-BT52-BU52)</f>
        <v>0</v>
      </c>
      <c r="BW52" s="37">
        <f>(db!$AS$8/100)*(L52-BT52-BU52)</f>
        <v>0</v>
      </c>
      <c r="BX52" s="35"/>
      <c r="BY52" s="37"/>
      <c r="BZ52" s="37"/>
      <c r="CA52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52" s="33"/>
      <c r="CC52" s="39">
        <f>ROUND((Table14[[#This Row],[Premium]]-Table14[[#This Row],[All Deductions]]),0)</f>
        <v>0</v>
      </c>
      <c r="CD52" s="40">
        <f>ROUND(IF(B52=0,0,((CC52)*(1+ IF(AND(Changes!Change="Yes",Changes!ValidityYear&lt;=Table14[[#This Row],[Year]],Annulment&gt;Table14[[#This Row],[Year]],Changes!ChangeType="Paid-Up"),db!Y54+0.02,db!Y54)))+((CD51)*(1+IF(AND(Changes!Change="Yes",Changes!ValidityYear&lt;=Table14[[#This Row],[Year]],Annulment&gt;Table14[[#This Row],[Year]],Changes!ChangeType="Paid-Up"),db!U54+0.02,db!U54)))),0)</f>
        <v>0</v>
      </c>
      <c r="CE52" s="40">
        <f>ROUND(IF(B52=0,0,((CC52)*(1+db!Y54))+((CE51)*(1+db!U54))),0)</f>
        <v>0</v>
      </c>
      <c r="CF52" s="40">
        <f t="shared" si="19"/>
        <v>0</v>
      </c>
      <c r="CG52" s="15">
        <f t="shared" si="15"/>
        <v>51</v>
      </c>
      <c r="CH52" s="39">
        <f>IF(B52=0,0,((CC52)*(1+db!AH54))+((CH51)*(1+db!AD54)))</f>
        <v>0</v>
      </c>
      <c r="CI52" s="39">
        <f>IF(B52=0,0,((CC52)*(1+db!AH54))+((CI51)*(1+db!AD54)))</f>
        <v>0</v>
      </c>
      <c r="CJ52" s="40">
        <f>IF(B52=0,0,((CC52)*(1+db!AO54))+((CJ51)*(1+db!AK54)))</f>
        <v>0</v>
      </c>
      <c r="CK52" s="40">
        <f>CJ52-(SUM(BX$7:$BX53))</f>
        <v>0</v>
      </c>
      <c r="CL52" s="46"/>
    </row>
    <row r="53" spans="1:90">
      <c r="A53" s="347">
        <f t="shared" si="16"/>
        <v>52</v>
      </c>
      <c r="B53" s="345">
        <f>IF(AND(Changes!Change="Yes", Changes!ChangeType="Change Contract Duration"),IF(B52=0,0,IF(Changes!NewChangedValue&lt;B52+1,0,B52+1)),IF(B52=0,0,IF('Application Annually'!$C$5&lt;B52+1,0,B52+1)))</f>
        <v>0</v>
      </c>
      <c r="C53" s="15">
        <f t="shared" si="17"/>
        <v>0</v>
      </c>
      <c r="D53" s="312">
        <f t="shared" si="18"/>
        <v>79</v>
      </c>
      <c r="E53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53" s="29">
        <f t="shared" si="8"/>
        <v>0</v>
      </c>
      <c r="G53" s="29">
        <f t="shared" si="9"/>
        <v>0</v>
      </c>
      <c r="H53" s="29">
        <f t="shared" si="0"/>
        <v>0</v>
      </c>
      <c r="I53" s="29">
        <f>IF(B53&gt;0,IF(AND(Table14[[#This Row],[Year]]&gt;Changes!ValidityYear,Changes!Change="Yes",Changes!ChangeType="Change Value Adjustment"),Changes!$G$22,'Application Annually'!$C$11),0)</f>
        <v>0</v>
      </c>
      <c r="J53" s="29">
        <f>IF(B53&gt;0,IF(AND(Table14[[#This Row],[Year]]&gt;Changes!ValidityYear,Changes!Change="Yes",Changes!ChangeType="Change Value Adjustment"),Changes!$G$24,'Application Annually'!$C$7),0)</f>
        <v>0</v>
      </c>
      <c r="K53" s="29">
        <f>ROUND(IF(B53=0,0,IF(AND(Changes!Change="Yes", Changes!ValidityYear=Table14[[#This Row],[Year]], Changes!ChangeType="Change Premium"), Changes!NewChangedValue, (K52*(1+db!$B$3)))),0)</f>
        <v>0</v>
      </c>
      <c r="L53" s="29">
        <f>ROUND(IF(B53=0,0,IF(AND(Changes!Change="Yes", Changes!ValidityYear=Table14[[#This Row],[Year]], Changes!ChangeType="Change Premium"), Changes!NewChangedValue, (L52*(1+Table14[[#This Row],[Adjustment Factor of Premium]]/100)))),0)</f>
        <v>0</v>
      </c>
      <c r="M53" s="29">
        <f>IF(Table14[[#This Row],[Year]]=1,ROUND(MIN($L$2 -( Table14[[#This Row],[Riders Risk Premiums]] + Table14[[#This Row],[Acquisition Cost]]) *0.75,Table14[[#This Row],[Death Capital (1)]]* 0.03),0),0)</f>
        <v>0</v>
      </c>
      <c r="N53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53" s="29">
        <f>ROUND(IF(ROW()-1&gt;InsurancePeriod,0,(O52*(1+(Table14[[#This Row],[Adjustment Factor of Premium]]/100)))),0)</f>
        <v>0</v>
      </c>
      <c r="P53" s="29">
        <f>IF(Table14[Year] = 0, 0, SUM(L$2:L53))</f>
        <v>0</v>
      </c>
      <c r="Q53" s="17">
        <f t="shared" si="1"/>
        <v>0</v>
      </c>
      <c r="R53" s="17">
        <f>IF(Table14[[#This Row],[Year]]=0,0,IF($C$2&lt;=50,LOOKUP(Table14[[#This Row],[Age]],db!BG54:BG160,db!BH54:BH160),LOOKUP(Table14[[#This Row],[Age]],db!BJ54:BJ160,db!BK54:BK160)))</f>
        <v>0</v>
      </c>
      <c r="S53" s="17">
        <f>IF(B53=0,0, IF(AND(Changes!Change="Yes", Changes!ValidityYear=Table14[[#This Row],[Year]], Changes!ChangeType="Change Death Capital"), Changes!NewChangedValue, S52*(1+(Table14[[#This Row],[Adjustment Factor of Death Capital]]/100))))</f>
        <v>0</v>
      </c>
      <c r="T53" s="17">
        <f>MIN(IF(B53=0,0,Table14[[#This Row],[Death Capital (1)]]),Table14[[#This Row],[Max Sum Insured For Death]])</f>
        <v>0</v>
      </c>
      <c r="U53" s="29">
        <f t="shared" si="10"/>
        <v>0</v>
      </c>
      <c r="V53" s="29">
        <f>IF(B53=0,0,IF(AND(Changes!Change="Yes", Changes!ValidityYear&lt;=Table14[[#This Row],[Year]], Changes!ChangeType="Rider Inclusion/Exclusion", Changes!RiderType="Accident Death"), T53*Changes!NewChangedValue,IF(db!$D$6="Yes",(db!$B$6)*T53,0)))</f>
        <v>0</v>
      </c>
      <c r="W53" s="29">
        <f>MIN(IF(V53&lt;=db!$L$2,V53,db!$L$2),MAX_ACC_CAPITAL)</f>
        <v>0</v>
      </c>
      <c r="X53" s="17">
        <f>IF(OR(B53=0,Table14[[#This Row],[Accident Capital (2)]]=0),0,IF(AND(Changes!Change="Yes", Changes!ValidityYear&lt;=Table14[[#This Row],[Year]], Changes!ChangeType="Rider Inclusion/Exclusion", Changes!RiderType="Accident Disability"), T53*Changes!NewChangedValue,IF(db!$D$7="Yes",(db!$B$7)*T53,0)))</f>
        <v>0</v>
      </c>
      <c r="Y53" s="42">
        <f>IF(C53&gt;69,0,IF(C53=0,0,IF(X53&lt;=db!$L$3,X53,db!$L$3)))</f>
        <v>0</v>
      </c>
      <c r="Z53" s="29">
        <f>IF(OR(B53=0,Table14[[#This Row],[Accident Capital (2)]]=0),0,IF(AND(Changes!Change="Yes", Changes!ValidityYear&lt;=Table14[[#This Row],[Year]], Changes!ChangeType="Rider Inclusion/Exclusion", Changes!RiderType="Accident Medical Cost"), T53*Changes!NewChangedValue,IF(db!$D$9="Yes",(db!$B$9)*T53,0)))</f>
        <v>0</v>
      </c>
      <c r="AA53" s="29">
        <f>ROUND(IF(C53&gt;69,0,IF(C53=0,0,IF(Z53&lt;=db!$L$4,Z53,db!$L$4))),0)</f>
        <v>0</v>
      </c>
      <c r="AB53" s="38">
        <f>IF(AND(Changes!Change = "Yes", Changes!ChangeType = "Rider Inclusion/Exclusion", Changes!RiderType = "WOP"), IF( Changes!ValidityYear &lt;= Table14[[#This Row],[Year]], IF(WOP = "Yes", 0, 1),  IF(WOP = "Yes", 1, 0)), IF(AND(db!$D$8="Yes",C53&lt;=69,ROW()-1&lt;=InsurancePeriod), 1, 0))</f>
        <v>0</v>
      </c>
      <c r="AC53" s="17">
        <f>(AC54+K54)*AB53*((1)/(1+db!AA55))*(LOOKUP(C53,'Mortality Table'!$A$2:$A$108,'Mortality Table'!$E$2:$E$108))</f>
        <v>0</v>
      </c>
      <c r="AD53" s="340">
        <f>IF(AND(Changes!ValidityYear&lt;= Table14[[#This Row],[Year]],Changes!ChangeType="Change Value Adjustment",Changes!Change="Yes"), (AD54+L54)*AB53*((1)/(1+db!AA55))*(LOOKUP(C53,'Mortality Table'!$A$2:$A$108,'Mortality Table'!$E$2:$E$108)),Table14[[#This Row],[WOP Before Adj. BT]])</f>
        <v>0</v>
      </c>
      <c r="AE53" s="341">
        <f>IF(AND(Changes!Change="Yes", Changes!ChangeType="Change Value Adjustment"),Table14[[#This Row],[WOP Capital]],(AE54+O54)*AB53*((1)/(1+db!AA55))*(LOOKUP(D53,'Mortality Table'!$A$2:$A$108,'Mortality Table'!$E$2:$E$108)))</f>
        <v>0</v>
      </c>
      <c r="AF53" s="17">
        <f>IF(AND(Changes!Change="Yes", Changes!ValidityYear&lt;=ROW()-1),Table14[[#This Row],[WOP Capital]],Table14[[#This Row],[WOP without change]])</f>
        <v>0</v>
      </c>
      <c r="AG53" s="42">
        <f>IF(AND(Changes!Change="Yes", Changes!ValidityYear&lt;=Table14[[#This Row],[Year]], Changes!ChangeType="Rider Inclusion/Exclusion", Changes!RiderType="Disability Annuity"), L53*Changes!NewChangedValue,L53*db!B$10*IF(db!$D$10="Yes",1,0))</f>
        <v>0</v>
      </c>
      <c r="AH53" s="29">
        <f>Table14[[#This Row],[Code Annuity Capital]]*IF('Annual Calculation'!C53&gt;69,0,(LOOKUP('Annual Calculation'!C53+1,'Mortality Table'!$A$2:$A$108,'Mortality Table'!$O$2:$O$108)-LOOKUP('Annual Calculation'!C53+11,'Mortality Table'!$A$2:$A$108,'Mortality Table'!$O$2:$O$108))/LOOKUP('Annual Calculation'!C53,'Mortality Table'!$A$2:$A$108,'Mortality Table'!$M$2:$M$108))</f>
        <v>0</v>
      </c>
      <c r="AI53" s="17">
        <f>IF(B53=0,0,IF(AND(Changes!Change="Yes", Changes!ValidityYear&lt;=Table14[[#This Row],[Year]], Changes!ChangeType="Rider Inclusion/Exclusion", Changes!RiderType="Dread Disease"), T53*Changes!NewChangedValue,IF(db!$D$11="Yes",(db!$B$11)*T53,0)))</f>
        <v>0</v>
      </c>
      <c r="AJ53" s="42">
        <f>ROUND(IF(C53&gt;59,0,IF(C53=0,0,IF(AI53&lt;=db!$L$5,AI53,db!$L$5))),0)</f>
        <v>0</v>
      </c>
      <c r="AK53" s="29">
        <f>IF(B53=0,0,IF(AND(Changes!Change="Yes", Changes!ValidityYear&lt;=Table14[[#This Row],[Year]], Changes!ChangeType="Rider Inclusion/Exclusion", Changes!RiderType="Cancer"), T53*Changes!NewChangedValue,IF(db!$D$12="Yes",(db!$B$12)*T53,0)))</f>
        <v>0</v>
      </c>
      <c r="AL53" s="29">
        <f>ROUND(IF(C53&gt;59,0,IF(C53=0,0,IF(AK53&lt;=db!$L$6,AK53,db!$L$6))),0)</f>
        <v>0</v>
      </c>
      <c r="AM53" s="32"/>
      <c r="AN53" s="18">
        <f>IF(B53=0,0,IF(C53&lt;(db!$E$2+5),LOOKUP(C53,'Mortality Table'!$A$2:$A$108,'Mortality Table'!$P$2:$P$108),IF((C53&gt;=db!$E$2+10),LOOKUP(C53,'Mortality Table'!$A$2:$A$108,'Mortality Table'!$R$2:$R$108),LOOKUP(C53,'Mortality Table'!$A$2:$A$108,'Mortality Table'!$Q$2:$Q$108))))</f>
        <v>0</v>
      </c>
      <c r="AO53" s="22">
        <f t="shared" si="2"/>
        <v>0</v>
      </c>
      <c r="AP53" s="19">
        <f>IF(B53=0,0, LOOKUP(IF(AND(Changes!Change="Yes", Changes!ValidityYear&lt;=Table14[[#This Row],[Year]], Changes!ChangeType="Change Job Class"),Changes!NewChangedValue, db!$A$8),db!$AX$4:$AX$8,db!$AY$4:$AY$8))</f>
        <v>0</v>
      </c>
      <c r="AQ53" s="20">
        <f>ROUND((AP53/1000)*W53 * (1-db!$AS$9),0)</f>
        <v>0</v>
      </c>
      <c r="AR53" s="20">
        <f>(AP53/1000)*W53 * db!$AS$9</f>
        <v>0</v>
      </c>
      <c r="AS53" s="21">
        <f>IF(B53=0,0, LOOKUP(IF(AND(Changes!Change="Yes", Changes!ValidityYear&lt;=Table14[[#This Row],[Year]], Changes!ChangeType="Change Job Class"),Changes!NewChangedValue, db!$A$8),db!$AX$4:$AX$8,db!$AZ$4:$AZ$8))</f>
        <v>0</v>
      </c>
      <c r="AT53" s="22">
        <f>(AS53/1000)*Y53*(1-db!$AS$9)</f>
        <v>0</v>
      </c>
      <c r="AU53" s="22">
        <f>(AS53/1000)*Y53*(db!$AS$9)</f>
        <v>0</v>
      </c>
      <c r="AV53" s="23">
        <f>IF(B53=0,0, LOOKUP(IF(AND(Changes!Change="Yes", Changes!ValidityYear&lt;=Table14[[#This Row],[Year]], Changes!ChangeType="Change Job Class"),Changes!NewChangedValue, db!$A$8),db!$AX$4:$AX$8,db!$BA$4:$BA$8))</f>
        <v>0</v>
      </c>
      <c r="AW53" s="20">
        <f>ROUND((AV53/(100))*AA53*(1-db!$AS$9),0)</f>
        <v>0</v>
      </c>
      <c r="AX53" s="20">
        <f>ROUND((AV53/(100))*AA53*(db!$AS$9),0)</f>
        <v>0</v>
      </c>
      <c r="AY53" s="21">
        <f>IF(db!$D$8="Yes",AS53,0)</f>
        <v>0</v>
      </c>
      <c r="AZ53" s="22">
        <f>(AY53*AF53)/1000*(1-db!$AS$9)</f>
        <v>0</v>
      </c>
      <c r="BA53" s="22">
        <f>(AY53*AF53)/1000*(db!$AS$9)</f>
        <v>0</v>
      </c>
      <c r="BB53" s="23">
        <f t="shared" si="3"/>
        <v>0</v>
      </c>
      <c r="BC53" s="20">
        <f>(BB53*AH53/1000)*(1-db!$AS$9)</f>
        <v>0</v>
      </c>
      <c r="BD53" s="20">
        <f>(BB53*AH53/1000)*(db!$AS$9)</f>
        <v>0</v>
      </c>
      <c r="BE53" s="22">
        <f>IF(B53=0,0,IF(C53&gt;60,0,LOOKUP(Table14[[#This Row],[Medical
Age]],db!$BC$3:$BC$63,db!$BD$3:$BD$63)))</f>
        <v>0</v>
      </c>
      <c r="BF53" s="22">
        <f>BG53*db!$AS$10</f>
        <v>0</v>
      </c>
      <c r="BG53" s="22">
        <f t="shared" si="4"/>
        <v>0</v>
      </c>
      <c r="BH53" s="22">
        <f>(BE53/1000000)*AJ53*(1-db!$AS$10)</f>
        <v>0</v>
      </c>
      <c r="BI53" s="20">
        <f>IF(B53=0,0,IF(C53&gt;59,0,LOOKUP(Table14[[#This Row],[Medical
Age]],db!$BC$3:$BC$63,db!$BE$3:$BE$63)))</f>
        <v>0</v>
      </c>
      <c r="BJ53" s="20">
        <f>(BI53/1000000)*AL53*(1-db!$AS$11)</f>
        <v>0</v>
      </c>
      <c r="BK53" s="20">
        <f>(BI53/1000000)*AL53*(db!$AS$11)</f>
        <v>0</v>
      </c>
      <c r="BL53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53" s="20">
        <f>Table14[[#This Row],[RiskLoading
Rate]]*Table14[[#This Row],[Death Capital (2)]]</f>
        <v>0</v>
      </c>
      <c r="BN53" s="36"/>
      <c r="BO53" s="37">
        <f t="shared" si="5"/>
        <v>0</v>
      </c>
      <c r="BP53" s="35">
        <f t="shared" si="6"/>
        <v>0</v>
      </c>
      <c r="BQ53" s="35">
        <f t="shared" si="7"/>
        <v>0</v>
      </c>
      <c r="BR53" s="37">
        <f t="shared" si="11"/>
        <v>0</v>
      </c>
      <c r="BS53" s="37">
        <f t="shared" si="12"/>
        <v>0</v>
      </c>
      <c r="BT53" s="35">
        <f t="shared" si="13"/>
        <v>0</v>
      </c>
      <c r="BU53" s="35">
        <f t="shared" si="14"/>
        <v>0</v>
      </c>
      <c r="BV53" s="37">
        <f>(db!$AS$4/100)*(L53-BT53-BU53)</f>
        <v>0</v>
      </c>
      <c r="BW53" s="37">
        <f>(db!$AS$8/100)*(L53-BT53-BU53)</f>
        <v>0</v>
      </c>
      <c r="BX53" s="35"/>
      <c r="BY53" s="37"/>
      <c r="BZ53" s="37"/>
      <c r="CA53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53" s="33"/>
      <c r="CC53" s="39">
        <f>ROUND((Table14[[#This Row],[Premium]]-Table14[[#This Row],[All Deductions]]),0)</f>
        <v>0</v>
      </c>
      <c r="CD53" s="40">
        <f>ROUND(IF(B53=0,0,((CC53)*(1+ IF(AND(Changes!Change="Yes",Changes!ValidityYear&lt;=Table14[[#This Row],[Year]],Annulment&gt;Table14[[#This Row],[Year]],Changes!ChangeType="Paid-Up"),db!Y55+0.02,db!Y55)))+((CD52)*(1+IF(AND(Changes!Change="Yes",Changes!ValidityYear&lt;=Table14[[#This Row],[Year]],Annulment&gt;Table14[[#This Row],[Year]],Changes!ChangeType="Paid-Up"),db!U55+0.02,db!U55)))),0)</f>
        <v>0</v>
      </c>
      <c r="CE53" s="40">
        <f>ROUND(IF(B53=0,0,((CC53)*(1+db!Y55))+((CE52)*(1+db!U55))),0)</f>
        <v>0</v>
      </c>
      <c r="CF53" s="40">
        <f t="shared" si="19"/>
        <v>0</v>
      </c>
      <c r="CG53" s="15">
        <f t="shared" si="15"/>
        <v>52</v>
      </c>
      <c r="CH53" s="39">
        <f>IF(B53=0,0,((CC53)*(1+db!AH55))+((CH52)*(1+db!AD55)))</f>
        <v>0</v>
      </c>
      <c r="CI53" s="39">
        <f>IF(B53=0,0,((CC53)*(1+db!AH55))+((CI52)*(1+db!AD55)))</f>
        <v>0</v>
      </c>
      <c r="CJ53" s="40">
        <f>IF(B53=0,0,((CC53)*(1+db!AO55))+((CJ52)*(1+db!AK55)))</f>
        <v>0</v>
      </c>
      <c r="CK53" s="40">
        <f>CJ53-(SUM(BX$7:$BX54))</f>
        <v>0</v>
      </c>
      <c r="CL53" s="46"/>
    </row>
    <row r="54" spans="1:90">
      <c r="A54" s="347">
        <f t="shared" si="16"/>
        <v>53</v>
      </c>
      <c r="B54" s="345">
        <f>IF(AND(Changes!Change="Yes", Changes!ChangeType="Change Contract Duration"),IF(B53=0,0,IF(Changes!NewChangedValue&lt;B53+1,0,B53+1)),IF(B53=0,0,IF('Application Annually'!$C$5&lt;B53+1,0,B53+1)))</f>
        <v>0</v>
      </c>
      <c r="C54" s="15">
        <f t="shared" si="17"/>
        <v>0</v>
      </c>
      <c r="D54" s="312">
        <f t="shared" si="18"/>
        <v>80</v>
      </c>
      <c r="E54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54" s="29">
        <f t="shared" si="8"/>
        <v>0</v>
      </c>
      <c r="G54" s="29">
        <f t="shared" si="9"/>
        <v>0</v>
      </c>
      <c r="H54" s="29">
        <f t="shared" si="0"/>
        <v>0</v>
      </c>
      <c r="I54" s="29">
        <f>IF(B54&gt;0,IF(AND(Table14[[#This Row],[Year]]&gt;Changes!ValidityYear,Changes!Change="Yes",Changes!ChangeType="Change Value Adjustment"),Changes!$G$22,'Application Annually'!$C$11),0)</f>
        <v>0</v>
      </c>
      <c r="J54" s="29">
        <f>IF(B54&gt;0,IF(AND(Table14[[#This Row],[Year]]&gt;Changes!ValidityYear,Changes!Change="Yes",Changes!ChangeType="Change Value Adjustment"),Changes!$G$24,'Application Annually'!$C$7),0)</f>
        <v>0</v>
      </c>
      <c r="K54" s="29">
        <f>ROUND(IF(B54=0,0,IF(AND(Changes!Change="Yes", Changes!ValidityYear=Table14[[#This Row],[Year]], Changes!ChangeType="Change Premium"), Changes!NewChangedValue, (K53*(1+db!$B$3)))),0)</f>
        <v>0</v>
      </c>
      <c r="L54" s="29">
        <f>ROUND(IF(B54=0,0,IF(AND(Changes!Change="Yes", Changes!ValidityYear=Table14[[#This Row],[Year]], Changes!ChangeType="Change Premium"), Changes!NewChangedValue, (L53*(1+Table14[[#This Row],[Adjustment Factor of Premium]]/100)))),0)</f>
        <v>0</v>
      </c>
      <c r="M54" s="29">
        <f>IF(Table14[[#This Row],[Year]]=1,ROUND(MIN($L$2 -( Table14[[#This Row],[Riders Risk Premiums]] + Table14[[#This Row],[Acquisition Cost]]) *0.75,Table14[[#This Row],[Death Capital (1)]]* 0.03),0),0)</f>
        <v>0</v>
      </c>
      <c r="N54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54" s="29">
        <f>ROUND(IF(ROW()-1&gt;InsurancePeriod,0,(O53*(1+(Table14[[#This Row],[Adjustment Factor of Premium]]/100)))),0)</f>
        <v>0</v>
      </c>
      <c r="P54" s="29">
        <f>IF(Table14[Year] = 0, 0, SUM(L$2:L54))</f>
        <v>0</v>
      </c>
      <c r="Q54" s="17">
        <f t="shared" si="1"/>
        <v>0</v>
      </c>
      <c r="R54" s="17">
        <f>IF(Table14[[#This Row],[Year]]=0,0,IF($C$2&lt;=50,LOOKUP(Table14[[#This Row],[Age]],db!BG55:BG161,db!BH55:BH161),LOOKUP(Table14[[#This Row],[Age]],db!BJ55:BJ161,db!BK55:BK161)))</f>
        <v>0</v>
      </c>
      <c r="S54" s="17">
        <f>IF(B54=0,0, IF(AND(Changes!Change="Yes", Changes!ValidityYear=Table14[[#This Row],[Year]], Changes!ChangeType="Change Death Capital"), Changes!NewChangedValue, S53*(1+(Table14[[#This Row],[Adjustment Factor of Death Capital]]/100))))</f>
        <v>0</v>
      </c>
      <c r="T54" s="17">
        <f>MIN(IF(B54=0,0,Table14[[#This Row],[Death Capital (1)]]),Table14[[#This Row],[Max Sum Insured For Death]])</f>
        <v>0</v>
      </c>
      <c r="U54" s="29">
        <f t="shared" si="10"/>
        <v>0</v>
      </c>
      <c r="V54" s="29">
        <f>IF(B54=0,0,IF(AND(Changes!Change="Yes", Changes!ValidityYear&lt;=Table14[[#This Row],[Year]], Changes!ChangeType="Rider Inclusion/Exclusion", Changes!RiderType="Accident Death"), T54*Changes!NewChangedValue,IF(db!$D$6="Yes",(db!$B$6)*T54,0)))</f>
        <v>0</v>
      </c>
      <c r="W54" s="29">
        <f>MIN(IF(V54&lt;=db!$L$2,V54,db!$L$2),MAX_ACC_CAPITAL)</f>
        <v>0</v>
      </c>
      <c r="X54" s="17">
        <f>IF(OR(B54=0,Table14[[#This Row],[Accident Capital (2)]]=0),0,IF(AND(Changes!Change="Yes", Changes!ValidityYear&lt;=Table14[[#This Row],[Year]], Changes!ChangeType="Rider Inclusion/Exclusion", Changes!RiderType="Accident Disability"), T54*Changes!NewChangedValue,IF(db!$D$7="Yes",(db!$B$7)*T54,0)))</f>
        <v>0</v>
      </c>
      <c r="Y54" s="42">
        <f>IF(C54&gt;69,0,IF(C54=0,0,IF(X54&lt;=db!$L$3,X54,db!$L$3)))</f>
        <v>0</v>
      </c>
      <c r="Z54" s="29">
        <f>IF(OR(B54=0,Table14[[#This Row],[Accident Capital (2)]]=0),0,IF(AND(Changes!Change="Yes", Changes!ValidityYear&lt;=Table14[[#This Row],[Year]], Changes!ChangeType="Rider Inclusion/Exclusion", Changes!RiderType="Accident Medical Cost"), T54*Changes!NewChangedValue,IF(db!$D$9="Yes",(db!$B$9)*T54,0)))</f>
        <v>0</v>
      </c>
      <c r="AA54" s="29">
        <f>ROUND(IF(C54&gt;69,0,IF(C54=0,0,IF(Z54&lt;=db!$L$4,Z54,db!$L$4))),0)</f>
        <v>0</v>
      </c>
      <c r="AB54" s="38">
        <f>IF(AND(Changes!Change = "Yes", Changes!ChangeType = "Rider Inclusion/Exclusion", Changes!RiderType = "WOP"), IF( Changes!ValidityYear &lt;= Table14[[#This Row],[Year]], IF(WOP = "Yes", 0, 1),  IF(WOP = "Yes", 1, 0)), IF(AND(db!$D$8="Yes",C54&lt;=69,ROW()-1&lt;=InsurancePeriod), 1, 0))</f>
        <v>0</v>
      </c>
      <c r="AC54" s="17">
        <f>(AC55+K55)*AB54*((1)/(1+db!AA56))*(LOOKUP(C54,'Mortality Table'!$A$2:$A$108,'Mortality Table'!$E$2:$E$108))</f>
        <v>0</v>
      </c>
      <c r="AD54" s="340">
        <f>IF(AND(Changes!ValidityYear&lt;= Table14[[#This Row],[Year]],Changes!ChangeType="Change Value Adjustment",Changes!Change="Yes"), (AD55+L55)*AB54*((1)/(1+db!AA56))*(LOOKUP(C54,'Mortality Table'!$A$2:$A$108,'Mortality Table'!$E$2:$E$108)),Table14[[#This Row],[WOP Before Adj. BT]])</f>
        <v>0</v>
      </c>
      <c r="AE54" s="341">
        <f>IF(AND(Changes!Change="Yes", Changes!ChangeType="Change Value Adjustment"),Table14[[#This Row],[WOP Capital]],(AE55+O55)*AB54*((1)/(1+db!AA56))*(LOOKUP(D54,'Mortality Table'!$A$2:$A$108,'Mortality Table'!$E$2:$E$108)))</f>
        <v>0</v>
      </c>
      <c r="AF54" s="17">
        <f>IF(AND(Changes!Change="Yes", Changes!ValidityYear&lt;=ROW()-1),Table14[[#This Row],[WOP Capital]],Table14[[#This Row],[WOP without change]])</f>
        <v>0</v>
      </c>
      <c r="AG54" s="42">
        <f>IF(AND(Changes!Change="Yes", Changes!ValidityYear&lt;=Table14[[#This Row],[Year]], Changes!ChangeType="Rider Inclusion/Exclusion", Changes!RiderType="Disability Annuity"), L54*Changes!NewChangedValue,L54*db!B$10*IF(db!$D$10="Yes",1,0))</f>
        <v>0</v>
      </c>
      <c r="AH54" s="29">
        <f>Table14[[#This Row],[Code Annuity Capital]]*IF('Annual Calculation'!C54&gt;69,0,(LOOKUP('Annual Calculation'!C54+1,'Mortality Table'!$A$2:$A$108,'Mortality Table'!$O$2:$O$108)-LOOKUP('Annual Calculation'!C54+11,'Mortality Table'!$A$2:$A$108,'Mortality Table'!$O$2:$O$108))/LOOKUP('Annual Calculation'!C54,'Mortality Table'!$A$2:$A$108,'Mortality Table'!$M$2:$M$108))</f>
        <v>0</v>
      </c>
      <c r="AI54" s="17">
        <f>IF(B54=0,0,IF(AND(Changes!Change="Yes", Changes!ValidityYear&lt;=Table14[[#This Row],[Year]], Changes!ChangeType="Rider Inclusion/Exclusion", Changes!RiderType="Dread Disease"), T54*Changes!NewChangedValue,IF(db!$D$11="Yes",(db!$B$11)*T54,0)))</f>
        <v>0</v>
      </c>
      <c r="AJ54" s="42">
        <f>ROUND(IF(C54&gt;59,0,IF(C54=0,0,IF(AI54&lt;=db!$L$5,AI54,db!$L$5))),0)</f>
        <v>0</v>
      </c>
      <c r="AK54" s="29">
        <f>IF(B54=0,0,IF(AND(Changes!Change="Yes", Changes!ValidityYear&lt;=Table14[[#This Row],[Year]], Changes!ChangeType="Rider Inclusion/Exclusion", Changes!RiderType="Cancer"), T54*Changes!NewChangedValue,IF(db!$D$12="Yes",(db!$B$12)*T54,0)))</f>
        <v>0</v>
      </c>
      <c r="AL54" s="29">
        <f>ROUND(IF(C54&gt;59,0,IF(C54=0,0,IF(AK54&lt;=db!$L$6,AK54,db!$L$6))),0)</f>
        <v>0</v>
      </c>
      <c r="AM54" s="32"/>
      <c r="AN54" s="18">
        <f>IF(B54=0,0,IF(C54&lt;(db!$E$2+5),LOOKUP(C54,'Mortality Table'!$A$2:$A$108,'Mortality Table'!$P$2:$P$108),IF((C54&gt;=db!$E$2+10),LOOKUP(C54,'Mortality Table'!$A$2:$A$108,'Mortality Table'!$R$2:$R$108),LOOKUP(C54,'Mortality Table'!$A$2:$A$108,'Mortality Table'!$Q$2:$Q$108))))</f>
        <v>0</v>
      </c>
      <c r="AO54" s="22">
        <f t="shared" si="2"/>
        <v>0</v>
      </c>
      <c r="AP54" s="19">
        <f>IF(B54=0,0, LOOKUP(IF(AND(Changes!Change="Yes", Changes!ValidityYear&lt;=Table14[[#This Row],[Year]], Changes!ChangeType="Change Job Class"),Changes!NewChangedValue, db!$A$8),db!$AX$4:$AX$8,db!$AY$4:$AY$8))</f>
        <v>0</v>
      </c>
      <c r="AQ54" s="20">
        <f>ROUND((AP54/1000)*W54 * (1-db!$AS$9),0)</f>
        <v>0</v>
      </c>
      <c r="AR54" s="20">
        <f>(AP54/1000)*W54 * db!$AS$9</f>
        <v>0</v>
      </c>
      <c r="AS54" s="21">
        <f>IF(B54=0,0, LOOKUP(IF(AND(Changes!Change="Yes", Changes!ValidityYear&lt;=Table14[[#This Row],[Year]], Changes!ChangeType="Change Job Class"),Changes!NewChangedValue, db!$A$8),db!$AX$4:$AX$8,db!$AZ$4:$AZ$8))</f>
        <v>0</v>
      </c>
      <c r="AT54" s="22">
        <f>(AS54/1000)*Y54*(1-db!$AS$9)</f>
        <v>0</v>
      </c>
      <c r="AU54" s="22">
        <f>(AS54/1000)*Y54*(db!$AS$9)</f>
        <v>0</v>
      </c>
      <c r="AV54" s="23">
        <f>IF(B54=0,0, LOOKUP(IF(AND(Changes!Change="Yes", Changes!ValidityYear&lt;=Table14[[#This Row],[Year]], Changes!ChangeType="Change Job Class"),Changes!NewChangedValue, db!$A$8),db!$AX$4:$AX$8,db!$BA$4:$BA$8))</f>
        <v>0</v>
      </c>
      <c r="AW54" s="20">
        <f>ROUND((AV54/(100))*AA54*(1-db!$AS$9),0)</f>
        <v>0</v>
      </c>
      <c r="AX54" s="20">
        <f>ROUND((AV54/(100))*AA54*(db!$AS$9),0)</f>
        <v>0</v>
      </c>
      <c r="AY54" s="21">
        <f>IF(db!$D$8="Yes",AS54,0)</f>
        <v>0</v>
      </c>
      <c r="AZ54" s="22">
        <f>(AY54*AF54)/1000*(1-db!$AS$9)</f>
        <v>0</v>
      </c>
      <c r="BA54" s="22">
        <f>(AY54*AF54)/1000*(db!$AS$9)</f>
        <v>0</v>
      </c>
      <c r="BB54" s="23">
        <f t="shared" si="3"/>
        <v>0</v>
      </c>
      <c r="BC54" s="20">
        <f>(BB54*AH54/1000)*(1-db!$AS$9)</f>
        <v>0</v>
      </c>
      <c r="BD54" s="20">
        <f>(BB54*AH54/1000)*(db!$AS$9)</f>
        <v>0</v>
      </c>
      <c r="BE54" s="22">
        <f>IF(B54=0,0,IF(C54&gt;60,0,LOOKUP(Table14[[#This Row],[Medical
Age]],db!$BC$3:$BC$63,db!$BD$3:$BD$63)))</f>
        <v>0</v>
      </c>
      <c r="BF54" s="22">
        <f>BG54*db!$AS$10</f>
        <v>0</v>
      </c>
      <c r="BG54" s="22">
        <f t="shared" si="4"/>
        <v>0</v>
      </c>
      <c r="BH54" s="22">
        <f>(BE54/1000000)*AJ54*(1-db!$AS$10)</f>
        <v>0</v>
      </c>
      <c r="BI54" s="20">
        <f>IF(B54=0,0,IF(C54&gt;59,0,LOOKUP(Table14[[#This Row],[Medical
Age]],db!$BC$3:$BC$63,db!$BE$3:$BE$63)))</f>
        <v>0</v>
      </c>
      <c r="BJ54" s="20">
        <f>(BI54/1000000)*AL54*(1-db!$AS$11)</f>
        <v>0</v>
      </c>
      <c r="BK54" s="20">
        <f>(BI54/1000000)*AL54*(db!$AS$11)</f>
        <v>0</v>
      </c>
      <c r="BL54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54" s="20">
        <f>Table14[[#This Row],[RiskLoading
Rate]]*Table14[[#This Row],[Death Capital (2)]]</f>
        <v>0</v>
      </c>
      <c r="BN54" s="36"/>
      <c r="BO54" s="37">
        <f t="shared" si="5"/>
        <v>0</v>
      </c>
      <c r="BP54" s="35">
        <f t="shared" si="6"/>
        <v>0</v>
      </c>
      <c r="BQ54" s="35">
        <f t="shared" si="7"/>
        <v>0</v>
      </c>
      <c r="BR54" s="37">
        <f t="shared" si="11"/>
        <v>0</v>
      </c>
      <c r="BS54" s="37">
        <f t="shared" si="12"/>
        <v>0</v>
      </c>
      <c r="BT54" s="35">
        <f t="shared" si="13"/>
        <v>0</v>
      </c>
      <c r="BU54" s="35">
        <f t="shared" si="14"/>
        <v>0</v>
      </c>
      <c r="BV54" s="37">
        <f>(db!$AS$4/100)*(L54-BT54-BU54)</f>
        <v>0</v>
      </c>
      <c r="BW54" s="37">
        <f>(db!$AS$8/100)*(L54-BT54-BU54)</f>
        <v>0</v>
      </c>
      <c r="BX54" s="35"/>
      <c r="BY54" s="37"/>
      <c r="BZ54" s="37"/>
      <c r="CA54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54" s="33"/>
      <c r="CC54" s="39">
        <f>ROUND((Table14[[#This Row],[Premium]]-Table14[[#This Row],[All Deductions]]),0)</f>
        <v>0</v>
      </c>
      <c r="CD54" s="40">
        <f>ROUND(IF(B54=0,0,((CC54)*(1+ IF(AND(Changes!Change="Yes",Changes!ValidityYear&lt;=Table14[[#This Row],[Year]],Annulment&gt;Table14[[#This Row],[Year]],Changes!ChangeType="Paid-Up"),db!Y56+0.02,db!Y56)))+((CD53)*(1+IF(AND(Changes!Change="Yes",Changes!ValidityYear&lt;=Table14[[#This Row],[Year]],Annulment&gt;Table14[[#This Row],[Year]],Changes!ChangeType="Paid-Up"),db!U56+0.02,db!U56)))),0)</f>
        <v>0</v>
      </c>
      <c r="CE54" s="40">
        <f>ROUND(IF(B54=0,0,((CC54)*(1+db!Y56))+((CE53)*(1+db!U56))),0)</f>
        <v>0</v>
      </c>
      <c r="CF54" s="40">
        <f t="shared" si="19"/>
        <v>0</v>
      </c>
      <c r="CG54" s="15">
        <f t="shared" si="15"/>
        <v>53</v>
      </c>
      <c r="CH54" s="39">
        <f>IF(B54=0,0,((CC54)*(1+db!AH56))+((CH53)*(1+db!AD56)))</f>
        <v>0</v>
      </c>
      <c r="CI54" s="39">
        <f>IF(B54=0,0,((CC54)*(1+db!AH56))+((CI53)*(1+db!AD56)))</f>
        <v>0</v>
      </c>
      <c r="CJ54" s="40">
        <f>IF(B54=0,0,((CC54)*(1+db!AO56))+((CJ53)*(1+db!AK56)))</f>
        <v>0</v>
      </c>
      <c r="CK54" s="40">
        <f>CJ54-(SUM(BX$7:$BX55))</f>
        <v>0</v>
      </c>
      <c r="CL54" s="46"/>
    </row>
    <row r="55" spans="1:90">
      <c r="A55" s="347">
        <f t="shared" si="16"/>
        <v>54</v>
      </c>
      <c r="B55" s="345">
        <f>IF(AND(Changes!Change="Yes", Changes!ChangeType="Change Contract Duration"),IF(B54=0,0,IF(Changes!NewChangedValue&lt;B54+1,0,B54+1)),IF(B54=0,0,IF('Application Annually'!$C$5&lt;B54+1,0,B54+1)))</f>
        <v>0</v>
      </c>
      <c r="C55" s="15">
        <f t="shared" si="17"/>
        <v>0</v>
      </c>
      <c r="D55" s="312">
        <f t="shared" si="18"/>
        <v>81</v>
      </c>
      <c r="E55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55" s="29">
        <f t="shared" si="8"/>
        <v>0</v>
      </c>
      <c r="G55" s="29">
        <f t="shared" si="9"/>
        <v>0</v>
      </c>
      <c r="H55" s="29">
        <f t="shared" si="0"/>
        <v>0</v>
      </c>
      <c r="I55" s="29">
        <f>IF(B55&gt;0,IF(AND(Table14[[#This Row],[Year]]&gt;Changes!ValidityYear,Changes!Change="Yes",Changes!ChangeType="Change Value Adjustment"),Changes!$G$22,'Application Annually'!$C$11),0)</f>
        <v>0</v>
      </c>
      <c r="J55" s="29">
        <f>IF(B55&gt;0,IF(AND(Table14[[#This Row],[Year]]&gt;Changes!ValidityYear,Changes!Change="Yes",Changes!ChangeType="Change Value Adjustment"),Changes!$G$24,'Application Annually'!$C$7),0)</f>
        <v>0</v>
      </c>
      <c r="K55" s="29">
        <f>ROUND(IF(B55=0,0,IF(AND(Changes!Change="Yes", Changes!ValidityYear=Table14[[#This Row],[Year]], Changes!ChangeType="Change Premium"), Changes!NewChangedValue, (K54*(1+db!$B$3)))),0)</f>
        <v>0</v>
      </c>
      <c r="L55" s="29">
        <f>ROUND(IF(B55=0,0,IF(AND(Changes!Change="Yes", Changes!ValidityYear=Table14[[#This Row],[Year]], Changes!ChangeType="Change Premium"), Changes!NewChangedValue, (L54*(1+Table14[[#This Row],[Adjustment Factor of Premium]]/100)))),0)</f>
        <v>0</v>
      </c>
      <c r="M55" s="29">
        <f>IF(Table14[[#This Row],[Year]]=1,ROUND(MIN($L$2 -( Table14[[#This Row],[Riders Risk Premiums]] + Table14[[#This Row],[Acquisition Cost]]) *0.75,Table14[[#This Row],[Death Capital (1)]]* 0.03),0),0)</f>
        <v>0</v>
      </c>
      <c r="N55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55" s="29">
        <f>ROUND(IF(ROW()-1&gt;InsurancePeriod,0,(O54*(1+(Table14[[#This Row],[Adjustment Factor of Premium]]/100)))),0)</f>
        <v>0</v>
      </c>
      <c r="P55" s="29">
        <f>IF(Table14[Year] = 0, 0, SUM(L$2:L55))</f>
        <v>0</v>
      </c>
      <c r="Q55" s="17">
        <f t="shared" si="1"/>
        <v>0</v>
      </c>
      <c r="R55" s="17">
        <f>IF(Table14[[#This Row],[Year]]=0,0,IF($C$2&lt;=50,LOOKUP(Table14[[#This Row],[Age]],db!BG56:BG162,db!BH56:BH162),LOOKUP(Table14[[#This Row],[Age]],db!BJ56:BJ162,db!BK56:BK162)))</f>
        <v>0</v>
      </c>
      <c r="S55" s="17">
        <f>IF(B55=0,0, IF(AND(Changes!Change="Yes", Changes!ValidityYear=Table14[[#This Row],[Year]], Changes!ChangeType="Change Death Capital"), Changes!NewChangedValue, S54*(1+(Table14[[#This Row],[Adjustment Factor of Death Capital]]/100))))</f>
        <v>0</v>
      </c>
      <c r="T55" s="17">
        <f>MIN(IF(B55=0,0,Table14[[#This Row],[Death Capital (1)]]),Table14[[#This Row],[Max Sum Insured For Death]])</f>
        <v>0</v>
      </c>
      <c r="U55" s="29">
        <f t="shared" si="10"/>
        <v>0</v>
      </c>
      <c r="V55" s="29">
        <f>IF(B55=0,0,IF(AND(Changes!Change="Yes", Changes!ValidityYear&lt;=Table14[[#This Row],[Year]], Changes!ChangeType="Rider Inclusion/Exclusion", Changes!RiderType="Accident Death"), T55*Changes!NewChangedValue,IF(db!$D$6="Yes",(db!$B$6)*T55,0)))</f>
        <v>0</v>
      </c>
      <c r="W55" s="29">
        <f>MIN(IF(V55&lt;=db!$L$2,V55,db!$L$2),MAX_ACC_CAPITAL)</f>
        <v>0</v>
      </c>
      <c r="X55" s="17">
        <f>IF(OR(B55=0,Table14[[#This Row],[Accident Capital (2)]]=0),0,IF(AND(Changes!Change="Yes", Changes!ValidityYear&lt;=Table14[[#This Row],[Year]], Changes!ChangeType="Rider Inclusion/Exclusion", Changes!RiderType="Accident Disability"), T55*Changes!NewChangedValue,IF(db!$D$7="Yes",(db!$B$7)*T55,0)))</f>
        <v>0</v>
      </c>
      <c r="Y55" s="42">
        <f>IF(C55&gt;69,0,IF(C55=0,0,IF(X55&lt;=db!$L$3,X55,db!$L$3)))</f>
        <v>0</v>
      </c>
      <c r="Z55" s="29">
        <f>IF(OR(B55=0,Table14[[#This Row],[Accident Capital (2)]]=0),0,IF(AND(Changes!Change="Yes", Changes!ValidityYear&lt;=Table14[[#This Row],[Year]], Changes!ChangeType="Rider Inclusion/Exclusion", Changes!RiderType="Accident Medical Cost"), T55*Changes!NewChangedValue,IF(db!$D$9="Yes",(db!$B$9)*T55,0)))</f>
        <v>0</v>
      </c>
      <c r="AA55" s="29">
        <f>ROUND(IF(C55&gt;69,0,IF(C55=0,0,IF(Z55&lt;=db!$L$4,Z55,db!$L$4))),0)</f>
        <v>0</v>
      </c>
      <c r="AB55" s="38">
        <f>IF(AND(Changes!Change = "Yes", Changes!ChangeType = "Rider Inclusion/Exclusion", Changes!RiderType = "WOP"), IF( Changes!ValidityYear &lt;= Table14[[#This Row],[Year]], IF(WOP = "Yes", 0, 1),  IF(WOP = "Yes", 1, 0)), IF(AND(db!$D$8="Yes",C55&lt;=69,ROW()-1&lt;=InsurancePeriod), 1, 0))</f>
        <v>0</v>
      </c>
      <c r="AC55" s="17">
        <f>(AC56+K56)*AB55*((1)/(1+db!AA57))*(LOOKUP(C55,'Mortality Table'!$A$2:$A$108,'Mortality Table'!$E$2:$E$108))</f>
        <v>0</v>
      </c>
      <c r="AD55" s="340">
        <f>IF(AND(Changes!ValidityYear&lt;= Table14[[#This Row],[Year]],Changes!ChangeType="Change Value Adjustment",Changes!Change="Yes"), (AD56+L56)*AB55*((1)/(1+db!AA57))*(LOOKUP(C55,'Mortality Table'!$A$2:$A$108,'Mortality Table'!$E$2:$E$108)),Table14[[#This Row],[WOP Before Adj. BT]])</f>
        <v>0</v>
      </c>
      <c r="AE55" s="341">
        <f>IF(AND(Changes!Change="Yes", Changes!ChangeType="Change Value Adjustment"),Table14[[#This Row],[WOP Capital]],(AE56+O56)*AB55*((1)/(1+db!AA57))*(LOOKUP(D55,'Mortality Table'!$A$2:$A$108,'Mortality Table'!$E$2:$E$108)))</f>
        <v>0</v>
      </c>
      <c r="AF55" s="17">
        <f>IF(AND(Changes!Change="Yes", Changes!ValidityYear&lt;=ROW()-1),Table14[[#This Row],[WOP Capital]],Table14[[#This Row],[WOP without change]])</f>
        <v>0</v>
      </c>
      <c r="AG55" s="42">
        <f>IF(AND(Changes!Change="Yes", Changes!ValidityYear&lt;=Table14[[#This Row],[Year]], Changes!ChangeType="Rider Inclusion/Exclusion", Changes!RiderType="Disability Annuity"), L55*Changes!NewChangedValue,L55*db!B$10*IF(db!$D$10="Yes",1,0))</f>
        <v>0</v>
      </c>
      <c r="AH55" s="29">
        <f>Table14[[#This Row],[Code Annuity Capital]]*IF('Annual Calculation'!C55&gt;69,0,(LOOKUP('Annual Calculation'!C55+1,'Mortality Table'!$A$2:$A$108,'Mortality Table'!$O$2:$O$108)-LOOKUP('Annual Calculation'!C55+11,'Mortality Table'!$A$2:$A$108,'Mortality Table'!$O$2:$O$108))/LOOKUP('Annual Calculation'!C55,'Mortality Table'!$A$2:$A$108,'Mortality Table'!$M$2:$M$108))</f>
        <v>0</v>
      </c>
      <c r="AI55" s="17">
        <f>IF(B55=0,0,IF(AND(Changes!Change="Yes", Changes!ValidityYear&lt;=Table14[[#This Row],[Year]], Changes!ChangeType="Rider Inclusion/Exclusion", Changes!RiderType="Dread Disease"), T55*Changes!NewChangedValue,IF(db!$D$11="Yes",(db!$B$11)*T55,0)))</f>
        <v>0</v>
      </c>
      <c r="AJ55" s="42">
        <f>ROUND(IF(C55&gt;59,0,IF(C55=0,0,IF(AI55&lt;=db!$L$5,AI55,db!$L$5))),0)</f>
        <v>0</v>
      </c>
      <c r="AK55" s="29">
        <f>IF(B55=0,0,IF(AND(Changes!Change="Yes", Changes!ValidityYear&lt;=Table14[[#This Row],[Year]], Changes!ChangeType="Rider Inclusion/Exclusion", Changes!RiderType="Cancer"), T55*Changes!NewChangedValue,IF(db!$D$12="Yes",(db!$B$12)*T55,0)))</f>
        <v>0</v>
      </c>
      <c r="AL55" s="29">
        <f>ROUND(IF(C55&gt;59,0,IF(C55=0,0,IF(AK55&lt;=db!$L$6,AK55,db!$L$6))),0)</f>
        <v>0</v>
      </c>
      <c r="AM55" s="32"/>
      <c r="AN55" s="18">
        <f>IF(B55=0,0,IF(C55&lt;(db!$E$2+5),LOOKUP(C55,'Mortality Table'!$A$2:$A$108,'Mortality Table'!$P$2:$P$108),IF((C55&gt;=db!$E$2+10),LOOKUP(C55,'Mortality Table'!$A$2:$A$108,'Mortality Table'!$R$2:$R$108),LOOKUP(C55,'Mortality Table'!$A$2:$A$108,'Mortality Table'!$Q$2:$Q$108))))</f>
        <v>0</v>
      </c>
      <c r="AO55" s="22">
        <f t="shared" si="2"/>
        <v>0</v>
      </c>
      <c r="AP55" s="19">
        <f>IF(B55=0,0, LOOKUP(IF(AND(Changes!Change="Yes", Changes!ValidityYear&lt;=Table14[[#This Row],[Year]], Changes!ChangeType="Change Job Class"),Changes!NewChangedValue, db!$A$8),db!$AX$4:$AX$8,db!$AY$4:$AY$8))</f>
        <v>0</v>
      </c>
      <c r="AQ55" s="20">
        <f>ROUND((AP55/1000)*W55 * (1-db!$AS$9),0)</f>
        <v>0</v>
      </c>
      <c r="AR55" s="20">
        <f>(AP55/1000)*W55 * db!$AS$9</f>
        <v>0</v>
      </c>
      <c r="AS55" s="21">
        <f>IF(B55=0,0, LOOKUP(IF(AND(Changes!Change="Yes", Changes!ValidityYear&lt;=Table14[[#This Row],[Year]], Changes!ChangeType="Change Job Class"),Changes!NewChangedValue, db!$A$8),db!$AX$4:$AX$8,db!$AZ$4:$AZ$8))</f>
        <v>0</v>
      </c>
      <c r="AT55" s="22">
        <f>(AS55/1000)*Y55*(1-db!$AS$9)</f>
        <v>0</v>
      </c>
      <c r="AU55" s="22">
        <f>(AS55/1000)*Y55*(db!$AS$9)</f>
        <v>0</v>
      </c>
      <c r="AV55" s="23">
        <f>IF(B55=0,0, LOOKUP(IF(AND(Changes!Change="Yes", Changes!ValidityYear&lt;=Table14[[#This Row],[Year]], Changes!ChangeType="Change Job Class"),Changes!NewChangedValue, db!$A$8),db!$AX$4:$AX$8,db!$BA$4:$BA$8))</f>
        <v>0</v>
      </c>
      <c r="AW55" s="20">
        <f>ROUND((AV55/(100))*AA55*(1-db!$AS$9),0)</f>
        <v>0</v>
      </c>
      <c r="AX55" s="20">
        <f>ROUND((AV55/(100))*AA55*(db!$AS$9),0)</f>
        <v>0</v>
      </c>
      <c r="AY55" s="21">
        <f>IF(db!$D$8="Yes",AS55,0)</f>
        <v>0</v>
      </c>
      <c r="AZ55" s="22">
        <f>(AY55*AF55)/1000*(1-db!$AS$9)</f>
        <v>0</v>
      </c>
      <c r="BA55" s="22">
        <f>(AY55*AF55)/1000*(db!$AS$9)</f>
        <v>0</v>
      </c>
      <c r="BB55" s="23">
        <f t="shared" si="3"/>
        <v>0</v>
      </c>
      <c r="BC55" s="20">
        <f>(BB55*AH55/1000)*(1-db!$AS$9)</f>
        <v>0</v>
      </c>
      <c r="BD55" s="20">
        <f>(BB55*AH55/1000)*(db!$AS$9)</f>
        <v>0</v>
      </c>
      <c r="BE55" s="22">
        <f>IF(B55=0,0,IF(C55&gt;60,0,LOOKUP(Table14[[#This Row],[Medical
Age]],db!$BC$3:$BC$63,db!$BD$3:$BD$63)))</f>
        <v>0</v>
      </c>
      <c r="BF55" s="22">
        <f>BG55*db!$AS$10</f>
        <v>0</v>
      </c>
      <c r="BG55" s="22">
        <f t="shared" si="4"/>
        <v>0</v>
      </c>
      <c r="BH55" s="22">
        <f>(BE55/1000000)*AJ55*(1-db!$AS$10)</f>
        <v>0</v>
      </c>
      <c r="BI55" s="20">
        <f>IF(B55=0,0,IF(C55&gt;59,0,LOOKUP(Table14[[#This Row],[Medical
Age]],db!$BC$3:$BC$63,db!$BE$3:$BE$63)))</f>
        <v>0</v>
      </c>
      <c r="BJ55" s="20">
        <f>(BI55/1000000)*AL55*(1-db!$AS$11)</f>
        <v>0</v>
      </c>
      <c r="BK55" s="20">
        <f>(BI55/1000000)*AL55*(db!$AS$11)</f>
        <v>0</v>
      </c>
      <c r="BL55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55" s="20">
        <f>Table14[[#This Row],[RiskLoading
Rate]]*Table14[[#This Row],[Death Capital (2)]]</f>
        <v>0</v>
      </c>
      <c r="BN55" s="36"/>
      <c r="BO55" s="37">
        <f t="shared" si="5"/>
        <v>0</v>
      </c>
      <c r="BP55" s="35">
        <f t="shared" si="6"/>
        <v>0</v>
      </c>
      <c r="BQ55" s="35">
        <f t="shared" si="7"/>
        <v>0</v>
      </c>
      <c r="BR55" s="37">
        <f t="shared" si="11"/>
        <v>0</v>
      </c>
      <c r="BS55" s="37">
        <f t="shared" si="12"/>
        <v>0</v>
      </c>
      <c r="BT55" s="35">
        <f t="shared" si="13"/>
        <v>0</v>
      </c>
      <c r="BU55" s="35">
        <f t="shared" si="14"/>
        <v>0</v>
      </c>
      <c r="BV55" s="37">
        <f>(db!$AS$4/100)*(L55-BT55-BU55)</f>
        <v>0</v>
      </c>
      <c r="BW55" s="37">
        <f>(db!$AS$8/100)*(L55-BT55-BU55)</f>
        <v>0</v>
      </c>
      <c r="BX55" s="35"/>
      <c r="BY55" s="37"/>
      <c r="BZ55" s="37"/>
      <c r="CA55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55" s="33"/>
      <c r="CC55" s="39">
        <f>ROUND((Table14[[#This Row],[Premium]]-Table14[[#This Row],[All Deductions]]),0)</f>
        <v>0</v>
      </c>
      <c r="CD55" s="40">
        <f>ROUND(IF(B55=0,0,((CC55)*(1+ IF(AND(Changes!Change="Yes",Changes!ValidityYear&lt;=Table14[[#This Row],[Year]],Annulment&gt;Table14[[#This Row],[Year]],Changes!ChangeType="Paid-Up"),db!Y57+0.02,db!Y57)))+((CD54)*(1+IF(AND(Changes!Change="Yes",Changes!ValidityYear&lt;=Table14[[#This Row],[Year]],Annulment&gt;Table14[[#This Row],[Year]],Changes!ChangeType="Paid-Up"),db!U57+0.02,db!U57)))),0)</f>
        <v>0</v>
      </c>
      <c r="CE55" s="40">
        <f>ROUND(IF(B55=0,0,((CC55)*(1+db!Y57))+((CE54)*(1+db!U57))),0)</f>
        <v>0</v>
      </c>
      <c r="CF55" s="40">
        <f t="shared" si="19"/>
        <v>0</v>
      </c>
      <c r="CG55" s="15">
        <f t="shared" si="15"/>
        <v>54</v>
      </c>
      <c r="CH55" s="39">
        <f>IF(B55=0,0,((CC55)*(1+db!AH57))+((CH54)*(1+db!AD57)))</f>
        <v>0</v>
      </c>
      <c r="CI55" s="39">
        <f>IF(B55=0,0,((CC55)*(1+db!AH57))+((CI54)*(1+db!AD57)))</f>
        <v>0</v>
      </c>
      <c r="CJ55" s="40">
        <f>IF(B55=0,0,((CC55)*(1+db!AO57))+((CJ54)*(1+db!AK57)))</f>
        <v>0</v>
      </c>
      <c r="CK55" s="40">
        <f>CJ55-(SUM(BX$7:$BX56))</f>
        <v>0</v>
      </c>
      <c r="CL55" s="46"/>
    </row>
    <row r="56" spans="1:90">
      <c r="A56" s="347">
        <f t="shared" si="16"/>
        <v>55</v>
      </c>
      <c r="B56" s="345">
        <f>IF(AND(Changes!Change="Yes", Changes!ChangeType="Change Contract Duration"),IF(B55=0,0,IF(Changes!NewChangedValue&lt;B55+1,0,B55+1)),IF(B55=0,0,IF('Application Annually'!$C$5&lt;B55+1,0,B55+1)))</f>
        <v>0</v>
      </c>
      <c r="C56" s="15">
        <f t="shared" si="17"/>
        <v>0</v>
      </c>
      <c r="D56" s="312">
        <f t="shared" si="18"/>
        <v>82</v>
      </c>
      <c r="E56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56" s="29">
        <f t="shared" si="8"/>
        <v>0</v>
      </c>
      <c r="G56" s="29">
        <f t="shared" si="9"/>
        <v>0</v>
      </c>
      <c r="H56" s="29">
        <f t="shared" si="0"/>
        <v>0</v>
      </c>
      <c r="I56" s="29">
        <f>IF(B56&gt;0,IF(AND(Table14[[#This Row],[Year]]&gt;Changes!ValidityYear,Changes!Change="Yes",Changes!ChangeType="Change Value Adjustment"),Changes!$G$22,'Application Annually'!$C$11),0)</f>
        <v>0</v>
      </c>
      <c r="J56" s="29">
        <f>IF(B56&gt;0,IF(AND(Table14[[#This Row],[Year]]&gt;Changes!ValidityYear,Changes!Change="Yes",Changes!ChangeType="Change Value Adjustment"),Changes!$G$24,'Application Annually'!$C$7),0)</f>
        <v>0</v>
      </c>
      <c r="K56" s="29">
        <f>ROUND(IF(B56=0,0,IF(AND(Changes!Change="Yes", Changes!ValidityYear=Table14[[#This Row],[Year]], Changes!ChangeType="Change Premium"), Changes!NewChangedValue, (K55*(1+db!$B$3)))),0)</f>
        <v>0</v>
      </c>
      <c r="L56" s="29">
        <f>ROUND(IF(B56=0,0,IF(AND(Changes!Change="Yes", Changes!ValidityYear=Table14[[#This Row],[Year]], Changes!ChangeType="Change Premium"), Changes!NewChangedValue, (L55*(1+Table14[[#This Row],[Adjustment Factor of Premium]]/100)))),0)</f>
        <v>0</v>
      </c>
      <c r="M56" s="29">
        <f>IF(Table14[[#This Row],[Year]]=1,ROUND(MIN($L$2 -( Table14[[#This Row],[Riders Risk Premiums]] + Table14[[#This Row],[Acquisition Cost]]) *0.75,Table14[[#This Row],[Death Capital (1)]]* 0.03),0),0)</f>
        <v>0</v>
      </c>
      <c r="N56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56" s="29">
        <f>ROUND(IF(ROW()-1&gt;InsurancePeriod,0,(O55*(1+(Table14[[#This Row],[Adjustment Factor of Premium]]/100)))),0)</f>
        <v>0</v>
      </c>
      <c r="P56" s="29">
        <f>IF(Table14[Year] = 0, 0, SUM(L$2:L56))</f>
        <v>0</v>
      </c>
      <c r="Q56" s="17">
        <f t="shared" si="1"/>
        <v>0</v>
      </c>
      <c r="R56" s="17">
        <f>IF(Table14[[#This Row],[Year]]=0,0,IF($C$2&lt;=50,LOOKUP(Table14[[#This Row],[Age]],db!BG57:BG163,db!BH57:BH163),LOOKUP(Table14[[#This Row],[Age]],db!BJ57:BJ163,db!BK57:BK163)))</f>
        <v>0</v>
      </c>
      <c r="S56" s="17">
        <f>IF(B56=0,0, IF(AND(Changes!Change="Yes", Changes!ValidityYear=Table14[[#This Row],[Year]], Changes!ChangeType="Change Death Capital"), Changes!NewChangedValue, S55*(1+(Table14[[#This Row],[Adjustment Factor of Death Capital]]/100))))</f>
        <v>0</v>
      </c>
      <c r="T56" s="17">
        <f>MIN(IF(B56=0,0,Table14[[#This Row],[Death Capital (1)]]),Table14[[#This Row],[Max Sum Insured For Death]])</f>
        <v>0</v>
      </c>
      <c r="U56" s="29">
        <f t="shared" si="10"/>
        <v>0</v>
      </c>
      <c r="V56" s="29">
        <f>IF(B56=0,0,IF(AND(Changes!Change="Yes", Changes!ValidityYear&lt;=Table14[[#This Row],[Year]], Changes!ChangeType="Rider Inclusion/Exclusion", Changes!RiderType="Accident Death"), T56*Changes!NewChangedValue,IF(db!$D$6="Yes",(db!$B$6)*T56,0)))</f>
        <v>0</v>
      </c>
      <c r="W56" s="29">
        <f>MIN(IF(V56&lt;=db!$L$2,V56,db!$L$2),MAX_ACC_CAPITAL)</f>
        <v>0</v>
      </c>
      <c r="X56" s="17">
        <f>IF(OR(B56=0,Table14[[#This Row],[Accident Capital (2)]]=0),0,IF(AND(Changes!Change="Yes", Changes!ValidityYear&lt;=Table14[[#This Row],[Year]], Changes!ChangeType="Rider Inclusion/Exclusion", Changes!RiderType="Accident Disability"), T56*Changes!NewChangedValue,IF(db!$D$7="Yes",(db!$B$7)*T56,0)))</f>
        <v>0</v>
      </c>
      <c r="Y56" s="42">
        <f>IF(C56&gt;69,0,IF(C56=0,0,IF(X56&lt;=db!$L$3,X56,db!$L$3)))</f>
        <v>0</v>
      </c>
      <c r="Z56" s="29">
        <f>IF(OR(B56=0,Table14[[#This Row],[Accident Capital (2)]]=0),0,IF(AND(Changes!Change="Yes", Changes!ValidityYear&lt;=Table14[[#This Row],[Year]], Changes!ChangeType="Rider Inclusion/Exclusion", Changes!RiderType="Accident Medical Cost"), T56*Changes!NewChangedValue,IF(db!$D$9="Yes",(db!$B$9)*T56,0)))</f>
        <v>0</v>
      </c>
      <c r="AA56" s="29">
        <f>ROUND(IF(C56&gt;69,0,IF(C56=0,0,IF(Z56&lt;=db!$L$4,Z56,db!$L$4))),0)</f>
        <v>0</v>
      </c>
      <c r="AB56" s="38">
        <f>IF(AND(Changes!Change = "Yes", Changes!ChangeType = "Rider Inclusion/Exclusion", Changes!RiderType = "WOP"), IF( Changes!ValidityYear &lt;= Table14[[#This Row],[Year]], IF(WOP = "Yes", 0, 1),  IF(WOP = "Yes", 1, 0)), IF(AND(db!$D$8="Yes",C56&lt;=69,ROW()-1&lt;=InsurancePeriod), 1, 0))</f>
        <v>0</v>
      </c>
      <c r="AC56" s="17">
        <f>(AC57+K57)*AB56*((1)/(1+db!AA58))*(LOOKUP(C56,'Mortality Table'!$A$2:$A$108,'Mortality Table'!$E$2:$E$108))</f>
        <v>0</v>
      </c>
      <c r="AD56" s="340">
        <f>IF(AND(Changes!ValidityYear&lt;= Table14[[#This Row],[Year]],Changes!ChangeType="Change Value Adjustment",Changes!Change="Yes"), (AD57+L57)*AB56*((1)/(1+db!AA58))*(LOOKUP(C56,'Mortality Table'!$A$2:$A$108,'Mortality Table'!$E$2:$E$108)),Table14[[#This Row],[WOP Before Adj. BT]])</f>
        <v>0</v>
      </c>
      <c r="AE56" s="341">
        <f>IF(AND(Changes!Change="Yes", Changes!ChangeType="Change Value Adjustment"),Table14[[#This Row],[WOP Capital]],(AE57+O57)*AB56*((1)/(1+db!AA58))*(LOOKUP(D56,'Mortality Table'!$A$2:$A$108,'Mortality Table'!$E$2:$E$108)))</f>
        <v>0</v>
      </c>
      <c r="AF56" s="17">
        <f>IF(AND(Changes!Change="Yes", Changes!ValidityYear&lt;=ROW()-1),Table14[[#This Row],[WOP Capital]],Table14[[#This Row],[WOP without change]])</f>
        <v>0</v>
      </c>
      <c r="AG56" s="42">
        <f>IF(AND(Changes!Change="Yes", Changes!ValidityYear&lt;=Table14[[#This Row],[Year]], Changes!ChangeType="Rider Inclusion/Exclusion", Changes!RiderType="Disability Annuity"), L56*Changes!NewChangedValue,L56*db!B$10*IF(db!$D$10="Yes",1,0))</f>
        <v>0</v>
      </c>
      <c r="AH56" s="29">
        <f>Table14[[#This Row],[Code Annuity Capital]]*IF('Annual Calculation'!C56&gt;69,0,(LOOKUP('Annual Calculation'!C56+1,'Mortality Table'!$A$2:$A$108,'Mortality Table'!$O$2:$O$108)-LOOKUP('Annual Calculation'!C56+11,'Mortality Table'!$A$2:$A$108,'Mortality Table'!$O$2:$O$108))/LOOKUP('Annual Calculation'!C56,'Mortality Table'!$A$2:$A$108,'Mortality Table'!$M$2:$M$108))</f>
        <v>0</v>
      </c>
      <c r="AI56" s="17">
        <f>IF(B56=0,0,IF(AND(Changes!Change="Yes", Changes!ValidityYear&lt;=Table14[[#This Row],[Year]], Changes!ChangeType="Rider Inclusion/Exclusion", Changes!RiderType="Dread Disease"), T56*Changes!NewChangedValue,IF(db!$D$11="Yes",(db!$B$11)*T56,0)))</f>
        <v>0</v>
      </c>
      <c r="AJ56" s="42">
        <f>ROUND(IF(C56&gt;59,0,IF(C56=0,0,IF(AI56&lt;=db!$L$5,AI56,db!$L$5))),0)</f>
        <v>0</v>
      </c>
      <c r="AK56" s="29">
        <f>IF(B56=0,0,IF(AND(Changes!Change="Yes", Changes!ValidityYear&lt;=Table14[[#This Row],[Year]], Changes!ChangeType="Rider Inclusion/Exclusion", Changes!RiderType="Cancer"), T56*Changes!NewChangedValue,IF(db!$D$12="Yes",(db!$B$12)*T56,0)))</f>
        <v>0</v>
      </c>
      <c r="AL56" s="29">
        <f>ROUND(IF(C56&gt;59,0,IF(C56=0,0,IF(AK56&lt;=db!$L$6,AK56,db!$L$6))),0)</f>
        <v>0</v>
      </c>
      <c r="AM56" s="32"/>
      <c r="AN56" s="18">
        <f>IF(B56=0,0,IF(C56&lt;(db!$E$2+5),LOOKUP(C56,'Mortality Table'!$A$2:$A$108,'Mortality Table'!$P$2:$P$108),IF((C56&gt;=db!$E$2+10),LOOKUP(C56,'Mortality Table'!$A$2:$A$108,'Mortality Table'!$R$2:$R$108),LOOKUP(C56,'Mortality Table'!$A$2:$A$108,'Mortality Table'!$Q$2:$Q$108))))</f>
        <v>0</v>
      </c>
      <c r="AO56" s="22">
        <f t="shared" si="2"/>
        <v>0</v>
      </c>
      <c r="AP56" s="19">
        <f>IF(B56=0,0, LOOKUP(IF(AND(Changes!Change="Yes", Changes!ValidityYear&lt;=Table14[[#This Row],[Year]], Changes!ChangeType="Change Job Class"),Changes!NewChangedValue, db!$A$8),db!$AX$4:$AX$8,db!$AY$4:$AY$8))</f>
        <v>0</v>
      </c>
      <c r="AQ56" s="20">
        <f>ROUND((AP56/1000)*W56 * (1-db!$AS$9),0)</f>
        <v>0</v>
      </c>
      <c r="AR56" s="20">
        <f>(AP56/1000)*W56 * db!$AS$9</f>
        <v>0</v>
      </c>
      <c r="AS56" s="21">
        <f>IF(B56=0,0, LOOKUP(IF(AND(Changes!Change="Yes", Changes!ValidityYear&lt;=Table14[[#This Row],[Year]], Changes!ChangeType="Change Job Class"),Changes!NewChangedValue, db!$A$8),db!$AX$4:$AX$8,db!$AZ$4:$AZ$8))</f>
        <v>0</v>
      </c>
      <c r="AT56" s="22">
        <f>(AS56/1000)*Y56*(1-db!$AS$9)</f>
        <v>0</v>
      </c>
      <c r="AU56" s="22">
        <f>(AS56/1000)*Y56*(db!$AS$9)</f>
        <v>0</v>
      </c>
      <c r="AV56" s="23">
        <f>IF(B56=0,0, LOOKUP(IF(AND(Changes!Change="Yes", Changes!ValidityYear&lt;=Table14[[#This Row],[Year]], Changes!ChangeType="Change Job Class"),Changes!NewChangedValue, db!$A$8),db!$AX$4:$AX$8,db!$BA$4:$BA$8))</f>
        <v>0</v>
      </c>
      <c r="AW56" s="20">
        <f>ROUND((AV56/(100))*AA56*(1-db!$AS$9),0)</f>
        <v>0</v>
      </c>
      <c r="AX56" s="20">
        <f>ROUND((AV56/(100))*AA56*(db!$AS$9),0)</f>
        <v>0</v>
      </c>
      <c r="AY56" s="21">
        <f>IF(db!$D$8="Yes",AS56,0)</f>
        <v>0</v>
      </c>
      <c r="AZ56" s="22">
        <f>(AY56*AF56)/1000*(1-db!$AS$9)</f>
        <v>0</v>
      </c>
      <c r="BA56" s="22">
        <f>(AY56*AF56)/1000*(db!$AS$9)</f>
        <v>0</v>
      </c>
      <c r="BB56" s="23">
        <f t="shared" si="3"/>
        <v>0</v>
      </c>
      <c r="BC56" s="20">
        <f>(BB56*AH56/1000)*(1-db!$AS$9)</f>
        <v>0</v>
      </c>
      <c r="BD56" s="20">
        <f>(BB56*AH56/1000)*(db!$AS$9)</f>
        <v>0</v>
      </c>
      <c r="BE56" s="22">
        <f>IF(B56=0,0,IF(C56&gt;60,0,LOOKUP(Table14[[#This Row],[Medical
Age]],db!$BC$3:$BC$63,db!$BD$3:$BD$63)))</f>
        <v>0</v>
      </c>
      <c r="BF56" s="22">
        <f>BG56*db!$AS$10</f>
        <v>0</v>
      </c>
      <c r="BG56" s="22">
        <f t="shared" si="4"/>
        <v>0</v>
      </c>
      <c r="BH56" s="22">
        <f>(BE56/1000000)*AJ56*(1-db!$AS$10)</f>
        <v>0</v>
      </c>
      <c r="BI56" s="20">
        <f>IF(B56=0,0,IF(C56&gt;59,0,LOOKUP(Table14[[#This Row],[Medical
Age]],db!$BC$3:$BC$63,db!$BE$3:$BE$63)))</f>
        <v>0</v>
      </c>
      <c r="BJ56" s="20">
        <f>(BI56/1000000)*AL56*(1-db!$AS$11)</f>
        <v>0</v>
      </c>
      <c r="BK56" s="20">
        <f>(BI56/1000000)*AL56*(db!$AS$11)</f>
        <v>0</v>
      </c>
      <c r="BL56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56" s="20">
        <f>Table14[[#This Row],[RiskLoading
Rate]]*Table14[[#This Row],[Death Capital (2)]]</f>
        <v>0</v>
      </c>
      <c r="BN56" s="36"/>
      <c r="BO56" s="37">
        <f t="shared" si="5"/>
        <v>0</v>
      </c>
      <c r="BP56" s="35">
        <f t="shared" si="6"/>
        <v>0</v>
      </c>
      <c r="BQ56" s="35">
        <f t="shared" si="7"/>
        <v>0</v>
      </c>
      <c r="BR56" s="37">
        <f t="shared" si="11"/>
        <v>0</v>
      </c>
      <c r="BS56" s="37">
        <f t="shared" si="12"/>
        <v>0</v>
      </c>
      <c r="BT56" s="35">
        <f t="shared" si="13"/>
        <v>0</v>
      </c>
      <c r="BU56" s="35">
        <f t="shared" si="14"/>
        <v>0</v>
      </c>
      <c r="BV56" s="37">
        <f>(db!$AS$4/100)*(L56-BT56-BU56)</f>
        <v>0</v>
      </c>
      <c r="BW56" s="37">
        <f>(db!$AS$8/100)*(L56-BT56-BU56)</f>
        <v>0</v>
      </c>
      <c r="BX56" s="35"/>
      <c r="BY56" s="37"/>
      <c r="BZ56" s="37"/>
      <c r="CA56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56" s="33"/>
      <c r="CC56" s="39">
        <f>ROUND((Table14[[#This Row],[Premium]]-Table14[[#This Row],[All Deductions]]),0)</f>
        <v>0</v>
      </c>
      <c r="CD56" s="40">
        <f>ROUND(IF(B56=0,0,((CC56)*(1+ IF(AND(Changes!Change="Yes",Changes!ValidityYear&lt;=Table14[[#This Row],[Year]],Annulment&gt;Table14[[#This Row],[Year]],Changes!ChangeType="Paid-Up"),db!Y58+0.02,db!Y58)))+((CD55)*(1+IF(AND(Changes!Change="Yes",Changes!ValidityYear&lt;=Table14[[#This Row],[Year]],Annulment&gt;Table14[[#This Row],[Year]],Changes!ChangeType="Paid-Up"),db!U58+0.02,db!U58)))),0)</f>
        <v>0</v>
      </c>
      <c r="CE56" s="40">
        <f>ROUND(IF(B56=0,0,((CC56)*(1+db!Y58))+((CE55)*(1+db!U58))),0)</f>
        <v>0</v>
      </c>
      <c r="CF56" s="40">
        <f t="shared" si="19"/>
        <v>0</v>
      </c>
      <c r="CG56" s="15">
        <f t="shared" si="15"/>
        <v>55</v>
      </c>
      <c r="CH56" s="39">
        <f>IF(B56=0,0,((CC56)*(1+db!AH58))+((CH55)*(1+db!AD58)))</f>
        <v>0</v>
      </c>
      <c r="CI56" s="39">
        <f>IF(B56=0,0,((CC56)*(1+db!AH58))+((CI55)*(1+db!AD58)))</f>
        <v>0</v>
      </c>
      <c r="CJ56" s="40">
        <f>IF(B56=0,0,((CC56)*(1+db!AO58))+((CJ55)*(1+db!AK58)))</f>
        <v>0</v>
      </c>
      <c r="CK56" s="40">
        <f>CJ56-(SUM(BX$7:$BX57))</f>
        <v>0</v>
      </c>
      <c r="CL56" s="46"/>
    </row>
    <row r="57" spans="1:90">
      <c r="A57" s="347">
        <f t="shared" si="16"/>
        <v>56</v>
      </c>
      <c r="B57" s="345">
        <f>IF(AND(Changes!Change="Yes", Changes!ChangeType="Change Contract Duration"),IF(B56=0,0,IF(Changes!NewChangedValue&lt;B56+1,0,B56+1)),IF(B56=0,0,IF('Application Annually'!$C$5&lt;B56+1,0,B56+1)))</f>
        <v>0</v>
      </c>
      <c r="C57" s="15">
        <f t="shared" si="17"/>
        <v>0</v>
      </c>
      <c r="D57" s="312">
        <f t="shared" si="18"/>
        <v>83</v>
      </c>
      <c r="E57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57" s="29">
        <f t="shared" si="8"/>
        <v>0</v>
      </c>
      <c r="G57" s="29">
        <f t="shared" si="9"/>
        <v>0</v>
      </c>
      <c r="H57" s="29">
        <f t="shared" si="0"/>
        <v>0</v>
      </c>
      <c r="I57" s="29">
        <f>IF(B57&gt;0,IF(AND(Table14[[#This Row],[Year]]&gt;Changes!ValidityYear,Changes!Change="Yes",Changes!ChangeType="Change Value Adjustment"),Changes!$G$22,'Application Annually'!$C$11),0)</f>
        <v>0</v>
      </c>
      <c r="J57" s="29">
        <f>IF(B57&gt;0,IF(AND(Table14[[#This Row],[Year]]&gt;Changes!ValidityYear,Changes!Change="Yes",Changes!ChangeType="Change Value Adjustment"),Changes!$G$24,'Application Annually'!$C$7),0)</f>
        <v>0</v>
      </c>
      <c r="K57" s="29">
        <f>ROUND(IF(B57=0,0,IF(AND(Changes!Change="Yes", Changes!ValidityYear=Table14[[#This Row],[Year]], Changes!ChangeType="Change Premium"), Changes!NewChangedValue, (K56*(1+db!$B$3)))),0)</f>
        <v>0</v>
      </c>
      <c r="L57" s="29">
        <f>ROUND(IF(B57=0,0,IF(AND(Changes!Change="Yes", Changes!ValidityYear=Table14[[#This Row],[Year]], Changes!ChangeType="Change Premium"), Changes!NewChangedValue, (L56*(1+Table14[[#This Row],[Adjustment Factor of Premium]]/100)))),0)</f>
        <v>0</v>
      </c>
      <c r="M57" s="29">
        <f>IF(Table14[[#This Row],[Year]]=1,ROUND(MIN($L$2 -( Table14[[#This Row],[Riders Risk Premiums]] + Table14[[#This Row],[Acquisition Cost]]) *0.75,Table14[[#This Row],[Death Capital (1)]]* 0.03),0),0)</f>
        <v>0</v>
      </c>
      <c r="N57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57" s="29">
        <f>ROUND(IF(ROW()-1&gt;InsurancePeriod,0,(O56*(1+(Table14[[#This Row],[Adjustment Factor of Premium]]/100)))),0)</f>
        <v>0</v>
      </c>
      <c r="P57" s="29">
        <f>IF(Table14[Year] = 0, 0, SUM(L$2:L57))</f>
        <v>0</v>
      </c>
      <c r="Q57" s="17">
        <f t="shared" si="1"/>
        <v>0</v>
      </c>
      <c r="R57" s="17">
        <f>IF(Table14[[#This Row],[Year]]=0,0,IF($C$2&lt;=50,LOOKUP(Table14[[#This Row],[Age]],db!BG58:BG164,db!BH58:BH164),LOOKUP(Table14[[#This Row],[Age]],db!BJ58:BJ164,db!BK58:BK164)))</f>
        <v>0</v>
      </c>
      <c r="S57" s="17">
        <f>IF(B57=0,0, IF(AND(Changes!Change="Yes", Changes!ValidityYear=Table14[[#This Row],[Year]], Changes!ChangeType="Change Death Capital"), Changes!NewChangedValue, S56*(1+(Table14[[#This Row],[Adjustment Factor of Death Capital]]/100))))</f>
        <v>0</v>
      </c>
      <c r="T57" s="17">
        <f>MIN(IF(B57=0,0,Table14[[#This Row],[Death Capital (1)]]),Table14[[#This Row],[Max Sum Insured For Death]])</f>
        <v>0</v>
      </c>
      <c r="U57" s="29">
        <f t="shared" si="10"/>
        <v>0</v>
      </c>
      <c r="V57" s="29">
        <f>IF(B57=0,0,IF(AND(Changes!Change="Yes", Changes!ValidityYear&lt;=Table14[[#This Row],[Year]], Changes!ChangeType="Rider Inclusion/Exclusion", Changes!RiderType="Accident Death"), T57*Changes!NewChangedValue,IF(db!$D$6="Yes",(db!$B$6)*T57,0)))</f>
        <v>0</v>
      </c>
      <c r="W57" s="29">
        <f>MIN(IF(V57&lt;=db!$L$2,V57,db!$L$2),MAX_ACC_CAPITAL)</f>
        <v>0</v>
      </c>
      <c r="X57" s="17">
        <f>IF(OR(B57=0,Table14[[#This Row],[Accident Capital (2)]]=0),0,IF(AND(Changes!Change="Yes", Changes!ValidityYear&lt;=Table14[[#This Row],[Year]], Changes!ChangeType="Rider Inclusion/Exclusion", Changes!RiderType="Accident Disability"), T57*Changes!NewChangedValue,IF(db!$D$7="Yes",(db!$B$7)*T57,0)))</f>
        <v>0</v>
      </c>
      <c r="Y57" s="42">
        <f>IF(C57&gt;69,0,IF(C57=0,0,IF(X57&lt;=db!$L$3,X57,db!$L$3)))</f>
        <v>0</v>
      </c>
      <c r="Z57" s="29">
        <f>IF(OR(B57=0,Table14[[#This Row],[Accident Capital (2)]]=0),0,IF(AND(Changes!Change="Yes", Changes!ValidityYear&lt;=Table14[[#This Row],[Year]], Changes!ChangeType="Rider Inclusion/Exclusion", Changes!RiderType="Accident Medical Cost"), T57*Changes!NewChangedValue,IF(db!$D$9="Yes",(db!$B$9)*T57,0)))</f>
        <v>0</v>
      </c>
      <c r="AA57" s="29">
        <f>ROUND(IF(C57&gt;69,0,IF(C57=0,0,IF(Z57&lt;=db!$L$4,Z57,db!$L$4))),0)</f>
        <v>0</v>
      </c>
      <c r="AB57" s="38">
        <f>IF(AND(Changes!Change = "Yes", Changes!ChangeType = "Rider Inclusion/Exclusion", Changes!RiderType = "WOP"), IF( Changes!ValidityYear &lt;= Table14[[#This Row],[Year]], IF(WOP = "Yes", 0, 1),  IF(WOP = "Yes", 1, 0)), IF(AND(db!$D$8="Yes",C57&lt;=69,ROW()-1&lt;=InsurancePeriod), 1, 0))</f>
        <v>0</v>
      </c>
      <c r="AC57" s="17">
        <f>(AC58+K58)*AB57*((1)/(1+db!AA59))*(LOOKUP(C57,'Mortality Table'!$A$2:$A$108,'Mortality Table'!$E$2:$E$108))</f>
        <v>0</v>
      </c>
      <c r="AD57" s="340">
        <f>IF(AND(Changes!ValidityYear&lt;= Table14[[#This Row],[Year]],Changes!ChangeType="Change Value Adjustment",Changes!Change="Yes"), (AD58+L58)*AB57*((1)/(1+db!AA59))*(LOOKUP(C57,'Mortality Table'!$A$2:$A$108,'Mortality Table'!$E$2:$E$108)),Table14[[#This Row],[WOP Before Adj. BT]])</f>
        <v>0</v>
      </c>
      <c r="AE57" s="341">
        <f>IF(AND(Changes!Change="Yes", Changes!ChangeType="Change Value Adjustment"),Table14[[#This Row],[WOP Capital]],(AE58+O58)*AB57*((1)/(1+db!AA59))*(LOOKUP(D57,'Mortality Table'!$A$2:$A$108,'Mortality Table'!$E$2:$E$108)))</f>
        <v>0</v>
      </c>
      <c r="AF57" s="17">
        <f>IF(AND(Changes!Change="Yes", Changes!ValidityYear&lt;=ROW()-1),Table14[[#This Row],[WOP Capital]],Table14[[#This Row],[WOP without change]])</f>
        <v>0</v>
      </c>
      <c r="AG57" s="42">
        <f>IF(AND(Changes!Change="Yes", Changes!ValidityYear&lt;=Table14[[#This Row],[Year]], Changes!ChangeType="Rider Inclusion/Exclusion", Changes!RiderType="Disability Annuity"), L57*Changes!NewChangedValue,L57*db!B$10*IF(db!$D$10="Yes",1,0))</f>
        <v>0</v>
      </c>
      <c r="AH57" s="29">
        <f>Table14[[#This Row],[Code Annuity Capital]]*IF('Annual Calculation'!C57&gt;69,0,(LOOKUP('Annual Calculation'!C57+1,'Mortality Table'!$A$2:$A$108,'Mortality Table'!$O$2:$O$108)-LOOKUP('Annual Calculation'!C57+11,'Mortality Table'!$A$2:$A$108,'Mortality Table'!$O$2:$O$108))/LOOKUP('Annual Calculation'!C57,'Mortality Table'!$A$2:$A$108,'Mortality Table'!$M$2:$M$108))</f>
        <v>0</v>
      </c>
      <c r="AI57" s="17">
        <f>IF(B57=0,0,IF(AND(Changes!Change="Yes", Changes!ValidityYear&lt;=Table14[[#This Row],[Year]], Changes!ChangeType="Rider Inclusion/Exclusion", Changes!RiderType="Dread Disease"), T57*Changes!NewChangedValue,IF(db!$D$11="Yes",(db!$B$11)*T57,0)))</f>
        <v>0</v>
      </c>
      <c r="AJ57" s="42">
        <f>ROUND(IF(C57&gt;59,0,IF(C57=0,0,IF(AI57&lt;=db!$L$5,AI57,db!$L$5))),0)</f>
        <v>0</v>
      </c>
      <c r="AK57" s="29">
        <f>IF(B57=0,0,IF(AND(Changes!Change="Yes", Changes!ValidityYear&lt;=Table14[[#This Row],[Year]], Changes!ChangeType="Rider Inclusion/Exclusion", Changes!RiderType="Cancer"), T57*Changes!NewChangedValue,IF(db!$D$12="Yes",(db!$B$12)*T57,0)))</f>
        <v>0</v>
      </c>
      <c r="AL57" s="29">
        <f>ROUND(IF(C57&gt;59,0,IF(C57=0,0,IF(AK57&lt;=db!$L$6,AK57,db!$L$6))),0)</f>
        <v>0</v>
      </c>
      <c r="AM57" s="32"/>
      <c r="AN57" s="18">
        <f>IF(B57=0,0,IF(C57&lt;(db!$E$2+5),LOOKUP(C57,'Mortality Table'!$A$2:$A$108,'Mortality Table'!$P$2:$P$108),IF((C57&gt;=db!$E$2+10),LOOKUP(C57,'Mortality Table'!$A$2:$A$108,'Mortality Table'!$R$2:$R$108),LOOKUP(C57,'Mortality Table'!$A$2:$A$108,'Mortality Table'!$Q$2:$Q$108))))</f>
        <v>0</v>
      </c>
      <c r="AO57" s="22">
        <f t="shared" si="2"/>
        <v>0</v>
      </c>
      <c r="AP57" s="19">
        <f>IF(B57=0,0, LOOKUP(IF(AND(Changes!Change="Yes", Changes!ValidityYear&lt;=Table14[[#This Row],[Year]], Changes!ChangeType="Change Job Class"),Changes!NewChangedValue, db!$A$8),db!$AX$4:$AX$8,db!$AY$4:$AY$8))</f>
        <v>0</v>
      </c>
      <c r="AQ57" s="20">
        <f>ROUND((AP57/1000)*W57 * (1-db!$AS$9),0)</f>
        <v>0</v>
      </c>
      <c r="AR57" s="20">
        <f>(AP57/1000)*W57 * db!$AS$9</f>
        <v>0</v>
      </c>
      <c r="AS57" s="21">
        <f>IF(B57=0,0, LOOKUP(IF(AND(Changes!Change="Yes", Changes!ValidityYear&lt;=Table14[[#This Row],[Year]], Changes!ChangeType="Change Job Class"),Changes!NewChangedValue, db!$A$8),db!$AX$4:$AX$8,db!$AZ$4:$AZ$8))</f>
        <v>0</v>
      </c>
      <c r="AT57" s="22">
        <f>(AS57/1000)*Y57*(1-db!$AS$9)</f>
        <v>0</v>
      </c>
      <c r="AU57" s="22">
        <f>(AS57/1000)*Y57*(db!$AS$9)</f>
        <v>0</v>
      </c>
      <c r="AV57" s="23">
        <f>IF(B57=0,0, LOOKUP(IF(AND(Changes!Change="Yes", Changes!ValidityYear&lt;=Table14[[#This Row],[Year]], Changes!ChangeType="Change Job Class"),Changes!NewChangedValue, db!$A$8),db!$AX$4:$AX$8,db!$BA$4:$BA$8))</f>
        <v>0</v>
      </c>
      <c r="AW57" s="20">
        <f>ROUND((AV57/(100))*AA57*(1-db!$AS$9),0)</f>
        <v>0</v>
      </c>
      <c r="AX57" s="20">
        <f>ROUND((AV57/(100))*AA57*(db!$AS$9),0)</f>
        <v>0</v>
      </c>
      <c r="AY57" s="21">
        <f>IF(db!$D$8="Yes",AS57,0)</f>
        <v>0</v>
      </c>
      <c r="AZ57" s="22">
        <f>(AY57*AF57)/1000*(1-db!$AS$9)</f>
        <v>0</v>
      </c>
      <c r="BA57" s="22">
        <f>(AY57*AF57)/1000*(db!$AS$9)</f>
        <v>0</v>
      </c>
      <c r="BB57" s="23">
        <f t="shared" si="3"/>
        <v>0</v>
      </c>
      <c r="BC57" s="20">
        <f>(BB57*AH57/1000)*(1-db!$AS$9)</f>
        <v>0</v>
      </c>
      <c r="BD57" s="20">
        <f>(BB57*AH57/1000)*(db!$AS$9)</f>
        <v>0</v>
      </c>
      <c r="BE57" s="22">
        <f>IF(B57=0,0,IF(C57&gt;60,0,LOOKUP(Table14[[#This Row],[Medical
Age]],db!$BC$3:$BC$63,db!$BD$3:$BD$63)))</f>
        <v>0</v>
      </c>
      <c r="BF57" s="22">
        <f>BG57*db!$AS$10</f>
        <v>0</v>
      </c>
      <c r="BG57" s="22">
        <f t="shared" si="4"/>
        <v>0</v>
      </c>
      <c r="BH57" s="22">
        <f>(BE57/1000000)*AJ57*(1-db!$AS$10)</f>
        <v>0</v>
      </c>
      <c r="BI57" s="20">
        <f>IF(B57=0,0,IF(C57&gt;59,0,LOOKUP(Table14[[#This Row],[Medical
Age]],db!$BC$3:$BC$63,db!$BE$3:$BE$63)))</f>
        <v>0</v>
      </c>
      <c r="BJ57" s="20">
        <f>(BI57/1000000)*AL57*(1-db!$AS$11)</f>
        <v>0</v>
      </c>
      <c r="BK57" s="20">
        <f>(BI57/1000000)*AL57*(db!$AS$11)</f>
        <v>0</v>
      </c>
      <c r="BL57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57" s="20">
        <f>Table14[[#This Row],[RiskLoading
Rate]]*Table14[[#This Row],[Death Capital (2)]]</f>
        <v>0</v>
      </c>
      <c r="BN57" s="36"/>
      <c r="BO57" s="37">
        <f t="shared" si="5"/>
        <v>0</v>
      </c>
      <c r="BP57" s="35">
        <f t="shared" si="6"/>
        <v>0</v>
      </c>
      <c r="BQ57" s="35">
        <f t="shared" si="7"/>
        <v>0</v>
      </c>
      <c r="BR57" s="37">
        <f t="shared" si="11"/>
        <v>0</v>
      </c>
      <c r="BS57" s="37">
        <f t="shared" si="12"/>
        <v>0</v>
      </c>
      <c r="BT57" s="35">
        <f t="shared" si="13"/>
        <v>0</v>
      </c>
      <c r="BU57" s="35">
        <f t="shared" si="14"/>
        <v>0</v>
      </c>
      <c r="BV57" s="37">
        <f>(db!$AS$4/100)*(L57-BT57-BU57)</f>
        <v>0</v>
      </c>
      <c r="BW57" s="37">
        <f>(db!$AS$8/100)*(L57-BT57-BU57)</f>
        <v>0</v>
      </c>
      <c r="BX57" s="35"/>
      <c r="BY57" s="37"/>
      <c r="BZ57" s="37"/>
      <c r="CA57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57" s="33"/>
      <c r="CC57" s="39">
        <f>ROUND((Table14[[#This Row],[Premium]]-Table14[[#This Row],[All Deductions]]),0)</f>
        <v>0</v>
      </c>
      <c r="CD57" s="40">
        <f>ROUND(IF(B57=0,0,((CC57)*(1+ IF(AND(Changes!Change="Yes",Changes!ValidityYear&lt;=Table14[[#This Row],[Year]],Annulment&gt;Table14[[#This Row],[Year]],Changes!ChangeType="Paid-Up"),db!Y59+0.02,db!Y59)))+((CD56)*(1+IF(AND(Changes!Change="Yes",Changes!ValidityYear&lt;=Table14[[#This Row],[Year]],Annulment&gt;Table14[[#This Row],[Year]],Changes!ChangeType="Paid-Up"),db!U59+0.02,db!U59)))),0)</f>
        <v>0</v>
      </c>
      <c r="CE57" s="40">
        <f>ROUND(IF(B57=0,0,((CC57)*(1+db!Y59))+((CE56)*(1+db!U59))),0)</f>
        <v>0</v>
      </c>
      <c r="CF57" s="40">
        <f t="shared" si="19"/>
        <v>0</v>
      </c>
      <c r="CG57" s="15">
        <f t="shared" si="15"/>
        <v>56</v>
      </c>
      <c r="CH57" s="39">
        <f>IF(B57=0,0,((CC57)*(1+db!AH59))+((CH56)*(1+db!AD59)))</f>
        <v>0</v>
      </c>
      <c r="CI57" s="39">
        <f>IF(B57=0,0,((CC57)*(1+db!AH59))+((CI56)*(1+db!AD59)))</f>
        <v>0</v>
      </c>
      <c r="CJ57" s="40">
        <f>IF(B57=0,0,((CC57)*(1+db!AO59))+((CJ56)*(1+db!AK59)))</f>
        <v>0</v>
      </c>
      <c r="CK57" s="40">
        <f>CJ57-(SUM(BX$7:$BX58))</f>
        <v>0</v>
      </c>
      <c r="CL57" s="46"/>
    </row>
    <row r="58" spans="1:90">
      <c r="A58" s="347">
        <f t="shared" si="16"/>
        <v>57</v>
      </c>
      <c r="B58" s="345">
        <f>IF(AND(Changes!Change="Yes", Changes!ChangeType="Change Contract Duration"),IF(B57=0,0,IF(Changes!NewChangedValue&lt;B57+1,0,B57+1)),IF(B57=0,0,IF('Application Annually'!$C$5&lt;B57+1,0,B57+1)))</f>
        <v>0</v>
      </c>
      <c r="C58" s="15">
        <f t="shared" si="17"/>
        <v>0</v>
      </c>
      <c r="D58" s="312">
        <f t="shared" si="18"/>
        <v>84</v>
      </c>
      <c r="E58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58" s="29">
        <f t="shared" si="8"/>
        <v>0</v>
      </c>
      <c r="G58" s="29">
        <f t="shared" si="9"/>
        <v>0</v>
      </c>
      <c r="H58" s="29">
        <f t="shared" si="0"/>
        <v>0</v>
      </c>
      <c r="I58" s="29">
        <f>IF(B58&gt;0,IF(AND(Table14[[#This Row],[Year]]&gt;Changes!ValidityYear,Changes!Change="Yes",Changes!ChangeType="Change Value Adjustment"),Changes!$G$22,'Application Annually'!$C$11),0)</f>
        <v>0</v>
      </c>
      <c r="J58" s="29">
        <f>IF(B58&gt;0,IF(AND(Table14[[#This Row],[Year]]&gt;Changes!ValidityYear,Changes!Change="Yes",Changes!ChangeType="Change Value Adjustment"),Changes!$G$24,'Application Annually'!$C$7),0)</f>
        <v>0</v>
      </c>
      <c r="K58" s="29">
        <f>ROUND(IF(B58=0,0,IF(AND(Changes!Change="Yes", Changes!ValidityYear=Table14[[#This Row],[Year]], Changes!ChangeType="Change Premium"), Changes!NewChangedValue, (K57*(1+db!$B$3)))),0)</f>
        <v>0</v>
      </c>
      <c r="L58" s="29">
        <f>ROUND(IF(B58=0,0,IF(AND(Changes!Change="Yes", Changes!ValidityYear=Table14[[#This Row],[Year]], Changes!ChangeType="Change Premium"), Changes!NewChangedValue, (L57*(1+Table14[[#This Row],[Adjustment Factor of Premium]]/100)))),0)</f>
        <v>0</v>
      </c>
      <c r="M58" s="29">
        <f>IF(Table14[[#This Row],[Year]]=1,ROUND(MIN($L$2 -( Table14[[#This Row],[Riders Risk Premiums]] + Table14[[#This Row],[Acquisition Cost]]) *0.75,Table14[[#This Row],[Death Capital (1)]]* 0.03),0),0)</f>
        <v>0</v>
      </c>
      <c r="N58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58" s="29">
        <f>ROUND(IF(ROW()-1&gt;InsurancePeriod,0,(O57*(1+(Table14[[#This Row],[Adjustment Factor of Premium]]/100)))),0)</f>
        <v>0</v>
      </c>
      <c r="P58" s="29">
        <f>IF(Table14[Year] = 0, 0, SUM(L$2:L58))</f>
        <v>0</v>
      </c>
      <c r="Q58" s="17">
        <f t="shared" si="1"/>
        <v>0</v>
      </c>
      <c r="R58" s="17">
        <f>IF(Table14[[#This Row],[Year]]=0,0,IF($C$2&lt;=50,LOOKUP(Table14[[#This Row],[Age]],db!BG59:BG165,db!BH59:BH165),LOOKUP(Table14[[#This Row],[Age]],db!BJ59:BJ165,db!BK59:BK165)))</f>
        <v>0</v>
      </c>
      <c r="S58" s="17">
        <f>IF(B58=0,0, IF(AND(Changes!Change="Yes", Changes!ValidityYear=Table14[[#This Row],[Year]], Changes!ChangeType="Change Death Capital"), Changes!NewChangedValue, S57*(1+(Table14[[#This Row],[Adjustment Factor of Death Capital]]/100))))</f>
        <v>0</v>
      </c>
      <c r="T58" s="17">
        <f>MIN(IF(B58=0,0,Table14[[#This Row],[Death Capital (1)]]),Table14[[#This Row],[Max Sum Insured For Death]])</f>
        <v>0</v>
      </c>
      <c r="U58" s="29">
        <f t="shared" si="10"/>
        <v>0</v>
      </c>
      <c r="V58" s="29">
        <f>IF(B58=0,0,IF(AND(Changes!Change="Yes", Changes!ValidityYear&lt;=Table14[[#This Row],[Year]], Changes!ChangeType="Rider Inclusion/Exclusion", Changes!RiderType="Accident Death"), T58*Changes!NewChangedValue,IF(db!$D$6="Yes",(db!$B$6)*T58,0)))</f>
        <v>0</v>
      </c>
      <c r="W58" s="29">
        <f>MIN(IF(V58&lt;=db!$L$2,V58,db!$L$2),MAX_ACC_CAPITAL)</f>
        <v>0</v>
      </c>
      <c r="X58" s="17">
        <f>IF(OR(B58=0,Table14[[#This Row],[Accident Capital (2)]]=0),0,IF(AND(Changes!Change="Yes", Changes!ValidityYear&lt;=Table14[[#This Row],[Year]], Changes!ChangeType="Rider Inclusion/Exclusion", Changes!RiderType="Accident Disability"), T58*Changes!NewChangedValue,IF(db!$D$7="Yes",(db!$B$7)*T58,0)))</f>
        <v>0</v>
      </c>
      <c r="Y58" s="42">
        <f>IF(C58&gt;69,0,IF(C58=0,0,IF(X58&lt;=db!$L$3,X58,db!$L$3)))</f>
        <v>0</v>
      </c>
      <c r="Z58" s="29">
        <f>IF(OR(B58=0,Table14[[#This Row],[Accident Capital (2)]]=0),0,IF(AND(Changes!Change="Yes", Changes!ValidityYear&lt;=Table14[[#This Row],[Year]], Changes!ChangeType="Rider Inclusion/Exclusion", Changes!RiderType="Accident Medical Cost"), T58*Changes!NewChangedValue,IF(db!$D$9="Yes",(db!$B$9)*T58,0)))</f>
        <v>0</v>
      </c>
      <c r="AA58" s="29">
        <f>ROUND(IF(C58&gt;69,0,IF(C58=0,0,IF(Z58&lt;=db!$L$4,Z58,db!$L$4))),0)</f>
        <v>0</v>
      </c>
      <c r="AB58" s="38">
        <f>IF(AND(Changes!Change = "Yes", Changes!ChangeType = "Rider Inclusion/Exclusion", Changes!RiderType = "WOP"), IF( Changes!ValidityYear &lt;= Table14[[#This Row],[Year]], IF(WOP = "Yes", 0, 1),  IF(WOP = "Yes", 1, 0)), IF(AND(db!$D$8="Yes",C58&lt;=69,ROW()-1&lt;=InsurancePeriod), 1, 0))</f>
        <v>0</v>
      </c>
      <c r="AC58" s="17">
        <f>(AC59+K59)*AB58*((1)/(1+db!AA60))*(LOOKUP(C58,'Mortality Table'!$A$2:$A$108,'Mortality Table'!$E$2:$E$108))</f>
        <v>0</v>
      </c>
      <c r="AD58" s="340">
        <f>IF(AND(Changes!ValidityYear&lt;= Table14[[#This Row],[Year]],Changes!ChangeType="Change Value Adjustment",Changes!Change="Yes"), (AD59+L59)*AB58*((1)/(1+db!AA60))*(LOOKUP(C58,'Mortality Table'!$A$2:$A$108,'Mortality Table'!$E$2:$E$108)),Table14[[#This Row],[WOP Before Adj. BT]])</f>
        <v>0</v>
      </c>
      <c r="AE58" s="341">
        <f>IF(AND(Changes!Change="Yes", Changes!ChangeType="Change Value Adjustment"),Table14[[#This Row],[WOP Capital]],(AE59+O59)*AB58*((1)/(1+db!AA60))*(LOOKUP(D58,'Mortality Table'!$A$2:$A$108,'Mortality Table'!$E$2:$E$108)))</f>
        <v>0</v>
      </c>
      <c r="AF58" s="17">
        <f>IF(AND(Changes!Change="Yes", Changes!ValidityYear&lt;=ROW()-1),Table14[[#This Row],[WOP Capital]],Table14[[#This Row],[WOP without change]])</f>
        <v>0</v>
      </c>
      <c r="AG58" s="42">
        <f>IF(AND(Changes!Change="Yes", Changes!ValidityYear&lt;=Table14[[#This Row],[Year]], Changes!ChangeType="Rider Inclusion/Exclusion", Changes!RiderType="Disability Annuity"), L58*Changes!NewChangedValue,L58*db!B$10*IF(db!$D$10="Yes",1,0))</f>
        <v>0</v>
      </c>
      <c r="AH58" s="29">
        <f>Table14[[#This Row],[Code Annuity Capital]]*IF('Annual Calculation'!C58&gt;69,0,(LOOKUP('Annual Calculation'!C58+1,'Mortality Table'!$A$2:$A$108,'Mortality Table'!$O$2:$O$108)-LOOKUP('Annual Calculation'!C58+11,'Mortality Table'!$A$2:$A$108,'Mortality Table'!$O$2:$O$108))/LOOKUP('Annual Calculation'!C58,'Mortality Table'!$A$2:$A$108,'Mortality Table'!$M$2:$M$108))</f>
        <v>0</v>
      </c>
      <c r="AI58" s="17">
        <f>IF(B58=0,0,IF(AND(Changes!Change="Yes", Changes!ValidityYear&lt;=Table14[[#This Row],[Year]], Changes!ChangeType="Rider Inclusion/Exclusion", Changes!RiderType="Dread Disease"), T58*Changes!NewChangedValue,IF(db!$D$11="Yes",(db!$B$11)*T58,0)))</f>
        <v>0</v>
      </c>
      <c r="AJ58" s="42">
        <f>ROUND(IF(C58&gt;59,0,IF(C58=0,0,IF(AI58&lt;=db!$L$5,AI58,db!$L$5))),0)</f>
        <v>0</v>
      </c>
      <c r="AK58" s="29">
        <f>IF(B58=0,0,IF(AND(Changes!Change="Yes", Changes!ValidityYear&lt;=Table14[[#This Row],[Year]], Changes!ChangeType="Rider Inclusion/Exclusion", Changes!RiderType="Cancer"), T58*Changes!NewChangedValue,IF(db!$D$12="Yes",(db!$B$12)*T58,0)))</f>
        <v>0</v>
      </c>
      <c r="AL58" s="29">
        <f>ROUND(IF(C58&gt;59,0,IF(C58=0,0,IF(AK58&lt;=db!$L$6,AK58,db!$L$6))),0)</f>
        <v>0</v>
      </c>
      <c r="AM58" s="32"/>
      <c r="AN58" s="18">
        <f>IF(B58=0,0,IF(C58&lt;(db!$E$2+5),LOOKUP(C58,'Mortality Table'!$A$2:$A$108,'Mortality Table'!$P$2:$P$108),IF((C58&gt;=db!$E$2+10),LOOKUP(C58,'Mortality Table'!$A$2:$A$108,'Mortality Table'!$R$2:$R$108),LOOKUP(C58,'Mortality Table'!$A$2:$A$108,'Mortality Table'!$Q$2:$Q$108))))</f>
        <v>0</v>
      </c>
      <c r="AO58" s="22">
        <f t="shared" si="2"/>
        <v>0</v>
      </c>
      <c r="AP58" s="19">
        <f>IF(B58=0,0, LOOKUP(IF(AND(Changes!Change="Yes", Changes!ValidityYear&lt;=Table14[[#This Row],[Year]], Changes!ChangeType="Change Job Class"),Changes!NewChangedValue, db!$A$8),db!$AX$4:$AX$8,db!$AY$4:$AY$8))</f>
        <v>0</v>
      </c>
      <c r="AQ58" s="20">
        <f>ROUND((AP58/1000)*W58 * (1-db!$AS$9),0)</f>
        <v>0</v>
      </c>
      <c r="AR58" s="20">
        <f>(AP58/1000)*W58 * db!$AS$9</f>
        <v>0</v>
      </c>
      <c r="AS58" s="21">
        <f>IF(B58=0,0, LOOKUP(IF(AND(Changes!Change="Yes", Changes!ValidityYear&lt;=Table14[[#This Row],[Year]], Changes!ChangeType="Change Job Class"),Changes!NewChangedValue, db!$A$8),db!$AX$4:$AX$8,db!$AZ$4:$AZ$8))</f>
        <v>0</v>
      </c>
      <c r="AT58" s="22">
        <f>(AS58/1000)*Y58*(1-db!$AS$9)</f>
        <v>0</v>
      </c>
      <c r="AU58" s="22">
        <f>(AS58/1000)*Y58*(db!$AS$9)</f>
        <v>0</v>
      </c>
      <c r="AV58" s="23">
        <f>IF(B58=0,0, LOOKUP(IF(AND(Changes!Change="Yes", Changes!ValidityYear&lt;=Table14[[#This Row],[Year]], Changes!ChangeType="Change Job Class"),Changes!NewChangedValue, db!$A$8),db!$AX$4:$AX$8,db!$BA$4:$BA$8))</f>
        <v>0</v>
      </c>
      <c r="AW58" s="20">
        <f>ROUND((AV58/(100))*AA58*(1-db!$AS$9),0)</f>
        <v>0</v>
      </c>
      <c r="AX58" s="20">
        <f>ROUND((AV58/(100))*AA58*(db!$AS$9),0)</f>
        <v>0</v>
      </c>
      <c r="AY58" s="21">
        <f>IF(db!$D$8="Yes",AS58,0)</f>
        <v>0</v>
      </c>
      <c r="AZ58" s="22">
        <f>(AY58*AF58)/1000*(1-db!$AS$9)</f>
        <v>0</v>
      </c>
      <c r="BA58" s="22">
        <f>(AY58*AF58)/1000*(db!$AS$9)</f>
        <v>0</v>
      </c>
      <c r="BB58" s="23">
        <f t="shared" si="3"/>
        <v>0</v>
      </c>
      <c r="BC58" s="20">
        <f>(BB58*AH58/1000)*(1-db!$AS$9)</f>
        <v>0</v>
      </c>
      <c r="BD58" s="20">
        <f>(BB58*AH58/1000)*(db!$AS$9)</f>
        <v>0</v>
      </c>
      <c r="BE58" s="22">
        <f>IF(B58=0,0,IF(C58&gt;60,0,LOOKUP(Table14[[#This Row],[Medical
Age]],db!$BC$3:$BC$63,db!$BD$3:$BD$63)))</f>
        <v>0</v>
      </c>
      <c r="BF58" s="22">
        <f>BG58*db!$AS$10</f>
        <v>0</v>
      </c>
      <c r="BG58" s="22">
        <f t="shared" si="4"/>
        <v>0</v>
      </c>
      <c r="BH58" s="22">
        <f>(BE58/1000000)*AJ58*(1-db!$AS$10)</f>
        <v>0</v>
      </c>
      <c r="BI58" s="20">
        <f>IF(B58=0,0,IF(C58&gt;59,0,LOOKUP(Table14[[#This Row],[Medical
Age]],db!$BC$3:$BC$63,db!$BE$3:$BE$63)))</f>
        <v>0</v>
      </c>
      <c r="BJ58" s="20">
        <f>(BI58/1000000)*AL58*(1-db!$AS$11)</f>
        <v>0</v>
      </c>
      <c r="BK58" s="20">
        <f>(BI58/1000000)*AL58*(db!$AS$11)</f>
        <v>0</v>
      </c>
      <c r="BL58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58" s="20">
        <f>Table14[[#This Row],[RiskLoading
Rate]]*Table14[[#This Row],[Death Capital (2)]]</f>
        <v>0</v>
      </c>
      <c r="BN58" s="36"/>
      <c r="BO58" s="37">
        <f t="shared" si="5"/>
        <v>0</v>
      </c>
      <c r="BP58" s="35">
        <f t="shared" si="6"/>
        <v>0</v>
      </c>
      <c r="BQ58" s="35">
        <f t="shared" si="7"/>
        <v>0</v>
      </c>
      <c r="BR58" s="37">
        <f t="shared" si="11"/>
        <v>0</v>
      </c>
      <c r="BS58" s="37">
        <f t="shared" si="12"/>
        <v>0</v>
      </c>
      <c r="BT58" s="35">
        <f t="shared" si="13"/>
        <v>0</v>
      </c>
      <c r="BU58" s="35">
        <f t="shared" si="14"/>
        <v>0</v>
      </c>
      <c r="BV58" s="37">
        <f>(db!$AS$4/100)*(L58-BT58-BU58)</f>
        <v>0</v>
      </c>
      <c r="BW58" s="37">
        <f>(db!$AS$8/100)*(L58-BT58-BU58)</f>
        <v>0</v>
      </c>
      <c r="BX58" s="35"/>
      <c r="BY58" s="37"/>
      <c r="BZ58" s="37"/>
      <c r="CA58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58" s="33"/>
      <c r="CC58" s="39">
        <f>ROUND((Table14[[#This Row],[Premium]]-Table14[[#This Row],[All Deductions]]),0)</f>
        <v>0</v>
      </c>
      <c r="CD58" s="40">
        <f>ROUND(IF(B58=0,0,((CC58)*(1+ IF(AND(Changes!Change="Yes",Changes!ValidityYear&lt;=Table14[[#This Row],[Year]],Annulment&gt;Table14[[#This Row],[Year]],Changes!ChangeType="Paid-Up"),db!Y60+0.02,db!Y60)))+((CD57)*(1+IF(AND(Changes!Change="Yes",Changes!ValidityYear&lt;=Table14[[#This Row],[Year]],Annulment&gt;Table14[[#This Row],[Year]],Changes!ChangeType="Paid-Up"),db!U60+0.02,db!U60)))),0)</f>
        <v>0</v>
      </c>
      <c r="CE58" s="40">
        <f>ROUND(IF(B58=0,0,((CC58)*(1+db!Y60))+((CE57)*(1+db!U60))),0)</f>
        <v>0</v>
      </c>
      <c r="CF58" s="40">
        <f t="shared" si="19"/>
        <v>0</v>
      </c>
      <c r="CG58" s="15">
        <f t="shared" si="15"/>
        <v>57</v>
      </c>
      <c r="CH58" s="39">
        <f>IF(B58=0,0,((CC58)*(1+db!AH60))+((CH57)*(1+db!AD60)))</f>
        <v>0</v>
      </c>
      <c r="CI58" s="39">
        <f>IF(B58=0,0,((CC58)*(1+db!AH60))+((CI57)*(1+db!AD60)))</f>
        <v>0</v>
      </c>
      <c r="CJ58" s="40">
        <f>IF(B58=0,0,((CC58)*(1+db!AO60))+((CJ57)*(1+db!AK60)))</f>
        <v>0</v>
      </c>
      <c r="CK58" s="40">
        <f>CJ58-(SUM(BX$7:$BX59))</f>
        <v>0</v>
      </c>
      <c r="CL58" s="46"/>
    </row>
    <row r="59" spans="1:90">
      <c r="A59" s="347">
        <f t="shared" si="16"/>
        <v>58</v>
      </c>
      <c r="B59" s="345">
        <f>IF(AND(Changes!Change="Yes", Changes!ChangeType="Change Contract Duration"),IF(B58=0,0,IF(Changes!NewChangedValue&lt;B58+1,0,B58+1)),IF(B58=0,0,IF('Application Annually'!$C$5&lt;B58+1,0,B58+1)))</f>
        <v>0</v>
      </c>
      <c r="C59" s="15">
        <f t="shared" si="17"/>
        <v>0</v>
      </c>
      <c r="D59" s="312">
        <f t="shared" si="18"/>
        <v>85</v>
      </c>
      <c r="E59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59" s="29">
        <f t="shared" si="8"/>
        <v>0</v>
      </c>
      <c r="G59" s="29">
        <f t="shared" si="9"/>
        <v>0</v>
      </c>
      <c r="H59" s="29">
        <f t="shared" si="0"/>
        <v>0</v>
      </c>
      <c r="I59" s="29">
        <f>IF(B59&gt;0,IF(AND(Table14[[#This Row],[Year]]&gt;Changes!ValidityYear,Changes!Change="Yes",Changes!ChangeType="Change Value Adjustment"),Changes!$G$22,'Application Annually'!$C$11),0)</f>
        <v>0</v>
      </c>
      <c r="J59" s="29">
        <f>IF(B59&gt;0,IF(AND(Table14[[#This Row],[Year]]&gt;Changes!ValidityYear,Changes!Change="Yes",Changes!ChangeType="Change Value Adjustment"),Changes!$G$24,'Application Annually'!$C$7),0)</f>
        <v>0</v>
      </c>
      <c r="K59" s="29">
        <f>ROUND(IF(B59=0,0,IF(AND(Changes!Change="Yes", Changes!ValidityYear=Table14[[#This Row],[Year]], Changes!ChangeType="Change Premium"), Changes!NewChangedValue, (K58*(1+db!$B$3)))),0)</f>
        <v>0</v>
      </c>
      <c r="L59" s="29">
        <f>ROUND(IF(B59=0,0,IF(AND(Changes!Change="Yes", Changes!ValidityYear=Table14[[#This Row],[Year]], Changes!ChangeType="Change Premium"), Changes!NewChangedValue, (L58*(1+Table14[[#This Row],[Adjustment Factor of Premium]]/100)))),0)</f>
        <v>0</v>
      </c>
      <c r="M59" s="29">
        <f>IF(Table14[[#This Row],[Year]]=1,ROUND(MIN($L$2 -( Table14[[#This Row],[Riders Risk Premiums]] + Table14[[#This Row],[Acquisition Cost]]) *0.75,Table14[[#This Row],[Death Capital (1)]]* 0.03),0),0)</f>
        <v>0</v>
      </c>
      <c r="N59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59" s="29">
        <f>ROUND(IF(ROW()-1&gt;InsurancePeriod,0,(O58*(1+(Table14[[#This Row],[Adjustment Factor of Premium]]/100)))),0)</f>
        <v>0</v>
      </c>
      <c r="P59" s="29">
        <f>IF(Table14[Year] = 0, 0, SUM(L$2:L59))</f>
        <v>0</v>
      </c>
      <c r="Q59" s="17">
        <f t="shared" si="1"/>
        <v>0</v>
      </c>
      <c r="R59" s="17">
        <f>IF(Table14[[#This Row],[Year]]=0,0,IF($C$2&lt;=50,LOOKUP(Table14[[#This Row],[Age]],db!BG60:BG166,db!BH60:BH166),LOOKUP(Table14[[#This Row],[Age]],db!BJ60:BJ166,db!BK60:BK166)))</f>
        <v>0</v>
      </c>
      <c r="S59" s="17">
        <f>IF(B59=0,0, IF(AND(Changes!Change="Yes", Changes!ValidityYear=Table14[[#This Row],[Year]], Changes!ChangeType="Change Death Capital"), Changes!NewChangedValue, S58*(1+(Table14[[#This Row],[Adjustment Factor of Death Capital]]/100))))</f>
        <v>0</v>
      </c>
      <c r="T59" s="17">
        <f>MIN(IF(B59=0,0,Table14[[#This Row],[Death Capital (1)]]),Table14[[#This Row],[Max Sum Insured For Death]])</f>
        <v>0</v>
      </c>
      <c r="U59" s="29">
        <f t="shared" si="10"/>
        <v>0</v>
      </c>
      <c r="V59" s="29">
        <f>IF(B59=0,0,IF(AND(Changes!Change="Yes", Changes!ValidityYear&lt;=Table14[[#This Row],[Year]], Changes!ChangeType="Rider Inclusion/Exclusion", Changes!RiderType="Accident Death"), T59*Changes!NewChangedValue,IF(db!$D$6="Yes",(db!$B$6)*T59,0)))</f>
        <v>0</v>
      </c>
      <c r="W59" s="29">
        <f>MIN(IF(V59&lt;=db!$L$2,V59,db!$L$2),MAX_ACC_CAPITAL)</f>
        <v>0</v>
      </c>
      <c r="X59" s="17">
        <f>IF(OR(B59=0,Table14[[#This Row],[Accident Capital (2)]]=0),0,IF(AND(Changes!Change="Yes", Changes!ValidityYear&lt;=Table14[[#This Row],[Year]], Changes!ChangeType="Rider Inclusion/Exclusion", Changes!RiderType="Accident Disability"), T59*Changes!NewChangedValue,IF(db!$D$7="Yes",(db!$B$7)*T59,0)))</f>
        <v>0</v>
      </c>
      <c r="Y59" s="42">
        <f>IF(C59&gt;69,0,IF(C59=0,0,IF(X59&lt;=db!$L$3,X59,db!$L$3)))</f>
        <v>0</v>
      </c>
      <c r="Z59" s="29">
        <f>IF(OR(B59=0,Table14[[#This Row],[Accident Capital (2)]]=0),0,IF(AND(Changes!Change="Yes", Changes!ValidityYear&lt;=Table14[[#This Row],[Year]], Changes!ChangeType="Rider Inclusion/Exclusion", Changes!RiderType="Accident Medical Cost"), T59*Changes!NewChangedValue,IF(db!$D$9="Yes",(db!$B$9)*T59,0)))</f>
        <v>0</v>
      </c>
      <c r="AA59" s="29">
        <f>ROUND(IF(C59&gt;69,0,IF(C59=0,0,IF(Z59&lt;=db!$L$4,Z59,db!$L$4))),0)</f>
        <v>0</v>
      </c>
      <c r="AB59" s="38">
        <f>IF(AND(Changes!Change = "Yes", Changes!ChangeType = "Rider Inclusion/Exclusion", Changes!RiderType = "WOP"), IF( Changes!ValidityYear &lt;= Table14[[#This Row],[Year]], IF(WOP = "Yes", 0, 1),  IF(WOP = "Yes", 1, 0)), IF(AND(db!$D$8="Yes",C59&lt;=69,ROW()-1&lt;=InsurancePeriod), 1, 0))</f>
        <v>0</v>
      </c>
      <c r="AC59" s="17">
        <f>(AC60+K60)*AB59*((1)/(1+db!AA61))*(LOOKUP(C59,'Mortality Table'!$A$2:$A$108,'Mortality Table'!$E$2:$E$108))</f>
        <v>0</v>
      </c>
      <c r="AD59" s="340">
        <f>IF(AND(Changes!ValidityYear&lt;= Table14[[#This Row],[Year]],Changes!ChangeType="Change Value Adjustment",Changes!Change="Yes"), (AD60+L60)*AB59*((1)/(1+db!AA61))*(LOOKUP(C59,'Mortality Table'!$A$2:$A$108,'Mortality Table'!$E$2:$E$108)),Table14[[#This Row],[WOP Before Adj. BT]])</f>
        <v>0</v>
      </c>
      <c r="AE59" s="341">
        <f>IF(AND(Changes!Change="Yes", Changes!ChangeType="Change Value Adjustment"),Table14[[#This Row],[WOP Capital]],(AE60+O60)*AB59*((1)/(1+db!AA61))*(LOOKUP(D59,'Mortality Table'!$A$2:$A$108,'Mortality Table'!$E$2:$E$108)))</f>
        <v>0</v>
      </c>
      <c r="AF59" s="17">
        <f>IF(AND(Changes!Change="Yes", Changes!ValidityYear&lt;=ROW()-1),Table14[[#This Row],[WOP Capital]],Table14[[#This Row],[WOP without change]])</f>
        <v>0</v>
      </c>
      <c r="AG59" s="42">
        <f>IF(AND(Changes!Change="Yes", Changes!ValidityYear&lt;=Table14[[#This Row],[Year]], Changes!ChangeType="Rider Inclusion/Exclusion", Changes!RiderType="Disability Annuity"), L59*Changes!NewChangedValue,L59*db!B$10*IF(db!$D$10="Yes",1,0))</f>
        <v>0</v>
      </c>
      <c r="AH59" s="29">
        <f>Table14[[#This Row],[Code Annuity Capital]]*IF('Annual Calculation'!C59&gt;69,0,(LOOKUP('Annual Calculation'!C59+1,'Mortality Table'!$A$2:$A$108,'Mortality Table'!$O$2:$O$108)-LOOKUP('Annual Calculation'!C59+11,'Mortality Table'!$A$2:$A$108,'Mortality Table'!$O$2:$O$108))/LOOKUP('Annual Calculation'!C59,'Mortality Table'!$A$2:$A$108,'Mortality Table'!$M$2:$M$108))</f>
        <v>0</v>
      </c>
      <c r="AI59" s="17">
        <f>IF(B59=0,0,IF(AND(Changes!Change="Yes", Changes!ValidityYear&lt;=Table14[[#This Row],[Year]], Changes!ChangeType="Rider Inclusion/Exclusion", Changes!RiderType="Dread Disease"), T59*Changes!NewChangedValue,IF(db!$D$11="Yes",(db!$B$11)*T59,0)))</f>
        <v>0</v>
      </c>
      <c r="AJ59" s="42">
        <f>ROUND(IF(C59&gt;59,0,IF(C59=0,0,IF(AI59&lt;=db!$L$5,AI59,db!$L$5))),0)</f>
        <v>0</v>
      </c>
      <c r="AK59" s="29">
        <f>IF(B59=0,0,IF(AND(Changes!Change="Yes", Changes!ValidityYear&lt;=Table14[[#This Row],[Year]], Changes!ChangeType="Rider Inclusion/Exclusion", Changes!RiderType="Cancer"), T59*Changes!NewChangedValue,IF(db!$D$12="Yes",(db!$B$12)*T59,0)))</f>
        <v>0</v>
      </c>
      <c r="AL59" s="29">
        <f>ROUND(IF(C59&gt;59,0,IF(C59=0,0,IF(AK59&lt;=db!$L$6,AK59,db!$L$6))),0)</f>
        <v>0</v>
      </c>
      <c r="AM59" s="32"/>
      <c r="AN59" s="18">
        <f>IF(B59=0,0,IF(C59&lt;(db!$E$2+5),LOOKUP(C59,'Mortality Table'!$A$2:$A$108,'Mortality Table'!$P$2:$P$108),IF((C59&gt;=db!$E$2+10),LOOKUP(C59,'Mortality Table'!$A$2:$A$108,'Mortality Table'!$R$2:$R$108),LOOKUP(C59,'Mortality Table'!$A$2:$A$108,'Mortality Table'!$Q$2:$Q$108))))</f>
        <v>0</v>
      </c>
      <c r="AO59" s="22">
        <f t="shared" si="2"/>
        <v>0</v>
      </c>
      <c r="AP59" s="19">
        <f>IF(B59=0,0, LOOKUP(IF(AND(Changes!Change="Yes", Changes!ValidityYear&lt;=Table14[[#This Row],[Year]], Changes!ChangeType="Change Job Class"),Changes!NewChangedValue, db!$A$8),db!$AX$4:$AX$8,db!$AY$4:$AY$8))</f>
        <v>0</v>
      </c>
      <c r="AQ59" s="20">
        <f>ROUND((AP59/1000)*W59 * (1-db!$AS$9),0)</f>
        <v>0</v>
      </c>
      <c r="AR59" s="20">
        <f>(AP59/1000)*W59 * db!$AS$9</f>
        <v>0</v>
      </c>
      <c r="AS59" s="21">
        <f>IF(B59=0,0, LOOKUP(IF(AND(Changes!Change="Yes", Changes!ValidityYear&lt;=Table14[[#This Row],[Year]], Changes!ChangeType="Change Job Class"),Changes!NewChangedValue, db!$A$8),db!$AX$4:$AX$8,db!$AZ$4:$AZ$8))</f>
        <v>0</v>
      </c>
      <c r="AT59" s="22">
        <f>(AS59/1000)*Y59*(1-db!$AS$9)</f>
        <v>0</v>
      </c>
      <c r="AU59" s="22">
        <f>(AS59/1000)*Y59*(db!$AS$9)</f>
        <v>0</v>
      </c>
      <c r="AV59" s="23">
        <f>IF(B59=0,0, LOOKUP(IF(AND(Changes!Change="Yes", Changes!ValidityYear&lt;=Table14[[#This Row],[Year]], Changes!ChangeType="Change Job Class"),Changes!NewChangedValue, db!$A$8),db!$AX$4:$AX$8,db!$BA$4:$BA$8))</f>
        <v>0</v>
      </c>
      <c r="AW59" s="20">
        <f>ROUND((AV59/(100))*AA59*(1-db!$AS$9),0)</f>
        <v>0</v>
      </c>
      <c r="AX59" s="20">
        <f>ROUND((AV59/(100))*AA59*(db!$AS$9),0)</f>
        <v>0</v>
      </c>
      <c r="AY59" s="21">
        <f>IF(db!$D$8="Yes",AS59,0)</f>
        <v>0</v>
      </c>
      <c r="AZ59" s="22">
        <f>(AY59*AF59)/1000*(1-db!$AS$9)</f>
        <v>0</v>
      </c>
      <c r="BA59" s="22">
        <f>(AY59*AF59)/1000*(db!$AS$9)</f>
        <v>0</v>
      </c>
      <c r="BB59" s="23">
        <f t="shared" si="3"/>
        <v>0</v>
      </c>
      <c r="BC59" s="20">
        <f>(BB59*AH59/1000)*(1-db!$AS$9)</f>
        <v>0</v>
      </c>
      <c r="BD59" s="20">
        <f>(BB59*AH59/1000)*(db!$AS$9)</f>
        <v>0</v>
      </c>
      <c r="BE59" s="22">
        <f>IF(B59=0,0,IF(C59&gt;60,0,LOOKUP(Table14[[#This Row],[Medical
Age]],db!$BC$3:$BC$63,db!$BD$3:$BD$63)))</f>
        <v>0</v>
      </c>
      <c r="BF59" s="22">
        <f>BG59*db!$AS$10</f>
        <v>0</v>
      </c>
      <c r="BG59" s="22">
        <f t="shared" si="4"/>
        <v>0</v>
      </c>
      <c r="BH59" s="22">
        <f>(BE59/1000000)*AJ59*(1-db!$AS$10)</f>
        <v>0</v>
      </c>
      <c r="BI59" s="20">
        <f>IF(B59=0,0,IF(C59&gt;59,0,LOOKUP(Table14[[#This Row],[Medical
Age]],db!$BC$3:$BC$63,db!$BE$3:$BE$63)))</f>
        <v>0</v>
      </c>
      <c r="BJ59" s="20">
        <f>(BI59/1000000)*AL59*(1-db!$AS$11)</f>
        <v>0</v>
      </c>
      <c r="BK59" s="20">
        <f>(BI59/1000000)*AL59*(db!$AS$11)</f>
        <v>0</v>
      </c>
      <c r="BL59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59" s="20">
        <f>Table14[[#This Row],[RiskLoading
Rate]]*Table14[[#This Row],[Death Capital (2)]]</f>
        <v>0</v>
      </c>
      <c r="BN59" s="36"/>
      <c r="BO59" s="37">
        <f t="shared" si="5"/>
        <v>0</v>
      </c>
      <c r="BP59" s="35">
        <f t="shared" si="6"/>
        <v>0</v>
      </c>
      <c r="BQ59" s="35">
        <f t="shared" si="7"/>
        <v>0</v>
      </c>
      <c r="BR59" s="37">
        <f t="shared" si="11"/>
        <v>0</v>
      </c>
      <c r="BS59" s="37">
        <f t="shared" si="12"/>
        <v>0</v>
      </c>
      <c r="BT59" s="35">
        <f t="shared" si="13"/>
        <v>0</v>
      </c>
      <c r="BU59" s="35">
        <f t="shared" si="14"/>
        <v>0</v>
      </c>
      <c r="BV59" s="37">
        <f>(db!$AS$4/100)*(L59-BT59-BU59)</f>
        <v>0</v>
      </c>
      <c r="BW59" s="37">
        <f>(db!$AS$8/100)*(L59-BT59-BU59)</f>
        <v>0</v>
      </c>
      <c r="BX59" s="35"/>
      <c r="BY59" s="37"/>
      <c r="BZ59" s="37"/>
      <c r="CA59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59" s="33"/>
      <c r="CC59" s="39">
        <f>ROUND((Table14[[#This Row],[Premium]]-Table14[[#This Row],[All Deductions]]),0)</f>
        <v>0</v>
      </c>
      <c r="CD59" s="40">
        <f>ROUND(IF(B59=0,0,((CC59)*(1+ IF(AND(Changes!Change="Yes",Changes!ValidityYear&lt;=Table14[[#This Row],[Year]],Annulment&gt;Table14[[#This Row],[Year]],Changes!ChangeType="Paid-Up"),db!Y61+0.02,db!Y61)))+((CD58)*(1+IF(AND(Changes!Change="Yes",Changes!ValidityYear&lt;=Table14[[#This Row],[Year]],Annulment&gt;Table14[[#This Row],[Year]],Changes!ChangeType="Paid-Up"),db!U61+0.02,db!U61)))),0)</f>
        <v>0</v>
      </c>
      <c r="CE59" s="40">
        <f>ROUND(IF(B59=0,0,((CC59)*(1+db!Y61))+((CE58)*(1+db!U61))),0)</f>
        <v>0</v>
      </c>
      <c r="CF59" s="40">
        <f t="shared" si="19"/>
        <v>0</v>
      </c>
      <c r="CG59" s="15">
        <f t="shared" si="15"/>
        <v>58</v>
      </c>
      <c r="CH59" s="39">
        <f>IF(B59=0,0,((CC59)*(1+db!AH61))+((CH58)*(1+db!AD61)))</f>
        <v>0</v>
      </c>
      <c r="CI59" s="39">
        <f>IF(B59=0,0,((CC59)*(1+db!AH61))+((CI58)*(1+db!AD61)))</f>
        <v>0</v>
      </c>
      <c r="CJ59" s="40">
        <f>IF(B59=0,0,((CC59)*(1+db!AO61))+((CJ58)*(1+db!AK61)))</f>
        <v>0</v>
      </c>
      <c r="CK59" s="40">
        <f>CJ59-(SUM(BX$7:$BX60))</f>
        <v>0</v>
      </c>
      <c r="CL59" s="46"/>
    </row>
    <row r="60" spans="1:90">
      <c r="A60" s="347">
        <f t="shared" si="16"/>
        <v>59</v>
      </c>
      <c r="B60" s="345">
        <f>IF(AND(Changes!Change="Yes", Changes!ChangeType="Change Contract Duration"),IF(B59=0,0,IF(Changes!NewChangedValue&lt;B59+1,0,B59+1)),IF(B59=0,0,IF('Application Annually'!$C$5&lt;B59+1,0,B59+1)))</f>
        <v>0</v>
      </c>
      <c r="C60" s="15">
        <f t="shared" si="17"/>
        <v>0</v>
      </c>
      <c r="D60" s="312">
        <f t="shared" si="18"/>
        <v>86</v>
      </c>
      <c r="E60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60" s="29">
        <f t="shared" si="8"/>
        <v>0</v>
      </c>
      <c r="G60" s="29">
        <f t="shared" si="9"/>
        <v>0</v>
      </c>
      <c r="H60" s="29">
        <f t="shared" si="0"/>
        <v>0</v>
      </c>
      <c r="I60" s="29">
        <f>IF(B60&gt;0,IF(AND(Table14[[#This Row],[Year]]&gt;Changes!ValidityYear,Changes!Change="Yes",Changes!ChangeType="Change Value Adjustment"),Changes!$G$22,'Application Annually'!$C$11),0)</f>
        <v>0</v>
      </c>
      <c r="J60" s="29">
        <f>IF(B60&gt;0,IF(AND(Table14[[#This Row],[Year]]&gt;Changes!ValidityYear,Changes!Change="Yes",Changes!ChangeType="Change Value Adjustment"),Changes!$G$24,'Application Annually'!$C$7),0)</f>
        <v>0</v>
      </c>
      <c r="K60" s="29">
        <f>ROUND(IF(B60=0,0,IF(AND(Changes!Change="Yes", Changes!ValidityYear=Table14[[#This Row],[Year]], Changes!ChangeType="Change Premium"), Changes!NewChangedValue, (K59*(1+db!$B$3)))),0)</f>
        <v>0</v>
      </c>
      <c r="L60" s="29">
        <f>ROUND(IF(B60=0,0,IF(AND(Changes!Change="Yes", Changes!ValidityYear=Table14[[#This Row],[Year]], Changes!ChangeType="Change Premium"), Changes!NewChangedValue, (L59*(1+Table14[[#This Row],[Adjustment Factor of Premium]]/100)))),0)</f>
        <v>0</v>
      </c>
      <c r="M60" s="29">
        <f>IF(Table14[[#This Row],[Year]]=1,ROUND(MIN($L$2 -( Table14[[#This Row],[Riders Risk Premiums]] + Table14[[#This Row],[Acquisition Cost]]) *0.75,Table14[[#This Row],[Death Capital (1)]]* 0.03),0),0)</f>
        <v>0</v>
      </c>
      <c r="N60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60" s="29">
        <f>ROUND(IF(ROW()-1&gt;InsurancePeriod,0,(O59*(1+(Table14[[#This Row],[Adjustment Factor of Premium]]/100)))),0)</f>
        <v>0</v>
      </c>
      <c r="P60" s="29">
        <f>IF(Table14[Year] = 0, 0, SUM(L$2:L60))</f>
        <v>0</v>
      </c>
      <c r="Q60" s="17">
        <f t="shared" si="1"/>
        <v>0</v>
      </c>
      <c r="R60" s="17">
        <f>IF(Table14[[#This Row],[Year]]=0,0,IF($C$2&lt;=50,LOOKUP(Table14[[#This Row],[Age]],db!BG61:BG167,db!BH61:BH167),LOOKUP(Table14[[#This Row],[Age]],db!BJ61:BJ167,db!BK61:BK167)))</f>
        <v>0</v>
      </c>
      <c r="S60" s="17">
        <f>IF(B60=0,0, IF(AND(Changes!Change="Yes", Changes!ValidityYear=Table14[[#This Row],[Year]], Changes!ChangeType="Change Death Capital"), Changes!NewChangedValue, S59*(1+(Table14[[#This Row],[Adjustment Factor of Death Capital]]/100))))</f>
        <v>0</v>
      </c>
      <c r="T60" s="17">
        <f>MIN(IF(B60=0,0,Table14[[#This Row],[Death Capital (1)]]),Table14[[#This Row],[Max Sum Insured For Death]])</f>
        <v>0</v>
      </c>
      <c r="U60" s="29">
        <f t="shared" si="10"/>
        <v>0</v>
      </c>
      <c r="V60" s="29">
        <f>IF(B60=0,0,IF(AND(Changes!Change="Yes", Changes!ValidityYear&lt;=Table14[[#This Row],[Year]], Changes!ChangeType="Rider Inclusion/Exclusion", Changes!RiderType="Accident Death"), T60*Changes!NewChangedValue,IF(db!$D$6="Yes",(db!$B$6)*T60,0)))</f>
        <v>0</v>
      </c>
      <c r="W60" s="29">
        <f>MIN(IF(V60&lt;=db!$L$2,V60,db!$L$2),MAX_ACC_CAPITAL)</f>
        <v>0</v>
      </c>
      <c r="X60" s="17">
        <f>IF(OR(B60=0,Table14[[#This Row],[Accident Capital (2)]]=0),0,IF(AND(Changes!Change="Yes", Changes!ValidityYear&lt;=Table14[[#This Row],[Year]], Changes!ChangeType="Rider Inclusion/Exclusion", Changes!RiderType="Accident Disability"), T60*Changes!NewChangedValue,IF(db!$D$7="Yes",(db!$B$7)*T60,0)))</f>
        <v>0</v>
      </c>
      <c r="Y60" s="42">
        <f>IF(C60&gt;69,0,IF(C60=0,0,IF(X60&lt;=db!$L$3,X60,db!$L$3)))</f>
        <v>0</v>
      </c>
      <c r="Z60" s="29">
        <f>IF(OR(B60=0,Table14[[#This Row],[Accident Capital (2)]]=0),0,IF(AND(Changes!Change="Yes", Changes!ValidityYear&lt;=Table14[[#This Row],[Year]], Changes!ChangeType="Rider Inclusion/Exclusion", Changes!RiderType="Accident Medical Cost"), T60*Changes!NewChangedValue,IF(db!$D$9="Yes",(db!$B$9)*T60,0)))</f>
        <v>0</v>
      </c>
      <c r="AA60" s="29">
        <f>ROUND(IF(C60&gt;69,0,IF(C60=0,0,IF(Z60&lt;=db!$L$4,Z60,db!$L$4))),0)</f>
        <v>0</v>
      </c>
      <c r="AB60" s="38">
        <f>IF(AND(Changes!Change = "Yes", Changes!ChangeType = "Rider Inclusion/Exclusion", Changes!RiderType = "WOP"), IF( Changes!ValidityYear &lt;= Table14[[#This Row],[Year]], IF(WOP = "Yes", 0, 1),  IF(WOP = "Yes", 1, 0)), IF(AND(db!$D$8="Yes",C60&lt;=69,ROW()-1&lt;=InsurancePeriod), 1, 0))</f>
        <v>0</v>
      </c>
      <c r="AC60" s="17">
        <f>(AC61+K61)*AB60*((1)/(1+db!AA62))*(LOOKUP(C60,'Mortality Table'!$A$2:$A$108,'Mortality Table'!$E$2:$E$108))</f>
        <v>0</v>
      </c>
      <c r="AD60" s="340">
        <f>IF(AND(Changes!ValidityYear&lt;= Table14[[#This Row],[Year]],Changes!ChangeType="Change Value Adjustment",Changes!Change="Yes"), (AD61+L61)*AB60*((1)/(1+db!AA62))*(LOOKUP(C60,'Mortality Table'!$A$2:$A$108,'Mortality Table'!$E$2:$E$108)),Table14[[#This Row],[WOP Before Adj. BT]])</f>
        <v>0</v>
      </c>
      <c r="AE60" s="341">
        <f>IF(AND(Changes!Change="Yes", Changes!ChangeType="Change Value Adjustment"),Table14[[#This Row],[WOP Capital]],(AE61+O61)*AB60*((1)/(1+db!AA62))*(LOOKUP(D60,'Mortality Table'!$A$2:$A$108,'Mortality Table'!$E$2:$E$108)))</f>
        <v>0</v>
      </c>
      <c r="AF60" s="17">
        <f>IF(AND(Changes!Change="Yes", Changes!ValidityYear&lt;=ROW()-1),Table14[[#This Row],[WOP Capital]],Table14[[#This Row],[WOP without change]])</f>
        <v>0</v>
      </c>
      <c r="AG60" s="42">
        <f>IF(AND(Changes!Change="Yes", Changes!ValidityYear&lt;=Table14[[#This Row],[Year]], Changes!ChangeType="Rider Inclusion/Exclusion", Changes!RiderType="Disability Annuity"), L60*Changes!NewChangedValue,L60*db!B$10*IF(db!$D$10="Yes",1,0))</f>
        <v>0</v>
      </c>
      <c r="AH60" s="29">
        <f>Table14[[#This Row],[Code Annuity Capital]]*IF('Annual Calculation'!C60&gt;69,0,(LOOKUP('Annual Calculation'!C60+1,'Mortality Table'!$A$2:$A$108,'Mortality Table'!$O$2:$O$108)-LOOKUP('Annual Calculation'!C60+11,'Mortality Table'!$A$2:$A$108,'Mortality Table'!$O$2:$O$108))/LOOKUP('Annual Calculation'!C60,'Mortality Table'!$A$2:$A$108,'Mortality Table'!$M$2:$M$108))</f>
        <v>0</v>
      </c>
      <c r="AI60" s="17">
        <f>IF(B60=0,0,IF(AND(Changes!Change="Yes", Changes!ValidityYear&lt;=Table14[[#This Row],[Year]], Changes!ChangeType="Rider Inclusion/Exclusion", Changes!RiderType="Dread Disease"), T60*Changes!NewChangedValue,IF(db!$D$11="Yes",(db!$B$11)*T60,0)))</f>
        <v>0</v>
      </c>
      <c r="AJ60" s="42">
        <f>ROUND(IF(C60&gt;59,0,IF(C60=0,0,IF(AI60&lt;=db!$L$5,AI60,db!$L$5))),0)</f>
        <v>0</v>
      </c>
      <c r="AK60" s="29">
        <f>IF(B60=0,0,IF(AND(Changes!Change="Yes", Changes!ValidityYear&lt;=Table14[[#This Row],[Year]], Changes!ChangeType="Rider Inclusion/Exclusion", Changes!RiderType="Cancer"), T60*Changes!NewChangedValue,IF(db!$D$12="Yes",(db!$B$12)*T60,0)))</f>
        <v>0</v>
      </c>
      <c r="AL60" s="29">
        <f>ROUND(IF(C60&gt;59,0,IF(C60=0,0,IF(AK60&lt;=db!$L$6,AK60,db!$L$6))),0)</f>
        <v>0</v>
      </c>
      <c r="AM60" s="32"/>
      <c r="AN60" s="18">
        <f>IF(B60=0,0,IF(C60&lt;(db!$E$2+5),LOOKUP(C60,'Mortality Table'!$A$2:$A$108,'Mortality Table'!$P$2:$P$108),IF((C60&gt;=db!$E$2+10),LOOKUP(C60,'Mortality Table'!$A$2:$A$108,'Mortality Table'!$R$2:$R$108),LOOKUP(C60,'Mortality Table'!$A$2:$A$108,'Mortality Table'!$Q$2:$Q$108))))</f>
        <v>0</v>
      </c>
      <c r="AO60" s="22">
        <f t="shared" si="2"/>
        <v>0</v>
      </c>
      <c r="AP60" s="19">
        <f>IF(B60=0,0, LOOKUP(IF(AND(Changes!Change="Yes", Changes!ValidityYear&lt;=Table14[[#This Row],[Year]], Changes!ChangeType="Change Job Class"),Changes!NewChangedValue, db!$A$8),db!$AX$4:$AX$8,db!$AY$4:$AY$8))</f>
        <v>0</v>
      </c>
      <c r="AQ60" s="20">
        <f>ROUND((AP60/1000)*W60 * (1-db!$AS$9),0)</f>
        <v>0</v>
      </c>
      <c r="AR60" s="20">
        <f>(AP60/1000)*W60 * db!$AS$9</f>
        <v>0</v>
      </c>
      <c r="AS60" s="21">
        <f>IF(B60=0,0, LOOKUP(IF(AND(Changes!Change="Yes", Changes!ValidityYear&lt;=Table14[[#This Row],[Year]], Changes!ChangeType="Change Job Class"),Changes!NewChangedValue, db!$A$8),db!$AX$4:$AX$8,db!$AZ$4:$AZ$8))</f>
        <v>0</v>
      </c>
      <c r="AT60" s="22">
        <f>(AS60/1000)*Y60*(1-db!$AS$9)</f>
        <v>0</v>
      </c>
      <c r="AU60" s="22">
        <f>(AS60/1000)*Y60*(db!$AS$9)</f>
        <v>0</v>
      </c>
      <c r="AV60" s="23">
        <f>IF(B60=0,0, LOOKUP(IF(AND(Changes!Change="Yes", Changes!ValidityYear&lt;=Table14[[#This Row],[Year]], Changes!ChangeType="Change Job Class"),Changes!NewChangedValue, db!$A$8),db!$AX$4:$AX$8,db!$BA$4:$BA$8))</f>
        <v>0</v>
      </c>
      <c r="AW60" s="20">
        <f>ROUND((AV60/(100))*AA60*(1-db!$AS$9),0)</f>
        <v>0</v>
      </c>
      <c r="AX60" s="20">
        <f>ROUND((AV60/(100))*AA60*(db!$AS$9),0)</f>
        <v>0</v>
      </c>
      <c r="AY60" s="21">
        <f>IF(db!$D$8="Yes",AS60,0)</f>
        <v>0</v>
      </c>
      <c r="AZ60" s="22">
        <f>(AY60*AF60)/1000*(1-db!$AS$9)</f>
        <v>0</v>
      </c>
      <c r="BA60" s="22">
        <f>(AY60*AF60)/1000*(db!$AS$9)</f>
        <v>0</v>
      </c>
      <c r="BB60" s="23">
        <f t="shared" si="3"/>
        <v>0</v>
      </c>
      <c r="BC60" s="20">
        <f>(BB60*AH60/1000)*(1-db!$AS$9)</f>
        <v>0</v>
      </c>
      <c r="BD60" s="20">
        <f>(BB60*AH60/1000)*(db!$AS$9)</f>
        <v>0</v>
      </c>
      <c r="BE60" s="22">
        <f>IF(B60=0,0,IF(C60&gt;60,0,LOOKUP(Table14[[#This Row],[Medical
Age]],db!$BC$3:$BC$63,db!$BD$3:$BD$63)))</f>
        <v>0</v>
      </c>
      <c r="BF60" s="22">
        <f>BG60*db!$AS$10</f>
        <v>0</v>
      </c>
      <c r="BG60" s="22">
        <f t="shared" si="4"/>
        <v>0</v>
      </c>
      <c r="BH60" s="22">
        <f>(BE60/1000000)*AJ60*(1-db!$AS$10)</f>
        <v>0</v>
      </c>
      <c r="BI60" s="20">
        <f>IF(B60=0,0,IF(C60&gt;59,0,LOOKUP(Table14[[#This Row],[Medical
Age]],db!$BC$3:$BC$63,db!$BE$3:$BE$63)))</f>
        <v>0</v>
      </c>
      <c r="BJ60" s="20">
        <f>(BI60/1000000)*AL60*(1-db!$AS$11)</f>
        <v>0</v>
      </c>
      <c r="BK60" s="20">
        <f>(BI60/1000000)*AL60*(db!$AS$11)</f>
        <v>0</v>
      </c>
      <c r="BL60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60" s="20">
        <f>Table14[[#This Row],[RiskLoading
Rate]]*Table14[[#This Row],[Death Capital (2)]]</f>
        <v>0</v>
      </c>
      <c r="BN60" s="36"/>
      <c r="BO60" s="37">
        <f t="shared" si="5"/>
        <v>0</v>
      </c>
      <c r="BP60" s="35">
        <f t="shared" si="6"/>
        <v>0</v>
      </c>
      <c r="BQ60" s="35">
        <f t="shared" si="7"/>
        <v>0</v>
      </c>
      <c r="BR60" s="37">
        <f t="shared" si="11"/>
        <v>0</v>
      </c>
      <c r="BS60" s="37">
        <f t="shared" si="12"/>
        <v>0</v>
      </c>
      <c r="BT60" s="35">
        <f t="shared" si="13"/>
        <v>0</v>
      </c>
      <c r="BU60" s="35">
        <f t="shared" si="14"/>
        <v>0</v>
      </c>
      <c r="BV60" s="37">
        <f>(db!$AS$4/100)*(L60-BT60-BU60)</f>
        <v>0</v>
      </c>
      <c r="BW60" s="37">
        <f>(db!$AS$8/100)*(L60-BT60-BU60)</f>
        <v>0</v>
      </c>
      <c r="BX60" s="35"/>
      <c r="BY60" s="37"/>
      <c r="BZ60" s="37"/>
      <c r="CA60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60" s="33"/>
      <c r="CC60" s="39">
        <f>ROUND((Table14[[#This Row],[Premium]]-Table14[[#This Row],[All Deductions]]),0)</f>
        <v>0</v>
      </c>
      <c r="CD60" s="40">
        <f>ROUND(IF(B60=0,0,((CC60)*(1+ IF(AND(Changes!Change="Yes",Changes!ValidityYear&lt;=Table14[[#This Row],[Year]],Annulment&gt;Table14[[#This Row],[Year]],Changes!ChangeType="Paid-Up"),db!Y62+0.02,db!Y62)))+((CD59)*(1+IF(AND(Changes!Change="Yes",Changes!ValidityYear&lt;=Table14[[#This Row],[Year]],Annulment&gt;Table14[[#This Row],[Year]],Changes!ChangeType="Paid-Up"),db!U62+0.02,db!U62)))),0)</f>
        <v>0</v>
      </c>
      <c r="CE60" s="40">
        <f>ROUND(IF(B60=0,0,((CC60)*(1+db!Y62))+((CE59)*(1+db!U62))),0)</f>
        <v>0</v>
      </c>
      <c r="CF60" s="40">
        <f t="shared" si="19"/>
        <v>0</v>
      </c>
      <c r="CG60" s="15">
        <f t="shared" si="15"/>
        <v>59</v>
      </c>
      <c r="CH60" s="39">
        <f>IF(B60=0,0,((CC60)*(1+db!AH62))+((CH59)*(1+db!AD62)))</f>
        <v>0</v>
      </c>
      <c r="CI60" s="39">
        <f>IF(B60=0,0,((CC60)*(1+db!AH62))+((CI59)*(1+db!AD62)))</f>
        <v>0</v>
      </c>
      <c r="CJ60" s="40">
        <f>IF(B60=0,0,((CC60)*(1+db!AO62))+((CJ59)*(1+db!AK62)))</f>
        <v>0</v>
      </c>
      <c r="CK60" s="40">
        <f>CJ60-(SUM(BX$7:$BX61))</f>
        <v>0</v>
      </c>
      <c r="CL60" s="46"/>
    </row>
    <row r="61" spans="1:90">
      <c r="A61" s="347">
        <f t="shared" si="16"/>
        <v>60</v>
      </c>
      <c r="B61" s="345">
        <f>IF(AND(Changes!Change="Yes", Changes!ChangeType="Change Contract Duration"),IF(B60=0,0,IF(Changes!NewChangedValue&lt;B60+1,0,B60+1)),IF(B60=0,0,IF('Application Annually'!$C$5&lt;B60+1,0,B60+1)))</f>
        <v>0</v>
      </c>
      <c r="C61" s="15">
        <f t="shared" si="17"/>
        <v>0</v>
      </c>
      <c r="D61" s="312">
        <f t="shared" si="18"/>
        <v>87</v>
      </c>
      <c r="E61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61" s="29">
        <f t="shared" si="8"/>
        <v>0</v>
      </c>
      <c r="G61" s="29">
        <f t="shared" si="9"/>
        <v>0</v>
      </c>
      <c r="H61" s="29">
        <f t="shared" si="0"/>
        <v>0</v>
      </c>
      <c r="I61" s="29">
        <f>IF(B61&gt;0,IF(AND(Table14[[#This Row],[Year]]&gt;Changes!ValidityYear,Changes!Change="Yes",Changes!ChangeType="Change Value Adjustment"),Changes!$G$22,'Application Annually'!$C$11),0)</f>
        <v>0</v>
      </c>
      <c r="J61" s="29">
        <f>IF(B61&gt;0,IF(AND(Table14[[#This Row],[Year]]&gt;Changes!ValidityYear,Changes!Change="Yes",Changes!ChangeType="Change Value Adjustment"),Changes!$G$24,'Application Annually'!$C$7),0)</f>
        <v>0</v>
      </c>
      <c r="K61" s="29">
        <f>ROUND(IF(B61=0,0,IF(AND(Changes!Change="Yes", Changes!ValidityYear=Table14[[#This Row],[Year]], Changes!ChangeType="Change Premium"), Changes!NewChangedValue, (K60*(1+db!$B$3)))),0)</f>
        <v>0</v>
      </c>
      <c r="L61" s="29">
        <f>ROUND(IF(B61=0,0,IF(AND(Changes!Change="Yes", Changes!ValidityYear=Table14[[#This Row],[Year]], Changes!ChangeType="Change Premium"), Changes!NewChangedValue, (L60*(1+Table14[[#This Row],[Adjustment Factor of Premium]]/100)))),0)</f>
        <v>0</v>
      </c>
      <c r="M61" s="29">
        <f>IF(Table14[[#This Row],[Year]]=1,ROUND(MIN($L$2 -( Table14[[#This Row],[Riders Risk Premiums]] + Table14[[#This Row],[Acquisition Cost]]) *0.75,Table14[[#This Row],[Death Capital (1)]]* 0.03),0),0)</f>
        <v>0</v>
      </c>
      <c r="N61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61" s="29">
        <f>ROUND(IF(ROW()-1&gt;InsurancePeriod,0,(O60*(1+(Table14[[#This Row],[Adjustment Factor of Premium]]/100)))),0)</f>
        <v>0</v>
      </c>
      <c r="P61" s="29">
        <f>IF(Table14[Year] = 0, 0, SUM(L$2:L61))</f>
        <v>0</v>
      </c>
      <c r="Q61" s="17">
        <f t="shared" si="1"/>
        <v>0</v>
      </c>
      <c r="R61" s="17">
        <f>IF(Table14[[#This Row],[Year]]=0,0,IF($C$2&lt;=50,LOOKUP(Table14[[#This Row],[Age]],db!BG62:BG168,db!BH62:BH168),LOOKUP(Table14[[#This Row],[Age]],db!BJ62:BJ168,db!BK62:BK168)))</f>
        <v>0</v>
      </c>
      <c r="S61" s="17">
        <f>IF(B61=0,0, IF(AND(Changes!Change="Yes", Changes!ValidityYear=Table14[[#This Row],[Year]], Changes!ChangeType="Change Death Capital"), Changes!NewChangedValue, S60*(1+(Table14[[#This Row],[Adjustment Factor of Death Capital]]/100))))</f>
        <v>0</v>
      </c>
      <c r="T61" s="17">
        <f>MIN(IF(B61=0,0,Table14[[#This Row],[Death Capital (1)]]),Table14[[#This Row],[Max Sum Insured For Death]])</f>
        <v>0</v>
      </c>
      <c r="U61" s="29">
        <f t="shared" si="10"/>
        <v>0</v>
      </c>
      <c r="V61" s="29">
        <f>IF(B61=0,0,IF(AND(Changes!Change="Yes", Changes!ValidityYear&lt;=Table14[[#This Row],[Year]], Changes!ChangeType="Rider Inclusion/Exclusion", Changes!RiderType="Accident Death"), T61*Changes!NewChangedValue,IF(db!$D$6="Yes",(db!$B$6)*T61,0)))</f>
        <v>0</v>
      </c>
      <c r="W61" s="29">
        <f>MIN(IF(V61&lt;=db!$L$2,V61,db!$L$2),MAX_ACC_CAPITAL)</f>
        <v>0</v>
      </c>
      <c r="X61" s="17">
        <f>IF(OR(B61=0,Table14[[#This Row],[Accident Capital (2)]]=0),0,IF(AND(Changes!Change="Yes", Changes!ValidityYear&lt;=Table14[[#This Row],[Year]], Changes!ChangeType="Rider Inclusion/Exclusion", Changes!RiderType="Accident Disability"), T61*Changes!NewChangedValue,IF(db!$D$7="Yes",(db!$B$7)*T61,0)))</f>
        <v>0</v>
      </c>
      <c r="Y61" s="42">
        <f>IF(C61&gt;69,0,IF(C61=0,0,IF(X61&lt;=db!$L$3,X61,db!$L$3)))</f>
        <v>0</v>
      </c>
      <c r="Z61" s="29">
        <f>IF(OR(B61=0,Table14[[#This Row],[Accident Capital (2)]]=0),0,IF(AND(Changes!Change="Yes", Changes!ValidityYear&lt;=Table14[[#This Row],[Year]], Changes!ChangeType="Rider Inclusion/Exclusion", Changes!RiderType="Accident Medical Cost"), T61*Changes!NewChangedValue,IF(db!$D$9="Yes",(db!$B$9)*T61,0)))</f>
        <v>0</v>
      </c>
      <c r="AA61" s="29">
        <f>ROUND(IF(C61&gt;69,0,IF(C61=0,0,IF(Z61&lt;=db!$L$4,Z61,db!$L$4))),0)</f>
        <v>0</v>
      </c>
      <c r="AB61" s="38">
        <f>IF(AND(Changes!Change = "Yes", Changes!ChangeType = "Rider Inclusion/Exclusion", Changes!RiderType = "WOP"), IF( Changes!ValidityYear &lt;= Table14[[#This Row],[Year]], IF(WOP = "Yes", 0, 1),  IF(WOP = "Yes", 1, 0)), IF(AND(db!$D$8="Yes",C61&lt;=69,ROW()-1&lt;=InsurancePeriod), 1, 0))</f>
        <v>0</v>
      </c>
      <c r="AC61" s="17">
        <f>(AC62+K62)*AB61*((1)/(1+db!AA63))*(LOOKUP(C61,'Mortality Table'!$A$2:$A$108,'Mortality Table'!$E$2:$E$108))</f>
        <v>0</v>
      </c>
      <c r="AD61" s="340">
        <f>IF(AND(Changes!ValidityYear&lt;= Table14[[#This Row],[Year]],Changes!ChangeType="Change Value Adjustment",Changes!Change="Yes"), (AD62+L62)*AB61*((1)/(1+db!AA63))*(LOOKUP(C61,'Mortality Table'!$A$2:$A$108,'Mortality Table'!$E$2:$E$108)),Table14[[#This Row],[WOP Before Adj. BT]])</f>
        <v>0</v>
      </c>
      <c r="AE61" s="341">
        <f>IF(AND(Changes!Change="Yes", Changes!ChangeType="Change Value Adjustment"),Table14[[#This Row],[WOP Capital]],(AE62+O62)*AB61*((1)/(1+db!AA63))*(LOOKUP(D61,'Mortality Table'!$A$2:$A$108,'Mortality Table'!$E$2:$E$108)))</f>
        <v>0</v>
      </c>
      <c r="AF61" s="17">
        <f>IF(AND(Changes!Change="Yes", Changes!ValidityYear&lt;=ROW()-1),Table14[[#This Row],[WOP Capital]],Table14[[#This Row],[WOP without change]])</f>
        <v>0</v>
      </c>
      <c r="AG61" s="42">
        <f>IF(AND(Changes!Change="Yes", Changes!ValidityYear&lt;=Table14[[#This Row],[Year]], Changes!ChangeType="Rider Inclusion/Exclusion", Changes!RiderType="Disability Annuity"), L61*Changes!NewChangedValue,L61*db!B$10*IF(db!$D$10="Yes",1,0))</f>
        <v>0</v>
      </c>
      <c r="AH61" s="29">
        <f>Table14[[#This Row],[Code Annuity Capital]]*IF('Annual Calculation'!C61&gt;69,0,(LOOKUP('Annual Calculation'!C61+1,'Mortality Table'!$A$2:$A$108,'Mortality Table'!$O$2:$O$108)-LOOKUP('Annual Calculation'!C61+11,'Mortality Table'!$A$2:$A$108,'Mortality Table'!$O$2:$O$108))/LOOKUP('Annual Calculation'!C61,'Mortality Table'!$A$2:$A$108,'Mortality Table'!$M$2:$M$108))</f>
        <v>0</v>
      </c>
      <c r="AI61" s="17">
        <f>IF(B61=0,0,IF(AND(Changes!Change="Yes", Changes!ValidityYear&lt;=Table14[[#This Row],[Year]], Changes!ChangeType="Rider Inclusion/Exclusion", Changes!RiderType="Dread Disease"), T61*Changes!NewChangedValue,IF(db!$D$11="Yes",(db!$B$11)*T61,0)))</f>
        <v>0</v>
      </c>
      <c r="AJ61" s="42">
        <f>ROUND(IF(C61&gt;59,0,IF(C61=0,0,IF(AI61&lt;=db!$L$5,AI61,db!$L$5))),0)</f>
        <v>0</v>
      </c>
      <c r="AK61" s="29">
        <f>IF(B61=0,0,IF(AND(Changes!Change="Yes", Changes!ValidityYear&lt;=Table14[[#This Row],[Year]], Changes!ChangeType="Rider Inclusion/Exclusion", Changes!RiderType="Cancer"), T61*Changes!NewChangedValue,IF(db!$D$12="Yes",(db!$B$12)*T61,0)))</f>
        <v>0</v>
      </c>
      <c r="AL61" s="29">
        <f>ROUND(IF(C61&gt;59,0,IF(C61=0,0,IF(AK61&lt;=db!$L$6,AK61,db!$L$6))),0)</f>
        <v>0</v>
      </c>
      <c r="AM61" s="32"/>
      <c r="AN61" s="18">
        <f>IF(B61=0,0,IF(C61&lt;(db!$E$2+5),LOOKUP(C61,'Mortality Table'!$A$2:$A$108,'Mortality Table'!$P$2:$P$108),IF((C61&gt;=db!$E$2+10),LOOKUP(C61,'Mortality Table'!$A$2:$A$108,'Mortality Table'!$R$2:$R$108),LOOKUP(C61,'Mortality Table'!$A$2:$A$108,'Mortality Table'!$Q$2:$Q$108))))</f>
        <v>0</v>
      </c>
      <c r="AO61" s="22">
        <f t="shared" si="2"/>
        <v>0</v>
      </c>
      <c r="AP61" s="19">
        <f>IF(B61=0,0, LOOKUP(IF(AND(Changes!Change="Yes", Changes!ValidityYear&lt;=Table14[[#This Row],[Year]], Changes!ChangeType="Change Job Class"),Changes!NewChangedValue, db!$A$8),db!$AX$4:$AX$8,db!$AY$4:$AY$8))</f>
        <v>0</v>
      </c>
      <c r="AQ61" s="20">
        <f>ROUND((AP61/1000)*W61 * (1-db!$AS$9),0)</f>
        <v>0</v>
      </c>
      <c r="AR61" s="20">
        <f>(AP61/1000)*W61 * db!$AS$9</f>
        <v>0</v>
      </c>
      <c r="AS61" s="21">
        <f>IF(B61=0,0, LOOKUP(IF(AND(Changes!Change="Yes", Changes!ValidityYear&lt;=Table14[[#This Row],[Year]], Changes!ChangeType="Change Job Class"),Changes!NewChangedValue, db!$A$8),db!$AX$4:$AX$8,db!$AZ$4:$AZ$8))</f>
        <v>0</v>
      </c>
      <c r="AT61" s="22">
        <f>(AS61/1000)*Y61*(1-db!$AS$9)</f>
        <v>0</v>
      </c>
      <c r="AU61" s="22">
        <f>(AS61/1000)*Y61*(db!$AS$9)</f>
        <v>0</v>
      </c>
      <c r="AV61" s="23">
        <f>IF(B61=0,0, LOOKUP(IF(AND(Changes!Change="Yes", Changes!ValidityYear&lt;=Table14[[#This Row],[Year]], Changes!ChangeType="Change Job Class"),Changes!NewChangedValue, db!$A$8),db!$AX$4:$AX$8,db!$BA$4:$BA$8))</f>
        <v>0</v>
      </c>
      <c r="AW61" s="20">
        <f>ROUND((AV61/(100))*AA61*(1-db!$AS$9),0)</f>
        <v>0</v>
      </c>
      <c r="AX61" s="20">
        <f>ROUND((AV61/(100))*AA61*(db!$AS$9),0)</f>
        <v>0</v>
      </c>
      <c r="AY61" s="21">
        <f>IF(db!$D$8="Yes",AS61,0)</f>
        <v>0</v>
      </c>
      <c r="AZ61" s="22">
        <f>(AY61*AF61)/1000*(1-db!$AS$9)</f>
        <v>0</v>
      </c>
      <c r="BA61" s="22">
        <f>(AY61*AF61)/1000*(db!$AS$9)</f>
        <v>0</v>
      </c>
      <c r="BB61" s="23">
        <f t="shared" si="3"/>
        <v>0</v>
      </c>
      <c r="BC61" s="20">
        <f>(BB61*AH61/1000)*(1-db!$AS$9)</f>
        <v>0</v>
      </c>
      <c r="BD61" s="20">
        <f>(BB61*AH61/1000)*(db!$AS$9)</f>
        <v>0</v>
      </c>
      <c r="BE61" s="22">
        <f>IF(B61=0,0,IF(C61&gt;60,0,LOOKUP(Table14[[#This Row],[Medical
Age]],db!$BC$3:$BC$63,db!$BD$3:$BD$63)))</f>
        <v>0</v>
      </c>
      <c r="BF61" s="22">
        <f>BG61*db!$AS$10</f>
        <v>0</v>
      </c>
      <c r="BG61" s="22">
        <f t="shared" si="4"/>
        <v>0</v>
      </c>
      <c r="BH61" s="22">
        <f>(BE61/1000000)*AJ61*(1-db!$AS$10)</f>
        <v>0</v>
      </c>
      <c r="BI61" s="20">
        <f>IF(B61=0,0,IF(C61&gt;59,0,LOOKUP(Table14[[#This Row],[Medical
Age]],db!$BC$3:$BC$63,db!$BE$3:$BE$63)))</f>
        <v>0</v>
      </c>
      <c r="BJ61" s="20">
        <f>(BI61/1000000)*AL61*(1-db!$AS$11)</f>
        <v>0</v>
      </c>
      <c r="BK61" s="20">
        <f>(BI61/1000000)*AL61*(db!$AS$11)</f>
        <v>0</v>
      </c>
      <c r="BL61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61" s="20">
        <f>Table14[[#This Row],[RiskLoading
Rate]]*Table14[[#This Row],[Death Capital (2)]]</f>
        <v>0</v>
      </c>
      <c r="BN61" s="36"/>
      <c r="BO61" s="37">
        <f t="shared" si="5"/>
        <v>0</v>
      </c>
      <c r="BP61" s="35">
        <f t="shared" si="6"/>
        <v>0</v>
      </c>
      <c r="BQ61" s="35">
        <f t="shared" si="7"/>
        <v>0</v>
      </c>
      <c r="BR61" s="37">
        <f t="shared" si="11"/>
        <v>0</v>
      </c>
      <c r="BS61" s="37">
        <f t="shared" si="12"/>
        <v>0</v>
      </c>
      <c r="BT61" s="35">
        <f t="shared" si="13"/>
        <v>0</v>
      </c>
      <c r="BU61" s="35">
        <f t="shared" si="14"/>
        <v>0</v>
      </c>
      <c r="BV61" s="37">
        <f>(db!$AS$4/100)*(L61-BT61-BU61)</f>
        <v>0</v>
      </c>
      <c r="BW61" s="37">
        <f>(db!$AS$8/100)*(L61-BT61-BU61)</f>
        <v>0</v>
      </c>
      <c r="BX61" s="35"/>
      <c r="BY61" s="37"/>
      <c r="BZ61" s="37"/>
      <c r="CA61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61" s="33"/>
      <c r="CC61" s="39">
        <f>ROUND((Table14[[#This Row],[Premium]]-Table14[[#This Row],[All Deductions]]),0)</f>
        <v>0</v>
      </c>
      <c r="CD61" s="40">
        <f>ROUND(IF(B61=0,0,((CC61)*(1+ IF(AND(Changes!Change="Yes",Changes!ValidityYear&lt;=Table14[[#This Row],[Year]],Annulment&gt;Table14[[#This Row],[Year]],Changes!ChangeType="Paid-Up"),db!Y63+0.02,db!Y63)))+((CD60)*(1+IF(AND(Changes!Change="Yes",Changes!ValidityYear&lt;=Table14[[#This Row],[Year]],Annulment&gt;Table14[[#This Row],[Year]],Changes!ChangeType="Paid-Up"),db!U63+0.02,db!U63)))),0)</f>
        <v>0</v>
      </c>
      <c r="CE61" s="40">
        <f>ROUND(IF(B61=0,0,((CC61)*(1+db!Y63))+((CE60)*(1+db!U63))),0)</f>
        <v>0</v>
      </c>
      <c r="CF61" s="40">
        <f t="shared" si="19"/>
        <v>0</v>
      </c>
      <c r="CG61" s="15">
        <f t="shared" si="15"/>
        <v>60</v>
      </c>
      <c r="CH61" s="39">
        <f>IF(B61=0,0,((CC61)*(1+db!AH63))+((CH60)*(1+db!AD63)))</f>
        <v>0</v>
      </c>
      <c r="CI61" s="39">
        <f>IF(B61=0,0,((CC61)*(1+db!AH63))+((CI60)*(1+db!AD63)))</f>
        <v>0</v>
      </c>
      <c r="CJ61" s="40">
        <f>IF(B61=0,0,((CC61)*(1+db!AO63))+((CJ60)*(1+db!AK63)))</f>
        <v>0</v>
      </c>
      <c r="CK61" s="40">
        <f>CJ61-(SUM(BX$7:$BX62))</f>
        <v>0</v>
      </c>
      <c r="CL61" s="46"/>
    </row>
    <row r="62" spans="1:90">
      <c r="A62" s="347">
        <f t="shared" si="16"/>
        <v>61</v>
      </c>
      <c r="B62" s="345">
        <f>IF(AND(Changes!Change="Yes", Changes!ChangeType="Change Contract Duration"),IF(B61=0,0,IF(Changes!NewChangedValue&lt;B61+1,0,B61+1)),IF(B61=0,0,IF('Application Annually'!$C$5&lt;B61+1,0,B61+1)))</f>
        <v>0</v>
      </c>
      <c r="C62" s="15">
        <f t="shared" si="17"/>
        <v>0</v>
      </c>
      <c r="D62" s="312">
        <f t="shared" si="18"/>
        <v>88</v>
      </c>
      <c r="E62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62" s="29">
        <f t="shared" si="8"/>
        <v>0</v>
      </c>
      <c r="G62" s="29">
        <f t="shared" si="9"/>
        <v>0</v>
      </c>
      <c r="H62" s="29">
        <f t="shared" si="0"/>
        <v>0</v>
      </c>
      <c r="I62" s="29">
        <f>IF(B62&gt;0,IF(AND(Table14[[#This Row],[Year]]&gt;Changes!ValidityYear,Changes!Change="Yes",Changes!ChangeType="Change Value Adjustment"),Changes!$G$22,'Application Annually'!$C$11),0)</f>
        <v>0</v>
      </c>
      <c r="J62" s="29">
        <f>IF(B62&gt;0,IF(AND(Table14[[#This Row],[Year]]&gt;Changes!ValidityYear,Changes!Change="Yes",Changes!ChangeType="Change Value Adjustment"),Changes!$G$24,'Application Annually'!$C$7),0)</f>
        <v>0</v>
      </c>
      <c r="K62" s="29">
        <f>ROUND(IF(B62=0,0,IF(AND(Changes!Change="Yes", Changes!ValidityYear=Table14[[#This Row],[Year]], Changes!ChangeType="Change Premium"), Changes!NewChangedValue, (K61*(1+db!$B$3)))),0)</f>
        <v>0</v>
      </c>
      <c r="L62" s="29">
        <f>ROUND(IF(B62=0,0,IF(AND(Changes!Change="Yes", Changes!ValidityYear=Table14[[#This Row],[Year]], Changes!ChangeType="Change Premium"), Changes!NewChangedValue, (L61*(1+Table14[[#This Row],[Adjustment Factor of Premium]]/100)))),0)</f>
        <v>0</v>
      </c>
      <c r="M62" s="29">
        <f>IF(Table14[[#This Row],[Year]]=1,ROUND(MIN($L$2 -( Table14[[#This Row],[Riders Risk Premiums]] + Table14[[#This Row],[Acquisition Cost]]) *0.75,Table14[[#This Row],[Death Capital (1)]]* 0.03),0),0)</f>
        <v>0</v>
      </c>
      <c r="N62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62" s="29">
        <f>ROUND(IF(ROW()-1&gt;InsurancePeriod,0,(O61*(1+(Table14[[#This Row],[Adjustment Factor of Premium]]/100)))),0)</f>
        <v>0</v>
      </c>
      <c r="P62" s="29">
        <f>IF(Table14[Year] = 0, 0, SUM(L$2:L62))</f>
        <v>0</v>
      </c>
      <c r="Q62" s="17">
        <f t="shared" si="1"/>
        <v>0</v>
      </c>
      <c r="R62" s="17">
        <f>IF(Table14[[#This Row],[Year]]=0,0,IF($C$2&lt;=50,LOOKUP(Table14[[#This Row],[Age]],db!BG63:BG169,db!BH63:BH169),LOOKUP(Table14[[#This Row],[Age]],db!BJ63:BJ169,db!BK63:BK169)))</f>
        <v>0</v>
      </c>
      <c r="S62" s="17">
        <f>IF(B62=0,0, IF(AND(Changes!Change="Yes", Changes!ValidityYear=Table14[[#This Row],[Year]], Changes!ChangeType="Change Death Capital"), Changes!NewChangedValue, S61*(1+(Table14[[#This Row],[Adjustment Factor of Death Capital]]/100))))</f>
        <v>0</v>
      </c>
      <c r="T62" s="17">
        <f>MIN(IF(B62=0,0,Table14[[#This Row],[Death Capital (1)]]),Table14[[#This Row],[Max Sum Insured For Death]])</f>
        <v>0</v>
      </c>
      <c r="U62" s="29">
        <f t="shared" si="10"/>
        <v>0</v>
      </c>
      <c r="V62" s="29">
        <f>IF(B62=0,0,IF(AND(Changes!Change="Yes", Changes!ValidityYear&lt;=Table14[[#This Row],[Year]], Changes!ChangeType="Rider Inclusion/Exclusion", Changes!RiderType="Accident Death"), T62*Changes!NewChangedValue,IF(db!$D$6="Yes",(db!$B$6)*T62,0)))</f>
        <v>0</v>
      </c>
      <c r="W62" s="29">
        <f>MIN(IF(V62&lt;=db!$L$2,V62,db!$L$2),MAX_ACC_CAPITAL)</f>
        <v>0</v>
      </c>
      <c r="X62" s="17">
        <f>IF(OR(B62=0,Table14[[#This Row],[Accident Capital (2)]]=0),0,IF(AND(Changes!Change="Yes", Changes!ValidityYear&lt;=Table14[[#This Row],[Year]], Changes!ChangeType="Rider Inclusion/Exclusion", Changes!RiderType="Accident Disability"), T62*Changes!NewChangedValue,IF(db!$D$7="Yes",(db!$B$7)*T62,0)))</f>
        <v>0</v>
      </c>
      <c r="Y62" s="42">
        <f>IF(C62&gt;69,0,IF(C62=0,0,IF(X62&lt;=db!$L$3,X62,db!$L$3)))</f>
        <v>0</v>
      </c>
      <c r="Z62" s="29">
        <f>IF(OR(B62=0,Table14[[#This Row],[Accident Capital (2)]]=0),0,IF(AND(Changes!Change="Yes", Changes!ValidityYear&lt;=Table14[[#This Row],[Year]], Changes!ChangeType="Rider Inclusion/Exclusion", Changes!RiderType="Accident Medical Cost"), T62*Changes!NewChangedValue,IF(db!$D$9="Yes",(db!$B$9)*T62,0)))</f>
        <v>0</v>
      </c>
      <c r="AA62" s="29">
        <f>ROUND(IF(C62&gt;69,0,IF(C62=0,0,IF(Z62&lt;=db!$L$4,Z62,db!$L$4))),0)</f>
        <v>0</v>
      </c>
      <c r="AB62" s="38">
        <f>IF(AND(Changes!Change = "Yes", Changes!ChangeType = "Rider Inclusion/Exclusion", Changes!RiderType = "WOP"), IF( Changes!ValidityYear &lt;= Table14[[#This Row],[Year]], IF(WOP = "Yes", 0, 1),  IF(WOP = "Yes", 1, 0)), IF(AND(db!$D$8="Yes",C62&lt;=69,ROW()-1&lt;=InsurancePeriod), 1, 0))</f>
        <v>0</v>
      </c>
      <c r="AC62" s="17">
        <f>(AC63+K63)*AB62*((1)/(1+db!AA64))*(LOOKUP(C62,'Mortality Table'!$A$2:$A$108,'Mortality Table'!$E$2:$E$108))</f>
        <v>0</v>
      </c>
      <c r="AD62" s="340">
        <f>IF(AND(Changes!ValidityYear&lt;= Table14[[#This Row],[Year]],Changes!ChangeType="Change Value Adjustment",Changes!Change="Yes"), (AD63+L63)*AB62*((1)/(1+db!AA64))*(LOOKUP(C62,'Mortality Table'!$A$2:$A$108,'Mortality Table'!$E$2:$E$108)),Table14[[#This Row],[WOP Before Adj. BT]])</f>
        <v>0</v>
      </c>
      <c r="AE62" s="341">
        <f>IF(AND(Changes!Change="Yes", Changes!ChangeType="Change Value Adjustment"),Table14[[#This Row],[WOP Capital]],(AE63+O63)*AB62*((1)/(1+db!AA64))*(LOOKUP(D62,'Mortality Table'!$A$2:$A$108,'Mortality Table'!$E$2:$E$108)))</f>
        <v>0</v>
      </c>
      <c r="AF62" s="17">
        <f>IF(AND(Changes!Change="Yes", Changes!ValidityYear&lt;=ROW()-1),Table14[[#This Row],[WOP Capital]],Table14[[#This Row],[WOP without change]])</f>
        <v>0</v>
      </c>
      <c r="AG62" s="42">
        <f>IF(AND(Changes!Change="Yes", Changes!ValidityYear&lt;=Table14[[#This Row],[Year]], Changes!ChangeType="Rider Inclusion/Exclusion", Changes!RiderType="Disability Annuity"), L62*Changes!NewChangedValue,L62*db!B$10*IF(db!$D$10="Yes",1,0))</f>
        <v>0</v>
      </c>
      <c r="AH62" s="29">
        <f>Table14[[#This Row],[Code Annuity Capital]]*IF('Annual Calculation'!C62&gt;69,0,(LOOKUP('Annual Calculation'!C62+1,'Mortality Table'!$A$2:$A$108,'Mortality Table'!$O$2:$O$108)-LOOKUP('Annual Calculation'!C62+11,'Mortality Table'!$A$2:$A$108,'Mortality Table'!$O$2:$O$108))/LOOKUP('Annual Calculation'!C62,'Mortality Table'!$A$2:$A$108,'Mortality Table'!$M$2:$M$108))</f>
        <v>0</v>
      </c>
      <c r="AI62" s="17">
        <f>IF(B62=0,0,IF(AND(Changes!Change="Yes", Changes!ValidityYear&lt;=Table14[[#This Row],[Year]], Changes!ChangeType="Rider Inclusion/Exclusion", Changes!RiderType="Dread Disease"), T62*Changes!NewChangedValue,IF(db!$D$11="Yes",(db!$B$11)*T62,0)))</f>
        <v>0</v>
      </c>
      <c r="AJ62" s="42">
        <f>ROUND(IF(C62&gt;59,0,IF(C62=0,0,IF(AI62&lt;=db!$L$5,AI62,db!$L$5))),0)</f>
        <v>0</v>
      </c>
      <c r="AK62" s="29">
        <f>IF(B62=0,0,IF(AND(Changes!Change="Yes", Changes!ValidityYear&lt;=Table14[[#This Row],[Year]], Changes!ChangeType="Rider Inclusion/Exclusion", Changes!RiderType="Cancer"), T62*Changes!NewChangedValue,IF(db!$D$12="Yes",(db!$B$12)*T62,0)))</f>
        <v>0</v>
      </c>
      <c r="AL62" s="29">
        <f>ROUND(IF(C62&gt;59,0,IF(C62=0,0,IF(AK62&lt;=db!$L$6,AK62,db!$L$6))),0)</f>
        <v>0</v>
      </c>
      <c r="AM62" s="32"/>
      <c r="AN62" s="18">
        <f>IF(B62=0,0,IF(C62&lt;(db!$E$2+5),LOOKUP(C62,'Mortality Table'!$A$2:$A$108,'Mortality Table'!$P$2:$P$108),IF((C62&gt;=db!$E$2+10),LOOKUP(C62,'Mortality Table'!$A$2:$A$108,'Mortality Table'!$R$2:$R$108),LOOKUP(C62,'Mortality Table'!$A$2:$A$108,'Mortality Table'!$Q$2:$Q$108))))</f>
        <v>0</v>
      </c>
      <c r="AO62" s="22">
        <f t="shared" si="2"/>
        <v>0</v>
      </c>
      <c r="AP62" s="19">
        <f>IF(B62=0,0, LOOKUP(IF(AND(Changes!Change="Yes", Changes!ValidityYear&lt;=Table14[[#This Row],[Year]], Changes!ChangeType="Change Job Class"),Changes!NewChangedValue, db!$A$8),db!$AX$4:$AX$8,db!$AY$4:$AY$8))</f>
        <v>0</v>
      </c>
      <c r="AQ62" s="20">
        <f>ROUND((AP62/1000)*W62 * (1-db!$AS$9),0)</f>
        <v>0</v>
      </c>
      <c r="AR62" s="20">
        <f>(AP62/1000)*W62 * db!$AS$9</f>
        <v>0</v>
      </c>
      <c r="AS62" s="21">
        <f>IF(B62=0,0, LOOKUP(IF(AND(Changes!Change="Yes", Changes!ValidityYear&lt;=Table14[[#This Row],[Year]], Changes!ChangeType="Change Job Class"),Changes!NewChangedValue, db!$A$8),db!$AX$4:$AX$8,db!$AZ$4:$AZ$8))</f>
        <v>0</v>
      </c>
      <c r="AT62" s="22">
        <f>(AS62/1000)*Y62*(1-db!$AS$9)</f>
        <v>0</v>
      </c>
      <c r="AU62" s="22">
        <f>(AS62/1000)*Y62*(db!$AS$9)</f>
        <v>0</v>
      </c>
      <c r="AV62" s="23">
        <f>IF(B62=0,0, LOOKUP(IF(AND(Changes!Change="Yes", Changes!ValidityYear&lt;=Table14[[#This Row],[Year]], Changes!ChangeType="Change Job Class"),Changes!NewChangedValue, db!$A$8),db!$AX$4:$AX$8,db!$BA$4:$BA$8))</f>
        <v>0</v>
      </c>
      <c r="AW62" s="20">
        <f>ROUND((AV62/(100))*AA62*(1-db!$AS$9),0)</f>
        <v>0</v>
      </c>
      <c r="AX62" s="20">
        <f>ROUND((AV62/(100))*AA62*(db!$AS$9),0)</f>
        <v>0</v>
      </c>
      <c r="AY62" s="21">
        <f>IF(db!$D$8="Yes",AS62,0)</f>
        <v>0</v>
      </c>
      <c r="AZ62" s="22">
        <f>(AY62*AF62)/1000*(1-db!$AS$9)</f>
        <v>0</v>
      </c>
      <c r="BA62" s="22">
        <f>(AY62*AF62)/1000*(db!$AS$9)</f>
        <v>0</v>
      </c>
      <c r="BB62" s="23">
        <f t="shared" si="3"/>
        <v>0</v>
      </c>
      <c r="BC62" s="20">
        <f>(BB62*AH62/1000)*(1-db!$AS$9)</f>
        <v>0</v>
      </c>
      <c r="BD62" s="20">
        <f>(BB62*AH62/1000)*(db!$AS$9)</f>
        <v>0</v>
      </c>
      <c r="BE62" s="22">
        <f>IF(B62=0,0,IF(C62&gt;60,0,LOOKUP(Table14[[#This Row],[Medical
Age]],db!$BC$3:$BC$63,db!$BD$3:$BD$63)))</f>
        <v>0</v>
      </c>
      <c r="BF62" s="22">
        <f>BG62*db!$AS$10</f>
        <v>0</v>
      </c>
      <c r="BG62" s="22">
        <f t="shared" si="4"/>
        <v>0</v>
      </c>
      <c r="BH62" s="22">
        <f>(BE62/1000000)*AJ62*(1-db!$AS$10)</f>
        <v>0</v>
      </c>
      <c r="BI62" s="20">
        <f>IF(B62=0,0,IF(C62&gt;59,0,LOOKUP(Table14[[#This Row],[Medical
Age]],db!$BC$3:$BC$63,db!$BE$3:$BE$63)))</f>
        <v>0</v>
      </c>
      <c r="BJ62" s="20">
        <f>(BI62/1000000)*AL62*(1-db!$AS$11)</f>
        <v>0</v>
      </c>
      <c r="BK62" s="20">
        <f>(BI62/1000000)*AL62*(db!$AS$11)</f>
        <v>0</v>
      </c>
      <c r="BL62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62" s="20">
        <f>Table14[[#This Row],[RiskLoading
Rate]]*Table14[[#This Row],[Death Capital (2)]]</f>
        <v>0</v>
      </c>
      <c r="BN62" s="36"/>
      <c r="BO62" s="37">
        <f t="shared" si="5"/>
        <v>0</v>
      </c>
      <c r="BP62" s="35">
        <f t="shared" si="6"/>
        <v>0</v>
      </c>
      <c r="BQ62" s="35">
        <f t="shared" si="7"/>
        <v>0</v>
      </c>
      <c r="BR62" s="37">
        <f t="shared" si="11"/>
        <v>0</v>
      </c>
      <c r="BS62" s="37">
        <f t="shared" si="12"/>
        <v>0</v>
      </c>
      <c r="BT62" s="35">
        <f t="shared" si="13"/>
        <v>0</v>
      </c>
      <c r="BU62" s="35">
        <f t="shared" si="14"/>
        <v>0</v>
      </c>
      <c r="BV62" s="37">
        <f>(db!$AS$4/100)*(L62-BT62-BU62)</f>
        <v>0</v>
      </c>
      <c r="BW62" s="37">
        <f>(db!$AS$8/100)*(L62-BT62-BU62)</f>
        <v>0</v>
      </c>
      <c r="BX62" s="35"/>
      <c r="BY62" s="37"/>
      <c r="BZ62" s="37"/>
      <c r="CA62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62" s="33"/>
      <c r="CC62" s="39">
        <f>ROUND((Table14[[#This Row],[Premium]]-Table14[[#This Row],[All Deductions]]),0)</f>
        <v>0</v>
      </c>
      <c r="CD62" s="40">
        <f>ROUND(IF(B62=0,0,((CC62)*(1+ IF(AND(Changes!Change="Yes",Changes!ValidityYear&lt;=Table14[[#This Row],[Year]],Annulment&gt;Table14[[#This Row],[Year]],Changes!ChangeType="Paid-Up"),db!Y64+0.02,db!Y64)))+((CD61)*(1+IF(AND(Changes!Change="Yes",Changes!ValidityYear&lt;=Table14[[#This Row],[Year]],Annulment&gt;Table14[[#This Row],[Year]],Changes!ChangeType="Paid-Up"),db!U64+0.02,db!U64)))),0)</f>
        <v>0</v>
      </c>
      <c r="CE62" s="40">
        <f>ROUND(IF(B62=0,0,((CC62)*(1+db!Y64))+((CE61)*(1+db!U64))),0)</f>
        <v>0</v>
      </c>
      <c r="CF62" s="40">
        <f t="shared" si="19"/>
        <v>0</v>
      </c>
      <c r="CG62" s="15">
        <f t="shared" si="15"/>
        <v>61</v>
      </c>
      <c r="CH62" s="39">
        <f>IF(B62=0,0,((CC62)*(1+db!AH64))+((CH61)*(1+db!AD64)))</f>
        <v>0</v>
      </c>
      <c r="CI62" s="39">
        <f>IF(B62=0,0,((CC62)*(1+db!AH64))+((CI61)*(1+db!AD64)))</f>
        <v>0</v>
      </c>
      <c r="CJ62" s="40">
        <f>IF(B62=0,0,((CC62)*(1+db!AO64))+((CJ61)*(1+db!AK64)))</f>
        <v>0</v>
      </c>
      <c r="CK62" s="40">
        <f>CJ62-(SUM(BX$7:$BX63))</f>
        <v>0</v>
      </c>
      <c r="CL62" s="46"/>
    </row>
    <row r="63" spans="1:90">
      <c r="A63" s="347">
        <f t="shared" si="16"/>
        <v>62</v>
      </c>
      <c r="B63" s="345">
        <f>IF(AND(Changes!Change="Yes", Changes!ChangeType="Change Contract Duration"),IF(B62=0,0,IF(Changes!NewChangedValue&lt;B62+1,0,B62+1)),IF(B62=0,0,IF('Application Annually'!$C$5&lt;B62+1,0,B62+1)))</f>
        <v>0</v>
      </c>
      <c r="C63" s="15">
        <f t="shared" si="17"/>
        <v>0</v>
      </c>
      <c r="D63" s="312">
        <f t="shared" si="18"/>
        <v>89</v>
      </c>
      <c r="E63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63" s="29">
        <f t="shared" si="8"/>
        <v>0</v>
      </c>
      <c r="G63" s="29">
        <f t="shared" si="9"/>
        <v>0</v>
      </c>
      <c r="H63" s="29">
        <f t="shared" si="0"/>
        <v>0</v>
      </c>
      <c r="I63" s="29">
        <f>IF(B63&gt;0,IF(AND(Table14[[#This Row],[Year]]&gt;Changes!ValidityYear,Changes!Change="Yes",Changes!ChangeType="Change Value Adjustment"),Changes!$G$22,'Application Annually'!$C$11),0)</f>
        <v>0</v>
      </c>
      <c r="J63" s="29">
        <f>IF(B63&gt;0,IF(AND(Table14[[#This Row],[Year]]&gt;Changes!ValidityYear,Changes!Change="Yes",Changes!ChangeType="Change Value Adjustment"),Changes!$G$24,'Application Annually'!$C$7),0)</f>
        <v>0</v>
      </c>
      <c r="K63" s="29">
        <f>ROUND(IF(B63=0,0,IF(AND(Changes!Change="Yes", Changes!ValidityYear=Table14[[#This Row],[Year]], Changes!ChangeType="Change Premium"), Changes!NewChangedValue, (K62*(1+db!$B$3)))),0)</f>
        <v>0</v>
      </c>
      <c r="L63" s="29">
        <f>ROUND(IF(B63=0,0,IF(AND(Changes!Change="Yes", Changes!ValidityYear=Table14[[#This Row],[Year]], Changes!ChangeType="Change Premium"), Changes!NewChangedValue, (L62*(1+Table14[[#This Row],[Adjustment Factor of Premium]]/100)))),0)</f>
        <v>0</v>
      </c>
      <c r="M63" s="29">
        <f>IF(Table14[[#This Row],[Year]]=1,ROUND(MIN($L$2 -( Table14[[#This Row],[Riders Risk Premiums]] + Table14[[#This Row],[Acquisition Cost]]) *0.75,Table14[[#This Row],[Death Capital (1)]]* 0.03),0),0)</f>
        <v>0</v>
      </c>
      <c r="N63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63" s="29">
        <f>ROUND(IF(ROW()-1&gt;InsurancePeriod,0,(O62*(1+(Table14[[#This Row],[Adjustment Factor of Premium]]/100)))),0)</f>
        <v>0</v>
      </c>
      <c r="P63" s="29">
        <f>IF(Table14[Year] = 0, 0, SUM(L$2:L63))</f>
        <v>0</v>
      </c>
      <c r="Q63" s="17">
        <f t="shared" si="1"/>
        <v>0</v>
      </c>
      <c r="R63" s="17">
        <f>IF(Table14[[#This Row],[Year]]=0,0,IF($C$2&lt;=50,LOOKUP(Table14[[#This Row],[Age]],db!BG64:BG170,db!BH64:BH170),LOOKUP(Table14[[#This Row],[Age]],db!BJ64:BJ170,db!BK64:BK170)))</f>
        <v>0</v>
      </c>
      <c r="S63" s="17">
        <f>IF(B63=0,0, IF(AND(Changes!Change="Yes", Changes!ValidityYear=Table14[[#This Row],[Year]], Changes!ChangeType="Change Death Capital"), Changes!NewChangedValue, S62*(1+(Table14[[#This Row],[Adjustment Factor of Death Capital]]/100))))</f>
        <v>0</v>
      </c>
      <c r="T63" s="17">
        <f>MIN(IF(B63=0,0,Table14[[#This Row],[Death Capital (1)]]),Table14[[#This Row],[Max Sum Insured For Death]])</f>
        <v>0</v>
      </c>
      <c r="U63" s="29">
        <f t="shared" si="10"/>
        <v>0</v>
      </c>
      <c r="V63" s="29">
        <f>IF(B63=0,0,IF(AND(Changes!Change="Yes", Changes!ValidityYear&lt;=Table14[[#This Row],[Year]], Changes!ChangeType="Rider Inclusion/Exclusion", Changes!RiderType="Accident Death"), T63*Changes!NewChangedValue,IF(db!$D$6="Yes",(db!$B$6)*T63,0)))</f>
        <v>0</v>
      </c>
      <c r="W63" s="29">
        <f>MIN(IF(V63&lt;=db!$L$2,V63,db!$L$2),MAX_ACC_CAPITAL)</f>
        <v>0</v>
      </c>
      <c r="X63" s="17">
        <f>IF(OR(B63=0,Table14[[#This Row],[Accident Capital (2)]]=0),0,IF(AND(Changes!Change="Yes", Changes!ValidityYear&lt;=Table14[[#This Row],[Year]], Changes!ChangeType="Rider Inclusion/Exclusion", Changes!RiderType="Accident Disability"), T63*Changes!NewChangedValue,IF(db!$D$7="Yes",(db!$B$7)*T63,0)))</f>
        <v>0</v>
      </c>
      <c r="Y63" s="42">
        <f>IF(C63&gt;69,0,IF(C63=0,0,IF(X63&lt;=db!$L$3,X63,db!$L$3)))</f>
        <v>0</v>
      </c>
      <c r="Z63" s="29">
        <f>IF(OR(B63=0,Table14[[#This Row],[Accident Capital (2)]]=0),0,IF(AND(Changes!Change="Yes", Changes!ValidityYear&lt;=Table14[[#This Row],[Year]], Changes!ChangeType="Rider Inclusion/Exclusion", Changes!RiderType="Accident Medical Cost"), T63*Changes!NewChangedValue,IF(db!$D$9="Yes",(db!$B$9)*T63,0)))</f>
        <v>0</v>
      </c>
      <c r="AA63" s="29">
        <f>ROUND(IF(C63&gt;69,0,IF(C63=0,0,IF(Z63&lt;=db!$L$4,Z63,db!$L$4))),0)</f>
        <v>0</v>
      </c>
      <c r="AB63" s="38">
        <f>IF(AND(Changes!Change = "Yes", Changes!ChangeType = "Rider Inclusion/Exclusion", Changes!RiderType = "WOP"), IF( Changes!ValidityYear &lt;= Table14[[#This Row],[Year]], IF(WOP = "Yes", 0, 1),  IF(WOP = "Yes", 1, 0)), IF(AND(db!$D$8="Yes",C63&lt;=69,ROW()-1&lt;=InsurancePeriod), 1, 0))</f>
        <v>0</v>
      </c>
      <c r="AC63" s="17">
        <f>(AC64+K64)*AB63*((1)/(1+db!AA65))*(LOOKUP(C63,'Mortality Table'!$A$2:$A$108,'Mortality Table'!$E$2:$E$108))</f>
        <v>0</v>
      </c>
      <c r="AD63" s="340">
        <f>IF(AND(Changes!ValidityYear&lt;= Table14[[#This Row],[Year]],Changes!ChangeType="Change Value Adjustment",Changes!Change="Yes"), (AD64+L64)*AB63*((1)/(1+db!AA65))*(LOOKUP(C63,'Mortality Table'!$A$2:$A$108,'Mortality Table'!$E$2:$E$108)),Table14[[#This Row],[WOP Before Adj. BT]])</f>
        <v>0</v>
      </c>
      <c r="AE63" s="341">
        <f>IF(AND(Changes!Change="Yes", Changes!ChangeType="Change Value Adjustment"),Table14[[#This Row],[WOP Capital]],(AE64+O64)*AB63*((1)/(1+db!AA65))*(LOOKUP(D63,'Mortality Table'!$A$2:$A$108,'Mortality Table'!$E$2:$E$108)))</f>
        <v>0</v>
      </c>
      <c r="AF63" s="17">
        <f>IF(AND(Changes!Change="Yes", Changes!ValidityYear&lt;=ROW()-1),Table14[[#This Row],[WOP Capital]],Table14[[#This Row],[WOP without change]])</f>
        <v>0</v>
      </c>
      <c r="AG63" s="42">
        <f>IF(AND(Changes!Change="Yes", Changes!ValidityYear&lt;=Table14[[#This Row],[Year]], Changes!ChangeType="Rider Inclusion/Exclusion", Changes!RiderType="Disability Annuity"), L63*Changes!NewChangedValue,L63*db!B$10*IF(db!$D$10="Yes",1,0))</f>
        <v>0</v>
      </c>
      <c r="AH63" s="29">
        <f>Table14[[#This Row],[Code Annuity Capital]]*IF('Annual Calculation'!C63&gt;69,0,(LOOKUP('Annual Calculation'!C63+1,'Mortality Table'!$A$2:$A$108,'Mortality Table'!$O$2:$O$108)-LOOKUP('Annual Calculation'!C63+11,'Mortality Table'!$A$2:$A$108,'Mortality Table'!$O$2:$O$108))/LOOKUP('Annual Calculation'!C63,'Mortality Table'!$A$2:$A$108,'Mortality Table'!$M$2:$M$108))</f>
        <v>0</v>
      </c>
      <c r="AI63" s="17">
        <f>IF(B63=0,0,IF(AND(Changes!Change="Yes", Changes!ValidityYear&lt;=Table14[[#This Row],[Year]], Changes!ChangeType="Rider Inclusion/Exclusion", Changes!RiderType="Dread Disease"), T63*Changes!NewChangedValue,IF(db!$D$11="Yes",(db!$B$11)*T63,0)))</f>
        <v>0</v>
      </c>
      <c r="AJ63" s="42">
        <f>ROUND(IF(C63&gt;59,0,IF(C63=0,0,IF(AI63&lt;=db!$L$5,AI63,db!$L$5))),0)</f>
        <v>0</v>
      </c>
      <c r="AK63" s="29">
        <f>IF(B63=0,0,IF(AND(Changes!Change="Yes", Changes!ValidityYear&lt;=Table14[[#This Row],[Year]], Changes!ChangeType="Rider Inclusion/Exclusion", Changes!RiderType="Cancer"), T63*Changes!NewChangedValue,IF(db!$D$12="Yes",(db!$B$12)*T63,0)))</f>
        <v>0</v>
      </c>
      <c r="AL63" s="29">
        <f>ROUND(IF(C63&gt;59,0,IF(C63=0,0,IF(AK63&lt;=db!$L$6,AK63,db!$L$6))),0)</f>
        <v>0</v>
      </c>
      <c r="AM63" s="32"/>
      <c r="AN63" s="18">
        <f>IF(B63=0,0,IF(C63&lt;(db!$E$2+5),LOOKUP(C63,'Mortality Table'!$A$2:$A$108,'Mortality Table'!$P$2:$P$108),IF((C63&gt;=db!$E$2+10),LOOKUP(C63,'Mortality Table'!$A$2:$A$108,'Mortality Table'!$R$2:$R$108),LOOKUP(C63,'Mortality Table'!$A$2:$A$108,'Mortality Table'!$Q$2:$Q$108))))</f>
        <v>0</v>
      </c>
      <c r="AO63" s="22">
        <f t="shared" si="2"/>
        <v>0</v>
      </c>
      <c r="AP63" s="19">
        <f>IF(B63=0,0, LOOKUP(IF(AND(Changes!Change="Yes", Changes!ValidityYear&lt;=Table14[[#This Row],[Year]], Changes!ChangeType="Change Job Class"),Changes!NewChangedValue, db!$A$8),db!$AX$4:$AX$8,db!$AY$4:$AY$8))</f>
        <v>0</v>
      </c>
      <c r="AQ63" s="20">
        <f>ROUND((AP63/1000)*W63 * (1-db!$AS$9),0)</f>
        <v>0</v>
      </c>
      <c r="AR63" s="20">
        <f>(AP63/1000)*W63 * db!$AS$9</f>
        <v>0</v>
      </c>
      <c r="AS63" s="21">
        <f>IF(B63=0,0, LOOKUP(IF(AND(Changes!Change="Yes", Changes!ValidityYear&lt;=Table14[[#This Row],[Year]], Changes!ChangeType="Change Job Class"),Changes!NewChangedValue, db!$A$8),db!$AX$4:$AX$8,db!$AZ$4:$AZ$8))</f>
        <v>0</v>
      </c>
      <c r="AT63" s="22">
        <f>(AS63/1000)*Y63*(1-db!$AS$9)</f>
        <v>0</v>
      </c>
      <c r="AU63" s="22">
        <f>(AS63/1000)*Y63*(db!$AS$9)</f>
        <v>0</v>
      </c>
      <c r="AV63" s="23">
        <f>IF(B63=0,0, LOOKUP(IF(AND(Changes!Change="Yes", Changes!ValidityYear&lt;=Table14[[#This Row],[Year]], Changes!ChangeType="Change Job Class"),Changes!NewChangedValue, db!$A$8),db!$AX$4:$AX$8,db!$BA$4:$BA$8))</f>
        <v>0</v>
      </c>
      <c r="AW63" s="20">
        <f>ROUND((AV63/(100))*AA63*(1-db!$AS$9),0)</f>
        <v>0</v>
      </c>
      <c r="AX63" s="20">
        <f>ROUND((AV63/(100))*AA63*(db!$AS$9),0)</f>
        <v>0</v>
      </c>
      <c r="AY63" s="21">
        <f>IF(db!$D$8="Yes",AS63,0)</f>
        <v>0</v>
      </c>
      <c r="AZ63" s="22">
        <f>(AY63*AF63)/1000*(1-db!$AS$9)</f>
        <v>0</v>
      </c>
      <c r="BA63" s="22">
        <f>(AY63*AF63)/1000*(db!$AS$9)</f>
        <v>0</v>
      </c>
      <c r="BB63" s="23">
        <f t="shared" si="3"/>
        <v>0</v>
      </c>
      <c r="BC63" s="20">
        <f>(BB63*AH63/1000)*(1-db!$AS$9)</f>
        <v>0</v>
      </c>
      <c r="BD63" s="20">
        <f>(BB63*AH63/1000)*(db!$AS$9)</f>
        <v>0</v>
      </c>
      <c r="BE63" s="22">
        <f>IF(B63=0,0,IF(C63&gt;60,0,LOOKUP(Table14[[#This Row],[Medical
Age]],db!$BC$3:$BC$63,db!$BD$3:$BD$63)))</f>
        <v>0</v>
      </c>
      <c r="BF63" s="22">
        <f>BG63*db!$AS$10</f>
        <v>0</v>
      </c>
      <c r="BG63" s="22">
        <f t="shared" si="4"/>
        <v>0</v>
      </c>
      <c r="BH63" s="22">
        <f>(BE63/1000000)*AJ63*(1-db!$AS$10)</f>
        <v>0</v>
      </c>
      <c r="BI63" s="20">
        <f>IF(B63=0,0,IF(C63&gt;59,0,LOOKUP(Table14[[#This Row],[Medical
Age]],db!$BC$3:$BC$63,db!$BE$3:$BE$63)))</f>
        <v>0</v>
      </c>
      <c r="BJ63" s="20">
        <f>(BI63/1000000)*AL63*(1-db!$AS$11)</f>
        <v>0</v>
      </c>
      <c r="BK63" s="20">
        <f>(BI63/1000000)*AL63*(db!$AS$11)</f>
        <v>0</v>
      </c>
      <c r="BL63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63" s="20">
        <f>Table14[[#This Row],[RiskLoading
Rate]]*Table14[[#This Row],[Death Capital (2)]]</f>
        <v>0</v>
      </c>
      <c r="BN63" s="36"/>
      <c r="BO63" s="37">
        <f t="shared" si="5"/>
        <v>0</v>
      </c>
      <c r="BP63" s="35">
        <f t="shared" si="6"/>
        <v>0</v>
      </c>
      <c r="BQ63" s="35">
        <f t="shared" si="7"/>
        <v>0</v>
      </c>
      <c r="BR63" s="37">
        <f t="shared" si="11"/>
        <v>0</v>
      </c>
      <c r="BS63" s="37">
        <f t="shared" si="12"/>
        <v>0</v>
      </c>
      <c r="BT63" s="35">
        <f t="shared" si="13"/>
        <v>0</v>
      </c>
      <c r="BU63" s="35">
        <f t="shared" si="14"/>
        <v>0</v>
      </c>
      <c r="BV63" s="37">
        <f>(db!$AS$4/100)*(L63-BT63-BU63)</f>
        <v>0</v>
      </c>
      <c r="BW63" s="37">
        <f>(db!$AS$8/100)*(L63-BT63-BU63)</f>
        <v>0</v>
      </c>
      <c r="BX63" s="35"/>
      <c r="BY63" s="37"/>
      <c r="BZ63" s="37"/>
      <c r="CA63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63" s="33"/>
      <c r="CC63" s="39">
        <f>ROUND((Table14[[#This Row],[Premium]]-Table14[[#This Row],[All Deductions]]),0)</f>
        <v>0</v>
      </c>
      <c r="CD63" s="40">
        <f>ROUND(IF(B63=0,0,((CC63)*(1+ IF(AND(Changes!Change="Yes",Changes!ValidityYear&lt;=Table14[[#This Row],[Year]],Annulment&gt;Table14[[#This Row],[Year]],Changes!ChangeType="Paid-Up"),db!Y65+0.02,db!Y65)))+((CD62)*(1+IF(AND(Changes!Change="Yes",Changes!ValidityYear&lt;=Table14[[#This Row],[Year]],Annulment&gt;Table14[[#This Row],[Year]],Changes!ChangeType="Paid-Up"),db!U65+0.02,db!U65)))),0)</f>
        <v>0</v>
      </c>
      <c r="CE63" s="40">
        <f>ROUND(IF(B63=0,0,((CC63)*(1+db!Y65))+((CE62)*(1+db!U65))),0)</f>
        <v>0</v>
      </c>
      <c r="CF63" s="40">
        <f t="shared" si="19"/>
        <v>0</v>
      </c>
      <c r="CG63" s="15">
        <f t="shared" si="15"/>
        <v>62</v>
      </c>
      <c r="CH63" s="39">
        <f>IF(B63=0,0,((CC63)*(1+db!AH65))+((CH62)*(1+db!AD65)))</f>
        <v>0</v>
      </c>
      <c r="CI63" s="39">
        <f>IF(B63=0,0,((CC63)*(1+db!AH65))+((CI62)*(1+db!AD65)))</f>
        <v>0</v>
      </c>
      <c r="CJ63" s="40">
        <f>IF(B63=0,0,((CC63)*(1+db!AO65))+((CJ62)*(1+db!AK65)))</f>
        <v>0</v>
      </c>
      <c r="CK63" s="40">
        <f>CJ63-(SUM(BX$7:$BX64))</f>
        <v>0</v>
      </c>
      <c r="CL63" s="46"/>
    </row>
    <row r="64" spans="1:90">
      <c r="A64" s="347">
        <f t="shared" si="16"/>
        <v>63</v>
      </c>
      <c r="B64" s="345">
        <f>IF(AND(Changes!Change="Yes", Changes!ChangeType="Change Contract Duration"),IF(B63=0,0,IF(Changes!NewChangedValue&lt;B63+1,0,B63+1)),IF(B63=0,0,IF('Application Annually'!$C$5&lt;B63+1,0,B63+1)))</f>
        <v>0</v>
      </c>
      <c r="C64" s="15">
        <f t="shared" si="17"/>
        <v>0</v>
      </c>
      <c r="D64" s="312">
        <f t="shared" si="18"/>
        <v>90</v>
      </c>
      <c r="E64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64" s="29">
        <f t="shared" si="8"/>
        <v>0</v>
      </c>
      <c r="G64" s="29">
        <f t="shared" si="9"/>
        <v>0</v>
      </c>
      <c r="H64" s="29">
        <f t="shared" si="0"/>
        <v>0</v>
      </c>
      <c r="I64" s="29">
        <f>IF(B64&gt;0,IF(AND(Table14[[#This Row],[Year]]&gt;Changes!ValidityYear,Changes!Change="Yes",Changes!ChangeType="Change Value Adjustment"),Changes!$G$22,'Application Annually'!$C$11),0)</f>
        <v>0</v>
      </c>
      <c r="J64" s="29">
        <f>IF(B64&gt;0,IF(AND(Table14[[#This Row],[Year]]&gt;Changes!ValidityYear,Changes!Change="Yes",Changes!ChangeType="Change Value Adjustment"),Changes!$G$24,'Application Annually'!$C$7),0)</f>
        <v>0</v>
      </c>
      <c r="K64" s="29">
        <f>ROUND(IF(B64=0,0,IF(AND(Changes!Change="Yes", Changes!ValidityYear=Table14[[#This Row],[Year]], Changes!ChangeType="Change Premium"), Changes!NewChangedValue, (K63*(1+db!$B$3)))),0)</f>
        <v>0</v>
      </c>
      <c r="L64" s="29">
        <f>ROUND(IF(B64=0,0,IF(AND(Changes!Change="Yes", Changes!ValidityYear=Table14[[#This Row],[Year]], Changes!ChangeType="Change Premium"), Changes!NewChangedValue, (L63*(1+Table14[[#This Row],[Adjustment Factor of Premium]]/100)))),0)</f>
        <v>0</v>
      </c>
      <c r="M64" s="29">
        <f>IF(Table14[[#This Row],[Year]]=1,ROUND(MIN($L$2 -( Table14[[#This Row],[Riders Risk Premiums]] + Table14[[#This Row],[Acquisition Cost]]) *0.75,Table14[[#This Row],[Death Capital (1)]]* 0.03),0),0)</f>
        <v>0</v>
      </c>
      <c r="N64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64" s="29">
        <f>ROUND(IF(ROW()-1&gt;InsurancePeriod,0,(O63*(1+(Table14[[#This Row],[Adjustment Factor of Premium]]/100)))),0)</f>
        <v>0</v>
      </c>
      <c r="P64" s="29">
        <f>IF(Table14[Year] = 0, 0, SUM(L$2:L64))</f>
        <v>0</v>
      </c>
      <c r="Q64" s="17">
        <f t="shared" si="1"/>
        <v>0</v>
      </c>
      <c r="R64" s="17">
        <f>IF(Table14[[#This Row],[Year]]=0,0,IF($C$2&lt;=50,LOOKUP(Table14[[#This Row],[Age]],db!BG65:BG171,db!BH65:BH171),LOOKUP(Table14[[#This Row],[Age]],db!BJ65:BJ171,db!BK65:BK171)))</f>
        <v>0</v>
      </c>
      <c r="S64" s="17">
        <f>IF(B64=0,0, IF(AND(Changes!Change="Yes", Changes!ValidityYear=Table14[[#This Row],[Year]], Changes!ChangeType="Change Death Capital"), Changes!NewChangedValue, S63*(1+(Table14[[#This Row],[Adjustment Factor of Death Capital]]/100))))</f>
        <v>0</v>
      </c>
      <c r="T64" s="17">
        <f>MIN(IF(B64=0,0,Table14[[#This Row],[Death Capital (1)]]),Table14[[#This Row],[Max Sum Insured For Death]])</f>
        <v>0</v>
      </c>
      <c r="U64" s="29">
        <f t="shared" si="10"/>
        <v>0</v>
      </c>
      <c r="V64" s="29">
        <f>IF(B64=0,0,IF(AND(Changes!Change="Yes", Changes!ValidityYear&lt;=Table14[[#This Row],[Year]], Changes!ChangeType="Rider Inclusion/Exclusion", Changes!RiderType="Accident Death"), T64*Changes!NewChangedValue,IF(db!$D$6="Yes",(db!$B$6)*T64,0)))</f>
        <v>0</v>
      </c>
      <c r="W64" s="29">
        <f>MIN(IF(V64&lt;=db!$L$2,V64,db!$L$2),MAX_ACC_CAPITAL)</f>
        <v>0</v>
      </c>
      <c r="X64" s="17">
        <f>IF(OR(B64=0,Table14[[#This Row],[Accident Capital (2)]]=0),0,IF(AND(Changes!Change="Yes", Changes!ValidityYear&lt;=Table14[[#This Row],[Year]], Changes!ChangeType="Rider Inclusion/Exclusion", Changes!RiderType="Accident Disability"), T64*Changes!NewChangedValue,IF(db!$D$7="Yes",(db!$B$7)*T64,0)))</f>
        <v>0</v>
      </c>
      <c r="Y64" s="42">
        <f>IF(C64&gt;69,0,IF(C64=0,0,IF(X64&lt;=db!$L$3,X64,db!$L$3)))</f>
        <v>0</v>
      </c>
      <c r="Z64" s="29">
        <f>IF(OR(B64=0,Table14[[#This Row],[Accident Capital (2)]]=0),0,IF(AND(Changes!Change="Yes", Changes!ValidityYear&lt;=Table14[[#This Row],[Year]], Changes!ChangeType="Rider Inclusion/Exclusion", Changes!RiderType="Accident Medical Cost"), T64*Changes!NewChangedValue,IF(db!$D$9="Yes",(db!$B$9)*T64,0)))</f>
        <v>0</v>
      </c>
      <c r="AA64" s="29">
        <f>ROUND(IF(C64&gt;69,0,IF(C64=0,0,IF(Z64&lt;=db!$L$4,Z64,db!$L$4))),0)</f>
        <v>0</v>
      </c>
      <c r="AB64" s="38">
        <f>IF(AND(Changes!Change = "Yes", Changes!ChangeType = "Rider Inclusion/Exclusion", Changes!RiderType = "WOP"), IF( Changes!ValidityYear &lt;= Table14[[#This Row],[Year]], IF(WOP = "Yes", 0, 1),  IF(WOP = "Yes", 1, 0)), IF(AND(db!$D$8="Yes",C64&lt;=69,ROW()-1&lt;=InsurancePeriod), 1, 0))</f>
        <v>0</v>
      </c>
      <c r="AC64" s="17">
        <f>(AC65+K65)*AB64*((1)/(1+db!AA66))*(LOOKUP(C64,'Mortality Table'!$A$2:$A$108,'Mortality Table'!$E$2:$E$108))</f>
        <v>0</v>
      </c>
      <c r="AD64" s="340">
        <f>IF(AND(Changes!ValidityYear&lt;= Table14[[#This Row],[Year]],Changes!ChangeType="Change Value Adjustment",Changes!Change="Yes"), (AD65+L65)*AB64*((1)/(1+db!AA66))*(LOOKUP(C64,'Mortality Table'!$A$2:$A$108,'Mortality Table'!$E$2:$E$108)),Table14[[#This Row],[WOP Before Adj. BT]])</f>
        <v>0</v>
      </c>
      <c r="AE64" s="341">
        <f>IF(AND(Changes!Change="Yes", Changes!ChangeType="Change Value Adjustment"),Table14[[#This Row],[WOP Capital]],(AE65+O65)*AB64*((1)/(1+db!AA66))*(LOOKUP(D64,'Mortality Table'!$A$2:$A$108,'Mortality Table'!$E$2:$E$108)))</f>
        <v>0</v>
      </c>
      <c r="AF64" s="17">
        <f>IF(AND(Changes!Change="Yes", Changes!ValidityYear&lt;=ROW()-1),Table14[[#This Row],[WOP Capital]],Table14[[#This Row],[WOP without change]])</f>
        <v>0</v>
      </c>
      <c r="AG64" s="42">
        <f>IF(AND(Changes!Change="Yes", Changes!ValidityYear&lt;=Table14[[#This Row],[Year]], Changes!ChangeType="Rider Inclusion/Exclusion", Changes!RiderType="Disability Annuity"), L64*Changes!NewChangedValue,L64*db!B$10*IF(db!$D$10="Yes",1,0))</f>
        <v>0</v>
      </c>
      <c r="AH64" s="29">
        <f>Table14[[#This Row],[Code Annuity Capital]]*IF('Annual Calculation'!C64&gt;69,0,(LOOKUP('Annual Calculation'!C64+1,'Mortality Table'!$A$2:$A$108,'Mortality Table'!$O$2:$O$108)-LOOKUP('Annual Calculation'!C64+11,'Mortality Table'!$A$2:$A$108,'Mortality Table'!$O$2:$O$108))/LOOKUP('Annual Calculation'!C64,'Mortality Table'!$A$2:$A$108,'Mortality Table'!$M$2:$M$108))</f>
        <v>0</v>
      </c>
      <c r="AI64" s="17">
        <f>IF(B64=0,0,IF(AND(Changes!Change="Yes", Changes!ValidityYear&lt;=Table14[[#This Row],[Year]], Changes!ChangeType="Rider Inclusion/Exclusion", Changes!RiderType="Dread Disease"), T64*Changes!NewChangedValue,IF(db!$D$11="Yes",(db!$B$11)*T64,0)))</f>
        <v>0</v>
      </c>
      <c r="AJ64" s="42">
        <f>ROUND(IF(C64&gt;59,0,IF(C64=0,0,IF(AI64&lt;=db!$L$5,AI64,db!$L$5))),0)</f>
        <v>0</v>
      </c>
      <c r="AK64" s="29">
        <f>IF(B64=0,0,IF(AND(Changes!Change="Yes", Changes!ValidityYear&lt;=Table14[[#This Row],[Year]], Changes!ChangeType="Rider Inclusion/Exclusion", Changes!RiderType="Cancer"), T64*Changes!NewChangedValue,IF(db!$D$12="Yes",(db!$B$12)*T64,0)))</f>
        <v>0</v>
      </c>
      <c r="AL64" s="29">
        <f>ROUND(IF(C64&gt;59,0,IF(C64=0,0,IF(AK64&lt;=db!$L$6,AK64,db!$L$6))),0)</f>
        <v>0</v>
      </c>
      <c r="AM64" s="32"/>
      <c r="AN64" s="18">
        <f>IF(B64=0,0,IF(C64&lt;(db!$E$2+5),LOOKUP(C64,'Mortality Table'!$A$2:$A$108,'Mortality Table'!$P$2:$P$108),IF((C64&gt;=db!$E$2+10),LOOKUP(C64,'Mortality Table'!$A$2:$A$108,'Mortality Table'!$R$2:$R$108),LOOKUP(C64,'Mortality Table'!$A$2:$A$108,'Mortality Table'!$Q$2:$Q$108))))</f>
        <v>0</v>
      </c>
      <c r="AO64" s="22">
        <f t="shared" si="2"/>
        <v>0</v>
      </c>
      <c r="AP64" s="19">
        <f>IF(B64=0,0, LOOKUP(IF(AND(Changes!Change="Yes", Changes!ValidityYear&lt;=Table14[[#This Row],[Year]], Changes!ChangeType="Change Job Class"),Changes!NewChangedValue, db!$A$8),db!$AX$4:$AX$8,db!$AY$4:$AY$8))</f>
        <v>0</v>
      </c>
      <c r="AQ64" s="20">
        <f>ROUND((AP64/1000)*W64 * (1-db!$AS$9),0)</f>
        <v>0</v>
      </c>
      <c r="AR64" s="20">
        <f>(AP64/1000)*W64 * db!$AS$9</f>
        <v>0</v>
      </c>
      <c r="AS64" s="21">
        <f>IF(B64=0,0, LOOKUP(IF(AND(Changes!Change="Yes", Changes!ValidityYear&lt;=Table14[[#This Row],[Year]], Changes!ChangeType="Change Job Class"),Changes!NewChangedValue, db!$A$8),db!$AX$4:$AX$8,db!$AZ$4:$AZ$8))</f>
        <v>0</v>
      </c>
      <c r="AT64" s="22">
        <f>(AS64/1000)*Y64*(1-db!$AS$9)</f>
        <v>0</v>
      </c>
      <c r="AU64" s="22">
        <f>(AS64/1000)*Y64*(db!$AS$9)</f>
        <v>0</v>
      </c>
      <c r="AV64" s="23">
        <f>IF(B64=0,0, LOOKUP(IF(AND(Changes!Change="Yes", Changes!ValidityYear&lt;=Table14[[#This Row],[Year]], Changes!ChangeType="Change Job Class"),Changes!NewChangedValue, db!$A$8),db!$AX$4:$AX$8,db!$BA$4:$BA$8))</f>
        <v>0</v>
      </c>
      <c r="AW64" s="20">
        <f>ROUND((AV64/(100))*AA64*(1-db!$AS$9),0)</f>
        <v>0</v>
      </c>
      <c r="AX64" s="20">
        <f>ROUND((AV64/(100))*AA64*(db!$AS$9),0)</f>
        <v>0</v>
      </c>
      <c r="AY64" s="21">
        <f>IF(db!$D$8="Yes",AS64,0)</f>
        <v>0</v>
      </c>
      <c r="AZ64" s="22">
        <f>(AY64*AF64)/1000*(1-db!$AS$9)</f>
        <v>0</v>
      </c>
      <c r="BA64" s="22">
        <f>(AY64*AF64)/1000*(db!$AS$9)</f>
        <v>0</v>
      </c>
      <c r="BB64" s="23">
        <f t="shared" si="3"/>
        <v>0</v>
      </c>
      <c r="BC64" s="20">
        <f>(BB64*AH64/1000)*(1-db!$AS$9)</f>
        <v>0</v>
      </c>
      <c r="BD64" s="20">
        <f>(BB64*AH64/1000)*(db!$AS$9)</f>
        <v>0</v>
      </c>
      <c r="BE64" s="22">
        <f>IF(B64=0,0,IF(C64&gt;60,0,LOOKUP(Table14[[#This Row],[Medical
Age]],db!$BC$3:$BC$63,db!$BD$3:$BD$63)))</f>
        <v>0</v>
      </c>
      <c r="BF64" s="22">
        <f>BG64*db!$AS$10</f>
        <v>0</v>
      </c>
      <c r="BG64" s="22">
        <f t="shared" si="4"/>
        <v>0</v>
      </c>
      <c r="BH64" s="22">
        <f>(BE64/1000000)*AJ64*(1-db!$AS$10)</f>
        <v>0</v>
      </c>
      <c r="BI64" s="20">
        <f>IF(B64=0,0,IF(C64&gt;59,0,LOOKUP(Table14[[#This Row],[Medical
Age]],db!$BC$3:$BC$63,db!$BE$3:$BE$63)))</f>
        <v>0</v>
      </c>
      <c r="BJ64" s="20">
        <f>(BI64/1000000)*AL64*(1-db!$AS$11)</f>
        <v>0</v>
      </c>
      <c r="BK64" s="20">
        <f>(BI64/1000000)*AL64*(db!$AS$11)</f>
        <v>0</v>
      </c>
      <c r="BL64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64" s="20">
        <f>Table14[[#This Row],[RiskLoading
Rate]]*Table14[[#This Row],[Death Capital (2)]]</f>
        <v>0</v>
      </c>
      <c r="BN64" s="36"/>
      <c r="BO64" s="37">
        <f t="shared" si="5"/>
        <v>0</v>
      </c>
      <c r="BP64" s="35">
        <f t="shared" si="6"/>
        <v>0</v>
      </c>
      <c r="BQ64" s="35">
        <f t="shared" si="7"/>
        <v>0</v>
      </c>
      <c r="BR64" s="37">
        <f t="shared" si="11"/>
        <v>0</v>
      </c>
      <c r="BS64" s="37">
        <f t="shared" si="12"/>
        <v>0</v>
      </c>
      <c r="BT64" s="35">
        <f t="shared" si="13"/>
        <v>0</v>
      </c>
      <c r="BU64" s="35">
        <f t="shared" si="14"/>
        <v>0</v>
      </c>
      <c r="BV64" s="37">
        <f>(db!$AS$4/100)*(L64-BT64-BU64)</f>
        <v>0</v>
      </c>
      <c r="BW64" s="37">
        <f>(db!$AS$8/100)*(L64-BT64-BU64)</f>
        <v>0</v>
      </c>
      <c r="BX64" s="35"/>
      <c r="BY64" s="37"/>
      <c r="BZ64" s="37"/>
      <c r="CA64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64" s="33"/>
      <c r="CC64" s="39">
        <f>ROUND((Table14[[#This Row],[Premium]]-Table14[[#This Row],[All Deductions]]),0)</f>
        <v>0</v>
      </c>
      <c r="CD64" s="40">
        <f>ROUND(IF(B64=0,0,((CC64)*(1+ IF(AND(Changes!Change="Yes",Changes!ValidityYear&lt;=Table14[[#This Row],[Year]],Annulment&gt;Table14[[#This Row],[Year]],Changes!ChangeType="Paid-Up"),db!Y66+0.02,db!Y66)))+((CD63)*(1+IF(AND(Changes!Change="Yes",Changes!ValidityYear&lt;=Table14[[#This Row],[Year]],Annulment&gt;Table14[[#This Row],[Year]],Changes!ChangeType="Paid-Up"),db!U66+0.02,db!U66)))),0)</f>
        <v>0</v>
      </c>
      <c r="CE64" s="40">
        <f>ROUND(IF(B64=0,0,((CC64)*(1+db!Y66))+((CE63)*(1+db!U66))),0)</f>
        <v>0</v>
      </c>
      <c r="CF64" s="40">
        <f t="shared" si="19"/>
        <v>0</v>
      </c>
      <c r="CG64" s="15">
        <f t="shared" si="15"/>
        <v>63</v>
      </c>
      <c r="CH64" s="39">
        <f>IF(B64=0,0,((CC64)*(1+db!AH66))+((CH63)*(1+db!AD66)))</f>
        <v>0</v>
      </c>
      <c r="CI64" s="39">
        <f>IF(B64=0,0,((CC64)*(1+db!AH66))+((CI63)*(1+db!AD66)))</f>
        <v>0</v>
      </c>
      <c r="CJ64" s="40">
        <f>IF(B64=0,0,((CC64)*(1+db!AO66))+((CJ63)*(1+db!AK66)))</f>
        <v>0</v>
      </c>
      <c r="CK64" s="40">
        <f>CJ64-(SUM(BX$7:$BX65))</f>
        <v>0</v>
      </c>
      <c r="CL64" s="46"/>
    </row>
    <row r="65" spans="1:90">
      <c r="A65" s="347">
        <f t="shared" si="16"/>
        <v>64</v>
      </c>
      <c r="B65" s="345">
        <f>IF(AND(Changes!Change="Yes", Changes!ChangeType="Change Contract Duration"),IF(B64=0,0,IF(Changes!NewChangedValue&lt;B64+1,0,B64+1)),IF(B64=0,0,IF('Application Annually'!$C$5&lt;B64+1,0,B64+1)))</f>
        <v>0</v>
      </c>
      <c r="C65" s="15">
        <f t="shared" si="17"/>
        <v>0</v>
      </c>
      <c r="D65" s="312">
        <f t="shared" si="18"/>
        <v>91</v>
      </c>
      <c r="E65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65" s="29">
        <f t="shared" si="8"/>
        <v>0</v>
      </c>
      <c r="G65" s="29">
        <f t="shared" si="9"/>
        <v>0</v>
      </c>
      <c r="H65" s="29">
        <f t="shared" si="0"/>
        <v>0</v>
      </c>
      <c r="I65" s="29">
        <f>IF(B65&gt;0,IF(AND(Table14[[#This Row],[Year]]&gt;Changes!ValidityYear,Changes!Change="Yes",Changes!ChangeType="Change Value Adjustment"),Changes!$G$22,'Application Annually'!$C$11),0)</f>
        <v>0</v>
      </c>
      <c r="J65" s="29">
        <f>IF(B65&gt;0,IF(AND(Table14[[#This Row],[Year]]&gt;Changes!ValidityYear,Changes!Change="Yes",Changes!ChangeType="Change Value Adjustment"),Changes!$G$24,'Application Annually'!$C$7),0)</f>
        <v>0</v>
      </c>
      <c r="K65" s="29">
        <f>ROUND(IF(B65=0,0,IF(AND(Changes!Change="Yes", Changes!ValidityYear=Table14[[#This Row],[Year]], Changes!ChangeType="Change Premium"), Changes!NewChangedValue, (K64*(1+db!$B$3)))),0)</f>
        <v>0</v>
      </c>
      <c r="L65" s="29">
        <f>ROUND(IF(B65=0,0,IF(AND(Changes!Change="Yes", Changes!ValidityYear=Table14[[#This Row],[Year]], Changes!ChangeType="Change Premium"), Changes!NewChangedValue, (L64*(1+Table14[[#This Row],[Adjustment Factor of Premium]]/100)))),0)</f>
        <v>0</v>
      </c>
      <c r="M65" s="29">
        <f>IF(Table14[[#This Row],[Year]]=1,ROUND(MIN($L$2 -( Table14[[#This Row],[Riders Risk Premiums]] + Table14[[#This Row],[Acquisition Cost]]) *0.75,Table14[[#This Row],[Death Capital (1)]]* 0.03),0),0)</f>
        <v>0</v>
      </c>
      <c r="N65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65" s="29">
        <f>ROUND(IF(ROW()-1&gt;InsurancePeriod,0,(O64*(1+(Table14[[#This Row],[Adjustment Factor of Premium]]/100)))),0)</f>
        <v>0</v>
      </c>
      <c r="P65" s="29">
        <f>IF(Table14[Year] = 0, 0, SUM(L$2:L65))</f>
        <v>0</v>
      </c>
      <c r="Q65" s="17">
        <f t="shared" si="1"/>
        <v>0</v>
      </c>
      <c r="R65" s="17">
        <f>IF(Table14[[#This Row],[Year]]=0,0,IF($C$2&lt;=50,LOOKUP(Table14[[#This Row],[Age]],db!BG66:BG172,db!BH66:BH172),LOOKUP(Table14[[#This Row],[Age]],db!BJ66:BJ172,db!BK66:BK172)))</f>
        <v>0</v>
      </c>
      <c r="S65" s="17">
        <f>IF(B65=0,0, IF(AND(Changes!Change="Yes", Changes!ValidityYear=Table14[[#This Row],[Year]], Changes!ChangeType="Change Death Capital"), Changes!NewChangedValue, S64*(1+(Table14[[#This Row],[Adjustment Factor of Death Capital]]/100))))</f>
        <v>0</v>
      </c>
      <c r="T65" s="17">
        <f>MIN(IF(B65=0,0,Table14[[#This Row],[Death Capital (1)]]),Table14[[#This Row],[Max Sum Insured For Death]])</f>
        <v>0</v>
      </c>
      <c r="U65" s="29">
        <f t="shared" si="10"/>
        <v>0</v>
      </c>
      <c r="V65" s="29">
        <f>IF(B65=0,0,IF(AND(Changes!Change="Yes", Changes!ValidityYear&lt;=Table14[[#This Row],[Year]], Changes!ChangeType="Rider Inclusion/Exclusion", Changes!RiderType="Accident Death"), T65*Changes!NewChangedValue,IF(db!$D$6="Yes",(db!$B$6)*T65,0)))</f>
        <v>0</v>
      </c>
      <c r="W65" s="29">
        <f>MIN(IF(V65&lt;=db!$L$2,V65,db!$L$2),MAX_ACC_CAPITAL)</f>
        <v>0</v>
      </c>
      <c r="X65" s="17">
        <f>IF(OR(B65=0,Table14[[#This Row],[Accident Capital (2)]]=0),0,IF(AND(Changes!Change="Yes", Changes!ValidityYear&lt;=Table14[[#This Row],[Year]], Changes!ChangeType="Rider Inclusion/Exclusion", Changes!RiderType="Accident Disability"), T65*Changes!NewChangedValue,IF(db!$D$7="Yes",(db!$B$7)*T65,0)))</f>
        <v>0</v>
      </c>
      <c r="Y65" s="42">
        <f>IF(C65&gt;69,0,IF(C65=0,0,IF(X65&lt;=db!$L$3,X65,db!$L$3)))</f>
        <v>0</v>
      </c>
      <c r="Z65" s="29">
        <f>IF(OR(B65=0,Table14[[#This Row],[Accident Capital (2)]]=0),0,IF(AND(Changes!Change="Yes", Changes!ValidityYear&lt;=Table14[[#This Row],[Year]], Changes!ChangeType="Rider Inclusion/Exclusion", Changes!RiderType="Accident Medical Cost"), T65*Changes!NewChangedValue,IF(db!$D$9="Yes",(db!$B$9)*T65,0)))</f>
        <v>0</v>
      </c>
      <c r="AA65" s="29">
        <f>ROUND(IF(C65&gt;69,0,IF(C65=0,0,IF(Z65&lt;=db!$L$4,Z65,db!$L$4))),0)</f>
        <v>0</v>
      </c>
      <c r="AB65" s="38">
        <f>IF(AND(Changes!Change = "Yes", Changes!ChangeType = "Rider Inclusion/Exclusion", Changes!RiderType = "WOP"), IF( Changes!ValidityYear &lt;= Table14[[#This Row],[Year]], IF(WOP = "Yes", 0, 1),  IF(WOP = "Yes", 1, 0)), IF(AND(db!$D$8="Yes",C65&lt;=69,ROW()-1&lt;=InsurancePeriod), 1, 0))</f>
        <v>0</v>
      </c>
      <c r="AC65" s="17">
        <f>(AC66+K66)*AB65*((1)/(1+db!AA67))*(LOOKUP(C65,'Mortality Table'!$A$2:$A$108,'Mortality Table'!$E$2:$E$108))</f>
        <v>0</v>
      </c>
      <c r="AD65" s="340">
        <f>IF(AND(Changes!ValidityYear&lt;= Table14[[#This Row],[Year]],Changes!ChangeType="Change Value Adjustment",Changes!Change="Yes"), (AD66+L66)*AB65*((1)/(1+db!AA67))*(LOOKUP(C65,'Mortality Table'!$A$2:$A$108,'Mortality Table'!$E$2:$E$108)),Table14[[#This Row],[WOP Before Adj. BT]])</f>
        <v>0</v>
      </c>
      <c r="AE65" s="341">
        <f>IF(AND(Changes!Change="Yes", Changes!ChangeType="Change Value Adjustment"),Table14[[#This Row],[WOP Capital]],(AE66+O66)*AB65*((1)/(1+db!AA67))*(LOOKUP(D65,'Mortality Table'!$A$2:$A$108,'Mortality Table'!$E$2:$E$108)))</f>
        <v>0</v>
      </c>
      <c r="AF65" s="17">
        <f>IF(AND(Changes!Change="Yes", Changes!ValidityYear&lt;=ROW()-1),Table14[[#This Row],[WOP Capital]],Table14[[#This Row],[WOP without change]])</f>
        <v>0</v>
      </c>
      <c r="AG65" s="42">
        <f>IF(AND(Changes!Change="Yes", Changes!ValidityYear&lt;=Table14[[#This Row],[Year]], Changes!ChangeType="Rider Inclusion/Exclusion", Changes!RiderType="Disability Annuity"), L65*Changes!NewChangedValue,L65*db!B$10*IF(db!$D$10="Yes",1,0))</f>
        <v>0</v>
      </c>
      <c r="AH65" s="29">
        <f>Table14[[#This Row],[Code Annuity Capital]]*IF('Annual Calculation'!C65&gt;69,0,(LOOKUP('Annual Calculation'!C65+1,'Mortality Table'!$A$2:$A$108,'Mortality Table'!$O$2:$O$108)-LOOKUP('Annual Calculation'!C65+11,'Mortality Table'!$A$2:$A$108,'Mortality Table'!$O$2:$O$108))/LOOKUP('Annual Calculation'!C65,'Mortality Table'!$A$2:$A$108,'Mortality Table'!$M$2:$M$108))</f>
        <v>0</v>
      </c>
      <c r="AI65" s="17">
        <f>IF(B65=0,0,IF(AND(Changes!Change="Yes", Changes!ValidityYear&lt;=Table14[[#This Row],[Year]], Changes!ChangeType="Rider Inclusion/Exclusion", Changes!RiderType="Dread Disease"), T65*Changes!NewChangedValue,IF(db!$D$11="Yes",(db!$B$11)*T65,0)))</f>
        <v>0</v>
      </c>
      <c r="AJ65" s="42">
        <f>ROUND(IF(C65&gt;59,0,IF(C65=0,0,IF(AI65&lt;=db!$L$5,AI65,db!$L$5))),0)</f>
        <v>0</v>
      </c>
      <c r="AK65" s="29">
        <f>IF(B65=0,0,IF(AND(Changes!Change="Yes", Changes!ValidityYear&lt;=Table14[[#This Row],[Year]], Changes!ChangeType="Rider Inclusion/Exclusion", Changes!RiderType="Cancer"), T65*Changes!NewChangedValue,IF(db!$D$12="Yes",(db!$B$12)*T65,0)))</f>
        <v>0</v>
      </c>
      <c r="AL65" s="29">
        <f>ROUND(IF(C65&gt;59,0,IF(C65=0,0,IF(AK65&lt;=db!$L$6,AK65,db!$L$6))),0)</f>
        <v>0</v>
      </c>
      <c r="AM65" s="32"/>
      <c r="AN65" s="18">
        <f>IF(B65=0,0,IF(C65&lt;(db!$E$2+5),LOOKUP(C65,'Mortality Table'!$A$2:$A$108,'Mortality Table'!$P$2:$P$108),IF((C65&gt;=db!$E$2+10),LOOKUP(C65,'Mortality Table'!$A$2:$A$108,'Mortality Table'!$R$2:$R$108),LOOKUP(C65,'Mortality Table'!$A$2:$A$108,'Mortality Table'!$Q$2:$Q$108))))</f>
        <v>0</v>
      </c>
      <c r="AO65" s="22">
        <f t="shared" si="2"/>
        <v>0</v>
      </c>
      <c r="AP65" s="19">
        <f>IF(B65=0,0, LOOKUP(IF(AND(Changes!Change="Yes", Changes!ValidityYear&lt;=Table14[[#This Row],[Year]], Changes!ChangeType="Change Job Class"),Changes!NewChangedValue, db!$A$8),db!$AX$4:$AX$8,db!$AY$4:$AY$8))</f>
        <v>0</v>
      </c>
      <c r="AQ65" s="20">
        <f>ROUND((AP65/1000)*W65 * (1-db!$AS$9),0)</f>
        <v>0</v>
      </c>
      <c r="AR65" s="20">
        <f>(AP65/1000)*W65 * db!$AS$9</f>
        <v>0</v>
      </c>
      <c r="AS65" s="21">
        <f>IF(B65=0,0, LOOKUP(IF(AND(Changes!Change="Yes", Changes!ValidityYear&lt;=Table14[[#This Row],[Year]], Changes!ChangeType="Change Job Class"),Changes!NewChangedValue, db!$A$8),db!$AX$4:$AX$8,db!$AZ$4:$AZ$8))</f>
        <v>0</v>
      </c>
      <c r="AT65" s="22">
        <f>(AS65/1000)*Y65*(1-db!$AS$9)</f>
        <v>0</v>
      </c>
      <c r="AU65" s="22">
        <f>(AS65/1000)*Y65*(db!$AS$9)</f>
        <v>0</v>
      </c>
      <c r="AV65" s="23">
        <f>IF(B65=0,0, LOOKUP(IF(AND(Changes!Change="Yes", Changes!ValidityYear&lt;=Table14[[#This Row],[Year]], Changes!ChangeType="Change Job Class"),Changes!NewChangedValue, db!$A$8),db!$AX$4:$AX$8,db!$BA$4:$BA$8))</f>
        <v>0</v>
      </c>
      <c r="AW65" s="20">
        <f>ROUND((AV65/(100))*AA65*(1-db!$AS$9),0)</f>
        <v>0</v>
      </c>
      <c r="AX65" s="20">
        <f>ROUND((AV65/(100))*AA65*(db!$AS$9),0)</f>
        <v>0</v>
      </c>
      <c r="AY65" s="21">
        <f>IF(db!$D$8="Yes",AS65,0)</f>
        <v>0</v>
      </c>
      <c r="AZ65" s="22">
        <f>(AY65*AF65)/1000*(1-db!$AS$9)</f>
        <v>0</v>
      </c>
      <c r="BA65" s="22">
        <f>(AY65*AF65)/1000*(db!$AS$9)</f>
        <v>0</v>
      </c>
      <c r="BB65" s="23">
        <f t="shared" si="3"/>
        <v>0</v>
      </c>
      <c r="BC65" s="20">
        <f>(BB65*AH65/1000)*(1-db!$AS$9)</f>
        <v>0</v>
      </c>
      <c r="BD65" s="20">
        <f>(BB65*AH65/1000)*(db!$AS$9)</f>
        <v>0</v>
      </c>
      <c r="BE65" s="22">
        <f>IF(B65=0,0,IF(C65&gt;60,0,LOOKUP(Table14[[#This Row],[Medical
Age]],db!$BC$3:$BC$63,db!$BD$3:$BD$63)))</f>
        <v>0</v>
      </c>
      <c r="BF65" s="22">
        <f>BG65*db!$AS$10</f>
        <v>0</v>
      </c>
      <c r="BG65" s="22">
        <f t="shared" si="4"/>
        <v>0</v>
      </c>
      <c r="BH65" s="22">
        <f>(BE65/1000000)*AJ65*(1-db!$AS$10)</f>
        <v>0</v>
      </c>
      <c r="BI65" s="20">
        <f>IF(B65=0,0,IF(C65&gt;59,0,LOOKUP(Table14[[#This Row],[Medical
Age]],db!$BC$3:$BC$63,db!$BE$3:$BE$63)))</f>
        <v>0</v>
      </c>
      <c r="BJ65" s="20">
        <f>(BI65/1000000)*AL65*(1-db!$AS$11)</f>
        <v>0</v>
      </c>
      <c r="BK65" s="20">
        <f>(BI65/1000000)*AL65*(db!$AS$11)</f>
        <v>0</v>
      </c>
      <c r="BL65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65" s="20">
        <f>Table14[[#This Row],[RiskLoading
Rate]]*Table14[[#This Row],[Death Capital (2)]]</f>
        <v>0</v>
      </c>
      <c r="BN65" s="36"/>
      <c r="BO65" s="37">
        <f t="shared" si="5"/>
        <v>0</v>
      </c>
      <c r="BP65" s="35">
        <f t="shared" si="6"/>
        <v>0</v>
      </c>
      <c r="BQ65" s="35">
        <f t="shared" si="7"/>
        <v>0</v>
      </c>
      <c r="BR65" s="37">
        <f t="shared" si="11"/>
        <v>0</v>
      </c>
      <c r="BS65" s="37">
        <f t="shared" si="12"/>
        <v>0</v>
      </c>
      <c r="BT65" s="35">
        <f t="shared" si="13"/>
        <v>0</v>
      </c>
      <c r="BU65" s="35">
        <f t="shared" si="14"/>
        <v>0</v>
      </c>
      <c r="BV65" s="37">
        <f>(db!$AS$4/100)*(L65-BT65-BU65)</f>
        <v>0</v>
      </c>
      <c r="BW65" s="37">
        <f>(db!$AS$8/100)*(L65-BT65-BU65)</f>
        <v>0</v>
      </c>
      <c r="BX65" s="35"/>
      <c r="BY65" s="37"/>
      <c r="BZ65" s="37"/>
      <c r="CA65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65" s="33"/>
      <c r="CC65" s="39">
        <f>ROUND((Table14[[#This Row],[Premium]]-Table14[[#This Row],[All Deductions]]),0)</f>
        <v>0</v>
      </c>
      <c r="CD65" s="40">
        <f>ROUND(IF(B65=0,0,((CC65)*(1+ IF(AND(Changes!Change="Yes",Changes!ValidityYear&lt;=Table14[[#This Row],[Year]],Annulment&gt;Table14[[#This Row],[Year]],Changes!ChangeType="Paid-Up"),db!Y67+0.02,db!Y67)))+((CD64)*(1+IF(AND(Changes!Change="Yes",Changes!ValidityYear&lt;=Table14[[#This Row],[Year]],Annulment&gt;Table14[[#This Row],[Year]],Changes!ChangeType="Paid-Up"),db!U67+0.02,db!U67)))),0)</f>
        <v>0</v>
      </c>
      <c r="CE65" s="40">
        <f>ROUND(IF(B65=0,0,((CC65)*(1+db!Y67))+((CE64)*(1+db!U67))),0)</f>
        <v>0</v>
      </c>
      <c r="CF65" s="40">
        <f t="shared" si="19"/>
        <v>0</v>
      </c>
      <c r="CG65" s="15">
        <f t="shared" si="15"/>
        <v>64</v>
      </c>
      <c r="CH65" s="39">
        <f>IF(B65=0,0,((CC65)*(1+db!AH67))+((CH64)*(1+db!AD67)))</f>
        <v>0</v>
      </c>
      <c r="CI65" s="39">
        <f>IF(B65=0,0,((CC65)*(1+db!AH67))+((CI64)*(1+db!AD67)))</f>
        <v>0</v>
      </c>
      <c r="CJ65" s="40">
        <f>IF(B65=0,0,((CC65)*(1+db!AO67))+((CJ64)*(1+db!AK67)))</f>
        <v>0</v>
      </c>
      <c r="CK65" s="40">
        <f>CJ65-(SUM(BX$7:$BX66))</f>
        <v>0</v>
      </c>
      <c r="CL65" s="46"/>
    </row>
    <row r="66" spans="1:90">
      <c r="A66" s="347">
        <f t="shared" si="16"/>
        <v>65</v>
      </c>
      <c r="B66" s="345">
        <f>IF(AND(Changes!Change="Yes", Changes!ChangeType="Change Contract Duration"),IF(B65=0,0,IF(Changes!NewChangedValue&lt;B65+1,0,B65+1)),IF(B65=0,0,IF('Application Annually'!$C$5&lt;B65+1,0,B65+1)))</f>
        <v>0</v>
      </c>
      <c r="C66" s="15">
        <f t="shared" si="17"/>
        <v>0</v>
      </c>
      <c r="D66" s="312">
        <f t="shared" si="18"/>
        <v>92</v>
      </c>
      <c r="E66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66" s="29">
        <f t="shared" si="8"/>
        <v>0</v>
      </c>
      <c r="G66" s="29">
        <f t="shared" si="9"/>
        <v>0</v>
      </c>
      <c r="H66" s="29">
        <f t="shared" ref="H66:H107" si="20" xml:space="preserve"> ROUND(L66 * (1 + SumOfTAX),-3)</f>
        <v>0</v>
      </c>
      <c r="I66" s="29">
        <f>IF(B66&gt;0,IF(AND(Table14[[#This Row],[Year]]&gt;Changes!ValidityYear,Changes!Change="Yes",Changes!ChangeType="Change Value Adjustment"),Changes!$G$22,'Application Annually'!$C$11),0)</f>
        <v>0</v>
      </c>
      <c r="J66" s="29">
        <f>IF(B66&gt;0,IF(AND(Table14[[#This Row],[Year]]&gt;Changes!ValidityYear,Changes!Change="Yes",Changes!ChangeType="Change Value Adjustment"),Changes!$G$24,'Application Annually'!$C$7),0)</f>
        <v>0</v>
      </c>
      <c r="K66" s="29">
        <f>ROUND(IF(B66=0,0,IF(AND(Changes!Change="Yes", Changes!ValidityYear=Table14[[#This Row],[Year]], Changes!ChangeType="Change Premium"), Changes!NewChangedValue, (K65*(1+db!$B$3)))),0)</f>
        <v>0</v>
      </c>
      <c r="L66" s="29">
        <f>ROUND(IF(B66=0,0,IF(AND(Changes!Change="Yes", Changes!ValidityYear=Table14[[#This Row],[Year]], Changes!ChangeType="Change Premium"), Changes!NewChangedValue, (L65*(1+Table14[[#This Row],[Adjustment Factor of Premium]]/100)))),0)</f>
        <v>0</v>
      </c>
      <c r="M66" s="29">
        <f>IF(Table14[[#This Row],[Year]]=1,ROUND(MIN($L$2 -( Table14[[#This Row],[Riders Risk Premiums]] + Table14[[#This Row],[Acquisition Cost]]) *0.75,Table14[[#This Row],[Death Capital (1)]]* 0.03),0),0)</f>
        <v>0</v>
      </c>
      <c r="N66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66" s="29">
        <f>ROUND(IF(ROW()-1&gt;InsurancePeriod,0,(O65*(1+(Table14[[#This Row],[Adjustment Factor of Premium]]/100)))),0)</f>
        <v>0</v>
      </c>
      <c r="P66" s="29">
        <f>IF(Table14[Year] = 0, 0, SUM(L$2:L66))</f>
        <v>0</v>
      </c>
      <c r="Q66" s="17">
        <f t="shared" ref="Q66:Q107" si="21">ROUND(T66,-3)</f>
        <v>0</v>
      </c>
      <c r="R66" s="17">
        <f>IF(Table14[[#This Row],[Year]]=0,0,IF($C$2&lt;=50,LOOKUP(Table14[[#This Row],[Age]],db!BG67:BG173,db!BH67:BH173),LOOKUP(Table14[[#This Row],[Age]],db!BJ67:BJ173,db!BK67:BK173)))</f>
        <v>0</v>
      </c>
      <c r="S66" s="17">
        <f>IF(B66=0,0, IF(AND(Changes!Change="Yes", Changes!ValidityYear=Table14[[#This Row],[Year]], Changes!ChangeType="Change Death Capital"), Changes!NewChangedValue, S65*(1+(Table14[[#This Row],[Adjustment Factor of Death Capital]]/100))))</f>
        <v>0</v>
      </c>
      <c r="T66" s="17">
        <f>MIN(IF(B66=0,0,Table14[[#This Row],[Death Capital (1)]]),Table14[[#This Row],[Max Sum Insured For Death]])</f>
        <v>0</v>
      </c>
      <c r="U66" s="29">
        <f t="shared" si="10"/>
        <v>0</v>
      </c>
      <c r="V66" s="29">
        <f>IF(B66=0,0,IF(AND(Changes!Change="Yes", Changes!ValidityYear&lt;=Table14[[#This Row],[Year]], Changes!ChangeType="Rider Inclusion/Exclusion", Changes!RiderType="Accident Death"), T66*Changes!NewChangedValue,IF(db!$D$6="Yes",(db!$B$6)*T66,0)))</f>
        <v>0</v>
      </c>
      <c r="W66" s="29">
        <f>MIN(IF(V66&lt;=db!$L$2,V66,db!$L$2),MAX_ACC_CAPITAL)</f>
        <v>0</v>
      </c>
      <c r="X66" s="17">
        <f>IF(OR(B66=0,Table14[[#This Row],[Accident Capital (2)]]=0),0,IF(AND(Changes!Change="Yes", Changes!ValidityYear&lt;=Table14[[#This Row],[Year]], Changes!ChangeType="Rider Inclusion/Exclusion", Changes!RiderType="Accident Disability"), T66*Changes!NewChangedValue,IF(db!$D$7="Yes",(db!$B$7)*T66,0)))</f>
        <v>0</v>
      </c>
      <c r="Y66" s="42">
        <f>IF(C66&gt;69,0,IF(C66=0,0,IF(X66&lt;=db!$L$3,X66,db!$L$3)))</f>
        <v>0</v>
      </c>
      <c r="Z66" s="29">
        <f>IF(OR(B66=0,Table14[[#This Row],[Accident Capital (2)]]=0),0,IF(AND(Changes!Change="Yes", Changes!ValidityYear&lt;=Table14[[#This Row],[Year]], Changes!ChangeType="Rider Inclusion/Exclusion", Changes!RiderType="Accident Medical Cost"), T66*Changes!NewChangedValue,IF(db!$D$9="Yes",(db!$B$9)*T66,0)))</f>
        <v>0</v>
      </c>
      <c r="AA66" s="29">
        <f>ROUND(IF(C66&gt;69,0,IF(C66=0,0,IF(Z66&lt;=db!$L$4,Z66,db!$L$4))),0)</f>
        <v>0</v>
      </c>
      <c r="AB66" s="38">
        <f>IF(AND(Changes!Change = "Yes", Changes!ChangeType = "Rider Inclusion/Exclusion", Changes!RiderType = "WOP"), IF( Changes!ValidityYear &lt;= Table14[[#This Row],[Year]], IF(WOP = "Yes", 0, 1),  IF(WOP = "Yes", 1, 0)), IF(AND(db!$D$8="Yes",C66&lt;=69,ROW()-1&lt;=InsurancePeriod), 1, 0))</f>
        <v>0</v>
      </c>
      <c r="AC66" s="17">
        <f>(AC67+K67)*AB66*((1)/(1+db!AA68))*(LOOKUP(C66,'Mortality Table'!$A$2:$A$108,'Mortality Table'!$E$2:$E$108))</f>
        <v>0</v>
      </c>
      <c r="AD66" s="340">
        <f>IF(AND(Changes!ValidityYear&lt;= Table14[[#This Row],[Year]],Changes!ChangeType="Change Value Adjustment",Changes!Change="Yes"), (AD67+L67)*AB66*((1)/(1+db!AA68))*(LOOKUP(C66,'Mortality Table'!$A$2:$A$108,'Mortality Table'!$E$2:$E$108)),Table14[[#This Row],[WOP Before Adj. BT]])</f>
        <v>0</v>
      </c>
      <c r="AE66" s="341">
        <f>IF(AND(Changes!Change="Yes", Changes!ChangeType="Change Value Adjustment"),Table14[[#This Row],[WOP Capital]],(AE67+O67)*AB66*((1)/(1+db!AA68))*(LOOKUP(D66,'Mortality Table'!$A$2:$A$108,'Mortality Table'!$E$2:$E$108)))</f>
        <v>0</v>
      </c>
      <c r="AF66" s="17">
        <f>IF(AND(Changes!Change="Yes", Changes!ValidityYear&lt;=ROW()-1),Table14[[#This Row],[WOP Capital]],Table14[[#This Row],[WOP without change]])</f>
        <v>0</v>
      </c>
      <c r="AG66" s="42">
        <f>IF(AND(Changes!Change="Yes", Changes!ValidityYear&lt;=Table14[[#This Row],[Year]], Changes!ChangeType="Rider Inclusion/Exclusion", Changes!RiderType="Disability Annuity"), L66*Changes!NewChangedValue,L66*db!B$10*IF(db!$D$10="Yes",1,0))</f>
        <v>0</v>
      </c>
      <c r="AH66" s="29">
        <f>Table14[[#This Row],[Code Annuity Capital]]*IF('Annual Calculation'!C66&gt;69,0,(LOOKUP('Annual Calculation'!C66+1,'Mortality Table'!$A$2:$A$108,'Mortality Table'!$O$2:$O$108)-LOOKUP('Annual Calculation'!C66+11,'Mortality Table'!$A$2:$A$108,'Mortality Table'!$O$2:$O$108))/LOOKUP('Annual Calculation'!C66,'Mortality Table'!$A$2:$A$108,'Mortality Table'!$M$2:$M$108))</f>
        <v>0</v>
      </c>
      <c r="AI66" s="17">
        <f>IF(B66=0,0,IF(AND(Changes!Change="Yes", Changes!ValidityYear&lt;=Table14[[#This Row],[Year]], Changes!ChangeType="Rider Inclusion/Exclusion", Changes!RiderType="Dread Disease"), T66*Changes!NewChangedValue,IF(db!$D$11="Yes",(db!$B$11)*T66,0)))</f>
        <v>0</v>
      </c>
      <c r="AJ66" s="42">
        <f>ROUND(IF(C66&gt;59,0,IF(C66=0,0,IF(AI66&lt;=db!$L$5,AI66,db!$L$5))),0)</f>
        <v>0</v>
      </c>
      <c r="AK66" s="29">
        <f>IF(B66=0,0,IF(AND(Changes!Change="Yes", Changes!ValidityYear&lt;=Table14[[#This Row],[Year]], Changes!ChangeType="Rider Inclusion/Exclusion", Changes!RiderType="Cancer"), T66*Changes!NewChangedValue,IF(db!$D$12="Yes",(db!$B$12)*T66,0)))</f>
        <v>0</v>
      </c>
      <c r="AL66" s="29">
        <f>ROUND(IF(C66&gt;59,0,IF(C66=0,0,IF(AK66&lt;=db!$L$6,AK66,db!$L$6))),0)</f>
        <v>0</v>
      </c>
      <c r="AM66" s="32"/>
      <c r="AN66" s="18">
        <f>IF(B66=0,0,IF(C66&lt;(db!$E$2+5),LOOKUP(C66,'Mortality Table'!$A$2:$A$108,'Mortality Table'!$P$2:$P$108),IF((C66&gt;=db!$E$2+10),LOOKUP(C66,'Mortality Table'!$A$2:$A$108,'Mortality Table'!$R$2:$R$108),LOOKUP(C66,'Mortality Table'!$A$2:$A$108,'Mortality Table'!$Q$2:$Q$108))))</f>
        <v>0</v>
      </c>
      <c r="AO66" s="22">
        <f t="shared" ref="AO66:AO107" si="22">ROUND(AN66*T66,0)</f>
        <v>0</v>
      </c>
      <c r="AP66" s="19">
        <f>IF(B66=0,0, LOOKUP(IF(AND(Changes!Change="Yes", Changes!ValidityYear&lt;=Table14[[#This Row],[Year]], Changes!ChangeType="Change Job Class"),Changes!NewChangedValue, db!$A$8),db!$AX$4:$AX$8,db!$AY$4:$AY$8))</f>
        <v>0</v>
      </c>
      <c r="AQ66" s="20">
        <f>ROUND((AP66/1000)*W66 * (1-db!$AS$9),0)</f>
        <v>0</v>
      </c>
      <c r="AR66" s="20">
        <f>(AP66/1000)*W66 * db!$AS$9</f>
        <v>0</v>
      </c>
      <c r="AS66" s="21">
        <f>IF(B66=0,0, LOOKUP(IF(AND(Changes!Change="Yes", Changes!ValidityYear&lt;=Table14[[#This Row],[Year]], Changes!ChangeType="Change Job Class"),Changes!NewChangedValue, db!$A$8),db!$AX$4:$AX$8,db!$AZ$4:$AZ$8))</f>
        <v>0</v>
      </c>
      <c r="AT66" s="22">
        <f>(AS66/1000)*Y66*(1-db!$AS$9)</f>
        <v>0</v>
      </c>
      <c r="AU66" s="22">
        <f>(AS66/1000)*Y66*(db!$AS$9)</f>
        <v>0</v>
      </c>
      <c r="AV66" s="23">
        <f>IF(B66=0,0, LOOKUP(IF(AND(Changes!Change="Yes", Changes!ValidityYear&lt;=Table14[[#This Row],[Year]], Changes!ChangeType="Change Job Class"),Changes!NewChangedValue, db!$A$8),db!$AX$4:$AX$8,db!$BA$4:$BA$8))</f>
        <v>0</v>
      </c>
      <c r="AW66" s="20">
        <f>ROUND((AV66/(100))*AA66*(1-db!$AS$9),0)</f>
        <v>0</v>
      </c>
      <c r="AX66" s="20">
        <f>ROUND((AV66/(100))*AA66*(db!$AS$9),0)</f>
        <v>0</v>
      </c>
      <c r="AY66" s="21">
        <f>IF(db!$D$8="Yes",AS66,0)</f>
        <v>0</v>
      </c>
      <c r="AZ66" s="22">
        <f>(AY66*AF66)/1000*(1-db!$AS$9)</f>
        <v>0</v>
      </c>
      <c r="BA66" s="22">
        <f>(AY66*AF66)/1000*(db!$AS$9)</f>
        <v>0</v>
      </c>
      <c r="BB66" s="23">
        <f t="shared" ref="BB66:BB107" si="23">AS66</f>
        <v>0</v>
      </c>
      <c r="BC66" s="20">
        <f>(BB66*AH66/1000)*(1-db!$AS$9)</f>
        <v>0</v>
      </c>
      <c r="BD66" s="20">
        <f>(BB66*AH66/1000)*(db!$AS$9)</f>
        <v>0</v>
      </c>
      <c r="BE66" s="22">
        <f>IF(B66=0,0,IF(C66&gt;60,0,LOOKUP(Table14[[#This Row],[Medical
Age]],db!$BC$3:$BC$63,db!$BD$3:$BD$63)))</f>
        <v>0</v>
      </c>
      <c r="BF66" s="22">
        <f>BG66*db!$AS$10</f>
        <v>0</v>
      </c>
      <c r="BG66" s="22">
        <f t="shared" ref="BG66:BG107" si="24">(BE66/1000000)*AJ66</f>
        <v>0</v>
      </c>
      <c r="BH66" s="22">
        <f>(BE66/1000000)*AJ66*(1-db!$AS$10)</f>
        <v>0</v>
      </c>
      <c r="BI66" s="20">
        <f>IF(B66=0,0,IF(C66&gt;59,0,LOOKUP(Table14[[#This Row],[Medical
Age]],db!$BC$3:$BC$63,db!$BE$3:$BE$63)))</f>
        <v>0</v>
      </c>
      <c r="BJ66" s="20">
        <f>(BI66/1000000)*AL66*(1-db!$AS$11)</f>
        <v>0</v>
      </c>
      <c r="BK66" s="20">
        <f>(BI66/1000000)*AL66*(db!$AS$11)</f>
        <v>0</v>
      </c>
      <c r="BL66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66" s="20">
        <f>Table14[[#This Row],[RiskLoading
Rate]]*Table14[[#This Row],[Death Capital (2)]]</f>
        <v>0</v>
      </c>
      <c r="BN66" s="36"/>
      <c r="BO66" s="37">
        <f t="shared" ref="BO66:BO107" si="25">AO66</f>
        <v>0</v>
      </c>
      <c r="BP66" s="35">
        <f t="shared" ref="BP66:BP107" si="26">(BC66+AZ66+AW66+AT66+AQ66)</f>
        <v>0</v>
      </c>
      <c r="BQ66" s="35">
        <f t="shared" ref="BQ66:BQ107" si="27">AR66+AU66+AX66+BA66+BD66</f>
        <v>0</v>
      </c>
      <c r="BR66" s="37">
        <f t="shared" si="11"/>
        <v>0</v>
      </c>
      <c r="BS66" s="37">
        <f t="shared" si="12"/>
        <v>0</v>
      </c>
      <c r="BT66" s="35">
        <f t="shared" si="13"/>
        <v>0</v>
      </c>
      <c r="BU66" s="35">
        <f t="shared" si="14"/>
        <v>0</v>
      </c>
      <c r="BV66" s="37">
        <f>(db!$AS$4/100)*(L66-BT66-BU66)</f>
        <v>0</v>
      </c>
      <c r="BW66" s="37">
        <f>(db!$AS$8/100)*(L66-BT66-BU66)</f>
        <v>0</v>
      </c>
      <c r="BX66" s="35"/>
      <c r="BY66" s="37"/>
      <c r="BZ66" s="37"/>
      <c r="CA66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66" s="33"/>
      <c r="CC66" s="39">
        <f>ROUND((Table14[[#This Row],[Premium]]-Table14[[#This Row],[All Deductions]]),0)</f>
        <v>0</v>
      </c>
      <c r="CD66" s="40">
        <f>ROUND(IF(B66=0,0,((CC66)*(1+ IF(AND(Changes!Change="Yes",Changes!ValidityYear&lt;=Table14[[#This Row],[Year]],Annulment&gt;Table14[[#This Row],[Year]],Changes!ChangeType="Paid-Up"),db!Y68+0.02,db!Y68)))+((CD65)*(1+IF(AND(Changes!Change="Yes",Changes!ValidityYear&lt;=Table14[[#This Row],[Year]],Annulment&gt;Table14[[#This Row],[Year]],Changes!ChangeType="Paid-Up"),db!U68+0.02,db!U68)))),0)</f>
        <v>0</v>
      </c>
      <c r="CE66" s="40">
        <f>ROUND(IF(B66=0,0,((CC66)*(1+db!Y68))+((CE65)*(1+db!U68))),0)</f>
        <v>0</v>
      </c>
      <c r="CF66" s="40">
        <f t="shared" si="19"/>
        <v>0</v>
      </c>
      <c r="CG66" s="15">
        <f t="shared" si="15"/>
        <v>65</v>
      </c>
      <c r="CH66" s="39">
        <f>IF(B66=0,0,((CC66)*(1+db!AH68))+((CH65)*(1+db!AD68)))</f>
        <v>0</v>
      </c>
      <c r="CI66" s="39">
        <f>IF(B66=0,0,((CC66)*(1+db!AH68))+((CI65)*(1+db!AD68)))</f>
        <v>0</v>
      </c>
      <c r="CJ66" s="40">
        <f>IF(B66=0,0,((CC66)*(1+db!AO68))+((CJ65)*(1+db!AK68)))</f>
        <v>0</v>
      </c>
      <c r="CK66" s="40">
        <f>CJ66-(SUM(BX$7:$BX67))</f>
        <v>0</v>
      </c>
      <c r="CL66" s="46"/>
    </row>
    <row r="67" spans="1:90">
      <c r="A67" s="347">
        <f t="shared" si="16"/>
        <v>66</v>
      </c>
      <c r="B67" s="345">
        <f>IF(AND(Changes!Change="Yes", Changes!ChangeType="Change Contract Duration"),IF(B66=0,0,IF(Changes!NewChangedValue&lt;B66+1,0,B66+1)),IF(B66=0,0,IF('Application Annually'!$C$5&lt;B66+1,0,B66+1)))</f>
        <v>0</v>
      </c>
      <c r="C67" s="15">
        <f t="shared" si="17"/>
        <v>0</v>
      </c>
      <c r="D67" s="312">
        <f t="shared" si="18"/>
        <v>93</v>
      </c>
      <c r="E67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67" s="29">
        <f t="shared" ref="F67:F107" si="28">ROUND(L67,-3)</f>
        <v>0</v>
      </c>
      <c r="G67" s="29">
        <f t="shared" ref="G67:G107" si="29">ROUND(L67,-3)</f>
        <v>0</v>
      </c>
      <c r="H67" s="29">
        <f t="shared" si="20"/>
        <v>0</v>
      </c>
      <c r="I67" s="29">
        <f>IF(B67&gt;0,IF(AND(Table14[[#This Row],[Year]]&gt;Changes!ValidityYear,Changes!Change="Yes",Changes!ChangeType="Change Value Adjustment"),Changes!$G$22,'Application Annually'!$C$11),0)</f>
        <v>0</v>
      </c>
      <c r="J67" s="29">
        <f>IF(B67&gt;0,IF(AND(Table14[[#This Row],[Year]]&gt;Changes!ValidityYear,Changes!Change="Yes",Changes!ChangeType="Change Value Adjustment"),Changes!$G$24,'Application Annually'!$C$7),0)</f>
        <v>0</v>
      </c>
      <c r="K67" s="29">
        <f>ROUND(IF(B67=0,0,IF(AND(Changes!Change="Yes", Changes!ValidityYear=Table14[[#This Row],[Year]], Changes!ChangeType="Change Premium"), Changes!NewChangedValue, (K66*(1+db!$B$3)))),0)</f>
        <v>0</v>
      </c>
      <c r="L67" s="29">
        <f>ROUND(IF(B67=0,0,IF(AND(Changes!Change="Yes", Changes!ValidityYear=Table14[[#This Row],[Year]], Changes!ChangeType="Change Premium"), Changes!NewChangedValue, (L66*(1+Table14[[#This Row],[Adjustment Factor of Premium]]/100)))),0)</f>
        <v>0</v>
      </c>
      <c r="M67" s="29">
        <f>IF(Table14[[#This Row],[Year]]=1,ROUND(MIN($L$2 -( Table14[[#This Row],[Riders Risk Premiums]] + Table14[[#This Row],[Acquisition Cost]]) *0.75,Table14[[#This Row],[Death Capital (1)]]* 0.03),0),0)</f>
        <v>0</v>
      </c>
      <c r="N67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67" s="29">
        <f>ROUND(IF(ROW()-1&gt;InsurancePeriod,0,(O66*(1+(Table14[[#This Row],[Adjustment Factor of Premium]]/100)))),0)</f>
        <v>0</v>
      </c>
      <c r="P67" s="29">
        <f>IF(Table14[Year] = 0, 0, SUM(L$2:L67))</f>
        <v>0</v>
      </c>
      <c r="Q67" s="17">
        <f t="shared" si="21"/>
        <v>0</v>
      </c>
      <c r="R67" s="17">
        <f>IF(Table14[[#This Row],[Year]]=0,0,IF($C$2&lt;=50,LOOKUP(Table14[[#This Row],[Age]],db!BG68:BG174,db!BH68:BH174),LOOKUP(Table14[[#This Row],[Age]],db!BJ68:BJ174,db!BK68:BK174)))</f>
        <v>0</v>
      </c>
      <c r="S67" s="17">
        <f>IF(B67=0,0, IF(AND(Changes!Change="Yes", Changes!ValidityYear=Table14[[#This Row],[Year]], Changes!ChangeType="Change Death Capital"), Changes!NewChangedValue, S66*(1+(Table14[[#This Row],[Adjustment Factor of Death Capital]]/100))))</f>
        <v>0</v>
      </c>
      <c r="T67" s="17">
        <f>MIN(IF(B67=0,0,Table14[[#This Row],[Death Capital (1)]]),Table14[[#This Row],[Max Sum Insured For Death]])</f>
        <v>0</v>
      </c>
      <c r="U67" s="29">
        <f t="shared" ref="U67:U107" si="30">ROUND(V67,-3)</f>
        <v>0</v>
      </c>
      <c r="V67" s="29">
        <f>IF(B67=0,0,IF(AND(Changes!Change="Yes", Changes!ValidityYear&lt;=Table14[[#This Row],[Year]], Changes!ChangeType="Rider Inclusion/Exclusion", Changes!RiderType="Accident Death"), T67*Changes!NewChangedValue,IF(db!$D$6="Yes",(db!$B$6)*T67,0)))</f>
        <v>0</v>
      </c>
      <c r="W67" s="29">
        <f>MIN(IF(V67&lt;=db!$L$2,V67,db!$L$2),MAX_ACC_CAPITAL)</f>
        <v>0</v>
      </c>
      <c r="X67" s="17">
        <f>IF(OR(B67=0,Table14[[#This Row],[Accident Capital (2)]]=0),0,IF(AND(Changes!Change="Yes", Changes!ValidityYear&lt;=Table14[[#This Row],[Year]], Changes!ChangeType="Rider Inclusion/Exclusion", Changes!RiderType="Accident Disability"), T67*Changes!NewChangedValue,IF(db!$D$7="Yes",(db!$B$7)*T67,0)))</f>
        <v>0</v>
      </c>
      <c r="Y67" s="42">
        <f>IF(C67&gt;69,0,IF(C67=0,0,IF(X67&lt;=db!$L$3,X67,db!$L$3)))</f>
        <v>0</v>
      </c>
      <c r="Z67" s="29">
        <f>IF(OR(B67=0,Table14[[#This Row],[Accident Capital (2)]]=0),0,IF(AND(Changes!Change="Yes", Changes!ValidityYear&lt;=Table14[[#This Row],[Year]], Changes!ChangeType="Rider Inclusion/Exclusion", Changes!RiderType="Accident Medical Cost"), T67*Changes!NewChangedValue,IF(db!$D$9="Yes",(db!$B$9)*T67,0)))</f>
        <v>0</v>
      </c>
      <c r="AA67" s="29">
        <f>ROUND(IF(C67&gt;69,0,IF(C67=0,0,IF(Z67&lt;=db!$L$4,Z67,db!$L$4))),0)</f>
        <v>0</v>
      </c>
      <c r="AB67" s="38">
        <f>IF(AND(Changes!Change = "Yes", Changes!ChangeType = "Rider Inclusion/Exclusion", Changes!RiderType = "WOP"), IF( Changes!ValidityYear &lt;= Table14[[#This Row],[Year]], IF(WOP = "Yes", 0, 1),  IF(WOP = "Yes", 1, 0)), IF(AND(db!$D$8="Yes",C67&lt;=69,ROW()-1&lt;=InsurancePeriod), 1, 0))</f>
        <v>0</v>
      </c>
      <c r="AC67" s="17">
        <f>(AC68+K68)*AB67*((1)/(1+db!AA69))*(LOOKUP(C67,'Mortality Table'!$A$2:$A$108,'Mortality Table'!$E$2:$E$108))</f>
        <v>0</v>
      </c>
      <c r="AD67" s="340">
        <f>IF(AND(Changes!ValidityYear&lt;= Table14[[#This Row],[Year]],Changes!ChangeType="Change Value Adjustment",Changes!Change="Yes"), (AD68+L68)*AB67*((1)/(1+db!AA69))*(LOOKUP(C67,'Mortality Table'!$A$2:$A$108,'Mortality Table'!$E$2:$E$108)),Table14[[#This Row],[WOP Before Adj. BT]])</f>
        <v>0</v>
      </c>
      <c r="AE67" s="341">
        <f>IF(AND(Changes!Change="Yes", Changes!ChangeType="Change Value Adjustment"),Table14[[#This Row],[WOP Capital]],(AE68+O68)*AB67*((1)/(1+db!AA69))*(LOOKUP(D67,'Mortality Table'!$A$2:$A$108,'Mortality Table'!$E$2:$E$108)))</f>
        <v>0</v>
      </c>
      <c r="AF67" s="17">
        <f>IF(AND(Changes!Change="Yes", Changes!ValidityYear&lt;=ROW()-1),Table14[[#This Row],[WOP Capital]],Table14[[#This Row],[WOP without change]])</f>
        <v>0</v>
      </c>
      <c r="AG67" s="42">
        <f>IF(AND(Changes!Change="Yes", Changes!ValidityYear&lt;=Table14[[#This Row],[Year]], Changes!ChangeType="Rider Inclusion/Exclusion", Changes!RiderType="Disability Annuity"), L67*Changes!NewChangedValue,L67*db!B$10*IF(db!$D$10="Yes",1,0))</f>
        <v>0</v>
      </c>
      <c r="AH67" s="29">
        <f>Table14[[#This Row],[Code Annuity Capital]]*IF('Annual Calculation'!C67&gt;69,0,(LOOKUP('Annual Calculation'!C67+1,'Mortality Table'!$A$2:$A$108,'Mortality Table'!$O$2:$O$108)-LOOKUP('Annual Calculation'!C67+11,'Mortality Table'!$A$2:$A$108,'Mortality Table'!$O$2:$O$108))/LOOKUP('Annual Calculation'!C67,'Mortality Table'!$A$2:$A$108,'Mortality Table'!$M$2:$M$108))</f>
        <v>0</v>
      </c>
      <c r="AI67" s="17">
        <f>IF(B67=0,0,IF(AND(Changes!Change="Yes", Changes!ValidityYear&lt;=Table14[[#This Row],[Year]], Changes!ChangeType="Rider Inclusion/Exclusion", Changes!RiderType="Dread Disease"), T67*Changes!NewChangedValue,IF(db!$D$11="Yes",(db!$B$11)*T67,0)))</f>
        <v>0</v>
      </c>
      <c r="AJ67" s="42">
        <f>ROUND(IF(C67&gt;59,0,IF(C67=0,0,IF(AI67&lt;=db!$L$5,AI67,db!$L$5))),0)</f>
        <v>0</v>
      </c>
      <c r="AK67" s="29">
        <f>IF(B67=0,0,IF(AND(Changes!Change="Yes", Changes!ValidityYear&lt;=Table14[[#This Row],[Year]], Changes!ChangeType="Rider Inclusion/Exclusion", Changes!RiderType="Cancer"), T67*Changes!NewChangedValue,IF(db!$D$12="Yes",(db!$B$12)*T67,0)))</f>
        <v>0</v>
      </c>
      <c r="AL67" s="29">
        <f>ROUND(IF(C67&gt;59,0,IF(C67=0,0,IF(AK67&lt;=db!$L$6,AK67,db!$L$6))),0)</f>
        <v>0</v>
      </c>
      <c r="AM67" s="32"/>
      <c r="AN67" s="18">
        <f>IF(B67=0,0,IF(C67&lt;(db!$E$2+5),LOOKUP(C67,'Mortality Table'!$A$2:$A$108,'Mortality Table'!$P$2:$P$108),IF((C67&gt;=db!$E$2+10),LOOKUP(C67,'Mortality Table'!$A$2:$A$108,'Mortality Table'!$R$2:$R$108),LOOKUP(C67,'Mortality Table'!$A$2:$A$108,'Mortality Table'!$Q$2:$Q$108))))</f>
        <v>0</v>
      </c>
      <c r="AO67" s="22">
        <f t="shared" si="22"/>
        <v>0</v>
      </c>
      <c r="AP67" s="19">
        <f>IF(B67=0,0, LOOKUP(IF(AND(Changes!Change="Yes", Changes!ValidityYear&lt;=Table14[[#This Row],[Year]], Changes!ChangeType="Change Job Class"),Changes!NewChangedValue, db!$A$8),db!$AX$4:$AX$8,db!$AY$4:$AY$8))</f>
        <v>0</v>
      </c>
      <c r="AQ67" s="20">
        <f>ROUND((AP67/1000)*W67 * (1-db!$AS$9),0)</f>
        <v>0</v>
      </c>
      <c r="AR67" s="20">
        <f>(AP67/1000)*W67 * db!$AS$9</f>
        <v>0</v>
      </c>
      <c r="AS67" s="21">
        <f>IF(B67=0,0, LOOKUP(IF(AND(Changes!Change="Yes", Changes!ValidityYear&lt;=Table14[[#This Row],[Year]], Changes!ChangeType="Change Job Class"),Changes!NewChangedValue, db!$A$8),db!$AX$4:$AX$8,db!$AZ$4:$AZ$8))</f>
        <v>0</v>
      </c>
      <c r="AT67" s="22">
        <f>(AS67/1000)*Y67*(1-db!$AS$9)</f>
        <v>0</v>
      </c>
      <c r="AU67" s="22">
        <f>(AS67/1000)*Y67*(db!$AS$9)</f>
        <v>0</v>
      </c>
      <c r="AV67" s="23">
        <f>IF(B67=0,0, LOOKUP(IF(AND(Changes!Change="Yes", Changes!ValidityYear&lt;=Table14[[#This Row],[Year]], Changes!ChangeType="Change Job Class"),Changes!NewChangedValue, db!$A$8),db!$AX$4:$AX$8,db!$BA$4:$BA$8))</f>
        <v>0</v>
      </c>
      <c r="AW67" s="20">
        <f>ROUND((AV67/(100))*AA67*(1-db!$AS$9),0)</f>
        <v>0</v>
      </c>
      <c r="AX67" s="20">
        <f>ROUND((AV67/(100))*AA67*(db!$AS$9),0)</f>
        <v>0</v>
      </c>
      <c r="AY67" s="21">
        <f>IF(db!$D$8="Yes",AS67,0)</f>
        <v>0</v>
      </c>
      <c r="AZ67" s="22">
        <f>(AY67*AF67)/1000*(1-db!$AS$9)</f>
        <v>0</v>
      </c>
      <c r="BA67" s="22">
        <f>(AY67*AF67)/1000*(db!$AS$9)</f>
        <v>0</v>
      </c>
      <c r="BB67" s="23">
        <f t="shared" si="23"/>
        <v>0</v>
      </c>
      <c r="BC67" s="20">
        <f>(BB67*AH67/1000)*(1-db!$AS$9)</f>
        <v>0</v>
      </c>
      <c r="BD67" s="20">
        <f>(BB67*AH67/1000)*(db!$AS$9)</f>
        <v>0</v>
      </c>
      <c r="BE67" s="22">
        <f>IF(B67=0,0,IF(C67&gt;60,0,LOOKUP(Table14[[#This Row],[Medical
Age]],db!$BC$3:$BC$63,db!$BD$3:$BD$63)))</f>
        <v>0</v>
      </c>
      <c r="BF67" s="22">
        <f>BG67*db!$AS$10</f>
        <v>0</v>
      </c>
      <c r="BG67" s="22">
        <f t="shared" si="24"/>
        <v>0</v>
      </c>
      <c r="BH67" s="22">
        <f>(BE67/1000000)*AJ67*(1-db!$AS$10)</f>
        <v>0</v>
      </c>
      <c r="BI67" s="20">
        <f>IF(B67=0,0,IF(C67&gt;59,0,LOOKUP(Table14[[#This Row],[Medical
Age]],db!$BC$3:$BC$63,db!$BE$3:$BE$63)))</f>
        <v>0</v>
      </c>
      <c r="BJ67" s="20">
        <f>(BI67/1000000)*AL67*(1-db!$AS$11)</f>
        <v>0</v>
      </c>
      <c r="BK67" s="20">
        <f>(BI67/1000000)*AL67*(db!$AS$11)</f>
        <v>0</v>
      </c>
      <c r="BL67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67" s="20">
        <f>Table14[[#This Row],[RiskLoading
Rate]]*Table14[[#This Row],[Death Capital (2)]]</f>
        <v>0</v>
      </c>
      <c r="BN67" s="36"/>
      <c r="BO67" s="37">
        <f t="shared" si="25"/>
        <v>0</v>
      </c>
      <c r="BP67" s="35">
        <f t="shared" si="26"/>
        <v>0</v>
      </c>
      <c r="BQ67" s="35">
        <f t="shared" si="27"/>
        <v>0</v>
      </c>
      <c r="BR67" s="37">
        <f t="shared" ref="BR67:BR107" si="31">(BJ67+BH67)</f>
        <v>0</v>
      </c>
      <c r="BS67" s="37">
        <f t="shared" ref="BS67:BS107" si="32">BF67+BK67</f>
        <v>0</v>
      </c>
      <c r="BT67" s="35">
        <f t="shared" ref="BT67:BT107" si="33">ROUND(BR67+BP67,0)</f>
        <v>0</v>
      </c>
      <c r="BU67" s="35">
        <f t="shared" ref="BU67:BU107" si="34">ROUND(BQ67+BS67,0)</f>
        <v>0</v>
      </c>
      <c r="BV67" s="37">
        <f>(db!$AS$4/100)*(L67-BT67-BU67)</f>
        <v>0</v>
      </c>
      <c r="BW67" s="37">
        <f>(db!$AS$8/100)*(L67-BT67-BU67)</f>
        <v>0</v>
      </c>
      <c r="BX67" s="35"/>
      <c r="BY67" s="37"/>
      <c r="BZ67" s="37"/>
      <c r="CA67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67" s="33"/>
      <c r="CC67" s="39">
        <f>ROUND((Table14[[#This Row],[Premium]]-Table14[[#This Row],[All Deductions]]),0)</f>
        <v>0</v>
      </c>
      <c r="CD67" s="40">
        <f>ROUND(IF(B67=0,0,((CC67)*(1+ IF(AND(Changes!Change="Yes",Changes!ValidityYear&lt;=Table14[[#This Row],[Year]],Annulment&gt;Table14[[#This Row],[Year]],Changes!ChangeType="Paid-Up"),db!Y69+0.02,db!Y69)))+((CD66)*(1+IF(AND(Changes!Change="Yes",Changes!ValidityYear&lt;=Table14[[#This Row],[Year]],Annulment&gt;Table14[[#This Row],[Year]],Changes!ChangeType="Paid-Up"),db!U69+0.02,db!U69)))),0)</f>
        <v>0</v>
      </c>
      <c r="CE67" s="40">
        <f>ROUND(IF(B67=0,0,((CC67)*(1+db!Y69))+((CE66)*(1+db!U69))),0)</f>
        <v>0</v>
      </c>
      <c r="CF67" s="40">
        <f t="shared" si="19"/>
        <v>0</v>
      </c>
      <c r="CG67" s="15">
        <f t="shared" ref="CG67:CG107" si="35">1+CG66</f>
        <v>66</v>
      </c>
      <c r="CH67" s="39">
        <f>IF(B67=0,0,((CC67)*(1+db!AH69))+((CH66)*(1+db!AD69)))</f>
        <v>0</v>
      </c>
      <c r="CI67" s="39">
        <f>IF(B67=0,0,((CC67)*(1+db!AH69))+((CI66)*(1+db!AD69)))</f>
        <v>0</v>
      </c>
      <c r="CJ67" s="40">
        <f>IF(B67=0,0,((CC67)*(1+db!AO69))+((CJ66)*(1+db!AK69)))</f>
        <v>0</v>
      </c>
      <c r="CK67" s="40">
        <f>CJ67-(SUM(BX$7:$BX68))</f>
        <v>0</v>
      </c>
      <c r="CL67" s="46"/>
    </row>
    <row r="68" spans="1:90">
      <c r="A68" s="347">
        <f t="shared" ref="A68:A107" si="36">A67+1</f>
        <v>67</v>
      </c>
      <c r="B68" s="345">
        <f>IF(AND(Changes!Change="Yes", Changes!ChangeType="Change Contract Duration"),IF(B67=0,0,IF(Changes!NewChangedValue&lt;B67+1,0,B67+1)),IF(B67=0,0,IF('Application Annually'!$C$5&lt;B67+1,0,B67+1)))</f>
        <v>0</v>
      </c>
      <c r="C68" s="15">
        <f t="shared" ref="C68:C107" si="37">IF(B68=0,0,(C67+1))</f>
        <v>0</v>
      </c>
      <c r="D68" s="312">
        <f t="shared" ref="D68:D107" si="38">D67+1</f>
        <v>94</v>
      </c>
      <c r="E68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68" s="29">
        <f t="shared" si="28"/>
        <v>0</v>
      </c>
      <c r="G68" s="29">
        <f t="shared" si="29"/>
        <v>0</v>
      </c>
      <c r="H68" s="29">
        <f t="shared" si="20"/>
        <v>0</v>
      </c>
      <c r="I68" s="29">
        <f>IF(B68&gt;0,IF(AND(Table14[[#This Row],[Year]]&gt;Changes!ValidityYear,Changes!Change="Yes",Changes!ChangeType="Change Value Adjustment"),Changes!$G$22,'Application Annually'!$C$11),0)</f>
        <v>0</v>
      </c>
      <c r="J68" s="29">
        <f>IF(B68&gt;0,IF(AND(Table14[[#This Row],[Year]]&gt;Changes!ValidityYear,Changes!Change="Yes",Changes!ChangeType="Change Value Adjustment"),Changes!$G$24,'Application Annually'!$C$7),0)</f>
        <v>0</v>
      </c>
      <c r="K68" s="29">
        <f>ROUND(IF(B68=0,0,IF(AND(Changes!Change="Yes", Changes!ValidityYear=Table14[[#This Row],[Year]], Changes!ChangeType="Change Premium"), Changes!NewChangedValue, (K67*(1+db!$B$3)))),0)</f>
        <v>0</v>
      </c>
      <c r="L68" s="29">
        <f>ROUND(IF(B68=0,0,IF(AND(Changes!Change="Yes", Changes!ValidityYear=Table14[[#This Row],[Year]], Changes!ChangeType="Change Premium"), Changes!NewChangedValue, (L67*(1+Table14[[#This Row],[Adjustment Factor of Premium]]/100)))),0)</f>
        <v>0</v>
      </c>
      <c r="M68" s="29">
        <f>IF(Table14[[#This Row],[Year]]=1,ROUND(MIN($L$2 -( Table14[[#This Row],[Riders Risk Premiums]] + Table14[[#This Row],[Acquisition Cost]]) *0.75,Table14[[#This Row],[Death Capital (1)]]* 0.03),0),0)</f>
        <v>0</v>
      </c>
      <c r="N68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68" s="29">
        <f>ROUND(IF(ROW()-1&gt;InsurancePeriod,0,(O67*(1+(Table14[[#This Row],[Adjustment Factor of Premium]]/100)))),0)</f>
        <v>0</v>
      </c>
      <c r="P68" s="29">
        <f>IF(Table14[Year] = 0, 0, SUM(L$2:L68))</f>
        <v>0</v>
      </c>
      <c r="Q68" s="17">
        <f t="shared" si="21"/>
        <v>0</v>
      </c>
      <c r="R68" s="17">
        <f>IF(Table14[[#This Row],[Year]]=0,0,IF($C$2&lt;=50,LOOKUP(Table14[[#This Row],[Age]],db!BG69:BG175,db!BH69:BH175),LOOKUP(Table14[[#This Row],[Age]],db!BJ69:BJ175,db!BK69:BK175)))</f>
        <v>0</v>
      </c>
      <c r="S68" s="17">
        <f>IF(B68=0,0, IF(AND(Changes!Change="Yes", Changes!ValidityYear=Table14[[#This Row],[Year]], Changes!ChangeType="Change Death Capital"), Changes!NewChangedValue, S67*(1+(Table14[[#This Row],[Adjustment Factor of Death Capital]]/100))))</f>
        <v>0</v>
      </c>
      <c r="T68" s="17">
        <f>MIN(IF(B68=0,0,Table14[[#This Row],[Death Capital (1)]]),Table14[[#This Row],[Max Sum Insured For Death]])</f>
        <v>0</v>
      </c>
      <c r="U68" s="29">
        <f t="shared" si="30"/>
        <v>0</v>
      </c>
      <c r="V68" s="29">
        <f>IF(B68=0,0,IF(AND(Changes!Change="Yes", Changes!ValidityYear&lt;=Table14[[#This Row],[Year]], Changes!ChangeType="Rider Inclusion/Exclusion", Changes!RiderType="Accident Death"), T68*Changes!NewChangedValue,IF(db!$D$6="Yes",(db!$B$6)*T68,0)))</f>
        <v>0</v>
      </c>
      <c r="W68" s="29">
        <f>MIN(IF(V68&lt;=db!$L$2,V68,db!$L$2),MAX_ACC_CAPITAL)</f>
        <v>0</v>
      </c>
      <c r="X68" s="17">
        <f>IF(OR(B68=0,Table14[[#This Row],[Accident Capital (2)]]=0),0,IF(AND(Changes!Change="Yes", Changes!ValidityYear&lt;=Table14[[#This Row],[Year]], Changes!ChangeType="Rider Inclusion/Exclusion", Changes!RiderType="Accident Disability"), T68*Changes!NewChangedValue,IF(db!$D$7="Yes",(db!$B$7)*T68,0)))</f>
        <v>0</v>
      </c>
      <c r="Y68" s="42">
        <f>IF(C68&gt;69,0,IF(C68=0,0,IF(X68&lt;=db!$L$3,X68,db!$L$3)))</f>
        <v>0</v>
      </c>
      <c r="Z68" s="29">
        <f>IF(OR(B68=0,Table14[[#This Row],[Accident Capital (2)]]=0),0,IF(AND(Changes!Change="Yes", Changes!ValidityYear&lt;=Table14[[#This Row],[Year]], Changes!ChangeType="Rider Inclusion/Exclusion", Changes!RiderType="Accident Medical Cost"), T68*Changes!NewChangedValue,IF(db!$D$9="Yes",(db!$B$9)*T68,0)))</f>
        <v>0</v>
      </c>
      <c r="AA68" s="29">
        <f>ROUND(IF(C68&gt;69,0,IF(C68=0,0,IF(Z68&lt;=db!$L$4,Z68,db!$L$4))),0)</f>
        <v>0</v>
      </c>
      <c r="AB68" s="38">
        <f>IF(AND(Changes!Change = "Yes", Changes!ChangeType = "Rider Inclusion/Exclusion", Changes!RiderType = "WOP"), IF( Changes!ValidityYear &lt;= Table14[[#This Row],[Year]], IF(WOP = "Yes", 0, 1),  IF(WOP = "Yes", 1, 0)), IF(AND(db!$D$8="Yes",C68&lt;=69,ROW()-1&lt;=InsurancePeriod), 1, 0))</f>
        <v>0</v>
      </c>
      <c r="AC68" s="17">
        <f>(AC69+K69)*AB68*((1)/(1+db!AA70))*(LOOKUP(C68,'Mortality Table'!$A$2:$A$108,'Mortality Table'!$E$2:$E$108))</f>
        <v>0</v>
      </c>
      <c r="AD68" s="340">
        <f>IF(AND(Changes!ValidityYear&lt;= Table14[[#This Row],[Year]],Changes!ChangeType="Change Value Adjustment",Changes!Change="Yes"), (AD69+L69)*AB68*((1)/(1+db!AA70))*(LOOKUP(C68,'Mortality Table'!$A$2:$A$108,'Mortality Table'!$E$2:$E$108)),Table14[[#This Row],[WOP Before Adj. BT]])</f>
        <v>0</v>
      </c>
      <c r="AE68" s="341">
        <f>IF(AND(Changes!Change="Yes", Changes!ChangeType="Change Value Adjustment"),Table14[[#This Row],[WOP Capital]],(AE69+O69)*AB68*((1)/(1+db!AA70))*(LOOKUP(D68,'Mortality Table'!$A$2:$A$108,'Mortality Table'!$E$2:$E$108)))</f>
        <v>0</v>
      </c>
      <c r="AF68" s="17">
        <f>IF(AND(Changes!Change="Yes", Changes!ValidityYear&lt;=ROW()-1),Table14[[#This Row],[WOP Capital]],Table14[[#This Row],[WOP without change]])</f>
        <v>0</v>
      </c>
      <c r="AG68" s="42">
        <f>IF(AND(Changes!Change="Yes", Changes!ValidityYear&lt;=Table14[[#This Row],[Year]], Changes!ChangeType="Rider Inclusion/Exclusion", Changes!RiderType="Disability Annuity"), L68*Changes!NewChangedValue,L68*db!B$10*IF(db!$D$10="Yes",1,0))</f>
        <v>0</v>
      </c>
      <c r="AH68" s="29">
        <f>Table14[[#This Row],[Code Annuity Capital]]*IF('Annual Calculation'!C68&gt;69,0,(LOOKUP('Annual Calculation'!C68+1,'Mortality Table'!$A$2:$A$108,'Mortality Table'!$O$2:$O$108)-LOOKUP('Annual Calculation'!C68+11,'Mortality Table'!$A$2:$A$108,'Mortality Table'!$O$2:$O$108))/LOOKUP('Annual Calculation'!C68,'Mortality Table'!$A$2:$A$108,'Mortality Table'!$M$2:$M$108))</f>
        <v>0</v>
      </c>
      <c r="AI68" s="17">
        <f>IF(B68=0,0,IF(AND(Changes!Change="Yes", Changes!ValidityYear&lt;=Table14[[#This Row],[Year]], Changes!ChangeType="Rider Inclusion/Exclusion", Changes!RiderType="Dread Disease"), T68*Changes!NewChangedValue,IF(db!$D$11="Yes",(db!$B$11)*T68,0)))</f>
        <v>0</v>
      </c>
      <c r="AJ68" s="42">
        <f>ROUND(IF(C68&gt;59,0,IF(C68=0,0,IF(AI68&lt;=db!$L$5,AI68,db!$L$5))),0)</f>
        <v>0</v>
      </c>
      <c r="AK68" s="29">
        <f>IF(B68=0,0,IF(AND(Changes!Change="Yes", Changes!ValidityYear&lt;=Table14[[#This Row],[Year]], Changes!ChangeType="Rider Inclusion/Exclusion", Changes!RiderType="Cancer"), T68*Changes!NewChangedValue,IF(db!$D$12="Yes",(db!$B$12)*T68,0)))</f>
        <v>0</v>
      </c>
      <c r="AL68" s="29">
        <f>ROUND(IF(C68&gt;59,0,IF(C68=0,0,IF(AK68&lt;=db!$L$6,AK68,db!$L$6))),0)</f>
        <v>0</v>
      </c>
      <c r="AM68" s="32"/>
      <c r="AN68" s="18">
        <f>IF(B68=0,0,IF(C68&lt;(db!$E$2+5),LOOKUP(C68,'Mortality Table'!$A$2:$A$108,'Mortality Table'!$P$2:$P$108),IF((C68&gt;=db!$E$2+10),LOOKUP(C68,'Mortality Table'!$A$2:$A$108,'Mortality Table'!$R$2:$R$108),LOOKUP(C68,'Mortality Table'!$A$2:$A$108,'Mortality Table'!$Q$2:$Q$108))))</f>
        <v>0</v>
      </c>
      <c r="AO68" s="22">
        <f t="shared" si="22"/>
        <v>0</v>
      </c>
      <c r="AP68" s="19">
        <f>IF(B68=0,0, LOOKUP(IF(AND(Changes!Change="Yes", Changes!ValidityYear&lt;=Table14[[#This Row],[Year]], Changes!ChangeType="Change Job Class"),Changes!NewChangedValue, db!$A$8),db!$AX$4:$AX$8,db!$AY$4:$AY$8))</f>
        <v>0</v>
      </c>
      <c r="AQ68" s="20">
        <f>ROUND((AP68/1000)*W68 * (1-db!$AS$9),0)</f>
        <v>0</v>
      </c>
      <c r="AR68" s="20">
        <f>(AP68/1000)*W68 * db!$AS$9</f>
        <v>0</v>
      </c>
      <c r="AS68" s="21">
        <f>IF(B68=0,0, LOOKUP(IF(AND(Changes!Change="Yes", Changes!ValidityYear&lt;=Table14[[#This Row],[Year]], Changes!ChangeType="Change Job Class"),Changes!NewChangedValue, db!$A$8),db!$AX$4:$AX$8,db!$AZ$4:$AZ$8))</f>
        <v>0</v>
      </c>
      <c r="AT68" s="22">
        <f>(AS68/1000)*Y68*(1-db!$AS$9)</f>
        <v>0</v>
      </c>
      <c r="AU68" s="22">
        <f>(AS68/1000)*Y68*(db!$AS$9)</f>
        <v>0</v>
      </c>
      <c r="AV68" s="23">
        <f>IF(B68=0,0, LOOKUP(IF(AND(Changes!Change="Yes", Changes!ValidityYear&lt;=Table14[[#This Row],[Year]], Changes!ChangeType="Change Job Class"),Changes!NewChangedValue, db!$A$8),db!$AX$4:$AX$8,db!$BA$4:$BA$8))</f>
        <v>0</v>
      </c>
      <c r="AW68" s="20">
        <f>ROUND((AV68/(100))*AA68*(1-db!$AS$9),0)</f>
        <v>0</v>
      </c>
      <c r="AX68" s="20">
        <f>ROUND((AV68/(100))*AA68*(db!$AS$9),0)</f>
        <v>0</v>
      </c>
      <c r="AY68" s="21">
        <f>IF(db!$D$8="Yes",AS68,0)</f>
        <v>0</v>
      </c>
      <c r="AZ68" s="22">
        <f>(AY68*AF68)/1000*(1-db!$AS$9)</f>
        <v>0</v>
      </c>
      <c r="BA68" s="22">
        <f>(AY68*AF68)/1000*(db!$AS$9)</f>
        <v>0</v>
      </c>
      <c r="BB68" s="23">
        <f t="shared" si="23"/>
        <v>0</v>
      </c>
      <c r="BC68" s="20">
        <f>(BB68*AH68/1000)*(1-db!$AS$9)</f>
        <v>0</v>
      </c>
      <c r="BD68" s="20">
        <f>(BB68*AH68/1000)*(db!$AS$9)</f>
        <v>0</v>
      </c>
      <c r="BE68" s="22">
        <f>IF(B68=0,0,IF(C68&gt;60,0,LOOKUP(Table14[[#This Row],[Medical
Age]],db!$BC$3:$BC$63,db!$BD$3:$BD$63)))</f>
        <v>0</v>
      </c>
      <c r="BF68" s="22">
        <f>BG68*db!$AS$10</f>
        <v>0</v>
      </c>
      <c r="BG68" s="22">
        <f t="shared" si="24"/>
        <v>0</v>
      </c>
      <c r="BH68" s="22">
        <f>(BE68/1000000)*AJ68*(1-db!$AS$10)</f>
        <v>0</v>
      </c>
      <c r="BI68" s="20">
        <f>IF(B68=0,0,IF(C68&gt;59,0,LOOKUP(Table14[[#This Row],[Medical
Age]],db!$BC$3:$BC$63,db!$BE$3:$BE$63)))</f>
        <v>0</v>
      </c>
      <c r="BJ68" s="20">
        <f>(BI68/1000000)*AL68*(1-db!$AS$11)</f>
        <v>0</v>
      </c>
      <c r="BK68" s="20">
        <f>(BI68/1000000)*AL68*(db!$AS$11)</f>
        <v>0</v>
      </c>
      <c r="BL68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68" s="20">
        <f>Table14[[#This Row],[RiskLoading
Rate]]*Table14[[#This Row],[Death Capital (2)]]</f>
        <v>0</v>
      </c>
      <c r="BN68" s="36"/>
      <c r="BO68" s="37">
        <f t="shared" si="25"/>
        <v>0</v>
      </c>
      <c r="BP68" s="35">
        <f t="shared" si="26"/>
        <v>0</v>
      </c>
      <c r="BQ68" s="35">
        <f t="shared" si="27"/>
        <v>0</v>
      </c>
      <c r="BR68" s="37">
        <f t="shared" si="31"/>
        <v>0</v>
      </c>
      <c r="BS68" s="37">
        <f t="shared" si="32"/>
        <v>0</v>
      </c>
      <c r="BT68" s="35">
        <f t="shared" si="33"/>
        <v>0</v>
      </c>
      <c r="BU68" s="35">
        <f t="shared" si="34"/>
        <v>0</v>
      </c>
      <c r="BV68" s="37">
        <f>(db!$AS$4/100)*(L68-BT68-BU68)</f>
        <v>0</v>
      </c>
      <c r="BW68" s="37">
        <f>(db!$AS$8/100)*(L68-BT68-BU68)</f>
        <v>0</v>
      </c>
      <c r="BX68" s="35"/>
      <c r="BY68" s="37"/>
      <c r="BZ68" s="37"/>
      <c r="CA68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68" s="33"/>
      <c r="CC68" s="39">
        <f>ROUND((Table14[[#This Row],[Premium]]-Table14[[#This Row],[All Deductions]]),0)</f>
        <v>0</v>
      </c>
      <c r="CD68" s="40">
        <f>ROUND(IF(B68=0,0,((CC68)*(1+ IF(AND(Changes!Change="Yes",Changes!ValidityYear&lt;=Table14[[#This Row],[Year]],Annulment&gt;Table14[[#This Row],[Year]],Changes!ChangeType="Paid-Up"),db!Y70+0.02,db!Y70)))+((CD67)*(1+IF(AND(Changes!Change="Yes",Changes!ValidityYear&lt;=Table14[[#This Row],[Year]],Annulment&gt;Table14[[#This Row],[Year]],Changes!ChangeType="Paid-Up"),db!U70+0.02,db!U70)))),0)</f>
        <v>0</v>
      </c>
      <c r="CE68" s="40">
        <f>ROUND(IF(B68=0,0,((CC68)*(1+db!Y70))+((CE67)*(1+db!U70))),0)</f>
        <v>0</v>
      </c>
      <c r="CF68" s="40">
        <f t="shared" si="19"/>
        <v>0</v>
      </c>
      <c r="CG68" s="15">
        <f t="shared" si="35"/>
        <v>67</v>
      </c>
      <c r="CH68" s="39">
        <f>IF(B68=0,0,((CC68)*(1+db!AH70))+((CH67)*(1+db!AD70)))</f>
        <v>0</v>
      </c>
      <c r="CI68" s="39">
        <f>IF(B68=0,0,((CC68)*(1+db!AH70))+((CI67)*(1+db!AD70)))</f>
        <v>0</v>
      </c>
      <c r="CJ68" s="40">
        <f>IF(B68=0,0,((CC68)*(1+db!AO70))+((CJ67)*(1+db!AK70)))</f>
        <v>0</v>
      </c>
      <c r="CK68" s="40">
        <f>CJ68-(SUM(BX$7:$BX69))</f>
        <v>0</v>
      </c>
      <c r="CL68" s="46"/>
    </row>
    <row r="69" spans="1:90">
      <c r="A69" s="347">
        <f t="shared" si="36"/>
        <v>68</v>
      </c>
      <c r="B69" s="345">
        <f>IF(AND(Changes!Change="Yes", Changes!ChangeType="Change Contract Duration"),IF(B68=0,0,IF(Changes!NewChangedValue&lt;B68+1,0,B68+1)),IF(B68=0,0,IF('Application Annually'!$C$5&lt;B68+1,0,B68+1)))</f>
        <v>0</v>
      </c>
      <c r="C69" s="15">
        <f t="shared" si="37"/>
        <v>0</v>
      </c>
      <c r="D69" s="312">
        <f t="shared" si="38"/>
        <v>95</v>
      </c>
      <c r="E69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69" s="29">
        <f t="shared" si="28"/>
        <v>0</v>
      </c>
      <c r="G69" s="29">
        <f t="shared" si="29"/>
        <v>0</v>
      </c>
      <c r="H69" s="29">
        <f t="shared" si="20"/>
        <v>0</v>
      </c>
      <c r="I69" s="29">
        <f>IF(B69&gt;0,IF(AND(Table14[[#This Row],[Year]]&gt;Changes!ValidityYear,Changes!Change="Yes",Changes!ChangeType="Change Value Adjustment"),Changes!$G$22,'Application Annually'!$C$11),0)</f>
        <v>0</v>
      </c>
      <c r="J69" s="29">
        <f>IF(B69&gt;0,IF(AND(Table14[[#This Row],[Year]]&gt;Changes!ValidityYear,Changes!Change="Yes",Changes!ChangeType="Change Value Adjustment"),Changes!$G$24,'Application Annually'!$C$7),0)</f>
        <v>0</v>
      </c>
      <c r="K69" s="29">
        <f>ROUND(IF(B69=0,0,IF(AND(Changes!Change="Yes", Changes!ValidityYear=Table14[[#This Row],[Year]], Changes!ChangeType="Change Premium"), Changes!NewChangedValue, (K68*(1+db!$B$3)))),0)</f>
        <v>0</v>
      </c>
      <c r="L69" s="29">
        <f>ROUND(IF(B69=0,0,IF(AND(Changes!Change="Yes", Changes!ValidityYear=Table14[[#This Row],[Year]], Changes!ChangeType="Change Premium"), Changes!NewChangedValue, (L68*(1+Table14[[#This Row],[Adjustment Factor of Premium]]/100)))),0)</f>
        <v>0</v>
      </c>
      <c r="M69" s="29">
        <f>IF(Table14[[#This Row],[Year]]=1,ROUND(MIN($L$2 -( Table14[[#This Row],[Riders Risk Premiums]] + Table14[[#This Row],[Acquisition Cost]]) *0.75,Table14[[#This Row],[Death Capital (1)]]* 0.03),0),0)</f>
        <v>0</v>
      </c>
      <c r="N69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69" s="29">
        <f>ROUND(IF(ROW()-1&gt;InsurancePeriod,0,(O68*(1+(Table14[[#This Row],[Adjustment Factor of Premium]]/100)))),0)</f>
        <v>0</v>
      </c>
      <c r="P69" s="29">
        <f>IF(Table14[Year] = 0, 0, SUM(L$2:L69))</f>
        <v>0</v>
      </c>
      <c r="Q69" s="17">
        <f t="shared" si="21"/>
        <v>0</v>
      </c>
      <c r="R69" s="17">
        <f>IF(Table14[[#This Row],[Year]]=0,0,IF($C$2&lt;=50,LOOKUP(Table14[[#This Row],[Age]],db!BG70:BG176,db!BH70:BH176),LOOKUP(Table14[[#This Row],[Age]],db!BJ70:BJ176,db!BK70:BK176)))</f>
        <v>0</v>
      </c>
      <c r="S69" s="17">
        <f>IF(B69=0,0, IF(AND(Changes!Change="Yes", Changes!ValidityYear=Table14[[#This Row],[Year]], Changes!ChangeType="Change Death Capital"), Changes!NewChangedValue, S68*(1+(Table14[[#This Row],[Adjustment Factor of Death Capital]]/100))))</f>
        <v>0</v>
      </c>
      <c r="T69" s="17">
        <f>MIN(IF(B69=0,0,Table14[[#This Row],[Death Capital (1)]]),Table14[[#This Row],[Max Sum Insured For Death]])</f>
        <v>0</v>
      </c>
      <c r="U69" s="29">
        <f t="shared" si="30"/>
        <v>0</v>
      </c>
      <c r="V69" s="29">
        <f>IF(B69=0,0,IF(AND(Changes!Change="Yes", Changes!ValidityYear&lt;=Table14[[#This Row],[Year]], Changes!ChangeType="Rider Inclusion/Exclusion", Changes!RiderType="Accident Death"), T69*Changes!NewChangedValue,IF(db!$D$6="Yes",(db!$B$6)*T69,0)))</f>
        <v>0</v>
      </c>
      <c r="W69" s="29">
        <f>MIN(IF(V69&lt;=db!$L$2,V69,db!$L$2),MAX_ACC_CAPITAL)</f>
        <v>0</v>
      </c>
      <c r="X69" s="17">
        <f>IF(OR(B69=0,Table14[[#This Row],[Accident Capital (2)]]=0),0,IF(AND(Changes!Change="Yes", Changes!ValidityYear&lt;=Table14[[#This Row],[Year]], Changes!ChangeType="Rider Inclusion/Exclusion", Changes!RiderType="Accident Disability"), T69*Changes!NewChangedValue,IF(db!$D$7="Yes",(db!$B$7)*T69,0)))</f>
        <v>0</v>
      </c>
      <c r="Y69" s="42">
        <f>IF(C69&gt;69,0,IF(C69=0,0,IF(X69&lt;=db!$L$3,X69,db!$L$3)))</f>
        <v>0</v>
      </c>
      <c r="Z69" s="29">
        <f>IF(OR(B69=0,Table14[[#This Row],[Accident Capital (2)]]=0),0,IF(AND(Changes!Change="Yes", Changes!ValidityYear&lt;=Table14[[#This Row],[Year]], Changes!ChangeType="Rider Inclusion/Exclusion", Changes!RiderType="Accident Medical Cost"), T69*Changes!NewChangedValue,IF(db!$D$9="Yes",(db!$B$9)*T69,0)))</f>
        <v>0</v>
      </c>
      <c r="AA69" s="29">
        <f>ROUND(IF(C69&gt;69,0,IF(C69=0,0,IF(Z69&lt;=db!$L$4,Z69,db!$L$4))),0)</f>
        <v>0</v>
      </c>
      <c r="AB69" s="38">
        <f>IF(AND(Changes!Change = "Yes", Changes!ChangeType = "Rider Inclusion/Exclusion", Changes!RiderType = "WOP"), IF( Changes!ValidityYear &lt;= Table14[[#This Row],[Year]], IF(WOP = "Yes", 0, 1),  IF(WOP = "Yes", 1, 0)), IF(AND(db!$D$8="Yes",C69&lt;=69,ROW()-1&lt;=InsurancePeriod), 1, 0))</f>
        <v>0</v>
      </c>
      <c r="AC69" s="17">
        <f>(AC70+K70)*AB69*((1)/(1+db!AA71))*(LOOKUP(C69,'Mortality Table'!$A$2:$A$108,'Mortality Table'!$E$2:$E$108))</f>
        <v>0</v>
      </c>
      <c r="AD69" s="340">
        <f>IF(AND(Changes!ValidityYear&lt;= Table14[[#This Row],[Year]],Changes!ChangeType="Change Value Adjustment",Changes!Change="Yes"), (AD70+L70)*AB69*((1)/(1+db!AA71))*(LOOKUP(C69,'Mortality Table'!$A$2:$A$108,'Mortality Table'!$E$2:$E$108)),Table14[[#This Row],[WOP Before Adj. BT]])</f>
        <v>0</v>
      </c>
      <c r="AE69" s="341">
        <f>IF(AND(Changes!Change="Yes", Changes!ChangeType="Change Value Adjustment"),Table14[[#This Row],[WOP Capital]],(AE70+O70)*AB69*((1)/(1+db!AA71))*(LOOKUP(D69,'Mortality Table'!$A$2:$A$108,'Mortality Table'!$E$2:$E$108)))</f>
        <v>0</v>
      </c>
      <c r="AF69" s="17">
        <f>IF(AND(Changes!Change="Yes", Changes!ValidityYear&lt;=ROW()-1),Table14[[#This Row],[WOP Capital]],Table14[[#This Row],[WOP without change]])</f>
        <v>0</v>
      </c>
      <c r="AG69" s="42">
        <f>IF(AND(Changes!Change="Yes", Changes!ValidityYear&lt;=Table14[[#This Row],[Year]], Changes!ChangeType="Rider Inclusion/Exclusion", Changes!RiderType="Disability Annuity"), L69*Changes!NewChangedValue,L69*db!B$10*IF(db!$D$10="Yes",1,0))</f>
        <v>0</v>
      </c>
      <c r="AH69" s="29">
        <f>Table14[[#This Row],[Code Annuity Capital]]*IF('Annual Calculation'!C69&gt;69,0,(LOOKUP('Annual Calculation'!C69+1,'Mortality Table'!$A$2:$A$108,'Mortality Table'!$O$2:$O$108)-LOOKUP('Annual Calculation'!C69+11,'Mortality Table'!$A$2:$A$108,'Mortality Table'!$O$2:$O$108))/LOOKUP('Annual Calculation'!C69,'Mortality Table'!$A$2:$A$108,'Mortality Table'!$M$2:$M$108))</f>
        <v>0</v>
      </c>
      <c r="AI69" s="17">
        <f>IF(B69=0,0,IF(AND(Changes!Change="Yes", Changes!ValidityYear&lt;=Table14[[#This Row],[Year]], Changes!ChangeType="Rider Inclusion/Exclusion", Changes!RiderType="Dread Disease"), T69*Changes!NewChangedValue,IF(db!$D$11="Yes",(db!$B$11)*T69,0)))</f>
        <v>0</v>
      </c>
      <c r="AJ69" s="42">
        <f>ROUND(IF(C69&gt;59,0,IF(C69=0,0,IF(AI69&lt;=db!$L$5,AI69,db!$L$5))),0)</f>
        <v>0</v>
      </c>
      <c r="AK69" s="29">
        <f>IF(B69=0,0,IF(AND(Changes!Change="Yes", Changes!ValidityYear&lt;=Table14[[#This Row],[Year]], Changes!ChangeType="Rider Inclusion/Exclusion", Changes!RiderType="Cancer"), T69*Changes!NewChangedValue,IF(db!$D$12="Yes",(db!$B$12)*T69,0)))</f>
        <v>0</v>
      </c>
      <c r="AL69" s="29">
        <f>ROUND(IF(C69&gt;59,0,IF(C69=0,0,IF(AK69&lt;=db!$L$6,AK69,db!$L$6))),0)</f>
        <v>0</v>
      </c>
      <c r="AM69" s="32"/>
      <c r="AN69" s="18">
        <f>IF(B69=0,0,IF(C69&lt;(db!$E$2+5),LOOKUP(C69,'Mortality Table'!$A$2:$A$108,'Mortality Table'!$P$2:$P$108),IF((C69&gt;=db!$E$2+10),LOOKUP(C69,'Mortality Table'!$A$2:$A$108,'Mortality Table'!$R$2:$R$108),LOOKUP(C69,'Mortality Table'!$A$2:$A$108,'Mortality Table'!$Q$2:$Q$108))))</f>
        <v>0</v>
      </c>
      <c r="AO69" s="22">
        <f t="shared" si="22"/>
        <v>0</v>
      </c>
      <c r="AP69" s="19">
        <f>IF(B69=0,0, LOOKUP(IF(AND(Changes!Change="Yes", Changes!ValidityYear&lt;=Table14[[#This Row],[Year]], Changes!ChangeType="Change Job Class"),Changes!NewChangedValue, db!$A$8),db!$AX$4:$AX$8,db!$AY$4:$AY$8))</f>
        <v>0</v>
      </c>
      <c r="AQ69" s="20">
        <f>ROUND((AP69/1000)*W69 * (1-db!$AS$9),0)</f>
        <v>0</v>
      </c>
      <c r="AR69" s="20">
        <f>(AP69/1000)*W69 * db!$AS$9</f>
        <v>0</v>
      </c>
      <c r="AS69" s="21">
        <f>IF(B69=0,0, LOOKUP(IF(AND(Changes!Change="Yes", Changes!ValidityYear&lt;=Table14[[#This Row],[Year]], Changes!ChangeType="Change Job Class"),Changes!NewChangedValue, db!$A$8),db!$AX$4:$AX$8,db!$AZ$4:$AZ$8))</f>
        <v>0</v>
      </c>
      <c r="AT69" s="22">
        <f>(AS69/1000)*Y69*(1-db!$AS$9)</f>
        <v>0</v>
      </c>
      <c r="AU69" s="22">
        <f>(AS69/1000)*Y69*(db!$AS$9)</f>
        <v>0</v>
      </c>
      <c r="AV69" s="23">
        <f>IF(B69=0,0, LOOKUP(IF(AND(Changes!Change="Yes", Changes!ValidityYear&lt;=Table14[[#This Row],[Year]], Changes!ChangeType="Change Job Class"),Changes!NewChangedValue, db!$A$8),db!$AX$4:$AX$8,db!$BA$4:$BA$8))</f>
        <v>0</v>
      </c>
      <c r="AW69" s="20">
        <f>ROUND((AV69/(100))*AA69*(1-db!$AS$9),0)</f>
        <v>0</v>
      </c>
      <c r="AX69" s="20">
        <f>ROUND((AV69/(100))*AA69*(db!$AS$9),0)</f>
        <v>0</v>
      </c>
      <c r="AY69" s="21">
        <f>IF(db!$D$8="Yes",AS69,0)</f>
        <v>0</v>
      </c>
      <c r="AZ69" s="22">
        <f>(AY69*AF69)/1000*(1-db!$AS$9)</f>
        <v>0</v>
      </c>
      <c r="BA69" s="22">
        <f>(AY69*AF69)/1000*(db!$AS$9)</f>
        <v>0</v>
      </c>
      <c r="BB69" s="23">
        <f t="shared" si="23"/>
        <v>0</v>
      </c>
      <c r="BC69" s="20">
        <f>(BB69*AH69/1000)*(1-db!$AS$9)</f>
        <v>0</v>
      </c>
      <c r="BD69" s="20">
        <f>(BB69*AH69/1000)*(db!$AS$9)</f>
        <v>0</v>
      </c>
      <c r="BE69" s="22">
        <f>IF(B69=0,0,IF(C69&gt;60,0,LOOKUP(Table14[[#This Row],[Medical
Age]],db!$BC$3:$BC$63,db!$BD$3:$BD$63)))</f>
        <v>0</v>
      </c>
      <c r="BF69" s="22">
        <f>BG69*db!$AS$10</f>
        <v>0</v>
      </c>
      <c r="BG69" s="22">
        <f t="shared" si="24"/>
        <v>0</v>
      </c>
      <c r="BH69" s="22">
        <f>(BE69/1000000)*AJ69*(1-db!$AS$10)</f>
        <v>0</v>
      </c>
      <c r="BI69" s="20">
        <f>IF(B69=0,0,IF(C69&gt;59,0,LOOKUP(Table14[[#This Row],[Medical
Age]],db!$BC$3:$BC$63,db!$BE$3:$BE$63)))</f>
        <v>0</v>
      </c>
      <c r="BJ69" s="20">
        <f>(BI69/1000000)*AL69*(1-db!$AS$11)</f>
        <v>0</v>
      </c>
      <c r="BK69" s="20">
        <f>(BI69/1000000)*AL69*(db!$AS$11)</f>
        <v>0</v>
      </c>
      <c r="BL69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69" s="20">
        <f>Table14[[#This Row],[RiskLoading
Rate]]*Table14[[#This Row],[Death Capital (2)]]</f>
        <v>0</v>
      </c>
      <c r="BN69" s="36"/>
      <c r="BO69" s="37">
        <f t="shared" si="25"/>
        <v>0</v>
      </c>
      <c r="BP69" s="35">
        <f t="shared" si="26"/>
        <v>0</v>
      </c>
      <c r="BQ69" s="35">
        <f t="shared" si="27"/>
        <v>0</v>
      </c>
      <c r="BR69" s="37">
        <f t="shared" si="31"/>
        <v>0</v>
      </c>
      <c r="BS69" s="37">
        <f t="shared" si="32"/>
        <v>0</v>
      </c>
      <c r="BT69" s="35">
        <f t="shared" si="33"/>
        <v>0</v>
      </c>
      <c r="BU69" s="35">
        <f t="shared" si="34"/>
        <v>0</v>
      </c>
      <c r="BV69" s="37">
        <f>(db!$AS$4/100)*(L69-BT69-BU69)</f>
        <v>0</v>
      </c>
      <c r="BW69" s="37">
        <f>(db!$AS$8/100)*(L69-BT69-BU69)</f>
        <v>0</v>
      </c>
      <c r="BX69" s="35"/>
      <c r="BY69" s="37"/>
      <c r="BZ69" s="37"/>
      <c r="CA69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69" s="33"/>
      <c r="CC69" s="39">
        <f>ROUND((Table14[[#This Row],[Premium]]-Table14[[#This Row],[All Deductions]]),0)</f>
        <v>0</v>
      </c>
      <c r="CD69" s="40">
        <f>ROUND(IF(B69=0,0,((CC69)*(1+ IF(AND(Changes!Change="Yes",Changes!ValidityYear&lt;=Table14[[#This Row],[Year]],Annulment&gt;Table14[[#This Row],[Year]],Changes!ChangeType="Paid-Up"),db!Y71+0.02,db!Y71)))+((CD68)*(1+IF(AND(Changes!Change="Yes",Changes!ValidityYear&lt;=Table14[[#This Row],[Year]],Annulment&gt;Table14[[#This Row],[Year]],Changes!ChangeType="Paid-Up"),db!U71+0.02,db!U71)))),0)</f>
        <v>0</v>
      </c>
      <c r="CE69" s="40">
        <f>ROUND(IF(B69=0,0,((CC69)*(1+db!Y71))+((CE68)*(1+db!U71))),0)</f>
        <v>0</v>
      </c>
      <c r="CF69" s="40">
        <f t="shared" si="19"/>
        <v>0</v>
      </c>
      <c r="CG69" s="15">
        <f t="shared" si="35"/>
        <v>68</v>
      </c>
      <c r="CH69" s="39">
        <f>IF(B69=0,0,((CC69)*(1+db!AH71))+((CH68)*(1+db!AD71)))</f>
        <v>0</v>
      </c>
      <c r="CI69" s="39">
        <f>IF(B69=0,0,((CC69)*(1+db!AH71))+((CI68)*(1+db!AD71)))</f>
        <v>0</v>
      </c>
      <c r="CJ69" s="40">
        <f>IF(B69=0,0,((CC69)*(1+db!AO71))+((CJ68)*(1+db!AK71)))</f>
        <v>0</v>
      </c>
      <c r="CK69" s="40">
        <f>CJ69-(SUM(BX$7:$BX70))</f>
        <v>0</v>
      </c>
      <c r="CL69" s="46"/>
    </row>
    <row r="70" spans="1:90">
      <c r="A70" s="347">
        <f t="shared" si="36"/>
        <v>69</v>
      </c>
      <c r="B70" s="345">
        <f>IF(AND(Changes!Change="Yes", Changes!ChangeType="Change Contract Duration"),IF(B69=0,0,IF(Changes!NewChangedValue&lt;B69+1,0,B69+1)),IF(B69=0,0,IF('Application Annually'!$C$5&lt;B69+1,0,B69+1)))</f>
        <v>0</v>
      </c>
      <c r="C70" s="15">
        <f t="shared" si="37"/>
        <v>0</v>
      </c>
      <c r="D70" s="312">
        <f t="shared" si="38"/>
        <v>96</v>
      </c>
      <c r="E70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70" s="29">
        <f t="shared" si="28"/>
        <v>0</v>
      </c>
      <c r="G70" s="29">
        <f t="shared" si="29"/>
        <v>0</v>
      </c>
      <c r="H70" s="29">
        <f t="shared" si="20"/>
        <v>0</v>
      </c>
      <c r="I70" s="29">
        <f>IF(B70&gt;0,IF(AND(Table14[[#This Row],[Year]]&gt;Changes!ValidityYear,Changes!Change="Yes",Changes!ChangeType="Change Value Adjustment"),Changes!$G$22,'Application Annually'!$C$11),0)</f>
        <v>0</v>
      </c>
      <c r="J70" s="29">
        <f>IF(B70&gt;0,IF(AND(Table14[[#This Row],[Year]]&gt;Changes!ValidityYear,Changes!Change="Yes",Changes!ChangeType="Change Value Adjustment"),Changes!$G$24,'Application Annually'!$C$7),0)</f>
        <v>0</v>
      </c>
      <c r="K70" s="29">
        <f>ROUND(IF(B70=0,0,IF(AND(Changes!Change="Yes", Changes!ValidityYear=Table14[[#This Row],[Year]], Changes!ChangeType="Change Premium"), Changes!NewChangedValue, (K69*(1+db!$B$3)))),0)</f>
        <v>0</v>
      </c>
      <c r="L70" s="29">
        <f>ROUND(IF(B70=0,0,IF(AND(Changes!Change="Yes", Changes!ValidityYear=Table14[[#This Row],[Year]], Changes!ChangeType="Change Premium"), Changes!NewChangedValue, (L69*(1+Table14[[#This Row],[Adjustment Factor of Premium]]/100)))),0)</f>
        <v>0</v>
      </c>
      <c r="M70" s="29">
        <f>IF(Table14[[#This Row],[Year]]=1,ROUND(MIN($L$2 -( Table14[[#This Row],[Riders Risk Premiums]] + Table14[[#This Row],[Acquisition Cost]]) *0.75,Table14[[#This Row],[Death Capital (1)]]* 0.03),0),0)</f>
        <v>0</v>
      </c>
      <c r="N70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70" s="29">
        <f>ROUND(IF(ROW()-1&gt;InsurancePeriod,0,(O69*(1+(Table14[[#This Row],[Adjustment Factor of Premium]]/100)))),0)</f>
        <v>0</v>
      </c>
      <c r="P70" s="29">
        <f>IF(Table14[Year] = 0, 0, SUM(L$2:L70))</f>
        <v>0</v>
      </c>
      <c r="Q70" s="17">
        <f t="shared" si="21"/>
        <v>0</v>
      </c>
      <c r="R70" s="17">
        <f>IF(Table14[[#This Row],[Year]]=0,0,IF($C$2&lt;=50,LOOKUP(Table14[[#This Row],[Age]],db!BG71:BG177,db!BH71:BH177),LOOKUP(Table14[[#This Row],[Age]],db!BJ71:BJ177,db!BK71:BK177)))</f>
        <v>0</v>
      </c>
      <c r="S70" s="17">
        <f>IF(B70=0,0, IF(AND(Changes!Change="Yes", Changes!ValidityYear=Table14[[#This Row],[Year]], Changes!ChangeType="Change Death Capital"), Changes!NewChangedValue, S69*(1+(Table14[[#This Row],[Adjustment Factor of Death Capital]]/100))))</f>
        <v>0</v>
      </c>
      <c r="T70" s="17">
        <f>MIN(IF(B70=0,0,Table14[[#This Row],[Death Capital (1)]]),Table14[[#This Row],[Max Sum Insured For Death]])</f>
        <v>0</v>
      </c>
      <c r="U70" s="29">
        <f t="shared" si="30"/>
        <v>0</v>
      </c>
      <c r="V70" s="29">
        <f>IF(B70=0,0,IF(AND(Changes!Change="Yes", Changes!ValidityYear&lt;=Table14[[#This Row],[Year]], Changes!ChangeType="Rider Inclusion/Exclusion", Changes!RiderType="Accident Death"), T70*Changes!NewChangedValue,IF(db!$D$6="Yes",(db!$B$6)*T70,0)))</f>
        <v>0</v>
      </c>
      <c r="W70" s="29">
        <f>MIN(IF(V70&lt;=db!$L$2,V70,db!$L$2),MAX_ACC_CAPITAL)</f>
        <v>0</v>
      </c>
      <c r="X70" s="17">
        <f>IF(OR(B70=0,Table14[[#This Row],[Accident Capital (2)]]=0),0,IF(AND(Changes!Change="Yes", Changes!ValidityYear&lt;=Table14[[#This Row],[Year]], Changes!ChangeType="Rider Inclusion/Exclusion", Changes!RiderType="Accident Disability"), T70*Changes!NewChangedValue,IF(db!$D$7="Yes",(db!$B$7)*T70,0)))</f>
        <v>0</v>
      </c>
      <c r="Y70" s="42">
        <f>IF(C70&gt;69,0,IF(C70=0,0,IF(X70&lt;=db!$L$3,X70,db!$L$3)))</f>
        <v>0</v>
      </c>
      <c r="Z70" s="29">
        <f>IF(OR(B70=0,Table14[[#This Row],[Accident Capital (2)]]=0),0,IF(AND(Changes!Change="Yes", Changes!ValidityYear&lt;=Table14[[#This Row],[Year]], Changes!ChangeType="Rider Inclusion/Exclusion", Changes!RiderType="Accident Medical Cost"), T70*Changes!NewChangedValue,IF(db!$D$9="Yes",(db!$B$9)*T70,0)))</f>
        <v>0</v>
      </c>
      <c r="AA70" s="29">
        <f>ROUND(IF(C70&gt;69,0,IF(C70=0,0,IF(Z70&lt;=db!$L$4,Z70,db!$L$4))),0)</f>
        <v>0</v>
      </c>
      <c r="AB70" s="38">
        <f>IF(AND(Changes!Change = "Yes", Changes!ChangeType = "Rider Inclusion/Exclusion", Changes!RiderType = "WOP"), IF( Changes!ValidityYear &lt;= Table14[[#This Row],[Year]], IF(WOP = "Yes", 0, 1),  IF(WOP = "Yes", 1, 0)), IF(AND(db!$D$8="Yes",C70&lt;=69,ROW()-1&lt;=InsurancePeriod), 1, 0))</f>
        <v>0</v>
      </c>
      <c r="AC70" s="17">
        <f>(AC71+K71)*AB70*((1)/(1+db!AA72))*(LOOKUP(C70,'Mortality Table'!$A$2:$A$108,'Mortality Table'!$E$2:$E$108))</f>
        <v>0</v>
      </c>
      <c r="AD70" s="340">
        <f>IF(AND(Changes!ValidityYear&lt;= Table14[[#This Row],[Year]],Changes!ChangeType="Change Value Adjustment",Changes!Change="Yes"), (AD71+L71)*AB70*((1)/(1+db!AA72))*(LOOKUP(C70,'Mortality Table'!$A$2:$A$108,'Mortality Table'!$E$2:$E$108)),Table14[[#This Row],[WOP Before Adj. BT]])</f>
        <v>0</v>
      </c>
      <c r="AE70" s="341">
        <f>IF(AND(Changes!Change="Yes", Changes!ChangeType="Change Value Adjustment"),Table14[[#This Row],[WOP Capital]],(AE71+O71)*AB70*((1)/(1+db!AA72))*(LOOKUP(D70,'Mortality Table'!$A$2:$A$108,'Mortality Table'!$E$2:$E$108)))</f>
        <v>0</v>
      </c>
      <c r="AF70" s="17">
        <f>IF(AND(Changes!Change="Yes", Changes!ValidityYear&lt;=ROW()-1),Table14[[#This Row],[WOP Capital]],Table14[[#This Row],[WOP without change]])</f>
        <v>0</v>
      </c>
      <c r="AG70" s="42">
        <f>IF(AND(Changes!Change="Yes", Changes!ValidityYear&lt;=Table14[[#This Row],[Year]], Changes!ChangeType="Rider Inclusion/Exclusion", Changes!RiderType="Disability Annuity"), L70*Changes!NewChangedValue,L70*db!B$10*IF(db!$D$10="Yes",1,0))</f>
        <v>0</v>
      </c>
      <c r="AH70" s="29">
        <f>Table14[[#This Row],[Code Annuity Capital]]*IF('Annual Calculation'!C70&gt;69,0,(LOOKUP('Annual Calculation'!C70+1,'Mortality Table'!$A$2:$A$108,'Mortality Table'!$O$2:$O$108)-LOOKUP('Annual Calculation'!C70+11,'Mortality Table'!$A$2:$A$108,'Mortality Table'!$O$2:$O$108))/LOOKUP('Annual Calculation'!C70,'Mortality Table'!$A$2:$A$108,'Mortality Table'!$M$2:$M$108))</f>
        <v>0</v>
      </c>
      <c r="AI70" s="17">
        <f>IF(B70=0,0,IF(AND(Changes!Change="Yes", Changes!ValidityYear&lt;=Table14[[#This Row],[Year]], Changes!ChangeType="Rider Inclusion/Exclusion", Changes!RiderType="Dread Disease"), T70*Changes!NewChangedValue,IF(db!$D$11="Yes",(db!$B$11)*T70,0)))</f>
        <v>0</v>
      </c>
      <c r="AJ70" s="42">
        <f>ROUND(IF(C70&gt;59,0,IF(C70=0,0,IF(AI70&lt;=db!$L$5,AI70,db!$L$5))),0)</f>
        <v>0</v>
      </c>
      <c r="AK70" s="29">
        <f>IF(B70=0,0,IF(AND(Changes!Change="Yes", Changes!ValidityYear&lt;=Table14[[#This Row],[Year]], Changes!ChangeType="Rider Inclusion/Exclusion", Changes!RiderType="Cancer"), T70*Changes!NewChangedValue,IF(db!$D$12="Yes",(db!$B$12)*T70,0)))</f>
        <v>0</v>
      </c>
      <c r="AL70" s="29">
        <f>ROUND(IF(C70&gt;59,0,IF(C70=0,0,IF(AK70&lt;=db!$L$6,AK70,db!$L$6))),0)</f>
        <v>0</v>
      </c>
      <c r="AM70" s="32"/>
      <c r="AN70" s="18">
        <f>IF(B70=0,0,IF(C70&lt;(db!$E$2+5),LOOKUP(C70,'Mortality Table'!$A$2:$A$108,'Mortality Table'!$P$2:$P$108),IF((C70&gt;=db!$E$2+10),LOOKUP(C70,'Mortality Table'!$A$2:$A$108,'Mortality Table'!$R$2:$R$108),LOOKUP(C70,'Mortality Table'!$A$2:$A$108,'Mortality Table'!$Q$2:$Q$108))))</f>
        <v>0</v>
      </c>
      <c r="AO70" s="22">
        <f t="shared" si="22"/>
        <v>0</v>
      </c>
      <c r="AP70" s="19">
        <f>IF(B70=0,0, LOOKUP(IF(AND(Changes!Change="Yes", Changes!ValidityYear&lt;=Table14[[#This Row],[Year]], Changes!ChangeType="Change Job Class"),Changes!NewChangedValue, db!$A$8),db!$AX$4:$AX$8,db!$AY$4:$AY$8))</f>
        <v>0</v>
      </c>
      <c r="AQ70" s="20">
        <f>ROUND((AP70/1000)*W70 * (1-db!$AS$9),0)</f>
        <v>0</v>
      </c>
      <c r="AR70" s="20">
        <f>(AP70/1000)*W70 * db!$AS$9</f>
        <v>0</v>
      </c>
      <c r="AS70" s="21">
        <f>IF(B70=0,0, LOOKUP(IF(AND(Changes!Change="Yes", Changes!ValidityYear&lt;=Table14[[#This Row],[Year]], Changes!ChangeType="Change Job Class"),Changes!NewChangedValue, db!$A$8),db!$AX$4:$AX$8,db!$AZ$4:$AZ$8))</f>
        <v>0</v>
      </c>
      <c r="AT70" s="22">
        <f>(AS70/1000)*Y70*(1-db!$AS$9)</f>
        <v>0</v>
      </c>
      <c r="AU70" s="22">
        <f>(AS70/1000)*Y70*(db!$AS$9)</f>
        <v>0</v>
      </c>
      <c r="AV70" s="23">
        <f>IF(B70=0,0, LOOKUP(IF(AND(Changes!Change="Yes", Changes!ValidityYear&lt;=Table14[[#This Row],[Year]], Changes!ChangeType="Change Job Class"),Changes!NewChangedValue, db!$A$8),db!$AX$4:$AX$8,db!$BA$4:$BA$8))</f>
        <v>0</v>
      </c>
      <c r="AW70" s="20">
        <f>ROUND((AV70/(100))*AA70*(1-db!$AS$9),0)</f>
        <v>0</v>
      </c>
      <c r="AX70" s="20">
        <f>ROUND((AV70/(100))*AA70*(db!$AS$9),0)</f>
        <v>0</v>
      </c>
      <c r="AY70" s="21">
        <f>IF(db!$D$8="Yes",AS70,0)</f>
        <v>0</v>
      </c>
      <c r="AZ70" s="22">
        <f>(AY70*AF70)/1000*(1-db!$AS$9)</f>
        <v>0</v>
      </c>
      <c r="BA70" s="22">
        <f>(AY70*AF70)/1000*(db!$AS$9)</f>
        <v>0</v>
      </c>
      <c r="BB70" s="23">
        <f t="shared" si="23"/>
        <v>0</v>
      </c>
      <c r="BC70" s="20">
        <f>(BB70*AH70/1000)*(1-db!$AS$9)</f>
        <v>0</v>
      </c>
      <c r="BD70" s="20">
        <f>(BB70*AH70/1000)*(db!$AS$9)</f>
        <v>0</v>
      </c>
      <c r="BE70" s="22">
        <f>IF(B70=0,0,IF(C70&gt;60,0,LOOKUP(Table14[[#This Row],[Medical
Age]],db!$BC$3:$BC$63,db!$BD$3:$BD$63)))</f>
        <v>0</v>
      </c>
      <c r="BF70" s="22">
        <f>BG70*db!$AS$10</f>
        <v>0</v>
      </c>
      <c r="BG70" s="22">
        <f t="shared" si="24"/>
        <v>0</v>
      </c>
      <c r="BH70" s="22">
        <f>(BE70/1000000)*AJ70*(1-db!$AS$10)</f>
        <v>0</v>
      </c>
      <c r="BI70" s="20">
        <f>IF(B70=0,0,IF(C70&gt;59,0,LOOKUP(Table14[[#This Row],[Medical
Age]],db!$BC$3:$BC$63,db!$BE$3:$BE$63)))</f>
        <v>0</v>
      </c>
      <c r="BJ70" s="20">
        <f>(BI70/1000000)*AL70*(1-db!$AS$11)</f>
        <v>0</v>
      </c>
      <c r="BK70" s="20">
        <f>(BI70/1000000)*AL70*(db!$AS$11)</f>
        <v>0</v>
      </c>
      <c r="BL70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70" s="20">
        <f>Table14[[#This Row],[RiskLoading
Rate]]*Table14[[#This Row],[Death Capital (2)]]</f>
        <v>0</v>
      </c>
      <c r="BN70" s="36"/>
      <c r="BO70" s="37">
        <f t="shared" si="25"/>
        <v>0</v>
      </c>
      <c r="BP70" s="35">
        <f t="shared" si="26"/>
        <v>0</v>
      </c>
      <c r="BQ70" s="35">
        <f t="shared" si="27"/>
        <v>0</v>
      </c>
      <c r="BR70" s="37">
        <f t="shared" si="31"/>
        <v>0</v>
      </c>
      <c r="BS70" s="37">
        <f t="shared" si="32"/>
        <v>0</v>
      </c>
      <c r="BT70" s="35">
        <f t="shared" si="33"/>
        <v>0</v>
      </c>
      <c r="BU70" s="35">
        <f t="shared" si="34"/>
        <v>0</v>
      </c>
      <c r="BV70" s="37">
        <f>(db!$AS$4/100)*(L70-BT70-BU70)</f>
        <v>0</v>
      </c>
      <c r="BW70" s="37">
        <f>(db!$AS$8/100)*(L70-BT70-BU70)</f>
        <v>0</v>
      </c>
      <c r="BX70" s="35"/>
      <c r="BY70" s="37"/>
      <c r="BZ70" s="37"/>
      <c r="CA70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70" s="33"/>
      <c r="CC70" s="39">
        <f>ROUND((Table14[[#This Row],[Premium]]-Table14[[#This Row],[All Deductions]]),0)</f>
        <v>0</v>
      </c>
      <c r="CD70" s="40">
        <f>ROUND(IF(B70=0,0,((CC70)*(1+ IF(AND(Changes!Change="Yes",Changes!ValidityYear&lt;=Table14[[#This Row],[Year]],Annulment&gt;Table14[[#This Row],[Year]],Changes!ChangeType="Paid-Up"),db!Y72+0.02,db!Y72)))+((CD69)*(1+IF(AND(Changes!Change="Yes",Changes!ValidityYear&lt;=Table14[[#This Row],[Year]],Annulment&gt;Table14[[#This Row],[Year]],Changes!ChangeType="Paid-Up"),db!U72+0.02,db!U72)))),0)</f>
        <v>0</v>
      </c>
      <c r="CE70" s="40">
        <f>ROUND(IF(B70=0,0,((CC70)*(1+db!Y72))+((CE69)*(1+db!U72))),0)</f>
        <v>0</v>
      </c>
      <c r="CF70" s="40">
        <f t="shared" si="19"/>
        <v>0</v>
      </c>
      <c r="CG70" s="15">
        <f t="shared" si="35"/>
        <v>69</v>
      </c>
      <c r="CH70" s="39">
        <f>IF(B70=0,0,((CC70)*(1+db!AH72))+((CH69)*(1+db!AD72)))</f>
        <v>0</v>
      </c>
      <c r="CI70" s="39">
        <f>IF(B70=0,0,((CC70)*(1+db!AH72))+((CI69)*(1+db!AD72)))</f>
        <v>0</v>
      </c>
      <c r="CJ70" s="40">
        <f>IF(B70=0,0,((CC70)*(1+db!AO72))+((CJ69)*(1+db!AK72)))</f>
        <v>0</v>
      </c>
      <c r="CK70" s="40">
        <f>CJ70-(SUM(BX$7:$BX71))</f>
        <v>0</v>
      </c>
      <c r="CL70" s="46"/>
    </row>
    <row r="71" spans="1:90">
      <c r="A71" s="347">
        <f t="shared" si="36"/>
        <v>70</v>
      </c>
      <c r="B71" s="345">
        <f>IF(AND(Changes!Change="Yes", Changes!ChangeType="Change Contract Duration"),IF(B70=0,0,IF(Changes!NewChangedValue&lt;B70+1,0,B70+1)),IF(B70=0,0,IF('Application Annually'!$C$5&lt;B70+1,0,B70+1)))</f>
        <v>0</v>
      </c>
      <c r="C71" s="15">
        <f t="shared" si="37"/>
        <v>0</v>
      </c>
      <c r="D71" s="312">
        <f t="shared" si="38"/>
        <v>97</v>
      </c>
      <c r="E71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71" s="29">
        <f t="shared" si="28"/>
        <v>0</v>
      </c>
      <c r="G71" s="29">
        <f t="shared" si="29"/>
        <v>0</v>
      </c>
      <c r="H71" s="29">
        <f t="shared" si="20"/>
        <v>0</v>
      </c>
      <c r="I71" s="29">
        <f>IF(B71&gt;0,IF(AND(Table14[[#This Row],[Year]]&gt;Changes!ValidityYear,Changes!Change="Yes",Changes!ChangeType="Change Value Adjustment"),Changes!$G$22,'Application Annually'!$C$11),0)</f>
        <v>0</v>
      </c>
      <c r="J71" s="29">
        <f>IF(B71&gt;0,IF(AND(Table14[[#This Row],[Year]]&gt;Changes!ValidityYear,Changes!Change="Yes",Changes!ChangeType="Change Value Adjustment"),Changes!$G$24,'Application Annually'!$C$7),0)</f>
        <v>0</v>
      </c>
      <c r="K71" s="29">
        <f>ROUND(IF(B71=0,0,IF(AND(Changes!Change="Yes", Changes!ValidityYear=Table14[[#This Row],[Year]], Changes!ChangeType="Change Premium"), Changes!NewChangedValue, (K70*(1+db!$B$3)))),0)</f>
        <v>0</v>
      </c>
      <c r="L71" s="29">
        <f>ROUND(IF(B71=0,0,IF(AND(Changes!Change="Yes", Changes!ValidityYear=Table14[[#This Row],[Year]], Changes!ChangeType="Change Premium"), Changes!NewChangedValue, (L70*(1+Table14[[#This Row],[Adjustment Factor of Premium]]/100)))),0)</f>
        <v>0</v>
      </c>
      <c r="M71" s="29">
        <f>IF(Table14[[#This Row],[Year]]=1,ROUND(MIN($L$2 -( Table14[[#This Row],[Riders Risk Premiums]] + Table14[[#This Row],[Acquisition Cost]]) *0.75,Table14[[#This Row],[Death Capital (1)]]* 0.03),0),0)</f>
        <v>0</v>
      </c>
      <c r="N71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71" s="29">
        <f>ROUND(IF(ROW()-1&gt;InsurancePeriod,0,(O70*(1+(Table14[[#This Row],[Adjustment Factor of Premium]]/100)))),0)</f>
        <v>0</v>
      </c>
      <c r="P71" s="29">
        <f>IF(Table14[Year] = 0, 0, SUM(L$2:L71))</f>
        <v>0</v>
      </c>
      <c r="Q71" s="17">
        <f t="shared" si="21"/>
        <v>0</v>
      </c>
      <c r="R71" s="17">
        <f>IF(Table14[[#This Row],[Year]]=0,0,IF($C$2&lt;=50,LOOKUP(Table14[[#This Row],[Age]],db!BG72:BG178,db!BH72:BH178),LOOKUP(Table14[[#This Row],[Age]],db!BJ72:BJ178,db!BK72:BK178)))</f>
        <v>0</v>
      </c>
      <c r="S71" s="17">
        <f>IF(B71=0,0, IF(AND(Changes!Change="Yes", Changes!ValidityYear=Table14[[#This Row],[Year]], Changes!ChangeType="Change Death Capital"), Changes!NewChangedValue, S70*(1+(Table14[[#This Row],[Adjustment Factor of Death Capital]]/100))))</f>
        <v>0</v>
      </c>
      <c r="T71" s="17">
        <f>MIN(IF(B71=0,0,Table14[[#This Row],[Death Capital (1)]]),Table14[[#This Row],[Max Sum Insured For Death]])</f>
        <v>0</v>
      </c>
      <c r="U71" s="29">
        <f t="shared" si="30"/>
        <v>0</v>
      </c>
      <c r="V71" s="29">
        <f>IF(B71=0,0,IF(AND(Changes!Change="Yes", Changes!ValidityYear&lt;=Table14[[#This Row],[Year]], Changes!ChangeType="Rider Inclusion/Exclusion", Changes!RiderType="Accident Death"), T71*Changes!NewChangedValue,IF(db!$D$6="Yes",(db!$B$6)*T71,0)))</f>
        <v>0</v>
      </c>
      <c r="W71" s="29">
        <f>MIN(IF(V71&lt;=db!$L$2,V71,db!$L$2),MAX_ACC_CAPITAL)</f>
        <v>0</v>
      </c>
      <c r="X71" s="17">
        <f>IF(OR(B71=0,Table14[[#This Row],[Accident Capital (2)]]=0),0,IF(AND(Changes!Change="Yes", Changes!ValidityYear&lt;=Table14[[#This Row],[Year]], Changes!ChangeType="Rider Inclusion/Exclusion", Changes!RiderType="Accident Disability"), T71*Changes!NewChangedValue,IF(db!$D$7="Yes",(db!$B$7)*T71,0)))</f>
        <v>0</v>
      </c>
      <c r="Y71" s="42">
        <f>IF(C71&gt;69,0,IF(C71=0,0,IF(X71&lt;=db!$L$3,X71,db!$L$3)))</f>
        <v>0</v>
      </c>
      <c r="Z71" s="29">
        <f>IF(OR(B71=0,Table14[[#This Row],[Accident Capital (2)]]=0),0,IF(AND(Changes!Change="Yes", Changes!ValidityYear&lt;=Table14[[#This Row],[Year]], Changes!ChangeType="Rider Inclusion/Exclusion", Changes!RiderType="Accident Medical Cost"), T71*Changes!NewChangedValue,IF(db!$D$9="Yes",(db!$B$9)*T71,0)))</f>
        <v>0</v>
      </c>
      <c r="AA71" s="29">
        <f>ROUND(IF(C71&gt;69,0,IF(C71=0,0,IF(Z71&lt;=db!$L$4,Z71,db!$L$4))),0)</f>
        <v>0</v>
      </c>
      <c r="AB71" s="38">
        <f>IF(AND(Changes!Change = "Yes", Changes!ChangeType = "Rider Inclusion/Exclusion", Changes!RiderType = "WOP"), IF( Changes!ValidityYear &lt;= Table14[[#This Row],[Year]], IF(WOP = "Yes", 0, 1),  IF(WOP = "Yes", 1, 0)), IF(AND(db!$D$8="Yes",C71&lt;=69,ROW()-1&lt;=InsurancePeriod), 1, 0))</f>
        <v>0</v>
      </c>
      <c r="AC71" s="17">
        <f>(AC72+K72)*AB71*((1)/(1+db!AA73))*(LOOKUP(C71,'Mortality Table'!$A$2:$A$108,'Mortality Table'!$E$2:$E$108))</f>
        <v>0</v>
      </c>
      <c r="AD71" s="340">
        <f>IF(AND(Changes!ValidityYear&lt;= Table14[[#This Row],[Year]],Changes!ChangeType="Change Value Adjustment",Changes!Change="Yes"), (AD72+L72)*AB71*((1)/(1+db!AA73))*(LOOKUP(C71,'Mortality Table'!$A$2:$A$108,'Mortality Table'!$E$2:$E$108)),Table14[[#This Row],[WOP Before Adj. BT]])</f>
        <v>0</v>
      </c>
      <c r="AE71" s="341">
        <f>IF(AND(Changes!Change="Yes", Changes!ChangeType="Change Value Adjustment"),Table14[[#This Row],[WOP Capital]],(AE72+O72)*AB71*((1)/(1+db!AA73))*(LOOKUP(D71,'Mortality Table'!$A$2:$A$108,'Mortality Table'!$E$2:$E$108)))</f>
        <v>0</v>
      </c>
      <c r="AF71" s="17">
        <f>IF(AND(Changes!Change="Yes", Changes!ValidityYear&lt;=ROW()-1),Table14[[#This Row],[WOP Capital]],Table14[[#This Row],[WOP without change]])</f>
        <v>0</v>
      </c>
      <c r="AG71" s="42">
        <f>IF(AND(Changes!Change="Yes", Changes!ValidityYear&lt;=Table14[[#This Row],[Year]], Changes!ChangeType="Rider Inclusion/Exclusion", Changes!RiderType="Disability Annuity"), L71*Changes!NewChangedValue,L71*db!B$10*IF(db!$D$10="Yes",1,0))</f>
        <v>0</v>
      </c>
      <c r="AH71" s="29">
        <f>Table14[[#This Row],[Code Annuity Capital]]*IF('Annual Calculation'!C71&gt;69,0,(LOOKUP('Annual Calculation'!C71+1,'Mortality Table'!$A$2:$A$108,'Mortality Table'!$O$2:$O$108)-LOOKUP('Annual Calculation'!C71+11,'Mortality Table'!$A$2:$A$108,'Mortality Table'!$O$2:$O$108))/LOOKUP('Annual Calculation'!C71,'Mortality Table'!$A$2:$A$108,'Mortality Table'!$M$2:$M$108))</f>
        <v>0</v>
      </c>
      <c r="AI71" s="17">
        <f>IF(B71=0,0,IF(AND(Changes!Change="Yes", Changes!ValidityYear&lt;=Table14[[#This Row],[Year]], Changes!ChangeType="Rider Inclusion/Exclusion", Changes!RiderType="Dread Disease"), T71*Changes!NewChangedValue,IF(db!$D$11="Yes",(db!$B$11)*T71,0)))</f>
        <v>0</v>
      </c>
      <c r="AJ71" s="42">
        <f>ROUND(IF(C71&gt;59,0,IF(C71=0,0,IF(AI71&lt;=db!$L$5,AI71,db!$L$5))),0)</f>
        <v>0</v>
      </c>
      <c r="AK71" s="29">
        <f>IF(B71=0,0,IF(AND(Changes!Change="Yes", Changes!ValidityYear&lt;=Table14[[#This Row],[Year]], Changes!ChangeType="Rider Inclusion/Exclusion", Changes!RiderType="Cancer"), T71*Changes!NewChangedValue,IF(db!$D$12="Yes",(db!$B$12)*T71,0)))</f>
        <v>0</v>
      </c>
      <c r="AL71" s="29">
        <f>ROUND(IF(C71&gt;59,0,IF(C71=0,0,IF(AK71&lt;=db!$L$6,AK71,db!$L$6))),0)</f>
        <v>0</v>
      </c>
      <c r="AM71" s="32"/>
      <c r="AN71" s="18">
        <f>IF(B71=0,0,IF(C71&lt;(db!$E$2+5),LOOKUP(C71,'Mortality Table'!$A$2:$A$108,'Mortality Table'!$P$2:$P$108),IF((C71&gt;=db!$E$2+10),LOOKUP(C71,'Mortality Table'!$A$2:$A$108,'Mortality Table'!$R$2:$R$108),LOOKUP(C71,'Mortality Table'!$A$2:$A$108,'Mortality Table'!$Q$2:$Q$108))))</f>
        <v>0</v>
      </c>
      <c r="AO71" s="22">
        <f t="shared" si="22"/>
        <v>0</v>
      </c>
      <c r="AP71" s="19">
        <f>IF(B71=0,0, LOOKUP(IF(AND(Changes!Change="Yes", Changes!ValidityYear&lt;=Table14[[#This Row],[Year]], Changes!ChangeType="Change Job Class"),Changes!NewChangedValue, db!$A$8),db!$AX$4:$AX$8,db!$AY$4:$AY$8))</f>
        <v>0</v>
      </c>
      <c r="AQ71" s="20">
        <f>ROUND((AP71/1000)*W71 * (1-db!$AS$9),0)</f>
        <v>0</v>
      </c>
      <c r="AR71" s="20">
        <f>(AP71/1000)*W71 * db!$AS$9</f>
        <v>0</v>
      </c>
      <c r="AS71" s="21">
        <f>IF(B71=0,0, LOOKUP(IF(AND(Changes!Change="Yes", Changes!ValidityYear&lt;=Table14[[#This Row],[Year]], Changes!ChangeType="Change Job Class"),Changes!NewChangedValue, db!$A$8),db!$AX$4:$AX$8,db!$AZ$4:$AZ$8))</f>
        <v>0</v>
      </c>
      <c r="AT71" s="22">
        <f>(AS71/1000)*Y71*(1-db!$AS$9)</f>
        <v>0</v>
      </c>
      <c r="AU71" s="22">
        <f>(AS71/1000)*Y71*(db!$AS$9)</f>
        <v>0</v>
      </c>
      <c r="AV71" s="23">
        <f>IF(B71=0,0, LOOKUP(IF(AND(Changes!Change="Yes", Changes!ValidityYear&lt;=Table14[[#This Row],[Year]], Changes!ChangeType="Change Job Class"),Changes!NewChangedValue, db!$A$8),db!$AX$4:$AX$8,db!$BA$4:$BA$8))</f>
        <v>0</v>
      </c>
      <c r="AW71" s="20">
        <f>ROUND((AV71/(100))*AA71*(1-db!$AS$9),0)</f>
        <v>0</v>
      </c>
      <c r="AX71" s="20">
        <f>ROUND((AV71/(100))*AA71*(db!$AS$9),0)</f>
        <v>0</v>
      </c>
      <c r="AY71" s="21">
        <f>IF(db!$D$8="Yes",AS71,0)</f>
        <v>0</v>
      </c>
      <c r="AZ71" s="22">
        <f>(AY71*AF71)/1000*(1-db!$AS$9)</f>
        <v>0</v>
      </c>
      <c r="BA71" s="22">
        <f>(AY71*AF71)/1000*(db!$AS$9)</f>
        <v>0</v>
      </c>
      <c r="BB71" s="23">
        <f t="shared" si="23"/>
        <v>0</v>
      </c>
      <c r="BC71" s="20">
        <f>(BB71*AH71/1000)*(1-db!$AS$9)</f>
        <v>0</v>
      </c>
      <c r="BD71" s="20">
        <f>(BB71*AH71/1000)*(db!$AS$9)</f>
        <v>0</v>
      </c>
      <c r="BE71" s="22">
        <f>IF(B71=0,0,IF(C71&gt;60,0,LOOKUP(Table14[[#This Row],[Medical
Age]],db!$BC$3:$BC$63,db!$BD$3:$BD$63)))</f>
        <v>0</v>
      </c>
      <c r="BF71" s="22">
        <f>BG71*db!$AS$10</f>
        <v>0</v>
      </c>
      <c r="BG71" s="22">
        <f t="shared" si="24"/>
        <v>0</v>
      </c>
      <c r="BH71" s="22">
        <f>(BE71/1000000)*AJ71*(1-db!$AS$10)</f>
        <v>0</v>
      </c>
      <c r="BI71" s="20">
        <f>IF(B71=0,0,IF(C71&gt;59,0,LOOKUP(Table14[[#This Row],[Medical
Age]],db!$BC$3:$BC$63,db!$BE$3:$BE$63)))</f>
        <v>0</v>
      </c>
      <c r="BJ71" s="20">
        <f>(BI71/1000000)*AL71*(1-db!$AS$11)</f>
        <v>0</v>
      </c>
      <c r="BK71" s="20">
        <f>(BI71/1000000)*AL71*(db!$AS$11)</f>
        <v>0</v>
      </c>
      <c r="BL71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71" s="20">
        <f>Table14[[#This Row],[RiskLoading
Rate]]*Table14[[#This Row],[Death Capital (2)]]</f>
        <v>0</v>
      </c>
      <c r="BN71" s="36"/>
      <c r="BO71" s="37">
        <f t="shared" si="25"/>
        <v>0</v>
      </c>
      <c r="BP71" s="35">
        <f t="shared" si="26"/>
        <v>0</v>
      </c>
      <c r="BQ71" s="35">
        <f t="shared" si="27"/>
        <v>0</v>
      </c>
      <c r="BR71" s="37">
        <f t="shared" si="31"/>
        <v>0</v>
      </c>
      <c r="BS71" s="37">
        <f t="shared" si="32"/>
        <v>0</v>
      </c>
      <c r="BT71" s="35">
        <f t="shared" si="33"/>
        <v>0</v>
      </c>
      <c r="BU71" s="35">
        <f t="shared" si="34"/>
        <v>0</v>
      </c>
      <c r="BV71" s="37">
        <f>(db!$AS$4/100)*(L71-BT71-BU71)</f>
        <v>0</v>
      </c>
      <c r="BW71" s="37">
        <f>(db!$AS$8/100)*(L71-BT71-BU71)</f>
        <v>0</v>
      </c>
      <c r="BX71" s="35"/>
      <c r="BY71" s="37"/>
      <c r="BZ71" s="37"/>
      <c r="CA71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71" s="33"/>
      <c r="CC71" s="39">
        <f>ROUND((Table14[[#This Row],[Premium]]-Table14[[#This Row],[All Deductions]]),0)</f>
        <v>0</v>
      </c>
      <c r="CD71" s="40">
        <f>ROUND(IF(B71=0,0,((CC71)*(1+ IF(AND(Changes!Change="Yes",Changes!ValidityYear&lt;=Table14[[#This Row],[Year]],Annulment&gt;Table14[[#This Row],[Year]],Changes!ChangeType="Paid-Up"),db!Y73+0.02,db!Y73)))+((CD70)*(1+IF(AND(Changes!Change="Yes",Changes!ValidityYear&lt;=Table14[[#This Row],[Year]],Annulment&gt;Table14[[#This Row],[Year]],Changes!ChangeType="Paid-Up"),db!U73+0.02,db!U73)))),0)</f>
        <v>0</v>
      </c>
      <c r="CE71" s="40">
        <f>ROUND(IF(B71=0,0,((CC71)*(1+db!Y73))+((CE70)*(1+db!U73))),0)</f>
        <v>0</v>
      </c>
      <c r="CF71" s="40">
        <f>ROUND(CE71,-3)</f>
        <v>0</v>
      </c>
      <c r="CG71" s="15">
        <f t="shared" si="35"/>
        <v>70</v>
      </c>
      <c r="CH71" s="39">
        <f>IF(B71=0,0,((CC71)*(1+db!AH73))+((CH70)*(1+db!AD73)))</f>
        <v>0</v>
      </c>
      <c r="CI71" s="39">
        <f>IF(B71=0,0,((CC71)*(1+db!AH73))+((CI70)*(1+db!AD73)))</f>
        <v>0</v>
      </c>
      <c r="CJ71" s="40">
        <f>IF(B71=0,0,((CC71)*(1+db!AO73))+((CJ70)*(1+db!AK73)))</f>
        <v>0</v>
      </c>
      <c r="CK71" s="40">
        <f>CJ71-(SUM(BX$7:$BX72))</f>
        <v>0</v>
      </c>
      <c r="CL71" s="46"/>
    </row>
    <row r="72" spans="1:90" s="28" customFormat="1">
      <c r="A72" s="347">
        <f t="shared" si="36"/>
        <v>71</v>
      </c>
      <c r="B72" s="345">
        <f>IF(AND(Changes!Change="Yes", Changes!ChangeType="Change Contract Duration"),IF(B71=0,0,IF(Changes!NewChangedValue&lt;B71+1,0,B71+1)),IF(B71=0,0,IF('Application Annually'!$C$5&lt;B71+1,0,B71+1)))</f>
        <v>0</v>
      </c>
      <c r="C72" s="15">
        <f t="shared" si="37"/>
        <v>0</v>
      </c>
      <c r="D72" s="312">
        <f t="shared" si="38"/>
        <v>98</v>
      </c>
      <c r="E72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72" s="29">
        <f t="shared" si="28"/>
        <v>0</v>
      </c>
      <c r="G72" s="29">
        <f t="shared" si="29"/>
        <v>0</v>
      </c>
      <c r="H72" s="29">
        <f t="shared" si="20"/>
        <v>0</v>
      </c>
      <c r="I72" s="29">
        <f>IF(B72&gt;0,IF(AND(Table14[[#This Row],[Year]]&gt;Changes!ValidityYear,Changes!Change="Yes",Changes!ChangeType="Change Value Adjustment"),Changes!$G$22,'Application Annually'!$C$11),0)</f>
        <v>0</v>
      </c>
      <c r="J72" s="29">
        <f>IF(B72&gt;0,IF(AND(Table14[[#This Row],[Year]]&gt;Changes!ValidityYear,Changes!Change="Yes",Changes!ChangeType="Change Value Adjustment"),Changes!$G$24,'Application Annually'!$C$7),0)</f>
        <v>0</v>
      </c>
      <c r="K72" s="29">
        <f>ROUND(IF(B72=0,0,IF(AND(Changes!Change="Yes", Changes!ValidityYear=Table14[[#This Row],[Year]], Changes!ChangeType="Change Premium"), Changes!NewChangedValue, (K71*(1+db!$B$3)))),0)</f>
        <v>0</v>
      </c>
      <c r="L72" s="29">
        <f>ROUND(IF(B72=0,0,IF(AND(Changes!Change="Yes", Changes!ValidityYear=Table14[[#This Row],[Year]], Changes!ChangeType="Change Premium"), Changes!NewChangedValue, (L71*(1+Table14[[#This Row],[Adjustment Factor of Premium]]/100)))),0)</f>
        <v>0</v>
      </c>
      <c r="M72" s="29">
        <f>IF(Table14[[#This Row],[Year]]=1,ROUND(MIN($L$2 -( Table14[[#This Row],[Riders Risk Premiums]] + Table14[[#This Row],[Acquisition Cost]]) *0.75,Table14[[#This Row],[Death Capital (1)]]* 0.03),0),0)</f>
        <v>0</v>
      </c>
      <c r="N72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72" s="29">
        <f>ROUND(IF(ROW()-1&gt;InsurancePeriod,0,(O71*(1+(Table14[[#This Row],[Adjustment Factor of Premium]]/100)))),0)</f>
        <v>0</v>
      </c>
      <c r="P72" s="29">
        <f>IF(Table14[Year] = 0, 0, SUM(L$2:L72))</f>
        <v>0</v>
      </c>
      <c r="Q72" s="17">
        <f t="shared" si="21"/>
        <v>0</v>
      </c>
      <c r="R72" s="17">
        <f>IF(Table14[[#This Row],[Year]]=0,0,IF($C$2&lt;=50,LOOKUP(Table14[[#This Row],[Age]],db!BG73:BG179,db!BH73:BH179),LOOKUP(Table14[[#This Row],[Age]],db!BJ73:BJ179,db!BK73:BK179)))</f>
        <v>0</v>
      </c>
      <c r="S72" s="17">
        <f>IF(B72=0,0, IF(AND(Changes!Change="Yes", Changes!ValidityYear=Table14[[#This Row],[Year]], Changes!ChangeType="Change Death Capital"), Changes!NewChangedValue, S71*(1+(Table14[[#This Row],[Adjustment Factor of Death Capital]]/100))))</f>
        <v>0</v>
      </c>
      <c r="T72" s="17">
        <f>MIN(IF(B72=0,0,Table14[[#This Row],[Death Capital (1)]]),Table14[[#This Row],[Max Sum Insured For Death]])</f>
        <v>0</v>
      </c>
      <c r="U72" s="29">
        <f t="shared" si="30"/>
        <v>0</v>
      </c>
      <c r="V72" s="29">
        <f>IF(B72=0,0,IF(AND(Changes!Change="Yes", Changes!ValidityYear&lt;=Table14[[#This Row],[Year]], Changes!ChangeType="Rider Inclusion/Exclusion", Changes!RiderType="Accident Death"), T72*Changes!NewChangedValue,IF(db!$D$6="Yes",(db!$B$6)*T72,0)))</f>
        <v>0</v>
      </c>
      <c r="W72" s="29">
        <f>MIN(IF(V72&lt;=db!$L$2,V72,db!$L$2),MAX_ACC_CAPITAL)</f>
        <v>0</v>
      </c>
      <c r="X72" s="17">
        <f>IF(OR(B72=0,Table14[[#This Row],[Accident Capital (2)]]=0),0,IF(AND(Changes!Change="Yes", Changes!ValidityYear&lt;=Table14[[#This Row],[Year]], Changes!ChangeType="Rider Inclusion/Exclusion", Changes!RiderType="Accident Disability"), T72*Changes!NewChangedValue,IF(db!$D$7="Yes",(db!$B$7)*T72,0)))</f>
        <v>0</v>
      </c>
      <c r="Y72" s="42">
        <f>IF(C72&gt;69,0,IF(C72=0,0,IF(X72&lt;=db!$L$3,X72,db!$L$3)))</f>
        <v>0</v>
      </c>
      <c r="Z72" s="29">
        <f>IF(OR(B72=0,Table14[[#This Row],[Accident Capital (2)]]=0),0,IF(AND(Changes!Change="Yes", Changes!ValidityYear&lt;=Table14[[#This Row],[Year]], Changes!ChangeType="Rider Inclusion/Exclusion", Changes!RiderType="Accident Medical Cost"), T72*Changes!NewChangedValue,IF(db!$D$9="Yes",(db!$B$9)*T72,0)))</f>
        <v>0</v>
      </c>
      <c r="AA72" s="29">
        <f>ROUND(IF(C72&gt;69,0,IF(C72=0,0,IF(Z72&lt;=db!$L$4,Z72,db!$L$4))),0)</f>
        <v>0</v>
      </c>
      <c r="AB72" s="38">
        <f>IF(AND(Changes!Change = "Yes", Changes!ChangeType = "Rider Inclusion/Exclusion", Changes!RiderType = "WOP"), IF( Changes!ValidityYear &lt;= Table14[[#This Row],[Year]], IF(WOP = "Yes", 0, 1),  IF(WOP = "Yes", 1, 0)), IF(AND(db!$D$8="Yes",C72&lt;=69,ROW()-1&lt;=InsurancePeriod), 1, 0))</f>
        <v>0</v>
      </c>
      <c r="AC72" s="17">
        <f>(AC73+K73)*AB72*((1)/(1+db!AA74))*(LOOKUP(C72,'Mortality Table'!$A$2:$A$108,'Mortality Table'!$E$2:$E$108))</f>
        <v>0</v>
      </c>
      <c r="AD72" s="340">
        <f>IF(AND(Changes!ValidityYear&lt;= Table14[[#This Row],[Year]],Changes!ChangeType="Change Value Adjustment",Changes!Change="Yes"), (AD73+L73)*AB72*((1)/(1+db!AA74))*(LOOKUP(C72,'Mortality Table'!$A$2:$A$108,'Mortality Table'!$E$2:$E$108)),Table14[[#This Row],[WOP Before Adj. BT]])</f>
        <v>0</v>
      </c>
      <c r="AE72" s="341">
        <f>IF(AND(Changes!Change="Yes", Changes!ChangeType="Change Value Adjustment"),Table14[[#This Row],[WOP Capital]],(AE73+O73)*AB72*((1)/(1+db!AA74))*(LOOKUP(D72,'Mortality Table'!$A$2:$A$108,'Mortality Table'!$E$2:$E$108)))</f>
        <v>0</v>
      </c>
      <c r="AF72" s="17">
        <f>IF(AND(Changes!Change="Yes", Changes!ValidityYear&lt;=ROW()-1),Table14[[#This Row],[WOP Capital]],Table14[[#This Row],[WOP without change]])</f>
        <v>0</v>
      </c>
      <c r="AG72" s="42">
        <f>IF(AND(Changes!Change="Yes", Changes!ValidityYear&lt;=Table14[[#This Row],[Year]], Changes!ChangeType="Rider Inclusion/Exclusion", Changes!RiderType="Disability Annuity"), L72*Changes!NewChangedValue,L72*db!B$10*IF(db!$D$10="Yes",1,0))</f>
        <v>0</v>
      </c>
      <c r="AH72" s="29">
        <f>Table14[[#This Row],[Code Annuity Capital]]*IF('Annual Calculation'!C72&gt;69,0,(LOOKUP('Annual Calculation'!C72+1,'Mortality Table'!$A$2:$A$108,'Mortality Table'!$O$2:$O$108)-LOOKUP('Annual Calculation'!C72+11,'Mortality Table'!$A$2:$A$108,'Mortality Table'!$O$2:$O$108))/LOOKUP('Annual Calculation'!C72,'Mortality Table'!$A$2:$A$108,'Mortality Table'!$M$2:$M$108))</f>
        <v>0</v>
      </c>
      <c r="AI72" s="17">
        <f>IF(B72=0,0,IF(AND(Changes!Change="Yes", Changes!ValidityYear&lt;=Table14[[#This Row],[Year]], Changes!ChangeType="Rider Inclusion/Exclusion", Changes!RiderType="Dread Disease"), T72*Changes!NewChangedValue,IF(db!$D$11="Yes",(db!$B$11)*T72,0)))</f>
        <v>0</v>
      </c>
      <c r="AJ72" s="42">
        <f>ROUND(IF(C72&gt;59,0,IF(C72=0,0,IF(AI72&lt;=db!$L$5,AI72,db!$L$5))),0)</f>
        <v>0</v>
      </c>
      <c r="AK72" s="29">
        <f>IF(B72=0,0,IF(AND(Changes!Change="Yes", Changes!ValidityYear&lt;=Table14[[#This Row],[Year]], Changes!ChangeType="Rider Inclusion/Exclusion", Changes!RiderType="Cancer"), T72*Changes!NewChangedValue,IF(db!$D$12="Yes",(db!$B$12)*T72,0)))</f>
        <v>0</v>
      </c>
      <c r="AL72" s="29">
        <f>ROUND(IF(C72&gt;59,0,IF(C72=0,0,IF(AK72&lt;=db!$L$6,AK72,db!$L$6))),0)</f>
        <v>0</v>
      </c>
      <c r="AM72" s="32"/>
      <c r="AN72" s="18">
        <f>IF(B72=0,0,IF(C72&lt;(db!$E$2+5),LOOKUP(C72,'Mortality Table'!$A$2:$A$108,'Mortality Table'!$P$2:$P$108),IF((C72&gt;=db!$E$2+10),LOOKUP(C72,'Mortality Table'!$A$2:$A$108,'Mortality Table'!$R$2:$R$108),LOOKUP(C72,'Mortality Table'!$A$2:$A$108,'Mortality Table'!$Q$2:$Q$108))))</f>
        <v>0</v>
      </c>
      <c r="AO72" s="22">
        <f t="shared" si="22"/>
        <v>0</v>
      </c>
      <c r="AP72" s="19">
        <f>IF(B72=0,0, LOOKUP(IF(AND(Changes!Change="Yes", Changes!ValidityYear&lt;=Table14[[#This Row],[Year]], Changes!ChangeType="Change Job Class"),Changes!NewChangedValue, db!$A$8),db!$AX$4:$AX$8,db!$AY$4:$AY$8))</f>
        <v>0</v>
      </c>
      <c r="AQ72" s="20">
        <f>ROUND((AP72/1000)*W72 * (1-db!$AS$9),0)</f>
        <v>0</v>
      </c>
      <c r="AR72" s="20">
        <f>(AP72/1000)*W72 * db!$AS$9</f>
        <v>0</v>
      </c>
      <c r="AS72" s="21">
        <f>IF(B72=0,0, LOOKUP(IF(AND(Changes!Change="Yes", Changes!ValidityYear&lt;=Table14[[#This Row],[Year]], Changes!ChangeType="Change Job Class"),Changes!NewChangedValue, db!$A$8),db!$AX$4:$AX$8,db!$AZ$4:$AZ$8))</f>
        <v>0</v>
      </c>
      <c r="AT72" s="22">
        <f>(AS72/1000)*Y72*(1-db!$AS$9)</f>
        <v>0</v>
      </c>
      <c r="AU72" s="22">
        <f>(AS72/1000)*Y72*(db!$AS$9)</f>
        <v>0</v>
      </c>
      <c r="AV72" s="23">
        <f>IF(B72=0,0, LOOKUP(IF(AND(Changes!Change="Yes", Changes!ValidityYear&lt;=Table14[[#This Row],[Year]], Changes!ChangeType="Change Job Class"),Changes!NewChangedValue, db!$A$8),db!$AX$4:$AX$8,db!$BA$4:$BA$8))</f>
        <v>0</v>
      </c>
      <c r="AW72" s="20">
        <f>ROUND((AV72/(100))*AA72*(1-db!$AS$9),0)</f>
        <v>0</v>
      </c>
      <c r="AX72" s="20">
        <f>ROUND((AV72/(100))*AA72*(db!$AS$9),0)</f>
        <v>0</v>
      </c>
      <c r="AY72" s="21">
        <f>IF(db!$D$8="Yes",AS72,0)</f>
        <v>0</v>
      </c>
      <c r="AZ72" s="22">
        <f>(AY72*AF72)/1000*(1-db!$AS$9)</f>
        <v>0</v>
      </c>
      <c r="BA72" s="22">
        <f>(AY72*AF72)/1000*(db!$AS$9)</f>
        <v>0</v>
      </c>
      <c r="BB72" s="23">
        <f t="shared" si="23"/>
        <v>0</v>
      </c>
      <c r="BC72" s="20">
        <f>(BB72*AH72/1000)*(1-db!$AS$9)</f>
        <v>0</v>
      </c>
      <c r="BD72" s="20">
        <f>(BB72*AH72/1000)*(db!$AS$9)</f>
        <v>0</v>
      </c>
      <c r="BE72" s="22">
        <f>IF(B72=0,0,IF(C72&gt;60,0,LOOKUP(Table14[[#This Row],[Medical
Age]],db!$BC$3:$BC$63,db!$BD$3:$BD$63)))</f>
        <v>0</v>
      </c>
      <c r="BF72" s="22">
        <f>BG72*db!$AS$10</f>
        <v>0</v>
      </c>
      <c r="BG72" s="22">
        <f t="shared" si="24"/>
        <v>0</v>
      </c>
      <c r="BH72" s="22">
        <f>(BE72/1000000)*AJ72*(1-db!$AS$10)</f>
        <v>0</v>
      </c>
      <c r="BI72" s="20">
        <f>IF(B72=0,0,IF(C72&gt;59,0,LOOKUP(Table14[[#This Row],[Medical
Age]],db!$BC$3:$BC$63,db!$BE$3:$BE$63)))</f>
        <v>0</v>
      </c>
      <c r="BJ72" s="20">
        <f>(BI72/1000000)*AL72*(1-db!$AS$11)</f>
        <v>0</v>
      </c>
      <c r="BK72" s="20">
        <f>(BI72/1000000)*AL72*(db!$AS$11)</f>
        <v>0</v>
      </c>
      <c r="BL72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72" s="20">
        <f>Table14[[#This Row],[RiskLoading
Rate]]*Table14[[#This Row],[Death Capital (2)]]</f>
        <v>0</v>
      </c>
      <c r="BN72" s="36"/>
      <c r="BO72" s="37">
        <f t="shared" si="25"/>
        <v>0</v>
      </c>
      <c r="BP72" s="35">
        <f t="shared" si="26"/>
        <v>0</v>
      </c>
      <c r="BQ72" s="35">
        <f t="shared" si="27"/>
        <v>0</v>
      </c>
      <c r="BR72" s="37">
        <f t="shared" si="31"/>
        <v>0</v>
      </c>
      <c r="BS72" s="37">
        <f t="shared" si="32"/>
        <v>0</v>
      </c>
      <c r="BT72" s="35">
        <f t="shared" si="33"/>
        <v>0</v>
      </c>
      <c r="BU72" s="35">
        <f t="shared" si="34"/>
        <v>0</v>
      </c>
      <c r="BV72" s="37">
        <f>(db!$AS$4/100)*(L72-BT72-BU72)</f>
        <v>0</v>
      </c>
      <c r="BW72" s="37">
        <f>(db!$AS$8/100)*(L72-BT72-BU72)</f>
        <v>0</v>
      </c>
      <c r="BX72" s="35"/>
      <c r="BY72" s="37"/>
      <c r="BZ72" s="37"/>
      <c r="CA72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72" s="33"/>
      <c r="CC72" s="39">
        <f>ROUND((Table14[[#This Row],[Premium]]-Table14[[#This Row],[All Deductions]]),0)</f>
        <v>0</v>
      </c>
      <c r="CD72" s="40">
        <f>ROUND(IF(B72=0,0,((CC72)*(1+ IF(AND(Changes!Change="Yes",Changes!ValidityYear&lt;=Table14[[#This Row],[Year]],Annulment&gt;Table14[[#This Row],[Year]],Changes!ChangeType="Paid-Up"),db!Y74+0.02,db!Y74)))+((CD71)*(1+IF(AND(Changes!Change="Yes",Changes!ValidityYear&lt;=Table14[[#This Row],[Year]],Annulment&gt;Table14[[#This Row],[Year]],Changes!ChangeType="Paid-Up"),db!U74+0.02,db!U74)))),0)</f>
        <v>0</v>
      </c>
      <c r="CE72" s="40">
        <f>ROUND(IF(B72=0,0,((CC72)*(1+db!Y74))+((CE71)*(1+db!U74))),0)</f>
        <v>0</v>
      </c>
      <c r="CF72" s="40">
        <f t="shared" ref="CF72:CF107" si="39">ROUND(CE72,-3)</f>
        <v>0</v>
      </c>
      <c r="CG72" s="15">
        <f t="shared" si="35"/>
        <v>71</v>
      </c>
      <c r="CH72" s="39">
        <f>IF(B72=0,0,((CC72)*(1+db!AH74))+((CH71)*(1+db!AD74)))</f>
        <v>0</v>
      </c>
      <c r="CI72" s="39">
        <f>IF(B72=0,0,((CC72)*(1+db!AH74))+((CI71)*(1+db!AD74)))</f>
        <v>0</v>
      </c>
      <c r="CJ72" s="40">
        <f>IF(B72=0,0,((CC72)*(1+db!AO74))+((CJ71)*(1+db!AK74)))</f>
        <v>0</v>
      </c>
      <c r="CK72" s="40">
        <f>CJ72-(SUM(BX$7:$BX73))</f>
        <v>0</v>
      </c>
      <c r="CL72" s="46"/>
    </row>
    <row r="73" spans="1:90">
      <c r="A73" s="347">
        <f t="shared" si="36"/>
        <v>72</v>
      </c>
      <c r="B73" s="345">
        <f>IF(AND(Changes!Change="Yes", Changes!ChangeType="Change Contract Duration"),IF(B72=0,0,IF(Changes!NewChangedValue&lt;B72+1,0,B72+1)),IF(B72=0,0,IF('Application Annually'!$C$5&lt;B72+1,0,B72+1)))</f>
        <v>0</v>
      </c>
      <c r="C73" s="15">
        <f t="shared" si="37"/>
        <v>0</v>
      </c>
      <c r="D73" s="312">
        <f t="shared" si="38"/>
        <v>99</v>
      </c>
      <c r="E73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73" s="29">
        <f t="shared" si="28"/>
        <v>0</v>
      </c>
      <c r="G73" s="29">
        <f t="shared" si="29"/>
        <v>0</v>
      </c>
      <c r="H73" s="29">
        <f t="shared" si="20"/>
        <v>0</v>
      </c>
      <c r="I73" s="29">
        <f>IF(B73&gt;0,IF(AND(Table14[[#This Row],[Year]]&gt;Changes!ValidityYear,Changes!Change="Yes",Changes!ChangeType="Change Value Adjustment"),Changes!$G$22,'Application Annually'!$C$11),0)</f>
        <v>0</v>
      </c>
      <c r="J73" s="29">
        <f>IF(B73&gt;0,IF(AND(Table14[[#This Row],[Year]]&gt;Changes!ValidityYear,Changes!Change="Yes",Changes!ChangeType="Change Value Adjustment"),Changes!$G$24,'Application Annually'!$C$7),0)</f>
        <v>0</v>
      </c>
      <c r="K73" s="29">
        <f>ROUND(IF(B73=0,0,IF(AND(Changes!Change="Yes", Changes!ValidityYear=Table14[[#This Row],[Year]], Changes!ChangeType="Change Premium"), Changes!NewChangedValue, (K72*(1+db!$B$3)))),0)</f>
        <v>0</v>
      </c>
      <c r="L73" s="29">
        <f>ROUND(IF(B73=0,0,IF(AND(Changes!Change="Yes", Changes!ValidityYear=Table14[[#This Row],[Year]], Changes!ChangeType="Change Premium"), Changes!NewChangedValue, (L72*(1+Table14[[#This Row],[Adjustment Factor of Premium]]/100)))),0)</f>
        <v>0</v>
      </c>
      <c r="M73" s="29">
        <f>IF(Table14[[#This Row],[Year]]=1,ROUND(MIN($L$2 -( Table14[[#This Row],[Riders Risk Premiums]] + Table14[[#This Row],[Acquisition Cost]]) *0.75,Table14[[#This Row],[Death Capital (1)]]* 0.03),0),0)</f>
        <v>0</v>
      </c>
      <c r="N73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73" s="29">
        <f>ROUND(IF(ROW()-1&gt;InsurancePeriod,0,(O72*(1+(Table14[[#This Row],[Adjustment Factor of Premium]]/100)))),0)</f>
        <v>0</v>
      </c>
      <c r="P73" s="29">
        <f>IF(Table14[Year] = 0, 0, SUM(L$2:L73))</f>
        <v>0</v>
      </c>
      <c r="Q73" s="17">
        <f t="shared" si="21"/>
        <v>0</v>
      </c>
      <c r="R73" s="17">
        <f>IF(Table14[[#This Row],[Year]]=0,0,IF($C$2&lt;=50,LOOKUP(Table14[[#This Row],[Age]],db!BG74:BG180,db!BH74:BH180),LOOKUP(Table14[[#This Row],[Age]],db!BJ74:BJ180,db!BK74:BK180)))</f>
        <v>0</v>
      </c>
      <c r="S73" s="17">
        <f>IF(B73=0,0, IF(AND(Changes!Change="Yes", Changes!ValidityYear=Table14[[#This Row],[Year]], Changes!ChangeType="Change Death Capital"), Changes!NewChangedValue, S72*(1+(Table14[[#This Row],[Adjustment Factor of Death Capital]]/100))))</f>
        <v>0</v>
      </c>
      <c r="T73" s="17">
        <f>MIN(IF(B73=0,0,Table14[[#This Row],[Death Capital (1)]]),Table14[[#This Row],[Max Sum Insured For Death]])</f>
        <v>0</v>
      </c>
      <c r="U73" s="29">
        <f t="shared" si="30"/>
        <v>0</v>
      </c>
      <c r="V73" s="29">
        <f>IF(B73=0,0,IF(AND(Changes!Change="Yes", Changes!ValidityYear&lt;=Table14[[#This Row],[Year]], Changes!ChangeType="Rider Inclusion/Exclusion", Changes!RiderType="Accident Death"), T73*Changes!NewChangedValue,IF(db!$D$6="Yes",(db!$B$6)*T73,0)))</f>
        <v>0</v>
      </c>
      <c r="W73" s="29">
        <f>MIN(IF(V73&lt;=db!$L$2,V73,db!$L$2),MAX_ACC_CAPITAL)</f>
        <v>0</v>
      </c>
      <c r="X73" s="17">
        <f>IF(OR(B73=0,Table14[[#This Row],[Accident Capital (2)]]=0),0,IF(AND(Changes!Change="Yes", Changes!ValidityYear&lt;=Table14[[#This Row],[Year]], Changes!ChangeType="Rider Inclusion/Exclusion", Changes!RiderType="Accident Disability"), T73*Changes!NewChangedValue,IF(db!$D$7="Yes",(db!$B$7)*T73,0)))</f>
        <v>0</v>
      </c>
      <c r="Y73" s="42">
        <f>IF(C73&gt;69,0,IF(C73=0,0,IF(X73&lt;=db!$L$3,X73,db!$L$3)))</f>
        <v>0</v>
      </c>
      <c r="Z73" s="29">
        <f>IF(OR(B73=0,Table14[[#This Row],[Accident Capital (2)]]=0),0,IF(AND(Changes!Change="Yes", Changes!ValidityYear&lt;=Table14[[#This Row],[Year]], Changes!ChangeType="Rider Inclusion/Exclusion", Changes!RiderType="Accident Medical Cost"), T73*Changes!NewChangedValue,IF(db!$D$9="Yes",(db!$B$9)*T73,0)))</f>
        <v>0</v>
      </c>
      <c r="AA73" s="29">
        <f>ROUND(IF(C73&gt;69,0,IF(C73=0,0,IF(Z73&lt;=db!$L$4,Z73,db!$L$4))),0)</f>
        <v>0</v>
      </c>
      <c r="AB73" s="38">
        <f>IF(AND(Changes!Change = "Yes", Changes!ChangeType = "Rider Inclusion/Exclusion", Changes!RiderType = "WOP"), IF( Changes!ValidityYear &lt;= Table14[[#This Row],[Year]], IF(WOP = "Yes", 0, 1),  IF(WOP = "Yes", 1, 0)), IF(AND(db!$D$8="Yes",C73&lt;=69,ROW()-1&lt;=InsurancePeriod), 1, 0))</f>
        <v>0</v>
      </c>
      <c r="AC73" s="17">
        <f>(AC74+K74)*AB73*((1)/(1+db!AA75))*(LOOKUP(C73,'Mortality Table'!$A$2:$A$108,'Mortality Table'!$E$2:$E$108))</f>
        <v>0</v>
      </c>
      <c r="AD73" s="340">
        <f>IF(AND(Changes!ValidityYear&lt;= Table14[[#This Row],[Year]],Changes!ChangeType="Change Value Adjustment",Changes!Change="Yes"), (AD74+L74)*AB73*((1)/(1+db!AA75))*(LOOKUP(C73,'Mortality Table'!$A$2:$A$108,'Mortality Table'!$E$2:$E$108)),Table14[[#This Row],[WOP Before Adj. BT]])</f>
        <v>0</v>
      </c>
      <c r="AE73" s="341">
        <f>IF(AND(Changes!Change="Yes", Changes!ChangeType="Change Value Adjustment"),Table14[[#This Row],[WOP Capital]],(AE74+O74)*AB73*((1)/(1+db!AA75))*(LOOKUP(D73,'Mortality Table'!$A$2:$A$108,'Mortality Table'!$E$2:$E$108)))</f>
        <v>0</v>
      </c>
      <c r="AF73" s="17">
        <f>IF(AND(Changes!Change="Yes", Changes!ValidityYear&lt;=ROW()-1),Table14[[#This Row],[WOP Capital]],Table14[[#This Row],[WOP without change]])</f>
        <v>0</v>
      </c>
      <c r="AG73" s="42">
        <f>IF(AND(Changes!Change="Yes", Changes!ValidityYear&lt;=Table14[[#This Row],[Year]], Changes!ChangeType="Rider Inclusion/Exclusion", Changes!RiderType="Disability Annuity"), L73*Changes!NewChangedValue,L73*db!B$10*IF(db!$D$10="Yes",1,0))</f>
        <v>0</v>
      </c>
      <c r="AH73" s="29">
        <f>Table14[[#This Row],[Code Annuity Capital]]*IF('Annual Calculation'!C73&gt;69,0,(LOOKUP('Annual Calculation'!C73+1,'Mortality Table'!$A$2:$A$108,'Mortality Table'!$O$2:$O$108)-LOOKUP('Annual Calculation'!C73+11,'Mortality Table'!$A$2:$A$108,'Mortality Table'!$O$2:$O$108))/LOOKUP('Annual Calculation'!C73,'Mortality Table'!$A$2:$A$108,'Mortality Table'!$M$2:$M$108))</f>
        <v>0</v>
      </c>
      <c r="AI73" s="17">
        <f>IF(B73=0,0,IF(AND(Changes!Change="Yes", Changes!ValidityYear&lt;=Table14[[#This Row],[Year]], Changes!ChangeType="Rider Inclusion/Exclusion", Changes!RiderType="Dread Disease"), T73*Changes!NewChangedValue,IF(db!$D$11="Yes",(db!$B$11)*T73,0)))</f>
        <v>0</v>
      </c>
      <c r="AJ73" s="42">
        <f>ROUND(IF(C73&gt;59,0,IF(C73=0,0,IF(AI73&lt;=db!$L$5,AI73,db!$L$5))),0)</f>
        <v>0</v>
      </c>
      <c r="AK73" s="29">
        <f>IF(B73=0,0,IF(AND(Changes!Change="Yes", Changes!ValidityYear&lt;=Table14[[#This Row],[Year]], Changes!ChangeType="Rider Inclusion/Exclusion", Changes!RiderType="Cancer"), T73*Changes!NewChangedValue,IF(db!$D$12="Yes",(db!$B$12)*T73,0)))</f>
        <v>0</v>
      </c>
      <c r="AL73" s="29">
        <f>ROUND(IF(C73&gt;59,0,IF(C73=0,0,IF(AK73&lt;=db!$L$6,AK73,db!$L$6))),0)</f>
        <v>0</v>
      </c>
      <c r="AM73" s="32"/>
      <c r="AN73" s="18">
        <f>IF(B73=0,0,IF(C73&lt;(db!$E$2+5),LOOKUP(C73,'Mortality Table'!$A$2:$A$108,'Mortality Table'!$P$2:$P$108),IF((C73&gt;=db!$E$2+10),LOOKUP(C73,'Mortality Table'!$A$2:$A$108,'Mortality Table'!$R$2:$R$108),LOOKUP(C73,'Mortality Table'!$A$2:$A$108,'Mortality Table'!$Q$2:$Q$108))))</f>
        <v>0</v>
      </c>
      <c r="AO73" s="22">
        <f t="shared" si="22"/>
        <v>0</v>
      </c>
      <c r="AP73" s="19">
        <f>IF(B73=0,0, LOOKUP(IF(AND(Changes!Change="Yes", Changes!ValidityYear&lt;=Table14[[#This Row],[Year]], Changes!ChangeType="Change Job Class"),Changes!NewChangedValue, db!$A$8),db!$AX$4:$AX$8,db!$AY$4:$AY$8))</f>
        <v>0</v>
      </c>
      <c r="AQ73" s="20">
        <f>ROUND((AP73/1000)*W73 * (1-db!$AS$9),0)</f>
        <v>0</v>
      </c>
      <c r="AR73" s="20">
        <f>(AP73/1000)*W73 * db!$AS$9</f>
        <v>0</v>
      </c>
      <c r="AS73" s="21">
        <f>IF(B73=0,0, LOOKUP(IF(AND(Changes!Change="Yes", Changes!ValidityYear&lt;=Table14[[#This Row],[Year]], Changes!ChangeType="Change Job Class"),Changes!NewChangedValue, db!$A$8),db!$AX$4:$AX$8,db!$AZ$4:$AZ$8))</f>
        <v>0</v>
      </c>
      <c r="AT73" s="22">
        <f>(AS73/1000)*Y73*(1-db!$AS$9)</f>
        <v>0</v>
      </c>
      <c r="AU73" s="22">
        <f>(AS73/1000)*Y73*(db!$AS$9)</f>
        <v>0</v>
      </c>
      <c r="AV73" s="23">
        <f>IF(B73=0,0, LOOKUP(IF(AND(Changes!Change="Yes", Changes!ValidityYear&lt;=Table14[[#This Row],[Year]], Changes!ChangeType="Change Job Class"),Changes!NewChangedValue, db!$A$8),db!$AX$4:$AX$8,db!$BA$4:$BA$8))</f>
        <v>0</v>
      </c>
      <c r="AW73" s="20">
        <f>ROUND((AV73/(100))*AA73*(1-db!$AS$9),0)</f>
        <v>0</v>
      </c>
      <c r="AX73" s="20">
        <f>ROUND((AV73/(100))*AA73*(db!$AS$9),0)</f>
        <v>0</v>
      </c>
      <c r="AY73" s="21">
        <f>IF(db!$D$8="Yes",AS73,0)</f>
        <v>0</v>
      </c>
      <c r="AZ73" s="22">
        <f>(AY73*AF73)/1000*(1-db!$AS$9)</f>
        <v>0</v>
      </c>
      <c r="BA73" s="22">
        <f>(AY73*AF73)/1000*(db!$AS$9)</f>
        <v>0</v>
      </c>
      <c r="BB73" s="23">
        <f t="shared" si="23"/>
        <v>0</v>
      </c>
      <c r="BC73" s="20">
        <f>(BB73*AH73/1000)*(1-db!$AS$9)</f>
        <v>0</v>
      </c>
      <c r="BD73" s="20">
        <f>(BB73*AH73/1000)*(db!$AS$9)</f>
        <v>0</v>
      </c>
      <c r="BE73" s="22">
        <f>IF(B73=0,0,IF(C73&gt;60,0,LOOKUP(Table14[[#This Row],[Medical
Age]],db!$BC$3:$BC$63,db!$BD$3:$BD$63)))</f>
        <v>0</v>
      </c>
      <c r="BF73" s="22">
        <f>BG73*db!$AS$10</f>
        <v>0</v>
      </c>
      <c r="BG73" s="22">
        <f t="shared" si="24"/>
        <v>0</v>
      </c>
      <c r="BH73" s="22">
        <f>(BE73/1000000)*AJ73*(1-db!$AS$10)</f>
        <v>0</v>
      </c>
      <c r="BI73" s="20">
        <f>IF(B73=0,0,IF(C73&gt;59,0,LOOKUP(Table14[[#This Row],[Medical
Age]],db!$BC$3:$BC$63,db!$BE$3:$BE$63)))</f>
        <v>0</v>
      </c>
      <c r="BJ73" s="20">
        <f>(BI73/1000000)*AL73*(1-db!$AS$11)</f>
        <v>0</v>
      </c>
      <c r="BK73" s="20">
        <f>(BI73/1000000)*AL73*(db!$AS$11)</f>
        <v>0</v>
      </c>
      <c r="BL73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73" s="20">
        <f>Table14[[#This Row],[RiskLoading
Rate]]*Table14[[#This Row],[Death Capital (2)]]</f>
        <v>0</v>
      </c>
      <c r="BN73" s="36"/>
      <c r="BO73" s="37">
        <f t="shared" si="25"/>
        <v>0</v>
      </c>
      <c r="BP73" s="35">
        <f t="shared" si="26"/>
        <v>0</v>
      </c>
      <c r="BQ73" s="35">
        <f t="shared" si="27"/>
        <v>0</v>
      </c>
      <c r="BR73" s="37">
        <f t="shared" si="31"/>
        <v>0</v>
      </c>
      <c r="BS73" s="37">
        <f t="shared" si="32"/>
        <v>0</v>
      </c>
      <c r="BT73" s="35">
        <f t="shared" si="33"/>
        <v>0</v>
      </c>
      <c r="BU73" s="35">
        <f t="shared" si="34"/>
        <v>0</v>
      </c>
      <c r="BV73" s="37">
        <f>(db!$AS$4/100)*(L73-BT73-BU73)</f>
        <v>0</v>
      </c>
      <c r="BW73" s="37">
        <f>(db!$AS$8/100)*(L73-BT73-BU73)</f>
        <v>0</v>
      </c>
      <c r="BX73" s="35"/>
      <c r="BY73" s="37"/>
      <c r="BZ73" s="37"/>
      <c r="CA73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73" s="33"/>
      <c r="CC73" s="39">
        <f>ROUND((Table14[[#This Row],[Premium]]-Table14[[#This Row],[All Deductions]]),0)</f>
        <v>0</v>
      </c>
      <c r="CD73" s="40">
        <f>ROUND(IF(B73=0,0,((CC73)*(1+ IF(AND(Changes!Change="Yes",Changes!ValidityYear&lt;=Table14[[#This Row],[Year]],Annulment&gt;Table14[[#This Row],[Year]],Changes!ChangeType="Paid-Up"),db!Y75+0.02,db!Y75)))+((CD72)*(1+IF(AND(Changes!Change="Yes",Changes!ValidityYear&lt;=Table14[[#This Row],[Year]],Annulment&gt;Table14[[#This Row],[Year]],Changes!ChangeType="Paid-Up"),db!U75+0.02,db!U75)))),0)</f>
        <v>0</v>
      </c>
      <c r="CE73" s="40">
        <f>ROUND(IF(B73=0,0,((CC73)*(1+db!Y75))+((CE72)*(1+db!U75))),0)</f>
        <v>0</v>
      </c>
      <c r="CF73" s="40">
        <f t="shared" si="39"/>
        <v>0</v>
      </c>
      <c r="CG73" s="15">
        <f t="shared" si="35"/>
        <v>72</v>
      </c>
      <c r="CH73" s="39">
        <f>IF(B73=0,0,((CC73)*(1+db!AH75))+((CH72)*(1+db!AD75)))</f>
        <v>0</v>
      </c>
      <c r="CI73" s="39">
        <f>IF(B73=0,0,((CC73)*(1+db!AH75))+((CI72)*(1+db!AD75)))</f>
        <v>0</v>
      </c>
      <c r="CJ73" s="40">
        <f>IF(B73=0,0,((CC73)*(1+db!AO75))+((CJ72)*(1+db!AK75)))</f>
        <v>0</v>
      </c>
      <c r="CK73" s="40">
        <f>CJ73-(SUM(BX$7:$BX74))</f>
        <v>0</v>
      </c>
      <c r="CL73" s="46"/>
    </row>
    <row r="74" spans="1:90">
      <c r="A74" s="347">
        <f t="shared" si="36"/>
        <v>73</v>
      </c>
      <c r="B74" s="345">
        <f>IF(AND(Changes!Change="Yes", Changes!ChangeType="Change Contract Duration"),IF(B73=0,0,IF(Changes!NewChangedValue&lt;B73+1,0,B73+1)),IF(B73=0,0,IF('Application Annually'!$C$5&lt;B73+1,0,B73+1)))</f>
        <v>0</v>
      </c>
      <c r="C74" s="15">
        <f t="shared" si="37"/>
        <v>0</v>
      </c>
      <c r="D74" s="312">
        <f t="shared" si="38"/>
        <v>100</v>
      </c>
      <c r="E74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74" s="29">
        <f t="shared" si="28"/>
        <v>0</v>
      </c>
      <c r="G74" s="29">
        <f t="shared" si="29"/>
        <v>0</v>
      </c>
      <c r="H74" s="29">
        <f t="shared" si="20"/>
        <v>0</v>
      </c>
      <c r="I74" s="29">
        <f>IF(B74&gt;0,IF(AND(Table14[[#This Row],[Year]]&gt;Changes!ValidityYear,Changes!Change="Yes",Changes!ChangeType="Change Value Adjustment"),Changes!$G$22,'Application Annually'!$C$11),0)</f>
        <v>0</v>
      </c>
      <c r="J74" s="29">
        <f>IF(B74&gt;0,IF(AND(Table14[[#This Row],[Year]]&gt;Changes!ValidityYear,Changes!Change="Yes",Changes!ChangeType="Change Value Adjustment"),Changes!$G$24,'Application Annually'!$C$7),0)</f>
        <v>0</v>
      </c>
      <c r="K74" s="29">
        <f>ROUND(IF(B74=0,0,IF(AND(Changes!Change="Yes", Changes!ValidityYear=Table14[[#This Row],[Year]], Changes!ChangeType="Change Premium"), Changes!NewChangedValue, (K73*(1+db!$B$3)))),0)</f>
        <v>0</v>
      </c>
      <c r="L74" s="29">
        <f>ROUND(IF(B74=0,0,IF(AND(Changes!Change="Yes", Changes!ValidityYear=Table14[[#This Row],[Year]], Changes!ChangeType="Change Premium"), Changes!NewChangedValue, (L73*(1+Table14[[#This Row],[Adjustment Factor of Premium]]/100)))),0)</f>
        <v>0</v>
      </c>
      <c r="M74" s="29">
        <f>IF(Table14[[#This Row],[Year]]=1,ROUND(MIN($L$2 -( Table14[[#This Row],[Riders Risk Premiums]] + Table14[[#This Row],[Acquisition Cost]]) *0.75,Table14[[#This Row],[Death Capital (1)]]* 0.03),0),0)</f>
        <v>0</v>
      </c>
      <c r="N74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74" s="29">
        <f>ROUND(IF(ROW()-1&gt;InsurancePeriod,0,(O73*(1+(Table14[[#This Row],[Adjustment Factor of Premium]]/100)))),0)</f>
        <v>0</v>
      </c>
      <c r="P74" s="29">
        <f>IF(Table14[Year] = 0, 0, SUM(L$2:L74))</f>
        <v>0</v>
      </c>
      <c r="Q74" s="17">
        <f t="shared" si="21"/>
        <v>0</v>
      </c>
      <c r="R74" s="17">
        <f>IF(Table14[[#This Row],[Year]]=0,0,IF($C$2&lt;=50,LOOKUP(Table14[[#This Row],[Age]],db!BG75:BG181,db!BH75:BH181),LOOKUP(Table14[[#This Row],[Age]],db!BJ75:BJ181,db!BK75:BK181)))</f>
        <v>0</v>
      </c>
      <c r="S74" s="17">
        <f>IF(B74=0,0, IF(AND(Changes!Change="Yes", Changes!ValidityYear=Table14[[#This Row],[Year]], Changes!ChangeType="Change Death Capital"), Changes!NewChangedValue, S73*(1+(Table14[[#This Row],[Adjustment Factor of Death Capital]]/100))))</f>
        <v>0</v>
      </c>
      <c r="T74" s="17">
        <f>MIN(IF(B74=0,0,Table14[[#This Row],[Death Capital (1)]]),Table14[[#This Row],[Max Sum Insured For Death]])</f>
        <v>0</v>
      </c>
      <c r="U74" s="29">
        <f t="shared" si="30"/>
        <v>0</v>
      </c>
      <c r="V74" s="29">
        <f>IF(B74=0,0,IF(AND(Changes!Change="Yes", Changes!ValidityYear&lt;=Table14[[#This Row],[Year]], Changes!ChangeType="Rider Inclusion/Exclusion", Changes!RiderType="Accident Death"), T74*Changes!NewChangedValue,IF(db!$D$6="Yes",(db!$B$6)*T74,0)))</f>
        <v>0</v>
      </c>
      <c r="W74" s="29">
        <f>MIN(IF(V74&lt;=db!$L$2,V74,db!$L$2),MAX_ACC_CAPITAL)</f>
        <v>0</v>
      </c>
      <c r="X74" s="17">
        <f>IF(OR(B74=0,Table14[[#This Row],[Accident Capital (2)]]=0),0,IF(AND(Changes!Change="Yes", Changes!ValidityYear&lt;=Table14[[#This Row],[Year]], Changes!ChangeType="Rider Inclusion/Exclusion", Changes!RiderType="Accident Disability"), T74*Changes!NewChangedValue,IF(db!$D$7="Yes",(db!$B$7)*T74,0)))</f>
        <v>0</v>
      </c>
      <c r="Y74" s="42">
        <f>IF(C74&gt;69,0,IF(C74=0,0,IF(X74&lt;=db!$L$3,X74,db!$L$3)))</f>
        <v>0</v>
      </c>
      <c r="Z74" s="29">
        <f>IF(OR(B74=0,Table14[[#This Row],[Accident Capital (2)]]=0),0,IF(AND(Changes!Change="Yes", Changes!ValidityYear&lt;=Table14[[#This Row],[Year]], Changes!ChangeType="Rider Inclusion/Exclusion", Changes!RiderType="Accident Medical Cost"), T74*Changes!NewChangedValue,IF(db!$D$9="Yes",(db!$B$9)*T74,0)))</f>
        <v>0</v>
      </c>
      <c r="AA74" s="29">
        <f>ROUND(IF(C74&gt;69,0,IF(C74=0,0,IF(Z74&lt;=db!$L$4,Z74,db!$L$4))),0)</f>
        <v>0</v>
      </c>
      <c r="AB74" s="38">
        <f>IF(AND(Changes!Change = "Yes", Changes!ChangeType = "Rider Inclusion/Exclusion", Changes!RiderType = "WOP"), IF( Changes!ValidityYear &lt;= Table14[[#This Row],[Year]], IF(WOP = "Yes", 0, 1),  IF(WOP = "Yes", 1, 0)), IF(AND(db!$D$8="Yes",C74&lt;=69,ROW()-1&lt;=InsurancePeriod), 1, 0))</f>
        <v>0</v>
      </c>
      <c r="AC74" s="17">
        <f>(AC75+K75)*AB74*((1)/(1+db!AA76))*(LOOKUP(C74,'Mortality Table'!$A$2:$A$108,'Mortality Table'!$E$2:$E$108))</f>
        <v>0</v>
      </c>
      <c r="AD74" s="340">
        <f>IF(AND(Changes!ValidityYear&lt;= Table14[[#This Row],[Year]],Changes!ChangeType="Change Value Adjustment",Changes!Change="Yes"), (AD75+L75)*AB74*((1)/(1+db!AA76))*(LOOKUP(C74,'Mortality Table'!$A$2:$A$108,'Mortality Table'!$E$2:$E$108)),Table14[[#This Row],[WOP Before Adj. BT]])</f>
        <v>0</v>
      </c>
      <c r="AE74" s="341">
        <f>IF(AND(Changes!Change="Yes", Changes!ChangeType="Change Value Adjustment"),Table14[[#This Row],[WOP Capital]],(AE75+O75)*AB74*((1)/(1+db!AA76))*(LOOKUP(D74,'Mortality Table'!$A$2:$A$108,'Mortality Table'!$E$2:$E$108)))</f>
        <v>0</v>
      </c>
      <c r="AF74" s="17">
        <f>IF(AND(Changes!Change="Yes", Changes!ValidityYear&lt;=ROW()-1),Table14[[#This Row],[WOP Capital]],Table14[[#This Row],[WOP without change]])</f>
        <v>0</v>
      </c>
      <c r="AG74" s="42">
        <f>IF(AND(Changes!Change="Yes", Changes!ValidityYear&lt;=Table14[[#This Row],[Year]], Changes!ChangeType="Rider Inclusion/Exclusion", Changes!RiderType="Disability Annuity"), L74*Changes!NewChangedValue,L74*db!B$10*IF(db!$D$10="Yes",1,0))</f>
        <v>0</v>
      </c>
      <c r="AH74" s="29">
        <f>Table14[[#This Row],[Code Annuity Capital]]*IF('Annual Calculation'!C74&gt;69,0,(LOOKUP('Annual Calculation'!C74+1,'Mortality Table'!$A$2:$A$108,'Mortality Table'!$O$2:$O$108)-LOOKUP('Annual Calculation'!C74+11,'Mortality Table'!$A$2:$A$108,'Mortality Table'!$O$2:$O$108))/LOOKUP('Annual Calculation'!C74,'Mortality Table'!$A$2:$A$108,'Mortality Table'!$M$2:$M$108))</f>
        <v>0</v>
      </c>
      <c r="AI74" s="17">
        <f>IF(B74=0,0,IF(AND(Changes!Change="Yes", Changes!ValidityYear&lt;=Table14[[#This Row],[Year]], Changes!ChangeType="Rider Inclusion/Exclusion", Changes!RiderType="Dread Disease"), T74*Changes!NewChangedValue,IF(db!$D$11="Yes",(db!$B$11)*T74,0)))</f>
        <v>0</v>
      </c>
      <c r="AJ74" s="42">
        <f>ROUND(IF(C74&gt;59,0,IF(C74=0,0,IF(AI74&lt;=db!$L$5,AI74,db!$L$5))),0)</f>
        <v>0</v>
      </c>
      <c r="AK74" s="29">
        <f>IF(B74=0,0,IF(AND(Changes!Change="Yes", Changes!ValidityYear&lt;=Table14[[#This Row],[Year]], Changes!ChangeType="Rider Inclusion/Exclusion", Changes!RiderType="Cancer"), T74*Changes!NewChangedValue,IF(db!$D$12="Yes",(db!$B$12)*T74,0)))</f>
        <v>0</v>
      </c>
      <c r="AL74" s="29">
        <f>ROUND(IF(C74&gt;59,0,IF(C74=0,0,IF(AK74&lt;=db!$L$6,AK74,db!$L$6))),0)</f>
        <v>0</v>
      </c>
      <c r="AM74" s="32"/>
      <c r="AN74" s="18">
        <f>IF(B74=0,0,IF(C74&lt;(db!$E$2+5),LOOKUP(C74,'Mortality Table'!$A$2:$A$108,'Mortality Table'!$P$2:$P$108),IF((C74&gt;=db!$E$2+10),LOOKUP(C74,'Mortality Table'!$A$2:$A$108,'Mortality Table'!$R$2:$R$108),LOOKUP(C74,'Mortality Table'!$A$2:$A$108,'Mortality Table'!$Q$2:$Q$108))))</f>
        <v>0</v>
      </c>
      <c r="AO74" s="22">
        <f t="shared" si="22"/>
        <v>0</v>
      </c>
      <c r="AP74" s="19">
        <f>IF(B74=0,0, LOOKUP(IF(AND(Changes!Change="Yes", Changes!ValidityYear&lt;=Table14[[#This Row],[Year]], Changes!ChangeType="Change Job Class"),Changes!NewChangedValue, db!$A$8),db!$AX$4:$AX$8,db!$AY$4:$AY$8))</f>
        <v>0</v>
      </c>
      <c r="AQ74" s="20">
        <f>ROUND((AP74/1000)*W74 * (1-db!$AS$9),0)</f>
        <v>0</v>
      </c>
      <c r="AR74" s="20">
        <f>(AP74/1000)*W74 * db!$AS$9</f>
        <v>0</v>
      </c>
      <c r="AS74" s="21">
        <f>IF(B74=0,0, LOOKUP(IF(AND(Changes!Change="Yes", Changes!ValidityYear&lt;=Table14[[#This Row],[Year]], Changes!ChangeType="Change Job Class"),Changes!NewChangedValue, db!$A$8),db!$AX$4:$AX$8,db!$AZ$4:$AZ$8))</f>
        <v>0</v>
      </c>
      <c r="AT74" s="22">
        <f>(AS74/1000)*Y74*(1-db!$AS$9)</f>
        <v>0</v>
      </c>
      <c r="AU74" s="22">
        <f>(AS74/1000)*Y74*(db!$AS$9)</f>
        <v>0</v>
      </c>
      <c r="AV74" s="23">
        <f>IF(B74=0,0, LOOKUP(IF(AND(Changes!Change="Yes", Changes!ValidityYear&lt;=Table14[[#This Row],[Year]], Changes!ChangeType="Change Job Class"),Changes!NewChangedValue, db!$A$8),db!$AX$4:$AX$8,db!$BA$4:$BA$8))</f>
        <v>0</v>
      </c>
      <c r="AW74" s="20">
        <f>ROUND((AV74/(100))*AA74*(1-db!$AS$9),0)</f>
        <v>0</v>
      </c>
      <c r="AX74" s="20">
        <f>ROUND((AV74/(100))*AA74*(db!$AS$9),0)</f>
        <v>0</v>
      </c>
      <c r="AY74" s="21">
        <f>IF(db!$D$8="Yes",AS74,0)</f>
        <v>0</v>
      </c>
      <c r="AZ74" s="22">
        <f>(AY74*AF74)/1000*(1-db!$AS$9)</f>
        <v>0</v>
      </c>
      <c r="BA74" s="22">
        <f>(AY74*AF74)/1000*(db!$AS$9)</f>
        <v>0</v>
      </c>
      <c r="BB74" s="23">
        <f t="shared" si="23"/>
        <v>0</v>
      </c>
      <c r="BC74" s="20">
        <f>(BB74*AH74/1000)*(1-db!$AS$9)</f>
        <v>0</v>
      </c>
      <c r="BD74" s="20">
        <f>(BB74*AH74/1000)*(db!$AS$9)</f>
        <v>0</v>
      </c>
      <c r="BE74" s="22">
        <f>IF(B74=0,0,IF(C74&gt;60,0,LOOKUP(Table14[[#This Row],[Medical
Age]],db!$BC$3:$BC$63,db!$BD$3:$BD$63)))</f>
        <v>0</v>
      </c>
      <c r="BF74" s="22">
        <f>BG74*db!$AS$10</f>
        <v>0</v>
      </c>
      <c r="BG74" s="22">
        <f t="shared" si="24"/>
        <v>0</v>
      </c>
      <c r="BH74" s="22">
        <f>(BE74/1000000)*AJ74*(1-db!$AS$10)</f>
        <v>0</v>
      </c>
      <c r="BI74" s="20">
        <f>IF(B74=0,0,IF(C74&gt;59,0,LOOKUP(Table14[[#This Row],[Medical
Age]],db!$BC$3:$BC$63,db!$BE$3:$BE$63)))</f>
        <v>0</v>
      </c>
      <c r="BJ74" s="20">
        <f>(BI74/1000000)*AL74*(1-db!$AS$11)</f>
        <v>0</v>
      </c>
      <c r="BK74" s="20">
        <f>(BI74/1000000)*AL74*(db!$AS$11)</f>
        <v>0</v>
      </c>
      <c r="BL74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74" s="20">
        <f>Table14[[#This Row],[RiskLoading
Rate]]*Table14[[#This Row],[Death Capital (2)]]</f>
        <v>0</v>
      </c>
      <c r="BN74" s="36"/>
      <c r="BO74" s="37">
        <f t="shared" si="25"/>
        <v>0</v>
      </c>
      <c r="BP74" s="35">
        <f t="shared" si="26"/>
        <v>0</v>
      </c>
      <c r="BQ74" s="35">
        <f t="shared" si="27"/>
        <v>0</v>
      </c>
      <c r="BR74" s="37">
        <f t="shared" si="31"/>
        <v>0</v>
      </c>
      <c r="BS74" s="37">
        <f t="shared" si="32"/>
        <v>0</v>
      </c>
      <c r="BT74" s="35">
        <f t="shared" si="33"/>
        <v>0</v>
      </c>
      <c r="BU74" s="35">
        <f t="shared" si="34"/>
        <v>0</v>
      </c>
      <c r="BV74" s="37">
        <f>(db!$AS$4/100)*(L74-BT74-BU74)</f>
        <v>0</v>
      </c>
      <c r="BW74" s="37">
        <f>(db!$AS$8/100)*(L74-BT74-BU74)</f>
        <v>0</v>
      </c>
      <c r="BX74" s="35"/>
      <c r="BY74" s="37"/>
      <c r="BZ74" s="37"/>
      <c r="CA74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74" s="33"/>
      <c r="CC74" s="39">
        <f>ROUND((Table14[[#This Row],[Premium]]-Table14[[#This Row],[All Deductions]]),0)</f>
        <v>0</v>
      </c>
      <c r="CD74" s="40">
        <f>ROUND(IF(B74=0,0,((CC74)*(1+ IF(AND(Changes!Change="Yes",Changes!ValidityYear&lt;=Table14[[#This Row],[Year]],Annulment&gt;Table14[[#This Row],[Year]],Changes!ChangeType="Paid-Up"),db!Y76+0.02,db!Y76)))+((CD73)*(1+IF(AND(Changes!Change="Yes",Changes!ValidityYear&lt;=Table14[[#This Row],[Year]],Annulment&gt;Table14[[#This Row],[Year]],Changes!ChangeType="Paid-Up"),db!U76+0.02,db!U76)))),0)</f>
        <v>0</v>
      </c>
      <c r="CE74" s="40">
        <f>ROUND(IF(B74=0,0,((CC74)*(1+db!Y76))+((CE73)*(1+db!U76))),0)</f>
        <v>0</v>
      </c>
      <c r="CF74" s="40">
        <f t="shared" si="39"/>
        <v>0</v>
      </c>
      <c r="CG74" s="15">
        <f t="shared" si="35"/>
        <v>73</v>
      </c>
      <c r="CH74" s="39">
        <f>IF(B74=0,0,((CC74)*(1+db!AH76))+((CH73)*(1+db!AD76)))</f>
        <v>0</v>
      </c>
      <c r="CI74" s="39">
        <f>IF(B74=0,0,((CC74)*(1+db!AH76))+((CI73)*(1+db!AD76)))</f>
        <v>0</v>
      </c>
      <c r="CJ74" s="40">
        <f>IF(B74=0,0,((CC74)*(1+db!AO76))+((CJ73)*(1+db!AK76)))</f>
        <v>0</v>
      </c>
      <c r="CK74" s="40">
        <f>CJ74-(SUM(BX$7:$BX75))</f>
        <v>0</v>
      </c>
      <c r="CL74" s="46"/>
    </row>
    <row r="75" spans="1:90">
      <c r="A75" s="347">
        <f t="shared" si="36"/>
        <v>74</v>
      </c>
      <c r="B75" s="345">
        <f>IF(AND(Changes!Change="Yes", Changes!ChangeType="Change Contract Duration"),IF(B74=0,0,IF(Changes!NewChangedValue&lt;B74+1,0,B74+1)),IF(B74=0,0,IF('Application Annually'!$C$5&lt;B74+1,0,B74+1)))</f>
        <v>0</v>
      </c>
      <c r="C75" s="15">
        <f t="shared" si="37"/>
        <v>0</v>
      </c>
      <c r="D75" s="312">
        <f t="shared" si="38"/>
        <v>101</v>
      </c>
      <c r="E75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75" s="29">
        <f t="shared" si="28"/>
        <v>0</v>
      </c>
      <c r="G75" s="29">
        <f t="shared" si="29"/>
        <v>0</v>
      </c>
      <c r="H75" s="29">
        <f t="shared" si="20"/>
        <v>0</v>
      </c>
      <c r="I75" s="29">
        <f>IF(B75&gt;0,IF(AND(Table14[[#This Row],[Year]]&gt;Changes!ValidityYear,Changes!Change="Yes",Changes!ChangeType="Change Value Adjustment"),Changes!$G$22,'Application Annually'!$C$11),0)</f>
        <v>0</v>
      </c>
      <c r="J75" s="29">
        <f>IF(B75&gt;0,IF(AND(Table14[[#This Row],[Year]]&gt;Changes!ValidityYear,Changes!Change="Yes",Changes!ChangeType="Change Value Adjustment"),Changes!$G$24,'Application Annually'!$C$7),0)</f>
        <v>0</v>
      </c>
      <c r="K75" s="29">
        <f>ROUND(IF(B75=0,0,IF(AND(Changes!Change="Yes", Changes!ValidityYear=Table14[[#This Row],[Year]], Changes!ChangeType="Change Premium"), Changes!NewChangedValue, (K74*(1+db!$B$3)))),0)</f>
        <v>0</v>
      </c>
      <c r="L75" s="29">
        <f>ROUND(IF(B75=0,0,IF(AND(Changes!Change="Yes", Changes!ValidityYear=Table14[[#This Row],[Year]], Changes!ChangeType="Change Premium"), Changes!NewChangedValue, (L74*(1+Table14[[#This Row],[Adjustment Factor of Premium]]/100)))),0)</f>
        <v>0</v>
      </c>
      <c r="M75" s="29">
        <f>IF(Table14[[#This Row],[Year]]=1,ROUND(MIN($L$2 -( Table14[[#This Row],[Riders Risk Premiums]] + Table14[[#This Row],[Acquisition Cost]]) *0.75,Table14[[#This Row],[Death Capital (1)]]* 0.03),0),0)</f>
        <v>0</v>
      </c>
      <c r="N75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75" s="29">
        <f>ROUND(IF(ROW()-1&gt;InsurancePeriod,0,(O74*(1+(Table14[[#This Row],[Adjustment Factor of Premium]]/100)))),0)</f>
        <v>0</v>
      </c>
      <c r="P75" s="29">
        <f>IF(Table14[Year] = 0, 0, SUM(L$2:L75))</f>
        <v>0</v>
      </c>
      <c r="Q75" s="17">
        <f t="shared" si="21"/>
        <v>0</v>
      </c>
      <c r="R75" s="17">
        <f>IF(Table14[[#This Row],[Year]]=0,0,IF($C$2&lt;=50,LOOKUP(Table14[[#This Row],[Age]],db!BG76:BG182,db!BH76:BH182),LOOKUP(Table14[[#This Row],[Age]],db!BJ76:BJ182,db!BK76:BK182)))</f>
        <v>0</v>
      </c>
      <c r="S75" s="17">
        <f>IF(B75=0,0, IF(AND(Changes!Change="Yes", Changes!ValidityYear=Table14[[#This Row],[Year]], Changes!ChangeType="Change Death Capital"), Changes!NewChangedValue, S74*(1+(Table14[[#This Row],[Adjustment Factor of Death Capital]]/100))))</f>
        <v>0</v>
      </c>
      <c r="T75" s="17">
        <f>MIN(IF(B75=0,0,Table14[[#This Row],[Death Capital (1)]]),Table14[[#This Row],[Max Sum Insured For Death]])</f>
        <v>0</v>
      </c>
      <c r="U75" s="29">
        <f t="shared" si="30"/>
        <v>0</v>
      </c>
      <c r="V75" s="29">
        <f>IF(B75=0,0,IF(AND(Changes!Change="Yes", Changes!ValidityYear&lt;=Table14[[#This Row],[Year]], Changes!ChangeType="Rider Inclusion/Exclusion", Changes!RiderType="Accident Death"), T75*Changes!NewChangedValue,IF(db!$D$6="Yes",(db!$B$6)*T75,0)))</f>
        <v>0</v>
      </c>
      <c r="W75" s="29">
        <f>MIN(IF(V75&lt;=db!$L$2,V75,db!$L$2),MAX_ACC_CAPITAL)</f>
        <v>0</v>
      </c>
      <c r="X75" s="17">
        <f>IF(OR(B75=0,Table14[[#This Row],[Accident Capital (2)]]=0),0,IF(AND(Changes!Change="Yes", Changes!ValidityYear&lt;=Table14[[#This Row],[Year]], Changes!ChangeType="Rider Inclusion/Exclusion", Changes!RiderType="Accident Disability"), T75*Changes!NewChangedValue,IF(db!$D$7="Yes",(db!$B$7)*T75,0)))</f>
        <v>0</v>
      </c>
      <c r="Y75" s="42">
        <f>IF(C75&gt;69,0,IF(C75=0,0,IF(X75&lt;=db!$L$3,X75,db!$L$3)))</f>
        <v>0</v>
      </c>
      <c r="Z75" s="29">
        <f>IF(OR(B75=0,Table14[[#This Row],[Accident Capital (2)]]=0),0,IF(AND(Changes!Change="Yes", Changes!ValidityYear&lt;=Table14[[#This Row],[Year]], Changes!ChangeType="Rider Inclusion/Exclusion", Changes!RiderType="Accident Medical Cost"), T75*Changes!NewChangedValue,IF(db!$D$9="Yes",(db!$B$9)*T75,0)))</f>
        <v>0</v>
      </c>
      <c r="AA75" s="29">
        <f>ROUND(IF(C75&gt;69,0,IF(C75=0,0,IF(Z75&lt;=db!$L$4,Z75,db!$L$4))),0)</f>
        <v>0</v>
      </c>
      <c r="AB75" s="38">
        <f>IF(AND(Changes!Change = "Yes", Changes!ChangeType = "Rider Inclusion/Exclusion", Changes!RiderType = "WOP"), IF( Changes!ValidityYear &lt;= Table14[[#This Row],[Year]], IF(WOP = "Yes", 0, 1),  IF(WOP = "Yes", 1, 0)), IF(AND(db!$D$8="Yes",C75&lt;=69,ROW()-1&lt;=InsurancePeriod), 1, 0))</f>
        <v>0</v>
      </c>
      <c r="AC75" s="17">
        <f>(AC76+K76)*AB75*((1)/(1+db!AA77))*(LOOKUP(C75,'Mortality Table'!$A$2:$A$108,'Mortality Table'!$E$2:$E$108))</f>
        <v>0</v>
      </c>
      <c r="AD75" s="340">
        <f>IF(AND(Changes!ValidityYear&lt;= Table14[[#This Row],[Year]],Changes!ChangeType="Change Value Adjustment",Changes!Change="Yes"), (AD76+L76)*AB75*((1)/(1+db!AA77))*(LOOKUP(C75,'Mortality Table'!$A$2:$A$108,'Mortality Table'!$E$2:$E$108)),Table14[[#This Row],[WOP Before Adj. BT]])</f>
        <v>0</v>
      </c>
      <c r="AE75" s="341">
        <f>IF(AND(Changes!Change="Yes", Changes!ChangeType="Change Value Adjustment"),Table14[[#This Row],[WOP Capital]],(AE76+O76)*AB75*((1)/(1+db!AA77))*(LOOKUP(D75,'Mortality Table'!$A$2:$A$108,'Mortality Table'!$E$2:$E$108)))</f>
        <v>0</v>
      </c>
      <c r="AF75" s="17">
        <f>IF(AND(Changes!Change="Yes", Changes!ValidityYear&lt;=ROW()-1),Table14[[#This Row],[WOP Capital]],Table14[[#This Row],[WOP without change]])</f>
        <v>0</v>
      </c>
      <c r="AG75" s="42">
        <f>IF(AND(Changes!Change="Yes", Changes!ValidityYear&lt;=Table14[[#This Row],[Year]], Changes!ChangeType="Rider Inclusion/Exclusion", Changes!RiderType="Disability Annuity"), L75*Changes!NewChangedValue,L75*db!B$10*IF(db!$D$10="Yes",1,0))</f>
        <v>0</v>
      </c>
      <c r="AH75" s="29">
        <f>Table14[[#This Row],[Code Annuity Capital]]*IF('Annual Calculation'!C75&gt;69,0,(LOOKUP('Annual Calculation'!C75+1,'Mortality Table'!$A$2:$A$108,'Mortality Table'!$O$2:$O$108)-LOOKUP('Annual Calculation'!C75+11,'Mortality Table'!$A$2:$A$108,'Mortality Table'!$O$2:$O$108))/LOOKUP('Annual Calculation'!C75,'Mortality Table'!$A$2:$A$108,'Mortality Table'!$M$2:$M$108))</f>
        <v>0</v>
      </c>
      <c r="AI75" s="17">
        <f>IF(B75=0,0,IF(AND(Changes!Change="Yes", Changes!ValidityYear&lt;=Table14[[#This Row],[Year]], Changes!ChangeType="Rider Inclusion/Exclusion", Changes!RiderType="Dread Disease"), T75*Changes!NewChangedValue,IF(db!$D$11="Yes",(db!$B$11)*T75,0)))</f>
        <v>0</v>
      </c>
      <c r="AJ75" s="42">
        <f>ROUND(IF(C75&gt;59,0,IF(C75=0,0,IF(AI75&lt;=db!$L$5,AI75,db!$L$5))),0)</f>
        <v>0</v>
      </c>
      <c r="AK75" s="29">
        <f>IF(B75=0,0,IF(AND(Changes!Change="Yes", Changes!ValidityYear&lt;=Table14[[#This Row],[Year]], Changes!ChangeType="Rider Inclusion/Exclusion", Changes!RiderType="Cancer"), T75*Changes!NewChangedValue,IF(db!$D$12="Yes",(db!$B$12)*T75,0)))</f>
        <v>0</v>
      </c>
      <c r="AL75" s="29">
        <f>ROUND(IF(C75&gt;59,0,IF(C75=0,0,IF(AK75&lt;=db!$L$6,AK75,db!$L$6))),0)</f>
        <v>0</v>
      </c>
      <c r="AM75" s="32"/>
      <c r="AN75" s="18">
        <f>IF(B75=0,0,IF(C75&lt;(db!$E$2+5),LOOKUP(C75,'Mortality Table'!$A$2:$A$108,'Mortality Table'!$P$2:$P$108),IF((C75&gt;=db!$E$2+10),LOOKUP(C75,'Mortality Table'!$A$2:$A$108,'Mortality Table'!$R$2:$R$108),LOOKUP(C75,'Mortality Table'!$A$2:$A$108,'Mortality Table'!$Q$2:$Q$108))))</f>
        <v>0</v>
      </c>
      <c r="AO75" s="22">
        <f t="shared" si="22"/>
        <v>0</v>
      </c>
      <c r="AP75" s="19">
        <f>IF(B75=0,0, LOOKUP(IF(AND(Changes!Change="Yes", Changes!ValidityYear&lt;=Table14[[#This Row],[Year]], Changes!ChangeType="Change Job Class"),Changes!NewChangedValue, db!$A$8),db!$AX$4:$AX$8,db!$AY$4:$AY$8))</f>
        <v>0</v>
      </c>
      <c r="AQ75" s="20">
        <f>ROUND((AP75/1000)*W75 * (1-db!$AS$9),0)</f>
        <v>0</v>
      </c>
      <c r="AR75" s="20">
        <f>(AP75/1000)*W75 * db!$AS$9</f>
        <v>0</v>
      </c>
      <c r="AS75" s="21">
        <f>IF(B75=0,0, LOOKUP(IF(AND(Changes!Change="Yes", Changes!ValidityYear&lt;=Table14[[#This Row],[Year]], Changes!ChangeType="Change Job Class"),Changes!NewChangedValue, db!$A$8),db!$AX$4:$AX$8,db!$AZ$4:$AZ$8))</f>
        <v>0</v>
      </c>
      <c r="AT75" s="22">
        <f>(AS75/1000)*Y75*(1-db!$AS$9)</f>
        <v>0</v>
      </c>
      <c r="AU75" s="22">
        <f>(AS75/1000)*Y75*(db!$AS$9)</f>
        <v>0</v>
      </c>
      <c r="AV75" s="23">
        <f>IF(B75=0,0, LOOKUP(IF(AND(Changes!Change="Yes", Changes!ValidityYear&lt;=Table14[[#This Row],[Year]], Changes!ChangeType="Change Job Class"),Changes!NewChangedValue, db!$A$8),db!$AX$4:$AX$8,db!$BA$4:$BA$8))</f>
        <v>0</v>
      </c>
      <c r="AW75" s="20">
        <f>ROUND((AV75/(100))*AA75*(1-db!$AS$9),0)</f>
        <v>0</v>
      </c>
      <c r="AX75" s="20">
        <f>ROUND((AV75/(100))*AA75*(db!$AS$9),0)</f>
        <v>0</v>
      </c>
      <c r="AY75" s="21">
        <f>IF(db!$D$8="Yes",AS75,0)</f>
        <v>0</v>
      </c>
      <c r="AZ75" s="22">
        <f>(AY75*AF75)/1000*(1-db!$AS$9)</f>
        <v>0</v>
      </c>
      <c r="BA75" s="22">
        <f>(AY75*AF75)/1000*(db!$AS$9)</f>
        <v>0</v>
      </c>
      <c r="BB75" s="23">
        <f t="shared" si="23"/>
        <v>0</v>
      </c>
      <c r="BC75" s="20">
        <f>(BB75*AH75/1000)*(1-db!$AS$9)</f>
        <v>0</v>
      </c>
      <c r="BD75" s="20">
        <f>(BB75*AH75/1000)*(db!$AS$9)</f>
        <v>0</v>
      </c>
      <c r="BE75" s="22">
        <f>IF(B75=0,0,IF(C75&gt;60,0,LOOKUP(Table14[[#This Row],[Medical
Age]],db!$BC$3:$BC$63,db!$BD$3:$BD$63)))</f>
        <v>0</v>
      </c>
      <c r="BF75" s="22">
        <f>BG75*db!$AS$10</f>
        <v>0</v>
      </c>
      <c r="BG75" s="22">
        <f t="shared" si="24"/>
        <v>0</v>
      </c>
      <c r="BH75" s="22">
        <f>(BE75/1000000)*AJ75*(1-db!$AS$10)</f>
        <v>0</v>
      </c>
      <c r="BI75" s="20">
        <f>IF(B75=0,0,IF(C75&gt;59,0,LOOKUP(Table14[[#This Row],[Medical
Age]],db!$BC$3:$BC$63,db!$BE$3:$BE$63)))</f>
        <v>0</v>
      </c>
      <c r="BJ75" s="20">
        <f>(BI75/1000000)*AL75*(1-db!$AS$11)</f>
        <v>0</v>
      </c>
      <c r="BK75" s="20">
        <f>(BI75/1000000)*AL75*(db!$AS$11)</f>
        <v>0</v>
      </c>
      <c r="BL75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75" s="20">
        <f>Table14[[#This Row],[RiskLoading
Rate]]*Table14[[#This Row],[Death Capital (2)]]</f>
        <v>0</v>
      </c>
      <c r="BN75" s="36"/>
      <c r="BO75" s="37">
        <f t="shared" si="25"/>
        <v>0</v>
      </c>
      <c r="BP75" s="35">
        <f t="shared" si="26"/>
        <v>0</v>
      </c>
      <c r="BQ75" s="35">
        <f t="shared" si="27"/>
        <v>0</v>
      </c>
      <c r="BR75" s="37">
        <f t="shared" si="31"/>
        <v>0</v>
      </c>
      <c r="BS75" s="37">
        <f t="shared" si="32"/>
        <v>0</v>
      </c>
      <c r="BT75" s="35">
        <f t="shared" si="33"/>
        <v>0</v>
      </c>
      <c r="BU75" s="35">
        <f t="shared" si="34"/>
        <v>0</v>
      </c>
      <c r="BV75" s="37">
        <f>(db!$AS$4/100)*(L75-BT75-BU75)</f>
        <v>0</v>
      </c>
      <c r="BW75" s="37">
        <f>(db!$AS$8/100)*(L75-BT75-BU75)</f>
        <v>0</v>
      </c>
      <c r="BX75" s="35"/>
      <c r="BY75" s="37"/>
      <c r="BZ75" s="37"/>
      <c r="CA75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75" s="33"/>
      <c r="CC75" s="39">
        <f>ROUND((Table14[[#This Row],[Premium]]-Table14[[#This Row],[All Deductions]]),0)</f>
        <v>0</v>
      </c>
      <c r="CD75" s="40">
        <f>ROUND(IF(B75=0,0,((CC75)*(1+ IF(AND(Changes!Change="Yes",Changes!ValidityYear&lt;=Table14[[#This Row],[Year]],Annulment&gt;Table14[[#This Row],[Year]],Changes!ChangeType="Paid-Up"),db!Y77+0.02,db!Y77)))+((CD74)*(1+IF(AND(Changes!Change="Yes",Changes!ValidityYear&lt;=Table14[[#This Row],[Year]],Annulment&gt;Table14[[#This Row],[Year]],Changes!ChangeType="Paid-Up"),db!U77+0.02,db!U77)))),0)</f>
        <v>0</v>
      </c>
      <c r="CE75" s="40">
        <f>ROUND(IF(B75=0,0,((CC75)*(1+db!Y77))+((CE74)*(1+db!U77))),0)</f>
        <v>0</v>
      </c>
      <c r="CF75" s="40">
        <f t="shared" si="39"/>
        <v>0</v>
      </c>
      <c r="CG75" s="15">
        <f t="shared" si="35"/>
        <v>74</v>
      </c>
      <c r="CH75" s="39">
        <f>IF(B75=0,0,((CC75)*(1+db!AH77))+((CH74)*(1+db!AD77)))</f>
        <v>0</v>
      </c>
      <c r="CI75" s="39">
        <f>IF(B75=0,0,((CC75)*(1+db!AH77))+((CI74)*(1+db!AD77)))</f>
        <v>0</v>
      </c>
      <c r="CJ75" s="40">
        <f>IF(B75=0,0,((CC75)*(1+db!AO77))+((CJ74)*(1+db!AK77)))</f>
        <v>0</v>
      </c>
      <c r="CK75" s="40">
        <f>CJ75-(SUM(BX$7:$BX76))</f>
        <v>0</v>
      </c>
      <c r="CL75" s="46"/>
    </row>
    <row r="76" spans="1:90">
      <c r="A76" s="347">
        <f t="shared" si="36"/>
        <v>75</v>
      </c>
      <c r="B76" s="345">
        <f>IF(AND(Changes!Change="Yes", Changes!ChangeType="Change Contract Duration"),IF(B75=0,0,IF(Changes!NewChangedValue&lt;B75+1,0,B75+1)),IF(B75=0,0,IF('Application Annually'!$C$5&lt;B75+1,0,B75+1)))</f>
        <v>0</v>
      </c>
      <c r="C76" s="15">
        <f t="shared" si="37"/>
        <v>0</v>
      </c>
      <c r="D76" s="312">
        <f t="shared" si="38"/>
        <v>102</v>
      </c>
      <c r="E76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76" s="29">
        <f t="shared" si="28"/>
        <v>0</v>
      </c>
      <c r="G76" s="29">
        <f t="shared" si="29"/>
        <v>0</v>
      </c>
      <c r="H76" s="29">
        <f t="shared" si="20"/>
        <v>0</v>
      </c>
      <c r="I76" s="29">
        <f>IF(B76&gt;0,IF(AND(Table14[[#This Row],[Year]]&gt;Changes!ValidityYear,Changes!Change="Yes",Changes!ChangeType="Change Value Adjustment"),Changes!$G$22,'Application Annually'!$C$11),0)</f>
        <v>0</v>
      </c>
      <c r="J76" s="29">
        <f>IF(B76&gt;0,IF(AND(Table14[[#This Row],[Year]]&gt;Changes!ValidityYear,Changes!Change="Yes",Changes!ChangeType="Change Value Adjustment"),Changes!$G$24,'Application Annually'!$C$7),0)</f>
        <v>0</v>
      </c>
      <c r="K76" s="29">
        <f>ROUND(IF(B76=0,0,IF(AND(Changes!Change="Yes", Changes!ValidityYear=Table14[[#This Row],[Year]], Changes!ChangeType="Change Premium"), Changes!NewChangedValue, (K75*(1+db!$B$3)))),0)</f>
        <v>0</v>
      </c>
      <c r="L76" s="29">
        <f>ROUND(IF(B76=0,0,IF(AND(Changes!Change="Yes", Changes!ValidityYear=Table14[[#This Row],[Year]], Changes!ChangeType="Change Premium"), Changes!NewChangedValue, (L75*(1+Table14[[#This Row],[Adjustment Factor of Premium]]/100)))),0)</f>
        <v>0</v>
      </c>
      <c r="M76" s="29">
        <f>IF(Table14[[#This Row],[Year]]=1,ROUND(MIN($L$2 -( Table14[[#This Row],[Riders Risk Premiums]] + Table14[[#This Row],[Acquisition Cost]]) *0.75,Table14[[#This Row],[Death Capital (1)]]* 0.03),0),0)</f>
        <v>0</v>
      </c>
      <c r="N76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76" s="29">
        <f>ROUND(IF(ROW()-1&gt;InsurancePeriod,0,(O75*(1+(Table14[[#This Row],[Adjustment Factor of Premium]]/100)))),0)</f>
        <v>0</v>
      </c>
      <c r="P76" s="29">
        <f>IF(Table14[Year] = 0, 0, SUM(L$2:L76))</f>
        <v>0</v>
      </c>
      <c r="Q76" s="17">
        <f t="shared" si="21"/>
        <v>0</v>
      </c>
      <c r="R76" s="17">
        <f>IF(Table14[[#This Row],[Year]]=0,0,IF($C$2&lt;=50,LOOKUP(Table14[[#This Row],[Age]],db!BG77:BG183,db!BH77:BH183),LOOKUP(Table14[[#This Row],[Age]],db!BJ77:BJ183,db!BK77:BK183)))</f>
        <v>0</v>
      </c>
      <c r="S76" s="17">
        <f>IF(B76=0,0, IF(AND(Changes!Change="Yes", Changes!ValidityYear=Table14[[#This Row],[Year]], Changes!ChangeType="Change Death Capital"), Changes!NewChangedValue, S75*(1+(Table14[[#This Row],[Adjustment Factor of Death Capital]]/100))))</f>
        <v>0</v>
      </c>
      <c r="T76" s="17">
        <f>MIN(IF(B76=0,0,Table14[[#This Row],[Death Capital (1)]]),Table14[[#This Row],[Max Sum Insured For Death]])</f>
        <v>0</v>
      </c>
      <c r="U76" s="29">
        <f t="shared" si="30"/>
        <v>0</v>
      </c>
      <c r="V76" s="29">
        <f>IF(B76=0,0,IF(AND(Changes!Change="Yes", Changes!ValidityYear&lt;=Table14[[#This Row],[Year]], Changes!ChangeType="Rider Inclusion/Exclusion", Changes!RiderType="Accident Death"), T76*Changes!NewChangedValue,IF(db!$D$6="Yes",(db!$B$6)*T76,0)))</f>
        <v>0</v>
      </c>
      <c r="W76" s="29">
        <f>MIN(IF(V76&lt;=db!$L$2,V76,db!$L$2),MAX_ACC_CAPITAL)</f>
        <v>0</v>
      </c>
      <c r="X76" s="17">
        <f>IF(OR(B76=0,Table14[[#This Row],[Accident Capital (2)]]=0),0,IF(AND(Changes!Change="Yes", Changes!ValidityYear&lt;=Table14[[#This Row],[Year]], Changes!ChangeType="Rider Inclusion/Exclusion", Changes!RiderType="Accident Disability"), T76*Changes!NewChangedValue,IF(db!$D$7="Yes",(db!$B$7)*T76,0)))</f>
        <v>0</v>
      </c>
      <c r="Y76" s="42">
        <f>IF(C76&gt;69,0,IF(C76=0,0,IF(X76&lt;=db!$L$3,X76,db!$L$3)))</f>
        <v>0</v>
      </c>
      <c r="Z76" s="29">
        <f>IF(OR(B76=0,Table14[[#This Row],[Accident Capital (2)]]=0),0,IF(AND(Changes!Change="Yes", Changes!ValidityYear&lt;=Table14[[#This Row],[Year]], Changes!ChangeType="Rider Inclusion/Exclusion", Changes!RiderType="Accident Medical Cost"), T76*Changes!NewChangedValue,IF(db!$D$9="Yes",(db!$B$9)*T76,0)))</f>
        <v>0</v>
      </c>
      <c r="AA76" s="29">
        <f>ROUND(IF(C76&gt;69,0,IF(C76=0,0,IF(Z76&lt;=db!$L$4,Z76,db!$L$4))),0)</f>
        <v>0</v>
      </c>
      <c r="AB76" s="38">
        <f>IF(AND(Changes!Change = "Yes", Changes!ChangeType = "Rider Inclusion/Exclusion", Changes!RiderType = "WOP"), IF( Changes!ValidityYear &lt;= Table14[[#This Row],[Year]], IF(WOP = "Yes", 0, 1),  IF(WOP = "Yes", 1, 0)), IF(AND(db!$D$8="Yes",C76&lt;=69,ROW()-1&lt;=InsurancePeriod), 1, 0))</f>
        <v>0</v>
      </c>
      <c r="AC76" s="17">
        <f>(AC77+K77)*AB76*((1)/(1+db!AA78))*(LOOKUP(C76,'Mortality Table'!$A$2:$A$108,'Mortality Table'!$E$2:$E$108))</f>
        <v>0</v>
      </c>
      <c r="AD76" s="340">
        <f>IF(AND(Changes!ValidityYear&lt;= Table14[[#This Row],[Year]],Changes!ChangeType="Change Value Adjustment",Changes!Change="Yes"), (AD77+L77)*AB76*((1)/(1+db!AA78))*(LOOKUP(C76,'Mortality Table'!$A$2:$A$108,'Mortality Table'!$E$2:$E$108)),Table14[[#This Row],[WOP Before Adj. BT]])</f>
        <v>0</v>
      </c>
      <c r="AE76" s="341">
        <f>IF(AND(Changes!Change="Yes", Changes!ChangeType="Change Value Adjustment"),Table14[[#This Row],[WOP Capital]],(AE77+O77)*AB76*((1)/(1+db!AA78))*(LOOKUP(D76,'Mortality Table'!$A$2:$A$108,'Mortality Table'!$E$2:$E$108)))</f>
        <v>0</v>
      </c>
      <c r="AF76" s="17">
        <f>IF(AND(Changes!Change="Yes", Changes!ValidityYear&lt;=ROW()-1),Table14[[#This Row],[WOP Capital]],Table14[[#This Row],[WOP without change]])</f>
        <v>0</v>
      </c>
      <c r="AG76" s="42">
        <f>IF(AND(Changes!Change="Yes", Changes!ValidityYear&lt;=Table14[[#This Row],[Year]], Changes!ChangeType="Rider Inclusion/Exclusion", Changes!RiderType="Disability Annuity"), L76*Changes!NewChangedValue,L76*db!B$10*IF(db!$D$10="Yes",1,0))</f>
        <v>0</v>
      </c>
      <c r="AH76" s="29">
        <f>Table14[[#This Row],[Code Annuity Capital]]*IF('Annual Calculation'!C76&gt;69,0,(LOOKUP('Annual Calculation'!C76+1,'Mortality Table'!$A$2:$A$108,'Mortality Table'!$O$2:$O$108)-LOOKUP('Annual Calculation'!C76+11,'Mortality Table'!$A$2:$A$108,'Mortality Table'!$O$2:$O$108))/LOOKUP('Annual Calculation'!C76,'Mortality Table'!$A$2:$A$108,'Mortality Table'!$M$2:$M$108))</f>
        <v>0</v>
      </c>
      <c r="AI76" s="17">
        <f>IF(B76=0,0,IF(AND(Changes!Change="Yes", Changes!ValidityYear&lt;=Table14[[#This Row],[Year]], Changes!ChangeType="Rider Inclusion/Exclusion", Changes!RiderType="Dread Disease"), T76*Changes!NewChangedValue,IF(db!$D$11="Yes",(db!$B$11)*T76,0)))</f>
        <v>0</v>
      </c>
      <c r="AJ76" s="42">
        <f>ROUND(IF(C76&gt;59,0,IF(C76=0,0,IF(AI76&lt;=db!$L$5,AI76,db!$L$5))),0)</f>
        <v>0</v>
      </c>
      <c r="AK76" s="29">
        <f>IF(B76=0,0,IF(AND(Changes!Change="Yes", Changes!ValidityYear&lt;=Table14[[#This Row],[Year]], Changes!ChangeType="Rider Inclusion/Exclusion", Changes!RiderType="Cancer"), T76*Changes!NewChangedValue,IF(db!$D$12="Yes",(db!$B$12)*T76,0)))</f>
        <v>0</v>
      </c>
      <c r="AL76" s="29">
        <f>ROUND(IF(C76&gt;59,0,IF(C76=0,0,IF(AK76&lt;=db!$L$6,AK76,db!$L$6))),0)</f>
        <v>0</v>
      </c>
      <c r="AM76" s="32"/>
      <c r="AN76" s="18">
        <f>IF(B76=0,0,IF(C76&lt;(db!$E$2+5),LOOKUP(C76,'Mortality Table'!$A$2:$A$108,'Mortality Table'!$P$2:$P$108),IF((C76&gt;=db!$E$2+10),LOOKUP(C76,'Mortality Table'!$A$2:$A$108,'Mortality Table'!$R$2:$R$108),LOOKUP(C76,'Mortality Table'!$A$2:$A$108,'Mortality Table'!$Q$2:$Q$108))))</f>
        <v>0</v>
      </c>
      <c r="AO76" s="22">
        <f t="shared" si="22"/>
        <v>0</v>
      </c>
      <c r="AP76" s="19">
        <f>IF(B76=0,0, LOOKUP(IF(AND(Changes!Change="Yes", Changes!ValidityYear&lt;=Table14[[#This Row],[Year]], Changes!ChangeType="Change Job Class"),Changes!NewChangedValue, db!$A$8),db!$AX$4:$AX$8,db!$AY$4:$AY$8))</f>
        <v>0</v>
      </c>
      <c r="AQ76" s="20">
        <f>ROUND((AP76/1000)*W76 * (1-db!$AS$9),0)</f>
        <v>0</v>
      </c>
      <c r="AR76" s="20">
        <f>(AP76/1000)*W76 * db!$AS$9</f>
        <v>0</v>
      </c>
      <c r="AS76" s="21">
        <f>IF(B76=0,0, LOOKUP(IF(AND(Changes!Change="Yes", Changes!ValidityYear&lt;=Table14[[#This Row],[Year]], Changes!ChangeType="Change Job Class"),Changes!NewChangedValue, db!$A$8),db!$AX$4:$AX$8,db!$AZ$4:$AZ$8))</f>
        <v>0</v>
      </c>
      <c r="AT76" s="22">
        <f>(AS76/1000)*Y76*(1-db!$AS$9)</f>
        <v>0</v>
      </c>
      <c r="AU76" s="22">
        <f>(AS76/1000)*Y76*(db!$AS$9)</f>
        <v>0</v>
      </c>
      <c r="AV76" s="23">
        <f>IF(B76=0,0, LOOKUP(IF(AND(Changes!Change="Yes", Changes!ValidityYear&lt;=Table14[[#This Row],[Year]], Changes!ChangeType="Change Job Class"),Changes!NewChangedValue, db!$A$8),db!$AX$4:$AX$8,db!$BA$4:$BA$8))</f>
        <v>0</v>
      </c>
      <c r="AW76" s="20">
        <f>ROUND((AV76/(100))*AA76*(1-db!$AS$9),0)</f>
        <v>0</v>
      </c>
      <c r="AX76" s="20">
        <f>ROUND((AV76/(100))*AA76*(db!$AS$9),0)</f>
        <v>0</v>
      </c>
      <c r="AY76" s="21">
        <f>IF(db!$D$8="Yes",AS76,0)</f>
        <v>0</v>
      </c>
      <c r="AZ76" s="22">
        <f>(AY76*AF76)/1000*(1-db!$AS$9)</f>
        <v>0</v>
      </c>
      <c r="BA76" s="22">
        <f>(AY76*AF76)/1000*(db!$AS$9)</f>
        <v>0</v>
      </c>
      <c r="BB76" s="23">
        <f t="shared" si="23"/>
        <v>0</v>
      </c>
      <c r="BC76" s="20">
        <f>(BB76*AH76/1000)*(1-db!$AS$9)</f>
        <v>0</v>
      </c>
      <c r="BD76" s="20">
        <f>(BB76*AH76/1000)*(db!$AS$9)</f>
        <v>0</v>
      </c>
      <c r="BE76" s="22">
        <f>IF(B76=0,0,IF(C76&gt;60,0,LOOKUP(Table14[[#This Row],[Medical
Age]],db!$BC$3:$BC$63,db!$BD$3:$BD$63)))</f>
        <v>0</v>
      </c>
      <c r="BF76" s="22">
        <f>BG76*db!$AS$10</f>
        <v>0</v>
      </c>
      <c r="BG76" s="22">
        <f t="shared" si="24"/>
        <v>0</v>
      </c>
      <c r="BH76" s="22">
        <f>(BE76/1000000)*AJ76*(1-db!$AS$10)</f>
        <v>0</v>
      </c>
      <c r="BI76" s="20">
        <f>IF(B76=0,0,IF(C76&gt;59,0,LOOKUP(Table14[[#This Row],[Medical
Age]],db!$BC$3:$BC$63,db!$BE$3:$BE$63)))</f>
        <v>0</v>
      </c>
      <c r="BJ76" s="20">
        <f>(BI76/1000000)*AL76*(1-db!$AS$11)</f>
        <v>0</v>
      </c>
      <c r="BK76" s="20">
        <f>(BI76/1000000)*AL76*(db!$AS$11)</f>
        <v>0</v>
      </c>
      <c r="BL76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76" s="20">
        <f>Table14[[#This Row],[RiskLoading
Rate]]*Table14[[#This Row],[Death Capital (2)]]</f>
        <v>0</v>
      </c>
      <c r="BN76" s="36"/>
      <c r="BO76" s="37">
        <f t="shared" si="25"/>
        <v>0</v>
      </c>
      <c r="BP76" s="35">
        <f t="shared" si="26"/>
        <v>0</v>
      </c>
      <c r="BQ76" s="35">
        <f t="shared" si="27"/>
        <v>0</v>
      </c>
      <c r="BR76" s="37">
        <f t="shared" si="31"/>
        <v>0</v>
      </c>
      <c r="BS76" s="37">
        <f t="shared" si="32"/>
        <v>0</v>
      </c>
      <c r="BT76" s="35">
        <f t="shared" si="33"/>
        <v>0</v>
      </c>
      <c r="BU76" s="35">
        <f t="shared" si="34"/>
        <v>0</v>
      </c>
      <c r="BV76" s="37">
        <f>(db!$AS$4/100)*(L76-BT76-BU76)</f>
        <v>0</v>
      </c>
      <c r="BW76" s="37">
        <f>(db!$AS$8/100)*(L76-BT76-BU76)</f>
        <v>0</v>
      </c>
      <c r="BX76" s="35"/>
      <c r="BY76" s="37"/>
      <c r="BZ76" s="37"/>
      <c r="CA76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76" s="33"/>
      <c r="CC76" s="39">
        <f>ROUND((Table14[[#This Row],[Premium]]-Table14[[#This Row],[All Deductions]]),0)</f>
        <v>0</v>
      </c>
      <c r="CD76" s="40">
        <f>ROUND(IF(B76=0,0,((CC76)*(1+ IF(AND(Changes!Change="Yes",Changes!ValidityYear&lt;=Table14[[#This Row],[Year]],Annulment&gt;Table14[[#This Row],[Year]],Changes!ChangeType="Paid-Up"),db!Y78+0.02,db!Y78)))+((CD75)*(1+IF(AND(Changes!Change="Yes",Changes!ValidityYear&lt;=Table14[[#This Row],[Year]],Annulment&gt;Table14[[#This Row],[Year]],Changes!ChangeType="Paid-Up"),db!U78+0.02,db!U78)))),0)</f>
        <v>0</v>
      </c>
      <c r="CE76" s="40">
        <f>ROUND(IF(B76=0,0,((CC76)*(1+db!Y78))+((CE75)*(1+db!U78))),0)</f>
        <v>0</v>
      </c>
      <c r="CF76" s="40">
        <f t="shared" si="39"/>
        <v>0</v>
      </c>
      <c r="CG76" s="15">
        <f t="shared" si="35"/>
        <v>75</v>
      </c>
      <c r="CH76" s="39">
        <f>IF(B76=0,0,((CC76)*(1+db!AH78))+((CH75)*(1+db!AD78)))</f>
        <v>0</v>
      </c>
      <c r="CI76" s="39">
        <f>IF(B76=0,0,((CC76)*(1+db!AH78))+((CI75)*(1+db!AD78)))</f>
        <v>0</v>
      </c>
      <c r="CJ76" s="40">
        <f>IF(B76=0,0,((CC76)*(1+db!AO78))+((CJ75)*(1+db!AK78)))</f>
        <v>0</v>
      </c>
      <c r="CK76" s="40">
        <f>CJ76-(SUM(BX$7:$BX77))</f>
        <v>0</v>
      </c>
      <c r="CL76" s="46"/>
    </row>
    <row r="77" spans="1:90">
      <c r="A77" s="347">
        <f t="shared" si="36"/>
        <v>76</v>
      </c>
      <c r="B77" s="345">
        <f>IF(AND(Changes!Change="Yes", Changes!ChangeType="Change Contract Duration"),IF(B76=0,0,IF(Changes!NewChangedValue&lt;B76+1,0,B76+1)),IF(B76=0,0,IF('Application Annually'!$C$5&lt;B76+1,0,B76+1)))</f>
        <v>0</v>
      </c>
      <c r="C77" s="15">
        <f t="shared" si="37"/>
        <v>0</v>
      </c>
      <c r="D77" s="312">
        <f t="shared" si="38"/>
        <v>103</v>
      </c>
      <c r="E77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77" s="29">
        <f t="shared" si="28"/>
        <v>0</v>
      </c>
      <c r="G77" s="29">
        <f t="shared" si="29"/>
        <v>0</v>
      </c>
      <c r="H77" s="29">
        <f t="shared" si="20"/>
        <v>0</v>
      </c>
      <c r="I77" s="29">
        <f>IF(B77&gt;0,IF(AND(Table14[[#This Row],[Year]]&gt;Changes!ValidityYear,Changes!Change="Yes",Changes!ChangeType="Change Value Adjustment"),Changes!$G$22,'Application Annually'!$C$11),0)</f>
        <v>0</v>
      </c>
      <c r="J77" s="29">
        <f>IF(B77&gt;0,IF(AND(Table14[[#This Row],[Year]]&gt;Changes!ValidityYear,Changes!Change="Yes",Changes!ChangeType="Change Value Adjustment"),Changes!$G$24,'Application Annually'!$C$7),0)</f>
        <v>0</v>
      </c>
      <c r="K77" s="29">
        <f>ROUND(IF(B77=0,0,IF(AND(Changes!Change="Yes", Changes!ValidityYear=Table14[[#This Row],[Year]], Changes!ChangeType="Change Premium"), Changes!NewChangedValue, (K76*(1+db!$B$3)))),0)</f>
        <v>0</v>
      </c>
      <c r="L77" s="29">
        <f>ROUND(IF(B77=0,0,IF(AND(Changes!Change="Yes", Changes!ValidityYear=Table14[[#This Row],[Year]], Changes!ChangeType="Change Premium"), Changes!NewChangedValue, (L76*(1+Table14[[#This Row],[Adjustment Factor of Premium]]/100)))),0)</f>
        <v>0</v>
      </c>
      <c r="M77" s="29">
        <f>IF(Table14[[#This Row],[Year]]=1,ROUND(MIN($L$2 -( Table14[[#This Row],[Riders Risk Premiums]] + Table14[[#This Row],[Acquisition Cost]]) *0.75,Table14[[#This Row],[Death Capital (1)]]* 0.03),0),0)</f>
        <v>0</v>
      </c>
      <c r="N77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77" s="29">
        <f>ROUND(IF(ROW()-1&gt;InsurancePeriod,0,(O76*(1+(Table14[[#This Row],[Adjustment Factor of Premium]]/100)))),0)</f>
        <v>0</v>
      </c>
      <c r="P77" s="29">
        <f>IF(Table14[Year] = 0, 0, SUM(L$2:L77))</f>
        <v>0</v>
      </c>
      <c r="Q77" s="17">
        <f t="shared" si="21"/>
        <v>0</v>
      </c>
      <c r="R77" s="17">
        <f>IF(Table14[[#This Row],[Year]]=0,0,IF($C$2&lt;=50,LOOKUP(Table14[[#This Row],[Age]],db!BG78:BG184,db!BH78:BH184),LOOKUP(Table14[[#This Row],[Age]],db!BJ78:BJ184,db!BK78:BK184)))</f>
        <v>0</v>
      </c>
      <c r="S77" s="17">
        <f>IF(B77=0,0, IF(AND(Changes!Change="Yes", Changes!ValidityYear=Table14[[#This Row],[Year]], Changes!ChangeType="Change Death Capital"), Changes!NewChangedValue, S76*(1+(Table14[[#This Row],[Adjustment Factor of Death Capital]]/100))))</f>
        <v>0</v>
      </c>
      <c r="T77" s="17">
        <f>MIN(IF(B77=0,0,Table14[[#This Row],[Death Capital (1)]]),Table14[[#This Row],[Max Sum Insured For Death]])</f>
        <v>0</v>
      </c>
      <c r="U77" s="29">
        <f t="shared" si="30"/>
        <v>0</v>
      </c>
      <c r="V77" s="29">
        <f>IF(B77=0,0,IF(AND(Changes!Change="Yes", Changes!ValidityYear&lt;=Table14[[#This Row],[Year]], Changes!ChangeType="Rider Inclusion/Exclusion", Changes!RiderType="Accident Death"), T77*Changes!NewChangedValue,IF(db!$D$6="Yes",(db!$B$6)*T77,0)))</f>
        <v>0</v>
      </c>
      <c r="W77" s="29">
        <f>MIN(IF(V77&lt;=db!$L$2,V77,db!$L$2),MAX_ACC_CAPITAL)</f>
        <v>0</v>
      </c>
      <c r="X77" s="17">
        <f>IF(OR(B77=0,Table14[[#This Row],[Accident Capital (2)]]=0),0,IF(AND(Changes!Change="Yes", Changes!ValidityYear&lt;=Table14[[#This Row],[Year]], Changes!ChangeType="Rider Inclusion/Exclusion", Changes!RiderType="Accident Disability"), T77*Changes!NewChangedValue,IF(db!$D$7="Yes",(db!$B$7)*T77,0)))</f>
        <v>0</v>
      </c>
      <c r="Y77" s="42">
        <f>IF(C77&gt;69,0,IF(C77=0,0,IF(X77&lt;=db!$L$3,X77,db!$L$3)))</f>
        <v>0</v>
      </c>
      <c r="Z77" s="29">
        <f>IF(OR(B77=0,Table14[[#This Row],[Accident Capital (2)]]=0),0,IF(AND(Changes!Change="Yes", Changes!ValidityYear&lt;=Table14[[#This Row],[Year]], Changes!ChangeType="Rider Inclusion/Exclusion", Changes!RiderType="Accident Medical Cost"), T77*Changes!NewChangedValue,IF(db!$D$9="Yes",(db!$B$9)*T77,0)))</f>
        <v>0</v>
      </c>
      <c r="AA77" s="29">
        <f>ROUND(IF(C77&gt;69,0,IF(C77=0,0,IF(Z77&lt;=db!$L$4,Z77,db!$L$4))),0)</f>
        <v>0</v>
      </c>
      <c r="AB77" s="38">
        <f>IF(AND(Changes!Change = "Yes", Changes!ChangeType = "Rider Inclusion/Exclusion", Changes!RiderType = "WOP"), IF( Changes!ValidityYear &lt;= Table14[[#This Row],[Year]], IF(WOP = "Yes", 0, 1),  IF(WOP = "Yes", 1, 0)), IF(AND(db!$D$8="Yes",C77&lt;=69,ROW()-1&lt;=InsurancePeriod), 1, 0))</f>
        <v>0</v>
      </c>
      <c r="AC77" s="17">
        <f>(AC78+K78)*AB77*((1)/(1+db!AA79))*(LOOKUP(C77,'Mortality Table'!$A$2:$A$108,'Mortality Table'!$E$2:$E$108))</f>
        <v>0</v>
      </c>
      <c r="AD77" s="340">
        <f>IF(AND(Changes!ValidityYear&lt;= Table14[[#This Row],[Year]],Changes!ChangeType="Change Value Adjustment",Changes!Change="Yes"), (AD78+L78)*AB77*((1)/(1+db!AA79))*(LOOKUP(C77,'Mortality Table'!$A$2:$A$108,'Mortality Table'!$E$2:$E$108)),Table14[[#This Row],[WOP Before Adj. BT]])</f>
        <v>0</v>
      </c>
      <c r="AE77" s="341">
        <f>IF(AND(Changes!Change="Yes", Changes!ChangeType="Change Value Adjustment"),Table14[[#This Row],[WOP Capital]],(AE78+O78)*AB77*((1)/(1+db!AA79))*(LOOKUP(D77,'Mortality Table'!$A$2:$A$108,'Mortality Table'!$E$2:$E$108)))</f>
        <v>0</v>
      </c>
      <c r="AF77" s="17">
        <f>IF(AND(Changes!Change="Yes", Changes!ValidityYear&lt;=ROW()-1),Table14[[#This Row],[WOP Capital]],Table14[[#This Row],[WOP without change]])</f>
        <v>0</v>
      </c>
      <c r="AG77" s="42">
        <f>IF(AND(Changes!Change="Yes", Changes!ValidityYear&lt;=Table14[[#This Row],[Year]], Changes!ChangeType="Rider Inclusion/Exclusion", Changes!RiderType="Disability Annuity"), L77*Changes!NewChangedValue,L77*db!B$10*IF(db!$D$10="Yes",1,0))</f>
        <v>0</v>
      </c>
      <c r="AH77" s="29">
        <f>Table14[[#This Row],[Code Annuity Capital]]*IF('Annual Calculation'!C77&gt;69,0,(LOOKUP('Annual Calculation'!C77+1,'Mortality Table'!$A$2:$A$108,'Mortality Table'!$O$2:$O$108)-LOOKUP('Annual Calculation'!C77+11,'Mortality Table'!$A$2:$A$108,'Mortality Table'!$O$2:$O$108))/LOOKUP('Annual Calculation'!C77,'Mortality Table'!$A$2:$A$108,'Mortality Table'!$M$2:$M$108))</f>
        <v>0</v>
      </c>
      <c r="AI77" s="17">
        <f>IF(B77=0,0,IF(AND(Changes!Change="Yes", Changes!ValidityYear&lt;=Table14[[#This Row],[Year]], Changes!ChangeType="Rider Inclusion/Exclusion", Changes!RiderType="Dread Disease"), T77*Changes!NewChangedValue,IF(db!$D$11="Yes",(db!$B$11)*T77,0)))</f>
        <v>0</v>
      </c>
      <c r="AJ77" s="42">
        <f>ROUND(IF(C77&gt;59,0,IF(C77=0,0,IF(AI77&lt;=db!$L$5,AI77,db!$L$5))),0)</f>
        <v>0</v>
      </c>
      <c r="AK77" s="29">
        <f>IF(B77=0,0,IF(AND(Changes!Change="Yes", Changes!ValidityYear&lt;=Table14[[#This Row],[Year]], Changes!ChangeType="Rider Inclusion/Exclusion", Changes!RiderType="Cancer"), T77*Changes!NewChangedValue,IF(db!$D$12="Yes",(db!$B$12)*T77,0)))</f>
        <v>0</v>
      </c>
      <c r="AL77" s="29">
        <f>ROUND(IF(C77&gt;59,0,IF(C77=0,0,IF(AK77&lt;=db!$L$6,AK77,db!$L$6))),0)</f>
        <v>0</v>
      </c>
      <c r="AM77" s="32"/>
      <c r="AN77" s="18">
        <f>IF(B77=0,0,IF(C77&lt;(db!$E$2+5),LOOKUP(C77,'Mortality Table'!$A$2:$A$108,'Mortality Table'!$P$2:$P$108),IF((C77&gt;=db!$E$2+10),LOOKUP(C77,'Mortality Table'!$A$2:$A$108,'Mortality Table'!$R$2:$R$108),LOOKUP(C77,'Mortality Table'!$A$2:$A$108,'Mortality Table'!$Q$2:$Q$108))))</f>
        <v>0</v>
      </c>
      <c r="AO77" s="22">
        <f t="shared" si="22"/>
        <v>0</v>
      </c>
      <c r="AP77" s="19">
        <f>IF(B77=0,0, LOOKUP(IF(AND(Changes!Change="Yes", Changes!ValidityYear&lt;=Table14[[#This Row],[Year]], Changes!ChangeType="Change Job Class"),Changes!NewChangedValue, db!$A$8),db!$AX$4:$AX$8,db!$AY$4:$AY$8))</f>
        <v>0</v>
      </c>
      <c r="AQ77" s="20">
        <f>ROUND((AP77/1000)*W77 * (1-db!$AS$9),0)</f>
        <v>0</v>
      </c>
      <c r="AR77" s="20">
        <f>(AP77/1000)*W77 * db!$AS$9</f>
        <v>0</v>
      </c>
      <c r="AS77" s="21">
        <f>IF(B77=0,0, LOOKUP(IF(AND(Changes!Change="Yes", Changes!ValidityYear&lt;=Table14[[#This Row],[Year]], Changes!ChangeType="Change Job Class"),Changes!NewChangedValue, db!$A$8),db!$AX$4:$AX$8,db!$AZ$4:$AZ$8))</f>
        <v>0</v>
      </c>
      <c r="AT77" s="22">
        <f>(AS77/1000)*Y77*(1-db!$AS$9)</f>
        <v>0</v>
      </c>
      <c r="AU77" s="22">
        <f>(AS77/1000)*Y77*(db!$AS$9)</f>
        <v>0</v>
      </c>
      <c r="AV77" s="23">
        <f>IF(B77=0,0, LOOKUP(IF(AND(Changes!Change="Yes", Changes!ValidityYear&lt;=Table14[[#This Row],[Year]], Changes!ChangeType="Change Job Class"),Changes!NewChangedValue, db!$A$8),db!$AX$4:$AX$8,db!$BA$4:$BA$8))</f>
        <v>0</v>
      </c>
      <c r="AW77" s="20">
        <f>ROUND((AV77/(100))*AA77*(1-db!$AS$9),0)</f>
        <v>0</v>
      </c>
      <c r="AX77" s="20">
        <f>ROUND((AV77/(100))*AA77*(db!$AS$9),0)</f>
        <v>0</v>
      </c>
      <c r="AY77" s="21">
        <f>IF(db!$D$8="Yes",AS77,0)</f>
        <v>0</v>
      </c>
      <c r="AZ77" s="22">
        <f>(AY77*AF77)/1000*(1-db!$AS$9)</f>
        <v>0</v>
      </c>
      <c r="BA77" s="22">
        <f>(AY77*AF77)/1000*(db!$AS$9)</f>
        <v>0</v>
      </c>
      <c r="BB77" s="23">
        <f t="shared" si="23"/>
        <v>0</v>
      </c>
      <c r="BC77" s="20">
        <f>(BB77*AH77/1000)*(1-db!$AS$9)</f>
        <v>0</v>
      </c>
      <c r="BD77" s="20">
        <f>(BB77*AH77/1000)*(db!$AS$9)</f>
        <v>0</v>
      </c>
      <c r="BE77" s="22">
        <f>IF(B77=0,0,IF(C77&gt;60,0,LOOKUP(Table14[[#This Row],[Medical
Age]],db!$BC$3:$BC$63,db!$BD$3:$BD$63)))</f>
        <v>0</v>
      </c>
      <c r="BF77" s="22">
        <f>BG77*db!$AS$10</f>
        <v>0</v>
      </c>
      <c r="BG77" s="22">
        <f t="shared" si="24"/>
        <v>0</v>
      </c>
      <c r="BH77" s="22">
        <f>(BE77/1000000)*AJ77*(1-db!$AS$10)</f>
        <v>0</v>
      </c>
      <c r="BI77" s="20">
        <f>IF(B77=0,0,IF(C77&gt;59,0,LOOKUP(Table14[[#This Row],[Medical
Age]],db!$BC$3:$BC$63,db!$BE$3:$BE$63)))</f>
        <v>0</v>
      </c>
      <c r="BJ77" s="20">
        <f>(BI77/1000000)*AL77*(1-db!$AS$11)</f>
        <v>0</v>
      </c>
      <c r="BK77" s="20">
        <f>(BI77/1000000)*AL77*(db!$AS$11)</f>
        <v>0</v>
      </c>
      <c r="BL77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77" s="20">
        <f>Table14[[#This Row],[RiskLoading
Rate]]*Table14[[#This Row],[Death Capital (2)]]</f>
        <v>0</v>
      </c>
      <c r="BN77" s="36"/>
      <c r="BO77" s="37">
        <f t="shared" si="25"/>
        <v>0</v>
      </c>
      <c r="BP77" s="35">
        <f t="shared" si="26"/>
        <v>0</v>
      </c>
      <c r="BQ77" s="35">
        <f t="shared" si="27"/>
        <v>0</v>
      </c>
      <c r="BR77" s="37">
        <f t="shared" si="31"/>
        <v>0</v>
      </c>
      <c r="BS77" s="37">
        <f t="shared" si="32"/>
        <v>0</v>
      </c>
      <c r="BT77" s="35">
        <f t="shared" si="33"/>
        <v>0</v>
      </c>
      <c r="BU77" s="35">
        <f t="shared" si="34"/>
        <v>0</v>
      </c>
      <c r="BV77" s="37">
        <f>(db!$AS$4/100)*(L77-BT77-BU77)</f>
        <v>0</v>
      </c>
      <c r="BW77" s="37">
        <f>(db!$AS$8/100)*(L77-BT77-BU77)</f>
        <v>0</v>
      </c>
      <c r="BX77" s="35"/>
      <c r="BY77" s="37"/>
      <c r="BZ77" s="37"/>
      <c r="CA77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77" s="33"/>
      <c r="CC77" s="39">
        <f>ROUND((Table14[[#This Row],[Premium]]-Table14[[#This Row],[All Deductions]]),0)</f>
        <v>0</v>
      </c>
      <c r="CD77" s="40">
        <f>ROUND(IF(B77=0,0,((CC77)*(1+ IF(AND(Changes!Change="Yes",Changes!ValidityYear&lt;=Table14[[#This Row],[Year]],Annulment&gt;Table14[[#This Row],[Year]],Changes!ChangeType="Paid-Up"),db!Y79+0.02,db!Y79)))+((CD76)*(1+IF(AND(Changes!Change="Yes",Changes!ValidityYear&lt;=Table14[[#This Row],[Year]],Annulment&gt;Table14[[#This Row],[Year]],Changes!ChangeType="Paid-Up"),db!U79+0.02,db!U79)))),0)</f>
        <v>0</v>
      </c>
      <c r="CE77" s="40">
        <f>ROUND(IF(B77=0,0,((CC77)*(1+db!Y79))+((CE76)*(1+db!U79))),0)</f>
        <v>0</v>
      </c>
      <c r="CF77" s="40">
        <f t="shared" si="39"/>
        <v>0</v>
      </c>
      <c r="CG77" s="15">
        <f t="shared" si="35"/>
        <v>76</v>
      </c>
      <c r="CH77" s="39">
        <f>IF(B77=0,0,((CC77)*(1+db!AH79))+((CH76)*(1+db!AD79)))</f>
        <v>0</v>
      </c>
      <c r="CI77" s="39">
        <f>IF(B77=0,0,((CC77)*(1+db!AH79))+((CI76)*(1+db!AD79)))</f>
        <v>0</v>
      </c>
      <c r="CJ77" s="40">
        <f>IF(B77=0,0,((CC77)*(1+db!AO79))+((CJ76)*(1+db!AK79)))</f>
        <v>0</v>
      </c>
      <c r="CK77" s="40">
        <f>CJ77-(SUM(BX$7:$BX78))</f>
        <v>0</v>
      </c>
      <c r="CL77" s="46"/>
    </row>
    <row r="78" spans="1:90">
      <c r="A78" s="347">
        <f t="shared" si="36"/>
        <v>77</v>
      </c>
      <c r="B78" s="345">
        <f>IF(AND(Changes!Change="Yes", Changes!ChangeType="Change Contract Duration"),IF(B77=0,0,IF(Changes!NewChangedValue&lt;B77+1,0,B77+1)),IF(B77=0,0,IF('Application Annually'!$C$5&lt;B77+1,0,B77+1)))</f>
        <v>0</v>
      </c>
      <c r="C78" s="15">
        <f t="shared" si="37"/>
        <v>0</v>
      </c>
      <c r="D78" s="312">
        <f t="shared" si="38"/>
        <v>104</v>
      </c>
      <c r="E78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78" s="29">
        <f t="shared" si="28"/>
        <v>0</v>
      </c>
      <c r="G78" s="29">
        <f t="shared" si="29"/>
        <v>0</v>
      </c>
      <c r="H78" s="29">
        <f t="shared" si="20"/>
        <v>0</v>
      </c>
      <c r="I78" s="29">
        <f>IF(B78&gt;0,IF(AND(Table14[[#This Row],[Year]]&gt;Changes!ValidityYear,Changes!Change="Yes",Changes!ChangeType="Change Value Adjustment"),Changes!$G$22,'Application Annually'!$C$11),0)</f>
        <v>0</v>
      </c>
      <c r="J78" s="29">
        <f>IF(B78&gt;0,IF(AND(Table14[[#This Row],[Year]]&gt;Changes!ValidityYear,Changes!Change="Yes",Changes!ChangeType="Change Value Adjustment"),Changes!$G$24,'Application Annually'!$C$7),0)</f>
        <v>0</v>
      </c>
      <c r="K78" s="29">
        <f>ROUND(IF(B78=0,0,IF(AND(Changes!Change="Yes", Changes!ValidityYear=Table14[[#This Row],[Year]], Changes!ChangeType="Change Premium"), Changes!NewChangedValue, (K77*(1+db!$B$3)))),0)</f>
        <v>0</v>
      </c>
      <c r="L78" s="29">
        <f>ROUND(IF(B78=0,0,IF(AND(Changes!Change="Yes", Changes!ValidityYear=Table14[[#This Row],[Year]], Changes!ChangeType="Change Premium"), Changes!NewChangedValue, (L77*(1+Table14[[#This Row],[Adjustment Factor of Premium]]/100)))),0)</f>
        <v>0</v>
      </c>
      <c r="M78" s="29">
        <f>IF(Table14[[#This Row],[Year]]=1,ROUND(MIN($L$2 -( Table14[[#This Row],[Riders Risk Premiums]] + Table14[[#This Row],[Acquisition Cost]]) *0.75,Table14[[#This Row],[Death Capital (1)]]* 0.03),0),0)</f>
        <v>0</v>
      </c>
      <c r="N78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78" s="29">
        <f>ROUND(IF(ROW()-1&gt;InsurancePeriod,0,(O77*(1+(Table14[[#This Row],[Adjustment Factor of Premium]]/100)))),0)</f>
        <v>0</v>
      </c>
      <c r="P78" s="29">
        <f>IF(Table14[Year] = 0, 0, SUM(L$2:L78))</f>
        <v>0</v>
      </c>
      <c r="Q78" s="17">
        <f t="shared" si="21"/>
        <v>0</v>
      </c>
      <c r="R78" s="17">
        <f>IF(Table14[[#This Row],[Year]]=0,0,IF($C$2&lt;=50,LOOKUP(Table14[[#This Row],[Age]],db!BG79:BG185,db!BH79:BH185),LOOKUP(Table14[[#This Row],[Age]],db!BJ79:BJ185,db!BK79:BK185)))</f>
        <v>0</v>
      </c>
      <c r="S78" s="17">
        <f>IF(B78=0,0, IF(AND(Changes!Change="Yes", Changes!ValidityYear=Table14[[#This Row],[Year]], Changes!ChangeType="Change Death Capital"), Changes!NewChangedValue, S77*(1+(Table14[[#This Row],[Adjustment Factor of Death Capital]]/100))))</f>
        <v>0</v>
      </c>
      <c r="T78" s="17">
        <f>MIN(IF(B78=0,0,Table14[[#This Row],[Death Capital (1)]]),Table14[[#This Row],[Max Sum Insured For Death]])</f>
        <v>0</v>
      </c>
      <c r="U78" s="29">
        <f t="shared" si="30"/>
        <v>0</v>
      </c>
      <c r="V78" s="29">
        <f>IF(B78=0,0,IF(AND(Changes!Change="Yes", Changes!ValidityYear&lt;=Table14[[#This Row],[Year]], Changes!ChangeType="Rider Inclusion/Exclusion", Changes!RiderType="Accident Death"), T78*Changes!NewChangedValue,IF(db!$D$6="Yes",(db!$B$6)*T78,0)))</f>
        <v>0</v>
      </c>
      <c r="W78" s="29">
        <f>MIN(IF(V78&lt;=db!$L$2,V78,db!$L$2),MAX_ACC_CAPITAL)</f>
        <v>0</v>
      </c>
      <c r="X78" s="17">
        <f>IF(OR(B78=0,Table14[[#This Row],[Accident Capital (2)]]=0),0,IF(AND(Changes!Change="Yes", Changes!ValidityYear&lt;=Table14[[#This Row],[Year]], Changes!ChangeType="Rider Inclusion/Exclusion", Changes!RiderType="Accident Disability"), T78*Changes!NewChangedValue,IF(db!$D$7="Yes",(db!$B$7)*T78,0)))</f>
        <v>0</v>
      </c>
      <c r="Y78" s="42">
        <f>IF(C78&gt;69,0,IF(C78=0,0,IF(X78&lt;=db!$L$3,X78,db!$L$3)))</f>
        <v>0</v>
      </c>
      <c r="Z78" s="29">
        <f>IF(OR(B78=0,Table14[[#This Row],[Accident Capital (2)]]=0),0,IF(AND(Changes!Change="Yes", Changes!ValidityYear&lt;=Table14[[#This Row],[Year]], Changes!ChangeType="Rider Inclusion/Exclusion", Changes!RiderType="Accident Medical Cost"), T78*Changes!NewChangedValue,IF(db!$D$9="Yes",(db!$B$9)*T78,0)))</f>
        <v>0</v>
      </c>
      <c r="AA78" s="29">
        <f>ROUND(IF(C78&gt;69,0,IF(C78=0,0,IF(Z78&lt;=db!$L$4,Z78,db!$L$4))),0)</f>
        <v>0</v>
      </c>
      <c r="AB78" s="38">
        <f>IF(AND(Changes!Change = "Yes", Changes!ChangeType = "Rider Inclusion/Exclusion", Changes!RiderType = "WOP"), IF( Changes!ValidityYear &lt;= Table14[[#This Row],[Year]], IF(WOP = "Yes", 0, 1),  IF(WOP = "Yes", 1, 0)), IF(AND(db!$D$8="Yes",C78&lt;=69,ROW()-1&lt;=InsurancePeriod), 1, 0))</f>
        <v>0</v>
      </c>
      <c r="AC78" s="17">
        <f>(AC79+K79)*AB78*((1)/(1+db!AA80))*(LOOKUP(C78,'Mortality Table'!$A$2:$A$108,'Mortality Table'!$E$2:$E$108))</f>
        <v>0</v>
      </c>
      <c r="AD78" s="340">
        <f>IF(AND(Changes!ValidityYear&lt;= Table14[[#This Row],[Year]],Changes!ChangeType="Change Value Adjustment",Changes!Change="Yes"), (AD79+L79)*AB78*((1)/(1+db!AA80))*(LOOKUP(C78,'Mortality Table'!$A$2:$A$108,'Mortality Table'!$E$2:$E$108)),Table14[[#This Row],[WOP Before Adj. BT]])</f>
        <v>0</v>
      </c>
      <c r="AE78" s="341">
        <f>IF(AND(Changes!Change="Yes", Changes!ChangeType="Change Value Adjustment"),Table14[[#This Row],[WOP Capital]],(AE79+O79)*AB78*((1)/(1+db!AA80))*(LOOKUP(D78,'Mortality Table'!$A$2:$A$108,'Mortality Table'!$E$2:$E$108)))</f>
        <v>0</v>
      </c>
      <c r="AF78" s="17">
        <f>IF(AND(Changes!Change="Yes", Changes!ValidityYear&lt;=ROW()-1),Table14[[#This Row],[WOP Capital]],Table14[[#This Row],[WOP without change]])</f>
        <v>0</v>
      </c>
      <c r="AG78" s="42">
        <f>IF(AND(Changes!Change="Yes", Changes!ValidityYear&lt;=Table14[[#This Row],[Year]], Changes!ChangeType="Rider Inclusion/Exclusion", Changes!RiderType="Disability Annuity"), L78*Changes!NewChangedValue,L78*db!B$10*IF(db!$D$10="Yes",1,0))</f>
        <v>0</v>
      </c>
      <c r="AH78" s="29">
        <f>Table14[[#This Row],[Code Annuity Capital]]*IF('Annual Calculation'!C78&gt;69,0,(LOOKUP('Annual Calculation'!C78+1,'Mortality Table'!$A$2:$A$108,'Mortality Table'!$O$2:$O$108)-LOOKUP('Annual Calculation'!C78+11,'Mortality Table'!$A$2:$A$108,'Mortality Table'!$O$2:$O$108))/LOOKUP('Annual Calculation'!C78,'Mortality Table'!$A$2:$A$108,'Mortality Table'!$M$2:$M$108))</f>
        <v>0</v>
      </c>
      <c r="AI78" s="17">
        <f>IF(B78=0,0,IF(AND(Changes!Change="Yes", Changes!ValidityYear&lt;=Table14[[#This Row],[Year]], Changes!ChangeType="Rider Inclusion/Exclusion", Changes!RiderType="Dread Disease"), T78*Changes!NewChangedValue,IF(db!$D$11="Yes",(db!$B$11)*T78,0)))</f>
        <v>0</v>
      </c>
      <c r="AJ78" s="42">
        <f>ROUND(IF(C78&gt;59,0,IF(C78=0,0,IF(AI78&lt;=db!$L$5,AI78,db!$L$5))),0)</f>
        <v>0</v>
      </c>
      <c r="AK78" s="29">
        <f>IF(B78=0,0,IF(AND(Changes!Change="Yes", Changes!ValidityYear&lt;=Table14[[#This Row],[Year]], Changes!ChangeType="Rider Inclusion/Exclusion", Changes!RiderType="Cancer"), T78*Changes!NewChangedValue,IF(db!$D$12="Yes",(db!$B$12)*T78,0)))</f>
        <v>0</v>
      </c>
      <c r="AL78" s="29">
        <f>ROUND(IF(C78&gt;59,0,IF(C78=0,0,IF(AK78&lt;=db!$L$6,AK78,db!$L$6))),0)</f>
        <v>0</v>
      </c>
      <c r="AM78" s="32"/>
      <c r="AN78" s="18">
        <f>IF(B78=0,0,IF(C78&lt;(db!$E$2+5),LOOKUP(C78,'Mortality Table'!$A$2:$A$108,'Mortality Table'!$P$2:$P$108),IF((C78&gt;=db!$E$2+10),LOOKUP(C78,'Mortality Table'!$A$2:$A$108,'Mortality Table'!$R$2:$R$108),LOOKUP(C78,'Mortality Table'!$A$2:$A$108,'Mortality Table'!$Q$2:$Q$108))))</f>
        <v>0</v>
      </c>
      <c r="AO78" s="22">
        <f t="shared" si="22"/>
        <v>0</v>
      </c>
      <c r="AP78" s="19">
        <f>IF(B78=0,0, LOOKUP(IF(AND(Changes!Change="Yes", Changes!ValidityYear&lt;=Table14[[#This Row],[Year]], Changes!ChangeType="Change Job Class"),Changes!NewChangedValue, db!$A$8),db!$AX$4:$AX$8,db!$AY$4:$AY$8))</f>
        <v>0</v>
      </c>
      <c r="AQ78" s="20">
        <f>ROUND((AP78/1000)*W78 * (1-db!$AS$9),0)</f>
        <v>0</v>
      </c>
      <c r="AR78" s="20">
        <f>(AP78/1000)*W78 * db!$AS$9</f>
        <v>0</v>
      </c>
      <c r="AS78" s="21">
        <f>IF(B78=0,0, LOOKUP(IF(AND(Changes!Change="Yes", Changes!ValidityYear&lt;=Table14[[#This Row],[Year]], Changes!ChangeType="Change Job Class"),Changes!NewChangedValue, db!$A$8),db!$AX$4:$AX$8,db!$AZ$4:$AZ$8))</f>
        <v>0</v>
      </c>
      <c r="AT78" s="22">
        <f>(AS78/1000)*Y78*(1-db!$AS$9)</f>
        <v>0</v>
      </c>
      <c r="AU78" s="22">
        <f>(AS78/1000)*Y78*(db!$AS$9)</f>
        <v>0</v>
      </c>
      <c r="AV78" s="23">
        <f>IF(B78=0,0, LOOKUP(IF(AND(Changes!Change="Yes", Changes!ValidityYear&lt;=Table14[[#This Row],[Year]], Changes!ChangeType="Change Job Class"),Changes!NewChangedValue, db!$A$8),db!$AX$4:$AX$8,db!$BA$4:$BA$8))</f>
        <v>0</v>
      </c>
      <c r="AW78" s="20">
        <f>ROUND((AV78/(100))*AA78*(1-db!$AS$9),0)</f>
        <v>0</v>
      </c>
      <c r="AX78" s="20">
        <f>ROUND((AV78/(100))*AA78*(db!$AS$9),0)</f>
        <v>0</v>
      </c>
      <c r="AY78" s="21">
        <f>IF(db!$D$8="Yes",AS78,0)</f>
        <v>0</v>
      </c>
      <c r="AZ78" s="22">
        <f>(AY78*AF78)/1000*(1-db!$AS$9)</f>
        <v>0</v>
      </c>
      <c r="BA78" s="22">
        <f>(AY78*AF78)/1000*(db!$AS$9)</f>
        <v>0</v>
      </c>
      <c r="BB78" s="23">
        <f t="shared" si="23"/>
        <v>0</v>
      </c>
      <c r="BC78" s="20">
        <f>(BB78*AH78/1000)*(1-db!$AS$9)</f>
        <v>0</v>
      </c>
      <c r="BD78" s="20">
        <f>(BB78*AH78/1000)*(db!$AS$9)</f>
        <v>0</v>
      </c>
      <c r="BE78" s="22">
        <f>IF(B78=0,0,IF(C78&gt;60,0,LOOKUP(Table14[[#This Row],[Medical
Age]],db!$BC$3:$BC$63,db!$BD$3:$BD$63)))</f>
        <v>0</v>
      </c>
      <c r="BF78" s="22">
        <f>BG78*db!$AS$10</f>
        <v>0</v>
      </c>
      <c r="BG78" s="22">
        <f t="shared" si="24"/>
        <v>0</v>
      </c>
      <c r="BH78" s="22">
        <f>(BE78/1000000)*AJ78*(1-db!$AS$10)</f>
        <v>0</v>
      </c>
      <c r="BI78" s="20">
        <f>IF(B78=0,0,IF(C78&gt;59,0,LOOKUP(Table14[[#This Row],[Medical
Age]],db!$BC$3:$BC$63,db!$BE$3:$BE$63)))</f>
        <v>0</v>
      </c>
      <c r="BJ78" s="20">
        <f>(BI78/1000000)*AL78*(1-db!$AS$11)</f>
        <v>0</v>
      </c>
      <c r="BK78" s="20">
        <f>(BI78/1000000)*AL78*(db!$AS$11)</f>
        <v>0</v>
      </c>
      <c r="BL78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78" s="20">
        <f>Table14[[#This Row],[RiskLoading
Rate]]*Table14[[#This Row],[Death Capital (2)]]</f>
        <v>0</v>
      </c>
      <c r="BN78" s="36"/>
      <c r="BO78" s="37">
        <f t="shared" si="25"/>
        <v>0</v>
      </c>
      <c r="BP78" s="35">
        <f t="shared" si="26"/>
        <v>0</v>
      </c>
      <c r="BQ78" s="35">
        <f t="shared" si="27"/>
        <v>0</v>
      </c>
      <c r="BR78" s="37">
        <f t="shared" si="31"/>
        <v>0</v>
      </c>
      <c r="BS78" s="37">
        <f t="shared" si="32"/>
        <v>0</v>
      </c>
      <c r="BT78" s="35">
        <f t="shared" si="33"/>
        <v>0</v>
      </c>
      <c r="BU78" s="35">
        <f t="shared" si="34"/>
        <v>0</v>
      </c>
      <c r="BV78" s="37">
        <f>(db!$AS$4/100)*(L78-BT78-BU78)</f>
        <v>0</v>
      </c>
      <c r="BW78" s="37">
        <f>(db!$AS$8/100)*(L78-BT78-BU78)</f>
        <v>0</v>
      </c>
      <c r="BX78" s="35"/>
      <c r="BY78" s="37"/>
      <c r="BZ78" s="37"/>
      <c r="CA78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78" s="33"/>
      <c r="CC78" s="39">
        <f>ROUND((Table14[[#This Row],[Premium]]-Table14[[#This Row],[All Deductions]]),0)</f>
        <v>0</v>
      </c>
      <c r="CD78" s="40">
        <f>ROUND(IF(B78=0,0,((CC78)*(1+ IF(AND(Changes!Change="Yes",Changes!ValidityYear&lt;=Table14[[#This Row],[Year]],Annulment&gt;Table14[[#This Row],[Year]],Changes!ChangeType="Paid-Up"),db!Y80+0.02,db!Y80)))+((CD77)*(1+IF(AND(Changes!Change="Yes",Changes!ValidityYear&lt;=Table14[[#This Row],[Year]],Annulment&gt;Table14[[#This Row],[Year]],Changes!ChangeType="Paid-Up"),db!U80+0.02,db!U80)))),0)</f>
        <v>0</v>
      </c>
      <c r="CE78" s="40">
        <f>ROUND(IF(B78=0,0,((CC78)*(1+db!Y80))+((CE77)*(1+db!U80))),0)</f>
        <v>0</v>
      </c>
      <c r="CF78" s="40">
        <f t="shared" si="39"/>
        <v>0</v>
      </c>
      <c r="CG78" s="15">
        <f t="shared" si="35"/>
        <v>77</v>
      </c>
      <c r="CH78" s="39">
        <f>IF(B78=0,0,((CC78)*(1+db!AH80))+((CH77)*(1+db!AD80)))</f>
        <v>0</v>
      </c>
      <c r="CI78" s="39">
        <f>IF(B78=0,0,((CC78)*(1+db!AH80))+((CI77)*(1+db!AD80)))</f>
        <v>0</v>
      </c>
      <c r="CJ78" s="40">
        <f>IF(B78=0,0,((CC78)*(1+db!AO80))+((CJ77)*(1+db!AK80)))</f>
        <v>0</v>
      </c>
      <c r="CK78" s="40">
        <f>CJ78-(SUM(BX$7:$BX79))</f>
        <v>0</v>
      </c>
      <c r="CL78" s="46"/>
    </row>
    <row r="79" spans="1:90">
      <c r="A79" s="347">
        <f t="shared" si="36"/>
        <v>78</v>
      </c>
      <c r="B79" s="345">
        <f>IF(AND(Changes!Change="Yes", Changes!ChangeType="Change Contract Duration"),IF(B78=0,0,IF(Changes!NewChangedValue&lt;B78+1,0,B78+1)),IF(B78=0,0,IF('Application Annually'!$C$5&lt;B78+1,0,B78+1)))</f>
        <v>0</v>
      </c>
      <c r="C79" s="15">
        <f t="shared" si="37"/>
        <v>0</v>
      </c>
      <c r="D79" s="312">
        <f t="shared" si="38"/>
        <v>105</v>
      </c>
      <c r="E79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79" s="29">
        <f t="shared" si="28"/>
        <v>0</v>
      </c>
      <c r="G79" s="29">
        <f t="shared" si="29"/>
        <v>0</v>
      </c>
      <c r="H79" s="29">
        <f t="shared" si="20"/>
        <v>0</v>
      </c>
      <c r="I79" s="29">
        <f>IF(B79&gt;0,IF(AND(Table14[[#This Row],[Year]]&gt;Changes!ValidityYear,Changes!Change="Yes",Changes!ChangeType="Change Value Adjustment"),Changes!$G$22,'Application Annually'!$C$11),0)</f>
        <v>0</v>
      </c>
      <c r="J79" s="29">
        <f>IF(B79&gt;0,IF(AND(Table14[[#This Row],[Year]]&gt;Changes!ValidityYear,Changes!Change="Yes",Changes!ChangeType="Change Value Adjustment"),Changes!$G$24,'Application Annually'!$C$7),0)</f>
        <v>0</v>
      </c>
      <c r="K79" s="29">
        <f>ROUND(IF(B79=0,0,IF(AND(Changes!Change="Yes", Changes!ValidityYear=Table14[[#This Row],[Year]], Changes!ChangeType="Change Premium"), Changes!NewChangedValue, (K78*(1+db!$B$3)))),0)</f>
        <v>0</v>
      </c>
      <c r="L79" s="29">
        <f>ROUND(IF(B79=0,0,IF(AND(Changes!Change="Yes", Changes!ValidityYear=Table14[[#This Row],[Year]], Changes!ChangeType="Change Premium"), Changes!NewChangedValue, (L78*(1+Table14[[#This Row],[Adjustment Factor of Premium]]/100)))),0)</f>
        <v>0</v>
      </c>
      <c r="M79" s="29">
        <f>IF(Table14[[#This Row],[Year]]=1,ROUND(MIN($L$2 -( Table14[[#This Row],[Riders Risk Premiums]] + Table14[[#This Row],[Acquisition Cost]]) *0.75,Table14[[#This Row],[Death Capital (1)]]* 0.03),0),0)</f>
        <v>0</v>
      </c>
      <c r="N79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79" s="29">
        <f>ROUND(IF(ROW()-1&gt;InsurancePeriod,0,(O78*(1+(Table14[[#This Row],[Adjustment Factor of Premium]]/100)))),0)</f>
        <v>0</v>
      </c>
      <c r="P79" s="29">
        <f>IF(Table14[Year] = 0, 0, SUM(L$2:L79))</f>
        <v>0</v>
      </c>
      <c r="Q79" s="17">
        <f t="shared" si="21"/>
        <v>0</v>
      </c>
      <c r="R79" s="17">
        <f>IF(Table14[[#This Row],[Year]]=0,0,IF($C$2&lt;=50,LOOKUP(Table14[[#This Row],[Age]],db!BG80:BG186,db!BH80:BH186),LOOKUP(Table14[[#This Row],[Age]],db!BJ80:BJ186,db!BK80:BK186)))</f>
        <v>0</v>
      </c>
      <c r="S79" s="17">
        <f>IF(B79=0,0, IF(AND(Changes!Change="Yes", Changes!ValidityYear=Table14[[#This Row],[Year]], Changes!ChangeType="Change Death Capital"), Changes!NewChangedValue, S78*(1+(Table14[[#This Row],[Adjustment Factor of Death Capital]]/100))))</f>
        <v>0</v>
      </c>
      <c r="T79" s="17">
        <f>MIN(IF(B79=0,0,Table14[[#This Row],[Death Capital (1)]]),Table14[[#This Row],[Max Sum Insured For Death]])</f>
        <v>0</v>
      </c>
      <c r="U79" s="29">
        <f t="shared" si="30"/>
        <v>0</v>
      </c>
      <c r="V79" s="29">
        <f>IF(B79=0,0,IF(AND(Changes!Change="Yes", Changes!ValidityYear&lt;=Table14[[#This Row],[Year]], Changes!ChangeType="Rider Inclusion/Exclusion", Changes!RiderType="Accident Death"), T79*Changes!NewChangedValue,IF(db!$D$6="Yes",(db!$B$6)*T79,0)))</f>
        <v>0</v>
      </c>
      <c r="W79" s="29">
        <f>MIN(IF(V79&lt;=db!$L$2,V79,db!$L$2),MAX_ACC_CAPITAL)</f>
        <v>0</v>
      </c>
      <c r="X79" s="17">
        <f>IF(OR(B79=0,Table14[[#This Row],[Accident Capital (2)]]=0),0,IF(AND(Changes!Change="Yes", Changes!ValidityYear&lt;=Table14[[#This Row],[Year]], Changes!ChangeType="Rider Inclusion/Exclusion", Changes!RiderType="Accident Disability"), T79*Changes!NewChangedValue,IF(db!$D$7="Yes",(db!$B$7)*T79,0)))</f>
        <v>0</v>
      </c>
      <c r="Y79" s="42">
        <f>IF(C79&gt;69,0,IF(C79=0,0,IF(X79&lt;=db!$L$3,X79,db!$L$3)))</f>
        <v>0</v>
      </c>
      <c r="Z79" s="29">
        <f>IF(OR(B79=0,Table14[[#This Row],[Accident Capital (2)]]=0),0,IF(AND(Changes!Change="Yes", Changes!ValidityYear&lt;=Table14[[#This Row],[Year]], Changes!ChangeType="Rider Inclusion/Exclusion", Changes!RiderType="Accident Medical Cost"), T79*Changes!NewChangedValue,IF(db!$D$9="Yes",(db!$B$9)*T79,0)))</f>
        <v>0</v>
      </c>
      <c r="AA79" s="29">
        <f>ROUND(IF(C79&gt;69,0,IF(C79=0,0,IF(Z79&lt;=db!$L$4,Z79,db!$L$4))),0)</f>
        <v>0</v>
      </c>
      <c r="AB79" s="38">
        <f>IF(AND(Changes!Change = "Yes", Changes!ChangeType = "Rider Inclusion/Exclusion", Changes!RiderType = "WOP"), IF( Changes!ValidityYear &lt;= Table14[[#This Row],[Year]], IF(WOP = "Yes", 0, 1),  IF(WOP = "Yes", 1, 0)), IF(AND(db!$D$8="Yes",C79&lt;=69,ROW()-1&lt;=InsurancePeriod), 1, 0))</f>
        <v>0</v>
      </c>
      <c r="AC79" s="17">
        <f>(AC80+K80)*AB79*((1)/(1+db!AA81))*(LOOKUP(C79,'Mortality Table'!$A$2:$A$108,'Mortality Table'!$E$2:$E$108))</f>
        <v>0</v>
      </c>
      <c r="AD79" s="340">
        <f>IF(AND(Changes!ValidityYear&lt;= Table14[[#This Row],[Year]],Changes!ChangeType="Change Value Adjustment",Changes!Change="Yes"), (AD80+L80)*AB79*((1)/(1+db!AA81))*(LOOKUP(C79,'Mortality Table'!$A$2:$A$108,'Mortality Table'!$E$2:$E$108)),Table14[[#This Row],[WOP Before Adj. BT]])</f>
        <v>0</v>
      </c>
      <c r="AE79" s="341">
        <f>IF(AND(Changes!Change="Yes", Changes!ChangeType="Change Value Adjustment"),Table14[[#This Row],[WOP Capital]],(AE80+O80)*AB79*((1)/(1+db!AA81))*(LOOKUP(D79,'Mortality Table'!$A$2:$A$108,'Mortality Table'!$E$2:$E$108)))</f>
        <v>0</v>
      </c>
      <c r="AF79" s="17">
        <f>IF(AND(Changes!Change="Yes", Changes!ValidityYear&lt;=ROW()-1),Table14[[#This Row],[WOP Capital]],Table14[[#This Row],[WOP without change]])</f>
        <v>0</v>
      </c>
      <c r="AG79" s="42">
        <f>IF(AND(Changes!Change="Yes", Changes!ValidityYear&lt;=Table14[[#This Row],[Year]], Changes!ChangeType="Rider Inclusion/Exclusion", Changes!RiderType="Disability Annuity"), L79*Changes!NewChangedValue,L79*db!B$10*IF(db!$D$10="Yes",1,0))</f>
        <v>0</v>
      </c>
      <c r="AH79" s="29">
        <f>Table14[[#This Row],[Code Annuity Capital]]*IF('Annual Calculation'!C79&gt;69,0,(LOOKUP('Annual Calculation'!C79+1,'Mortality Table'!$A$2:$A$108,'Mortality Table'!$O$2:$O$108)-LOOKUP('Annual Calculation'!C79+11,'Mortality Table'!$A$2:$A$108,'Mortality Table'!$O$2:$O$108))/LOOKUP('Annual Calculation'!C79,'Mortality Table'!$A$2:$A$108,'Mortality Table'!$M$2:$M$108))</f>
        <v>0</v>
      </c>
      <c r="AI79" s="17">
        <f>IF(B79=0,0,IF(AND(Changes!Change="Yes", Changes!ValidityYear&lt;=Table14[[#This Row],[Year]], Changes!ChangeType="Rider Inclusion/Exclusion", Changes!RiderType="Dread Disease"), T79*Changes!NewChangedValue,IF(db!$D$11="Yes",(db!$B$11)*T79,0)))</f>
        <v>0</v>
      </c>
      <c r="AJ79" s="42">
        <f>ROUND(IF(C79&gt;59,0,IF(C79=0,0,IF(AI79&lt;=db!$L$5,AI79,db!$L$5))),0)</f>
        <v>0</v>
      </c>
      <c r="AK79" s="29">
        <f>IF(B79=0,0,IF(AND(Changes!Change="Yes", Changes!ValidityYear&lt;=Table14[[#This Row],[Year]], Changes!ChangeType="Rider Inclusion/Exclusion", Changes!RiderType="Cancer"), T79*Changes!NewChangedValue,IF(db!$D$12="Yes",(db!$B$12)*T79,0)))</f>
        <v>0</v>
      </c>
      <c r="AL79" s="29">
        <f>ROUND(IF(C79&gt;59,0,IF(C79=0,0,IF(AK79&lt;=db!$L$6,AK79,db!$L$6))),0)</f>
        <v>0</v>
      </c>
      <c r="AM79" s="32"/>
      <c r="AN79" s="18">
        <f>IF(B79=0,0,IF(C79&lt;(db!$E$2+5),LOOKUP(C79,'Mortality Table'!$A$2:$A$108,'Mortality Table'!$P$2:$P$108),IF((C79&gt;=db!$E$2+10),LOOKUP(C79,'Mortality Table'!$A$2:$A$108,'Mortality Table'!$R$2:$R$108),LOOKUP(C79,'Mortality Table'!$A$2:$A$108,'Mortality Table'!$Q$2:$Q$108))))</f>
        <v>0</v>
      </c>
      <c r="AO79" s="22">
        <f t="shared" si="22"/>
        <v>0</v>
      </c>
      <c r="AP79" s="19">
        <f>IF(B79=0,0, LOOKUP(IF(AND(Changes!Change="Yes", Changes!ValidityYear&lt;=Table14[[#This Row],[Year]], Changes!ChangeType="Change Job Class"),Changes!NewChangedValue, db!$A$8),db!$AX$4:$AX$8,db!$AY$4:$AY$8))</f>
        <v>0</v>
      </c>
      <c r="AQ79" s="20">
        <f>ROUND((AP79/1000)*W79 * (1-db!$AS$9),0)</f>
        <v>0</v>
      </c>
      <c r="AR79" s="20">
        <f>(AP79/1000)*W79 * db!$AS$9</f>
        <v>0</v>
      </c>
      <c r="AS79" s="21">
        <f>IF(B79=0,0, LOOKUP(IF(AND(Changes!Change="Yes", Changes!ValidityYear&lt;=Table14[[#This Row],[Year]], Changes!ChangeType="Change Job Class"),Changes!NewChangedValue, db!$A$8),db!$AX$4:$AX$8,db!$AZ$4:$AZ$8))</f>
        <v>0</v>
      </c>
      <c r="AT79" s="22">
        <f>(AS79/1000)*Y79*(1-db!$AS$9)</f>
        <v>0</v>
      </c>
      <c r="AU79" s="22">
        <f>(AS79/1000)*Y79*(db!$AS$9)</f>
        <v>0</v>
      </c>
      <c r="AV79" s="23">
        <f>IF(B79=0,0, LOOKUP(IF(AND(Changes!Change="Yes", Changes!ValidityYear&lt;=Table14[[#This Row],[Year]], Changes!ChangeType="Change Job Class"),Changes!NewChangedValue, db!$A$8),db!$AX$4:$AX$8,db!$BA$4:$BA$8))</f>
        <v>0</v>
      </c>
      <c r="AW79" s="20">
        <f>ROUND((AV79/(100))*AA79*(1-db!$AS$9),0)</f>
        <v>0</v>
      </c>
      <c r="AX79" s="20">
        <f>ROUND((AV79/(100))*AA79*(db!$AS$9),0)</f>
        <v>0</v>
      </c>
      <c r="AY79" s="21">
        <f>IF(db!$D$8="Yes",AS79,0)</f>
        <v>0</v>
      </c>
      <c r="AZ79" s="22">
        <f>(AY79*AF79)/1000*(1-db!$AS$9)</f>
        <v>0</v>
      </c>
      <c r="BA79" s="22">
        <f>(AY79*AF79)/1000*(db!$AS$9)</f>
        <v>0</v>
      </c>
      <c r="BB79" s="23">
        <f t="shared" si="23"/>
        <v>0</v>
      </c>
      <c r="BC79" s="20">
        <f>(BB79*AH79/1000)*(1-db!$AS$9)</f>
        <v>0</v>
      </c>
      <c r="BD79" s="20">
        <f>(BB79*AH79/1000)*(db!$AS$9)</f>
        <v>0</v>
      </c>
      <c r="BE79" s="22">
        <f>IF(B79=0,0,IF(C79&gt;60,0,LOOKUP(Table14[[#This Row],[Medical
Age]],db!$BC$3:$BC$63,db!$BD$3:$BD$63)))</f>
        <v>0</v>
      </c>
      <c r="BF79" s="22">
        <f>BG79*db!$AS$10</f>
        <v>0</v>
      </c>
      <c r="BG79" s="22">
        <f t="shared" si="24"/>
        <v>0</v>
      </c>
      <c r="BH79" s="22">
        <f>(BE79/1000000)*AJ79*(1-db!$AS$10)</f>
        <v>0</v>
      </c>
      <c r="BI79" s="20">
        <f>IF(B79=0,0,IF(C79&gt;59,0,LOOKUP(Table14[[#This Row],[Medical
Age]],db!$BC$3:$BC$63,db!$BE$3:$BE$63)))</f>
        <v>0</v>
      </c>
      <c r="BJ79" s="20">
        <f>(BI79/1000000)*AL79*(1-db!$AS$11)</f>
        <v>0</v>
      </c>
      <c r="BK79" s="20">
        <f>(BI79/1000000)*AL79*(db!$AS$11)</f>
        <v>0</v>
      </c>
      <c r="BL79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79" s="20">
        <f>Table14[[#This Row],[RiskLoading
Rate]]*Table14[[#This Row],[Death Capital (2)]]</f>
        <v>0</v>
      </c>
      <c r="BN79" s="36"/>
      <c r="BO79" s="37">
        <f t="shared" si="25"/>
        <v>0</v>
      </c>
      <c r="BP79" s="35">
        <f t="shared" si="26"/>
        <v>0</v>
      </c>
      <c r="BQ79" s="35">
        <f t="shared" si="27"/>
        <v>0</v>
      </c>
      <c r="BR79" s="37">
        <f t="shared" si="31"/>
        <v>0</v>
      </c>
      <c r="BS79" s="37">
        <f t="shared" si="32"/>
        <v>0</v>
      </c>
      <c r="BT79" s="35">
        <f t="shared" si="33"/>
        <v>0</v>
      </c>
      <c r="BU79" s="35">
        <f t="shared" si="34"/>
        <v>0</v>
      </c>
      <c r="BV79" s="37">
        <f>(db!$AS$4/100)*(L79-BT79-BU79)</f>
        <v>0</v>
      </c>
      <c r="BW79" s="37">
        <f>(db!$AS$8/100)*(L79-BT79-BU79)</f>
        <v>0</v>
      </c>
      <c r="BX79" s="35"/>
      <c r="BY79" s="37"/>
      <c r="BZ79" s="37"/>
      <c r="CA79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79" s="33"/>
      <c r="CC79" s="39">
        <f>ROUND((Table14[[#This Row],[Premium]]-Table14[[#This Row],[All Deductions]]),0)</f>
        <v>0</v>
      </c>
      <c r="CD79" s="40">
        <f>ROUND(IF(B79=0,0,((CC79)*(1+ IF(AND(Changes!Change="Yes",Changes!ValidityYear&lt;=Table14[[#This Row],[Year]],Annulment&gt;Table14[[#This Row],[Year]],Changes!ChangeType="Paid-Up"),db!Y81+0.02,db!Y81)))+((CD78)*(1+IF(AND(Changes!Change="Yes",Changes!ValidityYear&lt;=Table14[[#This Row],[Year]],Annulment&gt;Table14[[#This Row],[Year]],Changes!ChangeType="Paid-Up"),db!U81+0.02,db!U81)))),0)</f>
        <v>0</v>
      </c>
      <c r="CE79" s="40">
        <f>ROUND(IF(B79=0,0,((CC79)*(1+db!Y81))+((CE78)*(1+db!U81))),0)</f>
        <v>0</v>
      </c>
      <c r="CF79" s="40">
        <f t="shared" si="39"/>
        <v>0</v>
      </c>
      <c r="CG79" s="15">
        <f t="shared" si="35"/>
        <v>78</v>
      </c>
      <c r="CH79" s="39">
        <f>IF(B79=0,0,((CC79)*(1+db!AH81))+((CH78)*(1+db!AD81)))</f>
        <v>0</v>
      </c>
      <c r="CI79" s="39">
        <f>IF(B79=0,0,((CC79)*(1+db!AH81))+((CI78)*(1+db!AD81)))</f>
        <v>0</v>
      </c>
      <c r="CJ79" s="40">
        <f>IF(B79=0,0,((CC79)*(1+db!AO81))+((CJ78)*(1+db!AK81)))</f>
        <v>0</v>
      </c>
      <c r="CK79" s="40">
        <f>CJ79-(SUM(BX$7:$BX80))</f>
        <v>0</v>
      </c>
      <c r="CL79" s="46"/>
    </row>
    <row r="80" spans="1:90">
      <c r="A80" s="347">
        <f t="shared" si="36"/>
        <v>79</v>
      </c>
      <c r="B80" s="345">
        <f>IF(AND(Changes!Change="Yes", Changes!ChangeType="Change Contract Duration"),IF(B79=0,0,IF(Changes!NewChangedValue&lt;B79+1,0,B79+1)),IF(B79=0,0,IF('Application Annually'!$C$5&lt;B79+1,0,B79+1)))</f>
        <v>0</v>
      </c>
      <c r="C80" s="15">
        <f t="shared" si="37"/>
        <v>0</v>
      </c>
      <c r="D80" s="312">
        <f t="shared" si="38"/>
        <v>106</v>
      </c>
      <c r="E80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80" s="29">
        <f t="shared" si="28"/>
        <v>0</v>
      </c>
      <c r="G80" s="29">
        <f t="shared" si="29"/>
        <v>0</v>
      </c>
      <c r="H80" s="29">
        <f t="shared" si="20"/>
        <v>0</v>
      </c>
      <c r="I80" s="29">
        <f>IF(B80&gt;0,IF(AND(Table14[[#This Row],[Year]]&gt;Changes!ValidityYear,Changes!Change="Yes",Changes!ChangeType="Change Value Adjustment"),Changes!$G$22,'Application Annually'!$C$11),0)</f>
        <v>0</v>
      </c>
      <c r="J80" s="29">
        <f>IF(B80&gt;0,IF(AND(Table14[[#This Row],[Year]]&gt;Changes!ValidityYear,Changes!Change="Yes",Changes!ChangeType="Change Value Adjustment"),Changes!$G$24,'Application Annually'!$C$7),0)</f>
        <v>0</v>
      </c>
      <c r="K80" s="29">
        <f>ROUND(IF(B80=0,0,IF(AND(Changes!Change="Yes", Changes!ValidityYear=Table14[[#This Row],[Year]], Changes!ChangeType="Change Premium"), Changes!NewChangedValue, (K79*(1+db!$B$3)))),0)</f>
        <v>0</v>
      </c>
      <c r="L80" s="29">
        <f>ROUND(IF(B80=0,0,IF(AND(Changes!Change="Yes", Changes!ValidityYear=Table14[[#This Row],[Year]], Changes!ChangeType="Change Premium"), Changes!NewChangedValue, (L79*(1+Table14[[#This Row],[Adjustment Factor of Premium]]/100)))),0)</f>
        <v>0</v>
      </c>
      <c r="M80" s="29">
        <f>IF(Table14[[#This Row],[Year]]=1,ROUND(MIN($L$2 -( Table14[[#This Row],[Riders Risk Premiums]] + Table14[[#This Row],[Acquisition Cost]]) *0.75,Table14[[#This Row],[Death Capital (1)]]* 0.03),0),0)</f>
        <v>0</v>
      </c>
      <c r="N80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80" s="29">
        <f>ROUND(IF(ROW()-1&gt;InsurancePeriod,0,(O79*(1+(Table14[[#This Row],[Adjustment Factor of Premium]]/100)))),0)</f>
        <v>0</v>
      </c>
      <c r="P80" s="29">
        <f>IF(Table14[Year] = 0, 0, SUM(L$2:L80))</f>
        <v>0</v>
      </c>
      <c r="Q80" s="17">
        <f t="shared" si="21"/>
        <v>0</v>
      </c>
      <c r="R80" s="17">
        <f>IF(Table14[[#This Row],[Year]]=0,0,IF($C$2&lt;=50,LOOKUP(Table14[[#This Row],[Age]],db!BG81:BG187,db!BH81:BH187),LOOKUP(Table14[[#This Row],[Age]],db!BJ81:BJ187,db!BK81:BK187)))</f>
        <v>0</v>
      </c>
      <c r="S80" s="17">
        <f>IF(B80=0,0, IF(AND(Changes!Change="Yes", Changes!ValidityYear=Table14[[#This Row],[Year]], Changes!ChangeType="Change Death Capital"), Changes!NewChangedValue, S79*(1+(Table14[[#This Row],[Adjustment Factor of Death Capital]]/100))))</f>
        <v>0</v>
      </c>
      <c r="T80" s="17">
        <f>MIN(IF(B80=0,0,Table14[[#This Row],[Death Capital (1)]]),Table14[[#This Row],[Max Sum Insured For Death]])</f>
        <v>0</v>
      </c>
      <c r="U80" s="29">
        <f t="shared" si="30"/>
        <v>0</v>
      </c>
      <c r="V80" s="29">
        <f>IF(B80=0,0,IF(AND(Changes!Change="Yes", Changes!ValidityYear&lt;=Table14[[#This Row],[Year]], Changes!ChangeType="Rider Inclusion/Exclusion", Changes!RiderType="Accident Death"), T80*Changes!NewChangedValue,IF(db!$D$6="Yes",(db!$B$6)*T80,0)))</f>
        <v>0</v>
      </c>
      <c r="W80" s="29">
        <f>MIN(IF(V80&lt;=db!$L$2,V80,db!$L$2),MAX_ACC_CAPITAL)</f>
        <v>0</v>
      </c>
      <c r="X80" s="17">
        <f>IF(OR(B80=0,Table14[[#This Row],[Accident Capital (2)]]=0),0,IF(AND(Changes!Change="Yes", Changes!ValidityYear&lt;=Table14[[#This Row],[Year]], Changes!ChangeType="Rider Inclusion/Exclusion", Changes!RiderType="Accident Disability"), T80*Changes!NewChangedValue,IF(db!$D$7="Yes",(db!$B$7)*T80,0)))</f>
        <v>0</v>
      </c>
      <c r="Y80" s="42">
        <f>IF(C80&gt;69,0,IF(C80=0,0,IF(X80&lt;=db!$L$3,X80,db!$L$3)))</f>
        <v>0</v>
      </c>
      <c r="Z80" s="29">
        <f>IF(OR(B80=0,Table14[[#This Row],[Accident Capital (2)]]=0),0,IF(AND(Changes!Change="Yes", Changes!ValidityYear&lt;=Table14[[#This Row],[Year]], Changes!ChangeType="Rider Inclusion/Exclusion", Changes!RiderType="Accident Medical Cost"), T80*Changes!NewChangedValue,IF(db!$D$9="Yes",(db!$B$9)*T80,0)))</f>
        <v>0</v>
      </c>
      <c r="AA80" s="29">
        <f>ROUND(IF(C80&gt;69,0,IF(C80=0,0,IF(Z80&lt;=db!$L$4,Z80,db!$L$4))),0)</f>
        <v>0</v>
      </c>
      <c r="AB80" s="38">
        <f>IF(AND(Changes!Change = "Yes", Changes!ChangeType = "Rider Inclusion/Exclusion", Changes!RiderType = "WOP"), IF( Changes!ValidityYear &lt;= Table14[[#This Row],[Year]], IF(WOP = "Yes", 0, 1),  IF(WOP = "Yes", 1, 0)), IF(AND(db!$D$8="Yes",C80&lt;=69,ROW()-1&lt;=InsurancePeriod), 1, 0))</f>
        <v>0</v>
      </c>
      <c r="AC80" s="17">
        <f>(AC81+K81)*AB80*((1)/(1+db!AA82))*(LOOKUP(C80,'Mortality Table'!$A$2:$A$108,'Mortality Table'!$E$2:$E$108))</f>
        <v>0</v>
      </c>
      <c r="AD80" s="340">
        <f>IF(AND(Changes!ValidityYear&lt;= Table14[[#This Row],[Year]],Changes!ChangeType="Change Value Adjustment",Changes!Change="Yes"), (AD81+L81)*AB80*((1)/(1+db!AA82))*(LOOKUP(C80,'Mortality Table'!$A$2:$A$108,'Mortality Table'!$E$2:$E$108)),Table14[[#This Row],[WOP Before Adj. BT]])</f>
        <v>0</v>
      </c>
      <c r="AE80" s="341">
        <f>IF(AND(Changes!Change="Yes", Changes!ChangeType="Change Value Adjustment"),Table14[[#This Row],[WOP Capital]],(AE81+O81)*AB80*((1)/(1+db!AA82))*(LOOKUP(D80,'Mortality Table'!$A$2:$A$108,'Mortality Table'!$E$2:$E$108)))</f>
        <v>0</v>
      </c>
      <c r="AF80" s="17">
        <f>IF(AND(Changes!Change="Yes", Changes!ValidityYear&lt;=ROW()-1),Table14[[#This Row],[WOP Capital]],Table14[[#This Row],[WOP without change]])</f>
        <v>0</v>
      </c>
      <c r="AG80" s="42">
        <f>IF(AND(Changes!Change="Yes", Changes!ValidityYear&lt;=Table14[[#This Row],[Year]], Changes!ChangeType="Rider Inclusion/Exclusion", Changes!RiderType="Disability Annuity"), L80*Changes!NewChangedValue,L80*db!B$10*IF(db!$D$10="Yes",1,0))</f>
        <v>0</v>
      </c>
      <c r="AH80" s="29">
        <f>Table14[[#This Row],[Code Annuity Capital]]*IF('Annual Calculation'!C80&gt;69,0,(LOOKUP('Annual Calculation'!C80+1,'Mortality Table'!$A$2:$A$108,'Mortality Table'!$O$2:$O$108)-LOOKUP('Annual Calculation'!C80+11,'Mortality Table'!$A$2:$A$108,'Mortality Table'!$O$2:$O$108))/LOOKUP('Annual Calculation'!C80,'Mortality Table'!$A$2:$A$108,'Mortality Table'!$M$2:$M$108))</f>
        <v>0</v>
      </c>
      <c r="AI80" s="17">
        <f>IF(B80=0,0,IF(AND(Changes!Change="Yes", Changes!ValidityYear&lt;=Table14[[#This Row],[Year]], Changes!ChangeType="Rider Inclusion/Exclusion", Changes!RiderType="Dread Disease"), T80*Changes!NewChangedValue,IF(db!$D$11="Yes",(db!$B$11)*T80,0)))</f>
        <v>0</v>
      </c>
      <c r="AJ80" s="42">
        <f>ROUND(IF(C80&gt;59,0,IF(C80=0,0,IF(AI80&lt;=db!$L$5,AI80,db!$L$5))),0)</f>
        <v>0</v>
      </c>
      <c r="AK80" s="29">
        <f>IF(B80=0,0,IF(AND(Changes!Change="Yes", Changes!ValidityYear&lt;=Table14[[#This Row],[Year]], Changes!ChangeType="Rider Inclusion/Exclusion", Changes!RiderType="Cancer"), T80*Changes!NewChangedValue,IF(db!$D$12="Yes",(db!$B$12)*T80,0)))</f>
        <v>0</v>
      </c>
      <c r="AL80" s="29">
        <f>ROUND(IF(C80&gt;59,0,IF(C80=0,0,IF(AK80&lt;=db!$L$6,AK80,db!$L$6))),0)</f>
        <v>0</v>
      </c>
      <c r="AM80" s="32"/>
      <c r="AN80" s="18">
        <f>IF(B80=0,0,IF(C80&lt;(db!$E$2+5),LOOKUP(C80,'Mortality Table'!$A$2:$A$108,'Mortality Table'!$P$2:$P$108),IF((C80&gt;=db!$E$2+10),LOOKUP(C80,'Mortality Table'!$A$2:$A$108,'Mortality Table'!$R$2:$R$108),LOOKUP(C80,'Mortality Table'!$A$2:$A$108,'Mortality Table'!$Q$2:$Q$108))))</f>
        <v>0</v>
      </c>
      <c r="AO80" s="22">
        <f t="shared" si="22"/>
        <v>0</v>
      </c>
      <c r="AP80" s="19">
        <f>IF(B80=0,0, LOOKUP(IF(AND(Changes!Change="Yes", Changes!ValidityYear&lt;=Table14[[#This Row],[Year]], Changes!ChangeType="Change Job Class"),Changes!NewChangedValue, db!$A$8),db!$AX$4:$AX$8,db!$AY$4:$AY$8))</f>
        <v>0</v>
      </c>
      <c r="AQ80" s="20">
        <f>ROUND((AP80/1000)*W80 * (1-db!$AS$9),0)</f>
        <v>0</v>
      </c>
      <c r="AR80" s="20">
        <f>(AP80/1000)*W80 * db!$AS$9</f>
        <v>0</v>
      </c>
      <c r="AS80" s="21">
        <f>IF(B80=0,0, LOOKUP(IF(AND(Changes!Change="Yes", Changes!ValidityYear&lt;=Table14[[#This Row],[Year]], Changes!ChangeType="Change Job Class"),Changes!NewChangedValue, db!$A$8),db!$AX$4:$AX$8,db!$AZ$4:$AZ$8))</f>
        <v>0</v>
      </c>
      <c r="AT80" s="22">
        <f>(AS80/1000)*Y80*(1-db!$AS$9)</f>
        <v>0</v>
      </c>
      <c r="AU80" s="22">
        <f>(AS80/1000)*Y80*(db!$AS$9)</f>
        <v>0</v>
      </c>
      <c r="AV80" s="23">
        <f>IF(B80=0,0, LOOKUP(IF(AND(Changes!Change="Yes", Changes!ValidityYear&lt;=Table14[[#This Row],[Year]], Changes!ChangeType="Change Job Class"),Changes!NewChangedValue, db!$A$8),db!$AX$4:$AX$8,db!$BA$4:$BA$8))</f>
        <v>0</v>
      </c>
      <c r="AW80" s="20">
        <f>ROUND((AV80/(100))*AA80*(1-db!$AS$9),0)</f>
        <v>0</v>
      </c>
      <c r="AX80" s="20">
        <f>ROUND((AV80/(100))*AA80*(db!$AS$9),0)</f>
        <v>0</v>
      </c>
      <c r="AY80" s="21">
        <f>IF(db!$D$8="Yes",AS80,0)</f>
        <v>0</v>
      </c>
      <c r="AZ80" s="22">
        <f>(AY80*AF80)/1000*(1-db!$AS$9)</f>
        <v>0</v>
      </c>
      <c r="BA80" s="22">
        <f>(AY80*AF80)/1000*(db!$AS$9)</f>
        <v>0</v>
      </c>
      <c r="BB80" s="23">
        <f t="shared" si="23"/>
        <v>0</v>
      </c>
      <c r="BC80" s="20">
        <f>(BB80*AH80/1000)*(1-db!$AS$9)</f>
        <v>0</v>
      </c>
      <c r="BD80" s="20">
        <f>(BB80*AH80/1000)*(db!$AS$9)</f>
        <v>0</v>
      </c>
      <c r="BE80" s="22">
        <f>IF(B80=0,0,IF(C80&gt;60,0,LOOKUP(Table14[[#This Row],[Medical
Age]],db!$BC$3:$BC$63,db!$BD$3:$BD$63)))</f>
        <v>0</v>
      </c>
      <c r="BF80" s="22">
        <f>BG80*db!$AS$10</f>
        <v>0</v>
      </c>
      <c r="BG80" s="22">
        <f t="shared" si="24"/>
        <v>0</v>
      </c>
      <c r="BH80" s="22">
        <f>(BE80/1000000)*AJ80*(1-db!$AS$10)</f>
        <v>0</v>
      </c>
      <c r="BI80" s="20">
        <f>IF(B80=0,0,IF(C80&gt;59,0,LOOKUP(Table14[[#This Row],[Medical
Age]],db!$BC$3:$BC$63,db!$BE$3:$BE$63)))</f>
        <v>0</v>
      </c>
      <c r="BJ80" s="20">
        <f>(BI80/1000000)*AL80*(1-db!$AS$11)</f>
        <v>0</v>
      </c>
      <c r="BK80" s="20">
        <f>(BI80/1000000)*AL80*(db!$AS$11)</f>
        <v>0</v>
      </c>
      <c r="BL80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80" s="20">
        <f>Table14[[#This Row],[RiskLoading
Rate]]*Table14[[#This Row],[Death Capital (2)]]</f>
        <v>0</v>
      </c>
      <c r="BN80" s="36"/>
      <c r="BO80" s="37">
        <f t="shared" si="25"/>
        <v>0</v>
      </c>
      <c r="BP80" s="35">
        <f t="shared" si="26"/>
        <v>0</v>
      </c>
      <c r="BQ80" s="35">
        <f t="shared" si="27"/>
        <v>0</v>
      </c>
      <c r="BR80" s="37">
        <f t="shared" si="31"/>
        <v>0</v>
      </c>
      <c r="BS80" s="37">
        <f t="shared" si="32"/>
        <v>0</v>
      </c>
      <c r="BT80" s="35">
        <f t="shared" si="33"/>
        <v>0</v>
      </c>
      <c r="BU80" s="35">
        <f t="shared" si="34"/>
        <v>0</v>
      </c>
      <c r="BV80" s="37">
        <f>(db!$AS$4/100)*(L80-BT80-BU80)</f>
        <v>0</v>
      </c>
      <c r="BW80" s="37">
        <f>(db!$AS$8/100)*(L80-BT80-BU80)</f>
        <v>0</v>
      </c>
      <c r="BX80" s="35"/>
      <c r="BY80" s="37"/>
      <c r="BZ80" s="37"/>
      <c r="CA80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80" s="33"/>
      <c r="CC80" s="39">
        <f>ROUND((Table14[[#This Row],[Premium]]-Table14[[#This Row],[All Deductions]]),0)</f>
        <v>0</v>
      </c>
      <c r="CD80" s="40">
        <f>ROUND(IF(B80=0,0,((CC80)*(1+ IF(AND(Changes!Change="Yes",Changes!ValidityYear&lt;=Table14[[#This Row],[Year]],Annulment&gt;Table14[[#This Row],[Year]],Changes!ChangeType="Paid-Up"),db!Y82+0.02,db!Y82)))+((CD79)*(1+IF(AND(Changes!Change="Yes",Changes!ValidityYear&lt;=Table14[[#This Row],[Year]],Annulment&gt;Table14[[#This Row],[Year]],Changes!ChangeType="Paid-Up"),db!U82+0.02,db!U82)))),0)</f>
        <v>0</v>
      </c>
      <c r="CE80" s="40">
        <f>ROUND(IF(B80=0,0,((CC80)*(1+db!Y82))+((CE79)*(1+db!U82))),0)</f>
        <v>0</v>
      </c>
      <c r="CF80" s="40">
        <f t="shared" si="39"/>
        <v>0</v>
      </c>
      <c r="CG80" s="15">
        <f t="shared" si="35"/>
        <v>79</v>
      </c>
      <c r="CH80" s="39">
        <f>IF(B80=0,0,((CC80)*(1+db!AH82))+((CH79)*(1+db!AD82)))</f>
        <v>0</v>
      </c>
      <c r="CI80" s="39">
        <f>IF(B80=0,0,((CC80)*(1+db!AH82))+((CI79)*(1+db!AD82)))</f>
        <v>0</v>
      </c>
      <c r="CJ80" s="40">
        <f>IF(B80=0,0,((CC80)*(1+db!AO82))+((CJ79)*(1+db!AK82)))</f>
        <v>0</v>
      </c>
      <c r="CK80" s="40">
        <f>CJ80-(SUM(BX$7:$BX81))</f>
        <v>0</v>
      </c>
      <c r="CL80" s="46"/>
    </row>
    <row r="81" spans="1:90">
      <c r="A81" s="347">
        <f t="shared" si="36"/>
        <v>80</v>
      </c>
      <c r="B81" s="345">
        <f>IF(AND(Changes!Change="Yes", Changes!ChangeType="Change Contract Duration"),IF(B80=0,0,IF(Changes!NewChangedValue&lt;B80+1,0,B80+1)),IF(B80=0,0,IF('Application Annually'!$C$5&lt;B80+1,0,B80+1)))</f>
        <v>0</v>
      </c>
      <c r="C81" s="15">
        <f t="shared" si="37"/>
        <v>0</v>
      </c>
      <c r="D81" s="312">
        <f t="shared" si="38"/>
        <v>107</v>
      </c>
      <c r="E81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81" s="29">
        <f t="shared" si="28"/>
        <v>0</v>
      </c>
      <c r="G81" s="29">
        <f t="shared" si="29"/>
        <v>0</v>
      </c>
      <c r="H81" s="29">
        <f t="shared" si="20"/>
        <v>0</v>
      </c>
      <c r="I81" s="29">
        <f>IF(B81&gt;0,IF(AND(Table14[[#This Row],[Year]]&gt;Changes!ValidityYear,Changes!Change="Yes",Changes!ChangeType="Change Value Adjustment"),Changes!$G$22,'Application Annually'!$C$11),0)</f>
        <v>0</v>
      </c>
      <c r="J81" s="29">
        <f>IF(B81&gt;0,IF(AND(Table14[[#This Row],[Year]]&gt;Changes!ValidityYear,Changes!Change="Yes",Changes!ChangeType="Change Value Adjustment"),Changes!$G$24,'Application Annually'!$C$7),0)</f>
        <v>0</v>
      </c>
      <c r="K81" s="29">
        <f>ROUND(IF(B81=0,0,IF(AND(Changes!Change="Yes", Changes!ValidityYear=Table14[[#This Row],[Year]], Changes!ChangeType="Change Premium"), Changes!NewChangedValue, (K80*(1+db!$B$3)))),0)</f>
        <v>0</v>
      </c>
      <c r="L81" s="29">
        <f>ROUND(IF(B81=0,0,IF(AND(Changes!Change="Yes", Changes!ValidityYear=Table14[[#This Row],[Year]], Changes!ChangeType="Change Premium"), Changes!NewChangedValue, (L80*(1+Table14[[#This Row],[Adjustment Factor of Premium]]/100)))),0)</f>
        <v>0</v>
      </c>
      <c r="M81" s="29">
        <f>IF(Table14[[#This Row],[Year]]=1,ROUND(MIN($L$2 -( Table14[[#This Row],[Riders Risk Premiums]] + Table14[[#This Row],[Acquisition Cost]]) *0.75,Table14[[#This Row],[Death Capital (1)]]* 0.03),0),0)</f>
        <v>0</v>
      </c>
      <c r="N81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81" s="29">
        <f>ROUND(IF(ROW()-1&gt;InsurancePeriod,0,(O80*(1+(Table14[[#This Row],[Adjustment Factor of Premium]]/100)))),0)</f>
        <v>0</v>
      </c>
      <c r="P81" s="29">
        <f>IF(Table14[Year] = 0, 0, SUM(L$2:L81))</f>
        <v>0</v>
      </c>
      <c r="Q81" s="17">
        <f t="shared" si="21"/>
        <v>0</v>
      </c>
      <c r="R81" s="17">
        <f>IF(Table14[[#This Row],[Year]]=0,0,IF($C$2&lt;=50,LOOKUP(Table14[[#This Row],[Age]],db!BG82:BG188,db!BH82:BH188),LOOKUP(Table14[[#This Row],[Age]],db!BJ82:BJ188,db!BK82:BK188)))</f>
        <v>0</v>
      </c>
      <c r="S81" s="17">
        <f>IF(B81=0,0, IF(AND(Changes!Change="Yes", Changes!ValidityYear=Table14[[#This Row],[Year]], Changes!ChangeType="Change Death Capital"), Changes!NewChangedValue, S80*(1+(Table14[[#This Row],[Adjustment Factor of Death Capital]]/100))))</f>
        <v>0</v>
      </c>
      <c r="T81" s="17">
        <f>MIN(IF(B81=0,0,Table14[[#This Row],[Death Capital (1)]]),Table14[[#This Row],[Max Sum Insured For Death]])</f>
        <v>0</v>
      </c>
      <c r="U81" s="29">
        <f t="shared" si="30"/>
        <v>0</v>
      </c>
      <c r="V81" s="29">
        <f>IF(B81=0,0,IF(AND(Changes!Change="Yes", Changes!ValidityYear&lt;=Table14[[#This Row],[Year]], Changes!ChangeType="Rider Inclusion/Exclusion", Changes!RiderType="Accident Death"), T81*Changes!NewChangedValue,IF(db!$D$6="Yes",(db!$B$6)*T81,0)))</f>
        <v>0</v>
      </c>
      <c r="W81" s="29">
        <f>MIN(IF(V81&lt;=db!$L$2,V81,db!$L$2),MAX_ACC_CAPITAL)</f>
        <v>0</v>
      </c>
      <c r="X81" s="17">
        <f>IF(OR(B81=0,Table14[[#This Row],[Accident Capital (2)]]=0),0,IF(AND(Changes!Change="Yes", Changes!ValidityYear&lt;=Table14[[#This Row],[Year]], Changes!ChangeType="Rider Inclusion/Exclusion", Changes!RiderType="Accident Disability"), T81*Changes!NewChangedValue,IF(db!$D$7="Yes",(db!$B$7)*T81,0)))</f>
        <v>0</v>
      </c>
      <c r="Y81" s="42">
        <f>IF(C81&gt;69,0,IF(C81=0,0,IF(X81&lt;=db!$L$3,X81,db!$L$3)))</f>
        <v>0</v>
      </c>
      <c r="Z81" s="29">
        <f>IF(OR(B81=0,Table14[[#This Row],[Accident Capital (2)]]=0),0,IF(AND(Changes!Change="Yes", Changes!ValidityYear&lt;=Table14[[#This Row],[Year]], Changes!ChangeType="Rider Inclusion/Exclusion", Changes!RiderType="Accident Medical Cost"), T81*Changes!NewChangedValue,IF(db!$D$9="Yes",(db!$B$9)*T81,0)))</f>
        <v>0</v>
      </c>
      <c r="AA81" s="29">
        <f>ROUND(IF(C81&gt;69,0,IF(C81=0,0,IF(Z81&lt;=db!$L$4,Z81,db!$L$4))),0)</f>
        <v>0</v>
      </c>
      <c r="AB81" s="38">
        <f>IF(AND(Changes!Change = "Yes", Changes!ChangeType = "Rider Inclusion/Exclusion", Changes!RiderType = "WOP"), IF( Changes!ValidityYear &lt;= Table14[[#This Row],[Year]], IF(WOP = "Yes", 0, 1),  IF(WOP = "Yes", 1, 0)), IF(AND(db!$D$8="Yes",C81&lt;=69,ROW()-1&lt;=InsurancePeriod), 1, 0))</f>
        <v>0</v>
      </c>
      <c r="AC81" s="17">
        <f>(AC82+K82)*AB81*((1)/(1+db!AA83))*(LOOKUP(C81,'Mortality Table'!$A$2:$A$108,'Mortality Table'!$E$2:$E$108))</f>
        <v>0</v>
      </c>
      <c r="AD81" s="340">
        <f>IF(AND(Changes!ValidityYear&lt;= Table14[[#This Row],[Year]],Changes!ChangeType="Change Value Adjustment",Changes!Change="Yes"), (AD82+L82)*AB81*((1)/(1+db!AA83))*(LOOKUP(C81,'Mortality Table'!$A$2:$A$108,'Mortality Table'!$E$2:$E$108)),Table14[[#This Row],[WOP Before Adj. BT]])</f>
        <v>0</v>
      </c>
      <c r="AE81" s="341">
        <f>IF(AND(Changes!Change="Yes", Changes!ChangeType="Change Value Adjustment"),Table14[[#This Row],[WOP Capital]],(AE82+O82)*AB81*((1)/(1+db!AA83))*(LOOKUP(D81,'Mortality Table'!$A$2:$A$108,'Mortality Table'!$E$2:$E$108)))</f>
        <v>0</v>
      </c>
      <c r="AF81" s="17">
        <f>IF(AND(Changes!Change="Yes", Changes!ValidityYear&lt;=ROW()-1),Table14[[#This Row],[WOP Capital]],Table14[[#This Row],[WOP without change]])</f>
        <v>0</v>
      </c>
      <c r="AG81" s="42">
        <f>IF(AND(Changes!Change="Yes", Changes!ValidityYear&lt;=Table14[[#This Row],[Year]], Changes!ChangeType="Rider Inclusion/Exclusion", Changes!RiderType="Disability Annuity"), L81*Changes!NewChangedValue,L81*db!B$10*IF(db!$D$10="Yes",1,0))</f>
        <v>0</v>
      </c>
      <c r="AH81" s="29">
        <f>Table14[[#This Row],[Code Annuity Capital]]*IF('Annual Calculation'!C81&gt;69,0,(LOOKUP('Annual Calculation'!C81+1,'Mortality Table'!$A$2:$A$108,'Mortality Table'!$O$2:$O$108)-LOOKUP('Annual Calculation'!C81+11,'Mortality Table'!$A$2:$A$108,'Mortality Table'!$O$2:$O$108))/LOOKUP('Annual Calculation'!C81,'Mortality Table'!$A$2:$A$108,'Mortality Table'!$M$2:$M$108))</f>
        <v>0</v>
      </c>
      <c r="AI81" s="17">
        <f>IF(B81=0,0,IF(AND(Changes!Change="Yes", Changes!ValidityYear&lt;=Table14[[#This Row],[Year]], Changes!ChangeType="Rider Inclusion/Exclusion", Changes!RiderType="Dread Disease"), T81*Changes!NewChangedValue,IF(db!$D$11="Yes",(db!$B$11)*T81,0)))</f>
        <v>0</v>
      </c>
      <c r="AJ81" s="42">
        <f>ROUND(IF(C81&gt;59,0,IF(C81=0,0,IF(AI81&lt;=db!$L$5,AI81,db!$L$5))),0)</f>
        <v>0</v>
      </c>
      <c r="AK81" s="29">
        <f>IF(B81=0,0,IF(AND(Changes!Change="Yes", Changes!ValidityYear&lt;=Table14[[#This Row],[Year]], Changes!ChangeType="Rider Inclusion/Exclusion", Changes!RiderType="Cancer"), T81*Changes!NewChangedValue,IF(db!$D$12="Yes",(db!$B$12)*T81,0)))</f>
        <v>0</v>
      </c>
      <c r="AL81" s="29">
        <f>ROUND(IF(C81&gt;59,0,IF(C81=0,0,IF(AK81&lt;=db!$L$6,AK81,db!$L$6))),0)</f>
        <v>0</v>
      </c>
      <c r="AM81" s="32"/>
      <c r="AN81" s="18">
        <f>IF(B81=0,0,IF(C81&lt;(db!$E$2+5),LOOKUP(C81,'Mortality Table'!$A$2:$A$108,'Mortality Table'!$P$2:$P$108),IF((C81&gt;=db!$E$2+10),LOOKUP(C81,'Mortality Table'!$A$2:$A$108,'Mortality Table'!$R$2:$R$108),LOOKUP(C81,'Mortality Table'!$A$2:$A$108,'Mortality Table'!$Q$2:$Q$108))))</f>
        <v>0</v>
      </c>
      <c r="AO81" s="22">
        <f t="shared" si="22"/>
        <v>0</v>
      </c>
      <c r="AP81" s="19">
        <f>IF(B81=0,0, LOOKUP(IF(AND(Changes!Change="Yes", Changes!ValidityYear&lt;=Table14[[#This Row],[Year]], Changes!ChangeType="Change Job Class"),Changes!NewChangedValue, db!$A$8),db!$AX$4:$AX$8,db!$AY$4:$AY$8))</f>
        <v>0</v>
      </c>
      <c r="AQ81" s="20">
        <f>ROUND((AP81/1000)*W81 * (1-db!$AS$9),0)</f>
        <v>0</v>
      </c>
      <c r="AR81" s="20">
        <f>(AP81/1000)*W81 * db!$AS$9</f>
        <v>0</v>
      </c>
      <c r="AS81" s="21">
        <f>IF(B81=0,0, LOOKUP(IF(AND(Changes!Change="Yes", Changes!ValidityYear&lt;=Table14[[#This Row],[Year]], Changes!ChangeType="Change Job Class"),Changes!NewChangedValue, db!$A$8),db!$AX$4:$AX$8,db!$AZ$4:$AZ$8))</f>
        <v>0</v>
      </c>
      <c r="AT81" s="22">
        <f>(AS81/1000)*Y81*(1-db!$AS$9)</f>
        <v>0</v>
      </c>
      <c r="AU81" s="22">
        <f>(AS81/1000)*Y81*(db!$AS$9)</f>
        <v>0</v>
      </c>
      <c r="AV81" s="23">
        <f>IF(B81=0,0, LOOKUP(IF(AND(Changes!Change="Yes", Changes!ValidityYear&lt;=Table14[[#This Row],[Year]], Changes!ChangeType="Change Job Class"),Changes!NewChangedValue, db!$A$8),db!$AX$4:$AX$8,db!$BA$4:$BA$8))</f>
        <v>0</v>
      </c>
      <c r="AW81" s="20">
        <f>ROUND((AV81/(100))*AA81*(1-db!$AS$9),0)</f>
        <v>0</v>
      </c>
      <c r="AX81" s="20">
        <f>ROUND((AV81/(100))*AA81*(db!$AS$9),0)</f>
        <v>0</v>
      </c>
      <c r="AY81" s="21">
        <f>IF(db!$D$8="Yes",AS81,0)</f>
        <v>0</v>
      </c>
      <c r="AZ81" s="22">
        <f>(AY81*AF81)/1000*(1-db!$AS$9)</f>
        <v>0</v>
      </c>
      <c r="BA81" s="22">
        <f>(AY81*AF81)/1000*(db!$AS$9)</f>
        <v>0</v>
      </c>
      <c r="BB81" s="23">
        <f t="shared" si="23"/>
        <v>0</v>
      </c>
      <c r="BC81" s="20">
        <f>(BB81*AH81/1000)*(1-db!$AS$9)</f>
        <v>0</v>
      </c>
      <c r="BD81" s="20">
        <f>(BB81*AH81/1000)*(db!$AS$9)</f>
        <v>0</v>
      </c>
      <c r="BE81" s="22">
        <f>IF(B81=0,0,IF(C81&gt;60,0,LOOKUP(Table14[[#This Row],[Medical
Age]],db!$BC$3:$BC$63,db!$BD$3:$BD$63)))</f>
        <v>0</v>
      </c>
      <c r="BF81" s="22">
        <f>BG81*db!$AS$10</f>
        <v>0</v>
      </c>
      <c r="BG81" s="22">
        <f t="shared" si="24"/>
        <v>0</v>
      </c>
      <c r="BH81" s="22">
        <f>(BE81/1000000)*AJ81*(1-db!$AS$10)</f>
        <v>0</v>
      </c>
      <c r="BI81" s="20">
        <f>IF(B81=0,0,IF(C81&gt;59,0,LOOKUP(Table14[[#This Row],[Medical
Age]],db!$BC$3:$BC$63,db!$BE$3:$BE$63)))</f>
        <v>0</v>
      </c>
      <c r="BJ81" s="20">
        <f>(BI81/1000000)*AL81*(1-db!$AS$11)</f>
        <v>0</v>
      </c>
      <c r="BK81" s="20">
        <f>(BI81/1000000)*AL81*(db!$AS$11)</f>
        <v>0</v>
      </c>
      <c r="BL81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81" s="20">
        <f>Table14[[#This Row],[RiskLoading
Rate]]*Table14[[#This Row],[Death Capital (2)]]</f>
        <v>0</v>
      </c>
      <c r="BN81" s="36"/>
      <c r="BO81" s="37">
        <f t="shared" si="25"/>
        <v>0</v>
      </c>
      <c r="BP81" s="35">
        <f t="shared" si="26"/>
        <v>0</v>
      </c>
      <c r="BQ81" s="35">
        <f t="shared" si="27"/>
        <v>0</v>
      </c>
      <c r="BR81" s="37">
        <f t="shared" si="31"/>
        <v>0</v>
      </c>
      <c r="BS81" s="37">
        <f t="shared" si="32"/>
        <v>0</v>
      </c>
      <c r="BT81" s="35">
        <f t="shared" si="33"/>
        <v>0</v>
      </c>
      <c r="BU81" s="35">
        <f t="shared" si="34"/>
        <v>0</v>
      </c>
      <c r="BV81" s="37">
        <f>(db!$AS$4/100)*(L81-BT81-BU81)</f>
        <v>0</v>
      </c>
      <c r="BW81" s="37">
        <f>(db!$AS$8/100)*(L81-BT81-BU81)</f>
        <v>0</v>
      </c>
      <c r="BX81" s="35"/>
      <c r="BY81" s="37"/>
      <c r="BZ81" s="37"/>
      <c r="CA81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81" s="33"/>
      <c r="CC81" s="39">
        <f>ROUND((Table14[[#This Row],[Premium]]-Table14[[#This Row],[All Deductions]]),0)</f>
        <v>0</v>
      </c>
      <c r="CD81" s="40">
        <f>ROUND(IF(B81=0,0,((CC81)*(1+ IF(AND(Changes!Change="Yes",Changes!ValidityYear&lt;=Table14[[#This Row],[Year]],Annulment&gt;Table14[[#This Row],[Year]],Changes!ChangeType="Paid-Up"),db!Y83+0.02,db!Y83)))+((CD80)*(1+IF(AND(Changes!Change="Yes",Changes!ValidityYear&lt;=Table14[[#This Row],[Year]],Annulment&gt;Table14[[#This Row],[Year]],Changes!ChangeType="Paid-Up"),db!U83+0.02,db!U83)))),0)</f>
        <v>0</v>
      </c>
      <c r="CE81" s="40">
        <f>ROUND(IF(B81=0,0,((CC81)*(1+db!Y83))+((CE80)*(1+db!U83))),0)</f>
        <v>0</v>
      </c>
      <c r="CF81" s="40">
        <f t="shared" si="39"/>
        <v>0</v>
      </c>
      <c r="CG81" s="15">
        <f t="shared" si="35"/>
        <v>80</v>
      </c>
      <c r="CH81" s="39">
        <f>IF(B81=0,0,((CC81)*(1+db!AH83))+((CH80)*(1+db!AD83)))</f>
        <v>0</v>
      </c>
      <c r="CI81" s="39">
        <f>IF(B81=0,0,((CC81)*(1+db!AH83))+((CI80)*(1+db!AD83)))</f>
        <v>0</v>
      </c>
      <c r="CJ81" s="40">
        <f>IF(B81=0,0,((CC81)*(1+db!AO83))+((CJ80)*(1+db!AK83)))</f>
        <v>0</v>
      </c>
      <c r="CK81" s="40">
        <f>CJ81-(SUM(BX$7:$BX82))</f>
        <v>0</v>
      </c>
      <c r="CL81" s="26"/>
    </row>
    <row r="82" spans="1:90">
      <c r="A82" s="347">
        <f t="shared" si="36"/>
        <v>81</v>
      </c>
      <c r="B82" s="345">
        <f>IF(AND(Changes!Change="Yes", Changes!ChangeType="Change Contract Duration"),IF(B81=0,0,IF(Changes!NewChangedValue&lt;B81+1,0,B81+1)),IF(B81=0,0,IF('Application Annually'!$C$5&lt;B81+1,0,B81+1)))</f>
        <v>0</v>
      </c>
      <c r="C82" s="15">
        <f t="shared" si="37"/>
        <v>0</v>
      </c>
      <c r="D82" s="312">
        <f t="shared" si="38"/>
        <v>108</v>
      </c>
      <c r="E82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82" s="29">
        <f t="shared" si="28"/>
        <v>0</v>
      </c>
      <c r="G82" s="29">
        <f t="shared" si="29"/>
        <v>0</v>
      </c>
      <c r="H82" s="29">
        <f t="shared" si="20"/>
        <v>0</v>
      </c>
      <c r="I82" s="29">
        <f>IF(B82&gt;0,IF(AND(Table14[[#This Row],[Year]]&gt;Changes!ValidityYear,Changes!Change="Yes",Changes!ChangeType="Change Value Adjustment"),Changes!$G$22,'Application Annually'!$C$11),0)</f>
        <v>0</v>
      </c>
      <c r="J82" s="29">
        <f>IF(B82&gt;0,IF(AND(Table14[[#This Row],[Year]]&gt;Changes!ValidityYear,Changes!Change="Yes",Changes!ChangeType="Change Value Adjustment"),Changes!$G$24,'Application Annually'!$C$7),0)</f>
        <v>0</v>
      </c>
      <c r="K82" s="29">
        <f>ROUND(IF(B82=0,0,IF(AND(Changes!Change="Yes", Changes!ValidityYear=Table14[[#This Row],[Year]], Changes!ChangeType="Change Premium"), Changes!NewChangedValue, (K81*(1+db!$B$3)))),0)</f>
        <v>0</v>
      </c>
      <c r="L82" s="29">
        <f>ROUND(IF(B82=0,0,IF(AND(Changes!Change="Yes", Changes!ValidityYear=Table14[[#This Row],[Year]], Changes!ChangeType="Change Premium"), Changes!NewChangedValue, (L81*(1+Table14[[#This Row],[Adjustment Factor of Premium]]/100)))),0)</f>
        <v>0</v>
      </c>
      <c r="M82" s="29">
        <f>IF(Table14[[#This Row],[Year]]=1,ROUND(MIN($L$2 -( Table14[[#This Row],[Riders Risk Premiums]] + Table14[[#This Row],[Acquisition Cost]]) *0.75,Table14[[#This Row],[Death Capital (1)]]* 0.03),0),0)</f>
        <v>0</v>
      </c>
      <c r="N82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82" s="29">
        <f>ROUND(IF(ROW()-1&gt;InsurancePeriod,0,(O81*(1+(Table14[[#This Row],[Adjustment Factor of Premium]]/100)))),0)</f>
        <v>0</v>
      </c>
      <c r="P82" s="29">
        <f>IF(Table14[Year] = 0, 0, SUM(L$2:L82))</f>
        <v>0</v>
      </c>
      <c r="Q82" s="17">
        <f t="shared" si="21"/>
        <v>0</v>
      </c>
      <c r="R82" s="17">
        <f>IF(Table14[[#This Row],[Year]]=0,0,IF($C$2&lt;=50,LOOKUP(Table14[[#This Row],[Age]],db!BG83:BG189,db!BH83:BH189),LOOKUP(Table14[[#This Row],[Age]],db!BJ83:BJ189,db!BK83:BK189)))</f>
        <v>0</v>
      </c>
      <c r="S82" s="17">
        <f>IF(B82=0,0, IF(AND(Changes!Change="Yes", Changes!ValidityYear=Table14[[#This Row],[Year]], Changes!ChangeType="Change Death Capital"), Changes!NewChangedValue, S81*(1+(Table14[[#This Row],[Adjustment Factor of Death Capital]]/100))))</f>
        <v>0</v>
      </c>
      <c r="T82" s="17">
        <f>MIN(IF(B82=0,0,Table14[[#This Row],[Death Capital (1)]]),Table14[[#This Row],[Max Sum Insured For Death]])</f>
        <v>0</v>
      </c>
      <c r="U82" s="29">
        <f t="shared" si="30"/>
        <v>0</v>
      </c>
      <c r="V82" s="29">
        <f>IF(B82=0,0,IF(AND(Changes!Change="Yes", Changes!ValidityYear&lt;=Table14[[#This Row],[Year]], Changes!ChangeType="Rider Inclusion/Exclusion", Changes!RiderType="Accident Death"), T82*Changes!NewChangedValue,IF(db!$D$6="Yes",(db!$B$6)*T82,0)))</f>
        <v>0</v>
      </c>
      <c r="W82" s="29">
        <f>MIN(IF(V82&lt;=db!$L$2,V82,db!$L$2),MAX_ACC_CAPITAL)</f>
        <v>0</v>
      </c>
      <c r="X82" s="17">
        <f>IF(OR(B82=0,Table14[[#This Row],[Accident Capital (2)]]=0),0,IF(AND(Changes!Change="Yes", Changes!ValidityYear&lt;=Table14[[#This Row],[Year]], Changes!ChangeType="Rider Inclusion/Exclusion", Changes!RiderType="Accident Disability"), T82*Changes!NewChangedValue,IF(db!$D$7="Yes",(db!$B$7)*T82,0)))</f>
        <v>0</v>
      </c>
      <c r="Y82" s="42">
        <f>IF(C82&gt;69,0,IF(C82=0,0,IF(X82&lt;=db!$L$3,X82,db!$L$3)))</f>
        <v>0</v>
      </c>
      <c r="Z82" s="29">
        <f>IF(OR(B82=0,Table14[[#This Row],[Accident Capital (2)]]=0),0,IF(AND(Changes!Change="Yes", Changes!ValidityYear&lt;=Table14[[#This Row],[Year]], Changes!ChangeType="Rider Inclusion/Exclusion", Changes!RiderType="Accident Medical Cost"), T82*Changes!NewChangedValue,IF(db!$D$9="Yes",(db!$B$9)*T82,0)))</f>
        <v>0</v>
      </c>
      <c r="AA82" s="29">
        <f>ROUND(IF(C82&gt;69,0,IF(C82=0,0,IF(Z82&lt;=db!$L$4,Z82,db!$L$4))),0)</f>
        <v>0</v>
      </c>
      <c r="AB82" s="38">
        <f>IF(AND(Changes!Change = "Yes", Changes!ChangeType = "Rider Inclusion/Exclusion", Changes!RiderType = "WOP"), IF( Changes!ValidityYear &lt;= Table14[[#This Row],[Year]], IF(WOP = "Yes", 0, 1),  IF(WOP = "Yes", 1, 0)), IF(AND(db!$D$8="Yes",C82&lt;=69,ROW()-1&lt;=InsurancePeriod), 1, 0))</f>
        <v>0</v>
      </c>
      <c r="AC82" s="17">
        <f>(AC83+K83)*AB82*((1)/(1+db!AA84))*(LOOKUP(C82,'Mortality Table'!$A$2:$A$108,'Mortality Table'!$E$2:$E$108))</f>
        <v>0</v>
      </c>
      <c r="AD82" s="340">
        <f>IF(AND(Changes!ValidityYear&lt;= Table14[[#This Row],[Year]],Changes!ChangeType="Change Value Adjustment",Changes!Change="Yes"), (AD83+L83)*AB82*((1)/(1+db!AA84))*(LOOKUP(C82,'Mortality Table'!$A$2:$A$108,'Mortality Table'!$E$2:$E$108)),Table14[[#This Row],[WOP Before Adj. BT]])</f>
        <v>0</v>
      </c>
      <c r="AE82" s="341">
        <f>IF(AND(Changes!Change="Yes", Changes!ChangeType="Change Value Adjustment"),Table14[[#This Row],[WOP Capital]],(AE83+O83)*AB82*((1)/(1+db!AA84))*(LOOKUP(D82,'Mortality Table'!$A$2:$A$108,'Mortality Table'!$E$2:$E$108)))</f>
        <v>0</v>
      </c>
      <c r="AF82" s="17">
        <f>IF(AND(Changes!Change="Yes", Changes!ValidityYear&lt;=ROW()-1),Table14[[#This Row],[WOP Capital]],Table14[[#This Row],[WOP without change]])</f>
        <v>0</v>
      </c>
      <c r="AG82" s="42">
        <f>IF(AND(Changes!Change="Yes", Changes!ValidityYear&lt;=Table14[[#This Row],[Year]], Changes!ChangeType="Rider Inclusion/Exclusion", Changes!RiderType="Disability Annuity"), L82*Changes!NewChangedValue,L82*db!B$10*IF(db!$D$10="Yes",1,0))</f>
        <v>0</v>
      </c>
      <c r="AH82" s="29">
        <f>Table14[[#This Row],[Code Annuity Capital]]*IF('Annual Calculation'!C82&gt;69,0,(LOOKUP('Annual Calculation'!C82+1,'Mortality Table'!$A$2:$A$108,'Mortality Table'!$O$2:$O$108)-LOOKUP('Annual Calculation'!C82+11,'Mortality Table'!$A$2:$A$108,'Mortality Table'!$O$2:$O$108))/LOOKUP('Annual Calculation'!C82,'Mortality Table'!$A$2:$A$108,'Mortality Table'!$M$2:$M$108))</f>
        <v>0</v>
      </c>
      <c r="AI82" s="17">
        <f>IF(B82=0,0,IF(AND(Changes!Change="Yes", Changes!ValidityYear&lt;=Table14[[#This Row],[Year]], Changes!ChangeType="Rider Inclusion/Exclusion", Changes!RiderType="Dread Disease"), T82*Changes!NewChangedValue,IF(db!$D$11="Yes",(db!$B$11)*T82,0)))</f>
        <v>0</v>
      </c>
      <c r="AJ82" s="42">
        <f>ROUND(IF(C82&gt;59,0,IF(C82=0,0,IF(AI82&lt;=db!$L$5,AI82,db!$L$5))),0)</f>
        <v>0</v>
      </c>
      <c r="AK82" s="29">
        <f>IF(B82=0,0,IF(AND(Changes!Change="Yes", Changes!ValidityYear&lt;=Table14[[#This Row],[Year]], Changes!ChangeType="Rider Inclusion/Exclusion", Changes!RiderType="Cancer"), T82*Changes!NewChangedValue,IF(db!$D$12="Yes",(db!$B$12)*T82,0)))</f>
        <v>0</v>
      </c>
      <c r="AL82" s="29">
        <f>ROUND(IF(C82&gt;59,0,IF(C82=0,0,IF(AK82&lt;=db!$L$6,AK82,db!$L$6))),0)</f>
        <v>0</v>
      </c>
      <c r="AM82" s="32"/>
      <c r="AN82" s="18">
        <f>IF(B82=0,0,IF(C82&lt;(db!$E$2+5),LOOKUP(C82,'Mortality Table'!$A$2:$A$108,'Mortality Table'!$P$2:$P$108),IF((C82&gt;=db!$E$2+10),LOOKUP(C82,'Mortality Table'!$A$2:$A$108,'Mortality Table'!$R$2:$R$108),LOOKUP(C82,'Mortality Table'!$A$2:$A$108,'Mortality Table'!$Q$2:$Q$108))))</f>
        <v>0</v>
      </c>
      <c r="AO82" s="22">
        <f t="shared" si="22"/>
        <v>0</v>
      </c>
      <c r="AP82" s="19">
        <f>IF(B82=0,0, LOOKUP(IF(AND(Changes!Change="Yes", Changes!ValidityYear&lt;=Table14[[#This Row],[Year]], Changes!ChangeType="Change Job Class"),Changes!NewChangedValue, db!$A$8),db!$AX$4:$AX$8,db!$AY$4:$AY$8))</f>
        <v>0</v>
      </c>
      <c r="AQ82" s="20">
        <f>ROUND((AP82/1000)*W82 * (1-db!$AS$9),0)</f>
        <v>0</v>
      </c>
      <c r="AR82" s="20">
        <f>(AP82/1000)*W82 * db!$AS$9</f>
        <v>0</v>
      </c>
      <c r="AS82" s="21">
        <f>IF(B82=0,0, LOOKUP(IF(AND(Changes!Change="Yes", Changes!ValidityYear&lt;=Table14[[#This Row],[Year]], Changes!ChangeType="Change Job Class"),Changes!NewChangedValue, db!$A$8),db!$AX$4:$AX$8,db!$AZ$4:$AZ$8))</f>
        <v>0</v>
      </c>
      <c r="AT82" s="22">
        <f>(AS82/1000)*Y82*(1-db!$AS$9)</f>
        <v>0</v>
      </c>
      <c r="AU82" s="22">
        <f>(AS82/1000)*Y82*(db!$AS$9)</f>
        <v>0</v>
      </c>
      <c r="AV82" s="23">
        <f>IF(B82=0,0, LOOKUP(IF(AND(Changes!Change="Yes", Changes!ValidityYear&lt;=Table14[[#This Row],[Year]], Changes!ChangeType="Change Job Class"),Changes!NewChangedValue, db!$A$8),db!$AX$4:$AX$8,db!$BA$4:$BA$8))</f>
        <v>0</v>
      </c>
      <c r="AW82" s="20">
        <f>ROUND((AV82/(100))*AA82*(1-db!$AS$9),0)</f>
        <v>0</v>
      </c>
      <c r="AX82" s="20">
        <f>ROUND((AV82/(100))*AA82*(db!$AS$9),0)</f>
        <v>0</v>
      </c>
      <c r="AY82" s="21">
        <f>IF(db!$D$8="Yes",AS82,0)</f>
        <v>0</v>
      </c>
      <c r="AZ82" s="22">
        <f>(AY82*AF82)/1000*(1-db!$AS$9)</f>
        <v>0</v>
      </c>
      <c r="BA82" s="22">
        <f>(AY82*AF82)/1000*(db!$AS$9)</f>
        <v>0</v>
      </c>
      <c r="BB82" s="23">
        <f t="shared" si="23"/>
        <v>0</v>
      </c>
      <c r="BC82" s="20">
        <f>(BB82*AH82/1000)*(1-db!$AS$9)</f>
        <v>0</v>
      </c>
      <c r="BD82" s="20">
        <f>(BB82*AH82/1000)*(db!$AS$9)</f>
        <v>0</v>
      </c>
      <c r="BE82" s="22">
        <f>IF(B82=0,0,IF(C82&gt;60,0,LOOKUP(Table14[[#This Row],[Medical
Age]],db!$BC$3:$BC$63,db!$BD$3:$BD$63)))</f>
        <v>0</v>
      </c>
      <c r="BF82" s="22">
        <f>BG82*db!$AS$10</f>
        <v>0</v>
      </c>
      <c r="BG82" s="22">
        <f t="shared" si="24"/>
        <v>0</v>
      </c>
      <c r="BH82" s="22">
        <f>(BE82/1000000)*AJ82*(1-db!$AS$10)</f>
        <v>0</v>
      </c>
      <c r="BI82" s="20">
        <f>IF(B82=0,0,IF(C82&gt;59,0,LOOKUP(Table14[[#This Row],[Medical
Age]],db!$BC$3:$BC$63,db!$BE$3:$BE$63)))</f>
        <v>0</v>
      </c>
      <c r="BJ82" s="20">
        <f>(BI82/1000000)*AL82*(1-db!$AS$11)</f>
        <v>0</v>
      </c>
      <c r="BK82" s="20">
        <f>(BI82/1000000)*AL82*(db!$AS$11)</f>
        <v>0</v>
      </c>
      <c r="BL82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82" s="20">
        <f>Table14[[#This Row],[RiskLoading
Rate]]*Table14[[#This Row],[Death Capital (2)]]</f>
        <v>0</v>
      </c>
      <c r="BN82" s="36"/>
      <c r="BO82" s="37">
        <f t="shared" si="25"/>
        <v>0</v>
      </c>
      <c r="BP82" s="35">
        <f t="shared" si="26"/>
        <v>0</v>
      </c>
      <c r="BQ82" s="35">
        <f t="shared" si="27"/>
        <v>0</v>
      </c>
      <c r="BR82" s="37">
        <f t="shared" si="31"/>
        <v>0</v>
      </c>
      <c r="BS82" s="37">
        <f t="shared" si="32"/>
        <v>0</v>
      </c>
      <c r="BT82" s="35">
        <f t="shared" si="33"/>
        <v>0</v>
      </c>
      <c r="BU82" s="35">
        <f t="shared" si="34"/>
        <v>0</v>
      </c>
      <c r="BV82" s="37">
        <f>(db!$AS$4/100)*(L82-BT82-BU82)</f>
        <v>0</v>
      </c>
      <c r="BW82" s="37">
        <f>(db!$AS$8/100)*(L82-BT82-BU82)</f>
        <v>0</v>
      </c>
      <c r="BX82" s="35"/>
      <c r="BY82" s="37"/>
      <c r="BZ82" s="37"/>
      <c r="CA82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82" s="33"/>
      <c r="CC82" s="39">
        <f>ROUND((Table14[[#This Row],[Premium]]-Table14[[#This Row],[All Deductions]]),0)</f>
        <v>0</v>
      </c>
      <c r="CD82" s="40">
        <f>ROUND(IF(B82=0,0,((CC82)*(1+ IF(AND(Changes!Change="Yes",Changes!ValidityYear&lt;=Table14[[#This Row],[Year]],Annulment&gt;Table14[[#This Row],[Year]],Changes!ChangeType="Paid-Up"),db!Y84+0.02,db!Y84)))+((CD81)*(1+IF(AND(Changes!Change="Yes",Changes!ValidityYear&lt;=Table14[[#This Row],[Year]],Annulment&gt;Table14[[#This Row],[Year]],Changes!ChangeType="Paid-Up"),db!U84+0.02,db!U84)))),0)</f>
        <v>0</v>
      </c>
      <c r="CE82" s="40">
        <f>ROUND(IF(B82=0,0,((CC82)*(1+db!Y84))+((CE81)*(1+db!U84))),0)</f>
        <v>0</v>
      </c>
      <c r="CF82" s="40">
        <f t="shared" si="39"/>
        <v>0</v>
      </c>
      <c r="CG82" s="15">
        <f t="shared" si="35"/>
        <v>81</v>
      </c>
      <c r="CH82" s="39">
        <f>IF(B82=0,0,((CC82)*(1+db!AH84))+((CH81)*(1+db!AD84)))</f>
        <v>0</v>
      </c>
      <c r="CI82" s="39">
        <f>IF(B82=0,0,((CC82)*(1+db!AH84))+((CI81)*(1+db!AD84)))</f>
        <v>0</v>
      </c>
      <c r="CJ82" s="40">
        <f>IF(B82=0,0,((CC82)*(1+db!AO84))+((CJ81)*(1+db!AK84)))</f>
        <v>0</v>
      </c>
      <c r="CK82" s="40">
        <f>CJ82-(SUM(BX$7:$BX83))</f>
        <v>0</v>
      </c>
      <c r="CL82" s="26"/>
    </row>
    <row r="83" spans="1:90">
      <c r="A83" s="347">
        <f t="shared" si="36"/>
        <v>82</v>
      </c>
      <c r="B83" s="345">
        <f>IF(AND(Changes!Change="Yes", Changes!ChangeType="Change Contract Duration"),IF(B82=0,0,IF(Changes!NewChangedValue&lt;B82+1,0,B82+1)),IF(B82=0,0,IF('Application Annually'!$C$5&lt;B82+1,0,B82+1)))</f>
        <v>0</v>
      </c>
      <c r="C83" s="15">
        <f t="shared" si="37"/>
        <v>0</v>
      </c>
      <c r="D83" s="312">
        <f t="shared" si="38"/>
        <v>109</v>
      </c>
      <c r="E83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83" s="29">
        <f t="shared" si="28"/>
        <v>0</v>
      </c>
      <c r="G83" s="29">
        <f t="shared" si="29"/>
        <v>0</v>
      </c>
      <c r="H83" s="29">
        <f t="shared" si="20"/>
        <v>0</v>
      </c>
      <c r="I83" s="29">
        <f>IF(B83&gt;0,IF(AND(Table14[[#This Row],[Year]]&gt;Changes!ValidityYear,Changes!Change="Yes",Changes!ChangeType="Change Value Adjustment"),Changes!$G$22,'Application Annually'!$C$11),0)</f>
        <v>0</v>
      </c>
      <c r="J83" s="29">
        <f>IF(B83&gt;0,IF(AND(Table14[[#This Row],[Year]]&gt;Changes!ValidityYear,Changes!Change="Yes",Changes!ChangeType="Change Value Adjustment"),Changes!$G$24,'Application Annually'!$C$7),0)</f>
        <v>0</v>
      </c>
      <c r="K83" s="29">
        <f>ROUND(IF(B83=0,0,IF(AND(Changes!Change="Yes", Changes!ValidityYear=Table14[[#This Row],[Year]], Changes!ChangeType="Change Premium"), Changes!NewChangedValue, (K82*(1+db!$B$3)))),0)</f>
        <v>0</v>
      </c>
      <c r="L83" s="29">
        <f>ROUND(IF(B83=0,0,IF(AND(Changes!Change="Yes", Changes!ValidityYear=Table14[[#This Row],[Year]], Changes!ChangeType="Change Premium"), Changes!NewChangedValue, (L82*(1+Table14[[#This Row],[Adjustment Factor of Premium]]/100)))),0)</f>
        <v>0</v>
      </c>
      <c r="M83" s="29">
        <f>IF(Table14[[#This Row],[Year]]=1,ROUND(MIN($L$2 -( Table14[[#This Row],[Riders Risk Premiums]] + Table14[[#This Row],[Acquisition Cost]]) *0.75,Table14[[#This Row],[Death Capital (1)]]* 0.03),0),0)</f>
        <v>0</v>
      </c>
      <c r="N83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83" s="29">
        <f>ROUND(IF(ROW()-1&gt;InsurancePeriod,0,(O82*(1+(Table14[[#This Row],[Adjustment Factor of Premium]]/100)))),0)</f>
        <v>0</v>
      </c>
      <c r="P83" s="29">
        <f>IF(Table14[Year] = 0, 0, SUM(L$2:L83))</f>
        <v>0</v>
      </c>
      <c r="Q83" s="17">
        <f t="shared" si="21"/>
        <v>0</v>
      </c>
      <c r="R83" s="17">
        <f>IF(Table14[[#This Row],[Year]]=0,0,IF($C$2&lt;=50,LOOKUP(Table14[[#This Row],[Age]],db!BG84:BG190,db!BH84:BH190),LOOKUP(Table14[[#This Row],[Age]],db!BJ84:BJ190,db!BK84:BK190)))</f>
        <v>0</v>
      </c>
      <c r="S83" s="17">
        <f>IF(B83=0,0, IF(AND(Changes!Change="Yes", Changes!ValidityYear=Table14[[#This Row],[Year]], Changes!ChangeType="Change Death Capital"), Changes!NewChangedValue, S82*(1+(Table14[[#This Row],[Adjustment Factor of Death Capital]]/100))))</f>
        <v>0</v>
      </c>
      <c r="T83" s="17">
        <f>MIN(IF(B83=0,0,Table14[[#This Row],[Death Capital (1)]]),Table14[[#This Row],[Max Sum Insured For Death]])</f>
        <v>0</v>
      </c>
      <c r="U83" s="29">
        <f t="shared" si="30"/>
        <v>0</v>
      </c>
      <c r="V83" s="29">
        <f>IF(B83=0,0,IF(AND(Changes!Change="Yes", Changes!ValidityYear&lt;=Table14[[#This Row],[Year]], Changes!ChangeType="Rider Inclusion/Exclusion", Changes!RiderType="Accident Death"), T83*Changes!NewChangedValue,IF(db!$D$6="Yes",(db!$B$6)*T83,0)))</f>
        <v>0</v>
      </c>
      <c r="W83" s="29">
        <f>MIN(IF(V83&lt;=db!$L$2,V83,db!$L$2),MAX_ACC_CAPITAL)</f>
        <v>0</v>
      </c>
      <c r="X83" s="17">
        <f>IF(OR(B83=0,Table14[[#This Row],[Accident Capital (2)]]=0),0,IF(AND(Changes!Change="Yes", Changes!ValidityYear&lt;=Table14[[#This Row],[Year]], Changes!ChangeType="Rider Inclusion/Exclusion", Changes!RiderType="Accident Disability"), T83*Changes!NewChangedValue,IF(db!$D$7="Yes",(db!$B$7)*T83,0)))</f>
        <v>0</v>
      </c>
      <c r="Y83" s="42">
        <f>IF(C83&gt;69,0,IF(C83=0,0,IF(X83&lt;=db!$L$3,X83,db!$L$3)))</f>
        <v>0</v>
      </c>
      <c r="Z83" s="29">
        <f>IF(OR(B83=0,Table14[[#This Row],[Accident Capital (2)]]=0),0,IF(AND(Changes!Change="Yes", Changes!ValidityYear&lt;=Table14[[#This Row],[Year]], Changes!ChangeType="Rider Inclusion/Exclusion", Changes!RiderType="Accident Medical Cost"), T83*Changes!NewChangedValue,IF(db!$D$9="Yes",(db!$B$9)*T83,0)))</f>
        <v>0</v>
      </c>
      <c r="AA83" s="29">
        <f>ROUND(IF(C83&gt;69,0,IF(C83=0,0,IF(Z83&lt;=db!$L$4,Z83,db!$L$4))),0)</f>
        <v>0</v>
      </c>
      <c r="AB83" s="38">
        <f>IF(AND(Changes!Change = "Yes", Changes!ChangeType = "Rider Inclusion/Exclusion", Changes!RiderType = "WOP"), IF( Changes!ValidityYear &lt;= Table14[[#This Row],[Year]], IF(WOP = "Yes", 0, 1),  IF(WOP = "Yes", 1, 0)), IF(AND(db!$D$8="Yes",C83&lt;=69,ROW()-1&lt;=InsurancePeriod), 1, 0))</f>
        <v>0</v>
      </c>
      <c r="AC83" s="17">
        <f>(AC84+K84)*AB83*((1)/(1+db!AA85))*(LOOKUP(C83,'Mortality Table'!$A$2:$A$108,'Mortality Table'!$E$2:$E$108))</f>
        <v>0</v>
      </c>
      <c r="AD83" s="340">
        <f>IF(AND(Changes!ValidityYear&lt;= Table14[[#This Row],[Year]],Changes!ChangeType="Change Value Adjustment",Changes!Change="Yes"), (AD84+L84)*AB83*((1)/(1+db!AA85))*(LOOKUP(C83,'Mortality Table'!$A$2:$A$108,'Mortality Table'!$E$2:$E$108)),Table14[[#This Row],[WOP Before Adj. BT]])</f>
        <v>0</v>
      </c>
      <c r="AE83" s="341">
        <f>IF(AND(Changes!Change="Yes", Changes!ChangeType="Change Value Adjustment"),Table14[[#This Row],[WOP Capital]],(AE84+O84)*AB83*((1)/(1+db!AA85))*(LOOKUP(D83,'Mortality Table'!$A$2:$A$108,'Mortality Table'!$E$2:$E$108)))</f>
        <v>0</v>
      </c>
      <c r="AF83" s="17">
        <f>IF(AND(Changes!Change="Yes", Changes!ValidityYear&lt;=ROW()-1),Table14[[#This Row],[WOP Capital]],Table14[[#This Row],[WOP without change]])</f>
        <v>0</v>
      </c>
      <c r="AG83" s="42">
        <f>IF(AND(Changes!Change="Yes", Changes!ValidityYear&lt;=Table14[[#This Row],[Year]], Changes!ChangeType="Rider Inclusion/Exclusion", Changes!RiderType="Disability Annuity"), L83*Changes!NewChangedValue,L83*db!B$10*IF(db!$D$10="Yes",1,0))</f>
        <v>0</v>
      </c>
      <c r="AH83" s="29">
        <f>Table14[[#This Row],[Code Annuity Capital]]*IF('Annual Calculation'!C83&gt;69,0,(LOOKUP('Annual Calculation'!C83+1,'Mortality Table'!$A$2:$A$108,'Mortality Table'!$O$2:$O$108)-LOOKUP('Annual Calculation'!C83+11,'Mortality Table'!$A$2:$A$108,'Mortality Table'!$O$2:$O$108))/LOOKUP('Annual Calculation'!C83,'Mortality Table'!$A$2:$A$108,'Mortality Table'!$M$2:$M$108))</f>
        <v>0</v>
      </c>
      <c r="AI83" s="17">
        <f>IF(B83=0,0,IF(AND(Changes!Change="Yes", Changes!ValidityYear&lt;=Table14[[#This Row],[Year]], Changes!ChangeType="Rider Inclusion/Exclusion", Changes!RiderType="Dread Disease"), T83*Changes!NewChangedValue,IF(db!$D$11="Yes",(db!$B$11)*T83,0)))</f>
        <v>0</v>
      </c>
      <c r="AJ83" s="42">
        <f>ROUND(IF(C83&gt;59,0,IF(C83=0,0,IF(AI83&lt;=db!$L$5,AI83,db!$L$5))),0)</f>
        <v>0</v>
      </c>
      <c r="AK83" s="29">
        <f>IF(B83=0,0,IF(AND(Changes!Change="Yes", Changes!ValidityYear&lt;=Table14[[#This Row],[Year]], Changes!ChangeType="Rider Inclusion/Exclusion", Changes!RiderType="Cancer"), T83*Changes!NewChangedValue,IF(db!$D$12="Yes",(db!$B$12)*T83,0)))</f>
        <v>0</v>
      </c>
      <c r="AL83" s="29">
        <f>ROUND(IF(C83&gt;59,0,IF(C83=0,0,IF(AK83&lt;=db!$L$6,AK83,db!$L$6))),0)</f>
        <v>0</v>
      </c>
      <c r="AM83" s="32"/>
      <c r="AN83" s="18">
        <f>IF(B83=0,0,IF(C83&lt;(db!$E$2+5),LOOKUP(C83,'Mortality Table'!$A$2:$A$108,'Mortality Table'!$P$2:$P$108),IF((C83&gt;=db!$E$2+10),LOOKUP(C83,'Mortality Table'!$A$2:$A$108,'Mortality Table'!$R$2:$R$108),LOOKUP(C83,'Mortality Table'!$A$2:$A$108,'Mortality Table'!$Q$2:$Q$108))))</f>
        <v>0</v>
      </c>
      <c r="AO83" s="22">
        <f t="shared" si="22"/>
        <v>0</v>
      </c>
      <c r="AP83" s="19">
        <f>IF(B83=0,0, LOOKUP(IF(AND(Changes!Change="Yes", Changes!ValidityYear&lt;=Table14[[#This Row],[Year]], Changes!ChangeType="Change Job Class"),Changes!NewChangedValue, db!$A$8),db!$AX$4:$AX$8,db!$AY$4:$AY$8))</f>
        <v>0</v>
      </c>
      <c r="AQ83" s="20">
        <f>ROUND((AP83/1000)*W83 * (1-db!$AS$9),0)</f>
        <v>0</v>
      </c>
      <c r="AR83" s="20">
        <f>(AP83/1000)*W83 * db!$AS$9</f>
        <v>0</v>
      </c>
      <c r="AS83" s="21">
        <f>IF(B83=0,0, LOOKUP(IF(AND(Changes!Change="Yes", Changes!ValidityYear&lt;=Table14[[#This Row],[Year]], Changes!ChangeType="Change Job Class"),Changes!NewChangedValue, db!$A$8),db!$AX$4:$AX$8,db!$AZ$4:$AZ$8))</f>
        <v>0</v>
      </c>
      <c r="AT83" s="22">
        <f>(AS83/1000)*Y83*(1-db!$AS$9)</f>
        <v>0</v>
      </c>
      <c r="AU83" s="22">
        <f>(AS83/1000)*Y83*(db!$AS$9)</f>
        <v>0</v>
      </c>
      <c r="AV83" s="23">
        <f>IF(B83=0,0, LOOKUP(IF(AND(Changes!Change="Yes", Changes!ValidityYear&lt;=Table14[[#This Row],[Year]], Changes!ChangeType="Change Job Class"),Changes!NewChangedValue, db!$A$8),db!$AX$4:$AX$8,db!$BA$4:$BA$8))</f>
        <v>0</v>
      </c>
      <c r="AW83" s="20">
        <f>ROUND((AV83/(100))*AA83*(1-db!$AS$9),0)</f>
        <v>0</v>
      </c>
      <c r="AX83" s="20">
        <f>ROUND((AV83/(100))*AA83*(db!$AS$9),0)</f>
        <v>0</v>
      </c>
      <c r="AY83" s="21">
        <f>IF(db!$D$8="Yes",AS83,0)</f>
        <v>0</v>
      </c>
      <c r="AZ83" s="22">
        <f>(AY83*AF83)/1000*(1-db!$AS$9)</f>
        <v>0</v>
      </c>
      <c r="BA83" s="22">
        <f>(AY83*AF83)/1000*(db!$AS$9)</f>
        <v>0</v>
      </c>
      <c r="BB83" s="23">
        <f t="shared" si="23"/>
        <v>0</v>
      </c>
      <c r="BC83" s="20">
        <f>(BB83*AH83/1000)*(1-db!$AS$9)</f>
        <v>0</v>
      </c>
      <c r="BD83" s="20">
        <f>(BB83*AH83/1000)*(db!$AS$9)</f>
        <v>0</v>
      </c>
      <c r="BE83" s="22">
        <f>IF(B83=0,0,IF(C83&gt;60,0,LOOKUP(Table14[[#This Row],[Medical
Age]],db!$BC$3:$BC$63,db!$BD$3:$BD$63)))</f>
        <v>0</v>
      </c>
      <c r="BF83" s="22">
        <f>BG83*db!$AS$10</f>
        <v>0</v>
      </c>
      <c r="BG83" s="22">
        <f t="shared" si="24"/>
        <v>0</v>
      </c>
      <c r="BH83" s="22">
        <f>(BE83/1000000)*AJ83*(1-db!$AS$10)</f>
        <v>0</v>
      </c>
      <c r="BI83" s="20">
        <f>IF(B83=0,0,IF(C83&gt;59,0,LOOKUP(Table14[[#This Row],[Medical
Age]],db!$BC$3:$BC$63,db!$BE$3:$BE$63)))</f>
        <v>0</v>
      </c>
      <c r="BJ83" s="20">
        <f>(BI83/1000000)*AL83*(1-db!$AS$11)</f>
        <v>0</v>
      </c>
      <c r="BK83" s="20">
        <f>(BI83/1000000)*AL83*(db!$AS$11)</f>
        <v>0</v>
      </c>
      <c r="BL83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83" s="20">
        <f>Table14[[#This Row],[RiskLoading
Rate]]*Table14[[#This Row],[Death Capital (2)]]</f>
        <v>0</v>
      </c>
      <c r="BN83" s="36"/>
      <c r="BO83" s="37">
        <f t="shared" si="25"/>
        <v>0</v>
      </c>
      <c r="BP83" s="35">
        <f t="shared" si="26"/>
        <v>0</v>
      </c>
      <c r="BQ83" s="35">
        <f t="shared" si="27"/>
        <v>0</v>
      </c>
      <c r="BR83" s="37">
        <f t="shared" si="31"/>
        <v>0</v>
      </c>
      <c r="BS83" s="37">
        <f t="shared" si="32"/>
        <v>0</v>
      </c>
      <c r="BT83" s="35">
        <f t="shared" si="33"/>
        <v>0</v>
      </c>
      <c r="BU83" s="35">
        <f t="shared" si="34"/>
        <v>0</v>
      </c>
      <c r="BV83" s="37">
        <f>(db!$AS$4/100)*(L83-BT83-BU83)</f>
        <v>0</v>
      </c>
      <c r="BW83" s="37">
        <f>(db!$AS$8/100)*(L83-BT83-BU83)</f>
        <v>0</v>
      </c>
      <c r="BX83" s="35"/>
      <c r="BY83" s="37"/>
      <c r="BZ83" s="37"/>
      <c r="CA83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83" s="33"/>
      <c r="CC83" s="39">
        <f>ROUND((Table14[[#This Row],[Premium]]-Table14[[#This Row],[All Deductions]]),0)</f>
        <v>0</v>
      </c>
      <c r="CD83" s="40">
        <f>ROUND(IF(B83=0,0,((CC83)*(1+ IF(AND(Changes!Change="Yes",Changes!ValidityYear&lt;=Table14[[#This Row],[Year]],Annulment&gt;Table14[[#This Row],[Year]],Changes!ChangeType="Paid-Up"),db!Y85+0.02,db!Y85)))+((CD82)*(1+IF(AND(Changes!Change="Yes",Changes!ValidityYear&lt;=Table14[[#This Row],[Year]],Annulment&gt;Table14[[#This Row],[Year]],Changes!ChangeType="Paid-Up"),db!U85+0.02,db!U85)))),0)</f>
        <v>0</v>
      </c>
      <c r="CE83" s="40">
        <f>ROUND(IF(B83=0,0,((CC83)*(1+db!Y85))+((CE82)*(1+db!U85))),0)</f>
        <v>0</v>
      </c>
      <c r="CF83" s="40">
        <f t="shared" si="39"/>
        <v>0</v>
      </c>
      <c r="CG83" s="15">
        <f t="shared" si="35"/>
        <v>82</v>
      </c>
      <c r="CH83" s="39">
        <f>IF(B83=0,0,((CC83)*(1+db!AH85))+((CH82)*(1+db!AD85)))</f>
        <v>0</v>
      </c>
      <c r="CI83" s="39">
        <f>IF(B83=0,0,((CC83)*(1+db!AH85))+((CI82)*(1+db!AD85)))</f>
        <v>0</v>
      </c>
      <c r="CJ83" s="40">
        <f>IF(B83=0,0,((CC83)*(1+db!AO85))+((CJ82)*(1+db!AK85)))</f>
        <v>0</v>
      </c>
      <c r="CK83" s="40">
        <f>CJ83-(SUM(BX$7:$BX84))</f>
        <v>0</v>
      </c>
      <c r="CL83" s="26"/>
    </row>
    <row r="84" spans="1:90">
      <c r="A84" s="347">
        <f t="shared" si="36"/>
        <v>83</v>
      </c>
      <c r="B84" s="345">
        <f>IF(AND(Changes!Change="Yes", Changes!ChangeType="Change Contract Duration"),IF(B83=0,0,IF(Changes!NewChangedValue&lt;B83+1,0,B83+1)),IF(B83=0,0,IF('Application Annually'!$C$5&lt;B83+1,0,B83+1)))</f>
        <v>0</v>
      </c>
      <c r="C84" s="15">
        <f t="shared" si="37"/>
        <v>0</v>
      </c>
      <c r="D84" s="312">
        <f t="shared" si="38"/>
        <v>110</v>
      </c>
      <c r="E84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84" s="29">
        <f t="shared" si="28"/>
        <v>0</v>
      </c>
      <c r="G84" s="29">
        <f t="shared" si="29"/>
        <v>0</v>
      </c>
      <c r="H84" s="29">
        <f t="shared" si="20"/>
        <v>0</v>
      </c>
      <c r="I84" s="29">
        <f>IF(B84&gt;0,IF(AND(Table14[[#This Row],[Year]]&gt;Changes!ValidityYear,Changes!Change="Yes",Changes!ChangeType="Change Value Adjustment"),Changes!$G$22,'Application Annually'!$C$11),0)</f>
        <v>0</v>
      </c>
      <c r="J84" s="29">
        <f>IF(B84&gt;0,IF(AND(Table14[[#This Row],[Year]]&gt;Changes!ValidityYear,Changes!Change="Yes",Changes!ChangeType="Change Value Adjustment"),Changes!$G$24,'Application Annually'!$C$7),0)</f>
        <v>0</v>
      </c>
      <c r="K84" s="29">
        <f>ROUND(IF(B84=0,0,IF(AND(Changes!Change="Yes", Changes!ValidityYear=Table14[[#This Row],[Year]], Changes!ChangeType="Change Premium"), Changes!NewChangedValue, (K83*(1+db!$B$3)))),0)</f>
        <v>0</v>
      </c>
      <c r="L84" s="29">
        <f>ROUND(IF(B84=0,0,IF(AND(Changes!Change="Yes", Changes!ValidityYear=Table14[[#This Row],[Year]], Changes!ChangeType="Change Premium"), Changes!NewChangedValue, (L83*(1+Table14[[#This Row],[Adjustment Factor of Premium]]/100)))),0)</f>
        <v>0</v>
      </c>
      <c r="M84" s="29">
        <f>IF(Table14[[#This Row],[Year]]=1,ROUND(MIN($L$2 -( Table14[[#This Row],[Riders Risk Premiums]] + Table14[[#This Row],[Acquisition Cost]]) *0.75,Table14[[#This Row],[Death Capital (1)]]* 0.03),0),0)</f>
        <v>0</v>
      </c>
      <c r="N84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84" s="29">
        <f>ROUND(IF(ROW()-1&gt;InsurancePeriod,0,(O83*(1+(Table14[[#This Row],[Adjustment Factor of Premium]]/100)))),0)</f>
        <v>0</v>
      </c>
      <c r="P84" s="29">
        <f>IF(Table14[Year] = 0, 0, SUM(L$2:L84))</f>
        <v>0</v>
      </c>
      <c r="Q84" s="17">
        <f t="shared" si="21"/>
        <v>0</v>
      </c>
      <c r="R84" s="17">
        <f>IF(Table14[[#This Row],[Year]]=0,0,IF($C$2&lt;=50,LOOKUP(Table14[[#This Row],[Age]],db!BG85:BG191,db!BH85:BH191),LOOKUP(Table14[[#This Row],[Age]],db!BJ85:BJ191,db!BK85:BK191)))</f>
        <v>0</v>
      </c>
      <c r="S84" s="17">
        <f>IF(B84=0,0, IF(AND(Changes!Change="Yes", Changes!ValidityYear=Table14[[#This Row],[Year]], Changes!ChangeType="Change Death Capital"), Changes!NewChangedValue, S83*(1+(Table14[[#This Row],[Adjustment Factor of Death Capital]]/100))))</f>
        <v>0</v>
      </c>
      <c r="T84" s="17">
        <f>MIN(IF(B84=0,0,Table14[[#This Row],[Death Capital (1)]]),Table14[[#This Row],[Max Sum Insured For Death]])</f>
        <v>0</v>
      </c>
      <c r="U84" s="29">
        <f t="shared" si="30"/>
        <v>0</v>
      </c>
      <c r="V84" s="29">
        <f>IF(B84=0,0,IF(AND(Changes!Change="Yes", Changes!ValidityYear&lt;=Table14[[#This Row],[Year]], Changes!ChangeType="Rider Inclusion/Exclusion", Changes!RiderType="Accident Death"), T84*Changes!NewChangedValue,IF(db!$D$6="Yes",(db!$B$6)*T84,0)))</f>
        <v>0</v>
      </c>
      <c r="W84" s="29">
        <f>MIN(IF(V84&lt;=db!$L$2,V84,db!$L$2),MAX_ACC_CAPITAL)</f>
        <v>0</v>
      </c>
      <c r="X84" s="17">
        <f>IF(OR(B84=0,Table14[[#This Row],[Accident Capital (2)]]=0),0,IF(AND(Changes!Change="Yes", Changes!ValidityYear&lt;=Table14[[#This Row],[Year]], Changes!ChangeType="Rider Inclusion/Exclusion", Changes!RiderType="Accident Disability"), T84*Changes!NewChangedValue,IF(db!$D$7="Yes",(db!$B$7)*T84,0)))</f>
        <v>0</v>
      </c>
      <c r="Y84" s="42">
        <f>IF(C84&gt;69,0,IF(C84=0,0,IF(X84&lt;=db!$L$3,X84,db!$L$3)))</f>
        <v>0</v>
      </c>
      <c r="Z84" s="29">
        <f>IF(OR(B84=0,Table14[[#This Row],[Accident Capital (2)]]=0),0,IF(AND(Changes!Change="Yes", Changes!ValidityYear&lt;=Table14[[#This Row],[Year]], Changes!ChangeType="Rider Inclusion/Exclusion", Changes!RiderType="Accident Medical Cost"), T84*Changes!NewChangedValue,IF(db!$D$9="Yes",(db!$B$9)*T84,0)))</f>
        <v>0</v>
      </c>
      <c r="AA84" s="29">
        <f>ROUND(IF(C84&gt;69,0,IF(C84=0,0,IF(Z84&lt;=db!$L$4,Z84,db!$L$4))),0)</f>
        <v>0</v>
      </c>
      <c r="AB84" s="38">
        <f>IF(AND(Changes!Change = "Yes", Changes!ChangeType = "Rider Inclusion/Exclusion", Changes!RiderType = "WOP"), IF( Changes!ValidityYear &lt;= Table14[[#This Row],[Year]], IF(WOP = "Yes", 0, 1),  IF(WOP = "Yes", 1, 0)), IF(AND(db!$D$8="Yes",C84&lt;=69,ROW()-1&lt;=InsurancePeriod), 1, 0))</f>
        <v>0</v>
      </c>
      <c r="AC84" s="17">
        <f>(AC85+K85)*AB84*((1)/(1+db!AA86))*(LOOKUP(C84,'Mortality Table'!$A$2:$A$108,'Mortality Table'!$E$2:$E$108))</f>
        <v>0</v>
      </c>
      <c r="AD84" s="340">
        <f>IF(AND(Changes!ValidityYear&lt;= Table14[[#This Row],[Year]],Changes!ChangeType="Change Value Adjustment",Changes!Change="Yes"), (AD85+L85)*AB84*((1)/(1+db!AA86))*(LOOKUP(C84,'Mortality Table'!$A$2:$A$108,'Mortality Table'!$E$2:$E$108)),Table14[[#This Row],[WOP Before Adj. BT]])</f>
        <v>0</v>
      </c>
      <c r="AE84" s="341">
        <f>IF(AND(Changes!Change="Yes", Changes!ChangeType="Change Value Adjustment"),Table14[[#This Row],[WOP Capital]],(AE85+O85)*AB84*((1)/(1+db!AA86))*(LOOKUP(D84,'Mortality Table'!$A$2:$A$108,'Mortality Table'!$E$2:$E$108)))</f>
        <v>0</v>
      </c>
      <c r="AF84" s="17">
        <f>IF(AND(Changes!Change="Yes", Changes!ValidityYear&lt;=ROW()-1),Table14[[#This Row],[WOP Capital]],Table14[[#This Row],[WOP without change]])</f>
        <v>0</v>
      </c>
      <c r="AG84" s="42">
        <f>IF(AND(Changes!Change="Yes", Changes!ValidityYear&lt;=Table14[[#This Row],[Year]], Changes!ChangeType="Rider Inclusion/Exclusion", Changes!RiderType="Disability Annuity"), L84*Changes!NewChangedValue,L84*db!B$10*IF(db!$D$10="Yes",1,0))</f>
        <v>0</v>
      </c>
      <c r="AH84" s="29">
        <f>Table14[[#This Row],[Code Annuity Capital]]*IF('Annual Calculation'!C84&gt;69,0,(LOOKUP('Annual Calculation'!C84+1,'Mortality Table'!$A$2:$A$108,'Mortality Table'!$O$2:$O$108)-LOOKUP('Annual Calculation'!C84+11,'Mortality Table'!$A$2:$A$108,'Mortality Table'!$O$2:$O$108))/LOOKUP('Annual Calculation'!C84,'Mortality Table'!$A$2:$A$108,'Mortality Table'!$M$2:$M$108))</f>
        <v>0</v>
      </c>
      <c r="AI84" s="17">
        <f>IF(B84=0,0,IF(AND(Changes!Change="Yes", Changes!ValidityYear&lt;=Table14[[#This Row],[Year]], Changes!ChangeType="Rider Inclusion/Exclusion", Changes!RiderType="Dread Disease"), T84*Changes!NewChangedValue,IF(db!$D$11="Yes",(db!$B$11)*T84,0)))</f>
        <v>0</v>
      </c>
      <c r="AJ84" s="42">
        <f>ROUND(IF(C84&gt;59,0,IF(C84=0,0,IF(AI84&lt;=db!$L$5,AI84,db!$L$5))),0)</f>
        <v>0</v>
      </c>
      <c r="AK84" s="29">
        <f>IF(B84=0,0,IF(AND(Changes!Change="Yes", Changes!ValidityYear&lt;=Table14[[#This Row],[Year]], Changes!ChangeType="Rider Inclusion/Exclusion", Changes!RiderType="Cancer"), T84*Changes!NewChangedValue,IF(db!$D$12="Yes",(db!$B$12)*T84,0)))</f>
        <v>0</v>
      </c>
      <c r="AL84" s="29">
        <f>ROUND(IF(C84&gt;59,0,IF(C84=0,0,IF(AK84&lt;=db!$L$6,AK84,db!$L$6))),0)</f>
        <v>0</v>
      </c>
      <c r="AM84" s="32"/>
      <c r="AN84" s="18">
        <f>IF(B84=0,0,IF(C84&lt;(db!$E$2+5),LOOKUP(C84,'Mortality Table'!$A$2:$A$108,'Mortality Table'!$P$2:$P$108),IF((C84&gt;=db!$E$2+10),LOOKUP(C84,'Mortality Table'!$A$2:$A$108,'Mortality Table'!$R$2:$R$108),LOOKUP(C84,'Mortality Table'!$A$2:$A$108,'Mortality Table'!$Q$2:$Q$108))))</f>
        <v>0</v>
      </c>
      <c r="AO84" s="22">
        <f t="shared" si="22"/>
        <v>0</v>
      </c>
      <c r="AP84" s="19">
        <f>IF(B84=0,0, LOOKUP(IF(AND(Changes!Change="Yes", Changes!ValidityYear&lt;=Table14[[#This Row],[Year]], Changes!ChangeType="Change Job Class"),Changes!NewChangedValue, db!$A$8),db!$AX$4:$AX$8,db!$AY$4:$AY$8))</f>
        <v>0</v>
      </c>
      <c r="AQ84" s="20">
        <f>ROUND((AP84/1000)*W84 * (1-db!$AS$9),0)</f>
        <v>0</v>
      </c>
      <c r="AR84" s="20">
        <f>(AP84/1000)*W84 * db!$AS$9</f>
        <v>0</v>
      </c>
      <c r="AS84" s="21">
        <f>IF(B84=0,0, LOOKUP(IF(AND(Changes!Change="Yes", Changes!ValidityYear&lt;=Table14[[#This Row],[Year]], Changes!ChangeType="Change Job Class"),Changes!NewChangedValue, db!$A$8),db!$AX$4:$AX$8,db!$AZ$4:$AZ$8))</f>
        <v>0</v>
      </c>
      <c r="AT84" s="22">
        <f>(AS84/1000)*Y84*(1-db!$AS$9)</f>
        <v>0</v>
      </c>
      <c r="AU84" s="22">
        <f>(AS84/1000)*Y84*(db!$AS$9)</f>
        <v>0</v>
      </c>
      <c r="AV84" s="23">
        <f>IF(B84=0,0, LOOKUP(IF(AND(Changes!Change="Yes", Changes!ValidityYear&lt;=Table14[[#This Row],[Year]], Changes!ChangeType="Change Job Class"),Changes!NewChangedValue, db!$A$8),db!$AX$4:$AX$8,db!$BA$4:$BA$8))</f>
        <v>0</v>
      </c>
      <c r="AW84" s="20">
        <f>ROUND((AV84/(100))*AA84*(1-db!$AS$9),0)</f>
        <v>0</v>
      </c>
      <c r="AX84" s="20">
        <f>ROUND((AV84/(100))*AA84*(db!$AS$9),0)</f>
        <v>0</v>
      </c>
      <c r="AY84" s="21">
        <f>IF(db!$D$8="Yes",AS84,0)</f>
        <v>0</v>
      </c>
      <c r="AZ84" s="22">
        <f>(AY84*AF84)/1000*(1-db!$AS$9)</f>
        <v>0</v>
      </c>
      <c r="BA84" s="22">
        <f>(AY84*AF84)/1000*(db!$AS$9)</f>
        <v>0</v>
      </c>
      <c r="BB84" s="23">
        <f t="shared" si="23"/>
        <v>0</v>
      </c>
      <c r="BC84" s="20">
        <f>(BB84*AH84/1000)*(1-db!$AS$9)</f>
        <v>0</v>
      </c>
      <c r="BD84" s="20">
        <f>(BB84*AH84/1000)*(db!$AS$9)</f>
        <v>0</v>
      </c>
      <c r="BE84" s="22">
        <f>IF(B84=0,0,IF(C84&gt;60,0,LOOKUP(Table14[[#This Row],[Medical
Age]],db!$BC$3:$BC$63,db!$BD$3:$BD$63)))</f>
        <v>0</v>
      </c>
      <c r="BF84" s="22">
        <f>BG84*db!$AS$10</f>
        <v>0</v>
      </c>
      <c r="BG84" s="22">
        <f t="shared" si="24"/>
        <v>0</v>
      </c>
      <c r="BH84" s="22">
        <f>(BE84/1000000)*AJ84*(1-db!$AS$10)</f>
        <v>0</v>
      </c>
      <c r="BI84" s="20">
        <f>IF(B84=0,0,IF(C84&gt;59,0,LOOKUP(Table14[[#This Row],[Medical
Age]],db!$BC$3:$BC$63,db!$BE$3:$BE$63)))</f>
        <v>0</v>
      </c>
      <c r="BJ84" s="20">
        <f>(BI84/1000000)*AL84*(1-db!$AS$11)</f>
        <v>0</v>
      </c>
      <c r="BK84" s="20">
        <f>(BI84/1000000)*AL84*(db!$AS$11)</f>
        <v>0</v>
      </c>
      <c r="BL84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84" s="20">
        <f>Table14[[#This Row],[RiskLoading
Rate]]*Table14[[#This Row],[Death Capital (2)]]</f>
        <v>0</v>
      </c>
      <c r="BN84" s="36"/>
      <c r="BO84" s="37">
        <f t="shared" si="25"/>
        <v>0</v>
      </c>
      <c r="BP84" s="35">
        <f t="shared" si="26"/>
        <v>0</v>
      </c>
      <c r="BQ84" s="35">
        <f t="shared" si="27"/>
        <v>0</v>
      </c>
      <c r="BR84" s="37">
        <f t="shared" si="31"/>
        <v>0</v>
      </c>
      <c r="BS84" s="37">
        <f t="shared" si="32"/>
        <v>0</v>
      </c>
      <c r="BT84" s="35">
        <f t="shared" si="33"/>
        <v>0</v>
      </c>
      <c r="BU84" s="35">
        <f t="shared" si="34"/>
        <v>0</v>
      </c>
      <c r="BV84" s="37">
        <f>(db!$AS$4/100)*(L84-BT84-BU84)</f>
        <v>0</v>
      </c>
      <c r="BW84" s="37">
        <f>(db!$AS$8/100)*(L84-BT84-BU84)</f>
        <v>0</v>
      </c>
      <c r="BX84" s="35"/>
      <c r="BY84" s="37"/>
      <c r="BZ84" s="37"/>
      <c r="CA84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84" s="33"/>
      <c r="CC84" s="39">
        <f>ROUND((Table14[[#This Row],[Premium]]-Table14[[#This Row],[All Deductions]]),0)</f>
        <v>0</v>
      </c>
      <c r="CD84" s="40">
        <f>ROUND(IF(B84=0,0,((CC84)*(1+ IF(AND(Changes!Change="Yes",Changes!ValidityYear&lt;=Table14[[#This Row],[Year]],Annulment&gt;Table14[[#This Row],[Year]],Changes!ChangeType="Paid-Up"),db!Y86+0.02,db!Y86)))+((CD83)*(1+IF(AND(Changes!Change="Yes",Changes!ValidityYear&lt;=Table14[[#This Row],[Year]],Annulment&gt;Table14[[#This Row],[Year]],Changes!ChangeType="Paid-Up"),db!U86+0.02,db!U86)))),0)</f>
        <v>0</v>
      </c>
      <c r="CE84" s="40">
        <f>ROUND(IF(B84=0,0,((CC84)*(1+db!Y86))+((CE83)*(1+db!U86))),0)</f>
        <v>0</v>
      </c>
      <c r="CF84" s="40">
        <f t="shared" si="39"/>
        <v>0</v>
      </c>
      <c r="CG84" s="15">
        <f t="shared" si="35"/>
        <v>83</v>
      </c>
      <c r="CH84" s="39">
        <f>IF(B84=0,0,((CC84)*(1+db!AH86))+((CH83)*(1+db!AD86)))</f>
        <v>0</v>
      </c>
      <c r="CI84" s="39">
        <f>IF(B84=0,0,((CC84)*(1+db!AH86))+((CI83)*(1+db!AD86)))</f>
        <v>0</v>
      </c>
      <c r="CJ84" s="40">
        <f>IF(B84=0,0,((CC84)*(1+db!AO86))+((CJ83)*(1+db!AK86)))</f>
        <v>0</v>
      </c>
      <c r="CK84" s="40">
        <f>CJ84-(SUM(BX$7:$BX85))</f>
        <v>0</v>
      </c>
      <c r="CL84" s="26"/>
    </row>
    <row r="85" spans="1:90">
      <c r="A85" s="347">
        <f t="shared" si="36"/>
        <v>84</v>
      </c>
      <c r="B85" s="345">
        <f>IF(AND(Changes!Change="Yes", Changes!ChangeType="Change Contract Duration"),IF(B84=0,0,IF(Changes!NewChangedValue&lt;B84+1,0,B84+1)),IF(B84=0,0,IF('Application Annually'!$C$5&lt;B84+1,0,B84+1)))</f>
        <v>0</v>
      </c>
      <c r="C85" s="15">
        <f t="shared" si="37"/>
        <v>0</v>
      </c>
      <c r="D85" s="312">
        <f t="shared" si="38"/>
        <v>111</v>
      </c>
      <c r="E85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85" s="29">
        <f t="shared" si="28"/>
        <v>0</v>
      </c>
      <c r="G85" s="29">
        <f t="shared" si="29"/>
        <v>0</v>
      </c>
      <c r="H85" s="29">
        <f t="shared" si="20"/>
        <v>0</v>
      </c>
      <c r="I85" s="29">
        <f>IF(B85&gt;0,IF(AND(Table14[[#This Row],[Year]]&gt;Changes!ValidityYear,Changes!Change="Yes",Changes!ChangeType="Change Value Adjustment"),Changes!$G$22,'Application Annually'!$C$11),0)</f>
        <v>0</v>
      </c>
      <c r="J85" s="29">
        <f>IF(B85&gt;0,IF(AND(Table14[[#This Row],[Year]]&gt;Changes!ValidityYear,Changes!Change="Yes",Changes!ChangeType="Change Value Adjustment"),Changes!$G$24,'Application Annually'!$C$7),0)</f>
        <v>0</v>
      </c>
      <c r="K85" s="29">
        <f>ROUND(IF(B85=0,0,IF(AND(Changes!Change="Yes", Changes!ValidityYear=Table14[[#This Row],[Year]], Changes!ChangeType="Change Premium"), Changes!NewChangedValue, (K84*(1+db!$B$3)))),0)</f>
        <v>0</v>
      </c>
      <c r="L85" s="29">
        <f>ROUND(IF(B85=0,0,IF(AND(Changes!Change="Yes", Changes!ValidityYear=Table14[[#This Row],[Year]], Changes!ChangeType="Change Premium"), Changes!NewChangedValue, (L84*(1+Table14[[#This Row],[Adjustment Factor of Premium]]/100)))),0)</f>
        <v>0</v>
      </c>
      <c r="M85" s="29">
        <f>IF(Table14[[#This Row],[Year]]=1,ROUND(MIN($L$2 -( Table14[[#This Row],[Riders Risk Premiums]] + Table14[[#This Row],[Acquisition Cost]]) *0.75,Table14[[#This Row],[Death Capital (1)]]* 0.03),0),0)</f>
        <v>0</v>
      </c>
      <c r="N85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85" s="29">
        <f>ROUND(IF(ROW()-1&gt;InsurancePeriod,0,(O84*(1+(Table14[[#This Row],[Adjustment Factor of Premium]]/100)))),0)</f>
        <v>0</v>
      </c>
      <c r="P85" s="29">
        <f>IF(Table14[Year] = 0, 0, SUM(L$2:L85))</f>
        <v>0</v>
      </c>
      <c r="Q85" s="17">
        <f t="shared" si="21"/>
        <v>0</v>
      </c>
      <c r="R85" s="17">
        <f>IF(Table14[[#This Row],[Year]]=0,0,IF($C$2&lt;=50,LOOKUP(Table14[[#This Row],[Age]],db!BG86:BG192,db!BH86:BH192),LOOKUP(Table14[[#This Row],[Age]],db!BJ86:BJ192,db!BK86:BK192)))</f>
        <v>0</v>
      </c>
      <c r="S85" s="17">
        <f>IF(B85=0,0, IF(AND(Changes!Change="Yes", Changes!ValidityYear=Table14[[#This Row],[Year]], Changes!ChangeType="Change Death Capital"), Changes!NewChangedValue, S84*(1+(Table14[[#This Row],[Adjustment Factor of Death Capital]]/100))))</f>
        <v>0</v>
      </c>
      <c r="T85" s="17">
        <f>MIN(IF(B85=0,0,Table14[[#This Row],[Death Capital (1)]]),Table14[[#This Row],[Max Sum Insured For Death]])</f>
        <v>0</v>
      </c>
      <c r="U85" s="29">
        <f t="shared" si="30"/>
        <v>0</v>
      </c>
      <c r="V85" s="29">
        <f>IF(B85=0,0,IF(AND(Changes!Change="Yes", Changes!ValidityYear&lt;=Table14[[#This Row],[Year]], Changes!ChangeType="Rider Inclusion/Exclusion", Changes!RiderType="Accident Death"), T85*Changes!NewChangedValue,IF(db!$D$6="Yes",(db!$B$6)*T85,0)))</f>
        <v>0</v>
      </c>
      <c r="W85" s="29">
        <f>MIN(IF(V85&lt;=db!$L$2,V85,db!$L$2),MAX_ACC_CAPITAL)</f>
        <v>0</v>
      </c>
      <c r="X85" s="17">
        <f>IF(OR(B85=0,Table14[[#This Row],[Accident Capital (2)]]=0),0,IF(AND(Changes!Change="Yes", Changes!ValidityYear&lt;=Table14[[#This Row],[Year]], Changes!ChangeType="Rider Inclusion/Exclusion", Changes!RiderType="Accident Disability"), T85*Changes!NewChangedValue,IF(db!$D$7="Yes",(db!$B$7)*T85,0)))</f>
        <v>0</v>
      </c>
      <c r="Y85" s="42">
        <f>IF(C85&gt;69,0,IF(C85=0,0,IF(X85&lt;=db!$L$3,X85,db!$L$3)))</f>
        <v>0</v>
      </c>
      <c r="Z85" s="29">
        <f>IF(OR(B85=0,Table14[[#This Row],[Accident Capital (2)]]=0),0,IF(AND(Changes!Change="Yes", Changes!ValidityYear&lt;=Table14[[#This Row],[Year]], Changes!ChangeType="Rider Inclusion/Exclusion", Changes!RiderType="Accident Medical Cost"), T85*Changes!NewChangedValue,IF(db!$D$9="Yes",(db!$B$9)*T85,0)))</f>
        <v>0</v>
      </c>
      <c r="AA85" s="29">
        <f>ROUND(IF(C85&gt;69,0,IF(C85=0,0,IF(Z85&lt;=db!$L$4,Z85,db!$L$4))),0)</f>
        <v>0</v>
      </c>
      <c r="AB85" s="38">
        <f>IF(AND(Changes!Change = "Yes", Changes!ChangeType = "Rider Inclusion/Exclusion", Changes!RiderType = "WOP"), IF( Changes!ValidityYear &lt;= Table14[[#This Row],[Year]], IF(WOP = "Yes", 0, 1),  IF(WOP = "Yes", 1, 0)), IF(AND(db!$D$8="Yes",C85&lt;=69,ROW()-1&lt;=InsurancePeriod), 1, 0))</f>
        <v>0</v>
      </c>
      <c r="AC85" s="17">
        <f>(AC86+K86)*AB85*((1)/(1+db!AA87))*(LOOKUP(C85,'Mortality Table'!$A$2:$A$108,'Mortality Table'!$E$2:$E$108))</f>
        <v>0</v>
      </c>
      <c r="AD85" s="340">
        <f>IF(AND(Changes!ValidityYear&lt;= Table14[[#This Row],[Year]],Changes!ChangeType="Change Value Adjustment",Changes!Change="Yes"), (AD86+L86)*AB85*((1)/(1+db!AA87))*(LOOKUP(C85,'Mortality Table'!$A$2:$A$108,'Mortality Table'!$E$2:$E$108)),Table14[[#This Row],[WOP Before Adj. BT]])</f>
        <v>0</v>
      </c>
      <c r="AE85" s="341">
        <f>IF(AND(Changes!Change="Yes", Changes!ChangeType="Change Value Adjustment"),Table14[[#This Row],[WOP Capital]],(AE86+O86)*AB85*((1)/(1+db!AA87))*(LOOKUP(D85,'Mortality Table'!$A$2:$A$108,'Mortality Table'!$E$2:$E$108)))</f>
        <v>0</v>
      </c>
      <c r="AF85" s="17">
        <f>IF(AND(Changes!Change="Yes", Changes!ValidityYear&lt;=ROW()-1),Table14[[#This Row],[WOP Capital]],Table14[[#This Row],[WOP without change]])</f>
        <v>0</v>
      </c>
      <c r="AG85" s="42">
        <f>IF(AND(Changes!Change="Yes", Changes!ValidityYear&lt;=Table14[[#This Row],[Year]], Changes!ChangeType="Rider Inclusion/Exclusion", Changes!RiderType="Disability Annuity"), L85*Changes!NewChangedValue,L85*db!B$10*IF(db!$D$10="Yes",1,0))</f>
        <v>0</v>
      </c>
      <c r="AH85" s="29">
        <f>Table14[[#This Row],[Code Annuity Capital]]*IF('Annual Calculation'!C85&gt;69,0,(LOOKUP('Annual Calculation'!C85+1,'Mortality Table'!$A$2:$A$108,'Mortality Table'!$O$2:$O$108)-LOOKUP('Annual Calculation'!C85+11,'Mortality Table'!$A$2:$A$108,'Mortality Table'!$O$2:$O$108))/LOOKUP('Annual Calculation'!C85,'Mortality Table'!$A$2:$A$108,'Mortality Table'!$M$2:$M$108))</f>
        <v>0</v>
      </c>
      <c r="AI85" s="17">
        <f>IF(B85=0,0,IF(AND(Changes!Change="Yes", Changes!ValidityYear&lt;=Table14[[#This Row],[Year]], Changes!ChangeType="Rider Inclusion/Exclusion", Changes!RiderType="Dread Disease"), T85*Changes!NewChangedValue,IF(db!$D$11="Yes",(db!$B$11)*T85,0)))</f>
        <v>0</v>
      </c>
      <c r="AJ85" s="42">
        <f>ROUND(IF(C85&gt;59,0,IF(C85=0,0,IF(AI85&lt;=db!$L$5,AI85,db!$L$5))),0)</f>
        <v>0</v>
      </c>
      <c r="AK85" s="29">
        <f>IF(B85=0,0,IF(AND(Changes!Change="Yes", Changes!ValidityYear&lt;=Table14[[#This Row],[Year]], Changes!ChangeType="Rider Inclusion/Exclusion", Changes!RiderType="Cancer"), T85*Changes!NewChangedValue,IF(db!$D$12="Yes",(db!$B$12)*T85,0)))</f>
        <v>0</v>
      </c>
      <c r="AL85" s="29">
        <f>ROUND(IF(C85&gt;59,0,IF(C85=0,0,IF(AK85&lt;=db!$L$6,AK85,db!$L$6))),0)</f>
        <v>0</v>
      </c>
      <c r="AM85" s="32"/>
      <c r="AN85" s="18">
        <f>IF(B85=0,0,IF(C85&lt;(db!$E$2+5),LOOKUP(C85,'Mortality Table'!$A$2:$A$108,'Mortality Table'!$P$2:$P$108),IF((C85&gt;=db!$E$2+10),LOOKUP(C85,'Mortality Table'!$A$2:$A$108,'Mortality Table'!$R$2:$R$108),LOOKUP(C85,'Mortality Table'!$A$2:$A$108,'Mortality Table'!$Q$2:$Q$108))))</f>
        <v>0</v>
      </c>
      <c r="AO85" s="22">
        <f t="shared" si="22"/>
        <v>0</v>
      </c>
      <c r="AP85" s="19">
        <f>IF(B85=0,0, LOOKUP(IF(AND(Changes!Change="Yes", Changes!ValidityYear&lt;=Table14[[#This Row],[Year]], Changes!ChangeType="Change Job Class"),Changes!NewChangedValue, db!$A$8),db!$AX$4:$AX$8,db!$AY$4:$AY$8))</f>
        <v>0</v>
      </c>
      <c r="AQ85" s="20">
        <f>ROUND((AP85/1000)*W85 * (1-db!$AS$9),0)</f>
        <v>0</v>
      </c>
      <c r="AR85" s="20">
        <f>(AP85/1000)*W85 * db!$AS$9</f>
        <v>0</v>
      </c>
      <c r="AS85" s="21">
        <f>IF(B85=0,0, LOOKUP(IF(AND(Changes!Change="Yes", Changes!ValidityYear&lt;=Table14[[#This Row],[Year]], Changes!ChangeType="Change Job Class"),Changes!NewChangedValue, db!$A$8),db!$AX$4:$AX$8,db!$AZ$4:$AZ$8))</f>
        <v>0</v>
      </c>
      <c r="AT85" s="22">
        <f>(AS85/1000)*Y85*(1-db!$AS$9)</f>
        <v>0</v>
      </c>
      <c r="AU85" s="22">
        <f>(AS85/1000)*Y85*(db!$AS$9)</f>
        <v>0</v>
      </c>
      <c r="AV85" s="23">
        <f>IF(B85=0,0, LOOKUP(IF(AND(Changes!Change="Yes", Changes!ValidityYear&lt;=Table14[[#This Row],[Year]], Changes!ChangeType="Change Job Class"),Changes!NewChangedValue, db!$A$8),db!$AX$4:$AX$8,db!$BA$4:$BA$8))</f>
        <v>0</v>
      </c>
      <c r="AW85" s="20">
        <f>ROUND((AV85/(100))*AA85*(1-db!$AS$9),0)</f>
        <v>0</v>
      </c>
      <c r="AX85" s="20">
        <f>ROUND((AV85/(100))*AA85*(db!$AS$9),0)</f>
        <v>0</v>
      </c>
      <c r="AY85" s="21">
        <f>IF(db!$D$8="Yes",AS85,0)</f>
        <v>0</v>
      </c>
      <c r="AZ85" s="22">
        <f>(AY85*AF85)/1000*(1-db!$AS$9)</f>
        <v>0</v>
      </c>
      <c r="BA85" s="22">
        <f>(AY85*AF85)/1000*(db!$AS$9)</f>
        <v>0</v>
      </c>
      <c r="BB85" s="23">
        <f t="shared" si="23"/>
        <v>0</v>
      </c>
      <c r="BC85" s="20">
        <f>(BB85*AH85/1000)*(1-db!$AS$9)</f>
        <v>0</v>
      </c>
      <c r="BD85" s="20">
        <f>(BB85*AH85/1000)*(db!$AS$9)</f>
        <v>0</v>
      </c>
      <c r="BE85" s="22">
        <f>IF(B85=0,0,IF(C85&gt;60,0,LOOKUP(Table14[[#This Row],[Medical
Age]],db!$BC$3:$BC$63,db!$BD$3:$BD$63)))</f>
        <v>0</v>
      </c>
      <c r="BF85" s="22">
        <f>BG85*db!$AS$10</f>
        <v>0</v>
      </c>
      <c r="BG85" s="22">
        <f t="shared" si="24"/>
        <v>0</v>
      </c>
      <c r="BH85" s="22">
        <f>(BE85/1000000)*AJ85*(1-db!$AS$10)</f>
        <v>0</v>
      </c>
      <c r="BI85" s="20">
        <f>IF(B85=0,0,IF(C85&gt;59,0,LOOKUP(Table14[[#This Row],[Medical
Age]],db!$BC$3:$BC$63,db!$BE$3:$BE$63)))</f>
        <v>0</v>
      </c>
      <c r="BJ85" s="20">
        <f>(BI85/1000000)*AL85*(1-db!$AS$11)</f>
        <v>0</v>
      </c>
      <c r="BK85" s="20">
        <f>(BI85/1000000)*AL85*(db!$AS$11)</f>
        <v>0</v>
      </c>
      <c r="BL85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85" s="20">
        <f>Table14[[#This Row],[RiskLoading
Rate]]*Table14[[#This Row],[Death Capital (2)]]</f>
        <v>0</v>
      </c>
      <c r="BN85" s="36"/>
      <c r="BO85" s="37">
        <f t="shared" si="25"/>
        <v>0</v>
      </c>
      <c r="BP85" s="35">
        <f t="shared" si="26"/>
        <v>0</v>
      </c>
      <c r="BQ85" s="35">
        <f t="shared" si="27"/>
        <v>0</v>
      </c>
      <c r="BR85" s="37">
        <f t="shared" si="31"/>
        <v>0</v>
      </c>
      <c r="BS85" s="37">
        <f t="shared" si="32"/>
        <v>0</v>
      </c>
      <c r="BT85" s="35">
        <f t="shared" si="33"/>
        <v>0</v>
      </c>
      <c r="BU85" s="35">
        <f t="shared" si="34"/>
        <v>0</v>
      </c>
      <c r="BV85" s="37">
        <f>(db!$AS$4/100)*(L85-BT85-BU85)</f>
        <v>0</v>
      </c>
      <c r="BW85" s="37">
        <f>(db!$AS$8/100)*(L85-BT85-BU85)</f>
        <v>0</v>
      </c>
      <c r="BX85" s="35"/>
      <c r="BY85" s="37"/>
      <c r="BZ85" s="37"/>
      <c r="CA85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85" s="33"/>
      <c r="CC85" s="39">
        <f>ROUND((Table14[[#This Row],[Premium]]-Table14[[#This Row],[All Deductions]]),0)</f>
        <v>0</v>
      </c>
      <c r="CD85" s="40">
        <f>ROUND(IF(B85=0,0,((CC85)*(1+ IF(AND(Changes!Change="Yes",Changes!ValidityYear&lt;=Table14[[#This Row],[Year]],Annulment&gt;Table14[[#This Row],[Year]],Changes!ChangeType="Paid-Up"),db!Y87+0.02,db!Y87)))+((CD84)*(1+IF(AND(Changes!Change="Yes",Changes!ValidityYear&lt;=Table14[[#This Row],[Year]],Annulment&gt;Table14[[#This Row],[Year]],Changes!ChangeType="Paid-Up"),db!U87+0.02,db!U87)))),0)</f>
        <v>0</v>
      </c>
      <c r="CE85" s="40">
        <f>ROUND(IF(B85=0,0,((CC85)*(1+db!Y87))+((CE84)*(1+db!U87))),0)</f>
        <v>0</v>
      </c>
      <c r="CF85" s="40">
        <f t="shared" si="39"/>
        <v>0</v>
      </c>
      <c r="CG85" s="15">
        <f t="shared" si="35"/>
        <v>84</v>
      </c>
      <c r="CH85" s="39">
        <f>IF(B85=0,0,((CC85)*(1+db!AH87))+((CH84)*(1+db!AD87)))</f>
        <v>0</v>
      </c>
      <c r="CI85" s="39">
        <f>IF(B85=0,0,((CC85)*(1+db!AH87))+((CI84)*(1+db!AD87)))</f>
        <v>0</v>
      </c>
      <c r="CJ85" s="40">
        <f>IF(B85=0,0,((CC85)*(1+db!AO87))+((CJ84)*(1+db!AK87)))</f>
        <v>0</v>
      </c>
      <c r="CK85" s="40">
        <f>CJ85-(SUM(BX$7:$BX86))</f>
        <v>0</v>
      </c>
      <c r="CL85" s="26"/>
    </row>
    <row r="86" spans="1:90">
      <c r="A86" s="347">
        <f t="shared" si="36"/>
        <v>85</v>
      </c>
      <c r="B86" s="345">
        <f>IF(AND(Changes!Change="Yes", Changes!ChangeType="Change Contract Duration"),IF(B85=0,0,IF(Changes!NewChangedValue&lt;B85+1,0,B85+1)),IF(B85=0,0,IF('Application Annually'!$C$5&lt;B85+1,0,B85+1)))</f>
        <v>0</v>
      </c>
      <c r="C86" s="15">
        <f t="shared" si="37"/>
        <v>0</v>
      </c>
      <c r="D86" s="312">
        <f t="shared" si="38"/>
        <v>112</v>
      </c>
      <c r="E86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86" s="29">
        <f t="shared" si="28"/>
        <v>0</v>
      </c>
      <c r="G86" s="29">
        <f t="shared" si="29"/>
        <v>0</v>
      </c>
      <c r="H86" s="29">
        <f t="shared" si="20"/>
        <v>0</v>
      </c>
      <c r="I86" s="29">
        <f>IF(B86&gt;0,IF(AND(Table14[[#This Row],[Year]]&gt;Changes!ValidityYear,Changes!Change="Yes",Changes!ChangeType="Change Value Adjustment"),Changes!$G$22,'Application Annually'!$C$11),0)</f>
        <v>0</v>
      </c>
      <c r="J86" s="29">
        <f>IF(B86&gt;0,IF(AND(Table14[[#This Row],[Year]]&gt;Changes!ValidityYear,Changes!Change="Yes",Changes!ChangeType="Change Value Adjustment"),Changes!$G$24,'Application Annually'!$C$7),0)</f>
        <v>0</v>
      </c>
      <c r="K86" s="29">
        <f>ROUND(IF(B86=0,0,IF(AND(Changes!Change="Yes", Changes!ValidityYear=Table14[[#This Row],[Year]], Changes!ChangeType="Change Premium"), Changes!NewChangedValue, (K85*(1+db!$B$3)))),0)</f>
        <v>0</v>
      </c>
      <c r="L86" s="29">
        <f>ROUND(IF(B86=0,0,IF(AND(Changes!Change="Yes", Changes!ValidityYear=Table14[[#This Row],[Year]], Changes!ChangeType="Change Premium"), Changes!NewChangedValue, (L85*(1+Table14[[#This Row],[Adjustment Factor of Premium]]/100)))),0)</f>
        <v>0</v>
      </c>
      <c r="M86" s="29">
        <f>IF(Table14[[#This Row],[Year]]=1,ROUND(MIN($L$2 -( Table14[[#This Row],[Riders Risk Premiums]] + Table14[[#This Row],[Acquisition Cost]]) *0.75,Table14[[#This Row],[Death Capital (1)]]* 0.03),0),0)</f>
        <v>0</v>
      </c>
      <c r="N86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86" s="29">
        <f>ROUND(IF(ROW()-1&gt;InsurancePeriod,0,(O85*(1+(Table14[[#This Row],[Adjustment Factor of Premium]]/100)))),0)</f>
        <v>0</v>
      </c>
      <c r="P86" s="29">
        <f>IF(Table14[Year] = 0, 0, SUM(L$2:L86))</f>
        <v>0</v>
      </c>
      <c r="Q86" s="17">
        <f t="shared" si="21"/>
        <v>0</v>
      </c>
      <c r="R86" s="17">
        <f>IF(Table14[[#This Row],[Year]]=0,0,IF($C$2&lt;=50,LOOKUP(Table14[[#This Row],[Age]],db!BG87:BG193,db!BH87:BH193),LOOKUP(Table14[[#This Row],[Age]],db!BJ87:BJ193,db!BK87:BK193)))</f>
        <v>0</v>
      </c>
      <c r="S86" s="17">
        <f>IF(B86=0,0, IF(AND(Changes!Change="Yes", Changes!ValidityYear=Table14[[#This Row],[Year]], Changes!ChangeType="Change Death Capital"), Changes!NewChangedValue, S85*(1+(Table14[[#This Row],[Adjustment Factor of Death Capital]]/100))))</f>
        <v>0</v>
      </c>
      <c r="T86" s="17">
        <f>MIN(IF(B86=0,0,Table14[[#This Row],[Death Capital (1)]]),Table14[[#This Row],[Max Sum Insured For Death]])</f>
        <v>0</v>
      </c>
      <c r="U86" s="29">
        <f t="shared" si="30"/>
        <v>0</v>
      </c>
      <c r="V86" s="29">
        <f>IF(B86=0,0,IF(AND(Changes!Change="Yes", Changes!ValidityYear&lt;=Table14[[#This Row],[Year]], Changes!ChangeType="Rider Inclusion/Exclusion", Changes!RiderType="Accident Death"), T86*Changes!NewChangedValue,IF(db!$D$6="Yes",(db!$B$6)*T86,0)))</f>
        <v>0</v>
      </c>
      <c r="W86" s="29">
        <f>MIN(IF(V86&lt;=db!$L$2,V86,db!$L$2),MAX_ACC_CAPITAL)</f>
        <v>0</v>
      </c>
      <c r="X86" s="17">
        <f>IF(OR(B86=0,Table14[[#This Row],[Accident Capital (2)]]=0),0,IF(AND(Changes!Change="Yes", Changes!ValidityYear&lt;=Table14[[#This Row],[Year]], Changes!ChangeType="Rider Inclusion/Exclusion", Changes!RiderType="Accident Disability"), T86*Changes!NewChangedValue,IF(db!$D$7="Yes",(db!$B$7)*T86,0)))</f>
        <v>0</v>
      </c>
      <c r="Y86" s="42">
        <f>IF(C86&gt;69,0,IF(C86=0,0,IF(X86&lt;=db!$L$3,X86,db!$L$3)))</f>
        <v>0</v>
      </c>
      <c r="Z86" s="29">
        <f>IF(OR(B86=0,Table14[[#This Row],[Accident Capital (2)]]=0),0,IF(AND(Changes!Change="Yes", Changes!ValidityYear&lt;=Table14[[#This Row],[Year]], Changes!ChangeType="Rider Inclusion/Exclusion", Changes!RiderType="Accident Medical Cost"), T86*Changes!NewChangedValue,IF(db!$D$9="Yes",(db!$B$9)*T86,0)))</f>
        <v>0</v>
      </c>
      <c r="AA86" s="29">
        <f>ROUND(IF(C86&gt;69,0,IF(C86=0,0,IF(Z86&lt;=db!$L$4,Z86,db!$L$4))),0)</f>
        <v>0</v>
      </c>
      <c r="AB86" s="38">
        <f>IF(AND(Changes!Change = "Yes", Changes!ChangeType = "Rider Inclusion/Exclusion", Changes!RiderType = "WOP"), IF( Changes!ValidityYear &lt;= Table14[[#This Row],[Year]], IF(WOP = "Yes", 0, 1),  IF(WOP = "Yes", 1, 0)), IF(AND(db!$D$8="Yes",C86&lt;=69,ROW()-1&lt;=InsurancePeriod), 1, 0))</f>
        <v>0</v>
      </c>
      <c r="AC86" s="17">
        <f>(AC87+K87)*AB86*((1)/(1+db!AA88))*(LOOKUP(C86,'Mortality Table'!$A$2:$A$108,'Mortality Table'!$E$2:$E$108))</f>
        <v>0</v>
      </c>
      <c r="AD86" s="340">
        <f>IF(AND(Changes!ValidityYear&lt;= Table14[[#This Row],[Year]],Changes!ChangeType="Change Value Adjustment",Changes!Change="Yes"), (AD87+L87)*AB86*((1)/(1+db!AA88))*(LOOKUP(C86,'Mortality Table'!$A$2:$A$108,'Mortality Table'!$E$2:$E$108)),Table14[[#This Row],[WOP Before Adj. BT]])</f>
        <v>0</v>
      </c>
      <c r="AE86" s="341">
        <f>IF(AND(Changes!Change="Yes", Changes!ChangeType="Change Value Adjustment"),Table14[[#This Row],[WOP Capital]],(AE87+O87)*AB86*((1)/(1+db!AA88))*(LOOKUP(D86,'Mortality Table'!$A$2:$A$108,'Mortality Table'!$E$2:$E$108)))</f>
        <v>0</v>
      </c>
      <c r="AF86" s="17">
        <f>IF(AND(Changes!Change="Yes", Changes!ValidityYear&lt;=ROW()-1),Table14[[#This Row],[WOP Capital]],Table14[[#This Row],[WOP without change]])</f>
        <v>0</v>
      </c>
      <c r="AG86" s="42">
        <f>IF(AND(Changes!Change="Yes", Changes!ValidityYear&lt;=Table14[[#This Row],[Year]], Changes!ChangeType="Rider Inclusion/Exclusion", Changes!RiderType="Disability Annuity"), L86*Changes!NewChangedValue,L86*db!B$10*IF(db!$D$10="Yes",1,0))</f>
        <v>0</v>
      </c>
      <c r="AH86" s="29">
        <f>Table14[[#This Row],[Code Annuity Capital]]*IF('Annual Calculation'!C86&gt;69,0,(LOOKUP('Annual Calculation'!C86+1,'Mortality Table'!$A$2:$A$108,'Mortality Table'!$O$2:$O$108)-LOOKUP('Annual Calculation'!C86+11,'Mortality Table'!$A$2:$A$108,'Mortality Table'!$O$2:$O$108))/LOOKUP('Annual Calculation'!C86,'Mortality Table'!$A$2:$A$108,'Mortality Table'!$M$2:$M$108))</f>
        <v>0</v>
      </c>
      <c r="AI86" s="17">
        <f>IF(B86=0,0,IF(AND(Changes!Change="Yes", Changes!ValidityYear&lt;=Table14[[#This Row],[Year]], Changes!ChangeType="Rider Inclusion/Exclusion", Changes!RiderType="Dread Disease"), T86*Changes!NewChangedValue,IF(db!$D$11="Yes",(db!$B$11)*T86,0)))</f>
        <v>0</v>
      </c>
      <c r="AJ86" s="42">
        <f>ROUND(IF(C86&gt;59,0,IF(C86=0,0,IF(AI86&lt;=db!$L$5,AI86,db!$L$5))),0)</f>
        <v>0</v>
      </c>
      <c r="AK86" s="29">
        <f>IF(B86=0,0,IF(AND(Changes!Change="Yes", Changes!ValidityYear&lt;=Table14[[#This Row],[Year]], Changes!ChangeType="Rider Inclusion/Exclusion", Changes!RiderType="Cancer"), T86*Changes!NewChangedValue,IF(db!$D$12="Yes",(db!$B$12)*T86,0)))</f>
        <v>0</v>
      </c>
      <c r="AL86" s="29">
        <f>ROUND(IF(C86&gt;59,0,IF(C86=0,0,IF(AK86&lt;=db!$L$6,AK86,db!$L$6))),0)</f>
        <v>0</v>
      </c>
      <c r="AM86" s="32"/>
      <c r="AN86" s="18">
        <f>IF(B86=0,0,IF(C86&lt;(db!$E$2+5),LOOKUP(C86,'Mortality Table'!$A$2:$A$108,'Mortality Table'!$P$2:$P$108),IF((C86&gt;=db!$E$2+10),LOOKUP(C86,'Mortality Table'!$A$2:$A$108,'Mortality Table'!$R$2:$R$108),LOOKUP(C86,'Mortality Table'!$A$2:$A$108,'Mortality Table'!$Q$2:$Q$108))))</f>
        <v>0</v>
      </c>
      <c r="AO86" s="22">
        <f t="shared" si="22"/>
        <v>0</v>
      </c>
      <c r="AP86" s="19">
        <f>IF(B86=0,0, LOOKUP(IF(AND(Changes!Change="Yes", Changes!ValidityYear&lt;=Table14[[#This Row],[Year]], Changes!ChangeType="Change Job Class"),Changes!NewChangedValue, db!$A$8),db!$AX$4:$AX$8,db!$AY$4:$AY$8))</f>
        <v>0</v>
      </c>
      <c r="AQ86" s="20">
        <f>ROUND((AP86/1000)*W86 * (1-db!$AS$9),0)</f>
        <v>0</v>
      </c>
      <c r="AR86" s="20">
        <f>(AP86/1000)*W86 * db!$AS$9</f>
        <v>0</v>
      </c>
      <c r="AS86" s="21">
        <f>IF(B86=0,0, LOOKUP(IF(AND(Changes!Change="Yes", Changes!ValidityYear&lt;=Table14[[#This Row],[Year]], Changes!ChangeType="Change Job Class"),Changes!NewChangedValue, db!$A$8),db!$AX$4:$AX$8,db!$AZ$4:$AZ$8))</f>
        <v>0</v>
      </c>
      <c r="AT86" s="22">
        <f>(AS86/1000)*Y86*(1-db!$AS$9)</f>
        <v>0</v>
      </c>
      <c r="AU86" s="22">
        <f>(AS86/1000)*Y86*(db!$AS$9)</f>
        <v>0</v>
      </c>
      <c r="AV86" s="23">
        <f>IF(B86=0,0, LOOKUP(IF(AND(Changes!Change="Yes", Changes!ValidityYear&lt;=Table14[[#This Row],[Year]], Changes!ChangeType="Change Job Class"),Changes!NewChangedValue, db!$A$8),db!$AX$4:$AX$8,db!$BA$4:$BA$8))</f>
        <v>0</v>
      </c>
      <c r="AW86" s="20">
        <f>ROUND((AV86/(100))*AA86*(1-db!$AS$9),0)</f>
        <v>0</v>
      </c>
      <c r="AX86" s="20">
        <f>ROUND((AV86/(100))*AA86*(db!$AS$9),0)</f>
        <v>0</v>
      </c>
      <c r="AY86" s="21">
        <f>IF(db!$D$8="Yes",AS86,0)</f>
        <v>0</v>
      </c>
      <c r="AZ86" s="22">
        <f>(AY86*AF86)/1000*(1-db!$AS$9)</f>
        <v>0</v>
      </c>
      <c r="BA86" s="22">
        <f>(AY86*AF86)/1000*(db!$AS$9)</f>
        <v>0</v>
      </c>
      <c r="BB86" s="23">
        <f t="shared" si="23"/>
        <v>0</v>
      </c>
      <c r="BC86" s="20">
        <f>(BB86*AH86/1000)*(1-db!$AS$9)</f>
        <v>0</v>
      </c>
      <c r="BD86" s="20">
        <f>(BB86*AH86/1000)*(db!$AS$9)</f>
        <v>0</v>
      </c>
      <c r="BE86" s="22">
        <f>IF(B86=0,0,IF(C86&gt;60,0,LOOKUP(Table14[[#This Row],[Medical
Age]],db!$BC$3:$BC$63,db!$BD$3:$BD$63)))</f>
        <v>0</v>
      </c>
      <c r="BF86" s="22">
        <f>BG86*db!$AS$10</f>
        <v>0</v>
      </c>
      <c r="BG86" s="22">
        <f t="shared" si="24"/>
        <v>0</v>
      </c>
      <c r="BH86" s="22">
        <f>(BE86/1000000)*AJ86*(1-db!$AS$10)</f>
        <v>0</v>
      </c>
      <c r="BI86" s="20">
        <f>IF(B86=0,0,IF(C86&gt;59,0,LOOKUP(Table14[[#This Row],[Medical
Age]],db!$BC$3:$BC$63,db!$BE$3:$BE$63)))</f>
        <v>0</v>
      </c>
      <c r="BJ86" s="20">
        <f>(BI86/1000000)*AL86*(1-db!$AS$11)</f>
        <v>0</v>
      </c>
      <c r="BK86" s="20">
        <f>(BI86/1000000)*AL86*(db!$AS$11)</f>
        <v>0</v>
      </c>
      <c r="BL86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86" s="20">
        <f>Table14[[#This Row],[RiskLoading
Rate]]*Table14[[#This Row],[Death Capital (2)]]</f>
        <v>0</v>
      </c>
      <c r="BN86" s="36"/>
      <c r="BO86" s="37">
        <f t="shared" si="25"/>
        <v>0</v>
      </c>
      <c r="BP86" s="35">
        <f t="shared" si="26"/>
        <v>0</v>
      </c>
      <c r="BQ86" s="35">
        <f t="shared" si="27"/>
        <v>0</v>
      </c>
      <c r="BR86" s="37">
        <f t="shared" si="31"/>
        <v>0</v>
      </c>
      <c r="BS86" s="37">
        <f t="shared" si="32"/>
        <v>0</v>
      </c>
      <c r="BT86" s="35">
        <f t="shared" si="33"/>
        <v>0</v>
      </c>
      <c r="BU86" s="35">
        <f t="shared" si="34"/>
        <v>0</v>
      </c>
      <c r="BV86" s="37">
        <f>(db!$AS$4/100)*(L86-BT86-BU86)</f>
        <v>0</v>
      </c>
      <c r="BW86" s="37">
        <f>(db!$AS$8/100)*(L86-BT86-BU86)</f>
        <v>0</v>
      </c>
      <c r="BX86" s="35"/>
      <c r="BY86" s="37"/>
      <c r="BZ86" s="37"/>
      <c r="CA86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86" s="33"/>
      <c r="CC86" s="39">
        <f>ROUND((Table14[[#This Row],[Premium]]-Table14[[#This Row],[All Deductions]]),0)</f>
        <v>0</v>
      </c>
      <c r="CD86" s="40">
        <f>ROUND(IF(B86=0,0,((CC86)*(1+ IF(AND(Changes!Change="Yes",Changes!ValidityYear&lt;=Table14[[#This Row],[Year]],Annulment&gt;Table14[[#This Row],[Year]],Changes!ChangeType="Paid-Up"),db!Y88+0.02,db!Y88)))+((CD85)*(1+IF(AND(Changes!Change="Yes",Changes!ValidityYear&lt;=Table14[[#This Row],[Year]],Annulment&gt;Table14[[#This Row],[Year]],Changes!ChangeType="Paid-Up"),db!U88+0.02,db!U88)))),0)</f>
        <v>0</v>
      </c>
      <c r="CE86" s="40">
        <f>ROUND(IF(B86=0,0,((CC86)*(1+db!Y88))+((CE85)*(1+db!U88))),0)</f>
        <v>0</v>
      </c>
      <c r="CF86" s="40">
        <f t="shared" si="39"/>
        <v>0</v>
      </c>
      <c r="CG86" s="15">
        <f t="shared" si="35"/>
        <v>85</v>
      </c>
      <c r="CH86" s="39">
        <f>IF(B86=0,0,((CC86)*(1+db!AH88))+((CH85)*(1+db!AD88)))</f>
        <v>0</v>
      </c>
      <c r="CI86" s="39">
        <f>IF(B86=0,0,((CC86)*(1+db!AH88))+((CI85)*(1+db!AD88)))</f>
        <v>0</v>
      </c>
      <c r="CJ86" s="40">
        <f>IF(B86=0,0,((CC86)*(1+db!AO88))+((CJ85)*(1+db!AK88)))</f>
        <v>0</v>
      </c>
      <c r="CK86" s="40">
        <f>CJ86-(SUM(BX$7:$BX87))</f>
        <v>0</v>
      </c>
      <c r="CL86" s="26"/>
    </row>
    <row r="87" spans="1:90">
      <c r="A87" s="347">
        <f t="shared" si="36"/>
        <v>86</v>
      </c>
      <c r="B87" s="345">
        <f>IF(AND(Changes!Change="Yes", Changes!ChangeType="Change Contract Duration"),IF(B86=0,0,IF(Changes!NewChangedValue&lt;B86+1,0,B86+1)),IF(B86=0,0,IF('Application Annually'!$C$5&lt;B86+1,0,B86+1)))</f>
        <v>0</v>
      </c>
      <c r="C87" s="15">
        <f t="shared" si="37"/>
        <v>0</v>
      </c>
      <c r="D87" s="312">
        <f t="shared" si="38"/>
        <v>113</v>
      </c>
      <c r="E87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87" s="29">
        <f t="shared" si="28"/>
        <v>0</v>
      </c>
      <c r="G87" s="29">
        <f t="shared" si="29"/>
        <v>0</v>
      </c>
      <c r="H87" s="29">
        <f t="shared" si="20"/>
        <v>0</v>
      </c>
      <c r="I87" s="29">
        <f>IF(B87&gt;0,IF(AND(Table14[[#This Row],[Year]]&gt;Changes!ValidityYear,Changes!Change="Yes",Changes!ChangeType="Change Value Adjustment"),Changes!$G$22,'Application Annually'!$C$11),0)</f>
        <v>0</v>
      </c>
      <c r="J87" s="29">
        <f>IF(B87&gt;0,IF(AND(Table14[[#This Row],[Year]]&gt;Changes!ValidityYear,Changes!Change="Yes",Changes!ChangeType="Change Value Adjustment"),Changes!$G$24,'Application Annually'!$C$7),0)</f>
        <v>0</v>
      </c>
      <c r="K87" s="29">
        <f>ROUND(IF(B87=0,0,IF(AND(Changes!Change="Yes", Changes!ValidityYear=Table14[[#This Row],[Year]], Changes!ChangeType="Change Premium"), Changes!NewChangedValue, (K86*(1+db!$B$3)))),0)</f>
        <v>0</v>
      </c>
      <c r="L87" s="29">
        <f>ROUND(IF(B87=0,0,IF(AND(Changes!Change="Yes", Changes!ValidityYear=Table14[[#This Row],[Year]], Changes!ChangeType="Change Premium"), Changes!NewChangedValue, (L86*(1+Table14[[#This Row],[Adjustment Factor of Premium]]/100)))),0)</f>
        <v>0</v>
      </c>
      <c r="M87" s="29">
        <f>IF(Table14[[#This Row],[Year]]=1,ROUND(MIN($L$2 -( Table14[[#This Row],[Riders Risk Premiums]] + Table14[[#This Row],[Acquisition Cost]]) *0.75,Table14[[#This Row],[Death Capital (1)]]* 0.03),0),0)</f>
        <v>0</v>
      </c>
      <c r="N87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87" s="29">
        <f>ROUND(IF(ROW()-1&gt;InsurancePeriod,0,(O86*(1+(Table14[[#This Row],[Adjustment Factor of Premium]]/100)))),0)</f>
        <v>0</v>
      </c>
      <c r="P87" s="29">
        <f>IF(Table14[Year] = 0, 0, SUM(L$2:L87))</f>
        <v>0</v>
      </c>
      <c r="Q87" s="17">
        <f t="shared" si="21"/>
        <v>0</v>
      </c>
      <c r="R87" s="17">
        <f>IF(Table14[[#This Row],[Year]]=0,0,IF($C$2&lt;=50,LOOKUP(Table14[[#This Row],[Age]],db!BG88:BG194,db!BH88:BH194),LOOKUP(Table14[[#This Row],[Age]],db!BJ88:BJ194,db!BK88:BK194)))</f>
        <v>0</v>
      </c>
      <c r="S87" s="17">
        <f>IF(B87=0,0, IF(AND(Changes!Change="Yes", Changes!ValidityYear=Table14[[#This Row],[Year]], Changes!ChangeType="Change Death Capital"), Changes!NewChangedValue, S86*(1+(Table14[[#This Row],[Adjustment Factor of Death Capital]]/100))))</f>
        <v>0</v>
      </c>
      <c r="T87" s="17">
        <f>MIN(IF(B87=0,0,Table14[[#This Row],[Death Capital (1)]]),Table14[[#This Row],[Max Sum Insured For Death]])</f>
        <v>0</v>
      </c>
      <c r="U87" s="29">
        <f t="shared" si="30"/>
        <v>0</v>
      </c>
      <c r="V87" s="29">
        <f>IF(B87=0,0,IF(AND(Changes!Change="Yes", Changes!ValidityYear&lt;=Table14[[#This Row],[Year]], Changes!ChangeType="Rider Inclusion/Exclusion", Changes!RiderType="Accident Death"), T87*Changes!NewChangedValue,IF(db!$D$6="Yes",(db!$B$6)*T87,0)))</f>
        <v>0</v>
      </c>
      <c r="W87" s="29">
        <f>MIN(IF(V87&lt;=db!$L$2,V87,db!$L$2),MAX_ACC_CAPITAL)</f>
        <v>0</v>
      </c>
      <c r="X87" s="17">
        <f>IF(OR(B87=0,Table14[[#This Row],[Accident Capital (2)]]=0),0,IF(AND(Changes!Change="Yes", Changes!ValidityYear&lt;=Table14[[#This Row],[Year]], Changes!ChangeType="Rider Inclusion/Exclusion", Changes!RiderType="Accident Disability"), T87*Changes!NewChangedValue,IF(db!$D$7="Yes",(db!$B$7)*T87,0)))</f>
        <v>0</v>
      </c>
      <c r="Y87" s="42">
        <f>IF(C87&gt;69,0,IF(C87=0,0,IF(X87&lt;=db!$L$3,X87,db!$L$3)))</f>
        <v>0</v>
      </c>
      <c r="Z87" s="29">
        <f>IF(OR(B87=0,Table14[[#This Row],[Accident Capital (2)]]=0),0,IF(AND(Changes!Change="Yes", Changes!ValidityYear&lt;=Table14[[#This Row],[Year]], Changes!ChangeType="Rider Inclusion/Exclusion", Changes!RiderType="Accident Medical Cost"), T87*Changes!NewChangedValue,IF(db!$D$9="Yes",(db!$B$9)*T87,0)))</f>
        <v>0</v>
      </c>
      <c r="AA87" s="29">
        <f>ROUND(IF(C87&gt;69,0,IF(C87=0,0,IF(Z87&lt;=db!$L$4,Z87,db!$L$4))),0)</f>
        <v>0</v>
      </c>
      <c r="AB87" s="38">
        <f>IF(AND(Changes!Change = "Yes", Changes!ChangeType = "Rider Inclusion/Exclusion", Changes!RiderType = "WOP"), IF( Changes!ValidityYear &lt;= Table14[[#This Row],[Year]], IF(WOP = "Yes", 0, 1),  IF(WOP = "Yes", 1, 0)), IF(AND(db!$D$8="Yes",C87&lt;=69,ROW()-1&lt;=InsurancePeriod), 1, 0))</f>
        <v>0</v>
      </c>
      <c r="AC87" s="17">
        <f>(AC88+K88)*AB87*((1)/(1+db!AA89))*(LOOKUP(C87,'Mortality Table'!$A$2:$A$108,'Mortality Table'!$E$2:$E$108))</f>
        <v>0</v>
      </c>
      <c r="AD87" s="340">
        <f>IF(AND(Changes!ValidityYear&lt;= Table14[[#This Row],[Year]],Changes!ChangeType="Change Value Adjustment",Changes!Change="Yes"), (AD88+L88)*AB87*((1)/(1+db!AA89))*(LOOKUP(C87,'Mortality Table'!$A$2:$A$108,'Mortality Table'!$E$2:$E$108)),Table14[[#This Row],[WOP Before Adj. BT]])</f>
        <v>0</v>
      </c>
      <c r="AE87" s="341">
        <f>IF(AND(Changes!Change="Yes", Changes!ChangeType="Change Value Adjustment"),Table14[[#This Row],[WOP Capital]],(AE88+O88)*AB87*((1)/(1+db!AA89))*(LOOKUP(D87,'Mortality Table'!$A$2:$A$108,'Mortality Table'!$E$2:$E$108)))</f>
        <v>0</v>
      </c>
      <c r="AF87" s="17">
        <f>IF(AND(Changes!Change="Yes", Changes!ValidityYear&lt;=ROW()-1),Table14[[#This Row],[WOP Capital]],Table14[[#This Row],[WOP without change]])</f>
        <v>0</v>
      </c>
      <c r="AG87" s="42">
        <f>IF(AND(Changes!Change="Yes", Changes!ValidityYear&lt;=Table14[[#This Row],[Year]], Changes!ChangeType="Rider Inclusion/Exclusion", Changes!RiderType="Disability Annuity"), L87*Changes!NewChangedValue,L87*db!B$10*IF(db!$D$10="Yes",1,0))</f>
        <v>0</v>
      </c>
      <c r="AH87" s="29">
        <f>Table14[[#This Row],[Code Annuity Capital]]*IF('Annual Calculation'!C87&gt;69,0,(LOOKUP('Annual Calculation'!C87+1,'Mortality Table'!$A$2:$A$108,'Mortality Table'!$O$2:$O$108)-LOOKUP('Annual Calculation'!C87+11,'Mortality Table'!$A$2:$A$108,'Mortality Table'!$O$2:$O$108))/LOOKUP('Annual Calculation'!C87,'Mortality Table'!$A$2:$A$108,'Mortality Table'!$M$2:$M$108))</f>
        <v>0</v>
      </c>
      <c r="AI87" s="17">
        <f>IF(B87=0,0,IF(AND(Changes!Change="Yes", Changes!ValidityYear&lt;=Table14[[#This Row],[Year]], Changes!ChangeType="Rider Inclusion/Exclusion", Changes!RiderType="Dread Disease"), T87*Changes!NewChangedValue,IF(db!$D$11="Yes",(db!$B$11)*T87,0)))</f>
        <v>0</v>
      </c>
      <c r="AJ87" s="42">
        <f>ROUND(IF(C87&gt;59,0,IF(C87=0,0,IF(AI87&lt;=db!$L$5,AI87,db!$L$5))),0)</f>
        <v>0</v>
      </c>
      <c r="AK87" s="29">
        <f>IF(B87=0,0,IF(AND(Changes!Change="Yes", Changes!ValidityYear&lt;=Table14[[#This Row],[Year]], Changes!ChangeType="Rider Inclusion/Exclusion", Changes!RiderType="Cancer"), T87*Changes!NewChangedValue,IF(db!$D$12="Yes",(db!$B$12)*T87,0)))</f>
        <v>0</v>
      </c>
      <c r="AL87" s="29">
        <f>ROUND(IF(C87&gt;59,0,IF(C87=0,0,IF(AK87&lt;=db!$L$6,AK87,db!$L$6))),0)</f>
        <v>0</v>
      </c>
      <c r="AM87" s="32"/>
      <c r="AN87" s="18">
        <f>IF(B87=0,0,IF(C87&lt;(db!$E$2+5),LOOKUP(C87,'Mortality Table'!$A$2:$A$108,'Mortality Table'!$P$2:$P$108),IF((C87&gt;=db!$E$2+10),LOOKUP(C87,'Mortality Table'!$A$2:$A$108,'Mortality Table'!$R$2:$R$108),LOOKUP(C87,'Mortality Table'!$A$2:$A$108,'Mortality Table'!$Q$2:$Q$108))))</f>
        <v>0</v>
      </c>
      <c r="AO87" s="22">
        <f t="shared" si="22"/>
        <v>0</v>
      </c>
      <c r="AP87" s="19">
        <f>IF(B87=0,0, LOOKUP(IF(AND(Changes!Change="Yes", Changes!ValidityYear&lt;=Table14[[#This Row],[Year]], Changes!ChangeType="Change Job Class"),Changes!NewChangedValue, db!$A$8),db!$AX$4:$AX$8,db!$AY$4:$AY$8))</f>
        <v>0</v>
      </c>
      <c r="AQ87" s="20">
        <f>ROUND((AP87/1000)*W87 * (1-db!$AS$9),0)</f>
        <v>0</v>
      </c>
      <c r="AR87" s="20">
        <f>(AP87/1000)*W87 * db!$AS$9</f>
        <v>0</v>
      </c>
      <c r="AS87" s="21">
        <f>IF(B87=0,0, LOOKUP(IF(AND(Changes!Change="Yes", Changes!ValidityYear&lt;=Table14[[#This Row],[Year]], Changes!ChangeType="Change Job Class"),Changes!NewChangedValue, db!$A$8),db!$AX$4:$AX$8,db!$AZ$4:$AZ$8))</f>
        <v>0</v>
      </c>
      <c r="AT87" s="22">
        <f>(AS87/1000)*Y87*(1-db!$AS$9)</f>
        <v>0</v>
      </c>
      <c r="AU87" s="22">
        <f>(AS87/1000)*Y87*(db!$AS$9)</f>
        <v>0</v>
      </c>
      <c r="AV87" s="23">
        <f>IF(B87=0,0, LOOKUP(IF(AND(Changes!Change="Yes", Changes!ValidityYear&lt;=Table14[[#This Row],[Year]], Changes!ChangeType="Change Job Class"),Changes!NewChangedValue, db!$A$8),db!$AX$4:$AX$8,db!$BA$4:$BA$8))</f>
        <v>0</v>
      </c>
      <c r="AW87" s="20">
        <f>ROUND((AV87/(100))*AA87*(1-db!$AS$9),0)</f>
        <v>0</v>
      </c>
      <c r="AX87" s="20">
        <f>ROUND((AV87/(100))*AA87*(db!$AS$9),0)</f>
        <v>0</v>
      </c>
      <c r="AY87" s="21">
        <f>IF(db!$D$8="Yes",AS87,0)</f>
        <v>0</v>
      </c>
      <c r="AZ87" s="22">
        <f>(AY87*AF87)/1000*(1-db!$AS$9)</f>
        <v>0</v>
      </c>
      <c r="BA87" s="22">
        <f>(AY87*AF87)/1000*(db!$AS$9)</f>
        <v>0</v>
      </c>
      <c r="BB87" s="23">
        <f t="shared" si="23"/>
        <v>0</v>
      </c>
      <c r="BC87" s="20">
        <f>(BB87*AH87/1000)*(1-db!$AS$9)</f>
        <v>0</v>
      </c>
      <c r="BD87" s="20">
        <f>(BB87*AH87/1000)*(db!$AS$9)</f>
        <v>0</v>
      </c>
      <c r="BE87" s="22">
        <f>IF(B87=0,0,IF(C87&gt;60,0,LOOKUP(Table14[[#This Row],[Medical
Age]],db!$BC$3:$BC$63,db!$BD$3:$BD$63)))</f>
        <v>0</v>
      </c>
      <c r="BF87" s="22">
        <f>BG87*db!$AS$10</f>
        <v>0</v>
      </c>
      <c r="BG87" s="22">
        <f t="shared" si="24"/>
        <v>0</v>
      </c>
      <c r="BH87" s="22">
        <f>(BE87/1000000)*AJ87*(1-db!$AS$10)</f>
        <v>0</v>
      </c>
      <c r="BI87" s="20">
        <f>IF(B87=0,0,IF(C87&gt;59,0,LOOKUP(Table14[[#This Row],[Medical
Age]],db!$BC$3:$BC$63,db!$BE$3:$BE$63)))</f>
        <v>0</v>
      </c>
      <c r="BJ87" s="20">
        <f>(BI87/1000000)*AL87*(1-db!$AS$11)</f>
        <v>0</v>
      </c>
      <c r="BK87" s="20">
        <f>(BI87/1000000)*AL87*(db!$AS$11)</f>
        <v>0</v>
      </c>
      <c r="BL87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87" s="20">
        <f>Table14[[#This Row],[RiskLoading
Rate]]*Table14[[#This Row],[Death Capital (2)]]</f>
        <v>0</v>
      </c>
      <c r="BN87" s="36"/>
      <c r="BO87" s="37">
        <f t="shared" si="25"/>
        <v>0</v>
      </c>
      <c r="BP87" s="35">
        <f t="shared" si="26"/>
        <v>0</v>
      </c>
      <c r="BQ87" s="35">
        <f t="shared" si="27"/>
        <v>0</v>
      </c>
      <c r="BR87" s="37">
        <f t="shared" si="31"/>
        <v>0</v>
      </c>
      <c r="BS87" s="37">
        <f t="shared" si="32"/>
        <v>0</v>
      </c>
      <c r="BT87" s="35">
        <f t="shared" si="33"/>
        <v>0</v>
      </c>
      <c r="BU87" s="35">
        <f t="shared" si="34"/>
        <v>0</v>
      </c>
      <c r="BV87" s="37">
        <f>(db!$AS$4/100)*(L87-BT87-BU87)</f>
        <v>0</v>
      </c>
      <c r="BW87" s="37">
        <f>(db!$AS$8/100)*(L87-BT87-BU87)</f>
        <v>0</v>
      </c>
      <c r="BX87" s="35"/>
      <c r="BY87" s="37"/>
      <c r="BZ87" s="37"/>
      <c r="CA87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87" s="33"/>
      <c r="CC87" s="39">
        <f>ROUND((Table14[[#This Row],[Premium]]-Table14[[#This Row],[All Deductions]]),0)</f>
        <v>0</v>
      </c>
      <c r="CD87" s="40">
        <f>ROUND(IF(B87=0,0,((CC87)*(1+ IF(AND(Changes!Change="Yes",Changes!ValidityYear&lt;=Table14[[#This Row],[Year]],Annulment&gt;Table14[[#This Row],[Year]],Changes!ChangeType="Paid-Up"),db!Y89+0.02,db!Y89)))+((CD86)*(1+IF(AND(Changes!Change="Yes",Changes!ValidityYear&lt;=Table14[[#This Row],[Year]],Annulment&gt;Table14[[#This Row],[Year]],Changes!ChangeType="Paid-Up"),db!U89+0.02,db!U89)))),0)</f>
        <v>0</v>
      </c>
      <c r="CE87" s="40">
        <f>ROUND(IF(B87=0,0,((CC87)*(1+db!Y89))+((CE86)*(1+db!U89))),0)</f>
        <v>0</v>
      </c>
      <c r="CF87" s="40">
        <f t="shared" si="39"/>
        <v>0</v>
      </c>
      <c r="CG87" s="15">
        <f t="shared" si="35"/>
        <v>86</v>
      </c>
      <c r="CH87" s="39">
        <f>IF(B87=0,0,((CC87)*(1+db!AH89))+((CH86)*(1+db!AD89)))</f>
        <v>0</v>
      </c>
      <c r="CI87" s="39">
        <f>IF(B87=0,0,((CC87)*(1+db!AH89))+((CI86)*(1+db!AD89)))</f>
        <v>0</v>
      </c>
      <c r="CJ87" s="40">
        <f>IF(B87=0,0,((CC87)*(1+db!AO89))+((CJ86)*(1+db!AK89)))</f>
        <v>0</v>
      </c>
      <c r="CK87" s="40">
        <f>CJ87-(SUM(BX$7:$BX88))</f>
        <v>0</v>
      </c>
      <c r="CL87" s="26"/>
    </row>
    <row r="88" spans="1:90">
      <c r="A88" s="347">
        <f t="shared" si="36"/>
        <v>87</v>
      </c>
      <c r="B88" s="345">
        <f>IF(AND(Changes!Change="Yes", Changes!ChangeType="Change Contract Duration"),IF(B87=0,0,IF(Changes!NewChangedValue&lt;B87+1,0,B87+1)),IF(B87=0,0,IF('Application Annually'!$C$5&lt;B87+1,0,B87+1)))</f>
        <v>0</v>
      </c>
      <c r="C88" s="15">
        <f t="shared" si="37"/>
        <v>0</v>
      </c>
      <c r="D88" s="312">
        <f t="shared" si="38"/>
        <v>114</v>
      </c>
      <c r="E88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88" s="29">
        <f t="shared" si="28"/>
        <v>0</v>
      </c>
      <c r="G88" s="29">
        <f t="shared" si="29"/>
        <v>0</v>
      </c>
      <c r="H88" s="29">
        <f t="shared" si="20"/>
        <v>0</v>
      </c>
      <c r="I88" s="29">
        <f>IF(B88&gt;0,IF(AND(Table14[[#This Row],[Year]]&gt;Changes!ValidityYear,Changes!Change="Yes",Changes!ChangeType="Change Value Adjustment"),Changes!$G$22,'Application Annually'!$C$11),0)</f>
        <v>0</v>
      </c>
      <c r="J88" s="29">
        <f>IF(B88&gt;0,IF(AND(Table14[[#This Row],[Year]]&gt;Changes!ValidityYear,Changes!Change="Yes",Changes!ChangeType="Change Value Adjustment"),Changes!$G$24,'Application Annually'!$C$7),0)</f>
        <v>0</v>
      </c>
      <c r="K88" s="29">
        <f>ROUND(IF(B88=0,0,IF(AND(Changes!Change="Yes", Changes!ValidityYear=Table14[[#This Row],[Year]], Changes!ChangeType="Change Premium"), Changes!NewChangedValue, (K87*(1+db!$B$3)))),0)</f>
        <v>0</v>
      </c>
      <c r="L88" s="29">
        <f>ROUND(IF(B88=0,0,IF(AND(Changes!Change="Yes", Changes!ValidityYear=Table14[[#This Row],[Year]], Changes!ChangeType="Change Premium"), Changes!NewChangedValue, (L87*(1+Table14[[#This Row],[Adjustment Factor of Premium]]/100)))),0)</f>
        <v>0</v>
      </c>
      <c r="M88" s="29">
        <f>IF(Table14[[#This Row],[Year]]=1,ROUND(MIN($L$2 -( Table14[[#This Row],[Riders Risk Premiums]] + Table14[[#This Row],[Acquisition Cost]]) *0.75,Table14[[#This Row],[Death Capital (1)]]* 0.03),0),0)</f>
        <v>0</v>
      </c>
      <c r="N88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88" s="29">
        <f>ROUND(IF(ROW()-1&gt;InsurancePeriod,0,(O87*(1+(Table14[[#This Row],[Adjustment Factor of Premium]]/100)))),0)</f>
        <v>0</v>
      </c>
      <c r="P88" s="29">
        <f>IF(Table14[Year] = 0, 0, SUM(L$2:L88))</f>
        <v>0</v>
      </c>
      <c r="Q88" s="17">
        <f t="shared" si="21"/>
        <v>0</v>
      </c>
      <c r="R88" s="17">
        <f>IF(Table14[[#This Row],[Year]]=0,0,IF($C$2&lt;=50,LOOKUP(Table14[[#This Row],[Age]],db!BG89:BG195,db!BH89:BH195),LOOKUP(Table14[[#This Row],[Age]],db!BJ89:BJ195,db!BK89:BK195)))</f>
        <v>0</v>
      </c>
      <c r="S88" s="17">
        <f>IF(B88=0,0, IF(AND(Changes!Change="Yes", Changes!ValidityYear=Table14[[#This Row],[Year]], Changes!ChangeType="Change Death Capital"), Changes!NewChangedValue, S87*(1+(Table14[[#This Row],[Adjustment Factor of Death Capital]]/100))))</f>
        <v>0</v>
      </c>
      <c r="T88" s="17">
        <f>MIN(IF(B88=0,0,Table14[[#This Row],[Death Capital (1)]]),Table14[[#This Row],[Max Sum Insured For Death]])</f>
        <v>0</v>
      </c>
      <c r="U88" s="29">
        <f t="shared" si="30"/>
        <v>0</v>
      </c>
      <c r="V88" s="29">
        <f>IF(B88=0,0,IF(AND(Changes!Change="Yes", Changes!ValidityYear&lt;=Table14[[#This Row],[Year]], Changes!ChangeType="Rider Inclusion/Exclusion", Changes!RiderType="Accident Death"), T88*Changes!NewChangedValue,IF(db!$D$6="Yes",(db!$B$6)*T88,0)))</f>
        <v>0</v>
      </c>
      <c r="W88" s="29">
        <f>MIN(IF(V88&lt;=db!$L$2,V88,db!$L$2),MAX_ACC_CAPITAL)</f>
        <v>0</v>
      </c>
      <c r="X88" s="17">
        <f>IF(OR(B88=0,Table14[[#This Row],[Accident Capital (2)]]=0),0,IF(AND(Changes!Change="Yes", Changes!ValidityYear&lt;=Table14[[#This Row],[Year]], Changes!ChangeType="Rider Inclusion/Exclusion", Changes!RiderType="Accident Disability"), T88*Changes!NewChangedValue,IF(db!$D$7="Yes",(db!$B$7)*T88,0)))</f>
        <v>0</v>
      </c>
      <c r="Y88" s="42">
        <f>IF(C88&gt;69,0,IF(C88=0,0,IF(X88&lt;=db!$L$3,X88,db!$L$3)))</f>
        <v>0</v>
      </c>
      <c r="Z88" s="29">
        <f>IF(OR(B88=0,Table14[[#This Row],[Accident Capital (2)]]=0),0,IF(AND(Changes!Change="Yes", Changes!ValidityYear&lt;=Table14[[#This Row],[Year]], Changes!ChangeType="Rider Inclusion/Exclusion", Changes!RiderType="Accident Medical Cost"), T88*Changes!NewChangedValue,IF(db!$D$9="Yes",(db!$B$9)*T88,0)))</f>
        <v>0</v>
      </c>
      <c r="AA88" s="29">
        <f>ROUND(IF(C88&gt;69,0,IF(C88=0,0,IF(Z88&lt;=db!$L$4,Z88,db!$L$4))),0)</f>
        <v>0</v>
      </c>
      <c r="AB88" s="38">
        <f>IF(AND(Changes!Change = "Yes", Changes!ChangeType = "Rider Inclusion/Exclusion", Changes!RiderType = "WOP"), IF( Changes!ValidityYear &lt;= Table14[[#This Row],[Year]], IF(WOP = "Yes", 0, 1),  IF(WOP = "Yes", 1, 0)), IF(AND(db!$D$8="Yes",C88&lt;=69,ROW()-1&lt;=InsurancePeriod), 1, 0))</f>
        <v>0</v>
      </c>
      <c r="AC88" s="17">
        <f>(AC89+K89)*AB88*((1)/(1+db!AA90))*(LOOKUP(C88,'Mortality Table'!$A$2:$A$108,'Mortality Table'!$E$2:$E$108))</f>
        <v>0</v>
      </c>
      <c r="AD88" s="340">
        <f>IF(AND(Changes!ValidityYear&lt;= Table14[[#This Row],[Year]],Changes!ChangeType="Change Value Adjustment",Changes!Change="Yes"), (AD89+L89)*AB88*((1)/(1+db!AA90))*(LOOKUP(C88,'Mortality Table'!$A$2:$A$108,'Mortality Table'!$E$2:$E$108)),Table14[[#This Row],[WOP Before Adj. BT]])</f>
        <v>0</v>
      </c>
      <c r="AE88" s="341">
        <f>IF(AND(Changes!Change="Yes", Changes!ChangeType="Change Value Adjustment"),Table14[[#This Row],[WOP Capital]],(AE89+O89)*AB88*((1)/(1+db!AA90))*(LOOKUP(D88,'Mortality Table'!$A$2:$A$108,'Mortality Table'!$E$2:$E$108)))</f>
        <v>0</v>
      </c>
      <c r="AF88" s="17">
        <f>IF(AND(Changes!Change="Yes", Changes!ValidityYear&lt;=ROW()-1),Table14[[#This Row],[WOP Capital]],Table14[[#This Row],[WOP without change]])</f>
        <v>0</v>
      </c>
      <c r="AG88" s="42">
        <f>IF(AND(Changes!Change="Yes", Changes!ValidityYear&lt;=Table14[[#This Row],[Year]], Changes!ChangeType="Rider Inclusion/Exclusion", Changes!RiderType="Disability Annuity"), L88*Changes!NewChangedValue,L88*db!B$10*IF(db!$D$10="Yes",1,0))</f>
        <v>0</v>
      </c>
      <c r="AH88" s="29">
        <f>Table14[[#This Row],[Code Annuity Capital]]*IF('Annual Calculation'!C88&gt;69,0,(LOOKUP('Annual Calculation'!C88+1,'Mortality Table'!$A$2:$A$108,'Mortality Table'!$O$2:$O$108)-LOOKUP('Annual Calculation'!C88+11,'Mortality Table'!$A$2:$A$108,'Mortality Table'!$O$2:$O$108))/LOOKUP('Annual Calculation'!C88,'Mortality Table'!$A$2:$A$108,'Mortality Table'!$M$2:$M$108))</f>
        <v>0</v>
      </c>
      <c r="AI88" s="17">
        <f>IF(B88=0,0,IF(AND(Changes!Change="Yes", Changes!ValidityYear&lt;=Table14[[#This Row],[Year]], Changes!ChangeType="Rider Inclusion/Exclusion", Changes!RiderType="Dread Disease"), T88*Changes!NewChangedValue,IF(db!$D$11="Yes",(db!$B$11)*T88,0)))</f>
        <v>0</v>
      </c>
      <c r="AJ88" s="42">
        <f>ROUND(IF(C88&gt;59,0,IF(C88=0,0,IF(AI88&lt;=db!$L$5,AI88,db!$L$5))),0)</f>
        <v>0</v>
      </c>
      <c r="AK88" s="29">
        <f>IF(B88=0,0,IF(AND(Changes!Change="Yes", Changes!ValidityYear&lt;=Table14[[#This Row],[Year]], Changes!ChangeType="Rider Inclusion/Exclusion", Changes!RiderType="Cancer"), T88*Changes!NewChangedValue,IF(db!$D$12="Yes",(db!$B$12)*T88,0)))</f>
        <v>0</v>
      </c>
      <c r="AL88" s="29">
        <f>ROUND(IF(C88&gt;59,0,IF(C88=0,0,IF(AK88&lt;=db!$L$6,AK88,db!$L$6))),0)</f>
        <v>0</v>
      </c>
      <c r="AM88" s="32"/>
      <c r="AN88" s="18">
        <f>IF(B88=0,0,IF(C88&lt;(db!$E$2+5),LOOKUP(C88,'Mortality Table'!$A$2:$A$108,'Mortality Table'!$P$2:$P$108),IF((C88&gt;=db!$E$2+10),LOOKUP(C88,'Mortality Table'!$A$2:$A$108,'Mortality Table'!$R$2:$R$108),LOOKUP(C88,'Mortality Table'!$A$2:$A$108,'Mortality Table'!$Q$2:$Q$108))))</f>
        <v>0</v>
      </c>
      <c r="AO88" s="22">
        <f t="shared" si="22"/>
        <v>0</v>
      </c>
      <c r="AP88" s="19">
        <f>IF(B88=0,0, LOOKUP(IF(AND(Changes!Change="Yes", Changes!ValidityYear&lt;=Table14[[#This Row],[Year]], Changes!ChangeType="Change Job Class"),Changes!NewChangedValue, db!$A$8),db!$AX$4:$AX$8,db!$AY$4:$AY$8))</f>
        <v>0</v>
      </c>
      <c r="AQ88" s="20">
        <f>ROUND((AP88/1000)*W88 * (1-db!$AS$9),0)</f>
        <v>0</v>
      </c>
      <c r="AR88" s="20">
        <f>(AP88/1000)*W88 * db!$AS$9</f>
        <v>0</v>
      </c>
      <c r="AS88" s="21">
        <f>IF(B88=0,0, LOOKUP(IF(AND(Changes!Change="Yes", Changes!ValidityYear&lt;=Table14[[#This Row],[Year]], Changes!ChangeType="Change Job Class"),Changes!NewChangedValue, db!$A$8),db!$AX$4:$AX$8,db!$AZ$4:$AZ$8))</f>
        <v>0</v>
      </c>
      <c r="AT88" s="22">
        <f>(AS88/1000)*Y88*(1-db!$AS$9)</f>
        <v>0</v>
      </c>
      <c r="AU88" s="22">
        <f>(AS88/1000)*Y88*(db!$AS$9)</f>
        <v>0</v>
      </c>
      <c r="AV88" s="23">
        <f>IF(B88=0,0, LOOKUP(IF(AND(Changes!Change="Yes", Changes!ValidityYear&lt;=Table14[[#This Row],[Year]], Changes!ChangeType="Change Job Class"),Changes!NewChangedValue, db!$A$8),db!$AX$4:$AX$8,db!$BA$4:$BA$8))</f>
        <v>0</v>
      </c>
      <c r="AW88" s="20">
        <f>ROUND((AV88/(100))*AA88*(1-db!$AS$9),0)</f>
        <v>0</v>
      </c>
      <c r="AX88" s="20">
        <f>ROUND((AV88/(100))*AA88*(db!$AS$9),0)</f>
        <v>0</v>
      </c>
      <c r="AY88" s="21">
        <f>IF(db!$D$8="Yes",AS88,0)</f>
        <v>0</v>
      </c>
      <c r="AZ88" s="22">
        <f>(AY88*AF88)/1000*(1-db!$AS$9)</f>
        <v>0</v>
      </c>
      <c r="BA88" s="22">
        <f>(AY88*AF88)/1000*(db!$AS$9)</f>
        <v>0</v>
      </c>
      <c r="BB88" s="23">
        <f t="shared" si="23"/>
        <v>0</v>
      </c>
      <c r="BC88" s="20">
        <f>(BB88*AH88/1000)*(1-db!$AS$9)</f>
        <v>0</v>
      </c>
      <c r="BD88" s="20">
        <f>(BB88*AH88/1000)*(db!$AS$9)</f>
        <v>0</v>
      </c>
      <c r="BE88" s="22">
        <f>IF(B88=0,0,IF(C88&gt;60,0,LOOKUP(Table14[[#This Row],[Medical
Age]],db!$BC$3:$BC$63,db!$BD$3:$BD$63)))</f>
        <v>0</v>
      </c>
      <c r="BF88" s="22">
        <f>BG88*db!$AS$10</f>
        <v>0</v>
      </c>
      <c r="BG88" s="22">
        <f t="shared" si="24"/>
        <v>0</v>
      </c>
      <c r="BH88" s="22">
        <f>(BE88/1000000)*AJ88*(1-db!$AS$10)</f>
        <v>0</v>
      </c>
      <c r="BI88" s="20">
        <f>IF(B88=0,0,IF(C88&gt;59,0,LOOKUP(Table14[[#This Row],[Medical
Age]],db!$BC$3:$BC$63,db!$BE$3:$BE$63)))</f>
        <v>0</v>
      </c>
      <c r="BJ88" s="20">
        <f>(BI88/1000000)*AL88*(1-db!$AS$11)</f>
        <v>0</v>
      </c>
      <c r="BK88" s="20">
        <f>(BI88/1000000)*AL88*(db!$AS$11)</f>
        <v>0</v>
      </c>
      <c r="BL88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88" s="20">
        <f>Table14[[#This Row],[RiskLoading
Rate]]*Table14[[#This Row],[Death Capital (2)]]</f>
        <v>0</v>
      </c>
      <c r="BN88" s="36"/>
      <c r="BO88" s="37">
        <f t="shared" si="25"/>
        <v>0</v>
      </c>
      <c r="BP88" s="35">
        <f t="shared" si="26"/>
        <v>0</v>
      </c>
      <c r="BQ88" s="35">
        <f t="shared" si="27"/>
        <v>0</v>
      </c>
      <c r="BR88" s="37">
        <f t="shared" si="31"/>
        <v>0</v>
      </c>
      <c r="BS88" s="37">
        <f t="shared" si="32"/>
        <v>0</v>
      </c>
      <c r="BT88" s="35">
        <f t="shared" si="33"/>
        <v>0</v>
      </c>
      <c r="BU88" s="35">
        <f t="shared" si="34"/>
        <v>0</v>
      </c>
      <c r="BV88" s="37">
        <f>(db!$AS$4/100)*(L88-BT88-BU88)</f>
        <v>0</v>
      </c>
      <c r="BW88" s="37">
        <f>(db!$AS$8/100)*(L88-BT88-BU88)</f>
        <v>0</v>
      </c>
      <c r="BX88" s="35"/>
      <c r="BY88" s="37"/>
      <c r="BZ88" s="37"/>
      <c r="CA88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88" s="33"/>
      <c r="CC88" s="39">
        <f>ROUND((Table14[[#This Row],[Premium]]-Table14[[#This Row],[All Deductions]]),0)</f>
        <v>0</v>
      </c>
      <c r="CD88" s="40">
        <f>ROUND(IF(B88=0,0,((CC88)*(1+ IF(AND(Changes!Change="Yes",Changes!ValidityYear&lt;=Table14[[#This Row],[Year]],Annulment&gt;Table14[[#This Row],[Year]],Changes!ChangeType="Paid-Up"),db!Y90+0.02,db!Y90)))+((CD87)*(1+IF(AND(Changes!Change="Yes",Changes!ValidityYear&lt;=Table14[[#This Row],[Year]],Annulment&gt;Table14[[#This Row],[Year]],Changes!ChangeType="Paid-Up"),db!U90+0.02,db!U90)))),0)</f>
        <v>0</v>
      </c>
      <c r="CE88" s="40">
        <f>ROUND(IF(B88=0,0,((CC88)*(1+db!Y90))+((CE87)*(1+db!U90))),0)</f>
        <v>0</v>
      </c>
      <c r="CF88" s="40">
        <f t="shared" si="39"/>
        <v>0</v>
      </c>
      <c r="CG88" s="15">
        <f t="shared" si="35"/>
        <v>87</v>
      </c>
      <c r="CH88" s="39">
        <f>IF(B88=0,0,((CC88)*(1+db!AH90))+((CH87)*(1+db!AD90)))</f>
        <v>0</v>
      </c>
      <c r="CI88" s="39">
        <f>IF(B88=0,0,((CC88)*(1+db!AH90))+((CI87)*(1+db!AD90)))</f>
        <v>0</v>
      </c>
      <c r="CJ88" s="40">
        <f>IF(B88=0,0,((CC88)*(1+db!AO90))+((CJ87)*(1+db!AK90)))</f>
        <v>0</v>
      </c>
      <c r="CK88" s="40">
        <f>CJ88-(SUM(BX$7:$BX89))</f>
        <v>0</v>
      </c>
      <c r="CL88" s="26"/>
    </row>
    <row r="89" spans="1:90">
      <c r="A89" s="347">
        <f t="shared" si="36"/>
        <v>88</v>
      </c>
      <c r="B89" s="345">
        <f>IF(AND(Changes!Change="Yes", Changes!ChangeType="Change Contract Duration"),IF(B88=0,0,IF(Changes!NewChangedValue&lt;B88+1,0,B88+1)),IF(B88=0,0,IF('Application Annually'!$C$5&lt;B88+1,0,B88+1)))</f>
        <v>0</v>
      </c>
      <c r="C89" s="15">
        <f t="shared" si="37"/>
        <v>0</v>
      </c>
      <c r="D89" s="312">
        <f t="shared" si="38"/>
        <v>115</v>
      </c>
      <c r="E89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89" s="29">
        <f t="shared" si="28"/>
        <v>0</v>
      </c>
      <c r="G89" s="29">
        <f t="shared" si="29"/>
        <v>0</v>
      </c>
      <c r="H89" s="29">
        <f t="shared" si="20"/>
        <v>0</v>
      </c>
      <c r="I89" s="29">
        <f>IF(B89&gt;0,IF(AND(Table14[[#This Row],[Year]]&gt;Changes!ValidityYear,Changes!Change="Yes",Changes!ChangeType="Change Value Adjustment"),Changes!$G$22,'Application Annually'!$C$11),0)</f>
        <v>0</v>
      </c>
      <c r="J89" s="29">
        <f>IF(B89&gt;0,IF(AND(Table14[[#This Row],[Year]]&gt;Changes!ValidityYear,Changes!Change="Yes",Changes!ChangeType="Change Value Adjustment"),Changes!$G$24,'Application Annually'!$C$7),0)</f>
        <v>0</v>
      </c>
      <c r="K89" s="29">
        <f>ROUND(IF(B89=0,0,IF(AND(Changes!Change="Yes", Changes!ValidityYear=Table14[[#This Row],[Year]], Changes!ChangeType="Change Premium"), Changes!NewChangedValue, (K88*(1+db!$B$3)))),0)</f>
        <v>0</v>
      </c>
      <c r="L89" s="29">
        <f>ROUND(IF(B89=0,0,IF(AND(Changes!Change="Yes", Changes!ValidityYear=Table14[[#This Row],[Year]], Changes!ChangeType="Change Premium"), Changes!NewChangedValue, (L88*(1+Table14[[#This Row],[Adjustment Factor of Premium]]/100)))),0)</f>
        <v>0</v>
      </c>
      <c r="M89" s="29">
        <f>IF(Table14[[#This Row],[Year]]=1,ROUND(MIN($L$2 -( Table14[[#This Row],[Riders Risk Premiums]] + Table14[[#This Row],[Acquisition Cost]]) *0.75,Table14[[#This Row],[Death Capital (1)]]* 0.03),0),0)</f>
        <v>0</v>
      </c>
      <c r="N89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89" s="29">
        <f>ROUND(IF(ROW()-1&gt;InsurancePeriod,0,(O88*(1+(Table14[[#This Row],[Adjustment Factor of Premium]]/100)))),0)</f>
        <v>0</v>
      </c>
      <c r="P89" s="29">
        <f>IF(Table14[Year] = 0, 0, SUM(L$2:L89))</f>
        <v>0</v>
      </c>
      <c r="Q89" s="17">
        <f t="shared" si="21"/>
        <v>0</v>
      </c>
      <c r="R89" s="17">
        <f>IF(Table14[[#This Row],[Year]]=0,0,IF($C$2&lt;=50,LOOKUP(Table14[[#This Row],[Age]],db!BG90:BG196,db!BH90:BH196),LOOKUP(Table14[[#This Row],[Age]],db!BJ90:BJ196,db!BK90:BK196)))</f>
        <v>0</v>
      </c>
      <c r="S89" s="17">
        <f>IF(B89=0,0, IF(AND(Changes!Change="Yes", Changes!ValidityYear=Table14[[#This Row],[Year]], Changes!ChangeType="Change Death Capital"), Changes!NewChangedValue, S88*(1+(Table14[[#This Row],[Adjustment Factor of Death Capital]]/100))))</f>
        <v>0</v>
      </c>
      <c r="T89" s="17">
        <f>MIN(IF(B89=0,0,Table14[[#This Row],[Death Capital (1)]]),Table14[[#This Row],[Max Sum Insured For Death]])</f>
        <v>0</v>
      </c>
      <c r="U89" s="29">
        <f t="shared" si="30"/>
        <v>0</v>
      </c>
      <c r="V89" s="29">
        <f>IF(B89=0,0,IF(AND(Changes!Change="Yes", Changes!ValidityYear&lt;=Table14[[#This Row],[Year]], Changes!ChangeType="Rider Inclusion/Exclusion", Changes!RiderType="Accident Death"), T89*Changes!NewChangedValue,IF(db!$D$6="Yes",(db!$B$6)*T89,0)))</f>
        <v>0</v>
      </c>
      <c r="W89" s="29">
        <f>MIN(IF(V89&lt;=db!$L$2,V89,db!$L$2),MAX_ACC_CAPITAL)</f>
        <v>0</v>
      </c>
      <c r="X89" s="17">
        <f>IF(OR(B89=0,Table14[[#This Row],[Accident Capital (2)]]=0),0,IF(AND(Changes!Change="Yes", Changes!ValidityYear&lt;=Table14[[#This Row],[Year]], Changes!ChangeType="Rider Inclusion/Exclusion", Changes!RiderType="Accident Disability"), T89*Changes!NewChangedValue,IF(db!$D$7="Yes",(db!$B$7)*T89,0)))</f>
        <v>0</v>
      </c>
      <c r="Y89" s="42">
        <f>IF(C89&gt;69,0,IF(C89=0,0,IF(X89&lt;=db!$L$3,X89,db!$L$3)))</f>
        <v>0</v>
      </c>
      <c r="Z89" s="29">
        <f>IF(OR(B89=0,Table14[[#This Row],[Accident Capital (2)]]=0),0,IF(AND(Changes!Change="Yes", Changes!ValidityYear&lt;=Table14[[#This Row],[Year]], Changes!ChangeType="Rider Inclusion/Exclusion", Changes!RiderType="Accident Medical Cost"), T89*Changes!NewChangedValue,IF(db!$D$9="Yes",(db!$B$9)*T89,0)))</f>
        <v>0</v>
      </c>
      <c r="AA89" s="29">
        <f>ROUND(IF(C89&gt;69,0,IF(C89=0,0,IF(Z89&lt;=db!$L$4,Z89,db!$L$4))),0)</f>
        <v>0</v>
      </c>
      <c r="AB89" s="38">
        <f>IF(AND(Changes!Change = "Yes", Changes!ChangeType = "Rider Inclusion/Exclusion", Changes!RiderType = "WOP"), IF( Changes!ValidityYear &lt;= Table14[[#This Row],[Year]], IF(WOP = "Yes", 0, 1),  IF(WOP = "Yes", 1, 0)), IF(AND(db!$D$8="Yes",C89&lt;=69,ROW()-1&lt;=InsurancePeriod), 1, 0))</f>
        <v>0</v>
      </c>
      <c r="AC89" s="17">
        <f>(AC90+K90)*AB89*((1)/(1+db!AA91))*(LOOKUP(C89,'Mortality Table'!$A$2:$A$108,'Mortality Table'!$E$2:$E$108))</f>
        <v>0</v>
      </c>
      <c r="AD89" s="340">
        <f>IF(AND(Changes!ValidityYear&lt;= Table14[[#This Row],[Year]],Changes!ChangeType="Change Value Adjustment",Changes!Change="Yes"), (AD90+L90)*AB89*((1)/(1+db!AA91))*(LOOKUP(C89,'Mortality Table'!$A$2:$A$108,'Mortality Table'!$E$2:$E$108)),Table14[[#This Row],[WOP Before Adj. BT]])</f>
        <v>0</v>
      </c>
      <c r="AE89" s="341">
        <f>IF(AND(Changes!Change="Yes", Changes!ChangeType="Change Value Adjustment"),Table14[[#This Row],[WOP Capital]],(AE90+O90)*AB89*((1)/(1+db!AA91))*(LOOKUP(D89,'Mortality Table'!$A$2:$A$108,'Mortality Table'!$E$2:$E$108)))</f>
        <v>0</v>
      </c>
      <c r="AF89" s="17">
        <f>IF(AND(Changes!Change="Yes", Changes!ValidityYear&lt;=ROW()-1),Table14[[#This Row],[WOP Capital]],Table14[[#This Row],[WOP without change]])</f>
        <v>0</v>
      </c>
      <c r="AG89" s="42">
        <f>IF(AND(Changes!Change="Yes", Changes!ValidityYear&lt;=Table14[[#This Row],[Year]], Changes!ChangeType="Rider Inclusion/Exclusion", Changes!RiderType="Disability Annuity"), L89*Changes!NewChangedValue,L89*db!B$10*IF(db!$D$10="Yes",1,0))</f>
        <v>0</v>
      </c>
      <c r="AH89" s="29">
        <f>Table14[[#This Row],[Code Annuity Capital]]*IF('Annual Calculation'!C89&gt;69,0,(LOOKUP('Annual Calculation'!C89+1,'Mortality Table'!$A$2:$A$108,'Mortality Table'!$O$2:$O$108)-LOOKUP('Annual Calculation'!C89+11,'Mortality Table'!$A$2:$A$108,'Mortality Table'!$O$2:$O$108))/LOOKUP('Annual Calculation'!C89,'Mortality Table'!$A$2:$A$108,'Mortality Table'!$M$2:$M$108))</f>
        <v>0</v>
      </c>
      <c r="AI89" s="17">
        <f>IF(B89=0,0,IF(AND(Changes!Change="Yes", Changes!ValidityYear&lt;=Table14[[#This Row],[Year]], Changes!ChangeType="Rider Inclusion/Exclusion", Changes!RiderType="Dread Disease"), T89*Changes!NewChangedValue,IF(db!$D$11="Yes",(db!$B$11)*T89,0)))</f>
        <v>0</v>
      </c>
      <c r="AJ89" s="42">
        <f>ROUND(IF(C89&gt;59,0,IF(C89=0,0,IF(AI89&lt;=db!$L$5,AI89,db!$L$5))),0)</f>
        <v>0</v>
      </c>
      <c r="AK89" s="29">
        <f>IF(B89=0,0,IF(AND(Changes!Change="Yes", Changes!ValidityYear&lt;=Table14[[#This Row],[Year]], Changes!ChangeType="Rider Inclusion/Exclusion", Changes!RiderType="Cancer"), T89*Changes!NewChangedValue,IF(db!$D$12="Yes",(db!$B$12)*T89,0)))</f>
        <v>0</v>
      </c>
      <c r="AL89" s="29">
        <f>ROUND(IF(C89&gt;59,0,IF(C89=0,0,IF(AK89&lt;=db!$L$6,AK89,db!$L$6))),0)</f>
        <v>0</v>
      </c>
      <c r="AM89" s="32"/>
      <c r="AN89" s="18">
        <f>IF(B89=0,0,IF(C89&lt;(db!$E$2+5),LOOKUP(C89,'Mortality Table'!$A$2:$A$108,'Mortality Table'!$P$2:$P$108),IF((C89&gt;=db!$E$2+10),LOOKUP(C89,'Mortality Table'!$A$2:$A$108,'Mortality Table'!$R$2:$R$108),LOOKUP(C89,'Mortality Table'!$A$2:$A$108,'Mortality Table'!$Q$2:$Q$108))))</f>
        <v>0</v>
      </c>
      <c r="AO89" s="22">
        <f t="shared" si="22"/>
        <v>0</v>
      </c>
      <c r="AP89" s="19">
        <f>IF(B89=0,0, LOOKUP(IF(AND(Changes!Change="Yes", Changes!ValidityYear&lt;=Table14[[#This Row],[Year]], Changes!ChangeType="Change Job Class"),Changes!NewChangedValue, db!$A$8),db!$AX$4:$AX$8,db!$AY$4:$AY$8))</f>
        <v>0</v>
      </c>
      <c r="AQ89" s="20">
        <f>ROUND((AP89/1000)*W89 * (1-db!$AS$9),0)</f>
        <v>0</v>
      </c>
      <c r="AR89" s="20">
        <f>(AP89/1000)*W89 * db!$AS$9</f>
        <v>0</v>
      </c>
      <c r="AS89" s="21">
        <f>IF(B89=0,0, LOOKUP(IF(AND(Changes!Change="Yes", Changes!ValidityYear&lt;=Table14[[#This Row],[Year]], Changes!ChangeType="Change Job Class"),Changes!NewChangedValue, db!$A$8),db!$AX$4:$AX$8,db!$AZ$4:$AZ$8))</f>
        <v>0</v>
      </c>
      <c r="AT89" s="22">
        <f>(AS89/1000)*Y89*(1-db!$AS$9)</f>
        <v>0</v>
      </c>
      <c r="AU89" s="22">
        <f>(AS89/1000)*Y89*(db!$AS$9)</f>
        <v>0</v>
      </c>
      <c r="AV89" s="23">
        <f>IF(B89=0,0, LOOKUP(IF(AND(Changes!Change="Yes", Changes!ValidityYear&lt;=Table14[[#This Row],[Year]], Changes!ChangeType="Change Job Class"),Changes!NewChangedValue, db!$A$8),db!$AX$4:$AX$8,db!$BA$4:$BA$8))</f>
        <v>0</v>
      </c>
      <c r="AW89" s="20">
        <f>ROUND((AV89/(100))*AA89*(1-db!$AS$9),0)</f>
        <v>0</v>
      </c>
      <c r="AX89" s="20">
        <f>ROUND((AV89/(100))*AA89*(db!$AS$9),0)</f>
        <v>0</v>
      </c>
      <c r="AY89" s="21">
        <f>IF(db!$D$8="Yes",AS89,0)</f>
        <v>0</v>
      </c>
      <c r="AZ89" s="22">
        <f>(AY89*AF89)/1000*(1-db!$AS$9)</f>
        <v>0</v>
      </c>
      <c r="BA89" s="22">
        <f>(AY89*AF89)/1000*(db!$AS$9)</f>
        <v>0</v>
      </c>
      <c r="BB89" s="23">
        <f t="shared" si="23"/>
        <v>0</v>
      </c>
      <c r="BC89" s="20">
        <f>(BB89*AH89/1000)*(1-db!$AS$9)</f>
        <v>0</v>
      </c>
      <c r="BD89" s="20">
        <f>(BB89*AH89/1000)*(db!$AS$9)</f>
        <v>0</v>
      </c>
      <c r="BE89" s="22">
        <f>IF(B89=0,0,IF(C89&gt;60,0,LOOKUP(Table14[[#This Row],[Medical
Age]],db!$BC$3:$BC$63,db!$BD$3:$BD$63)))</f>
        <v>0</v>
      </c>
      <c r="BF89" s="22">
        <f>BG89*db!$AS$10</f>
        <v>0</v>
      </c>
      <c r="BG89" s="22">
        <f t="shared" si="24"/>
        <v>0</v>
      </c>
      <c r="BH89" s="22">
        <f>(BE89/1000000)*AJ89*(1-db!$AS$10)</f>
        <v>0</v>
      </c>
      <c r="BI89" s="20">
        <f>IF(B89=0,0,IF(C89&gt;59,0,LOOKUP(Table14[[#This Row],[Medical
Age]],db!$BC$3:$BC$63,db!$BE$3:$BE$63)))</f>
        <v>0</v>
      </c>
      <c r="BJ89" s="20">
        <f>(BI89/1000000)*AL89*(1-db!$AS$11)</f>
        <v>0</v>
      </c>
      <c r="BK89" s="20">
        <f>(BI89/1000000)*AL89*(db!$AS$11)</f>
        <v>0</v>
      </c>
      <c r="BL89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89" s="20">
        <f>Table14[[#This Row],[RiskLoading
Rate]]*Table14[[#This Row],[Death Capital (2)]]</f>
        <v>0</v>
      </c>
      <c r="BN89" s="36"/>
      <c r="BO89" s="37">
        <f t="shared" si="25"/>
        <v>0</v>
      </c>
      <c r="BP89" s="35">
        <f t="shared" si="26"/>
        <v>0</v>
      </c>
      <c r="BQ89" s="35">
        <f t="shared" si="27"/>
        <v>0</v>
      </c>
      <c r="BR89" s="37">
        <f t="shared" si="31"/>
        <v>0</v>
      </c>
      <c r="BS89" s="37">
        <f t="shared" si="32"/>
        <v>0</v>
      </c>
      <c r="BT89" s="35">
        <f t="shared" si="33"/>
        <v>0</v>
      </c>
      <c r="BU89" s="35">
        <f t="shared" si="34"/>
        <v>0</v>
      </c>
      <c r="BV89" s="37">
        <f>(db!$AS$4/100)*(L89-BT89-BU89)</f>
        <v>0</v>
      </c>
      <c r="BW89" s="37">
        <f>(db!$AS$8/100)*(L89-BT89-BU89)</f>
        <v>0</v>
      </c>
      <c r="BX89" s="35"/>
      <c r="BY89" s="37"/>
      <c r="BZ89" s="37"/>
      <c r="CA89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89" s="33"/>
      <c r="CC89" s="39">
        <f>ROUND((Table14[[#This Row],[Premium]]-Table14[[#This Row],[All Deductions]]),0)</f>
        <v>0</v>
      </c>
      <c r="CD89" s="40">
        <f>ROUND(IF(B89=0,0,((CC89)*(1+ IF(AND(Changes!Change="Yes",Changes!ValidityYear&lt;=Table14[[#This Row],[Year]],Annulment&gt;Table14[[#This Row],[Year]],Changes!ChangeType="Paid-Up"),db!Y91+0.02,db!Y91)))+((CD88)*(1+IF(AND(Changes!Change="Yes",Changes!ValidityYear&lt;=Table14[[#This Row],[Year]],Annulment&gt;Table14[[#This Row],[Year]],Changes!ChangeType="Paid-Up"),db!U91+0.02,db!U91)))),0)</f>
        <v>0</v>
      </c>
      <c r="CE89" s="40">
        <f>ROUND(IF(B89=0,0,((CC89)*(1+db!Y91))+((CE88)*(1+db!U91))),0)</f>
        <v>0</v>
      </c>
      <c r="CF89" s="40">
        <f t="shared" si="39"/>
        <v>0</v>
      </c>
      <c r="CG89" s="15">
        <f t="shared" si="35"/>
        <v>88</v>
      </c>
      <c r="CH89" s="39">
        <f>IF(B89=0,0,((CC89)*(1+db!AH91))+((CH88)*(1+db!AD91)))</f>
        <v>0</v>
      </c>
      <c r="CI89" s="39">
        <f>IF(B89=0,0,((CC89)*(1+db!AH91))+((CI88)*(1+db!AD91)))</f>
        <v>0</v>
      </c>
      <c r="CJ89" s="40">
        <f>IF(B89=0,0,((CC89)*(1+db!AO91))+((CJ88)*(1+db!AK91)))</f>
        <v>0</v>
      </c>
      <c r="CK89" s="40">
        <f>CJ89-(SUM(BX$7:$BX90))</f>
        <v>0</v>
      </c>
      <c r="CL89" s="26"/>
    </row>
    <row r="90" spans="1:90">
      <c r="A90" s="347">
        <f t="shared" si="36"/>
        <v>89</v>
      </c>
      <c r="B90" s="345">
        <f>IF(AND(Changes!Change="Yes", Changes!ChangeType="Change Contract Duration"),IF(B89=0,0,IF(Changes!NewChangedValue&lt;B89+1,0,B89+1)),IF(B89=0,0,IF('Application Annually'!$C$5&lt;B89+1,0,B89+1)))</f>
        <v>0</v>
      </c>
      <c r="C90" s="15">
        <f t="shared" si="37"/>
        <v>0</v>
      </c>
      <c r="D90" s="312">
        <f t="shared" si="38"/>
        <v>116</v>
      </c>
      <c r="E90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90" s="29">
        <f t="shared" si="28"/>
        <v>0</v>
      </c>
      <c r="G90" s="29">
        <f t="shared" si="29"/>
        <v>0</v>
      </c>
      <c r="H90" s="29">
        <f t="shared" si="20"/>
        <v>0</v>
      </c>
      <c r="I90" s="29">
        <f>IF(B90&gt;0,IF(AND(Table14[[#This Row],[Year]]&gt;Changes!ValidityYear,Changes!Change="Yes",Changes!ChangeType="Change Value Adjustment"),Changes!$G$22,'Application Annually'!$C$11),0)</f>
        <v>0</v>
      </c>
      <c r="J90" s="29">
        <f>IF(B90&gt;0,IF(AND(Table14[[#This Row],[Year]]&gt;Changes!ValidityYear,Changes!Change="Yes",Changes!ChangeType="Change Value Adjustment"),Changes!$G$24,'Application Annually'!$C$7),0)</f>
        <v>0</v>
      </c>
      <c r="K90" s="29">
        <f>ROUND(IF(B90=0,0,IF(AND(Changes!Change="Yes", Changes!ValidityYear=Table14[[#This Row],[Year]], Changes!ChangeType="Change Premium"), Changes!NewChangedValue, (K89*(1+db!$B$3)))),0)</f>
        <v>0</v>
      </c>
      <c r="L90" s="29">
        <f>ROUND(IF(B90=0,0,IF(AND(Changes!Change="Yes", Changes!ValidityYear=Table14[[#This Row],[Year]], Changes!ChangeType="Change Premium"), Changes!NewChangedValue, (L89*(1+Table14[[#This Row],[Adjustment Factor of Premium]]/100)))),0)</f>
        <v>0</v>
      </c>
      <c r="M90" s="29">
        <f>IF(Table14[[#This Row],[Year]]=1,ROUND(MIN($L$2 -( Table14[[#This Row],[Riders Risk Premiums]] + Table14[[#This Row],[Acquisition Cost]]) *0.75,Table14[[#This Row],[Death Capital (1)]]* 0.03),0),0)</f>
        <v>0</v>
      </c>
      <c r="N90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90" s="29">
        <f>ROUND(IF(ROW()-1&gt;InsurancePeriod,0,(O89*(1+(Table14[[#This Row],[Adjustment Factor of Premium]]/100)))),0)</f>
        <v>0</v>
      </c>
      <c r="P90" s="29">
        <f>IF(Table14[Year] = 0, 0, SUM(L$2:L90))</f>
        <v>0</v>
      </c>
      <c r="Q90" s="17">
        <f t="shared" si="21"/>
        <v>0</v>
      </c>
      <c r="R90" s="17">
        <f>IF(Table14[[#This Row],[Year]]=0,0,IF($C$2&lt;=50,LOOKUP(Table14[[#This Row],[Age]],db!BG91:BG197,db!BH91:BH197),LOOKUP(Table14[[#This Row],[Age]],db!BJ91:BJ197,db!BK91:BK197)))</f>
        <v>0</v>
      </c>
      <c r="S90" s="17">
        <f>IF(B90=0,0, IF(AND(Changes!Change="Yes", Changes!ValidityYear=Table14[[#This Row],[Year]], Changes!ChangeType="Change Death Capital"), Changes!NewChangedValue, S89*(1+(Table14[[#This Row],[Adjustment Factor of Death Capital]]/100))))</f>
        <v>0</v>
      </c>
      <c r="T90" s="17">
        <f>MIN(IF(B90=0,0,Table14[[#This Row],[Death Capital (1)]]),Table14[[#This Row],[Max Sum Insured For Death]])</f>
        <v>0</v>
      </c>
      <c r="U90" s="29">
        <f t="shared" si="30"/>
        <v>0</v>
      </c>
      <c r="V90" s="29">
        <f>IF(B90=0,0,IF(AND(Changes!Change="Yes", Changes!ValidityYear&lt;=Table14[[#This Row],[Year]], Changes!ChangeType="Rider Inclusion/Exclusion", Changes!RiderType="Accident Death"), T90*Changes!NewChangedValue,IF(db!$D$6="Yes",(db!$B$6)*T90,0)))</f>
        <v>0</v>
      </c>
      <c r="W90" s="29">
        <f>MIN(IF(V90&lt;=db!$L$2,V90,db!$L$2),MAX_ACC_CAPITAL)</f>
        <v>0</v>
      </c>
      <c r="X90" s="17">
        <f>IF(OR(B90=0,Table14[[#This Row],[Accident Capital (2)]]=0),0,IF(AND(Changes!Change="Yes", Changes!ValidityYear&lt;=Table14[[#This Row],[Year]], Changes!ChangeType="Rider Inclusion/Exclusion", Changes!RiderType="Accident Disability"), T90*Changes!NewChangedValue,IF(db!$D$7="Yes",(db!$B$7)*T90,0)))</f>
        <v>0</v>
      </c>
      <c r="Y90" s="42">
        <f>IF(C90&gt;69,0,IF(C90=0,0,IF(X90&lt;=db!$L$3,X90,db!$L$3)))</f>
        <v>0</v>
      </c>
      <c r="Z90" s="29">
        <f>IF(OR(B90=0,Table14[[#This Row],[Accident Capital (2)]]=0),0,IF(AND(Changes!Change="Yes", Changes!ValidityYear&lt;=Table14[[#This Row],[Year]], Changes!ChangeType="Rider Inclusion/Exclusion", Changes!RiderType="Accident Medical Cost"), T90*Changes!NewChangedValue,IF(db!$D$9="Yes",(db!$B$9)*T90,0)))</f>
        <v>0</v>
      </c>
      <c r="AA90" s="29">
        <f>ROUND(IF(C90&gt;69,0,IF(C90=0,0,IF(Z90&lt;=db!$L$4,Z90,db!$L$4))),0)</f>
        <v>0</v>
      </c>
      <c r="AB90" s="38">
        <f>IF(AND(Changes!Change = "Yes", Changes!ChangeType = "Rider Inclusion/Exclusion", Changes!RiderType = "WOP"), IF( Changes!ValidityYear &lt;= Table14[[#This Row],[Year]], IF(WOP = "Yes", 0, 1),  IF(WOP = "Yes", 1, 0)), IF(AND(db!$D$8="Yes",C90&lt;=69,ROW()-1&lt;=InsurancePeriod), 1, 0))</f>
        <v>0</v>
      </c>
      <c r="AC90" s="17">
        <f>(AC91+K91)*AB90*((1)/(1+db!AA92))*(LOOKUP(C90,'Mortality Table'!$A$2:$A$108,'Mortality Table'!$E$2:$E$108))</f>
        <v>0</v>
      </c>
      <c r="AD90" s="340">
        <f>IF(AND(Changes!ValidityYear&lt;= Table14[[#This Row],[Year]],Changes!ChangeType="Change Value Adjustment",Changes!Change="Yes"), (AD91+L91)*AB90*((1)/(1+db!AA92))*(LOOKUP(C90,'Mortality Table'!$A$2:$A$108,'Mortality Table'!$E$2:$E$108)),Table14[[#This Row],[WOP Before Adj. BT]])</f>
        <v>0</v>
      </c>
      <c r="AE90" s="341">
        <f>IF(AND(Changes!Change="Yes", Changes!ChangeType="Change Value Adjustment"),Table14[[#This Row],[WOP Capital]],(AE91+O91)*AB90*((1)/(1+db!AA92))*(LOOKUP(D90,'Mortality Table'!$A$2:$A$108,'Mortality Table'!$E$2:$E$108)))</f>
        <v>0</v>
      </c>
      <c r="AF90" s="17">
        <f>IF(AND(Changes!Change="Yes", Changes!ValidityYear&lt;=ROW()-1),Table14[[#This Row],[WOP Capital]],Table14[[#This Row],[WOP without change]])</f>
        <v>0</v>
      </c>
      <c r="AG90" s="42">
        <f>IF(AND(Changes!Change="Yes", Changes!ValidityYear&lt;=Table14[[#This Row],[Year]], Changes!ChangeType="Rider Inclusion/Exclusion", Changes!RiderType="Disability Annuity"), L90*Changes!NewChangedValue,L90*db!B$10*IF(db!$D$10="Yes",1,0))</f>
        <v>0</v>
      </c>
      <c r="AH90" s="29">
        <f>Table14[[#This Row],[Code Annuity Capital]]*IF('Annual Calculation'!C90&gt;69,0,(LOOKUP('Annual Calculation'!C90+1,'Mortality Table'!$A$2:$A$108,'Mortality Table'!$O$2:$O$108)-LOOKUP('Annual Calculation'!C90+11,'Mortality Table'!$A$2:$A$108,'Mortality Table'!$O$2:$O$108))/LOOKUP('Annual Calculation'!C90,'Mortality Table'!$A$2:$A$108,'Mortality Table'!$M$2:$M$108))</f>
        <v>0</v>
      </c>
      <c r="AI90" s="17">
        <f>IF(B90=0,0,IF(AND(Changes!Change="Yes", Changes!ValidityYear&lt;=Table14[[#This Row],[Year]], Changes!ChangeType="Rider Inclusion/Exclusion", Changes!RiderType="Dread Disease"), T90*Changes!NewChangedValue,IF(db!$D$11="Yes",(db!$B$11)*T90,0)))</f>
        <v>0</v>
      </c>
      <c r="AJ90" s="42">
        <f>ROUND(IF(C90&gt;59,0,IF(C90=0,0,IF(AI90&lt;=db!$L$5,AI90,db!$L$5))),0)</f>
        <v>0</v>
      </c>
      <c r="AK90" s="29">
        <f>IF(B90=0,0,IF(AND(Changes!Change="Yes", Changes!ValidityYear&lt;=Table14[[#This Row],[Year]], Changes!ChangeType="Rider Inclusion/Exclusion", Changes!RiderType="Cancer"), T90*Changes!NewChangedValue,IF(db!$D$12="Yes",(db!$B$12)*T90,0)))</f>
        <v>0</v>
      </c>
      <c r="AL90" s="29">
        <f>ROUND(IF(C90&gt;59,0,IF(C90=0,0,IF(AK90&lt;=db!$L$6,AK90,db!$L$6))),0)</f>
        <v>0</v>
      </c>
      <c r="AM90" s="32"/>
      <c r="AN90" s="18">
        <f>IF(B90=0,0,IF(C90&lt;(db!$E$2+5),LOOKUP(C90,'Mortality Table'!$A$2:$A$108,'Mortality Table'!$P$2:$P$108),IF((C90&gt;=db!$E$2+10),LOOKUP(C90,'Mortality Table'!$A$2:$A$108,'Mortality Table'!$R$2:$R$108),LOOKUP(C90,'Mortality Table'!$A$2:$A$108,'Mortality Table'!$Q$2:$Q$108))))</f>
        <v>0</v>
      </c>
      <c r="AO90" s="22">
        <f t="shared" si="22"/>
        <v>0</v>
      </c>
      <c r="AP90" s="19">
        <f>IF(B90=0,0, LOOKUP(IF(AND(Changes!Change="Yes", Changes!ValidityYear&lt;=Table14[[#This Row],[Year]], Changes!ChangeType="Change Job Class"),Changes!NewChangedValue, db!$A$8),db!$AX$4:$AX$8,db!$AY$4:$AY$8))</f>
        <v>0</v>
      </c>
      <c r="AQ90" s="20">
        <f>ROUND((AP90/1000)*W90 * (1-db!$AS$9),0)</f>
        <v>0</v>
      </c>
      <c r="AR90" s="20">
        <f>(AP90/1000)*W90 * db!$AS$9</f>
        <v>0</v>
      </c>
      <c r="AS90" s="21">
        <f>IF(B90=0,0, LOOKUP(IF(AND(Changes!Change="Yes", Changes!ValidityYear&lt;=Table14[[#This Row],[Year]], Changes!ChangeType="Change Job Class"),Changes!NewChangedValue, db!$A$8),db!$AX$4:$AX$8,db!$AZ$4:$AZ$8))</f>
        <v>0</v>
      </c>
      <c r="AT90" s="22">
        <f>(AS90/1000)*Y90*(1-db!$AS$9)</f>
        <v>0</v>
      </c>
      <c r="AU90" s="22">
        <f>(AS90/1000)*Y90*(db!$AS$9)</f>
        <v>0</v>
      </c>
      <c r="AV90" s="23">
        <f>IF(B90=0,0, LOOKUP(IF(AND(Changes!Change="Yes", Changes!ValidityYear&lt;=Table14[[#This Row],[Year]], Changes!ChangeType="Change Job Class"),Changes!NewChangedValue, db!$A$8),db!$AX$4:$AX$8,db!$BA$4:$BA$8))</f>
        <v>0</v>
      </c>
      <c r="AW90" s="20">
        <f>ROUND((AV90/(100))*AA90*(1-db!$AS$9),0)</f>
        <v>0</v>
      </c>
      <c r="AX90" s="20">
        <f>ROUND((AV90/(100))*AA90*(db!$AS$9),0)</f>
        <v>0</v>
      </c>
      <c r="AY90" s="21">
        <f>IF(db!$D$8="Yes",AS90,0)</f>
        <v>0</v>
      </c>
      <c r="AZ90" s="22">
        <f>(AY90*AF90)/1000*(1-db!$AS$9)</f>
        <v>0</v>
      </c>
      <c r="BA90" s="22">
        <f>(AY90*AF90)/1000*(db!$AS$9)</f>
        <v>0</v>
      </c>
      <c r="BB90" s="23">
        <f t="shared" si="23"/>
        <v>0</v>
      </c>
      <c r="BC90" s="20">
        <f>(BB90*AH90/1000)*(1-db!$AS$9)</f>
        <v>0</v>
      </c>
      <c r="BD90" s="20">
        <f>(BB90*AH90/1000)*(db!$AS$9)</f>
        <v>0</v>
      </c>
      <c r="BE90" s="22">
        <f>IF(B90=0,0,IF(C90&gt;60,0,LOOKUP(Table14[[#This Row],[Medical
Age]],db!$BC$3:$BC$63,db!$BD$3:$BD$63)))</f>
        <v>0</v>
      </c>
      <c r="BF90" s="22">
        <f>BG90*db!$AS$10</f>
        <v>0</v>
      </c>
      <c r="BG90" s="22">
        <f t="shared" si="24"/>
        <v>0</v>
      </c>
      <c r="BH90" s="22">
        <f>(BE90/1000000)*AJ90*(1-db!$AS$10)</f>
        <v>0</v>
      </c>
      <c r="BI90" s="20">
        <f>IF(B90=0,0,IF(C90&gt;59,0,LOOKUP(Table14[[#This Row],[Medical
Age]],db!$BC$3:$BC$63,db!$BE$3:$BE$63)))</f>
        <v>0</v>
      </c>
      <c r="BJ90" s="20">
        <f>(BI90/1000000)*AL90*(1-db!$AS$11)</f>
        <v>0</v>
      </c>
      <c r="BK90" s="20">
        <f>(BI90/1000000)*AL90*(db!$AS$11)</f>
        <v>0</v>
      </c>
      <c r="BL90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90" s="20">
        <f>Table14[[#This Row],[RiskLoading
Rate]]*Table14[[#This Row],[Death Capital (2)]]</f>
        <v>0</v>
      </c>
      <c r="BN90" s="36"/>
      <c r="BO90" s="37">
        <f t="shared" si="25"/>
        <v>0</v>
      </c>
      <c r="BP90" s="35">
        <f t="shared" si="26"/>
        <v>0</v>
      </c>
      <c r="BQ90" s="35">
        <f t="shared" si="27"/>
        <v>0</v>
      </c>
      <c r="BR90" s="37">
        <f t="shared" si="31"/>
        <v>0</v>
      </c>
      <c r="BS90" s="37">
        <f t="shared" si="32"/>
        <v>0</v>
      </c>
      <c r="BT90" s="35">
        <f t="shared" si="33"/>
        <v>0</v>
      </c>
      <c r="BU90" s="35">
        <f t="shared" si="34"/>
        <v>0</v>
      </c>
      <c r="BV90" s="37">
        <f>(db!$AS$4/100)*(L90-BT90-BU90)</f>
        <v>0</v>
      </c>
      <c r="BW90" s="37">
        <f>(db!$AS$8/100)*(L90-BT90-BU90)</f>
        <v>0</v>
      </c>
      <c r="BX90" s="35"/>
      <c r="BY90" s="37"/>
      <c r="BZ90" s="37"/>
      <c r="CA90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90" s="33"/>
      <c r="CC90" s="39">
        <f>ROUND((Table14[[#This Row],[Premium]]-Table14[[#This Row],[All Deductions]]),0)</f>
        <v>0</v>
      </c>
      <c r="CD90" s="40">
        <f>ROUND(IF(B90=0,0,((CC90)*(1+ IF(AND(Changes!Change="Yes",Changes!ValidityYear&lt;=Table14[[#This Row],[Year]],Annulment&gt;Table14[[#This Row],[Year]],Changes!ChangeType="Paid-Up"),db!Y92+0.02,db!Y92)))+((CD89)*(1+IF(AND(Changes!Change="Yes",Changes!ValidityYear&lt;=Table14[[#This Row],[Year]],Annulment&gt;Table14[[#This Row],[Year]],Changes!ChangeType="Paid-Up"),db!U92+0.02,db!U92)))),0)</f>
        <v>0</v>
      </c>
      <c r="CE90" s="40">
        <f>ROUND(IF(B90=0,0,((CC90)*(1+db!Y92))+((CE89)*(1+db!U92))),0)</f>
        <v>0</v>
      </c>
      <c r="CF90" s="40">
        <f t="shared" si="39"/>
        <v>0</v>
      </c>
      <c r="CG90" s="15">
        <f t="shared" si="35"/>
        <v>89</v>
      </c>
      <c r="CH90" s="39">
        <f>IF(B90=0,0,((CC90)*(1+db!AH92))+((CH89)*(1+db!AD92)))</f>
        <v>0</v>
      </c>
      <c r="CI90" s="39">
        <f>IF(B90=0,0,((CC90)*(1+db!AH92))+((CI89)*(1+db!AD92)))</f>
        <v>0</v>
      </c>
      <c r="CJ90" s="40">
        <f>IF(B90=0,0,((CC90)*(1+db!AO92))+((CJ89)*(1+db!AK92)))</f>
        <v>0</v>
      </c>
      <c r="CK90" s="40">
        <f>CJ90-(SUM(BX$7:$BX91))</f>
        <v>0</v>
      </c>
      <c r="CL90" s="26"/>
    </row>
    <row r="91" spans="1:90">
      <c r="A91" s="347">
        <f t="shared" si="36"/>
        <v>90</v>
      </c>
      <c r="B91" s="345">
        <f>IF(AND(Changes!Change="Yes", Changes!ChangeType="Change Contract Duration"),IF(B90=0,0,IF(Changes!NewChangedValue&lt;B90+1,0,B90+1)),IF(B90=0,0,IF('Application Annually'!$C$5&lt;B90+1,0,B90+1)))</f>
        <v>0</v>
      </c>
      <c r="C91" s="15">
        <f t="shared" si="37"/>
        <v>0</v>
      </c>
      <c r="D91" s="312">
        <f t="shared" si="38"/>
        <v>117</v>
      </c>
      <c r="E91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91" s="29">
        <f t="shared" si="28"/>
        <v>0</v>
      </c>
      <c r="G91" s="29">
        <f t="shared" si="29"/>
        <v>0</v>
      </c>
      <c r="H91" s="29">
        <f t="shared" si="20"/>
        <v>0</v>
      </c>
      <c r="I91" s="29">
        <f>IF(B91&gt;0,IF(AND(Table14[[#This Row],[Year]]&gt;Changes!ValidityYear,Changes!Change="Yes",Changes!ChangeType="Change Value Adjustment"),Changes!$G$22,'Application Annually'!$C$11),0)</f>
        <v>0</v>
      </c>
      <c r="J91" s="29">
        <f>IF(B91&gt;0,IF(AND(Table14[[#This Row],[Year]]&gt;Changes!ValidityYear,Changes!Change="Yes",Changes!ChangeType="Change Value Adjustment"),Changes!$G$24,'Application Annually'!$C$7),0)</f>
        <v>0</v>
      </c>
      <c r="K91" s="29">
        <f>ROUND(IF(B91=0,0,IF(AND(Changes!Change="Yes", Changes!ValidityYear=Table14[[#This Row],[Year]], Changes!ChangeType="Change Premium"), Changes!NewChangedValue, (K90*(1+db!$B$3)))),0)</f>
        <v>0</v>
      </c>
      <c r="L91" s="29">
        <f>ROUND(IF(B91=0,0,IF(AND(Changes!Change="Yes", Changes!ValidityYear=Table14[[#This Row],[Year]], Changes!ChangeType="Change Premium"), Changes!NewChangedValue, (L90*(1+Table14[[#This Row],[Adjustment Factor of Premium]]/100)))),0)</f>
        <v>0</v>
      </c>
      <c r="M91" s="29">
        <f>IF(Table14[[#This Row],[Year]]=1,ROUND(MIN($L$2 -( Table14[[#This Row],[Riders Risk Premiums]] + Table14[[#This Row],[Acquisition Cost]]) *0.75,Table14[[#This Row],[Death Capital (1)]]* 0.03),0),0)</f>
        <v>0</v>
      </c>
      <c r="N91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91" s="29">
        <f>ROUND(IF(ROW()-1&gt;InsurancePeriod,0,(O90*(1+(Table14[[#This Row],[Adjustment Factor of Premium]]/100)))),0)</f>
        <v>0</v>
      </c>
      <c r="P91" s="29">
        <f>IF(Table14[Year] = 0, 0, SUM(L$2:L91))</f>
        <v>0</v>
      </c>
      <c r="Q91" s="17">
        <f t="shared" si="21"/>
        <v>0</v>
      </c>
      <c r="R91" s="17">
        <f>IF(Table14[[#This Row],[Year]]=0,0,IF($C$2&lt;=50,LOOKUP(Table14[[#This Row],[Age]],db!BG92:BG198,db!BH92:BH198),LOOKUP(Table14[[#This Row],[Age]],db!BJ92:BJ198,db!BK92:BK198)))</f>
        <v>0</v>
      </c>
      <c r="S91" s="17">
        <f>IF(B91=0,0, IF(AND(Changes!Change="Yes", Changes!ValidityYear=Table14[[#This Row],[Year]], Changes!ChangeType="Change Death Capital"), Changes!NewChangedValue, S90*(1+(Table14[[#This Row],[Adjustment Factor of Death Capital]]/100))))</f>
        <v>0</v>
      </c>
      <c r="T91" s="17">
        <f>MIN(IF(B91=0,0,Table14[[#This Row],[Death Capital (1)]]),Table14[[#This Row],[Max Sum Insured For Death]])</f>
        <v>0</v>
      </c>
      <c r="U91" s="29">
        <f t="shared" si="30"/>
        <v>0</v>
      </c>
      <c r="V91" s="29">
        <f>IF(B91=0,0,IF(AND(Changes!Change="Yes", Changes!ValidityYear&lt;=Table14[[#This Row],[Year]], Changes!ChangeType="Rider Inclusion/Exclusion", Changes!RiderType="Accident Death"), T91*Changes!NewChangedValue,IF(db!$D$6="Yes",(db!$B$6)*T91,0)))</f>
        <v>0</v>
      </c>
      <c r="W91" s="29">
        <f>MIN(IF(V91&lt;=db!$L$2,V91,db!$L$2),MAX_ACC_CAPITAL)</f>
        <v>0</v>
      </c>
      <c r="X91" s="17">
        <f>IF(OR(B91=0,Table14[[#This Row],[Accident Capital (2)]]=0),0,IF(AND(Changes!Change="Yes", Changes!ValidityYear&lt;=Table14[[#This Row],[Year]], Changes!ChangeType="Rider Inclusion/Exclusion", Changes!RiderType="Accident Disability"), T91*Changes!NewChangedValue,IF(db!$D$7="Yes",(db!$B$7)*T91,0)))</f>
        <v>0</v>
      </c>
      <c r="Y91" s="42">
        <f>IF(C91&gt;69,0,IF(C91=0,0,IF(X91&lt;=db!$L$3,X91,db!$L$3)))</f>
        <v>0</v>
      </c>
      <c r="Z91" s="29">
        <f>IF(OR(B91=0,Table14[[#This Row],[Accident Capital (2)]]=0),0,IF(AND(Changes!Change="Yes", Changes!ValidityYear&lt;=Table14[[#This Row],[Year]], Changes!ChangeType="Rider Inclusion/Exclusion", Changes!RiderType="Accident Medical Cost"), T91*Changes!NewChangedValue,IF(db!$D$9="Yes",(db!$B$9)*T91,0)))</f>
        <v>0</v>
      </c>
      <c r="AA91" s="29">
        <f>ROUND(IF(C91&gt;69,0,IF(C91=0,0,IF(Z91&lt;=db!$L$4,Z91,db!$L$4))),0)</f>
        <v>0</v>
      </c>
      <c r="AB91" s="38">
        <f>IF(AND(Changes!Change = "Yes", Changes!ChangeType = "Rider Inclusion/Exclusion", Changes!RiderType = "WOP"), IF( Changes!ValidityYear &lt;= Table14[[#This Row],[Year]], IF(WOP = "Yes", 0, 1),  IF(WOP = "Yes", 1, 0)), IF(AND(db!$D$8="Yes",C91&lt;=69,ROW()-1&lt;=InsurancePeriod), 1, 0))</f>
        <v>0</v>
      </c>
      <c r="AC91" s="17">
        <f>(AC92+K92)*AB91*((1)/(1+db!AA93))*(LOOKUP(C91,'Mortality Table'!$A$2:$A$108,'Mortality Table'!$E$2:$E$108))</f>
        <v>0</v>
      </c>
      <c r="AD91" s="340">
        <f>IF(AND(Changes!ValidityYear&lt;= Table14[[#This Row],[Year]],Changes!ChangeType="Change Value Adjustment",Changes!Change="Yes"), (AD92+L92)*AB91*((1)/(1+db!AA93))*(LOOKUP(C91,'Mortality Table'!$A$2:$A$108,'Mortality Table'!$E$2:$E$108)),Table14[[#This Row],[WOP Before Adj. BT]])</f>
        <v>0</v>
      </c>
      <c r="AE91" s="341">
        <f>IF(AND(Changes!Change="Yes", Changes!ChangeType="Change Value Adjustment"),Table14[[#This Row],[WOP Capital]],(AE92+O92)*AB91*((1)/(1+db!AA93))*(LOOKUP(D91,'Mortality Table'!$A$2:$A$108,'Mortality Table'!$E$2:$E$108)))</f>
        <v>0</v>
      </c>
      <c r="AF91" s="17">
        <f>IF(AND(Changes!Change="Yes", Changes!ValidityYear&lt;=ROW()-1),Table14[[#This Row],[WOP Capital]],Table14[[#This Row],[WOP without change]])</f>
        <v>0</v>
      </c>
      <c r="AG91" s="42">
        <f>IF(AND(Changes!Change="Yes", Changes!ValidityYear&lt;=Table14[[#This Row],[Year]], Changes!ChangeType="Rider Inclusion/Exclusion", Changes!RiderType="Disability Annuity"), L91*Changes!NewChangedValue,L91*db!B$10*IF(db!$D$10="Yes",1,0))</f>
        <v>0</v>
      </c>
      <c r="AH91" s="29">
        <f>Table14[[#This Row],[Code Annuity Capital]]*IF('Annual Calculation'!C91&gt;69,0,(LOOKUP('Annual Calculation'!C91+1,'Mortality Table'!$A$2:$A$108,'Mortality Table'!$O$2:$O$108)-LOOKUP('Annual Calculation'!C91+11,'Mortality Table'!$A$2:$A$108,'Mortality Table'!$O$2:$O$108))/LOOKUP('Annual Calculation'!C91,'Mortality Table'!$A$2:$A$108,'Mortality Table'!$M$2:$M$108))</f>
        <v>0</v>
      </c>
      <c r="AI91" s="17">
        <f>IF(B91=0,0,IF(AND(Changes!Change="Yes", Changes!ValidityYear&lt;=Table14[[#This Row],[Year]], Changes!ChangeType="Rider Inclusion/Exclusion", Changes!RiderType="Dread Disease"), T91*Changes!NewChangedValue,IF(db!$D$11="Yes",(db!$B$11)*T91,0)))</f>
        <v>0</v>
      </c>
      <c r="AJ91" s="42">
        <f>ROUND(IF(C91&gt;59,0,IF(C91=0,0,IF(AI91&lt;=db!$L$5,AI91,db!$L$5))),0)</f>
        <v>0</v>
      </c>
      <c r="AK91" s="29">
        <f>IF(B91=0,0,IF(AND(Changes!Change="Yes", Changes!ValidityYear&lt;=Table14[[#This Row],[Year]], Changes!ChangeType="Rider Inclusion/Exclusion", Changes!RiderType="Cancer"), T91*Changes!NewChangedValue,IF(db!$D$12="Yes",(db!$B$12)*T91,0)))</f>
        <v>0</v>
      </c>
      <c r="AL91" s="29">
        <f>ROUND(IF(C91&gt;59,0,IF(C91=0,0,IF(AK91&lt;=db!$L$6,AK91,db!$L$6))),0)</f>
        <v>0</v>
      </c>
      <c r="AM91" s="32"/>
      <c r="AN91" s="18">
        <f>IF(B91=0,0,IF(C91&lt;(db!$E$2+5),LOOKUP(C91,'Mortality Table'!$A$2:$A$108,'Mortality Table'!$P$2:$P$108),IF((C91&gt;=db!$E$2+10),LOOKUP(C91,'Mortality Table'!$A$2:$A$108,'Mortality Table'!$R$2:$R$108),LOOKUP(C91,'Mortality Table'!$A$2:$A$108,'Mortality Table'!$Q$2:$Q$108))))</f>
        <v>0</v>
      </c>
      <c r="AO91" s="22">
        <f t="shared" si="22"/>
        <v>0</v>
      </c>
      <c r="AP91" s="19">
        <f>IF(B91=0,0, LOOKUP(IF(AND(Changes!Change="Yes", Changes!ValidityYear&lt;=Table14[[#This Row],[Year]], Changes!ChangeType="Change Job Class"),Changes!NewChangedValue, db!$A$8),db!$AX$4:$AX$8,db!$AY$4:$AY$8))</f>
        <v>0</v>
      </c>
      <c r="AQ91" s="20">
        <f>ROUND((AP91/1000)*W91 * (1-db!$AS$9),0)</f>
        <v>0</v>
      </c>
      <c r="AR91" s="20">
        <f>(AP91/1000)*W91 * db!$AS$9</f>
        <v>0</v>
      </c>
      <c r="AS91" s="21">
        <f>IF(B91=0,0, LOOKUP(IF(AND(Changes!Change="Yes", Changes!ValidityYear&lt;=Table14[[#This Row],[Year]], Changes!ChangeType="Change Job Class"),Changes!NewChangedValue, db!$A$8),db!$AX$4:$AX$8,db!$AZ$4:$AZ$8))</f>
        <v>0</v>
      </c>
      <c r="AT91" s="22">
        <f>(AS91/1000)*Y91*(1-db!$AS$9)</f>
        <v>0</v>
      </c>
      <c r="AU91" s="22">
        <f>(AS91/1000)*Y91*(db!$AS$9)</f>
        <v>0</v>
      </c>
      <c r="AV91" s="23">
        <f>IF(B91=0,0, LOOKUP(IF(AND(Changes!Change="Yes", Changes!ValidityYear&lt;=Table14[[#This Row],[Year]], Changes!ChangeType="Change Job Class"),Changes!NewChangedValue, db!$A$8),db!$AX$4:$AX$8,db!$BA$4:$BA$8))</f>
        <v>0</v>
      </c>
      <c r="AW91" s="20">
        <f>ROUND((AV91/(100))*AA91*(1-db!$AS$9),0)</f>
        <v>0</v>
      </c>
      <c r="AX91" s="20">
        <f>ROUND((AV91/(100))*AA91*(db!$AS$9),0)</f>
        <v>0</v>
      </c>
      <c r="AY91" s="21">
        <f>IF(db!$D$8="Yes",AS91,0)</f>
        <v>0</v>
      </c>
      <c r="AZ91" s="22">
        <f>(AY91*AF91)/1000*(1-db!$AS$9)</f>
        <v>0</v>
      </c>
      <c r="BA91" s="22">
        <f>(AY91*AF91)/1000*(db!$AS$9)</f>
        <v>0</v>
      </c>
      <c r="BB91" s="23">
        <f t="shared" si="23"/>
        <v>0</v>
      </c>
      <c r="BC91" s="20">
        <f>(BB91*AH91/1000)*(1-db!$AS$9)</f>
        <v>0</v>
      </c>
      <c r="BD91" s="20">
        <f>(BB91*AH91/1000)*(db!$AS$9)</f>
        <v>0</v>
      </c>
      <c r="BE91" s="22">
        <f>IF(B91=0,0,IF(C91&gt;60,0,LOOKUP(Table14[[#This Row],[Medical
Age]],db!$BC$3:$BC$63,db!$BD$3:$BD$63)))</f>
        <v>0</v>
      </c>
      <c r="BF91" s="22">
        <f>BG91*db!$AS$10</f>
        <v>0</v>
      </c>
      <c r="BG91" s="22">
        <f t="shared" si="24"/>
        <v>0</v>
      </c>
      <c r="BH91" s="22">
        <f>(BE91/1000000)*AJ91*(1-db!$AS$10)</f>
        <v>0</v>
      </c>
      <c r="BI91" s="20">
        <f>IF(B91=0,0,IF(C91&gt;59,0,LOOKUP(Table14[[#This Row],[Medical
Age]],db!$BC$3:$BC$63,db!$BE$3:$BE$63)))</f>
        <v>0</v>
      </c>
      <c r="BJ91" s="20">
        <f>(BI91/1000000)*AL91*(1-db!$AS$11)</f>
        <v>0</v>
      </c>
      <c r="BK91" s="20">
        <f>(BI91/1000000)*AL91*(db!$AS$11)</f>
        <v>0</v>
      </c>
      <c r="BL91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91" s="20">
        <f>Table14[[#This Row],[RiskLoading
Rate]]*Table14[[#This Row],[Death Capital (2)]]</f>
        <v>0</v>
      </c>
      <c r="BN91" s="36"/>
      <c r="BO91" s="37">
        <f t="shared" si="25"/>
        <v>0</v>
      </c>
      <c r="BP91" s="35">
        <f t="shared" si="26"/>
        <v>0</v>
      </c>
      <c r="BQ91" s="35">
        <f t="shared" si="27"/>
        <v>0</v>
      </c>
      <c r="BR91" s="37">
        <f t="shared" si="31"/>
        <v>0</v>
      </c>
      <c r="BS91" s="37">
        <f t="shared" si="32"/>
        <v>0</v>
      </c>
      <c r="BT91" s="35">
        <f t="shared" si="33"/>
        <v>0</v>
      </c>
      <c r="BU91" s="35">
        <f t="shared" si="34"/>
        <v>0</v>
      </c>
      <c r="BV91" s="37">
        <f>(db!$AS$4/100)*(L91-BT91-BU91)</f>
        <v>0</v>
      </c>
      <c r="BW91" s="37">
        <f>(db!$AS$8/100)*(L91-BT91-BU91)</f>
        <v>0</v>
      </c>
      <c r="BX91" s="35"/>
      <c r="BY91" s="37"/>
      <c r="BZ91" s="37"/>
      <c r="CA91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91" s="33"/>
      <c r="CC91" s="39">
        <f>ROUND((Table14[[#This Row],[Premium]]-Table14[[#This Row],[All Deductions]]),0)</f>
        <v>0</v>
      </c>
      <c r="CD91" s="40">
        <f>ROUND(IF(B91=0,0,((CC91)*(1+ IF(AND(Changes!Change="Yes",Changes!ValidityYear&lt;=Table14[[#This Row],[Year]],Annulment&gt;Table14[[#This Row],[Year]],Changes!ChangeType="Paid-Up"),db!Y93+0.02,db!Y93)))+((CD90)*(1+IF(AND(Changes!Change="Yes",Changes!ValidityYear&lt;=Table14[[#This Row],[Year]],Annulment&gt;Table14[[#This Row],[Year]],Changes!ChangeType="Paid-Up"),db!U93+0.02,db!U93)))),0)</f>
        <v>0</v>
      </c>
      <c r="CE91" s="40">
        <f>ROUND(IF(B91=0,0,((CC91)*(1+db!Y93))+((CE90)*(1+db!U93))),0)</f>
        <v>0</v>
      </c>
      <c r="CF91" s="40">
        <f t="shared" si="39"/>
        <v>0</v>
      </c>
      <c r="CG91" s="15">
        <f t="shared" si="35"/>
        <v>90</v>
      </c>
      <c r="CH91" s="39">
        <f>IF(B91=0,0,((CC91)*(1+db!AH93))+((CH90)*(1+db!AD93)))</f>
        <v>0</v>
      </c>
      <c r="CI91" s="39">
        <f>IF(B91=0,0,((CC91)*(1+db!AH93))+((CI90)*(1+db!AD93)))</f>
        <v>0</v>
      </c>
      <c r="CJ91" s="40">
        <f>IF(B91=0,0,((CC91)*(1+db!AO93))+((CJ90)*(1+db!AK93)))</f>
        <v>0</v>
      </c>
      <c r="CK91" s="40">
        <f>CJ91-(SUM(BX$7:$BX92))</f>
        <v>0</v>
      </c>
      <c r="CL91" s="26"/>
    </row>
    <row r="92" spans="1:90">
      <c r="A92" s="347">
        <f t="shared" si="36"/>
        <v>91</v>
      </c>
      <c r="B92" s="345">
        <f>IF(AND(Changes!Change="Yes", Changes!ChangeType="Change Contract Duration"),IF(B91=0,0,IF(Changes!NewChangedValue&lt;B91+1,0,B91+1)),IF(B91=0,0,IF('Application Annually'!$C$5&lt;B91+1,0,B91+1)))</f>
        <v>0</v>
      </c>
      <c r="C92" s="15">
        <f t="shared" si="37"/>
        <v>0</v>
      </c>
      <c r="D92" s="312">
        <f t="shared" si="38"/>
        <v>118</v>
      </c>
      <c r="E92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92" s="29">
        <f t="shared" si="28"/>
        <v>0</v>
      </c>
      <c r="G92" s="29">
        <f t="shared" si="29"/>
        <v>0</v>
      </c>
      <c r="H92" s="29">
        <f t="shared" si="20"/>
        <v>0</v>
      </c>
      <c r="I92" s="29">
        <f>IF(B92&gt;0,IF(AND(Table14[[#This Row],[Year]]&gt;Changes!ValidityYear,Changes!Change="Yes",Changes!ChangeType="Change Value Adjustment"),Changes!$G$22,'Application Annually'!$C$11),0)</f>
        <v>0</v>
      </c>
      <c r="J92" s="29">
        <f>IF(B92&gt;0,IF(AND(Table14[[#This Row],[Year]]&gt;Changes!ValidityYear,Changes!Change="Yes",Changes!ChangeType="Change Value Adjustment"),Changes!$G$24,'Application Annually'!$C$7),0)</f>
        <v>0</v>
      </c>
      <c r="K92" s="29">
        <f>ROUND(IF(B92=0,0,IF(AND(Changes!Change="Yes", Changes!ValidityYear=Table14[[#This Row],[Year]], Changes!ChangeType="Change Premium"), Changes!NewChangedValue, (K91*(1+db!$B$3)))),0)</f>
        <v>0</v>
      </c>
      <c r="L92" s="29">
        <f>ROUND(IF(B92=0,0,IF(AND(Changes!Change="Yes", Changes!ValidityYear=Table14[[#This Row],[Year]], Changes!ChangeType="Change Premium"), Changes!NewChangedValue, (L91*(1+Table14[[#This Row],[Adjustment Factor of Premium]]/100)))),0)</f>
        <v>0</v>
      </c>
      <c r="M92" s="29">
        <f>IF(Table14[[#This Row],[Year]]=1,ROUND(MIN($L$2 -( Table14[[#This Row],[Riders Risk Premiums]] + Table14[[#This Row],[Acquisition Cost]]) *0.75,Table14[[#This Row],[Death Capital (1)]]* 0.03),0),0)</f>
        <v>0</v>
      </c>
      <c r="N92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92" s="29">
        <f>ROUND(IF(ROW()-1&gt;InsurancePeriod,0,(O91*(1+(Table14[[#This Row],[Adjustment Factor of Premium]]/100)))),0)</f>
        <v>0</v>
      </c>
      <c r="P92" s="29">
        <f>IF(Table14[Year] = 0, 0, SUM(L$2:L92))</f>
        <v>0</v>
      </c>
      <c r="Q92" s="17">
        <f t="shared" si="21"/>
        <v>0</v>
      </c>
      <c r="R92" s="17">
        <f>IF(Table14[[#This Row],[Year]]=0,0,IF($C$2&lt;=50,LOOKUP(Table14[[#This Row],[Age]],db!BG93:BG199,db!BH93:BH199),LOOKUP(Table14[[#This Row],[Age]],db!BJ93:BJ199,db!BK93:BK199)))</f>
        <v>0</v>
      </c>
      <c r="S92" s="17">
        <f>IF(B92=0,0, IF(AND(Changes!Change="Yes", Changes!ValidityYear=Table14[[#This Row],[Year]], Changes!ChangeType="Change Death Capital"), Changes!NewChangedValue, S91*(1+(Table14[[#This Row],[Adjustment Factor of Death Capital]]/100))))</f>
        <v>0</v>
      </c>
      <c r="T92" s="17">
        <f>MIN(IF(B92=0,0,Table14[[#This Row],[Death Capital (1)]]),Table14[[#This Row],[Max Sum Insured For Death]])</f>
        <v>0</v>
      </c>
      <c r="U92" s="29">
        <f t="shared" si="30"/>
        <v>0</v>
      </c>
      <c r="V92" s="29">
        <f>IF(B92=0,0,IF(AND(Changes!Change="Yes", Changes!ValidityYear&lt;=Table14[[#This Row],[Year]], Changes!ChangeType="Rider Inclusion/Exclusion", Changes!RiderType="Accident Death"), T92*Changes!NewChangedValue,IF(db!$D$6="Yes",(db!$B$6)*T92,0)))</f>
        <v>0</v>
      </c>
      <c r="W92" s="29">
        <f>MIN(IF(V92&lt;=db!$L$2,V92,db!$L$2),MAX_ACC_CAPITAL)</f>
        <v>0</v>
      </c>
      <c r="X92" s="17">
        <f>IF(OR(B92=0,Table14[[#This Row],[Accident Capital (2)]]=0),0,IF(AND(Changes!Change="Yes", Changes!ValidityYear&lt;=Table14[[#This Row],[Year]], Changes!ChangeType="Rider Inclusion/Exclusion", Changes!RiderType="Accident Disability"), T92*Changes!NewChangedValue,IF(db!$D$7="Yes",(db!$B$7)*T92,0)))</f>
        <v>0</v>
      </c>
      <c r="Y92" s="42">
        <f>IF(C92&gt;69,0,IF(C92=0,0,IF(X92&lt;=db!$L$3,X92,db!$L$3)))</f>
        <v>0</v>
      </c>
      <c r="Z92" s="29">
        <f>IF(OR(B92=0,Table14[[#This Row],[Accident Capital (2)]]=0),0,IF(AND(Changes!Change="Yes", Changes!ValidityYear&lt;=Table14[[#This Row],[Year]], Changes!ChangeType="Rider Inclusion/Exclusion", Changes!RiderType="Accident Medical Cost"), T92*Changes!NewChangedValue,IF(db!$D$9="Yes",(db!$B$9)*T92,0)))</f>
        <v>0</v>
      </c>
      <c r="AA92" s="29">
        <f>ROUND(IF(C92&gt;69,0,IF(C92=0,0,IF(Z92&lt;=db!$L$4,Z92,db!$L$4))),0)</f>
        <v>0</v>
      </c>
      <c r="AB92" s="38">
        <f>IF(AND(Changes!Change = "Yes", Changes!ChangeType = "Rider Inclusion/Exclusion", Changes!RiderType = "WOP"), IF( Changes!ValidityYear &lt;= Table14[[#This Row],[Year]], IF(WOP = "Yes", 0, 1),  IF(WOP = "Yes", 1, 0)), IF(AND(db!$D$8="Yes",C92&lt;=69,ROW()-1&lt;=InsurancePeriod), 1, 0))</f>
        <v>0</v>
      </c>
      <c r="AC92" s="17">
        <f>(AC93+K93)*AB92*((1)/(1+db!AA94))*(LOOKUP(C92,'Mortality Table'!$A$2:$A$108,'Mortality Table'!$E$2:$E$108))</f>
        <v>0</v>
      </c>
      <c r="AD92" s="340">
        <f>IF(AND(Changes!ValidityYear&lt;= Table14[[#This Row],[Year]],Changes!ChangeType="Change Value Adjustment",Changes!Change="Yes"), (AD93+L93)*AB92*((1)/(1+db!AA94))*(LOOKUP(C92,'Mortality Table'!$A$2:$A$108,'Mortality Table'!$E$2:$E$108)),Table14[[#This Row],[WOP Before Adj. BT]])</f>
        <v>0</v>
      </c>
      <c r="AE92" s="341">
        <f>IF(AND(Changes!Change="Yes", Changes!ChangeType="Change Value Adjustment"),Table14[[#This Row],[WOP Capital]],(AE93+O93)*AB92*((1)/(1+db!AA94))*(LOOKUP(D92,'Mortality Table'!$A$2:$A$108,'Mortality Table'!$E$2:$E$108)))</f>
        <v>0</v>
      </c>
      <c r="AF92" s="17">
        <f>IF(AND(Changes!Change="Yes", Changes!ValidityYear&lt;=ROW()-1),Table14[[#This Row],[WOP Capital]],Table14[[#This Row],[WOP without change]])</f>
        <v>0</v>
      </c>
      <c r="AG92" s="42">
        <f>IF(AND(Changes!Change="Yes", Changes!ValidityYear&lt;=Table14[[#This Row],[Year]], Changes!ChangeType="Rider Inclusion/Exclusion", Changes!RiderType="Disability Annuity"), L92*Changes!NewChangedValue,L92*db!B$10*IF(db!$D$10="Yes",1,0))</f>
        <v>0</v>
      </c>
      <c r="AH92" s="29">
        <f>Table14[[#This Row],[Code Annuity Capital]]*IF('Annual Calculation'!C92&gt;69,0,(LOOKUP('Annual Calculation'!C92+1,'Mortality Table'!$A$2:$A$108,'Mortality Table'!$O$2:$O$108)-LOOKUP('Annual Calculation'!C92+11,'Mortality Table'!$A$2:$A$108,'Mortality Table'!$O$2:$O$108))/LOOKUP('Annual Calculation'!C92,'Mortality Table'!$A$2:$A$108,'Mortality Table'!$M$2:$M$108))</f>
        <v>0</v>
      </c>
      <c r="AI92" s="17">
        <f>IF(B92=0,0,IF(AND(Changes!Change="Yes", Changes!ValidityYear&lt;=Table14[[#This Row],[Year]], Changes!ChangeType="Rider Inclusion/Exclusion", Changes!RiderType="Dread Disease"), T92*Changes!NewChangedValue,IF(db!$D$11="Yes",(db!$B$11)*T92,0)))</f>
        <v>0</v>
      </c>
      <c r="AJ92" s="42">
        <f>ROUND(IF(C92&gt;59,0,IF(C92=0,0,IF(AI92&lt;=db!$L$5,AI92,db!$L$5))),0)</f>
        <v>0</v>
      </c>
      <c r="AK92" s="29">
        <f>IF(B92=0,0,IF(AND(Changes!Change="Yes", Changes!ValidityYear&lt;=Table14[[#This Row],[Year]], Changes!ChangeType="Rider Inclusion/Exclusion", Changes!RiderType="Cancer"), T92*Changes!NewChangedValue,IF(db!$D$12="Yes",(db!$B$12)*T92,0)))</f>
        <v>0</v>
      </c>
      <c r="AL92" s="29">
        <f>ROUND(IF(C92&gt;59,0,IF(C92=0,0,IF(AK92&lt;=db!$L$6,AK92,db!$L$6))),0)</f>
        <v>0</v>
      </c>
      <c r="AM92" s="32"/>
      <c r="AN92" s="18">
        <f>IF(B92=0,0,IF(C92&lt;(db!$E$2+5),LOOKUP(C92,'Mortality Table'!$A$2:$A$108,'Mortality Table'!$P$2:$P$108),IF((C92&gt;=db!$E$2+10),LOOKUP(C92,'Mortality Table'!$A$2:$A$108,'Mortality Table'!$R$2:$R$108),LOOKUP(C92,'Mortality Table'!$A$2:$A$108,'Mortality Table'!$Q$2:$Q$108))))</f>
        <v>0</v>
      </c>
      <c r="AO92" s="22">
        <f t="shared" si="22"/>
        <v>0</v>
      </c>
      <c r="AP92" s="19">
        <f>IF(B92=0,0, LOOKUP(IF(AND(Changes!Change="Yes", Changes!ValidityYear&lt;=Table14[[#This Row],[Year]], Changes!ChangeType="Change Job Class"),Changes!NewChangedValue, db!$A$8),db!$AX$4:$AX$8,db!$AY$4:$AY$8))</f>
        <v>0</v>
      </c>
      <c r="AQ92" s="20">
        <f>ROUND((AP92/1000)*W92 * (1-db!$AS$9),0)</f>
        <v>0</v>
      </c>
      <c r="AR92" s="20">
        <f>(AP92/1000)*W92 * db!$AS$9</f>
        <v>0</v>
      </c>
      <c r="AS92" s="21">
        <f>IF(B92=0,0, LOOKUP(IF(AND(Changes!Change="Yes", Changes!ValidityYear&lt;=Table14[[#This Row],[Year]], Changes!ChangeType="Change Job Class"),Changes!NewChangedValue, db!$A$8),db!$AX$4:$AX$8,db!$AZ$4:$AZ$8))</f>
        <v>0</v>
      </c>
      <c r="AT92" s="22">
        <f>(AS92/1000)*Y92*(1-db!$AS$9)</f>
        <v>0</v>
      </c>
      <c r="AU92" s="22">
        <f>(AS92/1000)*Y92*(db!$AS$9)</f>
        <v>0</v>
      </c>
      <c r="AV92" s="23">
        <f>IF(B92=0,0, LOOKUP(IF(AND(Changes!Change="Yes", Changes!ValidityYear&lt;=Table14[[#This Row],[Year]], Changes!ChangeType="Change Job Class"),Changes!NewChangedValue, db!$A$8),db!$AX$4:$AX$8,db!$BA$4:$BA$8))</f>
        <v>0</v>
      </c>
      <c r="AW92" s="20">
        <f>ROUND((AV92/(100))*AA92*(1-db!$AS$9),0)</f>
        <v>0</v>
      </c>
      <c r="AX92" s="20">
        <f>ROUND((AV92/(100))*AA92*(db!$AS$9),0)</f>
        <v>0</v>
      </c>
      <c r="AY92" s="21">
        <f>IF(db!$D$8="Yes",AS92,0)</f>
        <v>0</v>
      </c>
      <c r="AZ92" s="22">
        <f>(AY92*AF92)/1000*(1-db!$AS$9)</f>
        <v>0</v>
      </c>
      <c r="BA92" s="22">
        <f>(AY92*AF92)/1000*(db!$AS$9)</f>
        <v>0</v>
      </c>
      <c r="BB92" s="23">
        <f t="shared" si="23"/>
        <v>0</v>
      </c>
      <c r="BC92" s="20">
        <f>(BB92*AH92/1000)*(1-db!$AS$9)</f>
        <v>0</v>
      </c>
      <c r="BD92" s="20">
        <f>(BB92*AH92/1000)*(db!$AS$9)</f>
        <v>0</v>
      </c>
      <c r="BE92" s="22">
        <f>IF(B92=0,0,IF(C92&gt;60,0,LOOKUP(Table14[[#This Row],[Medical
Age]],db!$BC$3:$BC$63,db!$BD$3:$BD$63)))</f>
        <v>0</v>
      </c>
      <c r="BF92" s="22">
        <f>BG92*db!$AS$10</f>
        <v>0</v>
      </c>
      <c r="BG92" s="22">
        <f t="shared" si="24"/>
        <v>0</v>
      </c>
      <c r="BH92" s="22">
        <f>(BE92/1000000)*AJ92*(1-db!$AS$10)</f>
        <v>0</v>
      </c>
      <c r="BI92" s="20">
        <f>IF(B92=0,0,IF(C92&gt;59,0,LOOKUP(Table14[[#This Row],[Medical
Age]],db!$BC$3:$BC$63,db!$BE$3:$BE$63)))</f>
        <v>0</v>
      </c>
      <c r="BJ92" s="20">
        <f>(BI92/1000000)*AL92*(1-db!$AS$11)</f>
        <v>0</v>
      </c>
      <c r="BK92" s="20">
        <f>(BI92/1000000)*AL92*(db!$AS$11)</f>
        <v>0</v>
      </c>
      <c r="BL92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92" s="20">
        <f>Table14[[#This Row],[RiskLoading
Rate]]*Table14[[#This Row],[Death Capital (2)]]</f>
        <v>0</v>
      </c>
      <c r="BN92" s="36"/>
      <c r="BO92" s="37">
        <f t="shared" si="25"/>
        <v>0</v>
      </c>
      <c r="BP92" s="35">
        <f t="shared" si="26"/>
        <v>0</v>
      </c>
      <c r="BQ92" s="35">
        <f t="shared" si="27"/>
        <v>0</v>
      </c>
      <c r="BR92" s="37">
        <f t="shared" si="31"/>
        <v>0</v>
      </c>
      <c r="BS92" s="37">
        <f t="shared" si="32"/>
        <v>0</v>
      </c>
      <c r="BT92" s="35">
        <f t="shared" si="33"/>
        <v>0</v>
      </c>
      <c r="BU92" s="35">
        <f t="shared" si="34"/>
        <v>0</v>
      </c>
      <c r="BV92" s="37">
        <f>(db!$AS$4/100)*(L92-BT92-BU92)</f>
        <v>0</v>
      </c>
      <c r="BW92" s="37">
        <f>(db!$AS$8/100)*(L92-BT92-BU92)</f>
        <v>0</v>
      </c>
      <c r="BX92" s="35"/>
      <c r="BY92" s="37"/>
      <c r="BZ92" s="37"/>
      <c r="CA92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92" s="33"/>
      <c r="CC92" s="39">
        <f>ROUND((Table14[[#This Row],[Premium]]-Table14[[#This Row],[All Deductions]]),0)</f>
        <v>0</v>
      </c>
      <c r="CD92" s="40">
        <f>ROUND(IF(B92=0,0,((CC92)*(1+ IF(AND(Changes!Change="Yes",Changes!ValidityYear&lt;=Table14[[#This Row],[Year]],Annulment&gt;Table14[[#This Row],[Year]],Changes!ChangeType="Paid-Up"),db!Y94+0.02,db!Y94)))+((CD91)*(1+IF(AND(Changes!Change="Yes",Changes!ValidityYear&lt;=Table14[[#This Row],[Year]],Annulment&gt;Table14[[#This Row],[Year]],Changes!ChangeType="Paid-Up"),db!U94+0.02,db!U94)))),0)</f>
        <v>0</v>
      </c>
      <c r="CE92" s="40">
        <f>ROUND(IF(B92=0,0,((CC92)*(1+db!Y94))+((CE91)*(1+db!U94))),0)</f>
        <v>0</v>
      </c>
      <c r="CF92" s="40">
        <f t="shared" si="39"/>
        <v>0</v>
      </c>
      <c r="CG92" s="15">
        <f t="shared" si="35"/>
        <v>91</v>
      </c>
      <c r="CH92" s="39">
        <f>IF(B92=0,0,((CC92)*(1+db!AH94))+((CH91)*(1+db!AD94)))</f>
        <v>0</v>
      </c>
      <c r="CI92" s="39">
        <f>IF(B92=0,0,((CC92)*(1+db!AH94))+((CI91)*(1+db!AD94)))</f>
        <v>0</v>
      </c>
      <c r="CJ92" s="40">
        <f>IF(B92=0,0,((CC92)*(1+db!AO94))+((CJ91)*(1+db!AK94)))</f>
        <v>0</v>
      </c>
      <c r="CK92" s="40">
        <f>CJ92-(SUM(BX$7:$BX93))</f>
        <v>0</v>
      </c>
      <c r="CL92" s="26"/>
    </row>
    <row r="93" spans="1:90">
      <c r="A93" s="347">
        <f t="shared" si="36"/>
        <v>92</v>
      </c>
      <c r="B93" s="345">
        <f>IF(AND(Changes!Change="Yes", Changes!ChangeType="Change Contract Duration"),IF(B92=0,0,IF(Changes!NewChangedValue&lt;B92+1,0,B92+1)),IF(B92=0,0,IF('Application Annually'!$C$5&lt;B92+1,0,B92+1)))</f>
        <v>0</v>
      </c>
      <c r="C93" s="15">
        <f t="shared" si="37"/>
        <v>0</v>
      </c>
      <c r="D93" s="312">
        <f t="shared" si="38"/>
        <v>119</v>
      </c>
      <c r="E93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93" s="29">
        <f t="shared" si="28"/>
        <v>0</v>
      </c>
      <c r="G93" s="29">
        <f t="shared" si="29"/>
        <v>0</v>
      </c>
      <c r="H93" s="29">
        <f t="shared" si="20"/>
        <v>0</v>
      </c>
      <c r="I93" s="29">
        <f>IF(B93&gt;0,IF(AND(Table14[[#This Row],[Year]]&gt;Changes!ValidityYear,Changes!Change="Yes",Changes!ChangeType="Change Value Adjustment"),Changes!$G$22,'Application Annually'!$C$11),0)</f>
        <v>0</v>
      </c>
      <c r="J93" s="29">
        <f>IF(B93&gt;0,IF(AND(Table14[[#This Row],[Year]]&gt;Changes!ValidityYear,Changes!Change="Yes",Changes!ChangeType="Change Value Adjustment"),Changes!$G$24,'Application Annually'!$C$7),0)</f>
        <v>0</v>
      </c>
      <c r="K93" s="29">
        <f>ROUND(IF(B93=0,0,IF(AND(Changes!Change="Yes", Changes!ValidityYear=Table14[[#This Row],[Year]], Changes!ChangeType="Change Premium"), Changes!NewChangedValue, (K92*(1+db!$B$3)))),0)</f>
        <v>0</v>
      </c>
      <c r="L93" s="29">
        <f>ROUND(IF(B93=0,0,IF(AND(Changes!Change="Yes", Changes!ValidityYear=Table14[[#This Row],[Year]], Changes!ChangeType="Change Premium"), Changes!NewChangedValue, (L92*(1+Table14[[#This Row],[Adjustment Factor of Premium]]/100)))),0)</f>
        <v>0</v>
      </c>
      <c r="M93" s="29">
        <f>IF(Table14[[#This Row],[Year]]=1,ROUND(MIN($L$2 -( Table14[[#This Row],[Riders Risk Premiums]] + Table14[[#This Row],[Acquisition Cost]]) *0.75,Table14[[#This Row],[Death Capital (1)]]* 0.03),0),0)</f>
        <v>0</v>
      </c>
      <c r="N93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93" s="29">
        <f>ROUND(IF(ROW()-1&gt;InsurancePeriod,0,(O92*(1+(Table14[[#This Row],[Adjustment Factor of Premium]]/100)))),0)</f>
        <v>0</v>
      </c>
      <c r="P93" s="29">
        <f>IF(Table14[Year] = 0, 0, SUM(L$2:L93))</f>
        <v>0</v>
      </c>
      <c r="Q93" s="17">
        <f t="shared" si="21"/>
        <v>0</v>
      </c>
      <c r="R93" s="17">
        <f>IF(Table14[[#This Row],[Year]]=0,0,IF($C$2&lt;=50,LOOKUP(Table14[[#This Row],[Age]],db!BG94:BG200,db!BH94:BH200),LOOKUP(Table14[[#This Row],[Age]],db!BJ94:BJ200,db!BK94:BK200)))</f>
        <v>0</v>
      </c>
      <c r="S93" s="17">
        <f>IF(B93=0,0, IF(AND(Changes!Change="Yes", Changes!ValidityYear=Table14[[#This Row],[Year]], Changes!ChangeType="Change Death Capital"), Changes!NewChangedValue, S92*(1+(Table14[[#This Row],[Adjustment Factor of Death Capital]]/100))))</f>
        <v>0</v>
      </c>
      <c r="T93" s="17">
        <f>MIN(IF(B93=0,0,Table14[[#This Row],[Death Capital (1)]]),Table14[[#This Row],[Max Sum Insured For Death]])</f>
        <v>0</v>
      </c>
      <c r="U93" s="29">
        <f t="shared" si="30"/>
        <v>0</v>
      </c>
      <c r="V93" s="29">
        <f>IF(B93=0,0,IF(AND(Changes!Change="Yes", Changes!ValidityYear&lt;=Table14[[#This Row],[Year]], Changes!ChangeType="Rider Inclusion/Exclusion", Changes!RiderType="Accident Death"), T93*Changes!NewChangedValue,IF(db!$D$6="Yes",(db!$B$6)*T93,0)))</f>
        <v>0</v>
      </c>
      <c r="W93" s="29">
        <f>MIN(IF(V93&lt;=db!$L$2,V93,db!$L$2),MAX_ACC_CAPITAL)</f>
        <v>0</v>
      </c>
      <c r="X93" s="17">
        <f>IF(OR(B93=0,Table14[[#This Row],[Accident Capital (2)]]=0),0,IF(AND(Changes!Change="Yes", Changes!ValidityYear&lt;=Table14[[#This Row],[Year]], Changes!ChangeType="Rider Inclusion/Exclusion", Changes!RiderType="Accident Disability"), T93*Changes!NewChangedValue,IF(db!$D$7="Yes",(db!$B$7)*T93,0)))</f>
        <v>0</v>
      </c>
      <c r="Y93" s="42">
        <f>IF(C93&gt;69,0,IF(C93=0,0,IF(X93&lt;=db!$L$3,X93,db!$L$3)))</f>
        <v>0</v>
      </c>
      <c r="Z93" s="29">
        <f>IF(OR(B93=0,Table14[[#This Row],[Accident Capital (2)]]=0),0,IF(AND(Changes!Change="Yes", Changes!ValidityYear&lt;=Table14[[#This Row],[Year]], Changes!ChangeType="Rider Inclusion/Exclusion", Changes!RiderType="Accident Medical Cost"), T93*Changes!NewChangedValue,IF(db!$D$9="Yes",(db!$B$9)*T93,0)))</f>
        <v>0</v>
      </c>
      <c r="AA93" s="29">
        <f>ROUND(IF(C93&gt;69,0,IF(C93=0,0,IF(Z93&lt;=db!$L$4,Z93,db!$L$4))),0)</f>
        <v>0</v>
      </c>
      <c r="AB93" s="38">
        <f>IF(AND(Changes!Change = "Yes", Changes!ChangeType = "Rider Inclusion/Exclusion", Changes!RiderType = "WOP"), IF( Changes!ValidityYear &lt;= Table14[[#This Row],[Year]], IF(WOP = "Yes", 0, 1),  IF(WOP = "Yes", 1, 0)), IF(AND(db!$D$8="Yes",C93&lt;=69,ROW()-1&lt;=InsurancePeriod), 1, 0))</f>
        <v>0</v>
      </c>
      <c r="AC93" s="17">
        <f>(AC94+K94)*AB93*((1)/(1+db!AA95))*(LOOKUP(C93,'Mortality Table'!$A$2:$A$108,'Mortality Table'!$E$2:$E$108))</f>
        <v>0</v>
      </c>
      <c r="AD93" s="340">
        <f>IF(AND(Changes!ValidityYear&lt;= Table14[[#This Row],[Year]],Changes!ChangeType="Change Value Adjustment",Changes!Change="Yes"), (AD94+L94)*AB93*((1)/(1+db!AA95))*(LOOKUP(C93,'Mortality Table'!$A$2:$A$108,'Mortality Table'!$E$2:$E$108)),Table14[[#This Row],[WOP Before Adj. BT]])</f>
        <v>0</v>
      </c>
      <c r="AE93" s="341">
        <f>IF(AND(Changes!Change="Yes", Changes!ChangeType="Change Value Adjustment"),Table14[[#This Row],[WOP Capital]],(AE94+O94)*AB93*((1)/(1+db!AA95))*(LOOKUP(D93,'Mortality Table'!$A$2:$A$108,'Mortality Table'!$E$2:$E$108)))</f>
        <v>0</v>
      </c>
      <c r="AF93" s="17">
        <f>IF(AND(Changes!Change="Yes", Changes!ValidityYear&lt;=ROW()-1),Table14[[#This Row],[WOP Capital]],Table14[[#This Row],[WOP without change]])</f>
        <v>0</v>
      </c>
      <c r="AG93" s="42">
        <f>IF(AND(Changes!Change="Yes", Changes!ValidityYear&lt;=Table14[[#This Row],[Year]], Changes!ChangeType="Rider Inclusion/Exclusion", Changes!RiderType="Disability Annuity"), L93*Changes!NewChangedValue,L93*db!B$10*IF(db!$D$10="Yes",1,0))</f>
        <v>0</v>
      </c>
      <c r="AH93" s="29">
        <f>Table14[[#This Row],[Code Annuity Capital]]*IF('Annual Calculation'!C93&gt;69,0,(LOOKUP('Annual Calculation'!C93+1,'Mortality Table'!$A$2:$A$108,'Mortality Table'!$O$2:$O$108)-LOOKUP('Annual Calculation'!C93+11,'Mortality Table'!$A$2:$A$108,'Mortality Table'!$O$2:$O$108))/LOOKUP('Annual Calculation'!C93,'Mortality Table'!$A$2:$A$108,'Mortality Table'!$M$2:$M$108))</f>
        <v>0</v>
      </c>
      <c r="AI93" s="17">
        <f>IF(B93=0,0,IF(AND(Changes!Change="Yes", Changes!ValidityYear&lt;=Table14[[#This Row],[Year]], Changes!ChangeType="Rider Inclusion/Exclusion", Changes!RiderType="Dread Disease"), T93*Changes!NewChangedValue,IF(db!$D$11="Yes",(db!$B$11)*T93,0)))</f>
        <v>0</v>
      </c>
      <c r="AJ93" s="42">
        <f>ROUND(IF(C93&gt;59,0,IF(C93=0,0,IF(AI93&lt;=db!$L$5,AI93,db!$L$5))),0)</f>
        <v>0</v>
      </c>
      <c r="AK93" s="29">
        <f>IF(B93=0,0,IF(AND(Changes!Change="Yes", Changes!ValidityYear&lt;=Table14[[#This Row],[Year]], Changes!ChangeType="Rider Inclusion/Exclusion", Changes!RiderType="Cancer"), T93*Changes!NewChangedValue,IF(db!$D$12="Yes",(db!$B$12)*T93,0)))</f>
        <v>0</v>
      </c>
      <c r="AL93" s="29">
        <f>ROUND(IF(C93&gt;59,0,IF(C93=0,0,IF(AK93&lt;=db!$L$6,AK93,db!$L$6))),0)</f>
        <v>0</v>
      </c>
      <c r="AM93" s="32"/>
      <c r="AN93" s="18">
        <f>IF(B93=0,0,IF(C93&lt;(db!$E$2+5),LOOKUP(C93,'Mortality Table'!$A$2:$A$108,'Mortality Table'!$P$2:$P$108),IF((C93&gt;=db!$E$2+10),LOOKUP(C93,'Mortality Table'!$A$2:$A$108,'Mortality Table'!$R$2:$R$108),LOOKUP(C93,'Mortality Table'!$A$2:$A$108,'Mortality Table'!$Q$2:$Q$108))))</f>
        <v>0</v>
      </c>
      <c r="AO93" s="22">
        <f t="shared" si="22"/>
        <v>0</v>
      </c>
      <c r="AP93" s="19">
        <f>IF(B93=0,0, LOOKUP(IF(AND(Changes!Change="Yes", Changes!ValidityYear&lt;=Table14[[#This Row],[Year]], Changes!ChangeType="Change Job Class"),Changes!NewChangedValue, db!$A$8),db!$AX$4:$AX$8,db!$AY$4:$AY$8))</f>
        <v>0</v>
      </c>
      <c r="AQ93" s="20">
        <f>ROUND((AP93/1000)*W93 * (1-db!$AS$9),0)</f>
        <v>0</v>
      </c>
      <c r="AR93" s="20">
        <f>(AP93/1000)*W93 * db!$AS$9</f>
        <v>0</v>
      </c>
      <c r="AS93" s="21">
        <f>IF(B93=0,0, LOOKUP(IF(AND(Changes!Change="Yes", Changes!ValidityYear&lt;=Table14[[#This Row],[Year]], Changes!ChangeType="Change Job Class"),Changes!NewChangedValue, db!$A$8),db!$AX$4:$AX$8,db!$AZ$4:$AZ$8))</f>
        <v>0</v>
      </c>
      <c r="AT93" s="22">
        <f>(AS93/1000)*Y93*(1-db!$AS$9)</f>
        <v>0</v>
      </c>
      <c r="AU93" s="22">
        <f>(AS93/1000)*Y93*(db!$AS$9)</f>
        <v>0</v>
      </c>
      <c r="AV93" s="23">
        <f>IF(B93=0,0, LOOKUP(IF(AND(Changes!Change="Yes", Changes!ValidityYear&lt;=Table14[[#This Row],[Year]], Changes!ChangeType="Change Job Class"),Changes!NewChangedValue, db!$A$8),db!$AX$4:$AX$8,db!$BA$4:$BA$8))</f>
        <v>0</v>
      </c>
      <c r="AW93" s="20">
        <f>ROUND((AV93/(100))*AA93*(1-db!$AS$9),0)</f>
        <v>0</v>
      </c>
      <c r="AX93" s="20">
        <f>ROUND((AV93/(100))*AA93*(db!$AS$9),0)</f>
        <v>0</v>
      </c>
      <c r="AY93" s="21">
        <f>IF(db!$D$8="Yes",AS93,0)</f>
        <v>0</v>
      </c>
      <c r="AZ93" s="22">
        <f>(AY93*AF93)/1000*(1-db!$AS$9)</f>
        <v>0</v>
      </c>
      <c r="BA93" s="22">
        <f>(AY93*AF93)/1000*(db!$AS$9)</f>
        <v>0</v>
      </c>
      <c r="BB93" s="23">
        <f t="shared" si="23"/>
        <v>0</v>
      </c>
      <c r="BC93" s="20">
        <f>(BB93*AH93/1000)*(1-db!$AS$9)</f>
        <v>0</v>
      </c>
      <c r="BD93" s="20">
        <f>(BB93*AH93/1000)*(db!$AS$9)</f>
        <v>0</v>
      </c>
      <c r="BE93" s="22">
        <f>IF(B93=0,0,IF(C93&gt;60,0,LOOKUP(Table14[[#This Row],[Medical
Age]],db!$BC$3:$BC$63,db!$BD$3:$BD$63)))</f>
        <v>0</v>
      </c>
      <c r="BF93" s="22">
        <f>BG93*db!$AS$10</f>
        <v>0</v>
      </c>
      <c r="BG93" s="22">
        <f t="shared" si="24"/>
        <v>0</v>
      </c>
      <c r="BH93" s="22">
        <f>(BE93/1000000)*AJ93*(1-db!$AS$10)</f>
        <v>0</v>
      </c>
      <c r="BI93" s="20">
        <f>IF(B93=0,0,IF(C93&gt;59,0,LOOKUP(Table14[[#This Row],[Medical
Age]],db!$BC$3:$BC$63,db!$BE$3:$BE$63)))</f>
        <v>0</v>
      </c>
      <c r="BJ93" s="20">
        <f>(BI93/1000000)*AL93*(1-db!$AS$11)</f>
        <v>0</v>
      </c>
      <c r="BK93" s="20">
        <f>(BI93/1000000)*AL93*(db!$AS$11)</f>
        <v>0</v>
      </c>
      <c r="BL93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93" s="20">
        <f>Table14[[#This Row],[RiskLoading
Rate]]*Table14[[#This Row],[Death Capital (2)]]</f>
        <v>0</v>
      </c>
      <c r="BN93" s="36"/>
      <c r="BO93" s="37">
        <f t="shared" si="25"/>
        <v>0</v>
      </c>
      <c r="BP93" s="35">
        <f t="shared" si="26"/>
        <v>0</v>
      </c>
      <c r="BQ93" s="35">
        <f t="shared" si="27"/>
        <v>0</v>
      </c>
      <c r="BR93" s="37">
        <f t="shared" si="31"/>
        <v>0</v>
      </c>
      <c r="BS93" s="37">
        <f t="shared" si="32"/>
        <v>0</v>
      </c>
      <c r="BT93" s="35">
        <f t="shared" si="33"/>
        <v>0</v>
      </c>
      <c r="BU93" s="35">
        <f t="shared" si="34"/>
        <v>0</v>
      </c>
      <c r="BV93" s="37">
        <f>(db!$AS$4/100)*(L93-BT93-BU93)</f>
        <v>0</v>
      </c>
      <c r="BW93" s="37">
        <f>(db!$AS$8/100)*(L93-BT93-BU93)</f>
        <v>0</v>
      </c>
      <c r="BX93" s="35"/>
      <c r="BY93" s="37"/>
      <c r="BZ93" s="37"/>
      <c r="CA93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93" s="33"/>
      <c r="CC93" s="39">
        <f>ROUND((Table14[[#This Row],[Premium]]-Table14[[#This Row],[All Deductions]]),0)</f>
        <v>0</v>
      </c>
      <c r="CD93" s="40">
        <f>ROUND(IF(B93=0,0,((CC93)*(1+ IF(AND(Changes!Change="Yes",Changes!ValidityYear&lt;=Table14[[#This Row],[Year]],Annulment&gt;Table14[[#This Row],[Year]],Changes!ChangeType="Paid-Up"),db!Y95+0.02,db!Y95)))+((CD92)*(1+IF(AND(Changes!Change="Yes",Changes!ValidityYear&lt;=Table14[[#This Row],[Year]],Annulment&gt;Table14[[#This Row],[Year]],Changes!ChangeType="Paid-Up"),db!U95+0.02,db!U95)))),0)</f>
        <v>0</v>
      </c>
      <c r="CE93" s="40">
        <f>ROUND(IF(B93=0,0,((CC93)*(1+db!Y95))+((CE92)*(1+db!U95))),0)</f>
        <v>0</v>
      </c>
      <c r="CF93" s="40">
        <f t="shared" si="39"/>
        <v>0</v>
      </c>
      <c r="CG93" s="15">
        <f t="shared" si="35"/>
        <v>92</v>
      </c>
      <c r="CH93" s="39">
        <f>IF(B93=0,0,((CC93)*(1+db!AH95))+((CH92)*(1+db!AD95)))</f>
        <v>0</v>
      </c>
      <c r="CI93" s="39">
        <f>IF(B93=0,0,((CC93)*(1+db!AH95))+((CI92)*(1+db!AD95)))</f>
        <v>0</v>
      </c>
      <c r="CJ93" s="40">
        <f>IF(B93=0,0,((CC93)*(1+db!AO95))+((CJ92)*(1+db!AK95)))</f>
        <v>0</v>
      </c>
      <c r="CK93" s="40">
        <f>CJ93-(SUM(BX$7:$BX94))</f>
        <v>0</v>
      </c>
      <c r="CL93" s="26"/>
    </row>
    <row r="94" spans="1:90">
      <c r="A94" s="347">
        <f t="shared" si="36"/>
        <v>93</v>
      </c>
      <c r="B94" s="345">
        <f>IF(AND(Changes!Change="Yes", Changes!ChangeType="Change Contract Duration"),IF(B93=0,0,IF(Changes!NewChangedValue&lt;B93+1,0,B93+1)),IF(B93=0,0,IF('Application Annually'!$C$5&lt;B93+1,0,B93+1)))</f>
        <v>0</v>
      </c>
      <c r="C94" s="15">
        <f t="shared" si="37"/>
        <v>0</v>
      </c>
      <c r="D94" s="312">
        <f t="shared" si="38"/>
        <v>120</v>
      </c>
      <c r="E94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94" s="29">
        <f t="shared" si="28"/>
        <v>0</v>
      </c>
      <c r="G94" s="29">
        <f t="shared" si="29"/>
        <v>0</v>
      </c>
      <c r="H94" s="29">
        <f t="shared" si="20"/>
        <v>0</v>
      </c>
      <c r="I94" s="29">
        <f>IF(B94&gt;0,IF(AND(Table14[[#This Row],[Year]]&gt;Changes!ValidityYear,Changes!Change="Yes",Changes!ChangeType="Change Value Adjustment"),Changes!$G$22,'Application Annually'!$C$11),0)</f>
        <v>0</v>
      </c>
      <c r="J94" s="29">
        <f>IF(B94&gt;0,IF(AND(Table14[[#This Row],[Year]]&gt;Changes!ValidityYear,Changes!Change="Yes",Changes!ChangeType="Change Value Adjustment"),Changes!$G$24,'Application Annually'!$C$7),0)</f>
        <v>0</v>
      </c>
      <c r="K94" s="29">
        <f>ROUND(IF(B94=0,0,IF(AND(Changes!Change="Yes", Changes!ValidityYear=Table14[[#This Row],[Year]], Changes!ChangeType="Change Premium"), Changes!NewChangedValue, (K93*(1+db!$B$3)))),0)</f>
        <v>0</v>
      </c>
      <c r="L94" s="29">
        <f>ROUND(IF(B94=0,0,IF(AND(Changes!Change="Yes", Changes!ValidityYear=Table14[[#This Row],[Year]], Changes!ChangeType="Change Premium"), Changes!NewChangedValue, (L93*(1+Table14[[#This Row],[Adjustment Factor of Premium]]/100)))),0)</f>
        <v>0</v>
      </c>
      <c r="M94" s="29">
        <f>IF(Table14[[#This Row],[Year]]=1,ROUND(MIN($L$2 -( Table14[[#This Row],[Riders Risk Premiums]] + Table14[[#This Row],[Acquisition Cost]]) *0.75,Table14[[#This Row],[Death Capital (1)]]* 0.03),0),0)</f>
        <v>0</v>
      </c>
      <c r="N94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94" s="29">
        <f>ROUND(IF(ROW()-1&gt;InsurancePeriod,0,(O93*(1+(Table14[[#This Row],[Adjustment Factor of Premium]]/100)))),0)</f>
        <v>0</v>
      </c>
      <c r="P94" s="29">
        <f>IF(Table14[Year] = 0, 0, SUM(L$2:L94))</f>
        <v>0</v>
      </c>
      <c r="Q94" s="17">
        <f t="shared" si="21"/>
        <v>0</v>
      </c>
      <c r="R94" s="17">
        <f>IF(Table14[[#This Row],[Year]]=0,0,IF($C$2&lt;=50,LOOKUP(Table14[[#This Row],[Age]],db!BG95:BG201,db!BH95:BH201),LOOKUP(Table14[[#This Row],[Age]],db!BJ95:BJ201,db!BK95:BK201)))</f>
        <v>0</v>
      </c>
      <c r="S94" s="17">
        <f>IF(B94=0,0, IF(AND(Changes!Change="Yes", Changes!ValidityYear=Table14[[#This Row],[Year]], Changes!ChangeType="Change Death Capital"), Changes!NewChangedValue, S93*(1+(Table14[[#This Row],[Adjustment Factor of Death Capital]]/100))))</f>
        <v>0</v>
      </c>
      <c r="T94" s="17">
        <f>MIN(IF(B94=0,0,Table14[[#This Row],[Death Capital (1)]]),Table14[[#This Row],[Max Sum Insured For Death]])</f>
        <v>0</v>
      </c>
      <c r="U94" s="29">
        <f t="shared" si="30"/>
        <v>0</v>
      </c>
      <c r="V94" s="29">
        <f>IF(B94=0,0,IF(AND(Changes!Change="Yes", Changes!ValidityYear&lt;=Table14[[#This Row],[Year]], Changes!ChangeType="Rider Inclusion/Exclusion", Changes!RiderType="Accident Death"), T94*Changes!NewChangedValue,IF(db!$D$6="Yes",(db!$B$6)*T94,0)))</f>
        <v>0</v>
      </c>
      <c r="W94" s="29">
        <f>MIN(IF(V94&lt;=db!$L$2,V94,db!$L$2),MAX_ACC_CAPITAL)</f>
        <v>0</v>
      </c>
      <c r="X94" s="17">
        <f>IF(OR(B94=0,Table14[[#This Row],[Accident Capital (2)]]=0),0,IF(AND(Changes!Change="Yes", Changes!ValidityYear&lt;=Table14[[#This Row],[Year]], Changes!ChangeType="Rider Inclusion/Exclusion", Changes!RiderType="Accident Disability"), T94*Changes!NewChangedValue,IF(db!$D$7="Yes",(db!$B$7)*T94,0)))</f>
        <v>0</v>
      </c>
      <c r="Y94" s="42">
        <f>IF(C94&gt;69,0,IF(C94=0,0,IF(X94&lt;=db!$L$3,X94,db!$L$3)))</f>
        <v>0</v>
      </c>
      <c r="Z94" s="29">
        <f>IF(OR(B94=0,Table14[[#This Row],[Accident Capital (2)]]=0),0,IF(AND(Changes!Change="Yes", Changes!ValidityYear&lt;=Table14[[#This Row],[Year]], Changes!ChangeType="Rider Inclusion/Exclusion", Changes!RiderType="Accident Medical Cost"), T94*Changes!NewChangedValue,IF(db!$D$9="Yes",(db!$B$9)*T94,0)))</f>
        <v>0</v>
      </c>
      <c r="AA94" s="29">
        <f>ROUND(IF(C94&gt;69,0,IF(C94=0,0,IF(Z94&lt;=db!$L$4,Z94,db!$L$4))),0)</f>
        <v>0</v>
      </c>
      <c r="AB94" s="38">
        <f>IF(AND(Changes!Change = "Yes", Changes!ChangeType = "Rider Inclusion/Exclusion", Changes!RiderType = "WOP"), IF( Changes!ValidityYear &lt;= Table14[[#This Row],[Year]], IF(WOP = "Yes", 0, 1),  IF(WOP = "Yes", 1, 0)), IF(AND(db!$D$8="Yes",C94&lt;=69,ROW()-1&lt;=InsurancePeriod), 1, 0))</f>
        <v>0</v>
      </c>
      <c r="AC94" s="17">
        <f>(AC95+K95)*AB94*((1)/(1+db!AA96))*(LOOKUP(C94,'Mortality Table'!$A$2:$A$108,'Mortality Table'!$E$2:$E$108))</f>
        <v>0</v>
      </c>
      <c r="AD94" s="340">
        <f>IF(AND(Changes!ValidityYear&lt;= Table14[[#This Row],[Year]],Changes!ChangeType="Change Value Adjustment",Changes!Change="Yes"), (AD95+L95)*AB94*((1)/(1+db!AA96))*(LOOKUP(C94,'Mortality Table'!$A$2:$A$108,'Mortality Table'!$E$2:$E$108)),Table14[[#This Row],[WOP Before Adj. BT]])</f>
        <v>0</v>
      </c>
      <c r="AE94" s="341">
        <f>IF(AND(Changes!Change="Yes", Changes!ChangeType="Change Value Adjustment"),Table14[[#This Row],[WOP Capital]],(AE95+O95)*AB94*((1)/(1+db!AA96))*(LOOKUP(D94,'Mortality Table'!$A$2:$A$108,'Mortality Table'!$E$2:$E$108)))</f>
        <v>0</v>
      </c>
      <c r="AF94" s="17">
        <f>IF(AND(Changes!Change="Yes", Changes!ValidityYear&lt;=ROW()-1),Table14[[#This Row],[WOP Capital]],Table14[[#This Row],[WOP without change]])</f>
        <v>0</v>
      </c>
      <c r="AG94" s="42">
        <f>IF(AND(Changes!Change="Yes", Changes!ValidityYear&lt;=Table14[[#This Row],[Year]], Changes!ChangeType="Rider Inclusion/Exclusion", Changes!RiderType="Disability Annuity"), L94*Changes!NewChangedValue,L94*db!B$10*IF(db!$D$10="Yes",1,0))</f>
        <v>0</v>
      </c>
      <c r="AH94" s="29">
        <f>Table14[[#This Row],[Code Annuity Capital]]*IF('Annual Calculation'!C94&gt;69,0,(LOOKUP('Annual Calculation'!C94+1,'Mortality Table'!$A$2:$A$108,'Mortality Table'!$O$2:$O$108)-LOOKUP('Annual Calculation'!C94+11,'Mortality Table'!$A$2:$A$108,'Mortality Table'!$O$2:$O$108))/LOOKUP('Annual Calculation'!C94,'Mortality Table'!$A$2:$A$108,'Mortality Table'!$M$2:$M$108))</f>
        <v>0</v>
      </c>
      <c r="AI94" s="17">
        <f>IF(B94=0,0,IF(AND(Changes!Change="Yes", Changes!ValidityYear&lt;=Table14[[#This Row],[Year]], Changes!ChangeType="Rider Inclusion/Exclusion", Changes!RiderType="Dread Disease"), T94*Changes!NewChangedValue,IF(db!$D$11="Yes",(db!$B$11)*T94,0)))</f>
        <v>0</v>
      </c>
      <c r="AJ94" s="42">
        <f>ROUND(IF(C94&gt;59,0,IF(C94=0,0,IF(AI94&lt;=db!$L$5,AI94,db!$L$5))),0)</f>
        <v>0</v>
      </c>
      <c r="AK94" s="29">
        <f>IF(B94=0,0,IF(AND(Changes!Change="Yes", Changes!ValidityYear&lt;=Table14[[#This Row],[Year]], Changes!ChangeType="Rider Inclusion/Exclusion", Changes!RiderType="Cancer"), T94*Changes!NewChangedValue,IF(db!$D$12="Yes",(db!$B$12)*T94,0)))</f>
        <v>0</v>
      </c>
      <c r="AL94" s="29">
        <f>ROUND(IF(C94&gt;59,0,IF(C94=0,0,IF(AK94&lt;=db!$L$6,AK94,db!$L$6))),0)</f>
        <v>0</v>
      </c>
      <c r="AM94" s="32"/>
      <c r="AN94" s="18">
        <f>IF(B94=0,0,IF(C94&lt;(db!$E$2+5),LOOKUP(C94,'Mortality Table'!$A$2:$A$108,'Mortality Table'!$P$2:$P$108),IF((C94&gt;=db!$E$2+10),LOOKUP(C94,'Mortality Table'!$A$2:$A$108,'Mortality Table'!$R$2:$R$108),LOOKUP(C94,'Mortality Table'!$A$2:$A$108,'Mortality Table'!$Q$2:$Q$108))))</f>
        <v>0</v>
      </c>
      <c r="AO94" s="22">
        <f t="shared" si="22"/>
        <v>0</v>
      </c>
      <c r="AP94" s="19">
        <f>IF(B94=0,0, LOOKUP(IF(AND(Changes!Change="Yes", Changes!ValidityYear&lt;=Table14[[#This Row],[Year]], Changes!ChangeType="Change Job Class"),Changes!NewChangedValue, db!$A$8),db!$AX$4:$AX$8,db!$AY$4:$AY$8))</f>
        <v>0</v>
      </c>
      <c r="AQ94" s="20">
        <f>ROUND((AP94/1000)*W94 * (1-db!$AS$9),0)</f>
        <v>0</v>
      </c>
      <c r="AR94" s="20">
        <f>(AP94/1000)*W94 * db!$AS$9</f>
        <v>0</v>
      </c>
      <c r="AS94" s="21">
        <f>IF(B94=0,0, LOOKUP(IF(AND(Changes!Change="Yes", Changes!ValidityYear&lt;=Table14[[#This Row],[Year]], Changes!ChangeType="Change Job Class"),Changes!NewChangedValue, db!$A$8),db!$AX$4:$AX$8,db!$AZ$4:$AZ$8))</f>
        <v>0</v>
      </c>
      <c r="AT94" s="22">
        <f>(AS94/1000)*Y94*(1-db!$AS$9)</f>
        <v>0</v>
      </c>
      <c r="AU94" s="22">
        <f>(AS94/1000)*Y94*(db!$AS$9)</f>
        <v>0</v>
      </c>
      <c r="AV94" s="23">
        <f>IF(B94=0,0, LOOKUP(IF(AND(Changes!Change="Yes", Changes!ValidityYear&lt;=Table14[[#This Row],[Year]], Changes!ChangeType="Change Job Class"),Changes!NewChangedValue, db!$A$8),db!$AX$4:$AX$8,db!$BA$4:$BA$8))</f>
        <v>0</v>
      </c>
      <c r="AW94" s="20">
        <f>ROUND((AV94/(100))*AA94*(1-db!$AS$9),0)</f>
        <v>0</v>
      </c>
      <c r="AX94" s="20">
        <f>ROUND((AV94/(100))*AA94*(db!$AS$9),0)</f>
        <v>0</v>
      </c>
      <c r="AY94" s="21">
        <f>IF(db!$D$8="Yes",AS94,0)</f>
        <v>0</v>
      </c>
      <c r="AZ94" s="22">
        <f>(AY94*AF94)/1000*(1-db!$AS$9)</f>
        <v>0</v>
      </c>
      <c r="BA94" s="22">
        <f>(AY94*AF94)/1000*(db!$AS$9)</f>
        <v>0</v>
      </c>
      <c r="BB94" s="23">
        <f t="shared" si="23"/>
        <v>0</v>
      </c>
      <c r="BC94" s="20">
        <f>(BB94*AH94/1000)*(1-db!$AS$9)</f>
        <v>0</v>
      </c>
      <c r="BD94" s="20">
        <f>(BB94*AH94/1000)*(db!$AS$9)</f>
        <v>0</v>
      </c>
      <c r="BE94" s="22">
        <f>IF(B94=0,0,IF(C94&gt;60,0,LOOKUP(Table14[[#This Row],[Medical
Age]],db!$BC$3:$BC$63,db!$BD$3:$BD$63)))</f>
        <v>0</v>
      </c>
      <c r="BF94" s="22">
        <f>BG94*db!$AS$10</f>
        <v>0</v>
      </c>
      <c r="BG94" s="22">
        <f t="shared" si="24"/>
        <v>0</v>
      </c>
      <c r="BH94" s="22">
        <f>(BE94/1000000)*AJ94*(1-db!$AS$10)</f>
        <v>0</v>
      </c>
      <c r="BI94" s="20">
        <f>IF(B94=0,0,IF(C94&gt;59,0,LOOKUP(Table14[[#This Row],[Medical
Age]],db!$BC$3:$BC$63,db!$BE$3:$BE$63)))</f>
        <v>0</v>
      </c>
      <c r="BJ94" s="20">
        <f>(BI94/1000000)*AL94*(1-db!$AS$11)</f>
        <v>0</v>
      </c>
      <c r="BK94" s="20">
        <f>(BI94/1000000)*AL94*(db!$AS$11)</f>
        <v>0</v>
      </c>
      <c r="BL94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94" s="20">
        <f>Table14[[#This Row],[RiskLoading
Rate]]*Table14[[#This Row],[Death Capital (2)]]</f>
        <v>0</v>
      </c>
      <c r="BN94" s="36"/>
      <c r="BO94" s="37">
        <f t="shared" si="25"/>
        <v>0</v>
      </c>
      <c r="BP94" s="35">
        <f t="shared" si="26"/>
        <v>0</v>
      </c>
      <c r="BQ94" s="35">
        <f t="shared" si="27"/>
        <v>0</v>
      </c>
      <c r="BR94" s="37">
        <f t="shared" si="31"/>
        <v>0</v>
      </c>
      <c r="BS94" s="37">
        <f t="shared" si="32"/>
        <v>0</v>
      </c>
      <c r="BT94" s="35">
        <f t="shared" si="33"/>
        <v>0</v>
      </c>
      <c r="BU94" s="35">
        <f t="shared" si="34"/>
        <v>0</v>
      </c>
      <c r="BV94" s="37">
        <f>(db!$AS$4/100)*(L94-BT94-BU94)</f>
        <v>0</v>
      </c>
      <c r="BW94" s="37">
        <f>(db!$AS$8/100)*(L94-BT94-BU94)</f>
        <v>0</v>
      </c>
      <c r="BX94" s="35"/>
      <c r="BY94" s="37"/>
      <c r="BZ94" s="37"/>
      <c r="CA94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94" s="33"/>
      <c r="CC94" s="39">
        <f>ROUND((Table14[[#This Row],[Premium]]-Table14[[#This Row],[All Deductions]]),0)</f>
        <v>0</v>
      </c>
      <c r="CD94" s="40">
        <f>ROUND(IF(B94=0,0,((CC94)*(1+ IF(AND(Changes!Change="Yes",Changes!ValidityYear&lt;=Table14[[#This Row],[Year]],Annulment&gt;Table14[[#This Row],[Year]],Changes!ChangeType="Paid-Up"),db!Y96+0.02,db!Y96)))+((CD93)*(1+IF(AND(Changes!Change="Yes",Changes!ValidityYear&lt;=Table14[[#This Row],[Year]],Annulment&gt;Table14[[#This Row],[Year]],Changes!ChangeType="Paid-Up"),db!U96+0.02,db!U96)))),0)</f>
        <v>0</v>
      </c>
      <c r="CE94" s="40">
        <f>ROUND(IF(B94=0,0,((CC94)*(1+db!Y96))+((CE93)*(1+db!U96))),0)</f>
        <v>0</v>
      </c>
      <c r="CF94" s="40">
        <f t="shared" si="39"/>
        <v>0</v>
      </c>
      <c r="CG94" s="15">
        <f t="shared" si="35"/>
        <v>93</v>
      </c>
      <c r="CH94" s="39">
        <f>IF(B94=0,0,((CC94)*(1+db!AH96))+((CH93)*(1+db!AD96)))</f>
        <v>0</v>
      </c>
      <c r="CI94" s="39">
        <f>IF(B94=0,0,((CC94)*(1+db!AH96))+((CI93)*(1+db!AD96)))</f>
        <v>0</v>
      </c>
      <c r="CJ94" s="40">
        <f>IF(B94=0,0,((CC94)*(1+db!AO96))+((CJ93)*(1+db!AK96)))</f>
        <v>0</v>
      </c>
      <c r="CK94" s="40">
        <f>CJ94-(SUM(BX$7:$BX95))</f>
        <v>0</v>
      </c>
      <c r="CL94" s="26"/>
    </row>
    <row r="95" spans="1:90">
      <c r="A95" s="347">
        <f t="shared" si="36"/>
        <v>94</v>
      </c>
      <c r="B95" s="345">
        <f>IF(AND(Changes!Change="Yes", Changes!ChangeType="Change Contract Duration"),IF(B94=0,0,IF(Changes!NewChangedValue&lt;B94+1,0,B94+1)),IF(B94=0,0,IF('Application Annually'!$C$5&lt;B94+1,0,B94+1)))</f>
        <v>0</v>
      </c>
      <c r="C95" s="15">
        <f t="shared" si="37"/>
        <v>0</v>
      </c>
      <c r="D95" s="312">
        <f t="shared" si="38"/>
        <v>121</v>
      </c>
      <c r="E95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95" s="29">
        <f t="shared" si="28"/>
        <v>0</v>
      </c>
      <c r="G95" s="29">
        <f t="shared" si="29"/>
        <v>0</v>
      </c>
      <c r="H95" s="29">
        <f t="shared" si="20"/>
        <v>0</v>
      </c>
      <c r="I95" s="29">
        <f>IF(B95&gt;0,IF(AND(Table14[[#This Row],[Year]]&gt;Changes!ValidityYear,Changes!Change="Yes",Changes!ChangeType="Change Value Adjustment"),Changes!$G$22,'Application Annually'!$C$11),0)</f>
        <v>0</v>
      </c>
      <c r="J95" s="29">
        <f>IF(B95&gt;0,IF(AND(Table14[[#This Row],[Year]]&gt;Changes!ValidityYear,Changes!Change="Yes",Changes!ChangeType="Change Value Adjustment"),Changes!$G$24,'Application Annually'!$C$7),0)</f>
        <v>0</v>
      </c>
      <c r="K95" s="29">
        <f>ROUND(IF(B95=0,0,IF(AND(Changes!Change="Yes", Changes!ValidityYear=Table14[[#This Row],[Year]], Changes!ChangeType="Change Premium"), Changes!NewChangedValue, (K94*(1+db!$B$3)))),0)</f>
        <v>0</v>
      </c>
      <c r="L95" s="29">
        <f>ROUND(IF(B95=0,0,IF(AND(Changes!Change="Yes", Changes!ValidityYear=Table14[[#This Row],[Year]], Changes!ChangeType="Change Premium"), Changes!NewChangedValue, (L94*(1+Table14[[#This Row],[Adjustment Factor of Premium]]/100)))),0)</f>
        <v>0</v>
      </c>
      <c r="M95" s="29">
        <f>IF(Table14[[#This Row],[Year]]=1,ROUND(MIN($L$2 -( Table14[[#This Row],[Riders Risk Premiums]] + Table14[[#This Row],[Acquisition Cost]]) *0.75,Table14[[#This Row],[Death Capital (1)]]* 0.03),0),0)</f>
        <v>0</v>
      </c>
      <c r="N95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95" s="29">
        <f>ROUND(IF(ROW()-1&gt;InsurancePeriod,0,(O94*(1+(Table14[[#This Row],[Adjustment Factor of Premium]]/100)))),0)</f>
        <v>0</v>
      </c>
      <c r="P95" s="29">
        <f>IF(Table14[Year] = 0, 0, SUM(L$2:L95))</f>
        <v>0</v>
      </c>
      <c r="Q95" s="17">
        <f t="shared" si="21"/>
        <v>0</v>
      </c>
      <c r="R95" s="17">
        <f>IF(Table14[[#This Row],[Year]]=0,0,IF($C$2&lt;=50,LOOKUP(Table14[[#This Row],[Age]],db!BG96:BG202,db!BH96:BH202),LOOKUP(Table14[[#This Row],[Age]],db!BJ96:BJ202,db!BK96:BK202)))</f>
        <v>0</v>
      </c>
      <c r="S95" s="17">
        <f>IF(B95=0,0, IF(AND(Changes!Change="Yes", Changes!ValidityYear=Table14[[#This Row],[Year]], Changes!ChangeType="Change Death Capital"), Changes!NewChangedValue, S94*(1+(Table14[[#This Row],[Adjustment Factor of Death Capital]]/100))))</f>
        <v>0</v>
      </c>
      <c r="T95" s="17">
        <f>MIN(IF(B95=0,0,Table14[[#This Row],[Death Capital (1)]]),Table14[[#This Row],[Max Sum Insured For Death]])</f>
        <v>0</v>
      </c>
      <c r="U95" s="29">
        <f t="shared" si="30"/>
        <v>0</v>
      </c>
      <c r="V95" s="29">
        <f>IF(B95=0,0,IF(AND(Changes!Change="Yes", Changes!ValidityYear&lt;=Table14[[#This Row],[Year]], Changes!ChangeType="Rider Inclusion/Exclusion", Changes!RiderType="Accident Death"), T95*Changes!NewChangedValue,IF(db!$D$6="Yes",(db!$B$6)*T95,0)))</f>
        <v>0</v>
      </c>
      <c r="W95" s="29">
        <f>MIN(IF(V95&lt;=db!$L$2,V95,db!$L$2),MAX_ACC_CAPITAL)</f>
        <v>0</v>
      </c>
      <c r="X95" s="17">
        <f>IF(OR(B95=0,Table14[[#This Row],[Accident Capital (2)]]=0),0,IF(AND(Changes!Change="Yes", Changes!ValidityYear&lt;=Table14[[#This Row],[Year]], Changes!ChangeType="Rider Inclusion/Exclusion", Changes!RiderType="Accident Disability"), T95*Changes!NewChangedValue,IF(db!$D$7="Yes",(db!$B$7)*T95,0)))</f>
        <v>0</v>
      </c>
      <c r="Y95" s="42">
        <f>IF(C95&gt;69,0,IF(C95=0,0,IF(X95&lt;=db!$L$3,X95,db!$L$3)))</f>
        <v>0</v>
      </c>
      <c r="Z95" s="29">
        <f>IF(OR(B95=0,Table14[[#This Row],[Accident Capital (2)]]=0),0,IF(AND(Changes!Change="Yes", Changes!ValidityYear&lt;=Table14[[#This Row],[Year]], Changes!ChangeType="Rider Inclusion/Exclusion", Changes!RiderType="Accident Medical Cost"), T95*Changes!NewChangedValue,IF(db!$D$9="Yes",(db!$B$9)*T95,0)))</f>
        <v>0</v>
      </c>
      <c r="AA95" s="29">
        <f>ROUND(IF(C95&gt;69,0,IF(C95=0,0,IF(Z95&lt;=db!$L$4,Z95,db!$L$4))),0)</f>
        <v>0</v>
      </c>
      <c r="AB95" s="38">
        <f>IF(AND(Changes!Change = "Yes", Changes!ChangeType = "Rider Inclusion/Exclusion", Changes!RiderType = "WOP"), IF( Changes!ValidityYear &lt;= Table14[[#This Row],[Year]], IF(WOP = "Yes", 0, 1),  IF(WOP = "Yes", 1, 0)), IF(AND(db!$D$8="Yes",C95&lt;=69,ROW()-1&lt;=InsurancePeriod), 1, 0))</f>
        <v>0</v>
      </c>
      <c r="AC95" s="17">
        <f>(AC96+K96)*AB95*((1)/(1+db!AA97))*(LOOKUP(C95,'Mortality Table'!$A$2:$A$108,'Mortality Table'!$E$2:$E$108))</f>
        <v>0</v>
      </c>
      <c r="AD95" s="340">
        <f>IF(AND(Changes!ValidityYear&lt;= Table14[[#This Row],[Year]],Changes!ChangeType="Change Value Adjustment",Changes!Change="Yes"), (AD96+L96)*AB95*((1)/(1+db!AA97))*(LOOKUP(C95,'Mortality Table'!$A$2:$A$108,'Mortality Table'!$E$2:$E$108)),Table14[[#This Row],[WOP Before Adj. BT]])</f>
        <v>0</v>
      </c>
      <c r="AE95" s="341">
        <f>IF(AND(Changes!Change="Yes", Changes!ChangeType="Change Value Adjustment"),Table14[[#This Row],[WOP Capital]],(AE96+O96)*AB95*((1)/(1+db!AA97))*(LOOKUP(D95,'Mortality Table'!$A$2:$A$108,'Mortality Table'!$E$2:$E$108)))</f>
        <v>0</v>
      </c>
      <c r="AF95" s="17">
        <f>IF(AND(Changes!Change="Yes", Changes!ValidityYear&lt;=ROW()-1),Table14[[#This Row],[WOP Capital]],Table14[[#This Row],[WOP without change]])</f>
        <v>0</v>
      </c>
      <c r="AG95" s="42">
        <f>IF(AND(Changes!Change="Yes", Changes!ValidityYear&lt;=Table14[[#This Row],[Year]], Changes!ChangeType="Rider Inclusion/Exclusion", Changes!RiderType="Disability Annuity"), L95*Changes!NewChangedValue,L95*db!B$10*IF(db!$D$10="Yes",1,0))</f>
        <v>0</v>
      </c>
      <c r="AH95" s="29">
        <f>Table14[[#This Row],[Code Annuity Capital]]*IF('Annual Calculation'!C95&gt;69,0,(LOOKUP('Annual Calculation'!C95+1,'Mortality Table'!$A$2:$A$108,'Mortality Table'!$O$2:$O$108)-LOOKUP('Annual Calculation'!C95+11,'Mortality Table'!$A$2:$A$108,'Mortality Table'!$O$2:$O$108))/LOOKUP('Annual Calculation'!C95,'Mortality Table'!$A$2:$A$108,'Mortality Table'!$M$2:$M$108))</f>
        <v>0</v>
      </c>
      <c r="AI95" s="17">
        <f>IF(B95=0,0,IF(AND(Changes!Change="Yes", Changes!ValidityYear&lt;=Table14[[#This Row],[Year]], Changes!ChangeType="Rider Inclusion/Exclusion", Changes!RiderType="Dread Disease"), T95*Changes!NewChangedValue,IF(db!$D$11="Yes",(db!$B$11)*T95,0)))</f>
        <v>0</v>
      </c>
      <c r="AJ95" s="42">
        <f>ROUND(IF(C95&gt;59,0,IF(C95=0,0,IF(AI95&lt;=db!$L$5,AI95,db!$L$5))),0)</f>
        <v>0</v>
      </c>
      <c r="AK95" s="29">
        <f>IF(B95=0,0,IF(AND(Changes!Change="Yes", Changes!ValidityYear&lt;=Table14[[#This Row],[Year]], Changes!ChangeType="Rider Inclusion/Exclusion", Changes!RiderType="Cancer"), T95*Changes!NewChangedValue,IF(db!$D$12="Yes",(db!$B$12)*T95,0)))</f>
        <v>0</v>
      </c>
      <c r="AL95" s="29">
        <f>ROUND(IF(C95&gt;59,0,IF(C95=0,0,IF(AK95&lt;=db!$L$6,AK95,db!$L$6))),0)</f>
        <v>0</v>
      </c>
      <c r="AM95" s="32"/>
      <c r="AN95" s="18">
        <f>IF(B95=0,0,IF(C95&lt;(db!$E$2+5),LOOKUP(C95,'Mortality Table'!$A$2:$A$108,'Mortality Table'!$P$2:$P$108),IF((C95&gt;=db!$E$2+10),LOOKUP(C95,'Mortality Table'!$A$2:$A$108,'Mortality Table'!$R$2:$R$108),LOOKUP(C95,'Mortality Table'!$A$2:$A$108,'Mortality Table'!$Q$2:$Q$108))))</f>
        <v>0</v>
      </c>
      <c r="AO95" s="22">
        <f t="shared" si="22"/>
        <v>0</v>
      </c>
      <c r="AP95" s="19">
        <f>IF(B95=0,0, LOOKUP(IF(AND(Changes!Change="Yes", Changes!ValidityYear&lt;=Table14[[#This Row],[Year]], Changes!ChangeType="Change Job Class"),Changes!NewChangedValue, db!$A$8),db!$AX$4:$AX$8,db!$AY$4:$AY$8))</f>
        <v>0</v>
      </c>
      <c r="AQ95" s="20">
        <f>ROUND((AP95/1000)*W95 * (1-db!$AS$9),0)</f>
        <v>0</v>
      </c>
      <c r="AR95" s="20">
        <f>(AP95/1000)*W95 * db!$AS$9</f>
        <v>0</v>
      </c>
      <c r="AS95" s="21">
        <f>IF(B95=0,0, LOOKUP(IF(AND(Changes!Change="Yes", Changes!ValidityYear&lt;=Table14[[#This Row],[Year]], Changes!ChangeType="Change Job Class"),Changes!NewChangedValue, db!$A$8),db!$AX$4:$AX$8,db!$AZ$4:$AZ$8))</f>
        <v>0</v>
      </c>
      <c r="AT95" s="22">
        <f>(AS95/1000)*Y95*(1-db!$AS$9)</f>
        <v>0</v>
      </c>
      <c r="AU95" s="22">
        <f>(AS95/1000)*Y95*(db!$AS$9)</f>
        <v>0</v>
      </c>
      <c r="AV95" s="23">
        <f>IF(B95=0,0, LOOKUP(IF(AND(Changes!Change="Yes", Changes!ValidityYear&lt;=Table14[[#This Row],[Year]], Changes!ChangeType="Change Job Class"),Changes!NewChangedValue, db!$A$8),db!$AX$4:$AX$8,db!$BA$4:$BA$8))</f>
        <v>0</v>
      </c>
      <c r="AW95" s="20">
        <f>ROUND((AV95/(100))*AA95*(1-db!$AS$9),0)</f>
        <v>0</v>
      </c>
      <c r="AX95" s="20">
        <f>ROUND((AV95/(100))*AA95*(db!$AS$9),0)</f>
        <v>0</v>
      </c>
      <c r="AY95" s="21">
        <f>IF(db!$D$8="Yes",AS95,0)</f>
        <v>0</v>
      </c>
      <c r="AZ95" s="22">
        <f>(AY95*AF95)/1000*(1-db!$AS$9)</f>
        <v>0</v>
      </c>
      <c r="BA95" s="22">
        <f>(AY95*AF95)/1000*(db!$AS$9)</f>
        <v>0</v>
      </c>
      <c r="BB95" s="23">
        <f t="shared" si="23"/>
        <v>0</v>
      </c>
      <c r="BC95" s="20">
        <f>(BB95*AH95/1000)*(1-db!$AS$9)</f>
        <v>0</v>
      </c>
      <c r="BD95" s="20">
        <f>(BB95*AH95/1000)*(db!$AS$9)</f>
        <v>0</v>
      </c>
      <c r="BE95" s="22">
        <f>IF(B95=0,0,IF(C95&gt;60,0,LOOKUP(Table14[[#This Row],[Medical
Age]],db!$BC$3:$BC$63,db!$BD$3:$BD$63)))</f>
        <v>0</v>
      </c>
      <c r="BF95" s="22">
        <f>BG95*db!$AS$10</f>
        <v>0</v>
      </c>
      <c r="BG95" s="22">
        <f t="shared" si="24"/>
        <v>0</v>
      </c>
      <c r="BH95" s="22">
        <f>(BE95/1000000)*AJ95*(1-db!$AS$10)</f>
        <v>0</v>
      </c>
      <c r="BI95" s="20">
        <f>IF(B95=0,0,IF(C95&gt;59,0,LOOKUP(Table14[[#This Row],[Medical
Age]],db!$BC$3:$BC$63,db!$BE$3:$BE$63)))</f>
        <v>0</v>
      </c>
      <c r="BJ95" s="20">
        <f>(BI95/1000000)*AL95*(1-db!$AS$11)</f>
        <v>0</v>
      </c>
      <c r="BK95" s="20">
        <f>(BI95/1000000)*AL95*(db!$AS$11)</f>
        <v>0</v>
      </c>
      <c r="BL95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95" s="20">
        <f>Table14[[#This Row],[RiskLoading
Rate]]*Table14[[#This Row],[Death Capital (2)]]</f>
        <v>0</v>
      </c>
      <c r="BN95" s="36"/>
      <c r="BO95" s="37">
        <f t="shared" si="25"/>
        <v>0</v>
      </c>
      <c r="BP95" s="35">
        <f t="shared" si="26"/>
        <v>0</v>
      </c>
      <c r="BQ95" s="35">
        <f t="shared" si="27"/>
        <v>0</v>
      </c>
      <c r="BR95" s="37">
        <f t="shared" si="31"/>
        <v>0</v>
      </c>
      <c r="BS95" s="37">
        <f t="shared" si="32"/>
        <v>0</v>
      </c>
      <c r="BT95" s="35">
        <f t="shared" si="33"/>
        <v>0</v>
      </c>
      <c r="BU95" s="35">
        <f t="shared" si="34"/>
        <v>0</v>
      </c>
      <c r="BV95" s="37">
        <f>(db!$AS$4/100)*(L95-BT95-BU95)</f>
        <v>0</v>
      </c>
      <c r="BW95" s="37">
        <f>(db!$AS$8/100)*(L95-BT95-BU95)</f>
        <v>0</v>
      </c>
      <c r="BX95" s="35"/>
      <c r="BY95" s="37"/>
      <c r="BZ95" s="37"/>
      <c r="CA95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95" s="33"/>
      <c r="CC95" s="39">
        <f>ROUND((Table14[[#This Row],[Premium]]-Table14[[#This Row],[All Deductions]]),0)</f>
        <v>0</v>
      </c>
      <c r="CD95" s="40">
        <f>ROUND(IF(B95=0,0,((CC95)*(1+ IF(AND(Changes!Change="Yes",Changes!ValidityYear&lt;=Table14[[#This Row],[Year]],Annulment&gt;Table14[[#This Row],[Year]],Changes!ChangeType="Paid-Up"),db!Y97+0.02,db!Y97)))+((CD94)*(1+IF(AND(Changes!Change="Yes",Changes!ValidityYear&lt;=Table14[[#This Row],[Year]],Annulment&gt;Table14[[#This Row],[Year]],Changes!ChangeType="Paid-Up"),db!U97+0.02,db!U97)))),0)</f>
        <v>0</v>
      </c>
      <c r="CE95" s="40">
        <f>ROUND(IF(B95=0,0,((CC95)*(1+db!Y97))+((CE94)*(1+db!U97))),0)</f>
        <v>0</v>
      </c>
      <c r="CF95" s="40">
        <f t="shared" si="39"/>
        <v>0</v>
      </c>
      <c r="CG95" s="15">
        <f t="shared" si="35"/>
        <v>94</v>
      </c>
      <c r="CH95" s="39">
        <f>IF(B95=0,0,((CC95)*(1+db!AH97))+((CH94)*(1+db!AD97)))</f>
        <v>0</v>
      </c>
      <c r="CI95" s="39">
        <f>IF(B95=0,0,((CC95)*(1+db!AH97))+((CI94)*(1+db!AD97)))</f>
        <v>0</v>
      </c>
      <c r="CJ95" s="40">
        <f>IF(B95=0,0,((CC95)*(1+db!AO97))+((CJ94)*(1+db!AK97)))</f>
        <v>0</v>
      </c>
      <c r="CK95" s="40">
        <f>CJ95-(SUM(BX$7:$BX96))</f>
        <v>0</v>
      </c>
      <c r="CL95" s="26"/>
    </row>
    <row r="96" spans="1:90">
      <c r="A96" s="347">
        <f t="shared" si="36"/>
        <v>95</v>
      </c>
      <c r="B96" s="345">
        <f>IF(AND(Changes!Change="Yes", Changes!ChangeType="Change Contract Duration"),IF(B95=0,0,IF(Changes!NewChangedValue&lt;B95+1,0,B95+1)),IF(B95=0,0,IF('Application Annually'!$C$5&lt;B95+1,0,B95+1)))</f>
        <v>0</v>
      </c>
      <c r="C96" s="15">
        <f t="shared" si="37"/>
        <v>0</v>
      </c>
      <c r="D96" s="312">
        <f t="shared" si="38"/>
        <v>122</v>
      </c>
      <c r="E96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96" s="29">
        <f t="shared" si="28"/>
        <v>0</v>
      </c>
      <c r="G96" s="29">
        <f t="shared" si="29"/>
        <v>0</v>
      </c>
      <c r="H96" s="29">
        <f t="shared" si="20"/>
        <v>0</v>
      </c>
      <c r="I96" s="29">
        <f>IF(B96&gt;0,IF(AND(Table14[[#This Row],[Year]]&gt;Changes!ValidityYear,Changes!Change="Yes",Changes!ChangeType="Change Value Adjustment"),Changes!$G$22,'Application Annually'!$C$11),0)</f>
        <v>0</v>
      </c>
      <c r="J96" s="29">
        <f>IF(B96&gt;0,IF(AND(Table14[[#This Row],[Year]]&gt;Changes!ValidityYear,Changes!Change="Yes",Changes!ChangeType="Change Value Adjustment"),Changes!$G$24,'Application Annually'!$C$7),0)</f>
        <v>0</v>
      </c>
      <c r="K96" s="29">
        <f>ROUND(IF(B96=0,0,IF(AND(Changes!Change="Yes", Changes!ValidityYear=Table14[[#This Row],[Year]], Changes!ChangeType="Change Premium"), Changes!NewChangedValue, (K95*(1+db!$B$3)))),0)</f>
        <v>0</v>
      </c>
      <c r="L96" s="29">
        <f>ROUND(IF(B96=0,0,IF(AND(Changes!Change="Yes", Changes!ValidityYear=Table14[[#This Row],[Year]], Changes!ChangeType="Change Premium"), Changes!NewChangedValue, (L95*(1+Table14[[#This Row],[Adjustment Factor of Premium]]/100)))),0)</f>
        <v>0</v>
      </c>
      <c r="M96" s="29">
        <f>IF(Table14[[#This Row],[Year]]=1,ROUND(MIN($L$2 -( Table14[[#This Row],[Riders Risk Premiums]] + Table14[[#This Row],[Acquisition Cost]]) *0.75,Table14[[#This Row],[Death Capital (1)]]* 0.03),0),0)</f>
        <v>0</v>
      </c>
      <c r="N96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96" s="29">
        <f>ROUND(IF(ROW()-1&gt;InsurancePeriod,0,(O95*(1+(Table14[[#This Row],[Adjustment Factor of Premium]]/100)))),0)</f>
        <v>0</v>
      </c>
      <c r="P96" s="29">
        <f>IF(Table14[Year] = 0, 0, SUM(L$2:L96))</f>
        <v>0</v>
      </c>
      <c r="Q96" s="17">
        <f t="shared" si="21"/>
        <v>0</v>
      </c>
      <c r="R96" s="17">
        <f>IF(Table14[[#This Row],[Year]]=0,0,IF($C$2&lt;=50,LOOKUP(Table14[[#This Row],[Age]],db!BG97:BG203,db!BH97:BH203),LOOKUP(Table14[[#This Row],[Age]],db!BJ97:BJ203,db!BK97:BK203)))</f>
        <v>0</v>
      </c>
      <c r="S96" s="17">
        <f>IF(B96=0,0, IF(AND(Changes!Change="Yes", Changes!ValidityYear=Table14[[#This Row],[Year]], Changes!ChangeType="Change Death Capital"), Changes!NewChangedValue, S95*(1+(Table14[[#This Row],[Adjustment Factor of Death Capital]]/100))))</f>
        <v>0</v>
      </c>
      <c r="T96" s="17">
        <f>MIN(IF(B96=0,0,Table14[[#This Row],[Death Capital (1)]]),Table14[[#This Row],[Max Sum Insured For Death]])</f>
        <v>0</v>
      </c>
      <c r="U96" s="29">
        <f t="shared" si="30"/>
        <v>0</v>
      </c>
      <c r="V96" s="29">
        <f>IF(B96=0,0,IF(AND(Changes!Change="Yes", Changes!ValidityYear&lt;=Table14[[#This Row],[Year]], Changes!ChangeType="Rider Inclusion/Exclusion", Changes!RiderType="Accident Death"), T96*Changes!NewChangedValue,IF(db!$D$6="Yes",(db!$B$6)*T96,0)))</f>
        <v>0</v>
      </c>
      <c r="W96" s="29">
        <f>MIN(IF(V96&lt;=db!$L$2,V96,db!$L$2),MAX_ACC_CAPITAL)</f>
        <v>0</v>
      </c>
      <c r="X96" s="17">
        <f>IF(OR(B96=0,Table14[[#This Row],[Accident Capital (2)]]=0),0,IF(AND(Changes!Change="Yes", Changes!ValidityYear&lt;=Table14[[#This Row],[Year]], Changes!ChangeType="Rider Inclusion/Exclusion", Changes!RiderType="Accident Disability"), T96*Changes!NewChangedValue,IF(db!$D$7="Yes",(db!$B$7)*T96,0)))</f>
        <v>0</v>
      </c>
      <c r="Y96" s="42">
        <f>IF(C96&gt;69,0,IF(C96=0,0,IF(X96&lt;=db!$L$3,X96,db!$L$3)))</f>
        <v>0</v>
      </c>
      <c r="Z96" s="29">
        <f>IF(OR(B96=0,Table14[[#This Row],[Accident Capital (2)]]=0),0,IF(AND(Changes!Change="Yes", Changes!ValidityYear&lt;=Table14[[#This Row],[Year]], Changes!ChangeType="Rider Inclusion/Exclusion", Changes!RiderType="Accident Medical Cost"), T96*Changes!NewChangedValue,IF(db!$D$9="Yes",(db!$B$9)*T96,0)))</f>
        <v>0</v>
      </c>
      <c r="AA96" s="29">
        <f>ROUND(IF(C96&gt;69,0,IF(C96=0,0,IF(Z96&lt;=db!$L$4,Z96,db!$L$4))),0)</f>
        <v>0</v>
      </c>
      <c r="AB96" s="38">
        <f>IF(AND(Changes!Change = "Yes", Changes!ChangeType = "Rider Inclusion/Exclusion", Changes!RiderType = "WOP"), IF( Changes!ValidityYear &lt;= Table14[[#This Row],[Year]], IF(WOP = "Yes", 0, 1),  IF(WOP = "Yes", 1, 0)), IF(AND(db!$D$8="Yes",C96&lt;=69,ROW()-1&lt;=InsurancePeriod), 1, 0))</f>
        <v>0</v>
      </c>
      <c r="AC96" s="17">
        <f>(AC97+K97)*AB96*((1)/(1+db!AA98))*(LOOKUP(C96,'Mortality Table'!$A$2:$A$108,'Mortality Table'!$E$2:$E$108))</f>
        <v>0</v>
      </c>
      <c r="AD96" s="340">
        <f>IF(AND(Changes!ValidityYear&lt;= Table14[[#This Row],[Year]],Changes!ChangeType="Change Value Adjustment",Changes!Change="Yes"), (AD97+L97)*AB96*((1)/(1+db!AA98))*(LOOKUP(C96,'Mortality Table'!$A$2:$A$108,'Mortality Table'!$E$2:$E$108)),Table14[[#This Row],[WOP Before Adj. BT]])</f>
        <v>0</v>
      </c>
      <c r="AE96" s="341">
        <f>IF(AND(Changes!Change="Yes", Changes!ChangeType="Change Value Adjustment"),Table14[[#This Row],[WOP Capital]],(AE97+O97)*AB96*((1)/(1+db!AA98))*(LOOKUP(D96,'Mortality Table'!$A$2:$A$108,'Mortality Table'!$E$2:$E$108)))</f>
        <v>0</v>
      </c>
      <c r="AF96" s="17">
        <f>IF(AND(Changes!Change="Yes", Changes!ValidityYear&lt;=ROW()-1),Table14[[#This Row],[WOP Capital]],Table14[[#This Row],[WOP without change]])</f>
        <v>0</v>
      </c>
      <c r="AG96" s="42">
        <f>IF(AND(Changes!Change="Yes", Changes!ValidityYear&lt;=Table14[[#This Row],[Year]], Changes!ChangeType="Rider Inclusion/Exclusion", Changes!RiderType="Disability Annuity"), L96*Changes!NewChangedValue,L96*db!B$10*IF(db!$D$10="Yes",1,0))</f>
        <v>0</v>
      </c>
      <c r="AH96" s="29">
        <f>Table14[[#This Row],[Code Annuity Capital]]*IF('Annual Calculation'!C96&gt;69,0,(LOOKUP('Annual Calculation'!C96+1,'Mortality Table'!$A$2:$A$108,'Mortality Table'!$O$2:$O$108)-LOOKUP('Annual Calculation'!C96+11,'Mortality Table'!$A$2:$A$108,'Mortality Table'!$O$2:$O$108))/LOOKUP('Annual Calculation'!C96,'Mortality Table'!$A$2:$A$108,'Mortality Table'!$M$2:$M$108))</f>
        <v>0</v>
      </c>
      <c r="AI96" s="17">
        <f>IF(B96=0,0,IF(AND(Changes!Change="Yes", Changes!ValidityYear&lt;=Table14[[#This Row],[Year]], Changes!ChangeType="Rider Inclusion/Exclusion", Changes!RiderType="Dread Disease"), T96*Changes!NewChangedValue,IF(db!$D$11="Yes",(db!$B$11)*T96,0)))</f>
        <v>0</v>
      </c>
      <c r="AJ96" s="42">
        <f>ROUND(IF(C96&gt;59,0,IF(C96=0,0,IF(AI96&lt;=db!$L$5,AI96,db!$L$5))),0)</f>
        <v>0</v>
      </c>
      <c r="AK96" s="29">
        <f>IF(B96=0,0,IF(AND(Changes!Change="Yes", Changes!ValidityYear&lt;=Table14[[#This Row],[Year]], Changes!ChangeType="Rider Inclusion/Exclusion", Changes!RiderType="Cancer"), T96*Changes!NewChangedValue,IF(db!$D$12="Yes",(db!$B$12)*T96,0)))</f>
        <v>0</v>
      </c>
      <c r="AL96" s="29">
        <f>ROUND(IF(C96&gt;59,0,IF(C96=0,0,IF(AK96&lt;=db!$L$6,AK96,db!$L$6))),0)</f>
        <v>0</v>
      </c>
      <c r="AM96" s="32"/>
      <c r="AN96" s="18">
        <f>IF(B96=0,0,IF(C96&lt;(db!$E$2+5),LOOKUP(C96,'Mortality Table'!$A$2:$A$108,'Mortality Table'!$P$2:$P$108),IF((C96&gt;=db!$E$2+10),LOOKUP(C96,'Mortality Table'!$A$2:$A$108,'Mortality Table'!$R$2:$R$108),LOOKUP(C96,'Mortality Table'!$A$2:$A$108,'Mortality Table'!$Q$2:$Q$108))))</f>
        <v>0</v>
      </c>
      <c r="AO96" s="22">
        <f t="shared" si="22"/>
        <v>0</v>
      </c>
      <c r="AP96" s="19">
        <f>IF(B96=0,0, LOOKUP(IF(AND(Changes!Change="Yes", Changes!ValidityYear&lt;=Table14[[#This Row],[Year]], Changes!ChangeType="Change Job Class"),Changes!NewChangedValue, db!$A$8),db!$AX$4:$AX$8,db!$AY$4:$AY$8))</f>
        <v>0</v>
      </c>
      <c r="AQ96" s="20">
        <f>ROUND((AP96/1000)*W96 * (1-db!$AS$9),0)</f>
        <v>0</v>
      </c>
      <c r="AR96" s="20">
        <f>(AP96/1000)*W96 * db!$AS$9</f>
        <v>0</v>
      </c>
      <c r="AS96" s="21">
        <f>IF(B96=0,0, LOOKUP(IF(AND(Changes!Change="Yes", Changes!ValidityYear&lt;=Table14[[#This Row],[Year]], Changes!ChangeType="Change Job Class"),Changes!NewChangedValue, db!$A$8),db!$AX$4:$AX$8,db!$AZ$4:$AZ$8))</f>
        <v>0</v>
      </c>
      <c r="AT96" s="22">
        <f>(AS96/1000)*Y96*(1-db!$AS$9)</f>
        <v>0</v>
      </c>
      <c r="AU96" s="22">
        <f>(AS96/1000)*Y96*(db!$AS$9)</f>
        <v>0</v>
      </c>
      <c r="AV96" s="23">
        <f>IF(B96=0,0, LOOKUP(IF(AND(Changes!Change="Yes", Changes!ValidityYear&lt;=Table14[[#This Row],[Year]], Changes!ChangeType="Change Job Class"),Changes!NewChangedValue, db!$A$8),db!$AX$4:$AX$8,db!$BA$4:$BA$8))</f>
        <v>0</v>
      </c>
      <c r="AW96" s="20">
        <f>ROUND((AV96/(100))*AA96*(1-db!$AS$9),0)</f>
        <v>0</v>
      </c>
      <c r="AX96" s="20">
        <f>ROUND((AV96/(100))*AA96*(db!$AS$9),0)</f>
        <v>0</v>
      </c>
      <c r="AY96" s="21">
        <f>IF(db!$D$8="Yes",AS96,0)</f>
        <v>0</v>
      </c>
      <c r="AZ96" s="22">
        <f>(AY96*AF96)/1000*(1-db!$AS$9)</f>
        <v>0</v>
      </c>
      <c r="BA96" s="22">
        <f>(AY96*AF96)/1000*(db!$AS$9)</f>
        <v>0</v>
      </c>
      <c r="BB96" s="23">
        <f t="shared" si="23"/>
        <v>0</v>
      </c>
      <c r="BC96" s="20">
        <f>(BB96*AH96/1000)*(1-db!$AS$9)</f>
        <v>0</v>
      </c>
      <c r="BD96" s="20">
        <f>(BB96*AH96/1000)*(db!$AS$9)</f>
        <v>0</v>
      </c>
      <c r="BE96" s="22">
        <f>IF(B96=0,0,IF(C96&gt;60,0,LOOKUP(Table14[[#This Row],[Medical
Age]],db!$BC$3:$BC$63,db!$BD$3:$BD$63)))</f>
        <v>0</v>
      </c>
      <c r="BF96" s="22">
        <f>BG96*db!$AS$10</f>
        <v>0</v>
      </c>
      <c r="BG96" s="22">
        <f t="shared" si="24"/>
        <v>0</v>
      </c>
      <c r="BH96" s="22">
        <f>(BE96/1000000)*AJ96*(1-db!$AS$10)</f>
        <v>0</v>
      </c>
      <c r="BI96" s="20">
        <f>IF(B96=0,0,IF(C96&gt;59,0,LOOKUP(Table14[[#This Row],[Medical
Age]],db!$BC$3:$BC$63,db!$BE$3:$BE$63)))</f>
        <v>0</v>
      </c>
      <c r="BJ96" s="20">
        <f>(BI96/1000000)*AL96*(1-db!$AS$11)</f>
        <v>0</v>
      </c>
      <c r="BK96" s="20">
        <f>(BI96/1000000)*AL96*(db!$AS$11)</f>
        <v>0</v>
      </c>
      <c r="BL96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96" s="20">
        <f>Table14[[#This Row],[RiskLoading
Rate]]*Table14[[#This Row],[Death Capital (2)]]</f>
        <v>0</v>
      </c>
      <c r="BN96" s="36"/>
      <c r="BO96" s="37">
        <f t="shared" si="25"/>
        <v>0</v>
      </c>
      <c r="BP96" s="35">
        <f t="shared" si="26"/>
        <v>0</v>
      </c>
      <c r="BQ96" s="35">
        <f t="shared" si="27"/>
        <v>0</v>
      </c>
      <c r="BR96" s="37">
        <f t="shared" si="31"/>
        <v>0</v>
      </c>
      <c r="BS96" s="37">
        <f t="shared" si="32"/>
        <v>0</v>
      </c>
      <c r="BT96" s="35">
        <f t="shared" si="33"/>
        <v>0</v>
      </c>
      <c r="BU96" s="35">
        <f t="shared" si="34"/>
        <v>0</v>
      </c>
      <c r="BV96" s="37">
        <f>(db!$AS$4/100)*(L96-BT96-BU96)</f>
        <v>0</v>
      </c>
      <c r="BW96" s="37">
        <f>(db!$AS$8/100)*(L96-BT96-BU96)</f>
        <v>0</v>
      </c>
      <c r="BX96" s="35"/>
      <c r="BY96" s="37"/>
      <c r="BZ96" s="37"/>
      <c r="CA96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96" s="33"/>
      <c r="CC96" s="39">
        <f>ROUND((Table14[[#This Row],[Premium]]-Table14[[#This Row],[All Deductions]]),0)</f>
        <v>0</v>
      </c>
      <c r="CD96" s="40">
        <f>ROUND(IF(B96=0,0,((CC96)*(1+ IF(AND(Changes!Change="Yes",Changes!ValidityYear&lt;=Table14[[#This Row],[Year]],Annulment&gt;Table14[[#This Row],[Year]],Changes!ChangeType="Paid-Up"),db!Y98+0.02,db!Y98)))+((CD95)*(1+IF(AND(Changes!Change="Yes",Changes!ValidityYear&lt;=Table14[[#This Row],[Year]],Annulment&gt;Table14[[#This Row],[Year]],Changes!ChangeType="Paid-Up"),db!U98+0.02,db!U98)))),0)</f>
        <v>0</v>
      </c>
      <c r="CE96" s="40">
        <f>ROUND(IF(B96=0,0,((CC96)*(1+db!Y98))+((CE95)*(1+db!U98))),0)</f>
        <v>0</v>
      </c>
      <c r="CF96" s="40">
        <f t="shared" si="39"/>
        <v>0</v>
      </c>
      <c r="CG96" s="15">
        <f t="shared" si="35"/>
        <v>95</v>
      </c>
      <c r="CH96" s="39">
        <f>IF(B96=0,0,((CC96)*(1+db!AH98))+((CH95)*(1+db!AD98)))</f>
        <v>0</v>
      </c>
      <c r="CI96" s="39">
        <f>IF(B96=0,0,((CC96)*(1+db!AH98))+((CI95)*(1+db!AD98)))</f>
        <v>0</v>
      </c>
      <c r="CJ96" s="40">
        <f>IF(B96=0,0,((CC96)*(1+db!AO98))+((CJ95)*(1+db!AK98)))</f>
        <v>0</v>
      </c>
      <c r="CK96" s="40">
        <f>CJ96-(SUM(BX$7:$BX97))</f>
        <v>0</v>
      </c>
      <c r="CL96" s="26"/>
    </row>
    <row r="97" spans="1:90">
      <c r="A97" s="347">
        <f t="shared" si="36"/>
        <v>96</v>
      </c>
      <c r="B97" s="345">
        <f>IF(AND(Changes!Change="Yes", Changes!ChangeType="Change Contract Duration"),IF(B96=0,0,IF(Changes!NewChangedValue&lt;B96+1,0,B96+1)),IF(B96=0,0,IF('Application Annually'!$C$5&lt;B96+1,0,B96+1)))</f>
        <v>0</v>
      </c>
      <c r="C97" s="15">
        <f t="shared" si="37"/>
        <v>0</v>
      </c>
      <c r="D97" s="312">
        <f t="shared" si="38"/>
        <v>123</v>
      </c>
      <c r="E97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97" s="29">
        <f t="shared" si="28"/>
        <v>0</v>
      </c>
      <c r="G97" s="29">
        <f t="shared" si="29"/>
        <v>0</v>
      </c>
      <c r="H97" s="29">
        <f t="shared" si="20"/>
        <v>0</v>
      </c>
      <c r="I97" s="29">
        <f>IF(B97&gt;0,IF(AND(Table14[[#This Row],[Year]]&gt;Changes!ValidityYear,Changes!Change="Yes",Changes!ChangeType="Change Value Adjustment"),Changes!$G$22,'Application Annually'!$C$11),0)</f>
        <v>0</v>
      </c>
      <c r="J97" s="29">
        <f>IF(B97&gt;0,IF(AND(Table14[[#This Row],[Year]]&gt;Changes!ValidityYear,Changes!Change="Yes",Changes!ChangeType="Change Value Adjustment"),Changes!$G$24,'Application Annually'!$C$7),0)</f>
        <v>0</v>
      </c>
      <c r="K97" s="29">
        <f>ROUND(IF(B97=0,0,IF(AND(Changes!Change="Yes", Changes!ValidityYear=Table14[[#This Row],[Year]], Changes!ChangeType="Change Premium"), Changes!NewChangedValue, (K96*(1+db!$B$3)))),0)</f>
        <v>0</v>
      </c>
      <c r="L97" s="29">
        <f>ROUND(IF(B97=0,0,IF(AND(Changes!Change="Yes", Changes!ValidityYear=Table14[[#This Row],[Year]], Changes!ChangeType="Change Premium"), Changes!NewChangedValue, (L96*(1+Table14[[#This Row],[Adjustment Factor of Premium]]/100)))),0)</f>
        <v>0</v>
      </c>
      <c r="M97" s="29">
        <f>IF(Table14[[#This Row],[Year]]=1,ROUND(MIN($L$2 -( Table14[[#This Row],[Riders Risk Premiums]] + Table14[[#This Row],[Acquisition Cost]]) *0.75,Table14[[#This Row],[Death Capital (1)]]* 0.03),0),0)</f>
        <v>0</v>
      </c>
      <c r="N97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97" s="29">
        <f>ROUND(IF(ROW()-1&gt;InsurancePeriod,0,(O96*(1+(Table14[[#This Row],[Adjustment Factor of Premium]]/100)))),0)</f>
        <v>0</v>
      </c>
      <c r="P97" s="29">
        <f>IF(Table14[Year] = 0, 0, SUM(L$2:L97))</f>
        <v>0</v>
      </c>
      <c r="Q97" s="17">
        <f t="shared" si="21"/>
        <v>0</v>
      </c>
      <c r="R97" s="17">
        <f>IF(Table14[[#This Row],[Year]]=0,0,IF($C$2&lt;=50,LOOKUP(Table14[[#This Row],[Age]],db!BG98:BG204,db!BH98:BH204),LOOKUP(Table14[[#This Row],[Age]],db!BJ98:BJ204,db!BK98:BK204)))</f>
        <v>0</v>
      </c>
      <c r="S97" s="17">
        <f>IF(B97=0,0, IF(AND(Changes!Change="Yes", Changes!ValidityYear=Table14[[#This Row],[Year]], Changes!ChangeType="Change Death Capital"), Changes!NewChangedValue, S96*(1+(Table14[[#This Row],[Adjustment Factor of Death Capital]]/100))))</f>
        <v>0</v>
      </c>
      <c r="T97" s="17">
        <f>MIN(IF(B97=0,0,Table14[[#This Row],[Death Capital (1)]]),Table14[[#This Row],[Max Sum Insured For Death]])</f>
        <v>0</v>
      </c>
      <c r="U97" s="29">
        <f t="shared" si="30"/>
        <v>0</v>
      </c>
      <c r="V97" s="29">
        <f>IF(B97=0,0,IF(AND(Changes!Change="Yes", Changes!ValidityYear&lt;=Table14[[#This Row],[Year]], Changes!ChangeType="Rider Inclusion/Exclusion", Changes!RiderType="Accident Death"), T97*Changes!NewChangedValue,IF(db!$D$6="Yes",(db!$B$6)*T97,0)))</f>
        <v>0</v>
      </c>
      <c r="W97" s="29">
        <f>MIN(IF(V97&lt;=db!$L$2,V97,db!$L$2),MAX_ACC_CAPITAL)</f>
        <v>0</v>
      </c>
      <c r="X97" s="17">
        <f>IF(OR(B97=0,Table14[[#This Row],[Accident Capital (2)]]=0),0,IF(AND(Changes!Change="Yes", Changes!ValidityYear&lt;=Table14[[#This Row],[Year]], Changes!ChangeType="Rider Inclusion/Exclusion", Changes!RiderType="Accident Disability"), T97*Changes!NewChangedValue,IF(db!$D$7="Yes",(db!$B$7)*T97,0)))</f>
        <v>0</v>
      </c>
      <c r="Y97" s="42">
        <f>IF(C97&gt;69,0,IF(C97=0,0,IF(X97&lt;=db!$L$3,X97,db!$L$3)))</f>
        <v>0</v>
      </c>
      <c r="Z97" s="29">
        <f>IF(OR(B97=0,Table14[[#This Row],[Accident Capital (2)]]=0),0,IF(AND(Changes!Change="Yes", Changes!ValidityYear&lt;=Table14[[#This Row],[Year]], Changes!ChangeType="Rider Inclusion/Exclusion", Changes!RiderType="Accident Medical Cost"), T97*Changes!NewChangedValue,IF(db!$D$9="Yes",(db!$B$9)*T97,0)))</f>
        <v>0</v>
      </c>
      <c r="AA97" s="29">
        <f>ROUND(IF(C97&gt;69,0,IF(C97=0,0,IF(Z97&lt;=db!$L$4,Z97,db!$L$4))),0)</f>
        <v>0</v>
      </c>
      <c r="AB97" s="38">
        <f>IF(AND(Changes!Change = "Yes", Changes!ChangeType = "Rider Inclusion/Exclusion", Changes!RiderType = "WOP"), IF( Changes!ValidityYear &lt;= Table14[[#This Row],[Year]], IF(WOP = "Yes", 0, 1),  IF(WOP = "Yes", 1, 0)), IF(AND(db!$D$8="Yes",C97&lt;=69,ROW()-1&lt;=InsurancePeriod), 1, 0))</f>
        <v>0</v>
      </c>
      <c r="AC97" s="17">
        <f>(AC98+K98)*AB97*((1)/(1+db!AA99))*(LOOKUP(C97,'Mortality Table'!$A$2:$A$108,'Mortality Table'!$E$2:$E$108))</f>
        <v>0</v>
      </c>
      <c r="AD97" s="340">
        <f>IF(AND(Changes!ValidityYear&lt;= Table14[[#This Row],[Year]],Changes!ChangeType="Change Value Adjustment",Changes!Change="Yes"), (AD98+L98)*AB97*((1)/(1+db!AA99))*(LOOKUP(C97,'Mortality Table'!$A$2:$A$108,'Mortality Table'!$E$2:$E$108)),Table14[[#This Row],[WOP Before Adj. BT]])</f>
        <v>0</v>
      </c>
      <c r="AE97" s="341">
        <f>IF(AND(Changes!Change="Yes", Changes!ChangeType="Change Value Adjustment"),Table14[[#This Row],[WOP Capital]],(AE98+O98)*AB97*((1)/(1+db!AA99))*(LOOKUP(D97,'Mortality Table'!$A$2:$A$108,'Mortality Table'!$E$2:$E$108)))</f>
        <v>0</v>
      </c>
      <c r="AF97" s="17">
        <f>IF(AND(Changes!Change="Yes", Changes!ValidityYear&lt;=ROW()-1),Table14[[#This Row],[WOP Capital]],Table14[[#This Row],[WOP without change]])</f>
        <v>0</v>
      </c>
      <c r="AG97" s="42">
        <f>IF(AND(Changes!Change="Yes", Changes!ValidityYear&lt;=Table14[[#This Row],[Year]], Changes!ChangeType="Rider Inclusion/Exclusion", Changes!RiderType="Disability Annuity"), L97*Changes!NewChangedValue,L97*db!B$10*IF(db!$D$10="Yes",1,0))</f>
        <v>0</v>
      </c>
      <c r="AH97" s="29">
        <f>Table14[[#This Row],[Code Annuity Capital]]*IF('Annual Calculation'!C97&gt;69,0,(LOOKUP('Annual Calculation'!C97+1,'Mortality Table'!$A$2:$A$108,'Mortality Table'!$O$2:$O$108)-LOOKUP('Annual Calculation'!C97+11,'Mortality Table'!$A$2:$A$108,'Mortality Table'!$O$2:$O$108))/LOOKUP('Annual Calculation'!C97,'Mortality Table'!$A$2:$A$108,'Mortality Table'!$M$2:$M$108))</f>
        <v>0</v>
      </c>
      <c r="AI97" s="17">
        <f>IF(B97=0,0,IF(AND(Changes!Change="Yes", Changes!ValidityYear&lt;=Table14[[#This Row],[Year]], Changes!ChangeType="Rider Inclusion/Exclusion", Changes!RiderType="Dread Disease"), T97*Changes!NewChangedValue,IF(db!$D$11="Yes",(db!$B$11)*T97,0)))</f>
        <v>0</v>
      </c>
      <c r="AJ97" s="42">
        <f>ROUND(IF(C97&gt;59,0,IF(C97=0,0,IF(AI97&lt;=db!$L$5,AI97,db!$L$5))),0)</f>
        <v>0</v>
      </c>
      <c r="AK97" s="29">
        <f>IF(B97=0,0,IF(AND(Changes!Change="Yes", Changes!ValidityYear&lt;=Table14[[#This Row],[Year]], Changes!ChangeType="Rider Inclusion/Exclusion", Changes!RiderType="Cancer"), T97*Changes!NewChangedValue,IF(db!$D$12="Yes",(db!$B$12)*T97,0)))</f>
        <v>0</v>
      </c>
      <c r="AL97" s="29">
        <f>ROUND(IF(C97&gt;59,0,IF(C97=0,0,IF(AK97&lt;=db!$L$6,AK97,db!$L$6))),0)</f>
        <v>0</v>
      </c>
      <c r="AM97" s="32"/>
      <c r="AN97" s="18">
        <f>IF(B97=0,0,IF(C97&lt;(db!$E$2+5),LOOKUP(C97,'Mortality Table'!$A$2:$A$108,'Mortality Table'!$P$2:$P$108),IF((C97&gt;=db!$E$2+10),LOOKUP(C97,'Mortality Table'!$A$2:$A$108,'Mortality Table'!$R$2:$R$108),LOOKUP(C97,'Mortality Table'!$A$2:$A$108,'Mortality Table'!$Q$2:$Q$108))))</f>
        <v>0</v>
      </c>
      <c r="AO97" s="22">
        <f t="shared" si="22"/>
        <v>0</v>
      </c>
      <c r="AP97" s="19">
        <f>IF(B97=0,0, LOOKUP(IF(AND(Changes!Change="Yes", Changes!ValidityYear&lt;=Table14[[#This Row],[Year]], Changes!ChangeType="Change Job Class"),Changes!NewChangedValue, db!$A$8),db!$AX$4:$AX$8,db!$AY$4:$AY$8))</f>
        <v>0</v>
      </c>
      <c r="AQ97" s="20">
        <f>ROUND((AP97/1000)*W97 * (1-db!$AS$9),0)</f>
        <v>0</v>
      </c>
      <c r="AR97" s="20">
        <f>(AP97/1000)*W97 * db!$AS$9</f>
        <v>0</v>
      </c>
      <c r="AS97" s="21">
        <f>IF(B97=0,0, LOOKUP(IF(AND(Changes!Change="Yes", Changes!ValidityYear&lt;=Table14[[#This Row],[Year]], Changes!ChangeType="Change Job Class"),Changes!NewChangedValue, db!$A$8),db!$AX$4:$AX$8,db!$AZ$4:$AZ$8))</f>
        <v>0</v>
      </c>
      <c r="AT97" s="22">
        <f>(AS97/1000)*Y97*(1-db!$AS$9)</f>
        <v>0</v>
      </c>
      <c r="AU97" s="22">
        <f>(AS97/1000)*Y97*(db!$AS$9)</f>
        <v>0</v>
      </c>
      <c r="AV97" s="23">
        <f>IF(B97=0,0, LOOKUP(IF(AND(Changes!Change="Yes", Changes!ValidityYear&lt;=Table14[[#This Row],[Year]], Changes!ChangeType="Change Job Class"),Changes!NewChangedValue, db!$A$8),db!$AX$4:$AX$8,db!$BA$4:$BA$8))</f>
        <v>0</v>
      </c>
      <c r="AW97" s="20">
        <f>ROUND((AV97/(100))*AA97*(1-db!$AS$9),0)</f>
        <v>0</v>
      </c>
      <c r="AX97" s="20">
        <f>ROUND((AV97/(100))*AA97*(db!$AS$9),0)</f>
        <v>0</v>
      </c>
      <c r="AY97" s="21">
        <f>IF(db!$D$8="Yes",AS97,0)</f>
        <v>0</v>
      </c>
      <c r="AZ97" s="22">
        <f>(AY97*AF97)/1000*(1-db!$AS$9)</f>
        <v>0</v>
      </c>
      <c r="BA97" s="22">
        <f>(AY97*AF97)/1000*(db!$AS$9)</f>
        <v>0</v>
      </c>
      <c r="BB97" s="23">
        <f t="shared" si="23"/>
        <v>0</v>
      </c>
      <c r="BC97" s="20">
        <f>(BB97*AH97/1000)*(1-db!$AS$9)</f>
        <v>0</v>
      </c>
      <c r="BD97" s="20">
        <f>(BB97*AH97/1000)*(db!$AS$9)</f>
        <v>0</v>
      </c>
      <c r="BE97" s="22">
        <f>IF(B97=0,0,IF(C97&gt;60,0,LOOKUP(Table14[[#This Row],[Medical
Age]],db!$BC$3:$BC$63,db!$BD$3:$BD$63)))</f>
        <v>0</v>
      </c>
      <c r="BF97" s="22">
        <f>BG97*db!$AS$10</f>
        <v>0</v>
      </c>
      <c r="BG97" s="22">
        <f t="shared" si="24"/>
        <v>0</v>
      </c>
      <c r="BH97" s="22">
        <f>(BE97/1000000)*AJ97*(1-db!$AS$10)</f>
        <v>0</v>
      </c>
      <c r="BI97" s="20">
        <f>IF(B97=0,0,IF(C97&gt;59,0,LOOKUP(Table14[[#This Row],[Medical
Age]],db!$BC$3:$BC$63,db!$BE$3:$BE$63)))</f>
        <v>0</v>
      </c>
      <c r="BJ97" s="20">
        <f>(BI97/1000000)*AL97*(1-db!$AS$11)</f>
        <v>0</v>
      </c>
      <c r="BK97" s="20">
        <f>(BI97/1000000)*AL97*(db!$AS$11)</f>
        <v>0</v>
      </c>
      <c r="BL97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97" s="20">
        <f>Table14[[#This Row],[RiskLoading
Rate]]*Table14[[#This Row],[Death Capital (2)]]</f>
        <v>0</v>
      </c>
      <c r="BN97" s="36"/>
      <c r="BO97" s="37">
        <f t="shared" si="25"/>
        <v>0</v>
      </c>
      <c r="BP97" s="35">
        <f t="shared" si="26"/>
        <v>0</v>
      </c>
      <c r="BQ97" s="35">
        <f t="shared" si="27"/>
        <v>0</v>
      </c>
      <c r="BR97" s="37">
        <f t="shared" si="31"/>
        <v>0</v>
      </c>
      <c r="BS97" s="37">
        <f t="shared" si="32"/>
        <v>0</v>
      </c>
      <c r="BT97" s="35">
        <f t="shared" si="33"/>
        <v>0</v>
      </c>
      <c r="BU97" s="35">
        <f t="shared" si="34"/>
        <v>0</v>
      </c>
      <c r="BV97" s="37">
        <f>(db!$AS$4/100)*(L97-BT97-BU97)</f>
        <v>0</v>
      </c>
      <c r="BW97" s="37">
        <f>(db!$AS$8/100)*(L97-BT97-BU97)</f>
        <v>0</v>
      </c>
      <c r="BX97" s="35"/>
      <c r="BY97" s="37"/>
      <c r="BZ97" s="37"/>
      <c r="CA97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97" s="33"/>
      <c r="CC97" s="39">
        <f>ROUND((Table14[[#This Row],[Premium]]-Table14[[#This Row],[All Deductions]]),0)</f>
        <v>0</v>
      </c>
      <c r="CD97" s="40">
        <f>ROUND(IF(B97=0,0,((CC97)*(1+ IF(AND(Changes!Change="Yes",Changes!ValidityYear&lt;=Table14[[#This Row],[Year]],Annulment&gt;Table14[[#This Row],[Year]],Changes!ChangeType="Paid-Up"),db!Y99+0.02,db!Y99)))+((CD96)*(1+IF(AND(Changes!Change="Yes",Changes!ValidityYear&lt;=Table14[[#This Row],[Year]],Annulment&gt;Table14[[#This Row],[Year]],Changes!ChangeType="Paid-Up"),db!U99+0.02,db!U99)))),0)</f>
        <v>0</v>
      </c>
      <c r="CE97" s="40">
        <f>ROUND(IF(B97=0,0,((CC97)*(1+db!Y99))+((CE96)*(1+db!U99))),0)</f>
        <v>0</v>
      </c>
      <c r="CF97" s="40">
        <f t="shared" si="39"/>
        <v>0</v>
      </c>
      <c r="CG97" s="15">
        <f t="shared" si="35"/>
        <v>96</v>
      </c>
      <c r="CH97" s="39">
        <f>IF(B97=0,0,((CC97)*(1+db!AH99))+((CH96)*(1+db!AD99)))</f>
        <v>0</v>
      </c>
      <c r="CI97" s="39">
        <f>IF(B97=0,0,((CC97)*(1+db!AH99))+((CI96)*(1+db!AD99)))</f>
        <v>0</v>
      </c>
      <c r="CJ97" s="40">
        <f>IF(B97=0,0,((CC97)*(1+db!AO99))+((CJ96)*(1+db!AK99)))</f>
        <v>0</v>
      </c>
      <c r="CK97" s="40">
        <f>CJ97-(SUM(BX$7:$BX98))</f>
        <v>0</v>
      </c>
      <c r="CL97" s="26"/>
    </row>
    <row r="98" spans="1:90">
      <c r="A98" s="347">
        <f t="shared" si="36"/>
        <v>97</v>
      </c>
      <c r="B98" s="345">
        <f>IF(AND(Changes!Change="Yes", Changes!ChangeType="Change Contract Duration"),IF(B97=0,0,IF(Changes!NewChangedValue&lt;B97+1,0,B97+1)),IF(B97=0,0,IF('Application Annually'!$C$5&lt;B97+1,0,B97+1)))</f>
        <v>0</v>
      </c>
      <c r="C98" s="15">
        <f t="shared" si="37"/>
        <v>0</v>
      </c>
      <c r="D98" s="312">
        <f t="shared" si="38"/>
        <v>124</v>
      </c>
      <c r="E98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98" s="29">
        <f t="shared" si="28"/>
        <v>0</v>
      </c>
      <c r="G98" s="29">
        <f t="shared" si="29"/>
        <v>0</v>
      </c>
      <c r="H98" s="29">
        <f t="shared" si="20"/>
        <v>0</v>
      </c>
      <c r="I98" s="29">
        <f>IF(B98&gt;0,IF(AND(Table14[[#This Row],[Year]]&gt;Changes!ValidityYear,Changes!Change="Yes",Changes!ChangeType="Change Value Adjustment"),Changes!$G$22,'Application Annually'!$C$11),0)</f>
        <v>0</v>
      </c>
      <c r="J98" s="29">
        <f>IF(B98&gt;0,IF(AND(Table14[[#This Row],[Year]]&gt;Changes!ValidityYear,Changes!Change="Yes",Changes!ChangeType="Change Value Adjustment"),Changes!$G$24,'Application Annually'!$C$7),0)</f>
        <v>0</v>
      </c>
      <c r="K98" s="29">
        <f>ROUND(IF(B98=0,0,IF(AND(Changes!Change="Yes", Changes!ValidityYear=Table14[[#This Row],[Year]], Changes!ChangeType="Change Premium"), Changes!NewChangedValue, (K97*(1+db!$B$3)))),0)</f>
        <v>0</v>
      </c>
      <c r="L98" s="29">
        <f>ROUND(IF(B98=0,0,IF(AND(Changes!Change="Yes", Changes!ValidityYear=Table14[[#This Row],[Year]], Changes!ChangeType="Change Premium"), Changes!NewChangedValue, (L97*(1+Table14[[#This Row],[Adjustment Factor of Premium]]/100)))),0)</f>
        <v>0</v>
      </c>
      <c r="M98" s="29">
        <f>IF(Table14[[#This Row],[Year]]=1,ROUND(MIN($L$2 -( Table14[[#This Row],[Riders Risk Premiums]] + Table14[[#This Row],[Acquisition Cost]]) *0.75,Table14[[#This Row],[Death Capital (1)]]* 0.03),0),0)</f>
        <v>0</v>
      </c>
      <c r="N98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98" s="29">
        <f>ROUND(IF(ROW()-1&gt;InsurancePeriod,0,(O97*(1+(Table14[[#This Row],[Adjustment Factor of Premium]]/100)))),0)</f>
        <v>0</v>
      </c>
      <c r="P98" s="29">
        <f>IF(Table14[Year] = 0, 0, SUM(L$2:L98))</f>
        <v>0</v>
      </c>
      <c r="Q98" s="17">
        <f t="shared" si="21"/>
        <v>0</v>
      </c>
      <c r="R98" s="17">
        <f>IF(Table14[[#This Row],[Year]]=0,0,IF($C$2&lt;=50,LOOKUP(Table14[[#This Row],[Age]],db!BG99:BG205,db!BH99:BH205),LOOKUP(Table14[[#This Row],[Age]],db!BJ99:BJ205,db!BK99:BK205)))</f>
        <v>0</v>
      </c>
      <c r="S98" s="17">
        <f>IF(B98=0,0, IF(AND(Changes!Change="Yes", Changes!ValidityYear=Table14[[#This Row],[Year]], Changes!ChangeType="Change Death Capital"), Changes!NewChangedValue, S97*(1+(Table14[[#This Row],[Adjustment Factor of Death Capital]]/100))))</f>
        <v>0</v>
      </c>
      <c r="T98" s="17">
        <f>MIN(IF(B98=0,0,Table14[[#This Row],[Death Capital (1)]]),Table14[[#This Row],[Max Sum Insured For Death]])</f>
        <v>0</v>
      </c>
      <c r="U98" s="29">
        <f t="shared" si="30"/>
        <v>0</v>
      </c>
      <c r="V98" s="29">
        <f>IF(B98=0,0,IF(AND(Changes!Change="Yes", Changes!ValidityYear&lt;=Table14[[#This Row],[Year]], Changes!ChangeType="Rider Inclusion/Exclusion", Changes!RiderType="Accident Death"), T98*Changes!NewChangedValue,IF(db!$D$6="Yes",(db!$B$6)*T98,0)))</f>
        <v>0</v>
      </c>
      <c r="W98" s="29">
        <f>MIN(IF(V98&lt;=db!$L$2,V98,db!$L$2),MAX_ACC_CAPITAL)</f>
        <v>0</v>
      </c>
      <c r="X98" s="17">
        <f>IF(OR(B98=0,Table14[[#This Row],[Accident Capital (2)]]=0),0,IF(AND(Changes!Change="Yes", Changes!ValidityYear&lt;=Table14[[#This Row],[Year]], Changes!ChangeType="Rider Inclusion/Exclusion", Changes!RiderType="Accident Disability"), T98*Changes!NewChangedValue,IF(db!$D$7="Yes",(db!$B$7)*T98,0)))</f>
        <v>0</v>
      </c>
      <c r="Y98" s="42">
        <f>IF(C98&gt;69,0,IF(C98=0,0,IF(X98&lt;=db!$L$3,X98,db!$L$3)))</f>
        <v>0</v>
      </c>
      <c r="Z98" s="29">
        <f>IF(OR(B98=0,Table14[[#This Row],[Accident Capital (2)]]=0),0,IF(AND(Changes!Change="Yes", Changes!ValidityYear&lt;=Table14[[#This Row],[Year]], Changes!ChangeType="Rider Inclusion/Exclusion", Changes!RiderType="Accident Medical Cost"), T98*Changes!NewChangedValue,IF(db!$D$9="Yes",(db!$B$9)*T98,0)))</f>
        <v>0</v>
      </c>
      <c r="AA98" s="29">
        <f>ROUND(IF(C98&gt;69,0,IF(C98=0,0,IF(Z98&lt;=db!$L$4,Z98,db!$L$4))),0)</f>
        <v>0</v>
      </c>
      <c r="AB98" s="38">
        <f>IF(AND(Changes!Change = "Yes", Changes!ChangeType = "Rider Inclusion/Exclusion", Changes!RiderType = "WOP"), IF( Changes!ValidityYear &lt;= Table14[[#This Row],[Year]], IF(WOP = "Yes", 0, 1),  IF(WOP = "Yes", 1, 0)), IF(AND(db!$D$8="Yes",C98&lt;=69,ROW()-1&lt;=InsurancePeriod), 1, 0))</f>
        <v>0</v>
      </c>
      <c r="AC98" s="17">
        <f>(AC99+K99)*AB98*((1)/(1+db!AA100))*(LOOKUP(C98,'Mortality Table'!$A$2:$A$108,'Mortality Table'!$E$2:$E$108))</f>
        <v>0</v>
      </c>
      <c r="AD98" s="340">
        <f>IF(AND(Changes!ValidityYear&lt;= Table14[[#This Row],[Year]],Changes!ChangeType="Change Value Adjustment",Changes!Change="Yes"), (AD99+L99)*AB98*((1)/(1+db!AA100))*(LOOKUP(C98,'Mortality Table'!$A$2:$A$108,'Mortality Table'!$E$2:$E$108)),Table14[[#This Row],[WOP Before Adj. BT]])</f>
        <v>0</v>
      </c>
      <c r="AE98" s="341">
        <f>IF(AND(Changes!Change="Yes", Changes!ChangeType="Change Value Adjustment"),Table14[[#This Row],[WOP Capital]],(AE99+O99)*AB98*((1)/(1+db!AA100))*(LOOKUP(D98,'Mortality Table'!$A$2:$A$108,'Mortality Table'!$E$2:$E$108)))</f>
        <v>0</v>
      </c>
      <c r="AF98" s="17">
        <f>IF(AND(Changes!Change="Yes", Changes!ValidityYear&lt;=ROW()-1),Table14[[#This Row],[WOP Capital]],Table14[[#This Row],[WOP without change]])</f>
        <v>0</v>
      </c>
      <c r="AG98" s="42">
        <f>IF(AND(Changes!Change="Yes", Changes!ValidityYear&lt;=Table14[[#This Row],[Year]], Changes!ChangeType="Rider Inclusion/Exclusion", Changes!RiderType="Disability Annuity"), L98*Changes!NewChangedValue,L98*db!B$10*IF(db!$D$10="Yes",1,0))</f>
        <v>0</v>
      </c>
      <c r="AH98" s="29">
        <f>Table14[[#This Row],[Code Annuity Capital]]*IF('Annual Calculation'!C98&gt;69,0,(LOOKUP('Annual Calculation'!C98+1,'Mortality Table'!$A$2:$A$108,'Mortality Table'!$O$2:$O$108)-LOOKUP('Annual Calculation'!C98+11,'Mortality Table'!$A$2:$A$108,'Mortality Table'!$O$2:$O$108))/LOOKUP('Annual Calculation'!C98,'Mortality Table'!$A$2:$A$108,'Mortality Table'!$M$2:$M$108))</f>
        <v>0</v>
      </c>
      <c r="AI98" s="17">
        <f>IF(B98=0,0,IF(AND(Changes!Change="Yes", Changes!ValidityYear&lt;=Table14[[#This Row],[Year]], Changes!ChangeType="Rider Inclusion/Exclusion", Changes!RiderType="Dread Disease"), T98*Changes!NewChangedValue,IF(db!$D$11="Yes",(db!$B$11)*T98,0)))</f>
        <v>0</v>
      </c>
      <c r="AJ98" s="42">
        <f>ROUND(IF(C98&gt;59,0,IF(C98=0,0,IF(AI98&lt;=db!$L$5,AI98,db!$L$5))),0)</f>
        <v>0</v>
      </c>
      <c r="AK98" s="29">
        <f>IF(B98=0,0,IF(AND(Changes!Change="Yes", Changes!ValidityYear&lt;=Table14[[#This Row],[Year]], Changes!ChangeType="Rider Inclusion/Exclusion", Changes!RiderType="Cancer"), T98*Changes!NewChangedValue,IF(db!$D$12="Yes",(db!$B$12)*T98,0)))</f>
        <v>0</v>
      </c>
      <c r="AL98" s="29">
        <f>ROUND(IF(C98&gt;59,0,IF(C98=0,0,IF(AK98&lt;=db!$L$6,AK98,db!$L$6))),0)</f>
        <v>0</v>
      </c>
      <c r="AM98" s="32"/>
      <c r="AN98" s="18">
        <f>IF(B98=0,0,IF(C98&lt;(db!$E$2+5),LOOKUP(C98,'Mortality Table'!$A$2:$A$108,'Mortality Table'!$P$2:$P$108),IF((C98&gt;=db!$E$2+10),LOOKUP(C98,'Mortality Table'!$A$2:$A$108,'Mortality Table'!$R$2:$R$108),LOOKUP(C98,'Mortality Table'!$A$2:$A$108,'Mortality Table'!$Q$2:$Q$108))))</f>
        <v>0</v>
      </c>
      <c r="AO98" s="22">
        <f t="shared" si="22"/>
        <v>0</v>
      </c>
      <c r="AP98" s="19">
        <f>IF(B98=0,0, LOOKUP(IF(AND(Changes!Change="Yes", Changes!ValidityYear&lt;=Table14[[#This Row],[Year]], Changes!ChangeType="Change Job Class"),Changes!NewChangedValue, db!$A$8),db!$AX$4:$AX$8,db!$AY$4:$AY$8))</f>
        <v>0</v>
      </c>
      <c r="AQ98" s="20">
        <f>ROUND((AP98/1000)*W98 * (1-db!$AS$9),0)</f>
        <v>0</v>
      </c>
      <c r="AR98" s="20">
        <f>(AP98/1000)*W98 * db!$AS$9</f>
        <v>0</v>
      </c>
      <c r="AS98" s="21">
        <f>IF(B98=0,0, LOOKUP(IF(AND(Changes!Change="Yes", Changes!ValidityYear&lt;=Table14[[#This Row],[Year]], Changes!ChangeType="Change Job Class"),Changes!NewChangedValue, db!$A$8),db!$AX$4:$AX$8,db!$AZ$4:$AZ$8))</f>
        <v>0</v>
      </c>
      <c r="AT98" s="22">
        <f>(AS98/1000)*Y98*(1-db!$AS$9)</f>
        <v>0</v>
      </c>
      <c r="AU98" s="22">
        <f>(AS98/1000)*Y98*(db!$AS$9)</f>
        <v>0</v>
      </c>
      <c r="AV98" s="23">
        <f>IF(B98=0,0, LOOKUP(IF(AND(Changes!Change="Yes", Changes!ValidityYear&lt;=Table14[[#This Row],[Year]], Changes!ChangeType="Change Job Class"),Changes!NewChangedValue, db!$A$8),db!$AX$4:$AX$8,db!$BA$4:$BA$8))</f>
        <v>0</v>
      </c>
      <c r="AW98" s="20">
        <f>ROUND((AV98/(100))*AA98*(1-db!$AS$9),0)</f>
        <v>0</v>
      </c>
      <c r="AX98" s="20">
        <f>ROUND((AV98/(100))*AA98*(db!$AS$9),0)</f>
        <v>0</v>
      </c>
      <c r="AY98" s="21">
        <f>IF(db!$D$8="Yes",AS98,0)</f>
        <v>0</v>
      </c>
      <c r="AZ98" s="22">
        <f>(AY98*AF98)/1000*(1-db!$AS$9)</f>
        <v>0</v>
      </c>
      <c r="BA98" s="22">
        <f>(AY98*AF98)/1000*(db!$AS$9)</f>
        <v>0</v>
      </c>
      <c r="BB98" s="23">
        <f t="shared" si="23"/>
        <v>0</v>
      </c>
      <c r="BC98" s="20">
        <f>(BB98*AH98/1000)*(1-db!$AS$9)</f>
        <v>0</v>
      </c>
      <c r="BD98" s="20">
        <f>(BB98*AH98/1000)*(db!$AS$9)</f>
        <v>0</v>
      </c>
      <c r="BE98" s="22">
        <f>IF(B98=0,0,IF(C98&gt;60,0,LOOKUP(Table14[[#This Row],[Medical
Age]],db!$BC$3:$BC$63,db!$BD$3:$BD$63)))</f>
        <v>0</v>
      </c>
      <c r="BF98" s="22">
        <f>BG98*db!$AS$10</f>
        <v>0</v>
      </c>
      <c r="BG98" s="22">
        <f t="shared" si="24"/>
        <v>0</v>
      </c>
      <c r="BH98" s="22">
        <f>(BE98/1000000)*AJ98*(1-db!$AS$10)</f>
        <v>0</v>
      </c>
      <c r="BI98" s="20">
        <f>IF(B98=0,0,IF(C98&gt;59,0,LOOKUP(Table14[[#This Row],[Medical
Age]],db!$BC$3:$BC$63,db!$BE$3:$BE$63)))</f>
        <v>0</v>
      </c>
      <c r="BJ98" s="20">
        <f>(BI98/1000000)*AL98*(1-db!$AS$11)</f>
        <v>0</v>
      </c>
      <c r="BK98" s="20">
        <f>(BI98/1000000)*AL98*(db!$AS$11)</f>
        <v>0</v>
      </c>
      <c r="BL98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98" s="20">
        <f>Table14[[#This Row],[RiskLoading
Rate]]*Table14[[#This Row],[Death Capital (2)]]</f>
        <v>0</v>
      </c>
      <c r="BN98" s="36"/>
      <c r="BO98" s="37">
        <f t="shared" si="25"/>
        <v>0</v>
      </c>
      <c r="BP98" s="35">
        <f t="shared" si="26"/>
        <v>0</v>
      </c>
      <c r="BQ98" s="35">
        <f t="shared" si="27"/>
        <v>0</v>
      </c>
      <c r="BR98" s="37">
        <f t="shared" si="31"/>
        <v>0</v>
      </c>
      <c r="BS98" s="37">
        <f t="shared" si="32"/>
        <v>0</v>
      </c>
      <c r="BT98" s="35">
        <f t="shared" si="33"/>
        <v>0</v>
      </c>
      <c r="BU98" s="35">
        <f t="shared" si="34"/>
        <v>0</v>
      </c>
      <c r="BV98" s="37">
        <f>(db!$AS$4/100)*(L98-BT98-BU98)</f>
        <v>0</v>
      </c>
      <c r="BW98" s="37">
        <f>(db!$AS$8/100)*(L98-BT98-BU98)</f>
        <v>0</v>
      </c>
      <c r="BX98" s="35"/>
      <c r="BY98" s="37"/>
      <c r="BZ98" s="37"/>
      <c r="CA98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98" s="33"/>
      <c r="CC98" s="39">
        <f>ROUND((Table14[[#This Row],[Premium]]-Table14[[#This Row],[All Deductions]]),0)</f>
        <v>0</v>
      </c>
      <c r="CD98" s="40">
        <f>ROUND(IF(B98=0,0,((CC98)*(1+ IF(AND(Changes!Change="Yes",Changes!ValidityYear&lt;=Table14[[#This Row],[Year]],Annulment&gt;Table14[[#This Row],[Year]],Changes!ChangeType="Paid-Up"),db!Y100+0.02,db!Y100)))+((CD97)*(1+IF(AND(Changes!Change="Yes",Changes!ValidityYear&lt;=Table14[[#This Row],[Year]],Annulment&gt;Table14[[#This Row],[Year]],Changes!ChangeType="Paid-Up"),db!U100+0.02,db!U100)))),0)</f>
        <v>0</v>
      </c>
      <c r="CE98" s="40">
        <f>ROUND(IF(B98=0,0,((CC98)*(1+db!Y100))+((CE97)*(1+db!U100))),0)</f>
        <v>0</v>
      </c>
      <c r="CF98" s="40">
        <f t="shared" si="39"/>
        <v>0</v>
      </c>
      <c r="CG98" s="15">
        <f t="shared" si="35"/>
        <v>97</v>
      </c>
      <c r="CH98" s="39">
        <f>IF(B98=0,0,((CC98)*(1+db!AH100))+((CH97)*(1+db!AD100)))</f>
        <v>0</v>
      </c>
      <c r="CI98" s="39">
        <f>IF(B98=0,0,((CC98)*(1+db!AH100))+((CI97)*(1+db!AD100)))</f>
        <v>0</v>
      </c>
      <c r="CJ98" s="40">
        <f>IF(B98=0,0,((CC98)*(1+db!AO100))+((CJ97)*(1+db!AK100)))</f>
        <v>0</v>
      </c>
      <c r="CK98" s="40">
        <f>CJ98-(SUM(BX$7:$BX99))</f>
        <v>0</v>
      </c>
      <c r="CL98" s="26"/>
    </row>
    <row r="99" spans="1:90">
      <c r="A99" s="347">
        <f t="shared" si="36"/>
        <v>98</v>
      </c>
      <c r="B99" s="345">
        <f>IF(AND(Changes!Change="Yes", Changes!ChangeType="Change Contract Duration"),IF(B98=0,0,IF(Changes!NewChangedValue&lt;B98+1,0,B98+1)),IF(B98=0,0,IF('Application Annually'!$C$5&lt;B98+1,0,B98+1)))</f>
        <v>0</v>
      </c>
      <c r="C99" s="15">
        <f t="shared" si="37"/>
        <v>0</v>
      </c>
      <c r="D99" s="312">
        <f t="shared" si="38"/>
        <v>125</v>
      </c>
      <c r="E99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99" s="29">
        <f t="shared" si="28"/>
        <v>0</v>
      </c>
      <c r="G99" s="29">
        <f t="shared" si="29"/>
        <v>0</v>
      </c>
      <c r="H99" s="29">
        <f t="shared" si="20"/>
        <v>0</v>
      </c>
      <c r="I99" s="29">
        <f>IF(B99&gt;0,IF(AND(Table14[[#This Row],[Year]]&gt;Changes!ValidityYear,Changes!Change="Yes",Changes!ChangeType="Change Value Adjustment"),Changes!$G$22,'Application Annually'!$C$11),0)</f>
        <v>0</v>
      </c>
      <c r="J99" s="29">
        <f>IF(B99&gt;0,IF(AND(Table14[[#This Row],[Year]]&gt;Changes!ValidityYear,Changes!Change="Yes",Changes!ChangeType="Change Value Adjustment"),Changes!$G$24,'Application Annually'!$C$7),0)</f>
        <v>0</v>
      </c>
      <c r="K99" s="29">
        <f>ROUND(IF(B99=0,0,IF(AND(Changes!Change="Yes", Changes!ValidityYear=Table14[[#This Row],[Year]], Changes!ChangeType="Change Premium"), Changes!NewChangedValue, (K98*(1+db!$B$3)))),0)</f>
        <v>0</v>
      </c>
      <c r="L99" s="29">
        <f>ROUND(IF(B99=0,0,IF(AND(Changes!Change="Yes", Changes!ValidityYear=Table14[[#This Row],[Year]], Changes!ChangeType="Change Premium"), Changes!NewChangedValue, (L98*(1+Table14[[#This Row],[Adjustment Factor of Premium]]/100)))),0)</f>
        <v>0</v>
      </c>
      <c r="M99" s="29">
        <f>IF(Table14[[#This Row],[Year]]=1,ROUND(MIN($L$2 -( Table14[[#This Row],[Riders Risk Premiums]] + Table14[[#This Row],[Acquisition Cost]]) *0.75,Table14[[#This Row],[Death Capital (1)]]* 0.03),0),0)</f>
        <v>0</v>
      </c>
      <c r="N99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99" s="29">
        <f>ROUND(IF(ROW()-1&gt;InsurancePeriod,0,(O98*(1+(Table14[[#This Row],[Adjustment Factor of Premium]]/100)))),0)</f>
        <v>0</v>
      </c>
      <c r="P99" s="29">
        <f>IF(Table14[Year] = 0, 0, SUM(L$2:L99))</f>
        <v>0</v>
      </c>
      <c r="Q99" s="17">
        <f t="shared" si="21"/>
        <v>0</v>
      </c>
      <c r="R99" s="17">
        <f>IF(Table14[[#This Row],[Year]]=0,0,IF($C$2&lt;=50,LOOKUP(Table14[[#This Row],[Age]],db!BG100:BG206,db!BH100:BH206),LOOKUP(Table14[[#This Row],[Age]],db!BJ100:BJ206,db!BK100:BK206)))</f>
        <v>0</v>
      </c>
      <c r="S99" s="17">
        <f>IF(B99=0,0, IF(AND(Changes!Change="Yes", Changes!ValidityYear=Table14[[#This Row],[Year]], Changes!ChangeType="Change Death Capital"), Changes!NewChangedValue, S98*(1+(Table14[[#This Row],[Adjustment Factor of Death Capital]]/100))))</f>
        <v>0</v>
      </c>
      <c r="T99" s="17">
        <f>MIN(IF(B99=0,0,Table14[[#This Row],[Death Capital (1)]]),Table14[[#This Row],[Max Sum Insured For Death]])</f>
        <v>0</v>
      </c>
      <c r="U99" s="29">
        <f t="shared" si="30"/>
        <v>0</v>
      </c>
      <c r="V99" s="29">
        <f>IF(B99=0,0,IF(AND(Changes!Change="Yes", Changes!ValidityYear&lt;=Table14[[#This Row],[Year]], Changes!ChangeType="Rider Inclusion/Exclusion", Changes!RiderType="Accident Death"), T99*Changes!NewChangedValue,IF(db!$D$6="Yes",(db!$B$6)*T99,0)))</f>
        <v>0</v>
      </c>
      <c r="W99" s="29">
        <f>MIN(IF(V99&lt;=db!$L$2,V99,db!$L$2),MAX_ACC_CAPITAL)</f>
        <v>0</v>
      </c>
      <c r="X99" s="17">
        <f>IF(OR(B99=0,Table14[[#This Row],[Accident Capital (2)]]=0),0,IF(AND(Changes!Change="Yes", Changes!ValidityYear&lt;=Table14[[#This Row],[Year]], Changes!ChangeType="Rider Inclusion/Exclusion", Changes!RiderType="Accident Disability"), T99*Changes!NewChangedValue,IF(db!$D$7="Yes",(db!$B$7)*T99,0)))</f>
        <v>0</v>
      </c>
      <c r="Y99" s="42">
        <f>IF(C99&gt;69,0,IF(C99=0,0,IF(X99&lt;=db!$L$3,X99,db!$L$3)))</f>
        <v>0</v>
      </c>
      <c r="Z99" s="29">
        <f>IF(OR(B99=0,Table14[[#This Row],[Accident Capital (2)]]=0),0,IF(AND(Changes!Change="Yes", Changes!ValidityYear&lt;=Table14[[#This Row],[Year]], Changes!ChangeType="Rider Inclusion/Exclusion", Changes!RiderType="Accident Medical Cost"), T99*Changes!NewChangedValue,IF(db!$D$9="Yes",(db!$B$9)*T99,0)))</f>
        <v>0</v>
      </c>
      <c r="AA99" s="29">
        <f>ROUND(IF(C99&gt;69,0,IF(C99=0,0,IF(Z99&lt;=db!$L$4,Z99,db!$L$4))),0)</f>
        <v>0</v>
      </c>
      <c r="AB99" s="38">
        <f>IF(AND(Changes!Change = "Yes", Changes!ChangeType = "Rider Inclusion/Exclusion", Changes!RiderType = "WOP"), IF( Changes!ValidityYear &lt;= Table14[[#This Row],[Year]], IF(WOP = "Yes", 0, 1),  IF(WOP = "Yes", 1, 0)), IF(AND(db!$D$8="Yes",C99&lt;=69,ROW()-1&lt;=InsurancePeriod), 1, 0))</f>
        <v>0</v>
      </c>
      <c r="AC99" s="17">
        <f>(AC100+K100)*AB99*((1)/(1+db!AA101))*(LOOKUP(C99,'Mortality Table'!$A$2:$A$108,'Mortality Table'!$E$2:$E$108))</f>
        <v>0</v>
      </c>
      <c r="AD99" s="340">
        <f>IF(AND(Changes!ValidityYear&lt;= Table14[[#This Row],[Year]],Changes!ChangeType="Change Value Adjustment",Changes!Change="Yes"), (AD100+L100)*AB99*((1)/(1+db!AA101))*(LOOKUP(C99,'Mortality Table'!$A$2:$A$108,'Mortality Table'!$E$2:$E$108)),Table14[[#This Row],[WOP Before Adj. BT]])</f>
        <v>0</v>
      </c>
      <c r="AE99" s="341">
        <f>IF(AND(Changes!Change="Yes", Changes!ChangeType="Change Value Adjustment"),Table14[[#This Row],[WOP Capital]],(AE100+O100)*AB99*((1)/(1+db!AA101))*(LOOKUP(D99,'Mortality Table'!$A$2:$A$108,'Mortality Table'!$E$2:$E$108)))</f>
        <v>0</v>
      </c>
      <c r="AF99" s="17">
        <f>IF(AND(Changes!Change="Yes", Changes!ValidityYear&lt;=ROW()-1),Table14[[#This Row],[WOP Capital]],Table14[[#This Row],[WOP without change]])</f>
        <v>0</v>
      </c>
      <c r="AG99" s="42">
        <f>IF(AND(Changes!Change="Yes", Changes!ValidityYear&lt;=Table14[[#This Row],[Year]], Changes!ChangeType="Rider Inclusion/Exclusion", Changes!RiderType="Disability Annuity"), L99*Changes!NewChangedValue,L99*db!B$10*IF(db!$D$10="Yes",1,0))</f>
        <v>0</v>
      </c>
      <c r="AH99" s="29">
        <f>Table14[[#This Row],[Code Annuity Capital]]*IF('Annual Calculation'!C99&gt;69,0,(LOOKUP('Annual Calculation'!C99+1,'Mortality Table'!$A$2:$A$108,'Mortality Table'!$O$2:$O$108)-LOOKUP('Annual Calculation'!C99+11,'Mortality Table'!$A$2:$A$108,'Mortality Table'!$O$2:$O$108))/LOOKUP('Annual Calculation'!C99,'Mortality Table'!$A$2:$A$108,'Mortality Table'!$M$2:$M$108))</f>
        <v>0</v>
      </c>
      <c r="AI99" s="17">
        <f>IF(B99=0,0,IF(AND(Changes!Change="Yes", Changes!ValidityYear&lt;=Table14[[#This Row],[Year]], Changes!ChangeType="Rider Inclusion/Exclusion", Changes!RiderType="Dread Disease"), T99*Changes!NewChangedValue,IF(db!$D$11="Yes",(db!$B$11)*T99,0)))</f>
        <v>0</v>
      </c>
      <c r="AJ99" s="42">
        <f>ROUND(IF(C99&gt;59,0,IF(C99=0,0,IF(AI99&lt;=db!$L$5,AI99,db!$L$5))),0)</f>
        <v>0</v>
      </c>
      <c r="AK99" s="29">
        <f>IF(B99=0,0,IF(AND(Changes!Change="Yes", Changes!ValidityYear&lt;=Table14[[#This Row],[Year]], Changes!ChangeType="Rider Inclusion/Exclusion", Changes!RiderType="Cancer"), T99*Changes!NewChangedValue,IF(db!$D$12="Yes",(db!$B$12)*T99,0)))</f>
        <v>0</v>
      </c>
      <c r="AL99" s="29">
        <f>ROUND(IF(C99&gt;59,0,IF(C99=0,0,IF(AK99&lt;=db!$L$6,AK99,db!$L$6))),0)</f>
        <v>0</v>
      </c>
      <c r="AM99" s="32"/>
      <c r="AN99" s="18">
        <f>IF(B99=0,0,IF(C99&lt;(db!$E$2+5),LOOKUP(C99,'Mortality Table'!$A$2:$A$108,'Mortality Table'!$P$2:$P$108),IF((C99&gt;=db!$E$2+10),LOOKUP(C99,'Mortality Table'!$A$2:$A$108,'Mortality Table'!$R$2:$R$108),LOOKUP(C99,'Mortality Table'!$A$2:$A$108,'Mortality Table'!$Q$2:$Q$108))))</f>
        <v>0</v>
      </c>
      <c r="AO99" s="22">
        <f t="shared" si="22"/>
        <v>0</v>
      </c>
      <c r="AP99" s="19">
        <f>IF(B99=0,0, LOOKUP(IF(AND(Changes!Change="Yes", Changes!ValidityYear&lt;=Table14[[#This Row],[Year]], Changes!ChangeType="Change Job Class"),Changes!NewChangedValue, db!$A$8),db!$AX$4:$AX$8,db!$AY$4:$AY$8))</f>
        <v>0</v>
      </c>
      <c r="AQ99" s="20">
        <f>ROUND((AP99/1000)*W99 * (1-db!$AS$9),0)</f>
        <v>0</v>
      </c>
      <c r="AR99" s="20">
        <f>(AP99/1000)*W99 * db!$AS$9</f>
        <v>0</v>
      </c>
      <c r="AS99" s="21">
        <f>IF(B99=0,0, LOOKUP(IF(AND(Changes!Change="Yes", Changes!ValidityYear&lt;=Table14[[#This Row],[Year]], Changes!ChangeType="Change Job Class"),Changes!NewChangedValue, db!$A$8),db!$AX$4:$AX$8,db!$AZ$4:$AZ$8))</f>
        <v>0</v>
      </c>
      <c r="AT99" s="22">
        <f>(AS99/1000)*Y99*(1-db!$AS$9)</f>
        <v>0</v>
      </c>
      <c r="AU99" s="22">
        <f>(AS99/1000)*Y99*(db!$AS$9)</f>
        <v>0</v>
      </c>
      <c r="AV99" s="23">
        <f>IF(B99=0,0, LOOKUP(IF(AND(Changes!Change="Yes", Changes!ValidityYear&lt;=Table14[[#This Row],[Year]], Changes!ChangeType="Change Job Class"),Changes!NewChangedValue, db!$A$8),db!$AX$4:$AX$8,db!$BA$4:$BA$8))</f>
        <v>0</v>
      </c>
      <c r="AW99" s="20">
        <f>ROUND((AV99/(100))*AA99*(1-db!$AS$9),0)</f>
        <v>0</v>
      </c>
      <c r="AX99" s="20">
        <f>ROUND((AV99/(100))*AA99*(db!$AS$9),0)</f>
        <v>0</v>
      </c>
      <c r="AY99" s="21">
        <f>IF(db!$D$8="Yes",AS99,0)</f>
        <v>0</v>
      </c>
      <c r="AZ99" s="22">
        <f>(AY99*AF99)/1000*(1-db!$AS$9)</f>
        <v>0</v>
      </c>
      <c r="BA99" s="22">
        <f>(AY99*AF99)/1000*(db!$AS$9)</f>
        <v>0</v>
      </c>
      <c r="BB99" s="23">
        <f t="shared" si="23"/>
        <v>0</v>
      </c>
      <c r="BC99" s="20">
        <f>(BB99*AH99/1000)*(1-db!$AS$9)</f>
        <v>0</v>
      </c>
      <c r="BD99" s="20">
        <f>(BB99*AH99/1000)*(db!$AS$9)</f>
        <v>0</v>
      </c>
      <c r="BE99" s="22">
        <f>IF(B99=0,0,IF(C99&gt;60,0,LOOKUP(Table14[[#This Row],[Medical
Age]],db!$BC$3:$BC$63,db!$BD$3:$BD$63)))</f>
        <v>0</v>
      </c>
      <c r="BF99" s="22">
        <f>BG99*db!$AS$10</f>
        <v>0</v>
      </c>
      <c r="BG99" s="22">
        <f t="shared" si="24"/>
        <v>0</v>
      </c>
      <c r="BH99" s="22">
        <f>(BE99/1000000)*AJ99*(1-db!$AS$10)</f>
        <v>0</v>
      </c>
      <c r="BI99" s="20">
        <f>IF(B99=0,0,IF(C99&gt;59,0,LOOKUP(Table14[[#This Row],[Medical
Age]],db!$BC$3:$BC$63,db!$BE$3:$BE$63)))</f>
        <v>0</v>
      </c>
      <c r="BJ99" s="20">
        <f>(BI99/1000000)*AL99*(1-db!$AS$11)</f>
        <v>0</v>
      </c>
      <c r="BK99" s="20">
        <f>(BI99/1000000)*AL99*(db!$AS$11)</f>
        <v>0</v>
      </c>
      <c r="BL99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99" s="20">
        <f>Table14[[#This Row],[RiskLoading
Rate]]*Table14[[#This Row],[Death Capital (2)]]</f>
        <v>0</v>
      </c>
      <c r="BN99" s="36"/>
      <c r="BO99" s="37">
        <f t="shared" si="25"/>
        <v>0</v>
      </c>
      <c r="BP99" s="35">
        <f t="shared" si="26"/>
        <v>0</v>
      </c>
      <c r="BQ99" s="35">
        <f t="shared" si="27"/>
        <v>0</v>
      </c>
      <c r="BR99" s="37">
        <f t="shared" si="31"/>
        <v>0</v>
      </c>
      <c r="BS99" s="37">
        <f t="shared" si="32"/>
        <v>0</v>
      </c>
      <c r="BT99" s="35">
        <f t="shared" si="33"/>
        <v>0</v>
      </c>
      <c r="BU99" s="35">
        <f t="shared" si="34"/>
        <v>0</v>
      </c>
      <c r="BV99" s="37">
        <f>(db!$AS$4/100)*(L99-BT99-BU99)</f>
        <v>0</v>
      </c>
      <c r="BW99" s="37">
        <f>(db!$AS$8/100)*(L99-BT99-BU99)</f>
        <v>0</v>
      </c>
      <c r="BX99" s="35"/>
      <c r="BY99" s="37"/>
      <c r="BZ99" s="37"/>
      <c r="CA99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99" s="33"/>
      <c r="CC99" s="39">
        <f>ROUND((Table14[[#This Row],[Premium]]-Table14[[#This Row],[All Deductions]]),0)</f>
        <v>0</v>
      </c>
      <c r="CD99" s="40">
        <f>ROUND(IF(B99=0,0,((CC99)*(1+ IF(AND(Changes!Change="Yes",Changes!ValidityYear&lt;=Table14[[#This Row],[Year]],Annulment&gt;Table14[[#This Row],[Year]],Changes!ChangeType="Paid-Up"),db!Y101+0.02,db!Y101)))+((CD98)*(1+IF(AND(Changes!Change="Yes",Changes!ValidityYear&lt;=Table14[[#This Row],[Year]],Annulment&gt;Table14[[#This Row],[Year]],Changes!ChangeType="Paid-Up"),db!U101+0.02,db!U101)))),0)</f>
        <v>0</v>
      </c>
      <c r="CE99" s="40">
        <f>ROUND(IF(B99=0,0,((CC99)*(1+db!Y101))+((CE98)*(1+db!U101))),0)</f>
        <v>0</v>
      </c>
      <c r="CF99" s="40">
        <f t="shared" si="39"/>
        <v>0</v>
      </c>
      <c r="CG99" s="15">
        <f t="shared" si="35"/>
        <v>98</v>
      </c>
      <c r="CH99" s="39">
        <f>IF(B99=0,0,((CC99)*(1+db!AH101))+((CH98)*(1+db!AD101)))</f>
        <v>0</v>
      </c>
      <c r="CI99" s="39">
        <f>IF(B99=0,0,((CC99)*(1+db!AH101))+((CI98)*(1+db!AD101)))</f>
        <v>0</v>
      </c>
      <c r="CJ99" s="40">
        <f>IF(B99=0,0,((CC99)*(1+db!AO101))+((CJ98)*(1+db!AK101)))</f>
        <v>0</v>
      </c>
      <c r="CK99" s="40">
        <f>CJ99-(SUM(BX$7:$BX100))</f>
        <v>0</v>
      </c>
      <c r="CL99" s="26"/>
    </row>
    <row r="100" spans="1:90">
      <c r="A100" s="347">
        <f t="shared" si="36"/>
        <v>99</v>
      </c>
      <c r="B100" s="345">
        <f>IF(AND(Changes!Change="Yes", Changes!ChangeType="Change Contract Duration"),IF(B99=0,0,IF(Changes!NewChangedValue&lt;B99+1,0,B99+1)),IF(B99=0,0,IF('Application Annually'!$C$5&lt;B99+1,0,B99+1)))</f>
        <v>0</v>
      </c>
      <c r="C100" s="15">
        <f t="shared" si="37"/>
        <v>0</v>
      </c>
      <c r="D100" s="312">
        <f t="shared" si="38"/>
        <v>126</v>
      </c>
      <c r="E100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100" s="29">
        <f t="shared" si="28"/>
        <v>0</v>
      </c>
      <c r="G100" s="29">
        <f t="shared" si="29"/>
        <v>0</v>
      </c>
      <c r="H100" s="29">
        <f t="shared" si="20"/>
        <v>0</v>
      </c>
      <c r="I100" s="29">
        <f>IF(B100&gt;0,IF(AND(Table14[[#This Row],[Year]]&gt;Changes!ValidityYear,Changes!Change="Yes",Changes!ChangeType="Change Value Adjustment"),Changes!$G$22,'Application Annually'!$C$11),0)</f>
        <v>0</v>
      </c>
      <c r="J100" s="29">
        <f>IF(B100&gt;0,IF(AND(Table14[[#This Row],[Year]]&gt;Changes!ValidityYear,Changes!Change="Yes",Changes!ChangeType="Change Value Adjustment"),Changes!$G$24,'Application Annually'!$C$7),0)</f>
        <v>0</v>
      </c>
      <c r="K100" s="29">
        <f>ROUND(IF(B100=0,0,IF(AND(Changes!Change="Yes", Changes!ValidityYear=Table14[[#This Row],[Year]], Changes!ChangeType="Change Premium"), Changes!NewChangedValue, (K99*(1+db!$B$3)))),0)</f>
        <v>0</v>
      </c>
      <c r="L100" s="29">
        <f>ROUND(IF(B100=0,0,IF(AND(Changes!Change="Yes", Changes!ValidityYear=Table14[[#This Row],[Year]], Changes!ChangeType="Change Premium"), Changes!NewChangedValue, (L99*(1+Table14[[#This Row],[Adjustment Factor of Premium]]/100)))),0)</f>
        <v>0</v>
      </c>
      <c r="M100" s="29">
        <f>IF(Table14[[#This Row],[Year]]=1,ROUND(MIN($L$2 -( Table14[[#This Row],[Riders Risk Premiums]] + Table14[[#This Row],[Acquisition Cost]]) *0.75,Table14[[#This Row],[Death Capital (1)]]* 0.03),0),0)</f>
        <v>0</v>
      </c>
      <c r="N100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00" s="29">
        <f>ROUND(IF(ROW()-1&gt;InsurancePeriod,0,(O99*(1+(Table14[[#This Row],[Adjustment Factor of Premium]]/100)))),0)</f>
        <v>0</v>
      </c>
      <c r="P100" s="29">
        <f>IF(Table14[Year] = 0, 0, SUM(L$2:L100))</f>
        <v>0</v>
      </c>
      <c r="Q100" s="17">
        <f t="shared" si="21"/>
        <v>0</v>
      </c>
      <c r="R100" s="17">
        <f>IF(Table14[[#This Row],[Year]]=0,0,IF($C$2&lt;=50,LOOKUP(Table14[[#This Row],[Age]],db!BG101:BG207,db!BH101:BH207),LOOKUP(Table14[[#This Row],[Age]],db!BJ101:BJ207,db!BK101:BK207)))</f>
        <v>0</v>
      </c>
      <c r="S100" s="17">
        <f>IF(B100=0,0, IF(AND(Changes!Change="Yes", Changes!ValidityYear=Table14[[#This Row],[Year]], Changes!ChangeType="Change Death Capital"), Changes!NewChangedValue, S99*(1+(Table14[[#This Row],[Adjustment Factor of Death Capital]]/100))))</f>
        <v>0</v>
      </c>
      <c r="T100" s="17">
        <f>MIN(IF(B100=0,0,Table14[[#This Row],[Death Capital (1)]]),Table14[[#This Row],[Max Sum Insured For Death]])</f>
        <v>0</v>
      </c>
      <c r="U100" s="29">
        <f t="shared" si="30"/>
        <v>0</v>
      </c>
      <c r="V100" s="29">
        <f>IF(B100=0,0,IF(AND(Changes!Change="Yes", Changes!ValidityYear&lt;=Table14[[#This Row],[Year]], Changes!ChangeType="Rider Inclusion/Exclusion", Changes!RiderType="Accident Death"), T100*Changes!NewChangedValue,IF(db!$D$6="Yes",(db!$B$6)*T100,0)))</f>
        <v>0</v>
      </c>
      <c r="W100" s="29">
        <f>MIN(IF(V100&lt;=db!$L$2,V100,db!$L$2),MAX_ACC_CAPITAL)</f>
        <v>0</v>
      </c>
      <c r="X100" s="17">
        <f>IF(OR(B100=0,Table14[[#This Row],[Accident Capital (2)]]=0),0,IF(AND(Changes!Change="Yes", Changes!ValidityYear&lt;=Table14[[#This Row],[Year]], Changes!ChangeType="Rider Inclusion/Exclusion", Changes!RiderType="Accident Disability"), T100*Changes!NewChangedValue,IF(db!$D$7="Yes",(db!$B$7)*T100,0)))</f>
        <v>0</v>
      </c>
      <c r="Y100" s="42">
        <f>IF(C100&gt;69,0,IF(C100=0,0,IF(X100&lt;=db!$L$3,X100,db!$L$3)))</f>
        <v>0</v>
      </c>
      <c r="Z100" s="29">
        <f>IF(OR(B100=0,Table14[[#This Row],[Accident Capital (2)]]=0),0,IF(AND(Changes!Change="Yes", Changes!ValidityYear&lt;=Table14[[#This Row],[Year]], Changes!ChangeType="Rider Inclusion/Exclusion", Changes!RiderType="Accident Medical Cost"), T100*Changes!NewChangedValue,IF(db!$D$9="Yes",(db!$B$9)*T100,0)))</f>
        <v>0</v>
      </c>
      <c r="AA100" s="29">
        <f>ROUND(IF(C100&gt;69,0,IF(C100=0,0,IF(Z100&lt;=db!$L$4,Z100,db!$L$4))),0)</f>
        <v>0</v>
      </c>
      <c r="AB100" s="38">
        <f>IF(AND(Changes!Change = "Yes", Changes!ChangeType = "Rider Inclusion/Exclusion", Changes!RiderType = "WOP"), IF( Changes!ValidityYear &lt;= Table14[[#This Row],[Year]], IF(WOP = "Yes", 0, 1),  IF(WOP = "Yes", 1, 0)), IF(AND(db!$D$8="Yes",C100&lt;=69,ROW()-1&lt;=InsurancePeriod), 1, 0))</f>
        <v>0</v>
      </c>
      <c r="AC100" s="17">
        <f>(AC101+K101)*AB100*((1)/(1+db!AA102))*(LOOKUP(C100,'Mortality Table'!$A$2:$A$108,'Mortality Table'!$E$2:$E$108))</f>
        <v>0</v>
      </c>
      <c r="AD100" s="340">
        <f>IF(AND(Changes!ValidityYear&lt;= Table14[[#This Row],[Year]],Changes!ChangeType="Change Value Adjustment",Changes!Change="Yes"), (AD101+L101)*AB100*((1)/(1+db!AA102))*(LOOKUP(C100,'Mortality Table'!$A$2:$A$108,'Mortality Table'!$E$2:$E$108)),Table14[[#This Row],[WOP Before Adj. BT]])</f>
        <v>0</v>
      </c>
      <c r="AE100" s="341">
        <f>IF(AND(Changes!Change="Yes", Changes!ChangeType="Change Value Adjustment"),Table14[[#This Row],[WOP Capital]],(AE101+O101)*AB100*((1)/(1+db!AA102))*(LOOKUP(D100,'Mortality Table'!$A$2:$A$108,'Mortality Table'!$E$2:$E$108)))</f>
        <v>0</v>
      </c>
      <c r="AF100" s="17">
        <f>IF(AND(Changes!Change="Yes", Changes!ValidityYear&lt;=ROW()-1),Table14[[#This Row],[WOP Capital]],Table14[[#This Row],[WOP without change]])</f>
        <v>0</v>
      </c>
      <c r="AG100" s="42">
        <f>IF(AND(Changes!Change="Yes", Changes!ValidityYear&lt;=Table14[[#This Row],[Year]], Changes!ChangeType="Rider Inclusion/Exclusion", Changes!RiderType="Disability Annuity"), L100*Changes!NewChangedValue,L100*db!B$10*IF(db!$D$10="Yes",1,0))</f>
        <v>0</v>
      </c>
      <c r="AH100" s="29">
        <f>Table14[[#This Row],[Code Annuity Capital]]*IF('Annual Calculation'!C100&gt;69,0,(LOOKUP('Annual Calculation'!C100+1,'Mortality Table'!$A$2:$A$108,'Mortality Table'!$O$2:$O$108)-LOOKUP('Annual Calculation'!C100+11,'Mortality Table'!$A$2:$A$108,'Mortality Table'!$O$2:$O$108))/LOOKUP('Annual Calculation'!C100,'Mortality Table'!$A$2:$A$108,'Mortality Table'!$M$2:$M$108))</f>
        <v>0</v>
      </c>
      <c r="AI100" s="17">
        <f>IF(B100=0,0,IF(AND(Changes!Change="Yes", Changes!ValidityYear&lt;=Table14[[#This Row],[Year]], Changes!ChangeType="Rider Inclusion/Exclusion", Changes!RiderType="Dread Disease"), T100*Changes!NewChangedValue,IF(db!$D$11="Yes",(db!$B$11)*T100,0)))</f>
        <v>0</v>
      </c>
      <c r="AJ100" s="42">
        <f>ROUND(IF(C100&gt;59,0,IF(C100=0,0,IF(AI100&lt;=db!$L$5,AI100,db!$L$5))),0)</f>
        <v>0</v>
      </c>
      <c r="AK100" s="29">
        <f>IF(B100=0,0,IF(AND(Changes!Change="Yes", Changes!ValidityYear&lt;=Table14[[#This Row],[Year]], Changes!ChangeType="Rider Inclusion/Exclusion", Changes!RiderType="Cancer"), T100*Changes!NewChangedValue,IF(db!$D$12="Yes",(db!$B$12)*T100,0)))</f>
        <v>0</v>
      </c>
      <c r="AL100" s="29">
        <f>ROUND(IF(C100&gt;59,0,IF(C100=0,0,IF(AK100&lt;=db!$L$6,AK100,db!$L$6))),0)</f>
        <v>0</v>
      </c>
      <c r="AM100" s="32"/>
      <c r="AN100" s="18">
        <f>IF(B100=0,0,IF(C100&lt;(db!$E$2+5),LOOKUP(C100,'Mortality Table'!$A$2:$A$108,'Mortality Table'!$P$2:$P$108),IF((C100&gt;=db!$E$2+10),LOOKUP(C100,'Mortality Table'!$A$2:$A$108,'Mortality Table'!$R$2:$R$108),LOOKUP(C100,'Mortality Table'!$A$2:$A$108,'Mortality Table'!$Q$2:$Q$108))))</f>
        <v>0</v>
      </c>
      <c r="AO100" s="22">
        <f t="shared" si="22"/>
        <v>0</v>
      </c>
      <c r="AP100" s="19">
        <f>IF(B100=0,0, LOOKUP(IF(AND(Changes!Change="Yes", Changes!ValidityYear&lt;=Table14[[#This Row],[Year]], Changes!ChangeType="Change Job Class"),Changes!NewChangedValue, db!$A$8),db!$AX$4:$AX$8,db!$AY$4:$AY$8))</f>
        <v>0</v>
      </c>
      <c r="AQ100" s="20">
        <f>ROUND((AP100/1000)*W100 * (1-db!$AS$9),0)</f>
        <v>0</v>
      </c>
      <c r="AR100" s="20">
        <f>(AP100/1000)*W100 * db!$AS$9</f>
        <v>0</v>
      </c>
      <c r="AS100" s="21">
        <f>IF(B100=0,0, LOOKUP(IF(AND(Changes!Change="Yes", Changes!ValidityYear&lt;=Table14[[#This Row],[Year]], Changes!ChangeType="Change Job Class"),Changes!NewChangedValue, db!$A$8),db!$AX$4:$AX$8,db!$AZ$4:$AZ$8))</f>
        <v>0</v>
      </c>
      <c r="AT100" s="22">
        <f>(AS100/1000)*Y100*(1-db!$AS$9)</f>
        <v>0</v>
      </c>
      <c r="AU100" s="22">
        <f>(AS100/1000)*Y100*(db!$AS$9)</f>
        <v>0</v>
      </c>
      <c r="AV100" s="23">
        <f>IF(B100=0,0, LOOKUP(IF(AND(Changes!Change="Yes", Changes!ValidityYear&lt;=Table14[[#This Row],[Year]], Changes!ChangeType="Change Job Class"),Changes!NewChangedValue, db!$A$8),db!$AX$4:$AX$8,db!$BA$4:$BA$8))</f>
        <v>0</v>
      </c>
      <c r="AW100" s="20">
        <f>ROUND((AV100/(100))*AA100*(1-db!$AS$9),0)</f>
        <v>0</v>
      </c>
      <c r="AX100" s="20">
        <f>ROUND((AV100/(100))*AA100*(db!$AS$9),0)</f>
        <v>0</v>
      </c>
      <c r="AY100" s="21">
        <f>IF(db!$D$8="Yes",AS100,0)</f>
        <v>0</v>
      </c>
      <c r="AZ100" s="22">
        <f>(AY100*AF100)/1000*(1-db!$AS$9)</f>
        <v>0</v>
      </c>
      <c r="BA100" s="22">
        <f>(AY100*AF100)/1000*(db!$AS$9)</f>
        <v>0</v>
      </c>
      <c r="BB100" s="23">
        <f t="shared" si="23"/>
        <v>0</v>
      </c>
      <c r="BC100" s="20">
        <f>(BB100*AH100/1000)*(1-db!$AS$9)</f>
        <v>0</v>
      </c>
      <c r="BD100" s="20">
        <f>(BB100*AH100/1000)*(db!$AS$9)</f>
        <v>0</v>
      </c>
      <c r="BE100" s="22">
        <f>IF(B100=0,0,IF(C100&gt;60,0,LOOKUP(Table14[[#This Row],[Medical
Age]],db!$BC$3:$BC$63,db!$BD$3:$BD$63)))</f>
        <v>0</v>
      </c>
      <c r="BF100" s="22">
        <f>BG100*db!$AS$10</f>
        <v>0</v>
      </c>
      <c r="BG100" s="22">
        <f t="shared" si="24"/>
        <v>0</v>
      </c>
      <c r="BH100" s="22">
        <f>(BE100/1000000)*AJ100*(1-db!$AS$10)</f>
        <v>0</v>
      </c>
      <c r="BI100" s="20">
        <f>IF(B100=0,0,IF(C100&gt;59,0,LOOKUP(Table14[[#This Row],[Medical
Age]],db!$BC$3:$BC$63,db!$BE$3:$BE$63)))</f>
        <v>0</v>
      </c>
      <c r="BJ100" s="20">
        <f>(BI100/1000000)*AL100*(1-db!$AS$11)</f>
        <v>0</v>
      </c>
      <c r="BK100" s="20">
        <f>(BI100/1000000)*AL100*(db!$AS$11)</f>
        <v>0</v>
      </c>
      <c r="BL100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100" s="20">
        <f>Table14[[#This Row],[RiskLoading
Rate]]*Table14[[#This Row],[Death Capital (2)]]</f>
        <v>0</v>
      </c>
      <c r="BN100" s="36"/>
      <c r="BO100" s="37">
        <f t="shared" si="25"/>
        <v>0</v>
      </c>
      <c r="BP100" s="35">
        <f t="shared" si="26"/>
        <v>0</v>
      </c>
      <c r="BQ100" s="35">
        <f t="shared" si="27"/>
        <v>0</v>
      </c>
      <c r="BR100" s="37">
        <f t="shared" si="31"/>
        <v>0</v>
      </c>
      <c r="BS100" s="37">
        <f t="shared" si="32"/>
        <v>0</v>
      </c>
      <c r="BT100" s="35">
        <f t="shared" si="33"/>
        <v>0</v>
      </c>
      <c r="BU100" s="35">
        <f t="shared" si="34"/>
        <v>0</v>
      </c>
      <c r="BV100" s="37">
        <f>(db!$AS$4/100)*(L100-BT100-BU100)</f>
        <v>0</v>
      </c>
      <c r="BW100" s="37">
        <f>(db!$AS$8/100)*(L100-BT100-BU100)</f>
        <v>0</v>
      </c>
      <c r="BX100" s="35"/>
      <c r="BY100" s="37"/>
      <c r="BZ100" s="37"/>
      <c r="CA100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100" s="33"/>
      <c r="CC100" s="39">
        <f>ROUND((Table14[[#This Row],[Premium]]-Table14[[#This Row],[All Deductions]]),0)</f>
        <v>0</v>
      </c>
      <c r="CD100" s="40">
        <f>ROUND(IF(B100=0,0,((CC100)*(1+ IF(AND(Changes!Change="Yes",Changes!ValidityYear&lt;=Table14[[#This Row],[Year]],Annulment&gt;Table14[[#This Row],[Year]],Changes!ChangeType="Paid-Up"),db!Y102+0.02,db!Y102)))+((CD99)*(1+IF(AND(Changes!Change="Yes",Changes!ValidityYear&lt;=Table14[[#This Row],[Year]],Annulment&gt;Table14[[#This Row],[Year]],Changes!ChangeType="Paid-Up"),db!U102+0.02,db!U102)))),0)</f>
        <v>0</v>
      </c>
      <c r="CE100" s="40">
        <f>ROUND(IF(B100=0,0,((CC100)*(1+db!Y102))+((CE99)*(1+db!U102))),0)</f>
        <v>0</v>
      </c>
      <c r="CF100" s="40">
        <f t="shared" si="39"/>
        <v>0</v>
      </c>
      <c r="CG100" s="15">
        <f t="shared" si="35"/>
        <v>99</v>
      </c>
      <c r="CH100" s="39">
        <f>IF(B100=0,0,((CC100)*(1+db!AH102))+((CH99)*(1+db!AD102)))</f>
        <v>0</v>
      </c>
      <c r="CI100" s="39">
        <f>IF(B100=0,0,((CC100)*(1+db!AH102))+((CI99)*(1+db!AD102)))</f>
        <v>0</v>
      </c>
      <c r="CJ100" s="40">
        <f>IF(B100=0,0,((CC100)*(1+db!AO102))+((CJ99)*(1+db!AK102)))</f>
        <v>0</v>
      </c>
      <c r="CK100" s="40">
        <f>CJ100-(SUM(BX$7:$BX101))</f>
        <v>0</v>
      </c>
      <c r="CL100" s="26"/>
    </row>
    <row r="101" spans="1:90">
      <c r="A101" s="347">
        <f t="shared" si="36"/>
        <v>100</v>
      </c>
      <c r="B101" s="345">
        <f>IF(AND(Changes!Change="Yes", Changes!ChangeType="Change Contract Duration"),IF(B100=0,0,IF(Changes!NewChangedValue&lt;B100+1,0,B100+1)),IF(B100=0,0,IF('Application Annually'!$C$5&lt;B100+1,0,B100+1)))</f>
        <v>0</v>
      </c>
      <c r="C101" s="15">
        <f t="shared" si="37"/>
        <v>0</v>
      </c>
      <c r="D101" s="312">
        <f t="shared" si="38"/>
        <v>127</v>
      </c>
      <c r="E101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101" s="29">
        <f t="shared" si="28"/>
        <v>0</v>
      </c>
      <c r="G101" s="29">
        <f t="shared" si="29"/>
        <v>0</v>
      </c>
      <c r="H101" s="29">
        <f t="shared" si="20"/>
        <v>0</v>
      </c>
      <c r="I101" s="29">
        <f>IF(B101&gt;0,IF(AND(Table14[[#This Row],[Year]]&gt;Changes!ValidityYear,Changes!Change="Yes",Changes!ChangeType="Change Value Adjustment"),Changes!$G$22,'Application Annually'!$C$11),0)</f>
        <v>0</v>
      </c>
      <c r="J101" s="29">
        <f>IF(B101&gt;0,IF(AND(Table14[[#This Row],[Year]]&gt;Changes!ValidityYear,Changes!Change="Yes",Changes!ChangeType="Change Value Adjustment"),Changes!$G$24,'Application Annually'!$C$7),0)</f>
        <v>0</v>
      </c>
      <c r="K101" s="29">
        <f>ROUND(IF(B101=0,0,IF(AND(Changes!Change="Yes", Changes!ValidityYear=Table14[[#This Row],[Year]], Changes!ChangeType="Change Premium"), Changes!NewChangedValue, (K100*(1+db!$B$3)))),0)</f>
        <v>0</v>
      </c>
      <c r="L101" s="29">
        <f>ROUND(IF(B101=0,0,IF(AND(Changes!Change="Yes", Changes!ValidityYear=Table14[[#This Row],[Year]], Changes!ChangeType="Change Premium"), Changes!NewChangedValue, (L100*(1+Table14[[#This Row],[Adjustment Factor of Premium]]/100)))),0)</f>
        <v>0</v>
      </c>
      <c r="M101" s="29">
        <f>IF(Table14[[#This Row],[Year]]=1,ROUND(MIN($L$2 -( Table14[[#This Row],[Riders Risk Premiums]] + Table14[[#This Row],[Acquisition Cost]]) *0.75,Table14[[#This Row],[Death Capital (1)]]* 0.03),0),0)</f>
        <v>0</v>
      </c>
      <c r="N101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01" s="29">
        <f>ROUND(IF(ROW()-1&gt;InsurancePeriod,0,(O100*(1+(Table14[[#This Row],[Adjustment Factor of Premium]]/100)))),0)</f>
        <v>0</v>
      </c>
      <c r="P101" s="29">
        <f>IF(Table14[Year] = 0, 0, SUM(L$2:L101))</f>
        <v>0</v>
      </c>
      <c r="Q101" s="17">
        <f t="shared" si="21"/>
        <v>0</v>
      </c>
      <c r="R101" s="17">
        <f>IF(Table14[[#This Row],[Year]]=0,0,IF($C$2&lt;=50,LOOKUP(Table14[[#This Row],[Age]],db!BG102:BG208,db!BH102:BH208),LOOKUP(Table14[[#This Row],[Age]],db!BJ102:BJ208,db!BK102:BK208)))</f>
        <v>0</v>
      </c>
      <c r="S101" s="17">
        <f>IF(B101=0,0, IF(AND(Changes!Change="Yes", Changes!ValidityYear=Table14[[#This Row],[Year]], Changes!ChangeType="Change Death Capital"), Changes!NewChangedValue, S100*(1+(Table14[[#This Row],[Adjustment Factor of Death Capital]]/100))))</f>
        <v>0</v>
      </c>
      <c r="T101" s="17">
        <f>MIN(IF(B101=0,0,Table14[[#This Row],[Death Capital (1)]]),Table14[[#This Row],[Max Sum Insured For Death]])</f>
        <v>0</v>
      </c>
      <c r="U101" s="29">
        <f t="shared" si="30"/>
        <v>0</v>
      </c>
      <c r="V101" s="29">
        <f>IF(B101=0,0,IF(AND(Changes!Change="Yes", Changes!ValidityYear&lt;=Table14[[#This Row],[Year]], Changes!ChangeType="Rider Inclusion/Exclusion", Changes!RiderType="Accident Death"), T101*Changes!NewChangedValue,IF(db!$D$6="Yes",(db!$B$6)*T101,0)))</f>
        <v>0</v>
      </c>
      <c r="W101" s="29">
        <f>MIN(IF(V101&lt;=db!$L$2,V101,db!$L$2),MAX_ACC_CAPITAL)</f>
        <v>0</v>
      </c>
      <c r="X101" s="17">
        <f>IF(OR(B101=0,Table14[[#This Row],[Accident Capital (2)]]=0),0,IF(AND(Changes!Change="Yes", Changes!ValidityYear&lt;=Table14[[#This Row],[Year]], Changes!ChangeType="Rider Inclusion/Exclusion", Changes!RiderType="Accident Disability"), T101*Changes!NewChangedValue,IF(db!$D$7="Yes",(db!$B$7)*T101,0)))</f>
        <v>0</v>
      </c>
      <c r="Y101" s="42">
        <f>IF(C101&gt;69,0,IF(C101=0,0,IF(X101&lt;=db!$L$3,X101,db!$L$3)))</f>
        <v>0</v>
      </c>
      <c r="Z101" s="29">
        <f>IF(OR(B101=0,Table14[[#This Row],[Accident Capital (2)]]=0),0,IF(AND(Changes!Change="Yes", Changes!ValidityYear&lt;=Table14[[#This Row],[Year]], Changes!ChangeType="Rider Inclusion/Exclusion", Changes!RiderType="Accident Medical Cost"), T101*Changes!NewChangedValue,IF(db!$D$9="Yes",(db!$B$9)*T101,0)))</f>
        <v>0</v>
      </c>
      <c r="AA101" s="29">
        <f>ROUND(IF(C101&gt;69,0,IF(C101=0,0,IF(Z101&lt;=db!$L$4,Z101,db!$L$4))),0)</f>
        <v>0</v>
      </c>
      <c r="AB101" s="38">
        <f>IF(AND(Changes!Change = "Yes", Changes!ChangeType = "Rider Inclusion/Exclusion", Changes!RiderType = "WOP"), IF( Changes!ValidityYear &lt;= Table14[[#This Row],[Year]], IF(WOP = "Yes", 0, 1),  IF(WOP = "Yes", 1, 0)), IF(AND(db!$D$8="Yes",C101&lt;=69,ROW()-1&lt;=InsurancePeriod), 1, 0))</f>
        <v>0</v>
      </c>
      <c r="AC101" s="17">
        <f>(AC102+K102)*AB101*((1)/(1+db!AA103))*(LOOKUP(C101,'Mortality Table'!$A$2:$A$108,'Mortality Table'!$E$2:$E$108))</f>
        <v>0</v>
      </c>
      <c r="AD101" s="340">
        <f>IF(AND(Changes!ValidityYear&lt;= Table14[[#This Row],[Year]],Changes!ChangeType="Change Value Adjustment",Changes!Change="Yes"), (AD102+L102)*AB101*((1)/(1+db!AA103))*(LOOKUP(C101,'Mortality Table'!$A$2:$A$108,'Mortality Table'!$E$2:$E$108)),Table14[[#This Row],[WOP Before Adj. BT]])</f>
        <v>0</v>
      </c>
      <c r="AE101" s="341">
        <f>IF(AND(Changes!Change="Yes", Changes!ChangeType="Change Value Adjustment"),Table14[[#This Row],[WOP Capital]],(AE102+O102)*AB101*((1)/(1+db!AA103))*(LOOKUP(D101,'Mortality Table'!$A$2:$A$108,'Mortality Table'!$E$2:$E$108)))</f>
        <v>0</v>
      </c>
      <c r="AF101" s="17">
        <f>IF(AND(Changes!Change="Yes", Changes!ValidityYear&lt;=ROW()-1),Table14[[#This Row],[WOP Capital]],Table14[[#This Row],[WOP without change]])</f>
        <v>0</v>
      </c>
      <c r="AG101" s="42">
        <f>IF(AND(Changes!Change="Yes", Changes!ValidityYear&lt;=Table14[[#This Row],[Year]], Changes!ChangeType="Rider Inclusion/Exclusion", Changes!RiderType="Disability Annuity"), L101*Changes!NewChangedValue,L101*db!B$10*IF(db!$D$10="Yes",1,0))</f>
        <v>0</v>
      </c>
      <c r="AH101" s="29">
        <f>Table14[[#This Row],[Code Annuity Capital]]*IF('Annual Calculation'!C101&gt;69,0,(LOOKUP('Annual Calculation'!C101+1,'Mortality Table'!$A$2:$A$108,'Mortality Table'!$O$2:$O$108)-LOOKUP('Annual Calculation'!C101+11,'Mortality Table'!$A$2:$A$108,'Mortality Table'!$O$2:$O$108))/LOOKUP('Annual Calculation'!C101,'Mortality Table'!$A$2:$A$108,'Mortality Table'!$M$2:$M$108))</f>
        <v>0</v>
      </c>
      <c r="AI101" s="17">
        <f>IF(B101=0,0,IF(AND(Changes!Change="Yes", Changes!ValidityYear&lt;=Table14[[#This Row],[Year]], Changes!ChangeType="Rider Inclusion/Exclusion", Changes!RiderType="Dread Disease"), T101*Changes!NewChangedValue,IF(db!$D$11="Yes",(db!$B$11)*T101,0)))</f>
        <v>0</v>
      </c>
      <c r="AJ101" s="42">
        <f>ROUND(IF(C101&gt;59,0,IF(C101=0,0,IF(AI101&lt;=db!$L$5,AI101,db!$L$5))),0)</f>
        <v>0</v>
      </c>
      <c r="AK101" s="29">
        <f>IF(B101=0,0,IF(AND(Changes!Change="Yes", Changes!ValidityYear&lt;=Table14[[#This Row],[Year]], Changes!ChangeType="Rider Inclusion/Exclusion", Changes!RiderType="Cancer"), T101*Changes!NewChangedValue,IF(db!$D$12="Yes",(db!$B$12)*T101,0)))</f>
        <v>0</v>
      </c>
      <c r="AL101" s="29">
        <f>ROUND(IF(C101&gt;59,0,IF(C101=0,0,IF(AK101&lt;=db!$L$6,AK101,db!$L$6))),0)</f>
        <v>0</v>
      </c>
      <c r="AM101" s="32"/>
      <c r="AN101" s="18">
        <f>IF(B101=0,0,IF(C101&lt;(db!$E$2+5),LOOKUP(C101,'Mortality Table'!$A$2:$A$108,'Mortality Table'!$P$2:$P$108),IF((C101&gt;=db!$E$2+10),LOOKUP(C101,'Mortality Table'!$A$2:$A$108,'Mortality Table'!$R$2:$R$108),LOOKUP(C101,'Mortality Table'!$A$2:$A$108,'Mortality Table'!$Q$2:$Q$108))))</f>
        <v>0</v>
      </c>
      <c r="AO101" s="22">
        <f t="shared" si="22"/>
        <v>0</v>
      </c>
      <c r="AP101" s="19">
        <f>IF(B101=0,0, LOOKUP(IF(AND(Changes!Change="Yes", Changes!ValidityYear&lt;=Table14[[#This Row],[Year]], Changes!ChangeType="Change Job Class"),Changes!NewChangedValue, db!$A$8),db!$AX$4:$AX$8,db!$AY$4:$AY$8))</f>
        <v>0</v>
      </c>
      <c r="AQ101" s="20">
        <f>ROUND((AP101/1000)*W101 * (1-db!$AS$9),0)</f>
        <v>0</v>
      </c>
      <c r="AR101" s="20">
        <f>(AP101/1000)*W101 * db!$AS$9</f>
        <v>0</v>
      </c>
      <c r="AS101" s="21">
        <f>IF(B101=0,0, LOOKUP(IF(AND(Changes!Change="Yes", Changes!ValidityYear&lt;=Table14[[#This Row],[Year]], Changes!ChangeType="Change Job Class"),Changes!NewChangedValue, db!$A$8),db!$AX$4:$AX$8,db!$AZ$4:$AZ$8))</f>
        <v>0</v>
      </c>
      <c r="AT101" s="22">
        <f>(AS101/1000)*Y101*(1-db!$AS$9)</f>
        <v>0</v>
      </c>
      <c r="AU101" s="22">
        <f>(AS101/1000)*Y101*(db!$AS$9)</f>
        <v>0</v>
      </c>
      <c r="AV101" s="23">
        <f>IF(B101=0,0, LOOKUP(IF(AND(Changes!Change="Yes", Changes!ValidityYear&lt;=Table14[[#This Row],[Year]], Changes!ChangeType="Change Job Class"),Changes!NewChangedValue, db!$A$8),db!$AX$4:$AX$8,db!$BA$4:$BA$8))</f>
        <v>0</v>
      </c>
      <c r="AW101" s="20">
        <f>ROUND((AV101/(100))*AA101*(1-db!$AS$9),0)</f>
        <v>0</v>
      </c>
      <c r="AX101" s="20">
        <f>ROUND((AV101/(100))*AA101*(db!$AS$9),0)</f>
        <v>0</v>
      </c>
      <c r="AY101" s="21">
        <f>IF(db!$D$8="Yes",AS101,0)</f>
        <v>0</v>
      </c>
      <c r="AZ101" s="22">
        <f>(AY101*AF101)/1000*(1-db!$AS$9)</f>
        <v>0</v>
      </c>
      <c r="BA101" s="22">
        <f>(AY101*AF101)/1000*(db!$AS$9)</f>
        <v>0</v>
      </c>
      <c r="BB101" s="23">
        <f t="shared" si="23"/>
        <v>0</v>
      </c>
      <c r="BC101" s="20">
        <f>(BB101*AH101/1000)*(1-db!$AS$9)</f>
        <v>0</v>
      </c>
      <c r="BD101" s="20">
        <f>(BB101*AH101/1000)*(db!$AS$9)</f>
        <v>0</v>
      </c>
      <c r="BE101" s="22">
        <f>IF(B101=0,0,IF(C101&gt;60,0,LOOKUP(Table14[[#This Row],[Medical
Age]],db!$BC$3:$BC$63,db!$BD$3:$BD$63)))</f>
        <v>0</v>
      </c>
      <c r="BF101" s="22">
        <f>BG101*db!$AS$10</f>
        <v>0</v>
      </c>
      <c r="BG101" s="22">
        <f t="shared" si="24"/>
        <v>0</v>
      </c>
      <c r="BH101" s="22">
        <f>(BE101/1000000)*AJ101*(1-db!$AS$10)</f>
        <v>0</v>
      </c>
      <c r="BI101" s="20">
        <f>IF(B101=0,0,IF(C101&gt;59,0,LOOKUP(Table14[[#This Row],[Medical
Age]],db!$BC$3:$BC$63,db!$BE$3:$BE$63)))</f>
        <v>0</v>
      </c>
      <c r="BJ101" s="20">
        <f>(BI101/1000000)*AL101*(1-db!$AS$11)</f>
        <v>0</v>
      </c>
      <c r="BK101" s="20">
        <f>(BI101/1000000)*AL101*(db!$AS$11)</f>
        <v>0</v>
      </c>
      <c r="BL101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101" s="20">
        <f>Table14[[#This Row],[RiskLoading
Rate]]*Table14[[#This Row],[Death Capital (2)]]</f>
        <v>0</v>
      </c>
      <c r="BN101" s="36"/>
      <c r="BO101" s="37">
        <f t="shared" si="25"/>
        <v>0</v>
      </c>
      <c r="BP101" s="35">
        <f t="shared" si="26"/>
        <v>0</v>
      </c>
      <c r="BQ101" s="35">
        <f t="shared" si="27"/>
        <v>0</v>
      </c>
      <c r="BR101" s="37">
        <f t="shared" si="31"/>
        <v>0</v>
      </c>
      <c r="BS101" s="37">
        <f t="shared" si="32"/>
        <v>0</v>
      </c>
      <c r="BT101" s="35">
        <f t="shared" si="33"/>
        <v>0</v>
      </c>
      <c r="BU101" s="35">
        <f t="shared" si="34"/>
        <v>0</v>
      </c>
      <c r="BV101" s="37">
        <f>(db!$AS$4/100)*(L101-BT101-BU101)</f>
        <v>0</v>
      </c>
      <c r="BW101" s="37">
        <f>(db!$AS$8/100)*(L101-BT101-BU101)</f>
        <v>0</v>
      </c>
      <c r="BX101" s="35"/>
      <c r="BY101" s="37"/>
      <c r="BZ101" s="37"/>
      <c r="CA101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101" s="33"/>
      <c r="CC101" s="39">
        <f>ROUND((Table14[[#This Row],[Premium]]-Table14[[#This Row],[All Deductions]]),0)</f>
        <v>0</v>
      </c>
      <c r="CD101" s="40">
        <f>ROUND(IF(B101=0,0,((CC101)*(1+ IF(AND(Changes!Change="Yes",Changes!ValidityYear&lt;=Table14[[#This Row],[Year]],Annulment&gt;Table14[[#This Row],[Year]],Changes!ChangeType="Paid-Up"),db!Y103+0.02,db!Y103)))+((CD100)*(1+IF(AND(Changes!Change="Yes",Changes!ValidityYear&lt;=Table14[[#This Row],[Year]],Annulment&gt;Table14[[#This Row],[Year]],Changes!ChangeType="Paid-Up"),db!U103+0.02,db!U103)))),0)</f>
        <v>0</v>
      </c>
      <c r="CE101" s="40">
        <f>ROUND(IF(B101=0,0,((CC101)*(1+db!Y103))+((CE100)*(1+db!U103))),0)</f>
        <v>0</v>
      </c>
      <c r="CF101" s="40">
        <f t="shared" si="39"/>
        <v>0</v>
      </c>
      <c r="CG101" s="15">
        <f t="shared" si="35"/>
        <v>100</v>
      </c>
      <c r="CH101" s="39">
        <f>IF(B101=0,0,((CC101)*(1+db!AH103))+((CH100)*(1+db!AD103)))</f>
        <v>0</v>
      </c>
      <c r="CI101" s="39">
        <f>IF(B101=0,0,((CC101)*(1+db!AH103))+((CI100)*(1+db!AD103)))</f>
        <v>0</v>
      </c>
      <c r="CJ101" s="40">
        <f>IF(B101=0,0,((CC101)*(1+db!AO103))+((CJ100)*(1+db!AK103)))</f>
        <v>0</v>
      </c>
      <c r="CK101" s="40">
        <f>CJ101-(SUM(BX$7:$BX102))</f>
        <v>0</v>
      </c>
      <c r="CL101" s="26"/>
    </row>
    <row r="102" spans="1:90">
      <c r="A102" s="347">
        <f t="shared" si="36"/>
        <v>101</v>
      </c>
      <c r="B102" s="345">
        <f>IF(AND(Changes!Change="Yes", Changes!ChangeType="Change Contract Duration"),IF(B101=0,0,IF(Changes!NewChangedValue&lt;B101+1,0,B101+1)),IF(B101=0,0,IF('Application Annually'!$C$5&lt;B101+1,0,B101+1)))</f>
        <v>0</v>
      </c>
      <c r="C102" s="15">
        <f t="shared" si="37"/>
        <v>0</v>
      </c>
      <c r="D102" s="312">
        <f t="shared" si="38"/>
        <v>128</v>
      </c>
      <c r="E102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102" s="29">
        <f t="shared" si="28"/>
        <v>0</v>
      </c>
      <c r="G102" s="29">
        <f t="shared" si="29"/>
        <v>0</v>
      </c>
      <c r="H102" s="29">
        <f t="shared" si="20"/>
        <v>0</v>
      </c>
      <c r="I102" s="29">
        <f>IF(B102&gt;0,IF(AND(Table14[[#This Row],[Year]]&gt;Changes!ValidityYear,Changes!Change="Yes",Changes!ChangeType="Change Value Adjustment"),Changes!$G$22,'Application Annually'!$C$11),0)</f>
        <v>0</v>
      </c>
      <c r="J102" s="29">
        <f>IF(B102&gt;0,IF(AND(Table14[[#This Row],[Year]]&gt;Changes!ValidityYear,Changes!Change="Yes",Changes!ChangeType="Change Value Adjustment"),Changes!$G$24,'Application Annually'!$C$7),0)</f>
        <v>0</v>
      </c>
      <c r="K102" s="29">
        <f>ROUND(IF(B102=0,0,IF(AND(Changes!Change="Yes", Changes!ValidityYear=Table14[[#This Row],[Year]], Changes!ChangeType="Change Premium"), Changes!NewChangedValue, (K101*(1+db!$B$3)))),0)</f>
        <v>0</v>
      </c>
      <c r="L102" s="29">
        <f>ROUND(IF(B102=0,0,IF(AND(Changes!Change="Yes", Changes!ValidityYear=Table14[[#This Row],[Year]], Changes!ChangeType="Change Premium"), Changes!NewChangedValue, (L101*(1+Table14[[#This Row],[Adjustment Factor of Premium]]/100)))),0)</f>
        <v>0</v>
      </c>
      <c r="M102" s="29">
        <f>IF(Table14[[#This Row],[Year]]=1,ROUND(MIN($L$2 -( Table14[[#This Row],[Riders Risk Premiums]] + Table14[[#This Row],[Acquisition Cost]]) *0.75,Table14[[#This Row],[Death Capital (1)]]* 0.03),0),0)</f>
        <v>0</v>
      </c>
      <c r="N102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02" s="29">
        <f>ROUND(IF(ROW()-1&gt;InsurancePeriod,0,(O101*(1+(Table14[[#This Row],[Adjustment Factor of Premium]]/100)))),0)</f>
        <v>0</v>
      </c>
      <c r="P102" s="29">
        <f>IF(Table14[Year] = 0, 0, SUM(L$2:L102))</f>
        <v>0</v>
      </c>
      <c r="Q102" s="17">
        <f t="shared" si="21"/>
        <v>0</v>
      </c>
      <c r="R102" s="17">
        <f>IF(Table14[[#This Row],[Year]]=0,0,IF($C$2&lt;=50,LOOKUP(Table14[[#This Row],[Age]],db!BG103:BG209,db!BH103:BH209),LOOKUP(Table14[[#This Row],[Age]],db!BJ103:BJ209,db!BK103:BK209)))</f>
        <v>0</v>
      </c>
      <c r="S102" s="17">
        <f>IF(B102=0,0, IF(AND(Changes!Change="Yes", Changes!ValidityYear=Table14[[#This Row],[Year]], Changes!ChangeType="Change Death Capital"), Changes!NewChangedValue, S101*(1+(Table14[[#This Row],[Adjustment Factor of Death Capital]]/100))))</f>
        <v>0</v>
      </c>
      <c r="T102" s="17">
        <f>MIN(IF(B102=0,0,Table14[[#This Row],[Death Capital (1)]]),Table14[[#This Row],[Max Sum Insured For Death]])</f>
        <v>0</v>
      </c>
      <c r="U102" s="29">
        <f t="shared" si="30"/>
        <v>0</v>
      </c>
      <c r="V102" s="29">
        <f>IF(B102=0,0,IF(AND(Changes!Change="Yes", Changes!ValidityYear&lt;=Table14[[#This Row],[Year]], Changes!ChangeType="Rider Inclusion/Exclusion", Changes!RiderType="Accident Death"), T102*Changes!NewChangedValue,IF(db!$D$6="Yes",(db!$B$6)*T102,0)))</f>
        <v>0</v>
      </c>
      <c r="W102" s="29">
        <f>MIN(IF(V102&lt;=db!$L$2,V102,db!$L$2),MAX_ACC_CAPITAL)</f>
        <v>0</v>
      </c>
      <c r="X102" s="17">
        <f>IF(OR(B102=0,Table14[[#This Row],[Accident Capital (2)]]=0),0,IF(AND(Changes!Change="Yes", Changes!ValidityYear&lt;=Table14[[#This Row],[Year]], Changes!ChangeType="Rider Inclusion/Exclusion", Changes!RiderType="Accident Disability"), T102*Changes!NewChangedValue,IF(db!$D$7="Yes",(db!$B$7)*T102,0)))</f>
        <v>0</v>
      </c>
      <c r="Y102" s="42">
        <f>IF(C102&gt;69,0,IF(C102=0,0,IF(X102&lt;=db!$L$3,X102,db!$L$3)))</f>
        <v>0</v>
      </c>
      <c r="Z102" s="29">
        <f>IF(OR(B102=0,Table14[[#This Row],[Accident Capital (2)]]=0),0,IF(AND(Changes!Change="Yes", Changes!ValidityYear&lt;=Table14[[#This Row],[Year]], Changes!ChangeType="Rider Inclusion/Exclusion", Changes!RiderType="Accident Medical Cost"), T102*Changes!NewChangedValue,IF(db!$D$9="Yes",(db!$B$9)*T102,0)))</f>
        <v>0</v>
      </c>
      <c r="AA102" s="29">
        <f>ROUND(IF(C102&gt;69,0,IF(C102=0,0,IF(Z102&lt;=db!$L$4,Z102,db!$L$4))),0)</f>
        <v>0</v>
      </c>
      <c r="AB102" s="38">
        <f>IF(AND(Changes!Change = "Yes", Changes!ChangeType = "Rider Inclusion/Exclusion", Changes!RiderType = "WOP"), IF( Changes!ValidityYear &lt;= Table14[[#This Row],[Year]], IF(WOP = "Yes", 0, 1),  IF(WOP = "Yes", 1, 0)), IF(AND(db!$D$8="Yes",C102&lt;=69,ROW()-1&lt;=InsurancePeriod), 1, 0))</f>
        <v>0</v>
      </c>
      <c r="AC102" s="17">
        <f>(AC103+K103)*AB102*((1)/(1+db!AA104))*(LOOKUP(C102,'Mortality Table'!$A$2:$A$108,'Mortality Table'!$E$2:$E$108))</f>
        <v>0</v>
      </c>
      <c r="AD102" s="340">
        <f>IF(AND(Changes!ValidityYear&lt;= Table14[[#This Row],[Year]],Changes!ChangeType="Change Value Adjustment",Changes!Change="Yes"), (AD103+L103)*AB102*((1)/(1+db!AA104))*(LOOKUP(C102,'Mortality Table'!$A$2:$A$108,'Mortality Table'!$E$2:$E$108)),Table14[[#This Row],[WOP Before Adj. BT]])</f>
        <v>0</v>
      </c>
      <c r="AE102" s="341">
        <f>IF(AND(Changes!Change="Yes", Changes!ChangeType="Change Value Adjustment"),Table14[[#This Row],[WOP Capital]],(AE103+O103)*AB102*((1)/(1+db!AA104))*(LOOKUP(D102,'Mortality Table'!$A$2:$A$108,'Mortality Table'!$E$2:$E$108)))</f>
        <v>0</v>
      </c>
      <c r="AF102" s="17">
        <f>IF(AND(Changes!Change="Yes", Changes!ValidityYear&lt;=ROW()-1),Table14[[#This Row],[WOP Capital]],Table14[[#This Row],[WOP without change]])</f>
        <v>0</v>
      </c>
      <c r="AG102" s="42">
        <f>IF(AND(Changes!Change="Yes", Changes!ValidityYear&lt;=Table14[[#This Row],[Year]], Changes!ChangeType="Rider Inclusion/Exclusion", Changes!RiderType="Disability Annuity"), L102*Changes!NewChangedValue,L102*db!B$10*IF(db!$D$10="Yes",1,0))</f>
        <v>0</v>
      </c>
      <c r="AH102" s="29">
        <f>Table14[[#This Row],[Code Annuity Capital]]*IF('Annual Calculation'!C102&gt;69,0,(LOOKUP('Annual Calculation'!C102+1,'Mortality Table'!$A$2:$A$108,'Mortality Table'!$O$2:$O$108)-LOOKUP('Annual Calculation'!C102+11,'Mortality Table'!$A$2:$A$108,'Mortality Table'!$O$2:$O$108))/LOOKUP('Annual Calculation'!C102,'Mortality Table'!$A$2:$A$108,'Mortality Table'!$M$2:$M$108))</f>
        <v>0</v>
      </c>
      <c r="AI102" s="17">
        <f>IF(B102=0,0,IF(AND(Changes!Change="Yes", Changes!ValidityYear&lt;=Table14[[#This Row],[Year]], Changes!ChangeType="Rider Inclusion/Exclusion", Changes!RiderType="Dread Disease"), T102*Changes!NewChangedValue,IF(db!$D$11="Yes",(db!$B$11)*T102,0)))</f>
        <v>0</v>
      </c>
      <c r="AJ102" s="42">
        <f>ROUND(IF(C102&gt;59,0,IF(C102=0,0,IF(AI102&lt;=db!$L$5,AI102,db!$L$5))),0)</f>
        <v>0</v>
      </c>
      <c r="AK102" s="29">
        <f>IF(B102=0,0,IF(AND(Changes!Change="Yes", Changes!ValidityYear&lt;=Table14[[#This Row],[Year]], Changes!ChangeType="Rider Inclusion/Exclusion", Changes!RiderType="Cancer"), T102*Changes!NewChangedValue,IF(db!$D$12="Yes",(db!$B$12)*T102,0)))</f>
        <v>0</v>
      </c>
      <c r="AL102" s="29">
        <f>ROUND(IF(C102&gt;59,0,IF(C102=0,0,IF(AK102&lt;=db!$L$6,AK102,db!$L$6))),0)</f>
        <v>0</v>
      </c>
      <c r="AM102" s="32"/>
      <c r="AN102" s="18">
        <f>IF(B102=0,0,IF(C102&lt;(db!$E$2+5),LOOKUP(C102,'Mortality Table'!$A$2:$A$108,'Mortality Table'!$P$2:$P$108),IF((C102&gt;=db!$E$2+10),LOOKUP(C102,'Mortality Table'!$A$2:$A$108,'Mortality Table'!$R$2:$R$108),LOOKUP(C102,'Mortality Table'!$A$2:$A$108,'Mortality Table'!$Q$2:$Q$108))))</f>
        <v>0</v>
      </c>
      <c r="AO102" s="22">
        <f t="shared" si="22"/>
        <v>0</v>
      </c>
      <c r="AP102" s="19">
        <f>IF(B102=0,0, LOOKUP(IF(AND(Changes!Change="Yes", Changes!ValidityYear&lt;=Table14[[#This Row],[Year]], Changes!ChangeType="Change Job Class"),Changes!NewChangedValue, db!$A$8),db!$AX$4:$AX$8,db!$AY$4:$AY$8))</f>
        <v>0</v>
      </c>
      <c r="AQ102" s="20">
        <f>ROUND((AP102/1000)*W102 * (1-db!$AS$9),0)</f>
        <v>0</v>
      </c>
      <c r="AR102" s="20">
        <f>(AP102/1000)*W102 * db!$AS$9</f>
        <v>0</v>
      </c>
      <c r="AS102" s="21">
        <f>IF(B102=0,0, LOOKUP(IF(AND(Changes!Change="Yes", Changes!ValidityYear&lt;=Table14[[#This Row],[Year]], Changes!ChangeType="Change Job Class"),Changes!NewChangedValue, db!$A$8),db!$AX$4:$AX$8,db!$AZ$4:$AZ$8))</f>
        <v>0</v>
      </c>
      <c r="AT102" s="22">
        <f>(AS102/1000)*Y102*(1-db!$AS$9)</f>
        <v>0</v>
      </c>
      <c r="AU102" s="22">
        <f>(AS102/1000)*Y102*(db!$AS$9)</f>
        <v>0</v>
      </c>
      <c r="AV102" s="23">
        <f>IF(B102=0,0, LOOKUP(IF(AND(Changes!Change="Yes", Changes!ValidityYear&lt;=Table14[[#This Row],[Year]], Changes!ChangeType="Change Job Class"),Changes!NewChangedValue, db!$A$8),db!$AX$4:$AX$8,db!$BA$4:$BA$8))</f>
        <v>0</v>
      </c>
      <c r="AW102" s="20">
        <f>ROUND((AV102/(100))*AA102*(1-db!$AS$9),0)</f>
        <v>0</v>
      </c>
      <c r="AX102" s="20">
        <f>ROUND((AV102/(100))*AA102*(db!$AS$9),0)</f>
        <v>0</v>
      </c>
      <c r="AY102" s="21">
        <f>IF(db!$D$8="Yes",AS102,0)</f>
        <v>0</v>
      </c>
      <c r="AZ102" s="22">
        <f>(AY102*AF102)/1000*(1-db!$AS$9)</f>
        <v>0</v>
      </c>
      <c r="BA102" s="22">
        <f>(AY102*AF102)/1000*(db!$AS$9)</f>
        <v>0</v>
      </c>
      <c r="BB102" s="23">
        <f t="shared" si="23"/>
        <v>0</v>
      </c>
      <c r="BC102" s="20">
        <f>(BB102*AH102/1000)*(1-db!$AS$9)</f>
        <v>0</v>
      </c>
      <c r="BD102" s="20">
        <f>(BB102*AH102/1000)*(db!$AS$9)</f>
        <v>0</v>
      </c>
      <c r="BE102" s="22">
        <f>IF(B102=0,0,IF(C102&gt;60,0,LOOKUP(Table14[[#This Row],[Medical
Age]],db!$BC$3:$BC$63,db!$BD$3:$BD$63)))</f>
        <v>0</v>
      </c>
      <c r="BF102" s="22">
        <f>BG102*db!$AS$10</f>
        <v>0</v>
      </c>
      <c r="BG102" s="22">
        <f t="shared" si="24"/>
        <v>0</v>
      </c>
      <c r="BH102" s="22">
        <f>(BE102/1000000)*AJ102*(1-db!$AS$10)</f>
        <v>0</v>
      </c>
      <c r="BI102" s="20">
        <f>IF(B102=0,0,IF(C102&gt;59,0,LOOKUP(Table14[[#This Row],[Medical
Age]],db!$BC$3:$BC$63,db!$BE$3:$BE$63)))</f>
        <v>0</v>
      </c>
      <c r="BJ102" s="20">
        <f>(BI102/1000000)*AL102*(1-db!$AS$11)</f>
        <v>0</v>
      </c>
      <c r="BK102" s="20">
        <f>(BI102/1000000)*AL102*(db!$AS$11)</f>
        <v>0</v>
      </c>
      <c r="BL102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102" s="20">
        <f>Table14[[#This Row],[RiskLoading
Rate]]*Table14[[#This Row],[Death Capital (2)]]</f>
        <v>0</v>
      </c>
      <c r="BN102" s="36"/>
      <c r="BO102" s="37">
        <f t="shared" si="25"/>
        <v>0</v>
      </c>
      <c r="BP102" s="35">
        <f t="shared" si="26"/>
        <v>0</v>
      </c>
      <c r="BQ102" s="35">
        <f t="shared" si="27"/>
        <v>0</v>
      </c>
      <c r="BR102" s="37">
        <f t="shared" si="31"/>
        <v>0</v>
      </c>
      <c r="BS102" s="37">
        <f t="shared" si="32"/>
        <v>0</v>
      </c>
      <c r="BT102" s="35">
        <f t="shared" si="33"/>
        <v>0</v>
      </c>
      <c r="BU102" s="35">
        <f t="shared" si="34"/>
        <v>0</v>
      </c>
      <c r="BV102" s="37">
        <f>(db!$AS$4/100)*(L102-BT102-BU102)</f>
        <v>0</v>
      </c>
      <c r="BW102" s="37">
        <f>(db!$AS$8/100)*(L102-BT102-BU102)</f>
        <v>0</v>
      </c>
      <c r="BX102" s="35"/>
      <c r="BY102" s="37"/>
      <c r="BZ102" s="37"/>
      <c r="CA102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102" s="33"/>
      <c r="CC102" s="39">
        <f>ROUND((Table14[[#This Row],[Premium]]-Table14[[#This Row],[All Deductions]]),0)</f>
        <v>0</v>
      </c>
      <c r="CD102" s="40">
        <f>ROUND(IF(B102=0,0,((CC102)*(1+ IF(AND(Changes!Change="Yes",Changes!ValidityYear&lt;=Table14[[#This Row],[Year]],Annulment&gt;Table14[[#This Row],[Year]],Changes!ChangeType="Paid-Up"),db!Y104+0.02,db!Y104)))+((CD101)*(1+IF(AND(Changes!Change="Yes",Changes!ValidityYear&lt;=Table14[[#This Row],[Year]],Annulment&gt;Table14[[#This Row],[Year]],Changes!ChangeType="Paid-Up"),db!U104+0.02,db!U104)))),0)</f>
        <v>0</v>
      </c>
      <c r="CE102" s="40">
        <f>ROUND(IF(B102=0,0,((CC102)*(1+db!Y104))+((CE101)*(1+db!U104))),0)</f>
        <v>0</v>
      </c>
      <c r="CF102" s="40">
        <f t="shared" si="39"/>
        <v>0</v>
      </c>
      <c r="CG102" s="15">
        <f t="shared" si="35"/>
        <v>101</v>
      </c>
      <c r="CH102" s="39">
        <f>IF(B102=0,0,((CC102)*(1+db!AH104))+((CH101)*(1+db!AD104)))</f>
        <v>0</v>
      </c>
      <c r="CI102" s="39">
        <f>IF(B102=0,0,((CC102)*(1+db!AH104))+((CI101)*(1+db!AD104)))</f>
        <v>0</v>
      </c>
      <c r="CJ102" s="40">
        <f>IF(B102=0,0,((CC102)*(1+db!AO104))+((CJ101)*(1+db!AK104)))</f>
        <v>0</v>
      </c>
      <c r="CK102" s="40">
        <f>CJ102-(SUM(BX$7:$BX103))</f>
        <v>0</v>
      </c>
      <c r="CL102" s="26"/>
    </row>
    <row r="103" spans="1:90">
      <c r="A103" s="347">
        <f t="shared" si="36"/>
        <v>102</v>
      </c>
      <c r="B103" s="345">
        <f>IF(AND(Changes!Change="Yes", Changes!ChangeType="Change Contract Duration"),IF(B102=0,0,IF(Changes!NewChangedValue&lt;B102+1,0,B102+1)),IF(B102=0,0,IF('Application Annually'!$C$5&lt;B102+1,0,B102+1)))</f>
        <v>0</v>
      </c>
      <c r="C103" s="15">
        <f t="shared" si="37"/>
        <v>0</v>
      </c>
      <c r="D103" s="312">
        <f t="shared" si="38"/>
        <v>129</v>
      </c>
      <c r="E103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103" s="29">
        <f t="shared" si="28"/>
        <v>0</v>
      </c>
      <c r="G103" s="29">
        <f t="shared" si="29"/>
        <v>0</v>
      </c>
      <c r="H103" s="29">
        <f t="shared" si="20"/>
        <v>0</v>
      </c>
      <c r="I103" s="29">
        <f>IF(B103&gt;0,IF(AND(Table14[[#This Row],[Year]]&gt;Changes!ValidityYear,Changes!Change="Yes",Changes!ChangeType="Change Value Adjustment"),Changes!$G$22,'Application Annually'!$C$11),0)</f>
        <v>0</v>
      </c>
      <c r="J103" s="29">
        <f>IF(B103&gt;0,IF(AND(Table14[[#This Row],[Year]]&gt;Changes!ValidityYear,Changes!Change="Yes",Changes!ChangeType="Change Value Adjustment"),Changes!$G$24,'Application Annually'!$C$7),0)</f>
        <v>0</v>
      </c>
      <c r="K103" s="29">
        <f>ROUND(IF(B103=0,0,IF(AND(Changes!Change="Yes", Changes!ValidityYear=Table14[[#This Row],[Year]], Changes!ChangeType="Change Premium"), Changes!NewChangedValue, (K102*(1+db!$B$3)))),0)</f>
        <v>0</v>
      </c>
      <c r="L103" s="29">
        <f>ROUND(IF(B103=0,0,IF(AND(Changes!Change="Yes", Changes!ValidityYear=Table14[[#This Row],[Year]], Changes!ChangeType="Change Premium"), Changes!NewChangedValue, (L102*(1+Table14[[#This Row],[Adjustment Factor of Premium]]/100)))),0)</f>
        <v>0</v>
      </c>
      <c r="M103" s="29">
        <f>IF(Table14[[#This Row],[Year]]=1,ROUND(MIN($L$2 -( Table14[[#This Row],[Riders Risk Premiums]] + Table14[[#This Row],[Acquisition Cost]]) *0.75,Table14[[#This Row],[Death Capital (1)]]* 0.03),0),0)</f>
        <v>0</v>
      </c>
      <c r="N103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03" s="29">
        <f>ROUND(IF(ROW()-1&gt;InsurancePeriod,0,(O102*(1+(Table14[[#This Row],[Adjustment Factor of Premium]]/100)))),0)</f>
        <v>0</v>
      </c>
      <c r="P103" s="29">
        <f>IF(Table14[Year] = 0, 0, SUM(L$2:L103))</f>
        <v>0</v>
      </c>
      <c r="Q103" s="17">
        <f t="shared" si="21"/>
        <v>0</v>
      </c>
      <c r="R103" s="17">
        <f>IF(Table14[[#This Row],[Year]]=0,0,IF($C$2&lt;=50,LOOKUP(Table14[[#This Row],[Age]],db!BG104:BG210,db!BH104:BH210),LOOKUP(Table14[[#This Row],[Age]],db!BJ104:BJ210,db!BK104:BK210)))</f>
        <v>0</v>
      </c>
      <c r="S103" s="17">
        <f>IF(B103=0,0, IF(AND(Changes!Change="Yes", Changes!ValidityYear=Table14[[#This Row],[Year]], Changes!ChangeType="Change Death Capital"), Changes!NewChangedValue, S102*(1+(Table14[[#This Row],[Adjustment Factor of Death Capital]]/100))))</f>
        <v>0</v>
      </c>
      <c r="T103" s="17">
        <f>MIN(IF(B103=0,0,Table14[[#This Row],[Death Capital (1)]]),Table14[[#This Row],[Max Sum Insured For Death]])</f>
        <v>0</v>
      </c>
      <c r="U103" s="29">
        <f t="shared" si="30"/>
        <v>0</v>
      </c>
      <c r="V103" s="29">
        <f>IF(B103=0,0,IF(AND(Changes!Change="Yes", Changes!ValidityYear&lt;=Table14[[#This Row],[Year]], Changes!ChangeType="Rider Inclusion/Exclusion", Changes!RiderType="Accident Death"), T103*Changes!NewChangedValue,IF(db!$D$6="Yes",(db!$B$6)*T103,0)))</f>
        <v>0</v>
      </c>
      <c r="W103" s="29">
        <f>MIN(IF(V103&lt;=db!$L$2,V103,db!$L$2),MAX_ACC_CAPITAL)</f>
        <v>0</v>
      </c>
      <c r="X103" s="17">
        <f>IF(OR(B103=0,Table14[[#This Row],[Accident Capital (2)]]=0),0,IF(AND(Changes!Change="Yes", Changes!ValidityYear&lt;=Table14[[#This Row],[Year]], Changes!ChangeType="Rider Inclusion/Exclusion", Changes!RiderType="Accident Disability"), T103*Changes!NewChangedValue,IF(db!$D$7="Yes",(db!$B$7)*T103,0)))</f>
        <v>0</v>
      </c>
      <c r="Y103" s="42">
        <f>IF(C103&gt;69,0,IF(C103=0,0,IF(X103&lt;=db!$L$3,X103,db!$L$3)))</f>
        <v>0</v>
      </c>
      <c r="Z103" s="29">
        <f>IF(OR(B103=0,Table14[[#This Row],[Accident Capital (2)]]=0),0,IF(AND(Changes!Change="Yes", Changes!ValidityYear&lt;=Table14[[#This Row],[Year]], Changes!ChangeType="Rider Inclusion/Exclusion", Changes!RiderType="Accident Medical Cost"), T103*Changes!NewChangedValue,IF(db!$D$9="Yes",(db!$B$9)*T103,0)))</f>
        <v>0</v>
      </c>
      <c r="AA103" s="29">
        <f>ROUND(IF(C103&gt;69,0,IF(C103=0,0,IF(Z103&lt;=db!$L$4,Z103,db!$L$4))),0)</f>
        <v>0</v>
      </c>
      <c r="AB103" s="38">
        <f>IF(AND(Changes!Change = "Yes", Changes!ChangeType = "Rider Inclusion/Exclusion", Changes!RiderType = "WOP"), IF( Changes!ValidityYear &lt;= Table14[[#This Row],[Year]], IF(WOP = "Yes", 0, 1),  IF(WOP = "Yes", 1, 0)), IF(AND(db!$D$8="Yes",C103&lt;=69,ROW()-1&lt;=InsurancePeriod), 1, 0))</f>
        <v>0</v>
      </c>
      <c r="AC103" s="17">
        <f>(AC104+K104)*AB103*((1)/(1+db!AA105))*(LOOKUP(C103,'Mortality Table'!$A$2:$A$108,'Mortality Table'!$E$2:$E$108))</f>
        <v>0</v>
      </c>
      <c r="AD103" s="340">
        <f>IF(AND(Changes!ValidityYear&lt;= Table14[[#This Row],[Year]],Changes!ChangeType="Change Value Adjustment",Changes!Change="Yes"), (AD104+L104)*AB103*((1)/(1+db!AA105))*(LOOKUP(C103,'Mortality Table'!$A$2:$A$108,'Mortality Table'!$E$2:$E$108)),Table14[[#This Row],[WOP Before Adj. BT]])</f>
        <v>0</v>
      </c>
      <c r="AE103" s="341">
        <f>IF(AND(Changes!Change="Yes", Changes!ChangeType="Change Value Adjustment"),Table14[[#This Row],[WOP Capital]],(AE104+O104)*AB103*((1)/(1+db!AA105))*(LOOKUP(D103,'Mortality Table'!$A$2:$A$108,'Mortality Table'!$E$2:$E$108)))</f>
        <v>0</v>
      </c>
      <c r="AF103" s="17">
        <f>IF(AND(Changes!Change="Yes", Changes!ValidityYear&lt;=ROW()-1),Table14[[#This Row],[WOP Capital]],Table14[[#This Row],[WOP without change]])</f>
        <v>0</v>
      </c>
      <c r="AG103" s="42">
        <f>IF(AND(Changes!Change="Yes", Changes!ValidityYear&lt;=Table14[[#This Row],[Year]], Changes!ChangeType="Rider Inclusion/Exclusion", Changes!RiderType="Disability Annuity"), L103*Changes!NewChangedValue,L103*db!B$10*IF(db!$D$10="Yes",1,0))</f>
        <v>0</v>
      </c>
      <c r="AH103" s="29">
        <f>Table14[[#This Row],[Code Annuity Capital]]*IF('Annual Calculation'!C103&gt;69,0,(LOOKUP('Annual Calculation'!C103+1,'Mortality Table'!$A$2:$A$108,'Mortality Table'!$O$2:$O$108)-LOOKUP('Annual Calculation'!C103+11,'Mortality Table'!$A$2:$A$108,'Mortality Table'!$O$2:$O$108))/LOOKUP('Annual Calculation'!C103,'Mortality Table'!$A$2:$A$108,'Mortality Table'!$M$2:$M$108))</f>
        <v>0</v>
      </c>
      <c r="AI103" s="17">
        <f>IF(B103=0,0,IF(AND(Changes!Change="Yes", Changes!ValidityYear&lt;=Table14[[#This Row],[Year]], Changes!ChangeType="Rider Inclusion/Exclusion", Changes!RiderType="Dread Disease"), T103*Changes!NewChangedValue,IF(db!$D$11="Yes",(db!$B$11)*T103,0)))</f>
        <v>0</v>
      </c>
      <c r="AJ103" s="42">
        <f>ROUND(IF(C103&gt;59,0,IF(C103=0,0,IF(AI103&lt;=db!$L$5,AI103,db!$L$5))),0)</f>
        <v>0</v>
      </c>
      <c r="AK103" s="29">
        <f>IF(B103=0,0,IF(AND(Changes!Change="Yes", Changes!ValidityYear&lt;=Table14[[#This Row],[Year]], Changes!ChangeType="Rider Inclusion/Exclusion", Changes!RiderType="Cancer"), T103*Changes!NewChangedValue,IF(db!$D$12="Yes",(db!$B$12)*T103,0)))</f>
        <v>0</v>
      </c>
      <c r="AL103" s="29">
        <f>ROUND(IF(C103&gt;59,0,IF(C103=0,0,IF(AK103&lt;=db!$L$6,AK103,db!$L$6))),0)</f>
        <v>0</v>
      </c>
      <c r="AM103" s="32"/>
      <c r="AN103" s="18">
        <f>IF(B103=0,0,IF(C103&lt;(db!$E$2+5),LOOKUP(C103,'Mortality Table'!$A$2:$A$108,'Mortality Table'!$P$2:$P$108),IF((C103&gt;=db!$E$2+10),LOOKUP(C103,'Mortality Table'!$A$2:$A$108,'Mortality Table'!$R$2:$R$108),LOOKUP(C103,'Mortality Table'!$A$2:$A$108,'Mortality Table'!$Q$2:$Q$108))))</f>
        <v>0</v>
      </c>
      <c r="AO103" s="22">
        <f t="shared" si="22"/>
        <v>0</v>
      </c>
      <c r="AP103" s="19">
        <f>IF(B103=0,0, LOOKUP(IF(AND(Changes!Change="Yes", Changes!ValidityYear&lt;=Table14[[#This Row],[Year]], Changes!ChangeType="Change Job Class"),Changes!NewChangedValue, db!$A$8),db!$AX$4:$AX$8,db!$AY$4:$AY$8))</f>
        <v>0</v>
      </c>
      <c r="AQ103" s="20">
        <f>ROUND((AP103/1000)*W103 * (1-db!$AS$9),0)</f>
        <v>0</v>
      </c>
      <c r="AR103" s="20">
        <f>(AP103/1000)*W103 * db!$AS$9</f>
        <v>0</v>
      </c>
      <c r="AS103" s="21">
        <f>IF(B103=0,0, LOOKUP(IF(AND(Changes!Change="Yes", Changes!ValidityYear&lt;=Table14[[#This Row],[Year]], Changes!ChangeType="Change Job Class"),Changes!NewChangedValue, db!$A$8),db!$AX$4:$AX$8,db!$AZ$4:$AZ$8))</f>
        <v>0</v>
      </c>
      <c r="AT103" s="22">
        <f>(AS103/1000)*Y103*(1-db!$AS$9)</f>
        <v>0</v>
      </c>
      <c r="AU103" s="22">
        <f>(AS103/1000)*Y103*(db!$AS$9)</f>
        <v>0</v>
      </c>
      <c r="AV103" s="23">
        <f>IF(B103=0,0, LOOKUP(IF(AND(Changes!Change="Yes", Changes!ValidityYear&lt;=Table14[[#This Row],[Year]], Changes!ChangeType="Change Job Class"),Changes!NewChangedValue, db!$A$8),db!$AX$4:$AX$8,db!$BA$4:$BA$8))</f>
        <v>0</v>
      </c>
      <c r="AW103" s="20">
        <f>ROUND((AV103/(100))*AA103*(1-db!$AS$9),0)</f>
        <v>0</v>
      </c>
      <c r="AX103" s="20">
        <f>ROUND((AV103/(100))*AA103*(db!$AS$9),0)</f>
        <v>0</v>
      </c>
      <c r="AY103" s="21">
        <f>IF(db!$D$8="Yes",AS103,0)</f>
        <v>0</v>
      </c>
      <c r="AZ103" s="22">
        <f>(AY103*AF103)/1000*(1-db!$AS$9)</f>
        <v>0</v>
      </c>
      <c r="BA103" s="22">
        <f>(AY103*AF103)/1000*(db!$AS$9)</f>
        <v>0</v>
      </c>
      <c r="BB103" s="23">
        <f t="shared" si="23"/>
        <v>0</v>
      </c>
      <c r="BC103" s="20">
        <f>(BB103*AH103/1000)*(1-db!$AS$9)</f>
        <v>0</v>
      </c>
      <c r="BD103" s="20">
        <f>(BB103*AH103/1000)*(db!$AS$9)</f>
        <v>0</v>
      </c>
      <c r="BE103" s="22">
        <f>IF(B103=0,0,IF(C103&gt;60,0,LOOKUP(Table14[[#This Row],[Medical
Age]],db!$BC$3:$BC$63,db!$BD$3:$BD$63)))</f>
        <v>0</v>
      </c>
      <c r="BF103" s="22">
        <f>BG103*db!$AS$10</f>
        <v>0</v>
      </c>
      <c r="BG103" s="22">
        <f t="shared" si="24"/>
        <v>0</v>
      </c>
      <c r="BH103" s="22">
        <f>(BE103/1000000)*AJ103*(1-db!$AS$10)</f>
        <v>0</v>
      </c>
      <c r="BI103" s="20">
        <f>IF(B103=0,0,IF(C103&gt;59,0,LOOKUP(Table14[[#This Row],[Medical
Age]],db!$BC$3:$BC$63,db!$BE$3:$BE$63)))</f>
        <v>0</v>
      </c>
      <c r="BJ103" s="20">
        <f>(BI103/1000000)*AL103*(1-db!$AS$11)</f>
        <v>0</v>
      </c>
      <c r="BK103" s="20">
        <f>(BI103/1000000)*AL103*(db!$AS$11)</f>
        <v>0</v>
      </c>
      <c r="BL103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103" s="20">
        <f>Table14[[#This Row],[RiskLoading
Rate]]*Table14[[#This Row],[Death Capital (2)]]</f>
        <v>0</v>
      </c>
      <c r="BN103" s="36"/>
      <c r="BO103" s="37">
        <f t="shared" si="25"/>
        <v>0</v>
      </c>
      <c r="BP103" s="35">
        <f t="shared" si="26"/>
        <v>0</v>
      </c>
      <c r="BQ103" s="35">
        <f t="shared" si="27"/>
        <v>0</v>
      </c>
      <c r="BR103" s="37">
        <f t="shared" si="31"/>
        <v>0</v>
      </c>
      <c r="BS103" s="37">
        <f t="shared" si="32"/>
        <v>0</v>
      </c>
      <c r="BT103" s="35">
        <f t="shared" si="33"/>
        <v>0</v>
      </c>
      <c r="BU103" s="35">
        <f t="shared" si="34"/>
        <v>0</v>
      </c>
      <c r="BV103" s="37">
        <f>(db!$AS$4/100)*(L103-BT103-BU103)</f>
        <v>0</v>
      </c>
      <c r="BW103" s="37">
        <f>(db!$AS$8/100)*(L103-BT103-BU103)</f>
        <v>0</v>
      </c>
      <c r="BX103" s="35"/>
      <c r="BY103" s="37"/>
      <c r="BZ103" s="37"/>
      <c r="CA103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103" s="33"/>
      <c r="CC103" s="39">
        <f>ROUND((Table14[[#This Row],[Premium]]-Table14[[#This Row],[All Deductions]]),0)</f>
        <v>0</v>
      </c>
      <c r="CD103" s="40">
        <f>ROUND(IF(B103=0,0,((CC103)*(1+ IF(AND(Changes!Change="Yes",Changes!ValidityYear&lt;=Table14[[#This Row],[Year]],Annulment&gt;Table14[[#This Row],[Year]],Changes!ChangeType="Paid-Up"),db!Y105+0.02,db!Y105)))+((CD102)*(1+IF(AND(Changes!Change="Yes",Changes!ValidityYear&lt;=Table14[[#This Row],[Year]],Annulment&gt;Table14[[#This Row],[Year]],Changes!ChangeType="Paid-Up"),db!U105+0.02,db!U105)))),0)</f>
        <v>0</v>
      </c>
      <c r="CE103" s="40">
        <f>ROUND(IF(B103=0,0,((CC103)*(1+db!Y105))+((CE102)*(1+db!U105))),0)</f>
        <v>0</v>
      </c>
      <c r="CF103" s="40">
        <f t="shared" si="39"/>
        <v>0</v>
      </c>
      <c r="CG103" s="15">
        <f t="shared" si="35"/>
        <v>102</v>
      </c>
      <c r="CH103" s="39">
        <f>IF(B103=0,0,((CC103)*(1+db!AH105))+((CH102)*(1+db!AD105)))</f>
        <v>0</v>
      </c>
      <c r="CI103" s="39">
        <f>IF(B103=0,0,((CC103)*(1+db!AH105))+((CI102)*(1+db!AD105)))</f>
        <v>0</v>
      </c>
      <c r="CJ103" s="40">
        <f>IF(B103=0,0,((CC103)*(1+db!AO105))+((CJ102)*(1+db!AK105)))</f>
        <v>0</v>
      </c>
      <c r="CK103" s="40">
        <f>CJ103-(SUM(BX$7:$BX104))</f>
        <v>0</v>
      </c>
      <c r="CL103" s="26"/>
    </row>
    <row r="104" spans="1:90">
      <c r="A104" s="347">
        <f t="shared" si="36"/>
        <v>103</v>
      </c>
      <c r="B104" s="345">
        <f>IF(AND(Changes!Change="Yes", Changes!ChangeType="Change Contract Duration"),IF(B103=0,0,IF(Changes!NewChangedValue&lt;B103+1,0,B103+1)),IF(B103=0,0,IF('Application Annually'!$C$5&lt;B103+1,0,B103+1)))</f>
        <v>0</v>
      </c>
      <c r="C104" s="15">
        <f t="shared" si="37"/>
        <v>0</v>
      </c>
      <c r="D104" s="312">
        <f t="shared" si="38"/>
        <v>130</v>
      </c>
      <c r="E104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104" s="29">
        <f t="shared" si="28"/>
        <v>0</v>
      </c>
      <c r="G104" s="29">
        <f t="shared" si="29"/>
        <v>0</v>
      </c>
      <c r="H104" s="29">
        <f t="shared" si="20"/>
        <v>0</v>
      </c>
      <c r="I104" s="29">
        <f>IF(B104&gt;0,IF(AND(Table14[[#This Row],[Year]]&gt;Changes!ValidityYear,Changes!Change="Yes",Changes!ChangeType="Change Value Adjustment"),Changes!$G$22,'Application Annually'!$C$11),0)</f>
        <v>0</v>
      </c>
      <c r="J104" s="29">
        <f>IF(B104&gt;0,IF(AND(Table14[[#This Row],[Year]]&gt;Changes!ValidityYear,Changes!Change="Yes",Changes!ChangeType="Change Value Adjustment"),Changes!$G$24,'Application Annually'!$C$7),0)</f>
        <v>0</v>
      </c>
      <c r="K104" s="29">
        <f>ROUND(IF(B104=0,0,IF(AND(Changes!Change="Yes", Changes!ValidityYear=Table14[[#This Row],[Year]], Changes!ChangeType="Change Premium"), Changes!NewChangedValue, (K103*(1+db!$B$3)))),0)</f>
        <v>0</v>
      </c>
      <c r="L104" s="29">
        <f>ROUND(IF(B104=0,0,IF(AND(Changes!Change="Yes", Changes!ValidityYear=Table14[[#This Row],[Year]], Changes!ChangeType="Change Premium"), Changes!NewChangedValue, (L103*(1+Table14[[#This Row],[Adjustment Factor of Premium]]/100)))),0)</f>
        <v>0</v>
      </c>
      <c r="M104" s="29">
        <f>IF(Table14[[#This Row],[Year]]=1,ROUND(MIN($L$2 -( Table14[[#This Row],[Riders Risk Premiums]] + Table14[[#This Row],[Acquisition Cost]]) *0.75,Table14[[#This Row],[Death Capital (1)]]* 0.03),0),0)</f>
        <v>0</v>
      </c>
      <c r="N104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04" s="29">
        <f>ROUND(IF(ROW()-1&gt;InsurancePeriod,0,(O103*(1+(Table14[[#This Row],[Adjustment Factor of Premium]]/100)))),0)</f>
        <v>0</v>
      </c>
      <c r="P104" s="29">
        <f>IF(Table14[Year] = 0, 0, SUM(L$2:L104))</f>
        <v>0</v>
      </c>
      <c r="Q104" s="17">
        <f t="shared" si="21"/>
        <v>0</v>
      </c>
      <c r="R104" s="17">
        <f>IF(Table14[[#This Row],[Year]]=0,0,IF($C$2&lt;=50,LOOKUP(Table14[[#This Row],[Age]],db!BG105:BG211,db!BH105:BH211),LOOKUP(Table14[[#This Row],[Age]],db!BJ105:BJ211,db!BK105:BK211)))</f>
        <v>0</v>
      </c>
      <c r="S104" s="17">
        <f>IF(B104=0,0, IF(AND(Changes!Change="Yes", Changes!ValidityYear=Table14[[#This Row],[Year]], Changes!ChangeType="Change Death Capital"), Changes!NewChangedValue, S103*(1+(Table14[[#This Row],[Adjustment Factor of Death Capital]]/100))))</f>
        <v>0</v>
      </c>
      <c r="T104" s="17">
        <f>MIN(IF(B104=0,0,Table14[[#This Row],[Death Capital (1)]]),Table14[[#This Row],[Max Sum Insured For Death]])</f>
        <v>0</v>
      </c>
      <c r="U104" s="29">
        <f t="shared" si="30"/>
        <v>0</v>
      </c>
      <c r="V104" s="29">
        <f>IF(B104=0,0,IF(AND(Changes!Change="Yes", Changes!ValidityYear&lt;=Table14[[#This Row],[Year]], Changes!ChangeType="Rider Inclusion/Exclusion", Changes!RiderType="Accident Death"), T104*Changes!NewChangedValue,IF(db!$D$6="Yes",(db!$B$6)*T104,0)))</f>
        <v>0</v>
      </c>
      <c r="W104" s="29">
        <f>MIN(IF(V104&lt;=db!$L$2,V104,db!$L$2),MAX_ACC_CAPITAL)</f>
        <v>0</v>
      </c>
      <c r="X104" s="17">
        <f>IF(OR(B104=0,Table14[[#This Row],[Accident Capital (2)]]=0),0,IF(AND(Changes!Change="Yes", Changes!ValidityYear&lt;=Table14[[#This Row],[Year]], Changes!ChangeType="Rider Inclusion/Exclusion", Changes!RiderType="Accident Disability"), T104*Changes!NewChangedValue,IF(db!$D$7="Yes",(db!$B$7)*T104,0)))</f>
        <v>0</v>
      </c>
      <c r="Y104" s="42">
        <f>IF(C104&gt;69,0,IF(C104=0,0,IF(X104&lt;=db!$L$3,X104,db!$L$3)))</f>
        <v>0</v>
      </c>
      <c r="Z104" s="29">
        <f>IF(OR(B104=0,Table14[[#This Row],[Accident Capital (2)]]=0),0,IF(AND(Changes!Change="Yes", Changes!ValidityYear&lt;=Table14[[#This Row],[Year]], Changes!ChangeType="Rider Inclusion/Exclusion", Changes!RiderType="Accident Medical Cost"), T104*Changes!NewChangedValue,IF(db!$D$9="Yes",(db!$B$9)*T104,0)))</f>
        <v>0</v>
      </c>
      <c r="AA104" s="29">
        <f>ROUND(IF(C104&gt;69,0,IF(C104=0,0,IF(Z104&lt;=db!$L$4,Z104,db!$L$4))),0)</f>
        <v>0</v>
      </c>
      <c r="AB104" s="38">
        <f>IF(AND(Changes!Change = "Yes", Changes!ChangeType = "Rider Inclusion/Exclusion", Changes!RiderType = "WOP"), IF( Changes!ValidityYear &lt;= Table14[[#This Row],[Year]], IF(WOP = "Yes", 0, 1),  IF(WOP = "Yes", 1, 0)), IF(AND(db!$D$8="Yes",C104&lt;=69,ROW()-1&lt;=InsurancePeriod), 1, 0))</f>
        <v>0</v>
      </c>
      <c r="AC104" s="17">
        <f>(AC105+K105)*AB104*((1)/(1+db!AA106))*(LOOKUP(C104,'Mortality Table'!$A$2:$A$108,'Mortality Table'!$E$2:$E$108))</f>
        <v>0</v>
      </c>
      <c r="AD104" s="340">
        <f>IF(AND(Changes!ValidityYear&lt;= Table14[[#This Row],[Year]],Changes!ChangeType="Change Value Adjustment",Changes!Change="Yes"), (AD105+L105)*AB104*((1)/(1+db!AA106))*(LOOKUP(C104,'Mortality Table'!$A$2:$A$108,'Mortality Table'!$E$2:$E$108)),Table14[[#This Row],[WOP Before Adj. BT]])</f>
        <v>0</v>
      </c>
      <c r="AE104" s="341">
        <f>IF(AND(Changes!Change="Yes", Changes!ChangeType="Change Value Adjustment"),Table14[[#This Row],[WOP Capital]],(AE105+O105)*AB104*((1)/(1+db!AA106))*(LOOKUP(D104,'Mortality Table'!$A$2:$A$108,'Mortality Table'!$E$2:$E$108)))</f>
        <v>0</v>
      </c>
      <c r="AF104" s="17">
        <f>IF(AND(Changes!Change="Yes", Changes!ValidityYear&lt;=ROW()-1),Table14[[#This Row],[WOP Capital]],Table14[[#This Row],[WOP without change]])</f>
        <v>0</v>
      </c>
      <c r="AG104" s="42">
        <f>IF(AND(Changes!Change="Yes", Changes!ValidityYear&lt;=Table14[[#This Row],[Year]], Changes!ChangeType="Rider Inclusion/Exclusion", Changes!RiderType="Disability Annuity"), L104*Changes!NewChangedValue,L104*db!B$10*IF(db!$D$10="Yes",1,0))</f>
        <v>0</v>
      </c>
      <c r="AH104" s="29">
        <f>Table14[[#This Row],[Code Annuity Capital]]*IF('Annual Calculation'!C104&gt;69,0,(LOOKUP('Annual Calculation'!C104+1,'Mortality Table'!$A$2:$A$108,'Mortality Table'!$O$2:$O$108)-LOOKUP('Annual Calculation'!C104+11,'Mortality Table'!$A$2:$A$108,'Mortality Table'!$O$2:$O$108))/LOOKUP('Annual Calculation'!C104,'Mortality Table'!$A$2:$A$108,'Mortality Table'!$M$2:$M$108))</f>
        <v>0</v>
      </c>
      <c r="AI104" s="17">
        <f>IF(B104=0,0,IF(AND(Changes!Change="Yes", Changes!ValidityYear&lt;=Table14[[#This Row],[Year]], Changes!ChangeType="Rider Inclusion/Exclusion", Changes!RiderType="Dread Disease"), T104*Changes!NewChangedValue,IF(db!$D$11="Yes",(db!$B$11)*T104,0)))</f>
        <v>0</v>
      </c>
      <c r="AJ104" s="42">
        <f>ROUND(IF(C104&gt;59,0,IF(C104=0,0,IF(AI104&lt;=db!$L$5,AI104,db!$L$5))),0)</f>
        <v>0</v>
      </c>
      <c r="AK104" s="29">
        <f>IF(B104=0,0,IF(AND(Changes!Change="Yes", Changes!ValidityYear&lt;=Table14[[#This Row],[Year]], Changes!ChangeType="Rider Inclusion/Exclusion", Changes!RiderType="Cancer"), T104*Changes!NewChangedValue,IF(db!$D$12="Yes",(db!$B$12)*T104,0)))</f>
        <v>0</v>
      </c>
      <c r="AL104" s="29">
        <f>ROUND(IF(C104&gt;59,0,IF(C104=0,0,IF(AK104&lt;=db!$L$6,AK104,db!$L$6))),0)</f>
        <v>0</v>
      </c>
      <c r="AM104" s="32"/>
      <c r="AN104" s="18">
        <f>IF(B104=0,0,IF(C104&lt;(db!$E$2+5),LOOKUP(C104,'Mortality Table'!$A$2:$A$108,'Mortality Table'!$P$2:$P$108),IF((C104&gt;=db!$E$2+10),LOOKUP(C104,'Mortality Table'!$A$2:$A$108,'Mortality Table'!$R$2:$R$108),LOOKUP(C104,'Mortality Table'!$A$2:$A$108,'Mortality Table'!$Q$2:$Q$108))))</f>
        <v>0</v>
      </c>
      <c r="AO104" s="22">
        <f t="shared" si="22"/>
        <v>0</v>
      </c>
      <c r="AP104" s="19">
        <f>IF(B104=0,0, LOOKUP(IF(AND(Changes!Change="Yes", Changes!ValidityYear&lt;=Table14[[#This Row],[Year]], Changes!ChangeType="Change Job Class"),Changes!NewChangedValue, db!$A$8),db!$AX$4:$AX$8,db!$AY$4:$AY$8))</f>
        <v>0</v>
      </c>
      <c r="AQ104" s="20">
        <f>ROUND((AP104/1000)*W104 * (1-db!$AS$9),0)</f>
        <v>0</v>
      </c>
      <c r="AR104" s="20">
        <f>(AP104/1000)*W104 * db!$AS$9</f>
        <v>0</v>
      </c>
      <c r="AS104" s="21">
        <f>IF(B104=0,0, LOOKUP(IF(AND(Changes!Change="Yes", Changes!ValidityYear&lt;=Table14[[#This Row],[Year]], Changes!ChangeType="Change Job Class"),Changes!NewChangedValue, db!$A$8),db!$AX$4:$AX$8,db!$AZ$4:$AZ$8))</f>
        <v>0</v>
      </c>
      <c r="AT104" s="22">
        <f>(AS104/1000)*Y104*(1-db!$AS$9)</f>
        <v>0</v>
      </c>
      <c r="AU104" s="22">
        <f>(AS104/1000)*Y104*(db!$AS$9)</f>
        <v>0</v>
      </c>
      <c r="AV104" s="23">
        <f>IF(B104=0,0, LOOKUP(IF(AND(Changes!Change="Yes", Changes!ValidityYear&lt;=Table14[[#This Row],[Year]], Changes!ChangeType="Change Job Class"),Changes!NewChangedValue, db!$A$8),db!$AX$4:$AX$8,db!$BA$4:$BA$8))</f>
        <v>0</v>
      </c>
      <c r="AW104" s="20">
        <f>ROUND((AV104/(100))*AA104*(1-db!$AS$9),0)</f>
        <v>0</v>
      </c>
      <c r="AX104" s="20">
        <f>ROUND((AV104/(100))*AA104*(db!$AS$9),0)</f>
        <v>0</v>
      </c>
      <c r="AY104" s="21">
        <f>IF(db!$D$8="Yes",AS104,0)</f>
        <v>0</v>
      </c>
      <c r="AZ104" s="22">
        <f>(AY104*AF104)/1000*(1-db!$AS$9)</f>
        <v>0</v>
      </c>
      <c r="BA104" s="22">
        <f>(AY104*AF104)/1000*(db!$AS$9)</f>
        <v>0</v>
      </c>
      <c r="BB104" s="23">
        <f t="shared" si="23"/>
        <v>0</v>
      </c>
      <c r="BC104" s="20">
        <f>(BB104*AH104/1000)*(1-db!$AS$9)</f>
        <v>0</v>
      </c>
      <c r="BD104" s="20">
        <f>(BB104*AH104/1000)*(db!$AS$9)</f>
        <v>0</v>
      </c>
      <c r="BE104" s="22">
        <f>IF(B104=0,0,IF(C104&gt;60,0,LOOKUP(Table14[[#This Row],[Medical
Age]],db!$BC$3:$BC$63,db!$BD$3:$BD$63)))</f>
        <v>0</v>
      </c>
      <c r="BF104" s="22">
        <f>BG104*db!$AS$10</f>
        <v>0</v>
      </c>
      <c r="BG104" s="22">
        <f t="shared" si="24"/>
        <v>0</v>
      </c>
      <c r="BH104" s="22">
        <f>(BE104/1000000)*AJ104*(1-db!$AS$10)</f>
        <v>0</v>
      </c>
      <c r="BI104" s="20">
        <f>IF(B104=0,0,IF(C104&gt;59,0,LOOKUP(Table14[[#This Row],[Medical
Age]],db!$BC$3:$BC$63,db!$BE$3:$BE$63)))</f>
        <v>0</v>
      </c>
      <c r="BJ104" s="20">
        <f>(BI104/1000000)*AL104*(1-db!$AS$11)</f>
        <v>0</v>
      </c>
      <c r="BK104" s="20">
        <f>(BI104/1000000)*AL104*(db!$AS$11)</f>
        <v>0</v>
      </c>
      <c r="BL104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104" s="20">
        <f>Table14[[#This Row],[RiskLoading
Rate]]*Table14[[#This Row],[Death Capital (2)]]</f>
        <v>0</v>
      </c>
      <c r="BN104" s="36"/>
      <c r="BO104" s="37">
        <f t="shared" si="25"/>
        <v>0</v>
      </c>
      <c r="BP104" s="35">
        <f t="shared" si="26"/>
        <v>0</v>
      </c>
      <c r="BQ104" s="35">
        <f t="shared" si="27"/>
        <v>0</v>
      </c>
      <c r="BR104" s="37">
        <f t="shared" si="31"/>
        <v>0</v>
      </c>
      <c r="BS104" s="37">
        <f t="shared" si="32"/>
        <v>0</v>
      </c>
      <c r="BT104" s="35">
        <f t="shared" si="33"/>
        <v>0</v>
      </c>
      <c r="BU104" s="35">
        <f t="shared" si="34"/>
        <v>0</v>
      </c>
      <c r="BV104" s="37">
        <f>(db!$AS$4/100)*(L104-BT104-BU104)</f>
        <v>0</v>
      </c>
      <c r="BW104" s="37">
        <f>(db!$AS$8/100)*(L104-BT104-BU104)</f>
        <v>0</v>
      </c>
      <c r="BX104" s="35"/>
      <c r="BY104" s="37"/>
      <c r="BZ104" s="37"/>
      <c r="CA104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104" s="33"/>
      <c r="CC104" s="39">
        <f>ROUND((Table14[[#This Row],[Premium]]-Table14[[#This Row],[All Deductions]]),0)</f>
        <v>0</v>
      </c>
      <c r="CD104" s="40">
        <f>ROUND(IF(B104=0,0,((CC104)*(1+ IF(AND(Changes!Change="Yes",Changes!ValidityYear&lt;=Table14[[#This Row],[Year]],Annulment&gt;Table14[[#This Row],[Year]],Changes!ChangeType="Paid-Up"),db!Y106+0.02,db!Y106)))+((CD103)*(1+IF(AND(Changes!Change="Yes",Changes!ValidityYear&lt;=Table14[[#This Row],[Year]],Annulment&gt;Table14[[#This Row],[Year]],Changes!ChangeType="Paid-Up"),db!U106+0.02,db!U106)))),0)</f>
        <v>0</v>
      </c>
      <c r="CE104" s="40">
        <f>ROUND(IF(B104=0,0,((CC104)*(1+db!Y106))+((CE103)*(1+db!U106))),0)</f>
        <v>0</v>
      </c>
      <c r="CF104" s="40">
        <f t="shared" si="39"/>
        <v>0</v>
      </c>
      <c r="CG104" s="15">
        <f t="shared" si="35"/>
        <v>103</v>
      </c>
      <c r="CH104" s="39">
        <f>IF(B104=0,0,((CC104)*(1+db!AH106))+((CH103)*(1+db!AD106)))</f>
        <v>0</v>
      </c>
      <c r="CI104" s="39">
        <f>IF(B104=0,0,((CC104)*(1+db!AH106))+((CI103)*(1+db!AD106)))</f>
        <v>0</v>
      </c>
      <c r="CJ104" s="40">
        <f>IF(B104=0,0,((CC104)*(1+db!AO106))+((CJ103)*(1+db!AK106)))</f>
        <v>0</v>
      </c>
      <c r="CK104" s="40">
        <f>CJ104-(SUM(BX$7:$BX105))</f>
        <v>0</v>
      </c>
      <c r="CL104" s="26"/>
    </row>
    <row r="105" spans="1:90">
      <c r="A105" s="347">
        <f t="shared" si="36"/>
        <v>104</v>
      </c>
      <c r="B105" s="345">
        <f>IF(AND(Changes!Change="Yes", Changes!ChangeType="Change Contract Duration"),IF(B104=0,0,IF(Changes!NewChangedValue&lt;B104+1,0,B104+1)),IF(B104=0,0,IF('Application Annually'!$C$5&lt;B104+1,0,B104+1)))</f>
        <v>0</v>
      </c>
      <c r="C105" s="15">
        <f t="shared" si="37"/>
        <v>0</v>
      </c>
      <c r="D105" s="312">
        <f t="shared" si="38"/>
        <v>131</v>
      </c>
      <c r="E105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105" s="29">
        <f t="shared" si="28"/>
        <v>0</v>
      </c>
      <c r="G105" s="29">
        <f t="shared" si="29"/>
        <v>0</v>
      </c>
      <c r="H105" s="29">
        <f t="shared" si="20"/>
        <v>0</v>
      </c>
      <c r="I105" s="29">
        <f>IF(B105&gt;0,IF(AND(Table14[[#This Row],[Year]]&gt;Changes!ValidityYear,Changes!Change="Yes",Changes!ChangeType="Change Value Adjustment"),Changes!$G$22,'Application Annually'!$C$11),0)</f>
        <v>0</v>
      </c>
      <c r="J105" s="29">
        <f>IF(B105&gt;0,IF(AND(Table14[[#This Row],[Year]]&gt;Changes!ValidityYear,Changes!Change="Yes",Changes!ChangeType="Change Value Adjustment"),Changes!$G$24,'Application Annually'!$C$7),0)</f>
        <v>0</v>
      </c>
      <c r="K105" s="29">
        <f>ROUND(IF(B105=0,0,IF(AND(Changes!Change="Yes", Changes!ValidityYear=Table14[[#This Row],[Year]], Changes!ChangeType="Change Premium"), Changes!NewChangedValue, (K104*(1+db!$B$3)))),0)</f>
        <v>0</v>
      </c>
      <c r="L105" s="29">
        <f>ROUND(IF(B105=0,0,IF(AND(Changes!Change="Yes", Changes!ValidityYear=Table14[[#This Row],[Year]], Changes!ChangeType="Change Premium"), Changes!NewChangedValue, (L104*(1+Table14[[#This Row],[Adjustment Factor of Premium]]/100)))),0)</f>
        <v>0</v>
      </c>
      <c r="M105" s="29">
        <f>IF(Table14[[#This Row],[Year]]=1,ROUND(MIN($L$2 -( Table14[[#This Row],[Riders Risk Premiums]] + Table14[[#This Row],[Acquisition Cost]]) *0.75,Table14[[#This Row],[Death Capital (1)]]* 0.03),0),0)</f>
        <v>0</v>
      </c>
      <c r="N105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05" s="29">
        <f>ROUND(IF(ROW()-1&gt;InsurancePeriod,0,(O104*(1+(Table14[[#This Row],[Adjustment Factor of Premium]]/100)))),0)</f>
        <v>0</v>
      </c>
      <c r="P105" s="29">
        <f>IF(Table14[Year] = 0, 0, SUM(L$2:L105))</f>
        <v>0</v>
      </c>
      <c r="Q105" s="17">
        <f t="shared" si="21"/>
        <v>0</v>
      </c>
      <c r="R105" s="17">
        <f>IF(Table14[[#This Row],[Year]]=0,0,IF($C$2&lt;=50,LOOKUP(Table14[[#This Row],[Age]],db!BG106:BG212,db!BH106:BH212),LOOKUP(Table14[[#This Row],[Age]],db!BJ106:BJ212,db!BK106:BK212)))</f>
        <v>0</v>
      </c>
      <c r="S105" s="17">
        <f>IF(B105=0,0, IF(AND(Changes!Change="Yes", Changes!ValidityYear=Table14[[#This Row],[Year]], Changes!ChangeType="Change Death Capital"), Changes!NewChangedValue, S104*(1+(Table14[[#This Row],[Adjustment Factor of Death Capital]]/100))))</f>
        <v>0</v>
      </c>
      <c r="T105" s="17">
        <f>MIN(IF(B105=0,0,Table14[[#This Row],[Death Capital (1)]]),Table14[[#This Row],[Max Sum Insured For Death]])</f>
        <v>0</v>
      </c>
      <c r="U105" s="29">
        <f t="shared" si="30"/>
        <v>0</v>
      </c>
      <c r="V105" s="29">
        <f>IF(B105=0,0,IF(AND(Changes!Change="Yes", Changes!ValidityYear&lt;=Table14[[#This Row],[Year]], Changes!ChangeType="Rider Inclusion/Exclusion", Changes!RiderType="Accident Death"), T105*Changes!NewChangedValue,IF(db!$D$6="Yes",(db!$B$6)*T105,0)))</f>
        <v>0</v>
      </c>
      <c r="W105" s="29">
        <f>MIN(IF(V105&lt;=db!$L$2,V105,db!$L$2),MAX_ACC_CAPITAL)</f>
        <v>0</v>
      </c>
      <c r="X105" s="17">
        <f>IF(OR(B105=0,Table14[[#This Row],[Accident Capital (2)]]=0),0,IF(AND(Changes!Change="Yes", Changes!ValidityYear&lt;=Table14[[#This Row],[Year]], Changes!ChangeType="Rider Inclusion/Exclusion", Changes!RiderType="Accident Disability"), T105*Changes!NewChangedValue,IF(db!$D$7="Yes",(db!$B$7)*T105,0)))</f>
        <v>0</v>
      </c>
      <c r="Y105" s="42">
        <f>IF(C105&gt;69,0,IF(C105=0,0,IF(X105&lt;=db!$L$3,X105,db!$L$3)))</f>
        <v>0</v>
      </c>
      <c r="Z105" s="29">
        <f>IF(OR(B105=0,Table14[[#This Row],[Accident Capital (2)]]=0),0,IF(AND(Changes!Change="Yes", Changes!ValidityYear&lt;=Table14[[#This Row],[Year]], Changes!ChangeType="Rider Inclusion/Exclusion", Changes!RiderType="Accident Medical Cost"), T105*Changes!NewChangedValue,IF(db!$D$9="Yes",(db!$B$9)*T105,0)))</f>
        <v>0</v>
      </c>
      <c r="AA105" s="29">
        <f>ROUND(IF(C105&gt;69,0,IF(C105=0,0,IF(Z105&lt;=db!$L$4,Z105,db!$L$4))),0)</f>
        <v>0</v>
      </c>
      <c r="AB105" s="38">
        <f>IF(AND(Changes!Change = "Yes", Changes!ChangeType = "Rider Inclusion/Exclusion", Changes!RiderType = "WOP"), IF( Changes!ValidityYear &lt;= Table14[[#This Row],[Year]], IF(WOP = "Yes", 0, 1),  IF(WOP = "Yes", 1, 0)), IF(AND(db!$D$8="Yes",C105&lt;=69,ROW()-1&lt;=InsurancePeriod), 1, 0))</f>
        <v>0</v>
      </c>
      <c r="AC105" s="17">
        <f>(AC106+K106)*AB105*((1)/(1+db!AA107))*(LOOKUP(C105,'Mortality Table'!$A$2:$A$108,'Mortality Table'!$E$2:$E$108))</f>
        <v>0</v>
      </c>
      <c r="AD105" s="340">
        <f>IF(AND(Changes!ValidityYear&lt;= Table14[[#This Row],[Year]],Changes!ChangeType="Change Value Adjustment",Changes!Change="Yes"), (AD106+L106)*AB105*((1)/(1+db!AA107))*(LOOKUP(C105,'Mortality Table'!$A$2:$A$108,'Mortality Table'!$E$2:$E$108)),Table14[[#This Row],[WOP Before Adj. BT]])</f>
        <v>0</v>
      </c>
      <c r="AE105" s="341">
        <f>IF(AND(Changes!Change="Yes", Changes!ChangeType="Change Value Adjustment"),Table14[[#This Row],[WOP Capital]],(AE106+O106)*AB105*((1)/(1+db!AA107))*(LOOKUP(D105,'Mortality Table'!$A$2:$A$108,'Mortality Table'!$E$2:$E$108)))</f>
        <v>0</v>
      </c>
      <c r="AF105" s="17">
        <f>IF(AND(Changes!Change="Yes", Changes!ValidityYear&lt;=ROW()-1),Table14[[#This Row],[WOP Capital]],Table14[[#This Row],[WOP without change]])</f>
        <v>0</v>
      </c>
      <c r="AG105" s="42">
        <f>IF(AND(Changes!Change="Yes", Changes!ValidityYear&lt;=Table14[[#This Row],[Year]], Changes!ChangeType="Rider Inclusion/Exclusion", Changes!RiderType="Disability Annuity"), L105*Changes!NewChangedValue,L105*db!B$10*IF(db!$D$10="Yes",1,0))</f>
        <v>0</v>
      </c>
      <c r="AH105" s="29">
        <f>Table14[[#This Row],[Code Annuity Capital]]*IF('Annual Calculation'!C105&gt;69,0,(LOOKUP('Annual Calculation'!C105+1,'Mortality Table'!$A$2:$A$108,'Mortality Table'!$O$2:$O$108)-LOOKUP('Annual Calculation'!C105+11,'Mortality Table'!$A$2:$A$108,'Mortality Table'!$O$2:$O$108))/LOOKUP('Annual Calculation'!C105,'Mortality Table'!$A$2:$A$108,'Mortality Table'!$M$2:$M$108))</f>
        <v>0</v>
      </c>
      <c r="AI105" s="17">
        <f>IF(B105=0,0,IF(AND(Changes!Change="Yes", Changes!ValidityYear&lt;=Table14[[#This Row],[Year]], Changes!ChangeType="Rider Inclusion/Exclusion", Changes!RiderType="Dread Disease"), T105*Changes!NewChangedValue,IF(db!$D$11="Yes",(db!$B$11)*T105,0)))</f>
        <v>0</v>
      </c>
      <c r="AJ105" s="42">
        <f>ROUND(IF(C105&gt;59,0,IF(C105=0,0,IF(AI105&lt;=db!$L$5,AI105,db!$L$5))),0)</f>
        <v>0</v>
      </c>
      <c r="AK105" s="29">
        <f>IF(B105=0,0,IF(AND(Changes!Change="Yes", Changes!ValidityYear&lt;=Table14[[#This Row],[Year]], Changes!ChangeType="Rider Inclusion/Exclusion", Changes!RiderType="Cancer"), T105*Changes!NewChangedValue,IF(db!$D$12="Yes",(db!$B$12)*T105,0)))</f>
        <v>0</v>
      </c>
      <c r="AL105" s="29">
        <f>ROUND(IF(C105&gt;59,0,IF(C105=0,0,IF(AK105&lt;=db!$L$6,AK105,db!$L$6))),0)</f>
        <v>0</v>
      </c>
      <c r="AM105" s="32"/>
      <c r="AN105" s="18">
        <f>IF(B105=0,0,IF(C105&lt;(db!$E$2+5),LOOKUP(C105,'Mortality Table'!$A$2:$A$108,'Mortality Table'!$P$2:$P$108),IF((C105&gt;=db!$E$2+10),LOOKUP(C105,'Mortality Table'!$A$2:$A$108,'Mortality Table'!$R$2:$R$108),LOOKUP(C105,'Mortality Table'!$A$2:$A$108,'Mortality Table'!$Q$2:$Q$108))))</f>
        <v>0</v>
      </c>
      <c r="AO105" s="22">
        <f t="shared" si="22"/>
        <v>0</v>
      </c>
      <c r="AP105" s="19">
        <f>IF(B105=0,0, LOOKUP(IF(AND(Changes!Change="Yes", Changes!ValidityYear&lt;=Table14[[#This Row],[Year]], Changes!ChangeType="Change Job Class"),Changes!NewChangedValue, db!$A$8),db!$AX$4:$AX$8,db!$AY$4:$AY$8))</f>
        <v>0</v>
      </c>
      <c r="AQ105" s="20">
        <f>ROUND((AP105/1000)*W105 * (1-db!$AS$9),0)</f>
        <v>0</v>
      </c>
      <c r="AR105" s="20">
        <f>(AP105/1000)*W105 * db!$AS$9</f>
        <v>0</v>
      </c>
      <c r="AS105" s="21">
        <f>IF(B105=0,0, LOOKUP(IF(AND(Changes!Change="Yes", Changes!ValidityYear&lt;=Table14[[#This Row],[Year]], Changes!ChangeType="Change Job Class"),Changes!NewChangedValue, db!$A$8),db!$AX$4:$AX$8,db!$AZ$4:$AZ$8))</f>
        <v>0</v>
      </c>
      <c r="AT105" s="22">
        <f>(AS105/1000)*Y105*(1-db!$AS$9)</f>
        <v>0</v>
      </c>
      <c r="AU105" s="22">
        <f>(AS105/1000)*Y105*(db!$AS$9)</f>
        <v>0</v>
      </c>
      <c r="AV105" s="23">
        <f>IF(B105=0,0, LOOKUP(IF(AND(Changes!Change="Yes", Changes!ValidityYear&lt;=Table14[[#This Row],[Year]], Changes!ChangeType="Change Job Class"),Changes!NewChangedValue, db!$A$8),db!$AX$4:$AX$8,db!$BA$4:$BA$8))</f>
        <v>0</v>
      </c>
      <c r="AW105" s="20">
        <f>ROUND((AV105/(100))*AA105*(1-db!$AS$9),0)</f>
        <v>0</v>
      </c>
      <c r="AX105" s="20">
        <f>ROUND((AV105/(100))*AA105*(db!$AS$9),0)</f>
        <v>0</v>
      </c>
      <c r="AY105" s="21">
        <f>IF(db!$D$8="Yes",AS105,0)</f>
        <v>0</v>
      </c>
      <c r="AZ105" s="22">
        <f>(AY105*AF105)/1000*(1-db!$AS$9)</f>
        <v>0</v>
      </c>
      <c r="BA105" s="22">
        <f>(AY105*AF105)/1000*(db!$AS$9)</f>
        <v>0</v>
      </c>
      <c r="BB105" s="23">
        <f t="shared" si="23"/>
        <v>0</v>
      </c>
      <c r="BC105" s="20">
        <f>(BB105*AH105/1000)*(1-db!$AS$9)</f>
        <v>0</v>
      </c>
      <c r="BD105" s="20">
        <f>(BB105*AH105/1000)*(db!$AS$9)</f>
        <v>0</v>
      </c>
      <c r="BE105" s="22">
        <f>IF(B105=0,0,IF(C105&gt;60,0,LOOKUP(Table14[[#This Row],[Medical
Age]],db!$BC$3:$BC$63,db!$BD$3:$BD$63)))</f>
        <v>0</v>
      </c>
      <c r="BF105" s="22">
        <f>BG105*db!$AS$10</f>
        <v>0</v>
      </c>
      <c r="BG105" s="22">
        <f t="shared" si="24"/>
        <v>0</v>
      </c>
      <c r="BH105" s="22">
        <f>(BE105/1000000)*AJ105*(1-db!$AS$10)</f>
        <v>0</v>
      </c>
      <c r="BI105" s="20">
        <f>IF(B105=0,0,IF(C105&gt;59,0,LOOKUP(Table14[[#This Row],[Medical
Age]],db!$BC$3:$BC$63,db!$BE$3:$BE$63)))</f>
        <v>0</v>
      </c>
      <c r="BJ105" s="20">
        <f>(BI105/1000000)*AL105*(1-db!$AS$11)</f>
        <v>0</v>
      </c>
      <c r="BK105" s="20">
        <f>(BI105/1000000)*AL105*(db!$AS$11)</f>
        <v>0</v>
      </c>
      <c r="BL105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105" s="20">
        <f>Table14[[#This Row],[RiskLoading
Rate]]*Table14[[#This Row],[Death Capital (2)]]</f>
        <v>0</v>
      </c>
      <c r="BN105" s="36"/>
      <c r="BO105" s="37">
        <f t="shared" si="25"/>
        <v>0</v>
      </c>
      <c r="BP105" s="35">
        <f t="shared" si="26"/>
        <v>0</v>
      </c>
      <c r="BQ105" s="35">
        <f t="shared" si="27"/>
        <v>0</v>
      </c>
      <c r="BR105" s="37">
        <f t="shared" si="31"/>
        <v>0</v>
      </c>
      <c r="BS105" s="37">
        <f t="shared" si="32"/>
        <v>0</v>
      </c>
      <c r="BT105" s="35">
        <f t="shared" si="33"/>
        <v>0</v>
      </c>
      <c r="BU105" s="35">
        <f t="shared" si="34"/>
        <v>0</v>
      </c>
      <c r="BV105" s="37">
        <f>(db!$AS$4/100)*(L105-BT105-BU105)</f>
        <v>0</v>
      </c>
      <c r="BW105" s="37">
        <f>(db!$AS$8/100)*(L105-BT105-BU105)</f>
        <v>0</v>
      </c>
      <c r="BX105" s="35"/>
      <c r="BY105" s="37"/>
      <c r="BZ105" s="37"/>
      <c r="CA105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105" s="33"/>
      <c r="CC105" s="39">
        <f>ROUND((Table14[[#This Row],[Premium]]-Table14[[#This Row],[All Deductions]]),0)</f>
        <v>0</v>
      </c>
      <c r="CD105" s="40">
        <f>ROUND(IF(B105=0,0,((CC105)*(1+ IF(AND(Changes!Change="Yes",Changes!ValidityYear&lt;=Table14[[#This Row],[Year]],Annulment&gt;Table14[[#This Row],[Year]],Changes!ChangeType="Paid-Up"),db!Y107+0.02,db!Y107)))+((CD104)*(1+IF(AND(Changes!Change="Yes",Changes!ValidityYear&lt;=Table14[[#This Row],[Year]],Annulment&gt;Table14[[#This Row],[Year]],Changes!ChangeType="Paid-Up"),db!U107+0.02,db!U107)))),0)</f>
        <v>0</v>
      </c>
      <c r="CE105" s="40">
        <f>ROUND(IF(B105=0,0,((CC105)*(1+db!Y107))+((CE104)*(1+db!U107))),0)</f>
        <v>0</v>
      </c>
      <c r="CF105" s="40">
        <f t="shared" si="39"/>
        <v>0</v>
      </c>
      <c r="CG105" s="15">
        <f t="shared" si="35"/>
        <v>104</v>
      </c>
      <c r="CH105" s="39">
        <f>IF(B105=0,0,((CC105)*(1+db!AH107))+((CH104)*(1+db!AD107)))</f>
        <v>0</v>
      </c>
      <c r="CI105" s="39">
        <f>IF(B105=0,0,((CC105)*(1+db!AH107))+((CI104)*(1+db!AD107)))</f>
        <v>0</v>
      </c>
      <c r="CJ105" s="40">
        <f>IF(B105=0,0,((CC105)*(1+db!AO107))+((CJ104)*(1+db!AK107)))</f>
        <v>0</v>
      </c>
      <c r="CK105" s="40">
        <f>CJ105-(SUM(BX$7:$BX106))</f>
        <v>0</v>
      </c>
      <c r="CL105" s="26"/>
    </row>
    <row r="106" spans="1:90">
      <c r="A106" s="347">
        <f t="shared" si="36"/>
        <v>105</v>
      </c>
      <c r="B106" s="345">
        <f>IF(AND(Changes!Change="Yes", Changes!ChangeType="Change Contract Duration"),IF(B105=0,0,IF(Changes!NewChangedValue&lt;B105+1,0,B105+1)),IF(B105=0,0,IF('Application Annually'!$C$5&lt;B105+1,0,B105+1)))</f>
        <v>0</v>
      </c>
      <c r="C106" s="15">
        <f t="shared" si="37"/>
        <v>0</v>
      </c>
      <c r="D106" s="312">
        <f t="shared" si="38"/>
        <v>132</v>
      </c>
      <c r="E106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106" s="29">
        <f t="shared" si="28"/>
        <v>0</v>
      </c>
      <c r="G106" s="29">
        <f t="shared" si="29"/>
        <v>0</v>
      </c>
      <c r="H106" s="29">
        <f t="shared" si="20"/>
        <v>0</v>
      </c>
      <c r="I106" s="29">
        <f>IF(B106&gt;0,IF(AND(Table14[[#This Row],[Year]]&gt;Changes!ValidityYear,Changes!Change="Yes",Changes!ChangeType="Change Value Adjustment"),Changes!$G$22,'Application Annually'!$C$11),0)</f>
        <v>0</v>
      </c>
      <c r="J106" s="29">
        <f>IF(B106&gt;0,IF(AND(Table14[[#This Row],[Year]]&gt;Changes!ValidityYear,Changes!Change="Yes",Changes!ChangeType="Change Value Adjustment"),Changes!$G$24,'Application Annually'!$C$7),0)</f>
        <v>0</v>
      </c>
      <c r="K106" s="29">
        <f>ROUND(IF(B106=0,0,IF(AND(Changes!Change="Yes", Changes!ValidityYear=Table14[[#This Row],[Year]], Changes!ChangeType="Change Premium"), Changes!NewChangedValue, (K105*(1+db!$B$3)))),0)</f>
        <v>0</v>
      </c>
      <c r="L106" s="29">
        <f>ROUND(IF(B106=0,0,IF(AND(Changes!Change="Yes", Changes!ValidityYear=Table14[[#This Row],[Year]], Changes!ChangeType="Change Premium"), Changes!NewChangedValue, (L105*(1+Table14[[#This Row],[Adjustment Factor of Premium]]/100)))),0)</f>
        <v>0</v>
      </c>
      <c r="M106" s="29">
        <f>IF(Table14[[#This Row],[Year]]=1,ROUND(MIN($L$2 -( Table14[[#This Row],[Riders Risk Premiums]] + Table14[[#This Row],[Acquisition Cost]]) *0.75,Table14[[#This Row],[Death Capital (1)]]* 0.03),0),0)</f>
        <v>0</v>
      </c>
      <c r="N106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06" s="29">
        <f>ROUND(IF(ROW()-1&gt;InsurancePeriod,0,(O105*(1+(Table14[[#This Row],[Adjustment Factor of Premium]]/100)))),0)</f>
        <v>0</v>
      </c>
      <c r="P106" s="29">
        <f>IF(Table14[Year] = 0, 0, SUM(L$2:L106))</f>
        <v>0</v>
      </c>
      <c r="Q106" s="17">
        <f t="shared" si="21"/>
        <v>0</v>
      </c>
      <c r="R106" s="17">
        <f>IF(Table14[[#This Row],[Year]]=0,0,IF($C$2&lt;=50,LOOKUP(Table14[[#This Row],[Age]],db!BG107:BG213,db!BH107:BH213),LOOKUP(Table14[[#This Row],[Age]],db!BJ107:BJ213,db!BK107:BK213)))</f>
        <v>0</v>
      </c>
      <c r="S106" s="17">
        <f>IF(B106=0,0, IF(AND(Changes!Change="Yes", Changes!ValidityYear=Table14[[#This Row],[Year]], Changes!ChangeType="Change Death Capital"), Changes!NewChangedValue, S105*(1+(Table14[[#This Row],[Adjustment Factor of Death Capital]]/100))))</f>
        <v>0</v>
      </c>
      <c r="T106" s="17">
        <f>MIN(IF(B106=0,0,Table14[[#This Row],[Death Capital (1)]]),Table14[[#This Row],[Max Sum Insured For Death]])</f>
        <v>0</v>
      </c>
      <c r="U106" s="29">
        <f t="shared" si="30"/>
        <v>0</v>
      </c>
      <c r="V106" s="29">
        <f>IF(B106=0,0,IF(AND(Changes!Change="Yes", Changes!ValidityYear&lt;=Table14[[#This Row],[Year]], Changes!ChangeType="Rider Inclusion/Exclusion", Changes!RiderType="Accident Death"), T106*Changes!NewChangedValue,IF(db!$D$6="Yes",(db!$B$6)*T106,0)))</f>
        <v>0</v>
      </c>
      <c r="W106" s="29">
        <f>MIN(IF(V106&lt;=db!$L$2,V106,db!$L$2),MAX_ACC_CAPITAL)</f>
        <v>0</v>
      </c>
      <c r="X106" s="17">
        <f>IF(OR(B106=0,Table14[[#This Row],[Accident Capital (2)]]=0),0,IF(AND(Changes!Change="Yes", Changes!ValidityYear&lt;=Table14[[#This Row],[Year]], Changes!ChangeType="Rider Inclusion/Exclusion", Changes!RiderType="Accident Disability"), T106*Changes!NewChangedValue,IF(db!$D$7="Yes",(db!$B$7)*T106,0)))</f>
        <v>0</v>
      </c>
      <c r="Y106" s="42">
        <f>IF(C106&gt;69,0,IF(C106=0,0,IF(X106&lt;=db!$L$3,X106,db!$L$3)))</f>
        <v>0</v>
      </c>
      <c r="Z106" s="29">
        <f>IF(OR(B106=0,Table14[[#This Row],[Accident Capital (2)]]=0),0,IF(AND(Changes!Change="Yes", Changes!ValidityYear&lt;=Table14[[#This Row],[Year]], Changes!ChangeType="Rider Inclusion/Exclusion", Changes!RiderType="Accident Medical Cost"), T106*Changes!NewChangedValue,IF(db!$D$9="Yes",(db!$B$9)*T106,0)))</f>
        <v>0</v>
      </c>
      <c r="AA106" s="29">
        <f>ROUND(IF(C106&gt;69,0,IF(C106=0,0,IF(Z106&lt;=db!$L$4,Z106,db!$L$4))),0)</f>
        <v>0</v>
      </c>
      <c r="AB106" s="38">
        <f>IF(AND(Changes!Change = "Yes", Changes!ChangeType = "Rider Inclusion/Exclusion", Changes!RiderType = "WOP"), IF( Changes!ValidityYear &lt;= Table14[[#This Row],[Year]], IF(WOP = "Yes", 0, 1),  IF(WOP = "Yes", 1, 0)), IF(AND(db!$D$8="Yes",C106&lt;=69,ROW()-1&lt;=InsurancePeriod), 1, 0))</f>
        <v>0</v>
      </c>
      <c r="AC106" s="17">
        <f>(AC107+K107)*AB106*((1)/(1+db!AA108))*(LOOKUP(C106,'Mortality Table'!$A$2:$A$108,'Mortality Table'!$E$2:$E$108))</f>
        <v>0</v>
      </c>
      <c r="AD106" s="340">
        <f>IF(AND(Changes!ValidityYear&lt;= Table14[[#This Row],[Year]],Changes!ChangeType="Change Value Adjustment",Changes!Change="Yes"), (AD107+L107)*AB106*((1)/(1+db!AA108))*(LOOKUP(C106,'Mortality Table'!$A$2:$A$108,'Mortality Table'!$E$2:$E$108)),Table14[[#This Row],[WOP Before Adj. BT]])</f>
        <v>0</v>
      </c>
      <c r="AE106" s="341">
        <f>IF(AND(Changes!Change="Yes", Changes!ChangeType="Change Value Adjustment"),Table14[[#This Row],[WOP Capital]],(AE107+O107)*AB106*((1)/(1+db!AA108))*(LOOKUP(D106,'Mortality Table'!$A$2:$A$108,'Mortality Table'!$E$2:$E$108)))</f>
        <v>0</v>
      </c>
      <c r="AF106" s="17">
        <f>IF(AND(Changes!Change="Yes", Changes!ValidityYear&lt;=ROW()-1),Table14[[#This Row],[WOP Capital]],Table14[[#This Row],[WOP without change]])</f>
        <v>0</v>
      </c>
      <c r="AG106" s="42">
        <f>IF(AND(Changes!Change="Yes", Changes!ValidityYear&lt;=Table14[[#This Row],[Year]], Changes!ChangeType="Rider Inclusion/Exclusion", Changes!RiderType="Disability Annuity"), L106*Changes!NewChangedValue,L106*db!B$10*IF(db!$D$10="Yes",1,0))</f>
        <v>0</v>
      </c>
      <c r="AH106" s="29">
        <f>Table14[[#This Row],[Code Annuity Capital]]*IF('Annual Calculation'!C106&gt;69,0,(LOOKUP('Annual Calculation'!C106+1,'Mortality Table'!$A$2:$A$108,'Mortality Table'!$O$2:$O$108)-LOOKUP('Annual Calculation'!C106+11,'Mortality Table'!$A$2:$A$108,'Mortality Table'!$O$2:$O$108))/LOOKUP('Annual Calculation'!C106,'Mortality Table'!$A$2:$A$108,'Mortality Table'!$M$2:$M$108))</f>
        <v>0</v>
      </c>
      <c r="AI106" s="17">
        <f>IF(B106=0,0,IF(AND(Changes!Change="Yes", Changes!ValidityYear&lt;=Table14[[#This Row],[Year]], Changes!ChangeType="Rider Inclusion/Exclusion", Changes!RiderType="Dread Disease"), T106*Changes!NewChangedValue,IF(db!$D$11="Yes",(db!$B$11)*T106,0)))</f>
        <v>0</v>
      </c>
      <c r="AJ106" s="42">
        <f>ROUND(IF(C106&gt;59,0,IF(C106=0,0,IF(AI106&lt;=db!$L$5,AI106,db!$L$5))),0)</f>
        <v>0</v>
      </c>
      <c r="AK106" s="29">
        <f>IF(B106=0,0,IF(AND(Changes!Change="Yes", Changes!ValidityYear&lt;=Table14[[#This Row],[Year]], Changes!ChangeType="Rider Inclusion/Exclusion", Changes!RiderType="Cancer"), T106*Changes!NewChangedValue,IF(db!$D$12="Yes",(db!$B$12)*T106,0)))</f>
        <v>0</v>
      </c>
      <c r="AL106" s="29">
        <f>ROUND(IF(C106&gt;59,0,IF(C106=0,0,IF(AK106&lt;=db!$L$6,AK106,db!$L$6))),0)</f>
        <v>0</v>
      </c>
      <c r="AM106" s="32"/>
      <c r="AN106" s="18">
        <f>IF(B106=0,0,IF(C106&lt;(db!$E$2+5),LOOKUP(C106,'Mortality Table'!$A$2:$A$108,'Mortality Table'!$P$2:$P$108),IF((C106&gt;=db!$E$2+10),LOOKUP(C106,'Mortality Table'!$A$2:$A$108,'Mortality Table'!$R$2:$R$108),LOOKUP(C106,'Mortality Table'!$A$2:$A$108,'Mortality Table'!$Q$2:$Q$108))))</f>
        <v>0</v>
      </c>
      <c r="AO106" s="22">
        <f t="shared" si="22"/>
        <v>0</v>
      </c>
      <c r="AP106" s="19">
        <f>IF(B106=0,0, LOOKUP(IF(AND(Changes!Change="Yes", Changes!ValidityYear&lt;=Table14[[#This Row],[Year]], Changes!ChangeType="Change Job Class"),Changes!NewChangedValue, db!$A$8),db!$AX$4:$AX$8,db!$AY$4:$AY$8))</f>
        <v>0</v>
      </c>
      <c r="AQ106" s="20">
        <f>ROUND((AP106/1000)*W106 * (1-db!$AS$9),0)</f>
        <v>0</v>
      </c>
      <c r="AR106" s="20">
        <f>(AP106/1000)*W106 * db!$AS$9</f>
        <v>0</v>
      </c>
      <c r="AS106" s="21">
        <f>IF(B106=0,0, LOOKUP(IF(AND(Changes!Change="Yes", Changes!ValidityYear&lt;=Table14[[#This Row],[Year]], Changes!ChangeType="Change Job Class"),Changes!NewChangedValue, db!$A$8),db!$AX$4:$AX$8,db!$AZ$4:$AZ$8))</f>
        <v>0</v>
      </c>
      <c r="AT106" s="22">
        <f>(AS106/1000)*Y106*(1-db!$AS$9)</f>
        <v>0</v>
      </c>
      <c r="AU106" s="22">
        <f>(AS106/1000)*Y106*(db!$AS$9)</f>
        <v>0</v>
      </c>
      <c r="AV106" s="23">
        <f>IF(B106=0,0, LOOKUP(IF(AND(Changes!Change="Yes", Changes!ValidityYear&lt;=Table14[[#This Row],[Year]], Changes!ChangeType="Change Job Class"),Changes!NewChangedValue, db!$A$8),db!$AX$4:$AX$8,db!$BA$4:$BA$8))</f>
        <v>0</v>
      </c>
      <c r="AW106" s="20">
        <f>ROUND((AV106/(100))*AA106*(1-db!$AS$9),0)</f>
        <v>0</v>
      </c>
      <c r="AX106" s="20">
        <f>ROUND((AV106/(100))*AA106*(db!$AS$9),0)</f>
        <v>0</v>
      </c>
      <c r="AY106" s="21">
        <f>IF(db!$D$8="Yes",AS106,0)</f>
        <v>0</v>
      </c>
      <c r="AZ106" s="22">
        <f>(AY106*AF106)/1000*(1-db!$AS$9)</f>
        <v>0</v>
      </c>
      <c r="BA106" s="22">
        <f>(AY106*AF106)/1000*(db!$AS$9)</f>
        <v>0</v>
      </c>
      <c r="BB106" s="23">
        <f t="shared" si="23"/>
        <v>0</v>
      </c>
      <c r="BC106" s="20">
        <f>(BB106*AH106/1000)*(1-db!$AS$9)</f>
        <v>0</v>
      </c>
      <c r="BD106" s="20">
        <f>(BB106*AH106/1000)*(db!$AS$9)</f>
        <v>0</v>
      </c>
      <c r="BE106" s="22">
        <f>IF(B106=0,0,IF(C106&gt;60,0,LOOKUP(Table14[[#This Row],[Medical
Age]],db!$BC$3:$BC$63,db!$BD$3:$BD$63)))</f>
        <v>0</v>
      </c>
      <c r="BF106" s="22">
        <f>BG106*db!$AS$10</f>
        <v>0</v>
      </c>
      <c r="BG106" s="22">
        <f t="shared" si="24"/>
        <v>0</v>
      </c>
      <c r="BH106" s="22">
        <f>(BE106/1000000)*AJ106*(1-db!$AS$10)</f>
        <v>0</v>
      </c>
      <c r="BI106" s="20">
        <f>IF(B106=0,0,IF(C106&gt;59,0,LOOKUP(Table14[[#This Row],[Medical
Age]],db!$BC$3:$BC$63,db!$BE$3:$BE$63)))</f>
        <v>0</v>
      </c>
      <c r="BJ106" s="20">
        <f>(BI106/1000000)*AL106*(1-db!$AS$11)</f>
        <v>0</v>
      </c>
      <c r="BK106" s="20">
        <f>(BI106/1000000)*AL106*(db!$AS$11)</f>
        <v>0</v>
      </c>
      <c r="BL106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106" s="20">
        <f>Table14[[#This Row],[RiskLoading
Rate]]*Table14[[#This Row],[Death Capital (2)]]</f>
        <v>0</v>
      </c>
      <c r="BN106" s="36"/>
      <c r="BO106" s="37">
        <f t="shared" si="25"/>
        <v>0</v>
      </c>
      <c r="BP106" s="35">
        <f t="shared" si="26"/>
        <v>0</v>
      </c>
      <c r="BQ106" s="35">
        <f t="shared" si="27"/>
        <v>0</v>
      </c>
      <c r="BR106" s="37">
        <f t="shared" si="31"/>
        <v>0</v>
      </c>
      <c r="BS106" s="37">
        <f t="shared" si="32"/>
        <v>0</v>
      </c>
      <c r="BT106" s="35">
        <f t="shared" si="33"/>
        <v>0</v>
      </c>
      <c r="BU106" s="35">
        <f t="shared" si="34"/>
        <v>0</v>
      </c>
      <c r="BV106" s="37">
        <f>(db!$AS$4/100)*(L106-BT106-BU106)</f>
        <v>0</v>
      </c>
      <c r="BW106" s="37">
        <f>(db!$AS$8/100)*(L106-BT106-BU106)</f>
        <v>0</v>
      </c>
      <c r="BX106" s="35"/>
      <c r="BY106" s="37"/>
      <c r="BZ106" s="37"/>
      <c r="CA106" s="35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106" s="33"/>
      <c r="CC106" s="39">
        <f>ROUND((Table14[[#This Row],[Premium]]-Table14[[#This Row],[All Deductions]]),0)</f>
        <v>0</v>
      </c>
      <c r="CD106" s="40">
        <f>ROUND(IF(B106=0,0,((CC106)*(1+ IF(AND(Changes!Change="Yes",Changes!ValidityYear&lt;=Table14[[#This Row],[Year]],Annulment&gt;Table14[[#This Row],[Year]],Changes!ChangeType="Paid-Up"),db!Y108+0.02,db!Y108)))+((CD105)*(1+IF(AND(Changes!Change="Yes",Changes!ValidityYear&lt;=Table14[[#This Row],[Year]],Annulment&gt;Table14[[#This Row],[Year]],Changes!ChangeType="Paid-Up"),db!U108+0.02,db!U108)))),0)</f>
        <v>0</v>
      </c>
      <c r="CE106" s="40">
        <f>ROUND(IF(B106=0,0,((CC106)*(1+db!Y108))+((CE105)*(1+db!U108))),0)</f>
        <v>0</v>
      </c>
      <c r="CF106" s="40">
        <f t="shared" si="39"/>
        <v>0</v>
      </c>
      <c r="CG106" s="15">
        <f t="shared" si="35"/>
        <v>105</v>
      </c>
      <c r="CH106" s="39">
        <f>IF(B106=0,0,((CC106)*(1+db!AH108))+((CH105)*(1+db!AD108)))</f>
        <v>0</v>
      </c>
      <c r="CI106" s="39">
        <f>IF(B106=0,0,((CC106)*(1+db!AH108))+((CI105)*(1+db!AD108)))</f>
        <v>0</v>
      </c>
      <c r="CJ106" s="40">
        <f>IF(B106=0,0,((CC106)*(1+db!AO108))+((CJ105)*(1+db!AK108)))</f>
        <v>0</v>
      </c>
      <c r="CK106" s="40">
        <f>CJ106-(SUM(BX$7:$BX107))</f>
        <v>0</v>
      </c>
      <c r="CL106" s="26"/>
    </row>
    <row r="107" spans="1:90">
      <c r="A107" s="347">
        <f t="shared" si="36"/>
        <v>106</v>
      </c>
      <c r="B107" s="345">
        <f>IF(AND(Changes!Change="Yes", Changes!ChangeType="Change Contract Duration"),IF(B106=0,0,IF(Changes!NewChangedValue&lt;B106+1,0,B106+1)),IF(B106=0,0,IF('Application Annually'!$C$5&lt;B106+1,0,B106+1)))</f>
        <v>0</v>
      </c>
      <c r="C107" s="296">
        <f t="shared" si="37"/>
        <v>0</v>
      </c>
      <c r="D107" s="312">
        <f t="shared" si="38"/>
        <v>133</v>
      </c>
      <c r="E107" s="312">
        <f>IF(AND(Changes!Change="Yes", Changes!ValidityYear&lt;=Table14[[#This Row],[Year]], Changes!ChangeType="Change Risk Loading"), LOOKUP(Table14[[#This Row],[Age]],RiskLoadingChange!A$3:A$109,RiskLoadingChange!DG$3:DG$109), IF(Table14[[#This Row],[Year]]=0,0,LOOKUP(Table14[[#This Row],[Age]],RiskLoading!A$3:A$109,RiskLoading!DG$3:DG$109)))</f>
        <v>0</v>
      </c>
      <c r="F107" s="297">
        <f t="shared" si="28"/>
        <v>0</v>
      </c>
      <c r="G107" s="297">
        <f t="shared" si="29"/>
        <v>0</v>
      </c>
      <c r="H107" s="297">
        <f t="shared" si="20"/>
        <v>0</v>
      </c>
      <c r="I107" s="29">
        <f>IF(B107&gt;0,IF(AND(Table14[[#This Row],[Year]]&gt;Changes!ValidityYear,Changes!Change="Yes",Changes!ChangeType="Change Value Adjustment"),Changes!$G$22,'Application Annually'!$C$11),0)</f>
        <v>0</v>
      </c>
      <c r="J107" s="29">
        <f>IF(B107&gt;0,IF(AND(Table14[[#This Row],[Year]]&gt;Changes!ValidityYear,Changes!Change="Yes",Changes!ChangeType="Change Value Adjustment"),Changes!$G$24,'Application Annually'!$C$7),0)</f>
        <v>0</v>
      </c>
      <c r="K107" s="29">
        <f>ROUND(IF(B107=0,0,IF(AND(Changes!Change="Yes", Changes!ValidityYear=Table14[[#This Row],[Year]], Changes!ChangeType="Change Premium"), Changes!NewChangedValue, (K106*(1+db!$B$3)))),0)</f>
        <v>0</v>
      </c>
      <c r="L107" s="29">
        <f>ROUND(IF(B107=0,0,IF(AND(Changes!Change="Yes", Changes!ValidityYear=Table14[[#This Row],[Year]], Changes!ChangeType="Change Premium"), Changes!NewChangedValue, (L106*(1+Table14[[#This Row],[Adjustment Factor of Premium]]/100)))),0)</f>
        <v>0</v>
      </c>
      <c r="M107" s="29">
        <f>IF(Table14[[#This Row],[Year]]=1,ROUND(MIN($L$2 -( Table14[[#This Row],[Riders Risk Premiums]] + Table14[[#This Row],[Acquisition Cost]]) *0.75,Table14[[#This Row],[Death Capital (1)]]* 0.03),0),0)</f>
        <v>0</v>
      </c>
      <c r="N107" s="29">
        <f>IF(Table14[[#This Row],[Year]]=1,ROUND($L$2 - (Table14[[#This Row],[Accident Death Risk Premium]]+Table14[[#This Row],[Accident Death Acquisition Cost]]+Table14[[#This Row],[Accident Disability Risk Premium]]+Table14[[#This Row],[Accident Disability Acquisition Cost]]+Table14[[#This Row],[Accident Medical Cost Risk Premium]]+Table14[[#This Row],[Accident Medical Cost Acquisition Cost]]+Table14[[#This Row],[WOP Risk Premium]]+Table14[[#This Row],[WOP Acquisition Cost]]+Table14[[#This Row],[Disability Annuity Risk Premium]]+Table14[[#This Row],[Disability Annuity Acquisition Cost]]+Table14[[#This Row],[Dread Disease Risk Premium]]+Table14[[#This Row],[Dread Disease Acquisition Cost]]+Table14[[#This Row],[Cancer Risk Premium]]+Table14[[#This Row],[Cancer Acquisition Cost]]),0),0)</f>
        <v>0</v>
      </c>
      <c r="O107" s="29">
        <f>ROUND(IF(ROW()-1&gt;InsurancePeriod,0,(O106*(1+(Table14[[#This Row],[Adjustment Factor of Premium]]/100)))),0)</f>
        <v>0</v>
      </c>
      <c r="P107" s="29">
        <f>IF(Table14[Year] = 0, 0, SUM(L$2:L107))</f>
        <v>0</v>
      </c>
      <c r="Q107" s="298">
        <f t="shared" si="21"/>
        <v>0</v>
      </c>
      <c r="R107" s="298">
        <f>IF(Table14[[#This Row],[Year]]=0,0,IF($C$2&lt;=50,LOOKUP(Table14[[#This Row],[Age]],db!BG108:BG214,db!BH108:BH214),LOOKUP(Table14[[#This Row],[Age]],db!BJ108:BJ214,db!BK108:BK214)))</f>
        <v>0</v>
      </c>
      <c r="S107" s="17">
        <f>IF(B107=0,0, IF(AND(Changes!Change="Yes", Changes!ValidityYear=Table14[[#This Row],[Year]], Changes!ChangeType="Change Death Capital"), Changes!NewChangedValue, S106*(1+(Table14[[#This Row],[Adjustment Factor of Death Capital]]/100))))</f>
        <v>0</v>
      </c>
      <c r="T107" s="298">
        <f>MIN(IF(B107=0,0,Table14[[#This Row],[Death Capital (1)]]),Table14[[#This Row],[Max Sum Insured For Death]])</f>
        <v>0</v>
      </c>
      <c r="U107" s="297">
        <f t="shared" si="30"/>
        <v>0</v>
      </c>
      <c r="V107" s="29">
        <f>IF(B107=0,0,IF(AND(Changes!Change="Yes", Changes!ValidityYear&lt;=Table14[[#This Row],[Year]], Changes!ChangeType="Rider Inclusion/Exclusion", Changes!RiderType="Accident Death"), T107*Changes!NewChangedValue,IF(db!$D$6="Yes",(db!$B$6)*T107,0)))</f>
        <v>0</v>
      </c>
      <c r="W107" s="297">
        <f>MIN(IF(V107&lt;=db!$L$2,V107,db!$L$2),MAX_ACC_CAPITAL)</f>
        <v>0</v>
      </c>
      <c r="X107" s="17">
        <f>IF(OR(B107=0,Table14[[#This Row],[Accident Capital (2)]]=0),0,IF(AND(Changes!Change="Yes", Changes!ValidityYear&lt;=Table14[[#This Row],[Year]], Changes!ChangeType="Rider Inclusion/Exclusion", Changes!RiderType="Accident Disability"), T107*Changes!NewChangedValue,IF(db!$D$7="Yes",(db!$B$7)*T107,0)))</f>
        <v>0</v>
      </c>
      <c r="Y107" s="299">
        <f>IF(C107&gt;69,0,IF(C107=0,0,IF(X107&lt;=db!$L$3,X107,db!$L$3)))</f>
        <v>0</v>
      </c>
      <c r="Z107" s="29">
        <f>IF(OR(B107=0,Table14[[#This Row],[Accident Capital (2)]]=0),0,IF(AND(Changes!Change="Yes", Changes!ValidityYear&lt;=Table14[[#This Row],[Year]], Changes!ChangeType="Rider Inclusion/Exclusion", Changes!RiderType="Accident Medical Cost"), T107*Changes!NewChangedValue,IF(db!$D$9="Yes",(db!$B$9)*T107,0)))</f>
        <v>0</v>
      </c>
      <c r="AA107" s="297">
        <f>ROUND(IF(C107&gt;69,0,IF(C107=0,0,IF(Z107&lt;=db!$L$4,Z107,db!$L$4))),0)</f>
        <v>0</v>
      </c>
      <c r="AB107" s="38">
        <f>IF(AND(Changes!Change = "Yes", Changes!ChangeType = "Rider Inclusion/Exclusion", Changes!RiderType = "WOP"), IF( Changes!ValidityYear &lt;= Table14[[#This Row],[Year]], IF(WOP = "Yes", 0, 1),  IF(WOP = "Yes", 1, 0)), IF(AND(db!$D$8="Yes",C107&lt;=69,ROW()-1&lt;=InsurancePeriod), 1, 0))</f>
        <v>0</v>
      </c>
      <c r="AC107" s="17">
        <f>(AC108+K108)*AB107*((1)/(1+db!AA109))*(LOOKUP(C107,'Mortality Table'!$A$2:$A$108,'Mortality Table'!$E$2:$E$108))</f>
        <v>0</v>
      </c>
      <c r="AD107" s="340">
        <f>IF(AND(Changes!ValidityYear&lt;= Table14[[#This Row],[Year]],Changes!ChangeType="Change Value Adjustment",Changes!Change="Yes"), (AD108+L108)*AB107*((1)/(1+db!AA109))*(LOOKUP(C107,'Mortality Table'!$A$2:$A$108,'Mortality Table'!$E$2:$E$108)),Table14[[#This Row],[WOP Before Adj. BT]])</f>
        <v>0</v>
      </c>
      <c r="AE107" s="341">
        <f>IF(AND(Changes!Change="Yes", Changes!ChangeType="Change Value Adjustment"),Table14[[#This Row],[WOP Capital]],(AE108+O108)*AB107*((1)/(1+db!AA109))*(LOOKUP(D107,'Mortality Table'!$A$2:$A$108,'Mortality Table'!$E$2:$E$108)))</f>
        <v>0</v>
      </c>
      <c r="AF107" s="17">
        <f>IF(AND(Changes!Change="Yes", Changes!ValidityYear&lt;=ROW()-1),Table14[[#This Row],[WOP Capital]],Table14[[#This Row],[WOP without change]])</f>
        <v>0</v>
      </c>
      <c r="AG107" s="299">
        <f>IF(AND(Changes!Change="Yes", Changes!ValidityYear&lt;=Table14[[#This Row],[Year]], Changes!ChangeType="Rider Inclusion/Exclusion", Changes!RiderType="Disability Annuity"), L107*Changes!NewChangedValue,L107*db!B$10*IF(db!$D$10="Yes",1,0))</f>
        <v>0</v>
      </c>
      <c r="AH107" s="29">
        <f>Table14[[#This Row],[Code Annuity Capital]]*IF('Annual Calculation'!C107&gt;69,0,(LOOKUP('Annual Calculation'!C107+1,'Mortality Table'!$A$2:$A$108,'Mortality Table'!$O$2:$O$108)-LOOKUP('Annual Calculation'!C107+11,'Mortality Table'!$A$2:$A$108,'Mortality Table'!$O$2:$O$108))/LOOKUP('Annual Calculation'!C107,'Mortality Table'!$A$2:$A$108,'Mortality Table'!$M$2:$M$108))</f>
        <v>0</v>
      </c>
      <c r="AI107" s="17">
        <f>IF(B107=0,0,IF(AND(Changes!Change="Yes", Changes!ValidityYear&lt;=Table14[[#This Row],[Year]], Changes!ChangeType="Rider Inclusion/Exclusion", Changes!RiderType="Dread Disease"), T107*Changes!NewChangedValue,IF(db!$D$11="Yes",(db!$B$11)*T107,0)))</f>
        <v>0</v>
      </c>
      <c r="AJ107" s="299">
        <f>ROUND(IF(C107&gt;59,0,IF(C107=0,0,IF(AI107&lt;=db!$L$5,AI107,db!$L$5))),0)</f>
        <v>0</v>
      </c>
      <c r="AK107" s="29">
        <f>IF(B107=0,0,IF(AND(Changes!Change="Yes", Changes!ValidityYear&lt;=Table14[[#This Row],[Year]], Changes!ChangeType="Rider Inclusion/Exclusion", Changes!RiderType="Cancer"), T107*Changes!NewChangedValue,IF(db!$D$12="Yes",(db!$B$12)*T107,0)))</f>
        <v>0</v>
      </c>
      <c r="AL107" s="297">
        <f>ROUND(IF(C107&gt;59,0,IF(C107=0,0,IF(AK107&lt;=db!$L$6,AK107,db!$L$6))),0)</f>
        <v>0</v>
      </c>
      <c r="AM107" s="300"/>
      <c r="AN107" s="301">
        <f>IF(B107=0,0,IF(C107&lt;(db!$E$2+5),LOOKUP(C107,'Mortality Table'!$A$2:$A$108,'Mortality Table'!$P$2:$P$108),IF((C107&gt;=db!$E$2+10),LOOKUP(C107,'Mortality Table'!$A$2:$A$108,'Mortality Table'!$R$2:$R$108),LOOKUP(C107,'Mortality Table'!$A$2:$A$108,'Mortality Table'!$Q$2:$Q$108))))</f>
        <v>0</v>
      </c>
      <c r="AO107" s="302">
        <f t="shared" si="22"/>
        <v>0</v>
      </c>
      <c r="AP107" s="19">
        <f>IF(B107=0,0, LOOKUP(IF(AND(Changes!Change="Yes", Changes!ValidityYear&lt;=Table14[[#This Row],[Year]], Changes!ChangeType="Change Job Class"),Changes!NewChangedValue, db!$A$8),db!$AX$4:$AX$8,db!$AY$4:$AY$8))</f>
        <v>0</v>
      </c>
      <c r="AQ107" s="304">
        <f>ROUND((AP107/1000)*W107 * (1-db!$AS$9),0)</f>
        <v>0</v>
      </c>
      <c r="AR107" s="304">
        <f>(AP107/1000)*W107 * db!$AS$9</f>
        <v>0</v>
      </c>
      <c r="AS107" s="21">
        <f>IF(B107=0,0, LOOKUP(IF(AND(Changes!Change="Yes", Changes!ValidityYear&lt;=Table14[[#This Row],[Year]], Changes!ChangeType="Change Job Class"),Changes!NewChangedValue, db!$A$8),db!$AX$4:$AX$8,db!$AZ$4:$AZ$8))</f>
        <v>0</v>
      </c>
      <c r="AT107" s="302">
        <f>(AS107/1000)*Y107*(1-db!$AS$9)</f>
        <v>0</v>
      </c>
      <c r="AU107" s="302">
        <f>(AS107/1000)*Y107*(db!$AS$9)</f>
        <v>0</v>
      </c>
      <c r="AV107" s="23">
        <f>IF(B107=0,0, LOOKUP(IF(AND(Changes!Change="Yes", Changes!ValidityYear&lt;=Table14[[#This Row],[Year]], Changes!ChangeType="Change Job Class"),Changes!NewChangedValue, db!$A$8),db!$AX$4:$AX$8,db!$BA$4:$BA$8))</f>
        <v>0</v>
      </c>
      <c r="AW107" s="304">
        <f>ROUND((AV107/(100))*AA107*(1-db!$AS$9),0)</f>
        <v>0</v>
      </c>
      <c r="AX107" s="304">
        <f>ROUND((AV107/(100))*AA107*(db!$AS$9),0)</f>
        <v>0</v>
      </c>
      <c r="AY107" s="305">
        <f>IF(db!$D$8="Yes",AS107,0)</f>
        <v>0</v>
      </c>
      <c r="AZ107" s="302">
        <f>(AY107*AF107)/1000*(1-db!$AS$9)</f>
        <v>0</v>
      </c>
      <c r="BA107" s="302">
        <f>(AY107*AF107)/1000*(db!$AS$9)</f>
        <v>0</v>
      </c>
      <c r="BB107" s="306">
        <f t="shared" si="23"/>
        <v>0</v>
      </c>
      <c r="BC107" s="304">
        <f>(BB107*AH107/1000)*(1-db!$AS$9)</f>
        <v>0</v>
      </c>
      <c r="BD107" s="304">
        <f>(BB107*AH107/1000)*(db!$AS$9)</f>
        <v>0</v>
      </c>
      <c r="BE107" s="22">
        <f>IF(B107=0,0,IF(C107&gt;60,0,LOOKUP(Table14[[#This Row],[Medical
Age]],db!$BC$3:$BC$63,db!$BD$3:$BD$63)))</f>
        <v>0</v>
      </c>
      <c r="BF107" s="302">
        <f>BG107*db!$AS$10</f>
        <v>0</v>
      </c>
      <c r="BG107" s="302">
        <f t="shared" si="24"/>
        <v>0</v>
      </c>
      <c r="BH107" s="302">
        <f>(BE107/1000000)*AJ107*(1-db!$AS$10)</f>
        <v>0</v>
      </c>
      <c r="BI107" s="20">
        <f>IF(B107=0,0,IF(C107&gt;59,0,LOOKUP(Table14[[#This Row],[Medical
Age]],db!$BC$3:$BC$63,db!$BE$3:$BE$63)))</f>
        <v>0</v>
      </c>
      <c r="BJ107" s="304">
        <f>(BI107/1000000)*AL107*(1-db!$AS$11)</f>
        <v>0</v>
      </c>
      <c r="BK107" s="304">
        <f>(BI107/1000000)*AL107*(db!$AS$11)</f>
        <v>0</v>
      </c>
      <c r="BL107" s="19">
        <f>IF(Table14[Year]=0,0,IF(AND(Changes!Change="Yes", Changes!ValidityYear&lt;=Table14[[#This Row],[Year]], Changes!ChangeType="Change Risk Loading"), LOOKUP(Table14[Age],RiskLoadingChange!A$3:A$109,RiskLoadingChange!DT$3:DT$109), LOOKUP(Table14[Age],RiskLoading!A$3:A$109,RiskLoading!DT$3:DT$109)))</f>
        <v>0</v>
      </c>
      <c r="BM107" s="20">
        <f>Table14[[#This Row],[RiskLoading
Rate]]*Table14[[#This Row],[Death Capital (2)]]</f>
        <v>0</v>
      </c>
      <c r="BN107" s="307"/>
      <c r="BO107" s="308">
        <f t="shared" si="25"/>
        <v>0</v>
      </c>
      <c r="BP107" s="309">
        <f t="shared" si="26"/>
        <v>0</v>
      </c>
      <c r="BQ107" s="309">
        <f t="shared" si="27"/>
        <v>0</v>
      </c>
      <c r="BR107" s="308">
        <f t="shared" si="31"/>
        <v>0</v>
      </c>
      <c r="BS107" s="308">
        <f t="shared" si="32"/>
        <v>0</v>
      </c>
      <c r="BT107" s="309">
        <f t="shared" si="33"/>
        <v>0</v>
      </c>
      <c r="BU107" s="309">
        <f t="shared" si="34"/>
        <v>0</v>
      </c>
      <c r="BV107" s="308">
        <f>(db!$AS$4/100)*(L107-BT107-BU107)</f>
        <v>0</v>
      </c>
      <c r="BW107" s="308">
        <f>(db!$AS$8/100)*(L107-BT107-BU107)</f>
        <v>0</v>
      </c>
      <c r="BX107" s="309"/>
      <c r="BY107" s="308"/>
      <c r="BZ107" s="308"/>
      <c r="CA107" s="309">
        <f>ROUND(Table14[[#This Row],[RiskLoading
Risk Premium]]+Table14[[#This Row],[Sale Commission (2)]]+Table14[[#This Row],[Insuring Cost ]]+Table14[[#This Row],[Acquisition Cost]]+Table14[[#This Row],[Riders Risk Premiums]]+Table14[[#This Row],[Riders Acquisition Costs]]+Table14[[#This Row],[Main Risk Premium]]+Table14[[#This Row],[Administrative Cost Private]],0)</f>
        <v>0</v>
      </c>
      <c r="CB107" s="310"/>
      <c r="CC107" s="39">
        <f>ROUND((Table14[[#This Row],[Premium]]-Table14[[#This Row],[All Deductions]]),0)</f>
        <v>0</v>
      </c>
      <c r="CD107" s="40">
        <f>ROUND(IF(B107=0,0,((CC107)*(1+ IF(AND(Changes!Change="Yes",Changes!ValidityYear&lt;=Table14[[#This Row],[Year]],Annulment&gt;Table14[[#This Row],[Year]],Changes!ChangeType="Paid-Up"),db!Y109+0.02,db!Y109)))+((CD106)*(1+IF(AND(Changes!Change="Yes",Changes!ValidityYear&lt;=Table14[[#This Row],[Year]],Annulment&gt;Table14[[#This Row],[Year]],Changes!ChangeType="Paid-Up"),db!U109+0.02,db!U109)))),0)</f>
        <v>0</v>
      </c>
      <c r="CE107" s="40">
        <f>ROUND(IF(B107=0,0,((CC107)*(1+db!Y109))+((CE106)*(1+db!U109))),0)</f>
        <v>0</v>
      </c>
      <c r="CF107" s="311">
        <f t="shared" si="39"/>
        <v>0</v>
      </c>
      <c r="CG107" s="15">
        <f t="shared" si="35"/>
        <v>106</v>
      </c>
      <c r="CH107" s="39">
        <f>IF(B107=0,0,((CC107)*(1+db!AH109))+((CH106)*(1+db!AD109)))</f>
        <v>0</v>
      </c>
      <c r="CI107" s="39">
        <f>IF(B107=0,0,((CC107)*(1+db!AH109))+((CI106)*(1+db!AD109)))</f>
        <v>0</v>
      </c>
      <c r="CJ107" s="40">
        <f>IF(B107=0,0,((CC107)*(1+db!AO109))+((CJ106)*(1+db!AK109)))</f>
        <v>0</v>
      </c>
      <c r="CK107" s="40">
        <f>CJ107-(SUM(BX$7:$BX108))</f>
        <v>0</v>
      </c>
      <c r="CL107" s="26"/>
    </row>
    <row r="108" spans="1:90"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G108" s="11"/>
      <c r="CH108" s="11"/>
      <c r="CI108" s="11"/>
      <c r="CJ108" s="11"/>
    </row>
    <row r="109" spans="1:90"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G109" s="11"/>
      <c r="CH109" s="11"/>
      <c r="CI109" s="11"/>
      <c r="CJ109" s="11"/>
    </row>
    <row r="110" spans="1:90"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G110" s="11"/>
      <c r="CH110" s="11"/>
      <c r="CI110" s="11"/>
      <c r="CJ110" s="11"/>
    </row>
    <row r="111" spans="1:90"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G111" s="11"/>
      <c r="CH111" s="11"/>
      <c r="CI111" s="11"/>
      <c r="CJ111" s="11"/>
    </row>
    <row r="112" spans="1:90"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G112" s="11"/>
      <c r="CH112" s="11"/>
      <c r="CI112" s="11"/>
      <c r="CJ112" s="11"/>
    </row>
    <row r="113" spans="2:88"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G113" s="11"/>
      <c r="CH113" s="11"/>
      <c r="CI113" s="11"/>
      <c r="CJ113" s="11"/>
    </row>
    <row r="114" spans="2:88"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G114" s="11"/>
      <c r="CH114" s="11"/>
      <c r="CI114" s="11"/>
      <c r="CJ114" s="11"/>
    </row>
    <row r="115" spans="2:88"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G115" s="11"/>
      <c r="CH115" s="11"/>
      <c r="CI115" s="11"/>
      <c r="CJ115" s="11"/>
    </row>
    <row r="116" spans="2:88"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G116" s="11"/>
      <c r="CH116" s="11"/>
      <c r="CI116" s="11"/>
      <c r="CJ116" s="11"/>
    </row>
    <row r="117" spans="2:88"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G117" s="11"/>
      <c r="CH117" s="11"/>
      <c r="CI117" s="11"/>
      <c r="CJ117" s="11"/>
    </row>
    <row r="118" spans="2:88"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G118" s="11"/>
      <c r="CH118" s="11"/>
      <c r="CI118" s="11"/>
      <c r="CJ118" s="11"/>
    </row>
    <row r="119" spans="2:88"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G119" s="11"/>
      <c r="CH119" s="11"/>
      <c r="CI119" s="11"/>
      <c r="CJ119" s="11"/>
    </row>
    <row r="120" spans="2:88"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G120" s="11"/>
      <c r="CH120" s="11"/>
      <c r="CI120" s="11"/>
      <c r="CJ120" s="11"/>
    </row>
    <row r="121" spans="2:88"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G121" s="11"/>
      <c r="CH121" s="11"/>
      <c r="CI121" s="11"/>
      <c r="CJ121" s="11"/>
    </row>
    <row r="122" spans="2:88"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G122" s="11"/>
      <c r="CH122" s="11"/>
      <c r="CI122" s="11"/>
      <c r="CJ122" s="11"/>
    </row>
    <row r="123" spans="2:88"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G123" s="11"/>
      <c r="CH123" s="11"/>
      <c r="CI123" s="11"/>
      <c r="CJ123" s="11"/>
    </row>
    <row r="124" spans="2:88"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G124" s="11"/>
      <c r="CH124" s="11"/>
      <c r="CI124" s="11"/>
      <c r="CJ124" s="11"/>
    </row>
    <row r="125" spans="2:88"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G125" s="11"/>
      <c r="CH125" s="11"/>
      <c r="CI125" s="11"/>
      <c r="CJ125" s="11"/>
    </row>
    <row r="126" spans="2:88"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G126" s="11"/>
      <c r="CH126" s="11"/>
      <c r="CI126" s="11"/>
      <c r="CJ126" s="11"/>
    </row>
    <row r="127" spans="2:88"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G127" s="11"/>
      <c r="CH127" s="11"/>
      <c r="CI127" s="11"/>
      <c r="CJ127" s="11"/>
    </row>
    <row r="128" spans="2:88"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G128" s="11"/>
      <c r="CH128" s="11"/>
      <c r="CI128" s="11"/>
      <c r="CJ128" s="11"/>
    </row>
    <row r="129" spans="2:88"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G129" s="11"/>
      <c r="CH129" s="11"/>
      <c r="CI129" s="11"/>
      <c r="CJ129" s="11"/>
    </row>
    <row r="130" spans="2:88"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G130" s="11"/>
      <c r="CH130" s="11"/>
      <c r="CI130" s="11"/>
      <c r="CJ130" s="11"/>
    </row>
    <row r="131" spans="2:88"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G131" s="11"/>
      <c r="CH131" s="11"/>
      <c r="CI131" s="11"/>
      <c r="CJ131" s="11"/>
    </row>
    <row r="132" spans="2:88"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G132" s="11"/>
      <c r="CH132" s="11"/>
      <c r="CI132" s="11"/>
      <c r="CJ132" s="11"/>
    </row>
    <row r="133" spans="2:88"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G133" s="11"/>
      <c r="CH133" s="11"/>
      <c r="CI133" s="11"/>
      <c r="CJ133" s="11"/>
    </row>
    <row r="134" spans="2:88"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G134" s="11"/>
      <c r="CH134" s="11"/>
      <c r="CI134" s="11"/>
      <c r="CJ134" s="11"/>
    </row>
    <row r="135" spans="2:88"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G135" s="11"/>
      <c r="CH135" s="11"/>
      <c r="CI135" s="11"/>
      <c r="CJ135" s="11"/>
    </row>
    <row r="136" spans="2:88"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G136" s="11"/>
      <c r="CH136" s="11"/>
      <c r="CI136" s="11"/>
      <c r="CJ136" s="11"/>
    </row>
    <row r="137" spans="2:88"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G137" s="11"/>
      <c r="CH137" s="11"/>
      <c r="CI137" s="11"/>
      <c r="CJ137" s="11"/>
    </row>
    <row r="138" spans="2:88"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G138" s="11"/>
      <c r="CH138" s="11"/>
      <c r="CI138" s="11"/>
      <c r="CJ138" s="11"/>
    </row>
    <row r="139" spans="2:88"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G139" s="11"/>
      <c r="CH139" s="11"/>
      <c r="CI139" s="11"/>
      <c r="CJ139" s="11"/>
    </row>
    <row r="140" spans="2:88"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G140" s="11"/>
      <c r="CH140" s="11"/>
      <c r="CI140" s="11"/>
      <c r="CJ140" s="11"/>
    </row>
    <row r="141" spans="2:88"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G141" s="11"/>
      <c r="CH141" s="11"/>
      <c r="CI141" s="11"/>
      <c r="CJ141" s="11"/>
    </row>
    <row r="142" spans="2:88"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G142" s="11"/>
      <c r="CH142" s="11"/>
      <c r="CI142" s="11"/>
      <c r="CJ142" s="11"/>
    </row>
    <row r="143" spans="2:88"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G143" s="11"/>
      <c r="CH143" s="11"/>
      <c r="CI143" s="11"/>
      <c r="CJ143" s="11"/>
    </row>
    <row r="144" spans="2:88"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G144" s="11"/>
      <c r="CH144" s="11"/>
      <c r="CI144" s="11"/>
      <c r="CJ144" s="11"/>
    </row>
    <row r="145" spans="2:88"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G145" s="11"/>
      <c r="CH145" s="11"/>
      <c r="CI145" s="11"/>
      <c r="CJ145" s="11"/>
    </row>
    <row r="146" spans="2:88"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G146" s="11"/>
      <c r="CH146" s="11"/>
      <c r="CI146" s="11"/>
      <c r="CJ146" s="11"/>
    </row>
    <row r="147" spans="2:88"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G147" s="11"/>
      <c r="CH147" s="11"/>
      <c r="CI147" s="11"/>
      <c r="CJ147" s="11"/>
    </row>
    <row r="148" spans="2:88"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G148" s="11"/>
      <c r="CH148" s="11"/>
      <c r="CI148" s="11"/>
      <c r="CJ148" s="11"/>
    </row>
    <row r="149" spans="2:88"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G149" s="11"/>
      <c r="CH149" s="11"/>
      <c r="CI149" s="11"/>
      <c r="CJ149" s="11"/>
    </row>
    <row r="150" spans="2:88"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G150" s="11"/>
      <c r="CH150" s="11"/>
      <c r="CI150" s="11"/>
      <c r="CJ150" s="11"/>
    </row>
    <row r="151" spans="2:88"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G151" s="11"/>
      <c r="CH151" s="11"/>
      <c r="CI151" s="11"/>
      <c r="CJ151" s="11"/>
    </row>
    <row r="152" spans="2:88"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G152" s="11"/>
      <c r="CH152" s="11"/>
      <c r="CI152" s="11"/>
      <c r="CJ152" s="11"/>
    </row>
    <row r="153" spans="2:88"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G153" s="11"/>
      <c r="CH153" s="11"/>
      <c r="CI153" s="11"/>
      <c r="CJ153" s="11"/>
    </row>
    <row r="154" spans="2:88"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G154" s="11"/>
      <c r="CH154" s="11"/>
      <c r="CI154" s="11"/>
      <c r="CJ154" s="11"/>
    </row>
    <row r="155" spans="2:88"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G155" s="11"/>
      <c r="CH155" s="11"/>
      <c r="CI155" s="11"/>
      <c r="CJ155" s="11"/>
    </row>
    <row r="156" spans="2:88"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G156" s="11"/>
      <c r="CH156" s="11"/>
      <c r="CI156" s="11"/>
      <c r="CJ156" s="11"/>
    </row>
    <row r="157" spans="2:88"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G157" s="11"/>
      <c r="CH157" s="11"/>
      <c r="CI157" s="11"/>
      <c r="CJ157" s="11"/>
    </row>
    <row r="158" spans="2:88"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G158" s="11"/>
      <c r="CH158" s="11"/>
      <c r="CI158" s="11"/>
      <c r="CJ158" s="11"/>
    </row>
    <row r="159" spans="2:88"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G159" s="11"/>
      <c r="CH159" s="11"/>
      <c r="CI159" s="11"/>
      <c r="CJ159" s="11"/>
    </row>
    <row r="160" spans="2:88"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G160" s="11"/>
      <c r="CH160" s="11"/>
      <c r="CI160" s="11"/>
      <c r="CJ160" s="11"/>
    </row>
    <row r="161" spans="2:88"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G161" s="11"/>
      <c r="CH161" s="11"/>
      <c r="CI161" s="11"/>
      <c r="CJ161" s="11"/>
    </row>
    <row r="162" spans="2:88"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G162" s="11"/>
      <c r="CH162" s="11"/>
      <c r="CI162" s="11"/>
      <c r="CJ162" s="11"/>
    </row>
    <row r="163" spans="2:88"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G163" s="11"/>
      <c r="CH163" s="11"/>
      <c r="CI163" s="11"/>
      <c r="CJ163" s="11"/>
    </row>
    <row r="164" spans="2:88"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G164" s="11"/>
      <c r="CH164" s="11"/>
      <c r="CI164" s="11"/>
      <c r="CJ164" s="11"/>
    </row>
    <row r="165" spans="2:88"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G165" s="11"/>
      <c r="CH165" s="11"/>
      <c r="CI165" s="11"/>
      <c r="CJ165" s="11"/>
    </row>
    <row r="166" spans="2:88"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G166" s="11"/>
      <c r="CH166" s="11"/>
      <c r="CI166" s="11"/>
      <c r="CJ166" s="11"/>
    </row>
    <row r="167" spans="2:88"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G167" s="11"/>
      <c r="CH167" s="11"/>
      <c r="CI167" s="11"/>
      <c r="CJ167" s="11"/>
    </row>
    <row r="168" spans="2:88"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G168" s="11"/>
      <c r="CH168" s="11"/>
      <c r="CI168" s="11"/>
      <c r="CJ168" s="11"/>
    </row>
    <row r="169" spans="2:88"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G169" s="11"/>
      <c r="CH169" s="11"/>
      <c r="CI169" s="11"/>
      <c r="CJ169" s="11"/>
    </row>
    <row r="170" spans="2:88"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G170" s="11"/>
      <c r="CH170" s="11"/>
      <c r="CI170" s="11"/>
      <c r="CJ170" s="11"/>
    </row>
    <row r="171" spans="2:88"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G171" s="11"/>
      <c r="CH171" s="11"/>
      <c r="CI171" s="11"/>
      <c r="CJ171" s="11"/>
    </row>
    <row r="172" spans="2:88"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G172" s="11"/>
      <c r="CH172" s="11"/>
      <c r="CI172" s="11"/>
      <c r="CJ172" s="11"/>
    </row>
    <row r="173" spans="2:88"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G173" s="11"/>
      <c r="CH173" s="11"/>
      <c r="CI173" s="11"/>
      <c r="CJ173" s="11"/>
    </row>
    <row r="174" spans="2:88"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G174" s="11"/>
      <c r="CH174" s="11"/>
      <c r="CI174" s="11"/>
      <c r="CJ174" s="11"/>
    </row>
    <row r="175" spans="2:88"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G175" s="11"/>
      <c r="CH175" s="11"/>
      <c r="CI175" s="11"/>
      <c r="CJ175" s="11"/>
    </row>
    <row r="176" spans="2:88"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G176" s="11"/>
      <c r="CH176" s="11"/>
      <c r="CI176" s="11"/>
      <c r="CJ176" s="11"/>
    </row>
    <row r="177" spans="2:88"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G177" s="11"/>
      <c r="CH177" s="11"/>
      <c r="CI177" s="11"/>
      <c r="CJ177" s="11"/>
    </row>
    <row r="178" spans="2:88"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G178" s="11"/>
      <c r="CH178" s="11"/>
      <c r="CI178" s="11"/>
      <c r="CJ178" s="11"/>
    </row>
    <row r="179" spans="2:88"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G179" s="11"/>
      <c r="CH179" s="11"/>
      <c r="CI179" s="11"/>
      <c r="CJ179" s="11"/>
    </row>
    <row r="180" spans="2:88"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G180" s="11"/>
      <c r="CH180" s="11"/>
      <c r="CI180" s="11"/>
      <c r="CJ180" s="11"/>
    </row>
    <row r="181" spans="2:88"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G181" s="11"/>
      <c r="CH181" s="11"/>
      <c r="CI181" s="11"/>
      <c r="CJ181" s="11"/>
    </row>
    <row r="182" spans="2:88"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G182" s="11"/>
      <c r="CH182" s="11"/>
      <c r="CI182" s="11"/>
      <c r="CJ182" s="11"/>
    </row>
    <row r="183" spans="2:88"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G183" s="11"/>
      <c r="CH183" s="11"/>
      <c r="CI183" s="11"/>
      <c r="CJ183" s="11"/>
    </row>
    <row r="184" spans="2:88"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G184" s="11"/>
      <c r="CH184" s="11"/>
      <c r="CI184" s="11"/>
      <c r="CJ184" s="11"/>
    </row>
    <row r="185" spans="2:88"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G185" s="11"/>
      <c r="CH185" s="11"/>
      <c r="CI185" s="11"/>
      <c r="CJ185" s="11"/>
    </row>
    <row r="186" spans="2:88"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G186" s="11"/>
      <c r="CH186" s="11"/>
      <c r="CI186" s="11"/>
      <c r="CJ186" s="11"/>
    </row>
    <row r="187" spans="2:88"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G187" s="11"/>
      <c r="CH187" s="11"/>
      <c r="CI187" s="11"/>
      <c r="CJ187" s="11"/>
    </row>
    <row r="188" spans="2:88"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G188" s="11"/>
      <c r="CH188" s="11"/>
      <c r="CI188" s="11"/>
      <c r="CJ188" s="11"/>
    </row>
    <row r="189" spans="2:88"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G189" s="11"/>
      <c r="CH189" s="11"/>
      <c r="CI189" s="11"/>
      <c r="CJ189" s="11"/>
    </row>
    <row r="190" spans="2:88"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G190" s="11"/>
      <c r="CH190" s="11"/>
      <c r="CI190" s="11"/>
      <c r="CJ190" s="11"/>
    </row>
    <row r="191" spans="2:88"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G191" s="11"/>
      <c r="CH191" s="11"/>
      <c r="CI191" s="11"/>
      <c r="CJ191" s="11"/>
    </row>
    <row r="192" spans="2:88"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G192" s="11"/>
      <c r="CH192" s="11"/>
      <c r="CI192" s="11"/>
      <c r="CJ192" s="11"/>
    </row>
    <row r="193" spans="2:88"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G193" s="11"/>
      <c r="CH193" s="11"/>
      <c r="CI193" s="11"/>
      <c r="CJ193" s="11"/>
    </row>
    <row r="194" spans="2:88"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G194" s="11"/>
      <c r="CH194" s="11"/>
      <c r="CI194" s="11"/>
      <c r="CJ194" s="11"/>
    </row>
    <row r="195" spans="2:88"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G195" s="11"/>
      <c r="CH195" s="11"/>
      <c r="CI195" s="11"/>
      <c r="CJ195" s="11"/>
    </row>
    <row r="196" spans="2:88"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G196" s="11"/>
      <c r="CH196" s="11"/>
      <c r="CI196" s="11"/>
      <c r="CJ196" s="11"/>
    </row>
    <row r="197" spans="2:88"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G197" s="11"/>
      <c r="CH197" s="11"/>
      <c r="CI197" s="11"/>
      <c r="CJ197" s="11"/>
    </row>
    <row r="198" spans="2:88"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G198" s="11"/>
      <c r="CH198" s="11"/>
      <c r="CI198" s="11"/>
      <c r="CJ198" s="11"/>
    </row>
    <row r="199" spans="2:88"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G199" s="11"/>
      <c r="CH199" s="11"/>
      <c r="CI199" s="11"/>
      <c r="CJ199" s="11"/>
    </row>
    <row r="200" spans="2:88"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G200" s="11"/>
      <c r="CH200" s="11"/>
      <c r="CI200" s="11"/>
      <c r="CJ200" s="11"/>
    </row>
    <row r="201" spans="2:88"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G201" s="11"/>
      <c r="CH201" s="11"/>
      <c r="CI201" s="11"/>
      <c r="CJ201" s="11"/>
    </row>
    <row r="202" spans="2:88"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G202" s="11"/>
      <c r="CH202" s="11"/>
      <c r="CI202" s="11"/>
      <c r="CJ202" s="11"/>
    </row>
    <row r="203" spans="2:88"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G203" s="11"/>
      <c r="CH203" s="11"/>
      <c r="CI203" s="11"/>
      <c r="CJ203" s="11"/>
    </row>
    <row r="204" spans="2:88"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G204" s="11"/>
      <c r="CH204" s="11"/>
      <c r="CI204" s="11"/>
      <c r="CJ204" s="11"/>
    </row>
    <row r="205" spans="2:88"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G205" s="11"/>
      <c r="CH205" s="11"/>
      <c r="CI205" s="11"/>
      <c r="CJ205" s="11"/>
    </row>
    <row r="206" spans="2:88"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G206" s="11"/>
      <c r="CH206" s="11"/>
      <c r="CI206" s="11"/>
      <c r="CJ206" s="11"/>
    </row>
    <row r="207" spans="2:88"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G207" s="11"/>
      <c r="CH207" s="11"/>
      <c r="CI207" s="11"/>
      <c r="CJ207" s="11"/>
    </row>
    <row r="208" spans="2:88"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G208" s="11"/>
      <c r="CH208" s="11"/>
      <c r="CI208" s="11"/>
      <c r="CJ208" s="11"/>
    </row>
    <row r="209" spans="2:88"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G209" s="11"/>
      <c r="CH209" s="11"/>
      <c r="CI209" s="11"/>
      <c r="CJ209" s="11"/>
    </row>
    <row r="210" spans="2:88"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G210" s="11"/>
      <c r="CH210" s="11"/>
      <c r="CI210" s="11"/>
      <c r="CJ210" s="11"/>
    </row>
    <row r="211" spans="2:88"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G211" s="11"/>
      <c r="CH211" s="11"/>
      <c r="CI211" s="11"/>
      <c r="CJ211" s="11"/>
    </row>
    <row r="212" spans="2:88"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G212" s="11"/>
      <c r="CH212" s="11"/>
      <c r="CI212" s="11"/>
      <c r="CJ212" s="11"/>
    </row>
    <row r="213" spans="2:88"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G213" s="11"/>
      <c r="CH213" s="11"/>
      <c r="CI213" s="11"/>
      <c r="CJ213" s="11"/>
    </row>
    <row r="214" spans="2:88"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G214" s="11"/>
      <c r="CH214" s="11"/>
      <c r="CI214" s="11"/>
      <c r="CJ214" s="11"/>
    </row>
    <row r="215" spans="2:88"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G215" s="11"/>
      <c r="CH215" s="11"/>
      <c r="CI215" s="11"/>
      <c r="CJ215" s="11"/>
    </row>
    <row r="216" spans="2:88"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G216" s="11"/>
      <c r="CH216" s="11"/>
      <c r="CI216" s="11"/>
      <c r="CJ216" s="11"/>
    </row>
    <row r="217" spans="2:88"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G217" s="11"/>
      <c r="CH217" s="11"/>
      <c r="CI217" s="11"/>
      <c r="CJ217" s="11"/>
    </row>
    <row r="218" spans="2:88"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G218" s="11"/>
      <c r="CH218" s="11"/>
      <c r="CI218" s="11"/>
      <c r="CJ218" s="11"/>
    </row>
    <row r="219" spans="2:88"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G219" s="11"/>
      <c r="CH219" s="11"/>
      <c r="CI219" s="11"/>
      <c r="CJ219" s="11"/>
    </row>
    <row r="220" spans="2:88"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G220" s="11"/>
      <c r="CH220" s="11"/>
      <c r="CI220" s="11"/>
      <c r="CJ220" s="11"/>
    </row>
    <row r="221" spans="2:88"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G221" s="11"/>
      <c r="CH221" s="11"/>
      <c r="CI221" s="11"/>
      <c r="CJ221" s="11"/>
    </row>
    <row r="222" spans="2:88"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G222" s="11"/>
      <c r="CH222" s="11"/>
      <c r="CI222" s="11"/>
      <c r="CJ222" s="11"/>
    </row>
    <row r="223" spans="2:88"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G223" s="11"/>
      <c r="CH223" s="11"/>
      <c r="CI223" s="11"/>
      <c r="CJ223" s="11"/>
    </row>
    <row r="224" spans="2:88"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G224" s="11"/>
      <c r="CH224" s="11"/>
      <c r="CI224" s="11"/>
      <c r="CJ224" s="11"/>
    </row>
    <row r="225" spans="2:88"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G225" s="11"/>
      <c r="CH225" s="11"/>
      <c r="CI225" s="11"/>
      <c r="CJ225" s="11"/>
    </row>
    <row r="226" spans="2:88"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G226" s="11"/>
      <c r="CH226" s="11"/>
      <c r="CI226" s="11"/>
      <c r="CJ226" s="11"/>
    </row>
    <row r="227" spans="2:88"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G227" s="11"/>
      <c r="CH227" s="11"/>
      <c r="CI227" s="11"/>
      <c r="CJ227" s="11"/>
    </row>
    <row r="228" spans="2:88"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G228" s="11"/>
      <c r="CH228" s="11"/>
      <c r="CI228" s="11"/>
      <c r="CJ228" s="11"/>
    </row>
    <row r="229" spans="2:88"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G229" s="11"/>
      <c r="CH229" s="11"/>
      <c r="CI229" s="11"/>
      <c r="CJ229" s="11"/>
    </row>
    <row r="230" spans="2:88"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G230" s="11"/>
      <c r="CH230" s="11"/>
      <c r="CI230" s="11"/>
      <c r="CJ230" s="11"/>
    </row>
    <row r="231" spans="2:88"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G231" s="11"/>
      <c r="CH231" s="11"/>
      <c r="CI231" s="11"/>
      <c r="CJ231" s="11"/>
    </row>
    <row r="232" spans="2:88"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G232" s="11"/>
      <c r="CH232" s="11"/>
      <c r="CI232" s="11"/>
      <c r="CJ232" s="11"/>
    </row>
    <row r="233" spans="2:88"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G233" s="11"/>
      <c r="CH233" s="11"/>
      <c r="CI233" s="11"/>
      <c r="CJ233" s="11"/>
    </row>
    <row r="234" spans="2:88"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G234" s="11"/>
      <c r="CH234" s="11"/>
      <c r="CI234" s="11"/>
      <c r="CJ234" s="11"/>
    </row>
    <row r="235" spans="2:88"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G235" s="11"/>
      <c r="CH235" s="11"/>
      <c r="CI235" s="11"/>
      <c r="CJ235" s="11"/>
    </row>
    <row r="236" spans="2:88"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G236" s="11"/>
      <c r="CH236" s="11"/>
      <c r="CI236" s="11"/>
      <c r="CJ236" s="11"/>
    </row>
    <row r="237" spans="2:88"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G237" s="11"/>
      <c r="CH237" s="11"/>
      <c r="CI237" s="11"/>
      <c r="CJ237" s="11"/>
    </row>
    <row r="238" spans="2:88"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G238" s="11"/>
      <c r="CH238" s="11"/>
      <c r="CI238" s="11"/>
      <c r="CJ238" s="11"/>
    </row>
    <row r="239" spans="2:88"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G239" s="11"/>
      <c r="CH239" s="11"/>
      <c r="CI239" s="11"/>
      <c r="CJ239" s="11"/>
    </row>
    <row r="240" spans="2:88"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G240" s="11"/>
      <c r="CH240" s="11"/>
      <c r="CI240" s="11"/>
      <c r="CJ240" s="11"/>
    </row>
    <row r="241" spans="2:88"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G241" s="11"/>
      <c r="CH241" s="11"/>
      <c r="CI241" s="11"/>
      <c r="CJ241" s="11"/>
    </row>
    <row r="242" spans="2:88"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G242" s="11"/>
      <c r="CH242" s="11"/>
      <c r="CI242" s="11"/>
      <c r="CJ242" s="11"/>
    </row>
    <row r="243" spans="2:88"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G243" s="11"/>
      <c r="CH243" s="11"/>
      <c r="CI243" s="11"/>
      <c r="CJ243" s="11"/>
    </row>
    <row r="244" spans="2:88"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G244" s="11"/>
      <c r="CH244" s="11"/>
      <c r="CI244" s="11"/>
      <c r="CJ244" s="11"/>
    </row>
    <row r="245" spans="2:88"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G245" s="11"/>
      <c r="CH245" s="11"/>
      <c r="CI245" s="11"/>
      <c r="CJ245" s="11"/>
    </row>
    <row r="246" spans="2:88"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G246" s="11"/>
      <c r="CH246" s="11"/>
      <c r="CI246" s="11"/>
      <c r="CJ246" s="11"/>
    </row>
    <row r="247" spans="2:88"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G247" s="11"/>
      <c r="CH247" s="11"/>
      <c r="CI247" s="11"/>
      <c r="CJ247" s="11"/>
    </row>
    <row r="248" spans="2:88"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G248" s="11"/>
      <c r="CH248" s="11"/>
      <c r="CI248" s="11"/>
      <c r="CJ248" s="11"/>
    </row>
    <row r="249" spans="2:88"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G249" s="11"/>
      <c r="CH249" s="11"/>
      <c r="CI249" s="11"/>
      <c r="CJ249" s="11"/>
    </row>
    <row r="250" spans="2:88"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G250" s="11"/>
      <c r="CH250" s="11"/>
      <c r="CI250" s="11"/>
      <c r="CJ250" s="11"/>
    </row>
    <row r="251" spans="2:88"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  <c r="CA251" s="11"/>
      <c r="CB251" s="11"/>
      <c r="CC251" s="11"/>
      <c r="CD251" s="11"/>
      <c r="CG251" s="11"/>
      <c r="CH251" s="11"/>
      <c r="CI251" s="11"/>
      <c r="CJ251" s="11"/>
    </row>
    <row r="252" spans="2:88"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  <c r="CA252" s="11"/>
      <c r="CB252" s="11"/>
      <c r="CC252" s="11"/>
      <c r="CD252" s="11"/>
      <c r="CG252" s="11"/>
      <c r="CH252" s="11"/>
      <c r="CI252" s="11"/>
      <c r="CJ252" s="11"/>
    </row>
    <row r="253" spans="2:88"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  <c r="CA253" s="11"/>
      <c r="CB253" s="11"/>
      <c r="CC253" s="11"/>
      <c r="CD253" s="11"/>
      <c r="CG253" s="11"/>
      <c r="CH253" s="11"/>
      <c r="CI253" s="11"/>
      <c r="CJ253" s="11"/>
    </row>
    <row r="254" spans="2:88"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  <c r="CA254" s="11"/>
      <c r="CB254" s="11"/>
      <c r="CC254" s="11"/>
      <c r="CD254" s="11"/>
      <c r="CG254" s="11"/>
      <c r="CH254" s="11"/>
      <c r="CI254" s="11"/>
      <c r="CJ254" s="11"/>
    </row>
    <row r="255" spans="2:88"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  <c r="CA255" s="11"/>
      <c r="CB255" s="11"/>
      <c r="CC255" s="11"/>
      <c r="CD255" s="11"/>
      <c r="CG255" s="11"/>
      <c r="CH255" s="11"/>
      <c r="CI255" s="11"/>
      <c r="CJ255" s="11"/>
    </row>
    <row r="256" spans="2:88"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G256" s="11"/>
      <c r="CH256" s="11"/>
      <c r="CI256" s="11"/>
      <c r="CJ256" s="11"/>
    </row>
    <row r="257" spans="2:88"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  <c r="CA257" s="11"/>
      <c r="CB257" s="11"/>
      <c r="CC257" s="11"/>
      <c r="CD257" s="11"/>
      <c r="CG257" s="11"/>
      <c r="CH257" s="11"/>
      <c r="CI257" s="11"/>
      <c r="CJ257" s="11"/>
    </row>
    <row r="258" spans="2:88"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G258" s="11"/>
      <c r="CH258" s="11"/>
      <c r="CI258" s="11"/>
      <c r="CJ258" s="11"/>
    </row>
    <row r="259" spans="2:88"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G259" s="11"/>
      <c r="CH259" s="11"/>
      <c r="CI259" s="11"/>
      <c r="CJ259" s="11"/>
    </row>
    <row r="260" spans="2:88"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G260" s="11"/>
      <c r="CH260" s="11"/>
      <c r="CI260" s="11"/>
      <c r="CJ260" s="11"/>
    </row>
    <row r="261" spans="2:88"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  <c r="BZ261" s="11"/>
      <c r="CA261" s="11"/>
      <c r="CB261" s="11"/>
      <c r="CC261" s="11"/>
      <c r="CD261" s="11"/>
      <c r="CG261" s="11"/>
      <c r="CH261" s="11"/>
      <c r="CI261" s="11"/>
      <c r="CJ261" s="11"/>
    </row>
    <row r="262" spans="2:88"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  <c r="CA262" s="11"/>
      <c r="CB262" s="11"/>
      <c r="CC262" s="11"/>
      <c r="CD262" s="11"/>
      <c r="CG262" s="11"/>
      <c r="CH262" s="11"/>
      <c r="CI262" s="11"/>
      <c r="CJ262" s="11"/>
    </row>
    <row r="263" spans="2:88"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  <c r="CA263" s="11"/>
      <c r="CB263" s="11"/>
      <c r="CC263" s="11"/>
      <c r="CD263" s="11"/>
      <c r="CG263" s="11"/>
      <c r="CH263" s="11"/>
      <c r="CI263" s="11"/>
      <c r="CJ263" s="11"/>
    </row>
    <row r="264" spans="2:88"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G264" s="11"/>
      <c r="CH264" s="11"/>
      <c r="CI264" s="11"/>
      <c r="CJ264" s="11"/>
    </row>
    <row r="265" spans="2:88"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  <c r="CA265" s="11"/>
      <c r="CB265" s="11"/>
      <c r="CC265" s="11"/>
      <c r="CD265" s="11"/>
      <c r="CG265" s="11"/>
      <c r="CH265" s="11"/>
      <c r="CI265" s="11"/>
      <c r="CJ265" s="11"/>
    </row>
    <row r="266" spans="2:88"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G266" s="11"/>
      <c r="CH266" s="11"/>
      <c r="CI266" s="11"/>
      <c r="CJ266" s="11"/>
    </row>
    <row r="267" spans="2:88"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  <c r="CA267" s="11"/>
      <c r="CB267" s="11"/>
      <c r="CC267" s="11"/>
      <c r="CD267" s="11"/>
      <c r="CG267" s="11"/>
      <c r="CH267" s="11"/>
      <c r="CI267" s="11"/>
      <c r="CJ267" s="11"/>
    </row>
    <row r="268" spans="2:88"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  <c r="CA268" s="11"/>
      <c r="CB268" s="11"/>
      <c r="CC268" s="11"/>
      <c r="CD268" s="11"/>
      <c r="CG268" s="11"/>
      <c r="CH268" s="11"/>
      <c r="CI268" s="11"/>
      <c r="CJ268" s="11"/>
    </row>
    <row r="269" spans="2:88"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G269" s="11"/>
      <c r="CH269" s="11"/>
      <c r="CI269" s="11"/>
      <c r="CJ269" s="11"/>
    </row>
    <row r="270" spans="2:88"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  <c r="CA270" s="11"/>
      <c r="CB270" s="11"/>
      <c r="CC270" s="11"/>
      <c r="CD270" s="11"/>
      <c r="CG270" s="11"/>
      <c r="CH270" s="11"/>
      <c r="CI270" s="11"/>
      <c r="CJ270" s="11"/>
    </row>
    <row r="271" spans="2:88"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  <c r="CA271" s="11"/>
      <c r="CB271" s="11"/>
      <c r="CC271" s="11"/>
      <c r="CD271" s="11"/>
      <c r="CG271" s="11"/>
      <c r="CH271" s="11"/>
      <c r="CI271" s="11"/>
      <c r="CJ271" s="11"/>
    </row>
    <row r="272" spans="2:88"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  <c r="CA272" s="11"/>
      <c r="CB272" s="11"/>
      <c r="CC272" s="11"/>
      <c r="CD272" s="11"/>
      <c r="CG272" s="11"/>
      <c r="CH272" s="11"/>
      <c r="CI272" s="11"/>
      <c r="CJ272" s="11"/>
    </row>
    <row r="273" spans="2:88"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  <c r="CA273" s="11"/>
      <c r="CB273" s="11"/>
      <c r="CC273" s="11"/>
      <c r="CD273" s="11"/>
      <c r="CG273" s="11"/>
      <c r="CH273" s="11"/>
      <c r="CI273" s="11"/>
      <c r="CJ273" s="11"/>
    </row>
    <row r="274" spans="2:88"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  <c r="CA274" s="11"/>
      <c r="CB274" s="11"/>
      <c r="CC274" s="11"/>
      <c r="CD274" s="11"/>
      <c r="CG274" s="11"/>
      <c r="CH274" s="11"/>
      <c r="CI274" s="11"/>
      <c r="CJ274" s="11"/>
    </row>
    <row r="275" spans="2:88"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G275" s="11"/>
      <c r="CH275" s="11"/>
      <c r="CI275" s="11"/>
      <c r="CJ275" s="11"/>
    </row>
    <row r="276" spans="2:88"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  <c r="CA276" s="11"/>
      <c r="CB276" s="11"/>
      <c r="CC276" s="11"/>
      <c r="CD276" s="11"/>
      <c r="CG276" s="11"/>
      <c r="CH276" s="11"/>
      <c r="CI276" s="11"/>
      <c r="CJ276" s="11"/>
    </row>
    <row r="277" spans="2:88"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G277" s="11"/>
      <c r="CH277" s="11"/>
      <c r="CI277" s="11"/>
      <c r="CJ277" s="11"/>
    </row>
    <row r="278" spans="2:88"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  <c r="CA278" s="11"/>
      <c r="CB278" s="11"/>
      <c r="CC278" s="11"/>
      <c r="CD278" s="11"/>
      <c r="CG278" s="11"/>
      <c r="CH278" s="11"/>
      <c r="CI278" s="11"/>
      <c r="CJ278" s="11"/>
    </row>
    <row r="279" spans="2:88"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G279" s="11"/>
      <c r="CH279" s="11"/>
      <c r="CI279" s="11"/>
      <c r="CJ279" s="11"/>
    </row>
    <row r="280" spans="2:88"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G280" s="11"/>
      <c r="CH280" s="11"/>
      <c r="CI280" s="11"/>
      <c r="CJ280" s="11"/>
    </row>
    <row r="281" spans="2:88"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  <c r="CA281" s="11"/>
      <c r="CB281" s="11"/>
      <c r="CC281" s="11"/>
      <c r="CD281" s="11"/>
      <c r="CG281" s="11"/>
      <c r="CH281" s="11"/>
      <c r="CI281" s="11"/>
      <c r="CJ281" s="11"/>
    </row>
    <row r="282" spans="2:88"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  <c r="BZ282" s="11"/>
      <c r="CA282" s="11"/>
      <c r="CB282" s="11"/>
      <c r="CC282" s="11"/>
      <c r="CD282" s="11"/>
      <c r="CG282" s="11"/>
      <c r="CH282" s="11"/>
      <c r="CI282" s="11"/>
      <c r="CJ282" s="11"/>
    </row>
    <row r="283" spans="2:88"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  <c r="CA283" s="11"/>
      <c r="CB283" s="11"/>
      <c r="CC283" s="11"/>
      <c r="CD283" s="11"/>
      <c r="CG283" s="11"/>
      <c r="CH283" s="11"/>
      <c r="CI283" s="11"/>
      <c r="CJ283" s="11"/>
    </row>
    <row r="284" spans="2:88"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  <c r="CA284" s="11"/>
      <c r="CB284" s="11"/>
      <c r="CC284" s="11"/>
      <c r="CD284" s="11"/>
      <c r="CG284" s="11"/>
      <c r="CH284" s="11"/>
      <c r="CI284" s="11"/>
      <c r="CJ284" s="11"/>
    </row>
    <row r="285" spans="2:88"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  <c r="CA285" s="11"/>
      <c r="CB285" s="11"/>
      <c r="CC285" s="11"/>
      <c r="CD285" s="11"/>
      <c r="CG285" s="11"/>
      <c r="CH285" s="11"/>
      <c r="CI285" s="11"/>
      <c r="CJ285" s="11"/>
    </row>
    <row r="286" spans="2:88"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  <c r="CA286" s="11"/>
      <c r="CB286" s="11"/>
      <c r="CC286" s="11"/>
      <c r="CD286" s="11"/>
      <c r="CG286" s="11"/>
      <c r="CH286" s="11"/>
      <c r="CI286" s="11"/>
      <c r="CJ286" s="11"/>
    </row>
    <row r="287" spans="2:88"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  <c r="CA287" s="11"/>
      <c r="CB287" s="11"/>
      <c r="CC287" s="11"/>
      <c r="CD287" s="11"/>
      <c r="CG287" s="11"/>
      <c r="CH287" s="11"/>
      <c r="CI287" s="11"/>
      <c r="CJ287" s="11"/>
    </row>
    <row r="288" spans="2:88"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  <c r="CA288" s="11"/>
      <c r="CB288" s="11"/>
      <c r="CC288" s="11"/>
      <c r="CD288" s="11"/>
      <c r="CG288" s="11"/>
      <c r="CH288" s="11"/>
      <c r="CI288" s="11"/>
      <c r="CJ288" s="11"/>
    </row>
    <row r="289" spans="2:88"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  <c r="CA289" s="11"/>
      <c r="CB289" s="11"/>
      <c r="CC289" s="11"/>
      <c r="CD289" s="11"/>
      <c r="CG289" s="11"/>
      <c r="CH289" s="11"/>
      <c r="CI289" s="11"/>
      <c r="CJ289" s="11"/>
    </row>
    <row r="290" spans="2:88"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G290" s="11"/>
      <c r="CH290" s="11"/>
      <c r="CI290" s="11"/>
      <c r="CJ290" s="11"/>
    </row>
    <row r="291" spans="2:88"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  <c r="CA291" s="11"/>
      <c r="CB291" s="11"/>
      <c r="CC291" s="11"/>
      <c r="CD291" s="11"/>
      <c r="CG291" s="11"/>
      <c r="CH291" s="11"/>
      <c r="CI291" s="11"/>
      <c r="CJ291" s="11"/>
    </row>
    <row r="292" spans="2:88"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  <c r="CA292" s="11"/>
      <c r="CB292" s="11"/>
      <c r="CC292" s="11"/>
      <c r="CD292" s="11"/>
      <c r="CG292" s="11"/>
      <c r="CH292" s="11"/>
      <c r="CI292" s="11"/>
      <c r="CJ292" s="11"/>
    </row>
    <row r="293" spans="2:88"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  <c r="CA293" s="11"/>
      <c r="CB293" s="11"/>
      <c r="CC293" s="11"/>
      <c r="CD293" s="11"/>
      <c r="CG293" s="11"/>
      <c r="CH293" s="11"/>
      <c r="CI293" s="11"/>
      <c r="CJ293" s="11"/>
    </row>
    <row r="294" spans="2:88"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G294" s="11"/>
      <c r="CH294" s="11"/>
      <c r="CI294" s="11"/>
      <c r="CJ294" s="11"/>
    </row>
    <row r="295" spans="2:88"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  <c r="CA295" s="11"/>
      <c r="CB295" s="11"/>
      <c r="CC295" s="11"/>
      <c r="CD295" s="11"/>
      <c r="CG295" s="11"/>
      <c r="CH295" s="11"/>
      <c r="CI295" s="11"/>
      <c r="CJ295" s="11"/>
    </row>
    <row r="296" spans="2:88"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G296" s="11"/>
      <c r="CH296" s="11"/>
      <c r="CI296" s="11"/>
      <c r="CJ296" s="11"/>
    </row>
    <row r="297" spans="2:88"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  <c r="CA297" s="11"/>
      <c r="CB297" s="11"/>
      <c r="CC297" s="11"/>
      <c r="CD297" s="11"/>
      <c r="CG297" s="11"/>
      <c r="CH297" s="11"/>
      <c r="CI297" s="11"/>
      <c r="CJ297" s="11"/>
    </row>
    <row r="298" spans="2:88"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  <c r="CA298" s="11"/>
      <c r="CB298" s="11"/>
      <c r="CC298" s="11"/>
      <c r="CD298" s="11"/>
      <c r="CG298" s="11"/>
      <c r="CH298" s="11"/>
      <c r="CI298" s="11"/>
      <c r="CJ298" s="11"/>
    </row>
    <row r="299" spans="2:88"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G299" s="11"/>
      <c r="CH299" s="11"/>
      <c r="CI299" s="11"/>
      <c r="CJ299" s="11"/>
    </row>
    <row r="300" spans="2:88"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  <c r="CA300" s="11"/>
      <c r="CB300" s="11"/>
      <c r="CC300" s="11"/>
      <c r="CD300" s="11"/>
      <c r="CG300" s="11"/>
      <c r="CH300" s="11"/>
      <c r="CI300" s="11"/>
      <c r="CJ300" s="11"/>
    </row>
    <row r="301" spans="2:88"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  <c r="BZ301" s="11"/>
      <c r="CA301" s="11"/>
      <c r="CB301" s="11"/>
      <c r="CC301" s="11"/>
      <c r="CD301" s="11"/>
      <c r="CG301" s="11"/>
      <c r="CH301" s="11"/>
      <c r="CI301" s="11"/>
      <c r="CJ301" s="11"/>
    </row>
    <row r="302" spans="2:88"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G302" s="11"/>
      <c r="CH302" s="11"/>
      <c r="CI302" s="11"/>
      <c r="CJ302" s="11"/>
    </row>
    <row r="303" spans="2:88"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  <c r="BZ303" s="11"/>
      <c r="CA303" s="11"/>
      <c r="CB303" s="11"/>
      <c r="CC303" s="11"/>
      <c r="CD303" s="11"/>
      <c r="CG303" s="11"/>
      <c r="CH303" s="11"/>
      <c r="CI303" s="11"/>
      <c r="CJ303" s="11"/>
    </row>
    <row r="304" spans="2:88"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G304" s="11"/>
      <c r="CH304" s="11"/>
      <c r="CI304" s="11"/>
      <c r="CJ304" s="11"/>
    </row>
    <row r="305" spans="2:88"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  <c r="BZ305" s="11"/>
      <c r="CA305" s="11"/>
      <c r="CB305" s="11"/>
      <c r="CC305" s="11"/>
      <c r="CD305" s="11"/>
      <c r="CG305" s="11"/>
      <c r="CH305" s="11"/>
      <c r="CI305" s="11"/>
      <c r="CJ305" s="11"/>
    </row>
    <row r="306" spans="2:88"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  <c r="BZ306" s="11"/>
      <c r="CA306" s="11"/>
      <c r="CB306" s="11"/>
      <c r="CC306" s="11"/>
      <c r="CD306" s="11"/>
      <c r="CG306" s="11"/>
      <c r="CH306" s="11"/>
      <c r="CI306" s="11"/>
      <c r="CJ306" s="11"/>
    </row>
    <row r="307" spans="2:88"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  <c r="BZ307" s="11"/>
      <c r="CA307" s="11"/>
      <c r="CB307" s="11"/>
      <c r="CC307" s="11"/>
      <c r="CD307" s="11"/>
      <c r="CG307" s="11"/>
      <c r="CH307" s="11"/>
      <c r="CI307" s="11"/>
      <c r="CJ307" s="11"/>
    </row>
    <row r="308" spans="2:88"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  <c r="BZ308" s="11"/>
      <c r="CA308" s="11"/>
      <c r="CB308" s="11"/>
      <c r="CC308" s="11"/>
      <c r="CD308" s="11"/>
      <c r="CG308" s="11"/>
      <c r="CH308" s="11"/>
      <c r="CI308" s="11"/>
      <c r="CJ308" s="11"/>
    </row>
    <row r="309" spans="2:88"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  <c r="BZ309" s="11"/>
      <c r="CA309" s="11"/>
      <c r="CB309" s="11"/>
      <c r="CC309" s="11"/>
      <c r="CD309" s="11"/>
      <c r="CG309" s="11"/>
      <c r="CH309" s="11"/>
      <c r="CI309" s="11"/>
      <c r="CJ309" s="11"/>
    </row>
    <row r="310" spans="2:88"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G310" s="11"/>
      <c r="CH310" s="11"/>
      <c r="CI310" s="11"/>
      <c r="CJ310" s="11"/>
    </row>
    <row r="311" spans="2:88"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G311" s="11"/>
      <c r="CH311" s="11"/>
      <c r="CI311" s="11"/>
      <c r="CJ311" s="11"/>
    </row>
    <row r="312" spans="2:88"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  <c r="BZ312" s="11"/>
      <c r="CA312" s="11"/>
      <c r="CB312" s="11"/>
      <c r="CC312" s="11"/>
      <c r="CD312" s="11"/>
      <c r="CG312" s="11"/>
      <c r="CH312" s="11"/>
      <c r="CI312" s="11"/>
      <c r="CJ312" s="11"/>
    </row>
    <row r="313" spans="2:88"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  <c r="BZ313" s="11"/>
      <c r="CA313" s="11"/>
      <c r="CB313" s="11"/>
      <c r="CC313" s="11"/>
      <c r="CD313" s="11"/>
      <c r="CG313" s="11"/>
      <c r="CH313" s="11"/>
      <c r="CI313" s="11"/>
      <c r="CJ313" s="11"/>
    </row>
    <row r="314" spans="2:88"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  <c r="BZ314" s="11"/>
      <c r="CA314" s="11"/>
      <c r="CB314" s="11"/>
      <c r="CC314" s="11"/>
      <c r="CD314" s="11"/>
      <c r="CG314" s="11"/>
      <c r="CH314" s="11"/>
      <c r="CI314" s="11"/>
      <c r="CJ314" s="11"/>
    </row>
    <row r="315" spans="2:88"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G315" s="11"/>
      <c r="CH315" s="11"/>
      <c r="CI315" s="11"/>
      <c r="CJ315" s="11"/>
    </row>
    <row r="316" spans="2:88"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G316" s="11"/>
      <c r="CH316" s="11"/>
      <c r="CI316" s="11"/>
      <c r="CJ316" s="11"/>
    </row>
    <row r="317" spans="2:88"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G317" s="11"/>
      <c r="CH317" s="11"/>
      <c r="CI317" s="11"/>
      <c r="CJ317" s="11"/>
    </row>
    <row r="318" spans="2:88"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  <c r="BZ318" s="11"/>
      <c r="CA318" s="11"/>
      <c r="CB318" s="11"/>
      <c r="CC318" s="11"/>
      <c r="CD318" s="11"/>
      <c r="CG318" s="11"/>
      <c r="CH318" s="11"/>
      <c r="CI318" s="11"/>
      <c r="CJ318" s="11"/>
    </row>
    <row r="319" spans="2:88"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  <c r="BZ319" s="11"/>
      <c r="CA319" s="11"/>
      <c r="CB319" s="11"/>
      <c r="CC319" s="11"/>
      <c r="CD319" s="11"/>
      <c r="CG319" s="11"/>
      <c r="CH319" s="11"/>
      <c r="CI319" s="11"/>
      <c r="CJ319" s="11"/>
    </row>
    <row r="320" spans="2:88"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G320" s="11"/>
      <c r="CH320" s="11"/>
      <c r="CI320" s="11"/>
      <c r="CJ320" s="11"/>
    </row>
    <row r="321" spans="2:88"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  <c r="BZ321" s="11"/>
      <c r="CA321" s="11"/>
      <c r="CB321" s="11"/>
      <c r="CC321" s="11"/>
      <c r="CD321" s="11"/>
      <c r="CG321" s="11"/>
      <c r="CH321" s="11"/>
      <c r="CI321" s="11"/>
      <c r="CJ321" s="11"/>
    </row>
    <row r="322" spans="2:88"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G322" s="11"/>
      <c r="CH322" s="11"/>
      <c r="CI322" s="11"/>
      <c r="CJ322" s="11"/>
    </row>
    <row r="323" spans="2:88"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G323" s="11"/>
      <c r="CH323" s="11"/>
      <c r="CI323" s="11"/>
      <c r="CJ323" s="11"/>
    </row>
    <row r="324" spans="2:88"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G324" s="11"/>
      <c r="CH324" s="11"/>
      <c r="CI324" s="11"/>
      <c r="CJ324" s="11"/>
    </row>
    <row r="325" spans="2:88"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  <c r="BZ325" s="11"/>
      <c r="CA325" s="11"/>
      <c r="CB325" s="11"/>
      <c r="CC325" s="11"/>
      <c r="CD325" s="11"/>
      <c r="CG325" s="11"/>
      <c r="CH325" s="11"/>
      <c r="CI325" s="11"/>
      <c r="CJ325" s="11"/>
    </row>
    <row r="326" spans="2:88"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G326" s="11"/>
      <c r="CH326" s="11"/>
      <c r="CI326" s="11"/>
      <c r="CJ326" s="11"/>
    </row>
    <row r="327" spans="2:88"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  <c r="BZ327" s="11"/>
      <c r="CA327" s="11"/>
      <c r="CB327" s="11"/>
      <c r="CC327" s="11"/>
      <c r="CD327" s="11"/>
      <c r="CG327" s="11"/>
      <c r="CH327" s="11"/>
      <c r="CI327" s="11"/>
      <c r="CJ327" s="11"/>
    </row>
    <row r="328" spans="2:88"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G328" s="11"/>
      <c r="CH328" s="11"/>
      <c r="CI328" s="11"/>
      <c r="CJ328" s="11"/>
    </row>
    <row r="329" spans="2:88"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  <c r="BZ329" s="11"/>
      <c r="CA329" s="11"/>
      <c r="CB329" s="11"/>
      <c r="CC329" s="11"/>
      <c r="CD329" s="11"/>
      <c r="CG329" s="11"/>
      <c r="CH329" s="11"/>
      <c r="CI329" s="11"/>
      <c r="CJ329" s="11"/>
    </row>
    <row r="330" spans="2:88"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  <c r="BZ330" s="11"/>
      <c r="CA330" s="11"/>
      <c r="CB330" s="11"/>
      <c r="CC330" s="11"/>
      <c r="CD330" s="11"/>
      <c r="CG330" s="11"/>
      <c r="CH330" s="11"/>
      <c r="CI330" s="11"/>
      <c r="CJ330" s="11"/>
    </row>
    <row r="331" spans="2:88"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  <c r="BZ331" s="11"/>
      <c r="CA331" s="11"/>
      <c r="CB331" s="11"/>
      <c r="CC331" s="11"/>
      <c r="CD331" s="11"/>
      <c r="CG331" s="11"/>
      <c r="CH331" s="11"/>
      <c r="CI331" s="11"/>
      <c r="CJ331" s="11"/>
    </row>
    <row r="332" spans="2:88"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G332" s="11"/>
      <c r="CH332" s="11"/>
      <c r="CI332" s="11"/>
      <c r="CJ332" s="11"/>
    </row>
    <row r="333" spans="2:88"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G333" s="11"/>
      <c r="CH333" s="11"/>
      <c r="CI333" s="11"/>
      <c r="CJ333" s="11"/>
    </row>
    <row r="334" spans="2:88"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G334" s="11"/>
      <c r="CH334" s="11"/>
      <c r="CI334" s="11"/>
      <c r="CJ334" s="11"/>
    </row>
    <row r="335" spans="2:88"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G335" s="11"/>
      <c r="CH335" s="11"/>
      <c r="CI335" s="11"/>
      <c r="CJ335" s="11"/>
    </row>
    <row r="336" spans="2:88"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G336" s="11"/>
      <c r="CH336" s="11"/>
      <c r="CI336" s="11"/>
      <c r="CJ336" s="11"/>
    </row>
    <row r="337" spans="2:88"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  <c r="BZ337" s="11"/>
      <c r="CA337" s="11"/>
      <c r="CB337" s="11"/>
      <c r="CC337" s="11"/>
      <c r="CD337" s="11"/>
      <c r="CG337" s="11"/>
      <c r="CH337" s="11"/>
      <c r="CI337" s="11"/>
      <c r="CJ337" s="11"/>
    </row>
    <row r="338" spans="2:88"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G338" s="11"/>
      <c r="CH338" s="11"/>
      <c r="CI338" s="11"/>
      <c r="CJ338" s="11"/>
    </row>
    <row r="339" spans="2:88"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  <c r="BZ339" s="11"/>
      <c r="CA339" s="11"/>
      <c r="CB339" s="11"/>
      <c r="CC339" s="11"/>
      <c r="CD339" s="11"/>
      <c r="CG339" s="11"/>
      <c r="CH339" s="11"/>
      <c r="CI339" s="11"/>
      <c r="CJ339" s="11"/>
    </row>
    <row r="340" spans="2:88"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G340" s="11"/>
      <c r="CH340" s="11"/>
      <c r="CI340" s="11"/>
      <c r="CJ340" s="11"/>
    </row>
    <row r="341" spans="2:88"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G341" s="11"/>
      <c r="CH341" s="11"/>
      <c r="CI341" s="11"/>
      <c r="CJ341" s="11"/>
    </row>
    <row r="342" spans="2:88"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G342" s="11"/>
      <c r="CH342" s="11"/>
      <c r="CI342" s="11"/>
      <c r="CJ342" s="11"/>
    </row>
    <row r="343" spans="2:88"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  <c r="BZ343" s="11"/>
      <c r="CA343" s="11"/>
      <c r="CB343" s="11"/>
      <c r="CC343" s="11"/>
      <c r="CD343" s="11"/>
      <c r="CG343" s="11"/>
      <c r="CH343" s="11"/>
      <c r="CI343" s="11"/>
      <c r="CJ343" s="11"/>
    </row>
    <row r="344" spans="2:88"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  <c r="BZ344" s="11"/>
      <c r="CA344" s="11"/>
      <c r="CB344" s="11"/>
      <c r="CC344" s="11"/>
      <c r="CD344" s="11"/>
      <c r="CG344" s="11"/>
      <c r="CH344" s="11"/>
      <c r="CI344" s="11"/>
      <c r="CJ344" s="11"/>
    </row>
    <row r="345" spans="2:88"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  <c r="BZ345" s="11"/>
      <c r="CA345" s="11"/>
      <c r="CB345" s="11"/>
      <c r="CC345" s="11"/>
      <c r="CD345" s="11"/>
      <c r="CG345" s="11"/>
      <c r="CH345" s="11"/>
      <c r="CI345" s="11"/>
      <c r="CJ345" s="11"/>
    </row>
    <row r="346" spans="2:88"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  <c r="BZ346" s="11"/>
      <c r="CA346" s="11"/>
      <c r="CB346" s="11"/>
      <c r="CC346" s="11"/>
      <c r="CD346" s="11"/>
      <c r="CG346" s="11"/>
      <c r="CH346" s="11"/>
      <c r="CI346" s="11"/>
      <c r="CJ346" s="11"/>
    </row>
    <row r="347" spans="2:88"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  <c r="BZ347" s="11"/>
      <c r="CA347" s="11"/>
      <c r="CB347" s="11"/>
      <c r="CC347" s="11"/>
      <c r="CD347" s="11"/>
      <c r="CG347" s="11"/>
      <c r="CH347" s="11"/>
      <c r="CI347" s="11"/>
      <c r="CJ347" s="11"/>
    </row>
    <row r="348" spans="2:88"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G348" s="11"/>
      <c r="CH348" s="11"/>
      <c r="CI348" s="11"/>
      <c r="CJ348" s="11"/>
    </row>
    <row r="349" spans="2:88"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G349" s="11"/>
      <c r="CH349" s="11"/>
      <c r="CI349" s="11"/>
      <c r="CJ349" s="11"/>
    </row>
    <row r="350" spans="2:88"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  <c r="CG350" s="11"/>
      <c r="CH350" s="11"/>
      <c r="CI350" s="11"/>
      <c r="CJ350" s="11"/>
    </row>
    <row r="351" spans="2:88"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  <c r="BZ351" s="11"/>
      <c r="CA351" s="11"/>
      <c r="CB351" s="11"/>
      <c r="CC351" s="11"/>
      <c r="CD351" s="11"/>
      <c r="CG351" s="11"/>
      <c r="CH351" s="11"/>
      <c r="CI351" s="11"/>
      <c r="CJ351" s="11"/>
    </row>
    <row r="352" spans="2:88"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  <c r="BZ352" s="11"/>
      <c r="CA352" s="11"/>
      <c r="CB352" s="11"/>
      <c r="CC352" s="11"/>
      <c r="CD352" s="11"/>
      <c r="CG352" s="11"/>
      <c r="CH352" s="11"/>
      <c r="CI352" s="11"/>
      <c r="CJ352" s="11"/>
    </row>
    <row r="353" spans="2:88"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  <c r="BZ353" s="11"/>
      <c r="CA353" s="11"/>
      <c r="CB353" s="11"/>
      <c r="CC353" s="11"/>
      <c r="CD353" s="11"/>
      <c r="CG353" s="11"/>
      <c r="CH353" s="11"/>
      <c r="CI353" s="11"/>
      <c r="CJ353" s="11"/>
    </row>
    <row r="354" spans="2:88"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  <c r="BZ354" s="11"/>
      <c r="CA354" s="11"/>
      <c r="CB354" s="11"/>
      <c r="CC354" s="11"/>
      <c r="CD354" s="11"/>
      <c r="CG354" s="11"/>
      <c r="CH354" s="11"/>
      <c r="CI354" s="11"/>
      <c r="CJ354" s="11"/>
    </row>
    <row r="355" spans="2:88"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  <c r="BZ355" s="11"/>
      <c r="CA355" s="11"/>
      <c r="CB355" s="11"/>
      <c r="CC355" s="11"/>
      <c r="CD355" s="11"/>
      <c r="CG355" s="11"/>
      <c r="CH355" s="11"/>
      <c r="CI355" s="11"/>
      <c r="CJ355" s="11"/>
    </row>
    <row r="356" spans="2:88"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  <c r="BZ356" s="11"/>
      <c r="CA356" s="11"/>
      <c r="CB356" s="11"/>
      <c r="CC356" s="11"/>
      <c r="CD356" s="11"/>
      <c r="CG356" s="11"/>
      <c r="CH356" s="11"/>
      <c r="CI356" s="11"/>
      <c r="CJ356" s="11"/>
    </row>
    <row r="357" spans="2:88"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  <c r="BZ357" s="11"/>
      <c r="CA357" s="11"/>
      <c r="CB357" s="11"/>
      <c r="CC357" s="11"/>
      <c r="CD357" s="11"/>
      <c r="CG357" s="11"/>
      <c r="CH357" s="11"/>
      <c r="CI357" s="11"/>
      <c r="CJ357" s="11"/>
    </row>
    <row r="358" spans="2:88"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G358" s="11"/>
      <c r="CH358" s="11"/>
      <c r="CI358" s="11"/>
      <c r="CJ358" s="11"/>
    </row>
    <row r="359" spans="2:88"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  <c r="BZ359" s="11"/>
      <c r="CA359" s="11"/>
      <c r="CB359" s="11"/>
      <c r="CC359" s="11"/>
      <c r="CD359" s="11"/>
      <c r="CG359" s="11"/>
      <c r="CH359" s="11"/>
      <c r="CI359" s="11"/>
      <c r="CJ359" s="11"/>
    </row>
    <row r="360" spans="2:88"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G360" s="11"/>
      <c r="CH360" s="11"/>
      <c r="CI360" s="11"/>
      <c r="CJ360" s="11"/>
    </row>
    <row r="361" spans="2:88"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  <c r="BZ361" s="11"/>
      <c r="CA361" s="11"/>
      <c r="CB361" s="11"/>
      <c r="CC361" s="11"/>
      <c r="CD361" s="11"/>
      <c r="CG361" s="11"/>
      <c r="CH361" s="11"/>
      <c r="CI361" s="11"/>
      <c r="CJ361" s="11"/>
    </row>
    <row r="362" spans="2:88"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G362" s="11"/>
      <c r="CH362" s="11"/>
      <c r="CI362" s="11"/>
      <c r="CJ362" s="11"/>
    </row>
    <row r="363" spans="2:88"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  <c r="BZ363" s="11"/>
      <c r="CA363" s="11"/>
      <c r="CB363" s="11"/>
      <c r="CC363" s="11"/>
      <c r="CD363" s="11"/>
      <c r="CG363" s="11"/>
      <c r="CH363" s="11"/>
      <c r="CI363" s="11"/>
      <c r="CJ363" s="11"/>
    </row>
    <row r="364" spans="2:88"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  <c r="BZ364" s="11"/>
      <c r="CA364" s="11"/>
      <c r="CB364" s="11"/>
      <c r="CC364" s="11"/>
      <c r="CD364" s="11"/>
      <c r="CG364" s="11"/>
      <c r="CH364" s="11"/>
      <c r="CI364" s="11"/>
      <c r="CJ364" s="11"/>
    </row>
    <row r="365" spans="2:88"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  <c r="BZ365" s="11"/>
      <c r="CA365" s="11"/>
      <c r="CB365" s="11"/>
      <c r="CC365" s="11"/>
      <c r="CD365" s="11"/>
      <c r="CG365" s="11"/>
      <c r="CH365" s="11"/>
      <c r="CI365" s="11"/>
      <c r="CJ365" s="11"/>
    </row>
    <row r="366" spans="2:88"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G366" s="11"/>
      <c r="CH366" s="11"/>
      <c r="CI366" s="11"/>
      <c r="CJ366" s="11"/>
    </row>
    <row r="367" spans="2:88"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  <c r="BZ367" s="11"/>
      <c r="CA367" s="11"/>
      <c r="CB367" s="11"/>
      <c r="CC367" s="11"/>
      <c r="CD367" s="11"/>
      <c r="CG367" s="11"/>
      <c r="CH367" s="11"/>
      <c r="CI367" s="11"/>
      <c r="CJ367" s="11"/>
    </row>
    <row r="368" spans="2:88"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  <c r="BZ368" s="11"/>
      <c r="CA368" s="11"/>
      <c r="CB368" s="11"/>
      <c r="CC368" s="11"/>
      <c r="CD368" s="11"/>
      <c r="CG368" s="11"/>
      <c r="CH368" s="11"/>
      <c r="CI368" s="11"/>
      <c r="CJ368" s="11"/>
    </row>
    <row r="369" spans="2:88"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  <c r="BZ369" s="11"/>
      <c r="CA369" s="11"/>
      <c r="CB369" s="11"/>
      <c r="CC369" s="11"/>
      <c r="CD369" s="11"/>
      <c r="CG369" s="11"/>
      <c r="CH369" s="11"/>
      <c r="CI369" s="11"/>
      <c r="CJ369" s="11"/>
    </row>
    <row r="370" spans="2:88"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  <c r="BZ370" s="11"/>
      <c r="CA370" s="11"/>
      <c r="CB370" s="11"/>
      <c r="CC370" s="11"/>
      <c r="CD370" s="11"/>
      <c r="CG370" s="11"/>
      <c r="CH370" s="11"/>
      <c r="CI370" s="11"/>
      <c r="CJ370" s="11"/>
    </row>
    <row r="371" spans="2:88"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  <c r="BZ371" s="11"/>
      <c r="CA371" s="11"/>
      <c r="CB371" s="11"/>
      <c r="CC371" s="11"/>
      <c r="CD371" s="11"/>
      <c r="CG371" s="11"/>
      <c r="CH371" s="11"/>
      <c r="CI371" s="11"/>
      <c r="CJ371" s="11"/>
    </row>
    <row r="372" spans="2:88"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  <c r="BZ372" s="11"/>
      <c r="CA372" s="11"/>
      <c r="CB372" s="11"/>
      <c r="CC372" s="11"/>
      <c r="CD372" s="11"/>
      <c r="CG372" s="11"/>
      <c r="CH372" s="11"/>
      <c r="CI372" s="11"/>
      <c r="CJ372" s="11"/>
    </row>
    <row r="373" spans="2:88"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  <c r="BZ373" s="11"/>
      <c r="CA373" s="11"/>
      <c r="CB373" s="11"/>
      <c r="CC373" s="11"/>
      <c r="CD373" s="11"/>
      <c r="CG373" s="11"/>
      <c r="CH373" s="11"/>
      <c r="CI373" s="11"/>
      <c r="CJ373" s="11"/>
    </row>
    <row r="374" spans="2:88"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G374" s="11"/>
      <c r="CH374" s="11"/>
      <c r="CI374" s="11"/>
      <c r="CJ374" s="11"/>
    </row>
    <row r="375" spans="2:88"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  <c r="BZ375" s="11"/>
      <c r="CA375" s="11"/>
      <c r="CB375" s="11"/>
      <c r="CC375" s="11"/>
      <c r="CD375" s="11"/>
      <c r="CG375" s="11"/>
      <c r="CH375" s="11"/>
      <c r="CI375" s="11"/>
      <c r="CJ375" s="11"/>
    </row>
    <row r="376" spans="2:88"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  <c r="CA376" s="11"/>
      <c r="CB376" s="11"/>
      <c r="CC376" s="11"/>
      <c r="CD376" s="11"/>
      <c r="CG376" s="11"/>
      <c r="CH376" s="11"/>
      <c r="CI376" s="11"/>
      <c r="CJ376" s="11"/>
    </row>
    <row r="377" spans="2:88"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  <c r="CA377" s="11"/>
      <c r="CB377" s="11"/>
      <c r="CC377" s="11"/>
      <c r="CD377" s="11"/>
      <c r="CG377" s="11"/>
      <c r="CH377" s="11"/>
      <c r="CI377" s="11"/>
      <c r="CJ377" s="11"/>
    </row>
    <row r="378" spans="2:88"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G378" s="11"/>
      <c r="CH378" s="11"/>
      <c r="CI378" s="11"/>
      <c r="CJ378" s="11"/>
    </row>
    <row r="379" spans="2:88"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  <c r="BZ379" s="11"/>
      <c r="CA379" s="11"/>
      <c r="CB379" s="11"/>
      <c r="CC379" s="11"/>
      <c r="CD379" s="11"/>
      <c r="CG379" s="11"/>
      <c r="CH379" s="11"/>
      <c r="CI379" s="11"/>
      <c r="CJ379" s="11"/>
    </row>
    <row r="380" spans="2:88"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  <c r="CA380" s="11"/>
      <c r="CB380" s="11"/>
      <c r="CC380" s="11"/>
      <c r="CD380" s="11"/>
      <c r="CG380" s="11"/>
      <c r="CH380" s="11"/>
      <c r="CI380" s="11"/>
      <c r="CJ380" s="11"/>
    </row>
    <row r="381" spans="2:88"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  <c r="CA381" s="11"/>
      <c r="CB381" s="11"/>
      <c r="CC381" s="11"/>
      <c r="CD381" s="11"/>
      <c r="CG381" s="11"/>
      <c r="CH381" s="11"/>
      <c r="CI381" s="11"/>
      <c r="CJ381" s="11"/>
    </row>
    <row r="382" spans="2:88"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  <c r="CA382" s="11"/>
      <c r="CB382" s="11"/>
      <c r="CC382" s="11"/>
      <c r="CD382" s="11"/>
      <c r="CG382" s="11"/>
      <c r="CH382" s="11"/>
      <c r="CI382" s="11"/>
      <c r="CJ382" s="11"/>
    </row>
    <row r="383" spans="2:88"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G383" s="11"/>
      <c r="CH383" s="11"/>
      <c r="CI383" s="11"/>
      <c r="CJ383" s="11"/>
    </row>
    <row r="384" spans="2:88"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G384" s="11"/>
      <c r="CH384" s="11"/>
      <c r="CI384" s="11"/>
      <c r="CJ384" s="11"/>
    </row>
    <row r="385" spans="2:88"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G385" s="11"/>
      <c r="CH385" s="11"/>
      <c r="CI385" s="11"/>
      <c r="CJ385" s="11"/>
    </row>
    <row r="386" spans="2:88"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G386" s="11"/>
      <c r="CH386" s="11"/>
      <c r="CI386" s="11"/>
      <c r="CJ386" s="11"/>
    </row>
    <row r="387" spans="2:88"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G387" s="11"/>
      <c r="CH387" s="11"/>
      <c r="CI387" s="11"/>
      <c r="CJ387" s="11"/>
    </row>
    <row r="388" spans="2:88"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  <c r="CA388" s="11"/>
      <c r="CB388" s="11"/>
      <c r="CC388" s="11"/>
      <c r="CD388" s="11"/>
      <c r="CG388" s="11"/>
      <c r="CH388" s="11"/>
      <c r="CI388" s="11"/>
      <c r="CJ388" s="11"/>
    </row>
    <row r="389" spans="2:88"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  <c r="CA389" s="11"/>
      <c r="CB389" s="11"/>
      <c r="CC389" s="11"/>
      <c r="CD389" s="11"/>
      <c r="CG389" s="11"/>
      <c r="CH389" s="11"/>
      <c r="CI389" s="11"/>
      <c r="CJ389" s="11"/>
    </row>
    <row r="390" spans="2:88"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  <c r="CA390" s="11"/>
      <c r="CB390" s="11"/>
      <c r="CC390" s="11"/>
      <c r="CD390" s="11"/>
      <c r="CG390" s="11"/>
      <c r="CH390" s="11"/>
      <c r="CI390" s="11"/>
      <c r="CJ390" s="11"/>
    </row>
    <row r="391" spans="2:88"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  <c r="CA391" s="11"/>
      <c r="CB391" s="11"/>
      <c r="CC391" s="11"/>
      <c r="CD391" s="11"/>
      <c r="CG391" s="11"/>
      <c r="CH391" s="11"/>
      <c r="CI391" s="11"/>
      <c r="CJ391" s="11"/>
    </row>
    <row r="392" spans="2:88"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  <c r="CA392" s="11"/>
      <c r="CB392" s="11"/>
      <c r="CC392" s="11"/>
      <c r="CD392" s="11"/>
      <c r="CG392" s="11"/>
      <c r="CH392" s="11"/>
      <c r="CI392" s="11"/>
      <c r="CJ392" s="11"/>
    </row>
    <row r="393" spans="2:88"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  <c r="CA393" s="11"/>
      <c r="CB393" s="11"/>
      <c r="CC393" s="11"/>
      <c r="CD393" s="11"/>
      <c r="CG393" s="11"/>
      <c r="CH393" s="11"/>
      <c r="CI393" s="11"/>
      <c r="CJ393" s="11"/>
    </row>
    <row r="394" spans="2:88"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G394" s="11"/>
      <c r="CH394" s="11"/>
      <c r="CI394" s="11"/>
      <c r="CJ394" s="11"/>
    </row>
    <row r="395" spans="2:88"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  <c r="CA395" s="11"/>
      <c r="CB395" s="11"/>
      <c r="CC395" s="11"/>
      <c r="CD395" s="11"/>
      <c r="CG395" s="11"/>
      <c r="CH395" s="11"/>
      <c r="CI395" s="11"/>
      <c r="CJ395" s="11"/>
    </row>
    <row r="396" spans="2:88"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  <c r="CA396" s="11"/>
      <c r="CB396" s="11"/>
      <c r="CC396" s="11"/>
      <c r="CD396" s="11"/>
      <c r="CG396" s="11"/>
      <c r="CH396" s="11"/>
      <c r="CI396" s="11"/>
      <c r="CJ396" s="11"/>
    </row>
    <row r="397" spans="2:88"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G397" s="11"/>
      <c r="CH397" s="11"/>
      <c r="CI397" s="11"/>
      <c r="CJ397" s="11"/>
    </row>
    <row r="398" spans="2:88"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G398" s="11"/>
      <c r="CH398" s="11"/>
      <c r="CI398" s="11"/>
      <c r="CJ398" s="11"/>
    </row>
    <row r="399" spans="2:88"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  <c r="CA399" s="11"/>
      <c r="CB399" s="11"/>
      <c r="CC399" s="11"/>
      <c r="CD399" s="11"/>
      <c r="CG399" s="11"/>
      <c r="CH399" s="11"/>
      <c r="CI399" s="11"/>
      <c r="CJ399" s="11"/>
    </row>
    <row r="400" spans="2:88"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  <c r="CA400" s="11"/>
      <c r="CB400" s="11"/>
      <c r="CC400" s="11"/>
      <c r="CD400" s="11"/>
      <c r="CG400" s="11"/>
      <c r="CH400" s="11"/>
      <c r="CI400" s="11"/>
      <c r="CJ400" s="11"/>
    </row>
    <row r="401" spans="2:88"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  <c r="CA401" s="11"/>
      <c r="CB401" s="11"/>
      <c r="CC401" s="11"/>
      <c r="CD401" s="11"/>
      <c r="CG401" s="11"/>
      <c r="CH401" s="11"/>
      <c r="CI401" s="11"/>
      <c r="CJ401" s="11"/>
    </row>
    <row r="402" spans="2:88"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  <c r="CA402" s="11"/>
      <c r="CB402" s="11"/>
      <c r="CC402" s="11"/>
      <c r="CD402" s="11"/>
      <c r="CG402" s="11"/>
      <c r="CH402" s="11"/>
      <c r="CI402" s="11"/>
      <c r="CJ402" s="11"/>
    </row>
    <row r="403" spans="2:88"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  <c r="CA403" s="11"/>
      <c r="CB403" s="11"/>
      <c r="CC403" s="11"/>
      <c r="CD403" s="11"/>
      <c r="CG403" s="11"/>
      <c r="CH403" s="11"/>
      <c r="CI403" s="11"/>
      <c r="CJ403" s="11"/>
    </row>
    <row r="404" spans="2:88"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  <c r="BZ404" s="11"/>
      <c r="CA404" s="11"/>
      <c r="CB404" s="11"/>
      <c r="CC404" s="11"/>
      <c r="CD404" s="11"/>
      <c r="CG404" s="11"/>
      <c r="CH404" s="11"/>
      <c r="CI404" s="11"/>
      <c r="CJ404" s="11"/>
    </row>
    <row r="405" spans="2:88"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G405" s="11"/>
      <c r="CH405" s="11"/>
      <c r="CI405" s="11"/>
      <c r="CJ405" s="11"/>
    </row>
    <row r="406" spans="2:88"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  <c r="CA406" s="11"/>
      <c r="CB406" s="11"/>
      <c r="CC406" s="11"/>
      <c r="CD406" s="11"/>
      <c r="CG406" s="11"/>
      <c r="CH406" s="11"/>
      <c r="CI406" s="11"/>
      <c r="CJ406" s="11"/>
    </row>
    <row r="407" spans="2:88"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  <c r="CA407" s="11"/>
      <c r="CB407" s="11"/>
      <c r="CC407" s="11"/>
      <c r="CD407" s="11"/>
      <c r="CG407" s="11"/>
      <c r="CH407" s="11"/>
      <c r="CI407" s="11"/>
      <c r="CJ407" s="11"/>
    </row>
    <row r="408" spans="2:88"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  <c r="CA408" s="11"/>
      <c r="CB408" s="11"/>
      <c r="CC408" s="11"/>
      <c r="CD408" s="11"/>
      <c r="CG408" s="11"/>
      <c r="CH408" s="11"/>
      <c r="CI408" s="11"/>
      <c r="CJ408" s="11"/>
    </row>
    <row r="409" spans="2:88"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  <c r="CA409" s="11"/>
      <c r="CB409" s="11"/>
      <c r="CC409" s="11"/>
      <c r="CD409" s="11"/>
      <c r="CG409" s="11"/>
      <c r="CH409" s="11"/>
      <c r="CI409" s="11"/>
      <c r="CJ409" s="11"/>
    </row>
    <row r="410" spans="2:88"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  <c r="CA410" s="11"/>
      <c r="CB410" s="11"/>
      <c r="CC410" s="11"/>
      <c r="CD410" s="11"/>
      <c r="CG410" s="11"/>
      <c r="CH410" s="11"/>
      <c r="CI410" s="11"/>
      <c r="CJ410" s="11"/>
    </row>
    <row r="411" spans="2:88"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  <c r="CA411" s="11"/>
      <c r="CB411" s="11"/>
      <c r="CC411" s="11"/>
      <c r="CD411" s="11"/>
      <c r="CG411" s="11"/>
      <c r="CH411" s="11"/>
      <c r="CI411" s="11"/>
      <c r="CJ411" s="11"/>
    </row>
    <row r="412" spans="2:88"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  <c r="CA412" s="11"/>
      <c r="CB412" s="11"/>
      <c r="CC412" s="11"/>
      <c r="CD412" s="11"/>
      <c r="CG412" s="11"/>
      <c r="CH412" s="11"/>
      <c r="CI412" s="11"/>
      <c r="CJ412" s="11"/>
    </row>
    <row r="413" spans="2:88"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G413" s="11"/>
      <c r="CH413" s="11"/>
      <c r="CI413" s="11"/>
      <c r="CJ413" s="11"/>
    </row>
    <row r="414" spans="2:88"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  <c r="CA414" s="11"/>
      <c r="CB414" s="11"/>
      <c r="CC414" s="11"/>
      <c r="CD414" s="11"/>
      <c r="CG414" s="11"/>
      <c r="CH414" s="11"/>
      <c r="CI414" s="11"/>
      <c r="CJ414" s="11"/>
    </row>
    <row r="415" spans="2:88"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  <c r="CA415" s="11"/>
      <c r="CB415" s="11"/>
      <c r="CC415" s="11"/>
      <c r="CD415" s="11"/>
      <c r="CG415" s="11"/>
      <c r="CH415" s="11"/>
      <c r="CI415" s="11"/>
      <c r="CJ415" s="11"/>
    </row>
    <row r="416" spans="2:88"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  <c r="CA416" s="11"/>
      <c r="CB416" s="11"/>
      <c r="CC416" s="11"/>
      <c r="CD416" s="11"/>
      <c r="CG416" s="11"/>
      <c r="CH416" s="11"/>
      <c r="CI416" s="11"/>
      <c r="CJ416" s="11"/>
    </row>
    <row r="417" spans="2:88"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  <c r="CA417" s="11"/>
      <c r="CB417" s="11"/>
      <c r="CC417" s="11"/>
      <c r="CD417" s="11"/>
      <c r="CG417" s="11"/>
      <c r="CH417" s="11"/>
      <c r="CI417" s="11"/>
      <c r="CJ417" s="11"/>
    </row>
    <row r="418" spans="2:88"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  <c r="CA418" s="11"/>
      <c r="CB418" s="11"/>
      <c r="CC418" s="11"/>
      <c r="CD418" s="11"/>
      <c r="CG418" s="11"/>
      <c r="CH418" s="11"/>
      <c r="CI418" s="11"/>
      <c r="CJ418" s="11"/>
    </row>
    <row r="419" spans="2:88"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  <c r="CA419" s="11"/>
      <c r="CB419" s="11"/>
      <c r="CC419" s="11"/>
      <c r="CD419" s="11"/>
      <c r="CG419" s="11"/>
      <c r="CH419" s="11"/>
      <c r="CI419" s="11"/>
      <c r="CJ419" s="11"/>
    </row>
    <row r="420" spans="2:88"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  <c r="CA420" s="11"/>
      <c r="CB420" s="11"/>
      <c r="CC420" s="11"/>
      <c r="CD420" s="11"/>
      <c r="CG420" s="11"/>
      <c r="CH420" s="11"/>
      <c r="CI420" s="11"/>
      <c r="CJ420" s="11"/>
    </row>
    <row r="421" spans="2:88"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G421" s="11"/>
      <c r="CH421" s="11"/>
      <c r="CI421" s="11"/>
      <c r="CJ421" s="11"/>
    </row>
    <row r="422" spans="2:88"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  <c r="CA422" s="11"/>
      <c r="CB422" s="11"/>
      <c r="CC422" s="11"/>
      <c r="CD422" s="11"/>
      <c r="CG422" s="11"/>
      <c r="CH422" s="11"/>
      <c r="CI422" s="11"/>
      <c r="CJ422" s="11"/>
    </row>
    <row r="423" spans="2:88"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G423" s="11"/>
      <c r="CH423" s="11"/>
      <c r="CI423" s="11"/>
      <c r="CJ423" s="11"/>
    </row>
    <row r="424" spans="2:88"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G424" s="11"/>
      <c r="CH424" s="11"/>
      <c r="CI424" s="11"/>
      <c r="CJ424" s="11"/>
    </row>
    <row r="425" spans="2:88"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G425" s="11"/>
      <c r="CH425" s="11"/>
      <c r="CI425" s="11"/>
      <c r="CJ425" s="11"/>
    </row>
    <row r="426" spans="2:88"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  <c r="CA426" s="11"/>
      <c r="CB426" s="11"/>
      <c r="CC426" s="11"/>
      <c r="CD426" s="11"/>
      <c r="CG426" s="11"/>
      <c r="CH426" s="11"/>
      <c r="CI426" s="11"/>
      <c r="CJ426" s="11"/>
    </row>
    <row r="427" spans="2:88"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  <c r="CA427" s="11"/>
      <c r="CB427" s="11"/>
      <c r="CC427" s="11"/>
      <c r="CD427" s="11"/>
      <c r="CG427" s="11"/>
      <c r="CH427" s="11"/>
      <c r="CI427" s="11"/>
      <c r="CJ427" s="11"/>
    </row>
    <row r="428" spans="2:88"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  <c r="CA428" s="11"/>
      <c r="CB428" s="11"/>
      <c r="CC428" s="11"/>
      <c r="CD428" s="11"/>
      <c r="CG428" s="11"/>
      <c r="CH428" s="11"/>
      <c r="CI428" s="11"/>
      <c r="CJ428" s="11"/>
    </row>
    <row r="429" spans="2:88"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  <c r="CA429" s="11"/>
      <c r="CB429" s="11"/>
      <c r="CC429" s="11"/>
      <c r="CD429" s="11"/>
      <c r="CG429" s="11"/>
      <c r="CH429" s="11"/>
      <c r="CI429" s="11"/>
      <c r="CJ429" s="11"/>
    </row>
    <row r="430" spans="2:88"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G430" s="11"/>
      <c r="CH430" s="11"/>
      <c r="CI430" s="11"/>
      <c r="CJ430" s="11"/>
    </row>
    <row r="431" spans="2:88"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  <c r="CA431" s="11"/>
      <c r="CB431" s="11"/>
      <c r="CC431" s="11"/>
      <c r="CD431" s="11"/>
      <c r="CG431" s="11"/>
      <c r="CH431" s="11"/>
      <c r="CI431" s="11"/>
      <c r="CJ431" s="11"/>
    </row>
    <row r="432" spans="2:88"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G432" s="11"/>
      <c r="CH432" s="11"/>
      <c r="CI432" s="11"/>
      <c r="CJ432" s="11"/>
    </row>
    <row r="433" spans="2:88"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  <c r="CA433" s="11"/>
      <c r="CB433" s="11"/>
      <c r="CC433" s="11"/>
      <c r="CD433" s="11"/>
      <c r="CG433" s="11"/>
      <c r="CH433" s="11"/>
      <c r="CI433" s="11"/>
      <c r="CJ433" s="11"/>
    </row>
    <row r="434" spans="2:88"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G434" s="11"/>
      <c r="CH434" s="11"/>
      <c r="CI434" s="11"/>
      <c r="CJ434" s="11"/>
    </row>
    <row r="435" spans="2:88"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G435" s="11"/>
      <c r="CH435" s="11"/>
      <c r="CI435" s="11"/>
      <c r="CJ435" s="11"/>
    </row>
    <row r="436" spans="2:88"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G436" s="11"/>
      <c r="CH436" s="11"/>
      <c r="CI436" s="11"/>
      <c r="CJ436" s="11"/>
    </row>
    <row r="437" spans="2:88"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  <c r="CA437" s="11"/>
      <c r="CB437" s="11"/>
      <c r="CC437" s="11"/>
      <c r="CD437" s="11"/>
      <c r="CG437" s="11"/>
      <c r="CH437" s="11"/>
      <c r="CI437" s="11"/>
      <c r="CJ437" s="11"/>
    </row>
    <row r="438" spans="2:88"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  <c r="CA438" s="11"/>
      <c r="CB438" s="11"/>
      <c r="CC438" s="11"/>
      <c r="CD438" s="11"/>
      <c r="CG438" s="11"/>
      <c r="CH438" s="11"/>
      <c r="CI438" s="11"/>
      <c r="CJ438" s="11"/>
    </row>
    <row r="439" spans="2:88"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  <c r="CA439" s="11"/>
      <c r="CB439" s="11"/>
      <c r="CC439" s="11"/>
      <c r="CD439" s="11"/>
      <c r="CG439" s="11"/>
      <c r="CH439" s="11"/>
      <c r="CI439" s="11"/>
      <c r="CJ439" s="11"/>
    </row>
    <row r="440" spans="2:88"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G440" s="11"/>
      <c r="CH440" s="11"/>
      <c r="CI440" s="11"/>
      <c r="CJ440" s="11"/>
    </row>
    <row r="441" spans="2:88"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  <c r="CA441" s="11"/>
      <c r="CB441" s="11"/>
      <c r="CC441" s="11"/>
      <c r="CD441" s="11"/>
      <c r="CG441" s="11"/>
      <c r="CH441" s="11"/>
      <c r="CI441" s="11"/>
      <c r="CJ441" s="11"/>
    </row>
    <row r="442" spans="2:88"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G442" s="11"/>
      <c r="CH442" s="11"/>
      <c r="CI442" s="11"/>
      <c r="CJ442" s="11"/>
    </row>
    <row r="443" spans="2:88"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  <c r="CA443" s="11"/>
      <c r="CB443" s="11"/>
      <c r="CC443" s="11"/>
      <c r="CD443" s="11"/>
      <c r="CG443" s="11"/>
      <c r="CH443" s="11"/>
      <c r="CI443" s="11"/>
      <c r="CJ443" s="11"/>
    </row>
    <row r="444" spans="2:88"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G444" s="11"/>
      <c r="CH444" s="11"/>
      <c r="CI444" s="11"/>
      <c r="CJ444" s="11"/>
    </row>
    <row r="445" spans="2:88"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G445" s="11"/>
      <c r="CH445" s="11"/>
      <c r="CI445" s="11"/>
      <c r="CJ445" s="11"/>
    </row>
    <row r="446" spans="2:88"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G446" s="11"/>
      <c r="CH446" s="11"/>
      <c r="CI446" s="11"/>
      <c r="CJ446" s="11"/>
    </row>
    <row r="447" spans="2:88"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  <c r="CA447" s="11"/>
      <c r="CB447" s="11"/>
      <c r="CC447" s="11"/>
      <c r="CD447" s="11"/>
      <c r="CG447" s="11"/>
      <c r="CH447" s="11"/>
      <c r="CI447" s="11"/>
      <c r="CJ447" s="11"/>
    </row>
    <row r="448" spans="2:88"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G448" s="11"/>
      <c r="CH448" s="11"/>
      <c r="CI448" s="11"/>
      <c r="CJ448" s="11"/>
    </row>
    <row r="449" spans="2:88"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  <c r="CA449" s="11"/>
      <c r="CB449" s="11"/>
      <c r="CC449" s="11"/>
      <c r="CD449" s="11"/>
      <c r="CG449" s="11"/>
      <c r="CH449" s="11"/>
      <c r="CI449" s="11"/>
      <c r="CJ449" s="11"/>
    </row>
    <row r="450" spans="2:88"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  <c r="CA450" s="11"/>
      <c r="CB450" s="11"/>
      <c r="CC450" s="11"/>
      <c r="CD450" s="11"/>
      <c r="CG450" s="11"/>
      <c r="CH450" s="11"/>
      <c r="CI450" s="11"/>
      <c r="CJ450" s="11"/>
    </row>
    <row r="451" spans="2:88"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  <c r="CA451" s="11"/>
      <c r="CB451" s="11"/>
      <c r="CC451" s="11"/>
      <c r="CD451" s="11"/>
      <c r="CG451" s="11"/>
      <c r="CH451" s="11"/>
      <c r="CI451" s="11"/>
      <c r="CJ451" s="11"/>
    </row>
    <row r="452" spans="2:88"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G452" s="11"/>
      <c r="CH452" s="11"/>
      <c r="CI452" s="11"/>
      <c r="CJ452" s="11"/>
    </row>
    <row r="453" spans="2:88"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  <c r="CA453" s="11"/>
      <c r="CB453" s="11"/>
      <c r="CC453" s="11"/>
      <c r="CD453" s="11"/>
      <c r="CG453" s="11"/>
      <c r="CH453" s="11"/>
      <c r="CI453" s="11"/>
      <c r="CJ453" s="11"/>
    </row>
    <row r="454" spans="2:88"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G454" s="11"/>
      <c r="CH454" s="11"/>
      <c r="CI454" s="11"/>
      <c r="CJ454" s="11"/>
    </row>
    <row r="455" spans="2:88"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G455" s="11"/>
      <c r="CH455" s="11"/>
      <c r="CI455" s="11"/>
      <c r="CJ455" s="11"/>
    </row>
    <row r="456" spans="2:88"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  <c r="CA456" s="11"/>
      <c r="CB456" s="11"/>
      <c r="CC456" s="11"/>
      <c r="CD456" s="11"/>
      <c r="CG456" s="11"/>
      <c r="CH456" s="11"/>
      <c r="CI456" s="11"/>
      <c r="CJ456" s="11"/>
    </row>
    <row r="457" spans="2:88"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  <c r="CA457" s="11"/>
      <c r="CB457" s="11"/>
      <c r="CC457" s="11"/>
      <c r="CD457" s="11"/>
      <c r="CG457" s="11"/>
      <c r="CH457" s="11"/>
      <c r="CI457" s="11"/>
      <c r="CJ457" s="11"/>
    </row>
    <row r="458" spans="2:88"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G458" s="11"/>
      <c r="CH458" s="11"/>
      <c r="CI458" s="11"/>
      <c r="CJ458" s="11"/>
    </row>
    <row r="459" spans="2:88"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  <c r="CA459" s="11"/>
      <c r="CB459" s="11"/>
      <c r="CC459" s="11"/>
      <c r="CD459" s="11"/>
      <c r="CG459" s="11"/>
      <c r="CH459" s="11"/>
      <c r="CI459" s="11"/>
      <c r="CJ459" s="11"/>
    </row>
    <row r="460" spans="2:88"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  <c r="CA460" s="11"/>
      <c r="CB460" s="11"/>
      <c r="CC460" s="11"/>
      <c r="CD460" s="11"/>
      <c r="CG460" s="11"/>
      <c r="CH460" s="11"/>
      <c r="CI460" s="11"/>
      <c r="CJ460" s="11"/>
    </row>
    <row r="461" spans="2:88"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  <c r="CA461" s="11"/>
      <c r="CB461" s="11"/>
      <c r="CC461" s="11"/>
      <c r="CD461" s="11"/>
      <c r="CG461" s="11"/>
      <c r="CH461" s="11"/>
      <c r="CI461" s="11"/>
      <c r="CJ461" s="11"/>
    </row>
    <row r="462" spans="2:88"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  <c r="CA462" s="11"/>
      <c r="CB462" s="11"/>
      <c r="CC462" s="11"/>
      <c r="CD462" s="11"/>
      <c r="CG462" s="11"/>
      <c r="CH462" s="11"/>
      <c r="CI462" s="11"/>
      <c r="CJ462" s="11"/>
    </row>
    <row r="463" spans="2:88"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  <c r="CA463" s="11"/>
      <c r="CB463" s="11"/>
      <c r="CC463" s="11"/>
      <c r="CD463" s="11"/>
      <c r="CG463" s="11"/>
      <c r="CH463" s="11"/>
      <c r="CI463" s="11"/>
      <c r="CJ463" s="11"/>
    </row>
    <row r="464" spans="2:88"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  <c r="CA464" s="11"/>
      <c r="CB464" s="11"/>
      <c r="CC464" s="11"/>
      <c r="CD464" s="11"/>
      <c r="CG464" s="11"/>
      <c r="CH464" s="11"/>
      <c r="CI464" s="11"/>
      <c r="CJ464" s="11"/>
    </row>
    <row r="465" spans="2:88"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  <c r="CA465" s="11"/>
      <c r="CB465" s="11"/>
      <c r="CC465" s="11"/>
      <c r="CD465" s="11"/>
      <c r="CG465" s="11"/>
      <c r="CH465" s="11"/>
      <c r="CI465" s="11"/>
      <c r="CJ465" s="11"/>
    </row>
    <row r="466" spans="2:88"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G466" s="11"/>
      <c r="CH466" s="11"/>
      <c r="CI466" s="11"/>
      <c r="CJ466" s="11"/>
    </row>
    <row r="467" spans="2:88"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  <c r="CA467" s="11"/>
      <c r="CB467" s="11"/>
      <c r="CC467" s="11"/>
      <c r="CD467" s="11"/>
      <c r="CG467" s="11"/>
      <c r="CH467" s="11"/>
      <c r="CI467" s="11"/>
      <c r="CJ467" s="11"/>
    </row>
    <row r="468" spans="2:88"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G468" s="11"/>
      <c r="CH468" s="11"/>
      <c r="CI468" s="11"/>
      <c r="CJ468" s="11"/>
    </row>
    <row r="469" spans="2:88"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  <c r="CA469" s="11"/>
      <c r="CB469" s="11"/>
      <c r="CC469" s="11"/>
      <c r="CD469" s="11"/>
      <c r="CG469" s="11"/>
      <c r="CH469" s="11"/>
      <c r="CI469" s="11"/>
      <c r="CJ469" s="11"/>
    </row>
    <row r="470" spans="2:88"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G470" s="11"/>
      <c r="CH470" s="11"/>
      <c r="CI470" s="11"/>
      <c r="CJ470" s="11"/>
    </row>
    <row r="471" spans="2:88"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G471" s="11"/>
      <c r="CH471" s="11"/>
      <c r="CI471" s="11"/>
      <c r="CJ471" s="11"/>
    </row>
    <row r="472" spans="2:88"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G472" s="11"/>
      <c r="CH472" s="11"/>
      <c r="CI472" s="11"/>
      <c r="CJ472" s="11"/>
    </row>
    <row r="473" spans="2:88"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  <c r="CA473" s="11"/>
      <c r="CB473" s="11"/>
      <c r="CC473" s="11"/>
      <c r="CD473" s="11"/>
      <c r="CG473" s="11"/>
      <c r="CH473" s="11"/>
      <c r="CI473" s="11"/>
      <c r="CJ473" s="11"/>
    </row>
    <row r="474" spans="2:88"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  <c r="CA474" s="11"/>
      <c r="CB474" s="11"/>
      <c r="CC474" s="11"/>
      <c r="CD474" s="11"/>
      <c r="CG474" s="11"/>
      <c r="CH474" s="11"/>
      <c r="CI474" s="11"/>
      <c r="CJ474" s="11"/>
    </row>
    <row r="475" spans="2:88"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  <c r="CA475" s="11"/>
      <c r="CB475" s="11"/>
      <c r="CC475" s="11"/>
      <c r="CD475" s="11"/>
      <c r="CG475" s="11"/>
      <c r="CH475" s="11"/>
      <c r="CI475" s="11"/>
      <c r="CJ475" s="11"/>
    </row>
    <row r="476" spans="2:88"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G476" s="11"/>
      <c r="CH476" s="11"/>
      <c r="CI476" s="11"/>
      <c r="CJ476" s="11"/>
    </row>
    <row r="477" spans="2:88"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  <c r="CA477" s="11"/>
      <c r="CB477" s="11"/>
      <c r="CC477" s="11"/>
      <c r="CD477" s="11"/>
      <c r="CG477" s="11"/>
      <c r="CH477" s="11"/>
      <c r="CI477" s="11"/>
      <c r="CJ477" s="11"/>
    </row>
    <row r="478" spans="2:88"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G478" s="11"/>
      <c r="CH478" s="11"/>
      <c r="CI478" s="11"/>
      <c r="CJ478" s="11"/>
    </row>
    <row r="479" spans="2:88"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G479" s="11"/>
      <c r="CH479" s="11"/>
      <c r="CI479" s="11"/>
      <c r="CJ479" s="11"/>
    </row>
    <row r="480" spans="2:88"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G480" s="11"/>
      <c r="CH480" s="11"/>
      <c r="CI480" s="11"/>
      <c r="CJ480" s="11"/>
    </row>
    <row r="481" spans="2:88"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  <c r="CA481" s="11"/>
      <c r="CB481" s="11"/>
      <c r="CC481" s="11"/>
      <c r="CD481" s="11"/>
      <c r="CG481" s="11"/>
      <c r="CH481" s="11"/>
      <c r="CI481" s="11"/>
      <c r="CJ481" s="11"/>
    </row>
    <row r="482" spans="2:88"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G482" s="11"/>
      <c r="CH482" s="11"/>
      <c r="CI482" s="11"/>
      <c r="CJ482" s="11"/>
    </row>
    <row r="483" spans="2:88"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  <c r="CA483" s="11"/>
      <c r="CB483" s="11"/>
      <c r="CC483" s="11"/>
      <c r="CD483" s="11"/>
      <c r="CG483" s="11"/>
      <c r="CH483" s="11"/>
      <c r="CI483" s="11"/>
      <c r="CJ483" s="11"/>
    </row>
    <row r="484" spans="2:88"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G484" s="11"/>
      <c r="CH484" s="11"/>
      <c r="CI484" s="11"/>
      <c r="CJ484" s="11"/>
    </row>
    <row r="485" spans="2:88"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  <c r="CA485" s="11"/>
      <c r="CB485" s="11"/>
      <c r="CC485" s="11"/>
      <c r="CD485" s="11"/>
      <c r="CG485" s="11"/>
      <c r="CH485" s="11"/>
      <c r="CI485" s="11"/>
      <c r="CJ485" s="11"/>
    </row>
    <row r="486" spans="2:88"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G486" s="11"/>
      <c r="CH486" s="11"/>
      <c r="CI486" s="11"/>
      <c r="CJ486" s="11"/>
    </row>
    <row r="487" spans="2:88"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  <c r="CA487" s="11"/>
      <c r="CB487" s="11"/>
      <c r="CC487" s="11"/>
      <c r="CD487" s="11"/>
      <c r="CG487" s="11"/>
      <c r="CH487" s="11"/>
      <c r="CI487" s="11"/>
      <c r="CJ487" s="11"/>
    </row>
    <row r="488" spans="2:88"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G488" s="11"/>
      <c r="CH488" s="11"/>
      <c r="CI488" s="11"/>
      <c r="CJ488" s="11"/>
    </row>
    <row r="489" spans="2:88"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  <c r="CA489" s="11"/>
      <c r="CB489" s="11"/>
      <c r="CC489" s="11"/>
      <c r="CD489" s="11"/>
      <c r="CG489" s="11"/>
      <c r="CH489" s="11"/>
      <c r="CI489" s="11"/>
      <c r="CJ489" s="11"/>
    </row>
    <row r="490" spans="2:88"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G490" s="11"/>
      <c r="CH490" s="11"/>
      <c r="CI490" s="11"/>
      <c r="CJ490" s="11"/>
    </row>
    <row r="491" spans="2:88"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  <c r="CA491" s="11"/>
      <c r="CB491" s="11"/>
      <c r="CC491" s="11"/>
      <c r="CD491" s="11"/>
      <c r="CG491" s="11"/>
      <c r="CH491" s="11"/>
      <c r="CI491" s="11"/>
      <c r="CJ491" s="11"/>
    </row>
    <row r="492" spans="2:88"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  <c r="CA492" s="11"/>
      <c r="CB492" s="11"/>
      <c r="CC492" s="11"/>
      <c r="CD492" s="11"/>
      <c r="CG492" s="11"/>
      <c r="CH492" s="11"/>
      <c r="CI492" s="11"/>
      <c r="CJ492" s="11"/>
    </row>
    <row r="493" spans="2:88"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  <c r="CA493" s="11"/>
      <c r="CB493" s="11"/>
      <c r="CC493" s="11"/>
      <c r="CD493" s="11"/>
      <c r="CG493" s="11"/>
      <c r="CH493" s="11"/>
      <c r="CI493" s="11"/>
      <c r="CJ493" s="11"/>
    </row>
    <row r="494" spans="2:88"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G494" s="11"/>
      <c r="CH494" s="11"/>
      <c r="CI494" s="11"/>
      <c r="CJ494" s="11"/>
    </row>
    <row r="495" spans="2:88"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  <c r="CA495" s="11"/>
      <c r="CB495" s="11"/>
      <c r="CC495" s="11"/>
      <c r="CD495" s="11"/>
      <c r="CG495" s="11"/>
      <c r="CH495" s="11"/>
      <c r="CI495" s="11"/>
      <c r="CJ495" s="11"/>
    </row>
    <row r="496" spans="2:88"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G496" s="11"/>
      <c r="CH496" s="11"/>
      <c r="CI496" s="11"/>
      <c r="CJ496" s="11"/>
    </row>
    <row r="497" spans="2:88"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G497" s="11"/>
      <c r="CH497" s="11"/>
      <c r="CI497" s="11"/>
      <c r="CJ497" s="11"/>
    </row>
    <row r="498" spans="2:88"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  <c r="CA498" s="11"/>
      <c r="CB498" s="11"/>
      <c r="CC498" s="11"/>
      <c r="CD498" s="11"/>
      <c r="CG498" s="11"/>
      <c r="CH498" s="11"/>
      <c r="CI498" s="11"/>
      <c r="CJ498" s="11"/>
    </row>
    <row r="499" spans="2:88"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  <c r="CA499" s="11"/>
      <c r="CB499" s="11"/>
      <c r="CC499" s="11"/>
      <c r="CD499" s="11"/>
      <c r="CG499" s="11"/>
      <c r="CH499" s="11"/>
      <c r="CI499" s="11"/>
      <c r="CJ499" s="11"/>
    </row>
    <row r="500" spans="2:88"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G500" s="11"/>
      <c r="CH500" s="11"/>
      <c r="CI500" s="11"/>
      <c r="CJ500" s="11"/>
    </row>
    <row r="501" spans="2:88"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  <c r="CA501" s="11"/>
      <c r="CB501" s="11"/>
      <c r="CC501" s="11"/>
      <c r="CD501" s="11"/>
      <c r="CG501" s="11"/>
      <c r="CH501" s="11"/>
      <c r="CI501" s="11"/>
      <c r="CJ501" s="11"/>
    </row>
    <row r="502" spans="2:88"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  <c r="CA502" s="11"/>
      <c r="CB502" s="11"/>
      <c r="CC502" s="11"/>
      <c r="CD502" s="11"/>
      <c r="CG502" s="11"/>
      <c r="CH502" s="11"/>
      <c r="CI502" s="11"/>
      <c r="CJ502" s="11"/>
    </row>
    <row r="503" spans="2:88"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  <c r="CA503" s="11"/>
      <c r="CB503" s="11"/>
      <c r="CC503" s="11"/>
      <c r="CD503" s="11"/>
      <c r="CG503" s="11"/>
      <c r="CH503" s="11"/>
      <c r="CI503" s="11"/>
      <c r="CJ503" s="11"/>
    </row>
    <row r="504" spans="2:88"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G504" s="11"/>
      <c r="CH504" s="11"/>
      <c r="CI504" s="11"/>
      <c r="CJ504" s="11"/>
    </row>
    <row r="505" spans="2:88"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  <c r="CA505" s="11"/>
      <c r="CB505" s="11"/>
      <c r="CC505" s="11"/>
      <c r="CD505" s="11"/>
      <c r="CG505" s="11"/>
      <c r="CH505" s="11"/>
      <c r="CI505" s="11"/>
      <c r="CJ505" s="11"/>
    </row>
    <row r="506" spans="2:88"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G506" s="11"/>
      <c r="CH506" s="11"/>
      <c r="CI506" s="11"/>
      <c r="CJ506" s="11"/>
    </row>
    <row r="507" spans="2:88"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  <c r="CA507" s="11"/>
      <c r="CB507" s="11"/>
      <c r="CC507" s="11"/>
      <c r="CD507" s="11"/>
      <c r="CG507" s="11"/>
      <c r="CH507" s="11"/>
      <c r="CI507" s="11"/>
      <c r="CJ507" s="11"/>
    </row>
    <row r="508" spans="2:88"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G508" s="11"/>
      <c r="CH508" s="11"/>
      <c r="CI508" s="11"/>
      <c r="CJ508" s="11"/>
    </row>
    <row r="509" spans="2:88"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  <c r="CA509" s="11"/>
      <c r="CB509" s="11"/>
      <c r="CC509" s="11"/>
      <c r="CD509" s="11"/>
      <c r="CG509" s="11"/>
      <c r="CH509" s="11"/>
      <c r="CI509" s="11"/>
      <c r="CJ509" s="11"/>
    </row>
    <row r="510" spans="2:88"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G510" s="11"/>
      <c r="CH510" s="11"/>
      <c r="CI510" s="11"/>
      <c r="CJ510" s="11"/>
    </row>
    <row r="511" spans="2:88"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  <c r="CA511" s="11"/>
      <c r="CB511" s="11"/>
      <c r="CC511" s="11"/>
      <c r="CD511" s="11"/>
      <c r="CG511" s="11"/>
      <c r="CH511" s="11"/>
      <c r="CI511" s="11"/>
      <c r="CJ511" s="11"/>
    </row>
    <row r="512" spans="2:88"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G512" s="11"/>
      <c r="CH512" s="11"/>
      <c r="CI512" s="11"/>
      <c r="CJ512" s="11"/>
    </row>
    <row r="513" spans="2:88"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  <c r="CA513" s="11"/>
      <c r="CB513" s="11"/>
      <c r="CC513" s="11"/>
      <c r="CD513" s="11"/>
      <c r="CG513" s="11"/>
      <c r="CH513" s="11"/>
      <c r="CI513" s="11"/>
      <c r="CJ513" s="11"/>
    </row>
    <row r="514" spans="2:88"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G514" s="11"/>
      <c r="CH514" s="11"/>
      <c r="CI514" s="11"/>
      <c r="CJ514" s="11"/>
    </row>
    <row r="515" spans="2:88"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  <c r="CA515" s="11"/>
      <c r="CB515" s="11"/>
      <c r="CC515" s="11"/>
      <c r="CD515" s="11"/>
      <c r="CG515" s="11"/>
      <c r="CH515" s="11"/>
      <c r="CI515" s="11"/>
      <c r="CJ515" s="11"/>
    </row>
    <row r="516" spans="2:88"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G516" s="11"/>
      <c r="CH516" s="11"/>
      <c r="CI516" s="11"/>
      <c r="CJ516" s="11"/>
    </row>
    <row r="517" spans="2:88"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  <c r="CA517" s="11"/>
      <c r="CB517" s="11"/>
      <c r="CC517" s="11"/>
      <c r="CD517" s="11"/>
      <c r="CG517" s="11"/>
      <c r="CH517" s="11"/>
      <c r="CI517" s="11"/>
      <c r="CJ517" s="11"/>
    </row>
    <row r="518" spans="2:88"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G518" s="11"/>
      <c r="CH518" s="11"/>
      <c r="CI518" s="11"/>
      <c r="CJ518" s="11"/>
    </row>
    <row r="519" spans="2:88"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  <c r="CA519" s="11"/>
      <c r="CB519" s="11"/>
      <c r="CC519" s="11"/>
      <c r="CD519" s="11"/>
      <c r="CG519" s="11"/>
      <c r="CH519" s="11"/>
      <c r="CI519" s="11"/>
      <c r="CJ519" s="11"/>
    </row>
    <row r="520" spans="2:88"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G520" s="11"/>
      <c r="CH520" s="11"/>
      <c r="CI520" s="11"/>
      <c r="CJ520" s="11"/>
    </row>
    <row r="521" spans="2:88"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  <c r="CA521" s="11"/>
      <c r="CB521" s="11"/>
      <c r="CC521" s="11"/>
      <c r="CD521" s="11"/>
      <c r="CG521" s="11"/>
      <c r="CH521" s="11"/>
      <c r="CI521" s="11"/>
      <c r="CJ521" s="11"/>
    </row>
    <row r="522" spans="2:88"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G522" s="11"/>
      <c r="CH522" s="11"/>
      <c r="CI522" s="11"/>
      <c r="CJ522" s="11"/>
    </row>
    <row r="523" spans="2:88"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  <c r="CA523" s="11"/>
      <c r="CB523" s="11"/>
      <c r="CC523" s="11"/>
      <c r="CD523" s="11"/>
      <c r="CG523" s="11"/>
      <c r="CH523" s="11"/>
      <c r="CI523" s="11"/>
      <c r="CJ523" s="11"/>
    </row>
    <row r="524" spans="2:88"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G524" s="11"/>
      <c r="CH524" s="11"/>
      <c r="CI524" s="11"/>
      <c r="CJ524" s="11"/>
    </row>
    <row r="525" spans="2:88"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  <c r="CA525" s="11"/>
      <c r="CB525" s="11"/>
      <c r="CC525" s="11"/>
      <c r="CD525" s="11"/>
      <c r="CG525" s="11"/>
      <c r="CH525" s="11"/>
      <c r="CI525" s="11"/>
      <c r="CJ525" s="11"/>
    </row>
    <row r="526" spans="2:88"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  <c r="CA526" s="11"/>
      <c r="CB526" s="11"/>
      <c r="CC526" s="11"/>
      <c r="CD526" s="11"/>
      <c r="CG526" s="11"/>
      <c r="CH526" s="11"/>
      <c r="CI526" s="11"/>
      <c r="CJ526" s="11"/>
    </row>
    <row r="527" spans="2:88"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G527" s="11"/>
      <c r="CH527" s="11"/>
      <c r="CI527" s="11"/>
      <c r="CJ527" s="11"/>
    </row>
    <row r="528" spans="2:88"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G528" s="11"/>
      <c r="CH528" s="11"/>
      <c r="CI528" s="11"/>
      <c r="CJ528" s="11"/>
    </row>
    <row r="529" spans="2:88"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  <c r="CA529" s="11"/>
      <c r="CB529" s="11"/>
      <c r="CC529" s="11"/>
      <c r="CD529" s="11"/>
      <c r="CG529" s="11"/>
      <c r="CH529" s="11"/>
      <c r="CI529" s="11"/>
      <c r="CJ529" s="11"/>
    </row>
    <row r="530" spans="2:88"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G530" s="11"/>
      <c r="CH530" s="11"/>
      <c r="CI530" s="11"/>
      <c r="CJ530" s="11"/>
    </row>
    <row r="531" spans="2:88"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  <c r="CA531" s="11"/>
      <c r="CB531" s="11"/>
      <c r="CC531" s="11"/>
      <c r="CD531" s="11"/>
      <c r="CG531" s="11"/>
      <c r="CH531" s="11"/>
      <c r="CI531" s="11"/>
      <c r="CJ531" s="11"/>
    </row>
    <row r="532" spans="2:88"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  <c r="CA532" s="11"/>
      <c r="CB532" s="11"/>
      <c r="CC532" s="11"/>
      <c r="CD532" s="11"/>
      <c r="CG532" s="11"/>
      <c r="CH532" s="11"/>
      <c r="CI532" s="11"/>
      <c r="CJ532" s="11"/>
    </row>
    <row r="533" spans="2:88"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  <c r="CA533" s="11"/>
      <c r="CB533" s="11"/>
      <c r="CC533" s="11"/>
      <c r="CD533" s="11"/>
      <c r="CG533" s="11"/>
      <c r="CH533" s="11"/>
      <c r="CI533" s="11"/>
      <c r="CJ533" s="11"/>
    </row>
    <row r="534" spans="2:88"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G534" s="11"/>
      <c r="CH534" s="11"/>
      <c r="CI534" s="11"/>
      <c r="CJ534" s="11"/>
    </row>
    <row r="535" spans="2:88"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  <c r="CA535" s="11"/>
      <c r="CB535" s="11"/>
      <c r="CC535" s="11"/>
      <c r="CD535" s="11"/>
      <c r="CG535" s="11"/>
      <c r="CH535" s="11"/>
      <c r="CI535" s="11"/>
      <c r="CJ535" s="11"/>
    </row>
    <row r="536" spans="2:88"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G536" s="11"/>
      <c r="CH536" s="11"/>
      <c r="CI536" s="11"/>
      <c r="CJ536" s="11"/>
    </row>
    <row r="537" spans="2:88"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  <c r="CA537" s="11"/>
      <c r="CB537" s="11"/>
      <c r="CC537" s="11"/>
      <c r="CD537" s="11"/>
      <c r="CG537" s="11"/>
      <c r="CH537" s="11"/>
      <c r="CI537" s="11"/>
      <c r="CJ537" s="11"/>
    </row>
    <row r="538" spans="2:88"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G538" s="11"/>
      <c r="CH538" s="11"/>
      <c r="CI538" s="11"/>
      <c r="CJ538" s="11"/>
    </row>
    <row r="539" spans="2:88"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  <c r="CA539" s="11"/>
      <c r="CB539" s="11"/>
      <c r="CC539" s="11"/>
      <c r="CD539" s="11"/>
      <c r="CG539" s="11"/>
      <c r="CH539" s="11"/>
      <c r="CI539" s="11"/>
      <c r="CJ539" s="11"/>
    </row>
    <row r="540" spans="2:88"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  <c r="CA540" s="11"/>
      <c r="CB540" s="11"/>
      <c r="CC540" s="11"/>
      <c r="CD540" s="11"/>
      <c r="CG540" s="11"/>
      <c r="CH540" s="11"/>
      <c r="CI540" s="11"/>
      <c r="CJ540" s="11"/>
    </row>
    <row r="541" spans="2:88"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  <c r="CA541" s="11"/>
      <c r="CB541" s="11"/>
      <c r="CC541" s="11"/>
      <c r="CD541" s="11"/>
      <c r="CG541" s="11"/>
      <c r="CH541" s="11"/>
      <c r="CI541" s="11"/>
      <c r="CJ541" s="11"/>
    </row>
    <row r="542" spans="2:88"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  <c r="CA542" s="11"/>
      <c r="CB542" s="11"/>
      <c r="CC542" s="11"/>
      <c r="CD542" s="11"/>
      <c r="CG542" s="11"/>
      <c r="CH542" s="11"/>
      <c r="CI542" s="11"/>
      <c r="CJ542" s="11"/>
    </row>
    <row r="543" spans="2:88"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  <c r="CA543" s="11"/>
      <c r="CB543" s="11"/>
      <c r="CC543" s="11"/>
      <c r="CD543" s="11"/>
      <c r="CG543" s="11"/>
      <c r="CH543" s="11"/>
      <c r="CI543" s="11"/>
      <c r="CJ543" s="11"/>
    </row>
    <row r="544" spans="2:88"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G544" s="11"/>
      <c r="CH544" s="11"/>
      <c r="CI544" s="11"/>
      <c r="CJ544" s="11"/>
    </row>
    <row r="545" spans="2:88"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  <c r="CA545" s="11"/>
      <c r="CB545" s="11"/>
      <c r="CC545" s="11"/>
      <c r="CD545" s="11"/>
      <c r="CG545" s="11"/>
      <c r="CH545" s="11"/>
      <c r="CI545" s="11"/>
      <c r="CJ545" s="11"/>
    </row>
    <row r="546" spans="2:88"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G546" s="11"/>
      <c r="CH546" s="11"/>
      <c r="CI546" s="11"/>
      <c r="CJ546" s="11"/>
    </row>
    <row r="547" spans="2:88"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  <c r="CA547" s="11"/>
      <c r="CB547" s="11"/>
      <c r="CC547" s="11"/>
      <c r="CD547" s="11"/>
      <c r="CG547" s="11"/>
      <c r="CH547" s="11"/>
      <c r="CI547" s="11"/>
      <c r="CJ547" s="11"/>
    </row>
    <row r="548" spans="2:88"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G548" s="11"/>
      <c r="CH548" s="11"/>
      <c r="CI548" s="11"/>
      <c r="CJ548" s="11"/>
    </row>
    <row r="549" spans="2:88"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  <c r="CA549" s="11"/>
      <c r="CB549" s="11"/>
      <c r="CC549" s="11"/>
      <c r="CD549" s="11"/>
      <c r="CG549" s="11"/>
      <c r="CH549" s="11"/>
      <c r="CI549" s="11"/>
      <c r="CJ549" s="11"/>
    </row>
    <row r="550" spans="2:88"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G550" s="11"/>
      <c r="CH550" s="11"/>
      <c r="CI550" s="11"/>
      <c r="CJ550" s="11"/>
    </row>
    <row r="551" spans="2:88"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  <c r="CA551" s="11"/>
      <c r="CB551" s="11"/>
      <c r="CC551" s="11"/>
      <c r="CD551" s="11"/>
      <c r="CG551" s="11"/>
      <c r="CH551" s="11"/>
      <c r="CI551" s="11"/>
      <c r="CJ551" s="11"/>
    </row>
    <row r="552" spans="2:88"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  <c r="CA552" s="11"/>
      <c r="CB552" s="11"/>
      <c r="CC552" s="11"/>
      <c r="CD552" s="11"/>
      <c r="CG552" s="11"/>
      <c r="CH552" s="11"/>
      <c r="CI552" s="11"/>
      <c r="CJ552" s="11"/>
    </row>
    <row r="553" spans="2:88"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  <c r="CA553" s="11"/>
      <c r="CB553" s="11"/>
      <c r="CC553" s="11"/>
      <c r="CD553" s="11"/>
      <c r="CG553" s="11"/>
      <c r="CH553" s="11"/>
      <c r="CI553" s="11"/>
      <c r="CJ553" s="11"/>
    </row>
    <row r="554" spans="2:88"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  <c r="CA554" s="11"/>
      <c r="CB554" s="11"/>
      <c r="CC554" s="11"/>
      <c r="CD554" s="11"/>
      <c r="CG554" s="11"/>
      <c r="CH554" s="11"/>
      <c r="CI554" s="11"/>
      <c r="CJ554" s="11"/>
    </row>
    <row r="555" spans="2:88"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  <c r="CA555" s="11"/>
      <c r="CB555" s="11"/>
      <c r="CC555" s="11"/>
      <c r="CD555" s="11"/>
      <c r="CG555" s="11"/>
      <c r="CH555" s="11"/>
      <c r="CI555" s="11"/>
      <c r="CJ555" s="11"/>
    </row>
    <row r="556" spans="2:88"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  <c r="CA556" s="11"/>
      <c r="CB556" s="11"/>
      <c r="CC556" s="11"/>
      <c r="CD556" s="11"/>
      <c r="CG556" s="11"/>
      <c r="CH556" s="11"/>
      <c r="CI556" s="11"/>
      <c r="CJ556" s="11"/>
    </row>
    <row r="557" spans="2:88"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G557" s="11"/>
      <c r="CH557" s="11"/>
      <c r="CI557" s="11"/>
      <c r="CJ557" s="11"/>
    </row>
    <row r="558" spans="2:88"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  <c r="CA558" s="11"/>
      <c r="CB558" s="11"/>
      <c r="CC558" s="11"/>
      <c r="CD558" s="11"/>
      <c r="CG558" s="11"/>
      <c r="CH558" s="11"/>
      <c r="CI558" s="11"/>
      <c r="CJ558" s="11"/>
    </row>
    <row r="559" spans="2:88"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  <c r="CA559" s="11"/>
      <c r="CB559" s="11"/>
      <c r="CC559" s="11"/>
      <c r="CD559" s="11"/>
      <c r="CG559" s="11"/>
      <c r="CH559" s="11"/>
      <c r="CI559" s="11"/>
      <c r="CJ559" s="11"/>
    </row>
    <row r="560" spans="2:88"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G560" s="11"/>
      <c r="CH560" s="11"/>
      <c r="CI560" s="11"/>
      <c r="CJ560" s="11"/>
    </row>
    <row r="561" spans="2:88"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  <c r="CA561" s="11"/>
      <c r="CB561" s="11"/>
      <c r="CC561" s="11"/>
      <c r="CD561" s="11"/>
      <c r="CG561" s="11"/>
      <c r="CH561" s="11"/>
      <c r="CI561" s="11"/>
      <c r="CJ561" s="11"/>
    </row>
    <row r="562" spans="2:88"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G562" s="11"/>
      <c r="CH562" s="11"/>
      <c r="CI562" s="11"/>
      <c r="CJ562" s="11"/>
    </row>
    <row r="563" spans="2:88"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  <c r="BZ563" s="11"/>
      <c r="CA563" s="11"/>
      <c r="CB563" s="11"/>
      <c r="CC563" s="11"/>
      <c r="CD563" s="11"/>
      <c r="CG563" s="11"/>
      <c r="CH563" s="11"/>
      <c r="CI563" s="11"/>
      <c r="CJ563" s="11"/>
    </row>
    <row r="564" spans="2:88"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G564" s="11"/>
      <c r="CH564" s="11"/>
      <c r="CI564" s="11"/>
      <c r="CJ564" s="11"/>
    </row>
    <row r="565" spans="2:88"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  <c r="CA565" s="11"/>
      <c r="CB565" s="11"/>
      <c r="CC565" s="11"/>
      <c r="CD565" s="11"/>
      <c r="CG565" s="11"/>
      <c r="CH565" s="11"/>
      <c r="CI565" s="11"/>
      <c r="CJ565" s="11"/>
    </row>
    <row r="566" spans="2:88"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  <c r="CA566" s="11"/>
      <c r="CB566" s="11"/>
      <c r="CC566" s="11"/>
      <c r="CD566" s="11"/>
      <c r="CG566" s="11"/>
      <c r="CH566" s="11"/>
      <c r="CI566" s="11"/>
      <c r="CJ566" s="11"/>
    </row>
    <row r="567" spans="2:88"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  <c r="CA567" s="11"/>
      <c r="CB567" s="11"/>
      <c r="CC567" s="11"/>
      <c r="CD567" s="11"/>
      <c r="CG567" s="11"/>
      <c r="CH567" s="11"/>
      <c r="CI567" s="11"/>
      <c r="CJ567" s="11"/>
    </row>
    <row r="568" spans="2:88"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  <c r="CA568" s="11"/>
      <c r="CB568" s="11"/>
      <c r="CC568" s="11"/>
      <c r="CD568" s="11"/>
      <c r="CG568" s="11"/>
      <c r="CH568" s="11"/>
      <c r="CI568" s="11"/>
      <c r="CJ568" s="11"/>
    </row>
    <row r="569" spans="2:88"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  <c r="CA569" s="11"/>
      <c r="CB569" s="11"/>
      <c r="CC569" s="11"/>
      <c r="CD569" s="11"/>
      <c r="CG569" s="11"/>
      <c r="CH569" s="11"/>
      <c r="CI569" s="11"/>
      <c r="CJ569" s="11"/>
    </row>
    <row r="570" spans="2:88"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G570" s="11"/>
      <c r="CH570" s="11"/>
      <c r="CI570" s="11"/>
      <c r="CJ570" s="11"/>
    </row>
    <row r="571" spans="2:88"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  <c r="CA571" s="11"/>
      <c r="CB571" s="11"/>
      <c r="CC571" s="11"/>
      <c r="CD571" s="11"/>
      <c r="CG571" s="11"/>
      <c r="CH571" s="11"/>
      <c r="CI571" s="11"/>
      <c r="CJ571" s="11"/>
    </row>
    <row r="572" spans="2:88"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G572" s="11"/>
      <c r="CH572" s="11"/>
      <c r="CI572" s="11"/>
      <c r="CJ572" s="11"/>
    </row>
    <row r="573" spans="2:88"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  <c r="CA573" s="11"/>
      <c r="CB573" s="11"/>
      <c r="CC573" s="11"/>
      <c r="CD573" s="11"/>
      <c r="CG573" s="11"/>
      <c r="CH573" s="11"/>
      <c r="CI573" s="11"/>
      <c r="CJ573" s="11"/>
    </row>
    <row r="574" spans="2:88"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G574" s="11"/>
      <c r="CH574" s="11"/>
      <c r="CI574" s="11"/>
      <c r="CJ574" s="11"/>
    </row>
    <row r="575" spans="2:88"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  <c r="BZ575" s="11"/>
      <c r="CA575" s="11"/>
      <c r="CB575" s="11"/>
      <c r="CC575" s="11"/>
      <c r="CD575" s="11"/>
      <c r="CG575" s="11"/>
      <c r="CH575" s="11"/>
      <c r="CI575" s="11"/>
      <c r="CJ575" s="11"/>
    </row>
    <row r="576" spans="2:88"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G576" s="11"/>
      <c r="CH576" s="11"/>
      <c r="CI576" s="11"/>
      <c r="CJ576" s="11"/>
    </row>
    <row r="577" spans="2:88"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G577" s="11"/>
      <c r="CH577" s="11"/>
      <c r="CI577" s="11"/>
      <c r="CJ577" s="11"/>
    </row>
    <row r="578" spans="2:88"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G578" s="11"/>
      <c r="CH578" s="11"/>
      <c r="CI578" s="11"/>
      <c r="CJ578" s="11"/>
    </row>
    <row r="579" spans="2:88"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  <c r="BZ579" s="11"/>
      <c r="CA579" s="11"/>
      <c r="CB579" s="11"/>
      <c r="CC579" s="11"/>
      <c r="CD579" s="11"/>
      <c r="CG579" s="11"/>
      <c r="CH579" s="11"/>
      <c r="CI579" s="11"/>
      <c r="CJ579" s="11"/>
    </row>
    <row r="580" spans="2:88"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G580" s="11"/>
      <c r="CH580" s="11"/>
      <c r="CI580" s="11"/>
      <c r="CJ580" s="11"/>
    </row>
    <row r="581" spans="2:88"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  <c r="CA581" s="11"/>
      <c r="CB581" s="11"/>
      <c r="CC581" s="11"/>
      <c r="CD581" s="11"/>
      <c r="CG581" s="11"/>
      <c r="CH581" s="11"/>
      <c r="CI581" s="11"/>
      <c r="CJ581" s="11"/>
    </row>
    <row r="582" spans="2:88"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G582" s="11"/>
      <c r="CH582" s="11"/>
      <c r="CI582" s="11"/>
      <c r="CJ582" s="11"/>
    </row>
    <row r="583" spans="2:88"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  <c r="CA583" s="11"/>
      <c r="CB583" s="11"/>
      <c r="CC583" s="11"/>
      <c r="CD583" s="11"/>
      <c r="CG583" s="11"/>
      <c r="CH583" s="11"/>
      <c r="CI583" s="11"/>
      <c r="CJ583" s="11"/>
    </row>
    <row r="584" spans="2:88"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G584" s="11"/>
      <c r="CH584" s="11"/>
      <c r="CI584" s="11"/>
      <c r="CJ584" s="11"/>
    </row>
    <row r="585" spans="2:88"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  <c r="CA585" s="11"/>
      <c r="CB585" s="11"/>
      <c r="CC585" s="11"/>
      <c r="CD585" s="11"/>
      <c r="CG585" s="11"/>
      <c r="CH585" s="11"/>
      <c r="CI585" s="11"/>
      <c r="CJ585" s="11"/>
    </row>
    <row r="586" spans="2:88"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  <c r="CA586" s="11"/>
      <c r="CB586" s="11"/>
      <c r="CC586" s="11"/>
      <c r="CD586" s="11"/>
      <c r="CG586" s="11"/>
      <c r="CH586" s="11"/>
      <c r="CI586" s="11"/>
      <c r="CJ586" s="11"/>
    </row>
    <row r="587" spans="2:88"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G587" s="11"/>
      <c r="CH587" s="11"/>
      <c r="CI587" s="11"/>
      <c r="CJ587" s="11"/>
    </row>
    <row r="588" spans="2:88"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G588" s="11"/>
      <c r="CH588" s="11"/>
      <c r="CI588" s="11"/>
      <c r="CJ588" s="11"/>
    </row>
    <row r="589" spans="2:88"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  <c r="CA589" s="11"/>
      <c r="CB589" s="11"/>
      <c r="CC589" s="11"/>
      <c r="CD589" s="11"/>
      <c r="CG589" s="11"/>
      <c r="CH589" s="11"/>
      <c r="CI589" s="11"/>
      <c r="CJ589" s="11"/>
    </row>
    <row r="590" spans="2:88"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  <c r="BZ590" s="11"/>
      <c r="CA590" s="11"/>
      <c r="CB590" s="11"/>
      <c r="CC590" s="11"/>
      <c r="CD590" s="11"/>
      <c r="CG590" s="11"/>
      <c r="CH590" s="11"/>
      <c r="CI590" s="11"/>
      <c r="CJ590" s="11"/>
    </row>
    <row r="591" spans="2:88"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  <c r="BZ591" s="11"/>
      <c r="CA591" s="11"/>
      <c r="CB591" s="11"/>
      <c r="CC591" s="11"/>
      <c r="CD591" s="11"/>
      <c r="CG591" s="11"/>
      <c r="CH591" s="11"/>
      <c r="CI591" s="11"/>
      <c r="CJ591" s="11"/>
    </row>
    <row r="592" spans="2:88"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  <c r="BZ592" s="11"/>
      <c r="CA592" s="11"/>
      <c r="CB592" s="11"/>
      <c r="CC592" s="11"/>
      <c r="CD592" s="11"/>
      <c r="CG592" s="11"/>
      <c r="CH592" s="11"/>
      <c r="CI592" s="11"/>
      <c r="CJ592" s="11"/>
    </row>
    <row r="593" spans="2:88"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  <c r="BZ593" s="11"/>
      <c r="CA593" s="11"/>
      <c r="CB593" s="11"/>
      <c r="CC593" s="11"/>
      <c r="CD593" s="11"/>
      <c r="CG593" s="11"/>
      <c r="CH593" s="11"/>
      <c r="CI593" s="11"/>
      <c r="CJ593" s="11"/>
    </row>
    <row r="594" spans="2:88"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  <c r="BZ594" s="11"/>
      <c r="CA594" s="11"/>
      <c r="CB594" s="11"/>
      <c r="CC594" s="11"/>
      <c r="CD594" s="11"/>
      <c r="CG594" s="11"/>
      <c r="CH594" s="11"/>
      <c r="CI594" s="11"/>
      <c r="CJ594" s="11"/>
    </row>
    <row r="595" spans="2:88"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  <c r="BZ595" s="11"/>
      <c r="CA595" s="11"/>
      <c r="CB595" s="11"/>
      <c r="CC595" s="11"/>
      <c r="CD595" s="11"/>
      <c r="CG595" s="11"/>
      <c r="CH595" s="11"/>
      <c r="CI595" s="11"/>
      <c r="CJ595" s="11"/>
    </row>
    <row r="596" spans="2:88"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  <c r="BZ596" s="11"/>
      <c r="CA596" s="11"/>
      <c r="CB596" s="11"/>
      <c r="CC596" s="11"/>
      <c r="CD596" s="11"/>
      <c r="CG596" s="11"/>
      <c r="CH596" s="11"/>
      <c r="CI596" s="11"/>
      <c r="CJ596" s="11"/>
    </row>
    <row r="597" spans="2:88"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  <c r="BZ597" s="11"/>
      <c r="CA597" s="11"/>
      <c r="CB597" s="11"/>
      <c r="CC597" s="11"/>
      <c r="CD597" s="11"/>
      <c r="CG597" s="11"/>
      <c r="CH597" s="11"/>
      <c r="CI597" s="11"/>
      <c r="CJ597" s="11"/>
    </row>
    <row r="598" spans="2:88"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  <c r="BZ598" s="11"/>
      <c r="CA598" s="11"/>
      <c r="CB598" s="11"/>
      <c r="CC598" s="11"/>
      <c r="CD598" s="11"/>
      <c r="CG598" s="11"/>
      <c r="CH598" s="11"/>
      <c r="CI598" s="11"/>
      <c r="CJ598" s="11"/>
    </row>
    <row r="599" spans="2:88"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  <c r="BZ599" s="11"/>
      <c r="CA599" s="11"/>
      <c r="CB599" s="11"/>
      <c r="CC599" s="11"/>
      <c r="CD599" s="11"/>
      <c r="CG599" s="11"/>
      <c r="CH599" s="11"/>
      <c r="CI599" s="11"/>
      <c r="CJ599" s="11"/>
    </row>
    <row r="600" spans="2:88"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G600" s="11"/>
      <c r="CH600" s="11"/>
      <c r="CI600" s="11"/>
      <c r="CJ600" s="11"/>
    </row>
    <row r="601" spans="2:88"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  <c r="BZ601" s="11"/>
      <c r="CA601" s="11"/>
      <c r="CB601" s="11"/>
      <c r="CC601" s="11"/>
      <c r="CD601" s="11"/>
      <c r="CG601" s="11"/>
      <c r="CH601" s="11"/>
      <c r="CI601" s="11"/>
      <c r="CJ601" s="11"/>
    </row>
    <row r="602" spans="2:88"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  <c r="BZ602" s="11"/>
      <c r="CA602" s="11"/>
      <c r="CB602" s="11"/>
      <c r="CC602" s="11"/>
      <c r="CD602" s="11"/>
      <c r="CG602" s="11"/>
      <c r="CH602" s="11"/>
      <c r="CI602" s="11"/>
      <c r="CJ602" s="11"/>
    </row>
    <row r="603" spans="2:88"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  <c r="BZ603" s="11"/>
      <c r="CA603" s="11"/>
      <c r="CB603" s="11"/>
      <c r="CC603" s="11"/>
      <c r="CD603" s="11"/>
      <c r="CG603" s="11"/>
      <c r="CH603" s="11"/>
      <c r="CI603" s="11"/>
      <c r="CJ603" s="11"/>
    </row>
    <row r="604" spans="2:88"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  <c r="BZ604" s="11"/>
      <c r="CA604" s="11"/>
      <c r="CB604" s="11"/>
      <c r="CC604" s="11"/>
      <c r="CD604" s="11"/>
      <c r="CG604" s="11"/>
      <c r="CH604" s="11"/>
      <c r="CI604" s="11"/>
      <c r="CJ604" s="11"/>
    </row>
    <row r="605" spans="2:88"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  <c r="CA605" s="11"/>
      <c r="CB605" s="11"/>
      <c r="CC605" s="11"/>
      <c r="CD605" s="11"/>
      <c r="CG605" s="11"/>
      <c r="CH605" s="11"/>
      <c r="CI605" s="11"/>
      <c r="CJ605" s="11"/>
    </row>
    <row r="606" spans="2:88"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G606" s="11"/>
      <c r="CH606" s="11"/>
      <c r="CI606" s="11"/>
      <c r="CJ606" s="11"/>
    </row>
    <row r="607" spans="2:88"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  <c r="CA607" s="11"/>
      <c r="CB607" s="11"/>
      <c r="CC607" s="11"/>
      <c r="CD607" s="11"/>
      <c r="CG607" s="11"/>
      <c r="CH607" s="11"/>
      <c r="CI607" s="11"/>
      <c r="CJ607" s="11"/>
    </row>
    <row r="608" spans="2:88"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  <c r="CA608" s="11"/>
      <c r="CB608" s="11"/>
      <c r="CC608" s="11"/>
      <c r="CD608" s="11"/>
      <c r="CG608" s="11"/>
      <c r="CH608" s="11"/>
      <c r="CI608" s="11"/>
      <c r="CJ608" s="11"/>
    </row>
    <row r="609" spans="2:88"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  <c r="CA609" s="11"/>
      <c r="CB609" s="11"/>
      <c r="CC609" s="11"/>
      <c r="CD609" s="11"/>
      <c r="CG609" s="11"/>
      <c r="CH609" s="11"/>
      <c r="CI609" s="11"/>
      <c r="CJ609" s="11"/>
    </row>
    <row r="610" spans="2:88"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  <c r="CA610" s="11"/>
      <c r="CB610" s="11"/>
      <c r="CC610" s="11"/>
      <c r="CD610" s="11"/>
      <c r="CG610" s="11"/>
      <c r="CH610" s="11"/>
      <c r="CI610" s="11"/>
      <c r="CJ610" s="11"/>
    </row>
    <row r="611" spans="2:88"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  <c r="CA611" s="11"/>
      <c r="CB611" s="11"/>
      <c r="CC611" s="11"/>
      <c r="CD611" s="11"/>
      <c r="CG611" s="11"/>
      <c r="CH611" s="11"/>
      <c r="CI611" s="11"/>
      <c r="CJ611" s="11"/>
    </row>
    <row r="612" spans="2:88"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G612" s="11"/>
      <c r="CH612" s="11"/>
      <c r="CI612" s="11"/>
      <c r="CJ612" s="11"/>
    </row>
    <row r="613" spans="2:88"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  <c r="CA613" s="11"/>
      <c r="CB613" s="11"/>
      <c r="CC613" s="11"/>
      <c r="CD613" s="11"/>
      <c r="CG613" s="11"/>
      <c r="CH613" s="11"/>
      <c r="CI613" s="11"/>
      <c r="CJ613" s="11"/>
    </row>
    <row r="614" spans="2:88"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G614" s="11"/>
      <c r="CH614" s="11"/>
      <c r="CI614" s="11"/>
      <c r="CJ614" s="11"/>
    </row>
    <row r="615" spans="2:88"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  <c r="CA615" s="11"/>
      <c r="CB615" s="11"/>
      <c r="CC615" s="11"/>
      <c r="CD615" s="11"/>
      <c r="CG615" s="11"/>
      <c r="CH615" s="11"/>
      <c r="CI615" s="11"/>
      <c r="CJ615" s="11"/>
    </row>
    <row r="616" spans="2:88"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G616" s="11"/>
      <c r="CH616" s="11"/>
      <c r="CI616" s="11"/>
      <c r="CJ616" s="11"/>
    </row>
    <row r="617" spans="2:88"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  <c r="CA617" s="11"/>
      <c r="CB617" s="11"/>
      <c r="CC617" s="11"/>
      <c r="CD617" s="11"/>
      <c r="CG617" s="11"/>
      <c r="CH617" s="11"/>
      <c r="CI617" s="11"/>
      <c r="CJ617" s="11"/>
    </row>
    <row r="618" spans="2:88"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1"/>
      <c r="CG618" s="11"/>
      <c r="CH618" s="11"/>
      <c r="CI618" s="11"/>
      <c r="CJ618" s="11"/>
    </row>
    <row r="619" spans="2:88"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  <c r="CA619" s="11"/>
      <c r="CB619" s="11"/>
      <c r="CC619" s="11"/>
      <c r="CD619" s="11"/>
      <c r="CG619" s="11"/>
      <c r="CH619" s="11"/>
      <c r="CI619" s="11"/>
      <c r="CJ619" s="11"/>
    </row>
    <row r="620" spans="2:88"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G620" s="11"/>
      <c r="CH620" s="11"/>
      <c r="CI620" s="11"/>
      <c r="CJ620" s="11"/>
    </row>
    <row r="621" spans="2:88"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  <c r="CA621" s="11"/>
      <c r="CB621" s="11"/>
      <c r="CC621" s="11"/>
      <c r="CD621" s="11"/>
      <c r="CG621" s="11"/>
      <c r="CH621" s="11"/>
      <c r="CI621" s="11"/>
      <c r="CJ621" s="11"/>
    </row>
    <row r="622" spans="2:88"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G622" s="11"/>
      <c r="CH622" s="11"/>
      <c r="CI622" s="11"/>
      <c r="CJ622" s="11"/>
    </row>
    <row r="623" spans="2:88"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  <c r="BZ623" s="11"/>
      <c r="CA623" s="11"/>
      <c r="CB623" s="11"/>
      <c r="CC623" s="11"/>
      <c r="CD623" s="11"/>
      <c r="CG623" s="11"/>
      <c r="CH623" s="11"/>
      <c r="CI623" s="11"/>
      <c r="CJ623" s="11"/>
    </row>
    <row r="624" spans="2:88"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G624" s="11"/>
      <c r="CH624" s="11"/>
      <c r="CI624" s="11"/>
      <c r="CJ624" s="11"/>
    </row>
    <row r="625" spans="2:88"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  <c r="CA625" s="11"/>
      <c r="CB625" s="11"/>
      <c r="CC625" s="11"/>
      <c r="CD625" s="11"/>
      <c r="CG625" s="11"/>
      <c r="CH625" s="11"/>
      <c r="CI625" s="11"/>
      <c r="CJ625" s="11"/>
    </row>
    <row r="626" spans="2:88"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G626" s="11"/>
      <c r="CH626" s="11"/>
      <c r="CI626" s="11"/>
      <c r="CJ626" s="11"/>
    </row>
    <row r="627" spans="2:88"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  <c r="BZ627" s="11"/>
      <c r="CA627" s="11"/>
      <c r="CB627" s="11"/>
      <c r="CC627" s="11"/>
      <c r="CD627" s="11"/>
      <c r="CG627" s="11"/>
      <c r="CH627" s="11"/>
      <c r="CI627" s="11"/>
      <c r="CJ627" s="11"/>
    </row>
    <row r="628" spans="2:88"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G628" s="11"/>
      <c r="CH628" s="11"/>
      <c r="CI628" s="11"/>
      <c r="CJ628" s="11"/>
    </row>
    <row r="629" spans="2:88"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  <c r="BZ629" s="11"/>
      <c r="CA629" s="11"/>
      <c r="CB629" s="11"/>
      <c r="CC629" s="11"/>
      <c r="CD629" s="11"/>
      <c r="CG629" s="11"/>
      <c r="CH629" s="11"/>
      <c r="CI629" s="11"/>
      <c r="CJ629" s="11"/>
    </row>
    <row r="630" spans="2:88"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G630" s="11"/>
      <c r="CH630" s="11"/>
      <c r="CI630" s="11"/>
      <c r="CJ630" s="11"/>
    </row>
    <row r="631" spans="2:88"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  <c r="CA631" s="11"/>
      <c r="CB631" s="11"/>
      <c r="CC631" s="11"/>
      <c r="CD631" s="11"/>
      <c r="CG631" s="11"/>
      <c r="CH631" s="11"/>
      <c r="CI631" s="11"/>
      <c r="CJ631" s="11"/>
    </row>
    <row r="632" spans="2:88"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  <c r="BZ632" s="11"/>
      <c r="CA632" s="11"/>
      <c r="CB632" s="11"/>
      <c r="CC632" s="11"/>
      <c r="CD632" s="11"/>
      <c r="CG632" s="11"/>
      <c r="CH632" s="11"/>
      <c r="CI632" s="11"/>
      <c r="CJ632" s="11"/>
    </row>
    <row r="633" spans="2:88"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  <c r="BZ633" s="11"/>
      <c r="CA633" s="11"/>
      <c r="CB633" s="11"/>
      <c r="CC633" s="11"/>
      <c r="CD633" s="11"/>
      <c r="CG633" s="11"/>
      <c r="CH633" s="11"/>
      <c r="CI633" s="11"/>
      <c r="CJ633" s="11"/>
    </row>
    <row r="634" spans="2:88"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  <c r="CA634" s="11"/>
      <c r="CB634" s="11"/>
      <c r="CC634" s="11"/>
      <c r="CD634" s="11"/>
      <c r="CG634" s="11"/>
      <c r="CH634" s="11"/>
      <c r="CI634" s="11"/>
      <c r="CJ634" s="11"/>
    </row>
    <row r="635" spans="2:88"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G635" s="11"/>
      <c r="CH635" s="11"/>
      <c r="CI635" s="11"/>
      <c r="CJ635" s="11"/>
    </row>
    <row r="636" spans="2:88"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G636" s="11"/>
      <c r="CH636" s="11"/>
      <c r="CI636" s="11"/>
      <c r="CJ636" s="11"/>
    </row>
    <row r="637" spans="2:88"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  <c r="CA637" s="11"/>
      <c r="CB637" s="11"/>
      <c r="CC637" s="11"/>
      <c r="CD637" s="11"/>
      <c r="CG637" s="11"/>
      <c r="CH637" s="11"/>
      <c r="CI637" s="11"/>
      <c r="CJ637" s="11"/>
    </row>
    <row r="638" spans="2:88"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G638" s="11"/>
      <c r="CH638" s="11"/>
      <c r="CI638" s="11"/>
      <c r="CJ638" s="11"/>
    </row>
    <row r="639" spans="2:88"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  <c r="CA639" s="11"/>
      <c r="CB639" s="11"/>
      <c r="CC639" s="11"/>
      <c r="CD639" s="11"/>
      <c r="CG639" s="11"/>
      <c r="CH639" s="11"/>
      <c r="CI639" s="11"/>
      <c r="CJ639" s="11"/>
    </row>
    <row r="640" spans="2:88"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G640" s="11"/>
      <c r="CH640" s="11"/>
      <c r="CI640" s="11"/>
      <c r="CJ640" s="11"/>
    </row>
    <row r="641" spans="2:88"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  <c r="CA641" s="11"/>
      <c r="CB641" s="11"/>
      <c r="CC641" s="11"/>
      <c r="CD641" s="11"/>
      <c r="CG641" s="11"/>
      <c r="CH641" s="11"/>
      <c r="CI641" s="11"/>
      <c r="CJ641" s="11"/>
    </row>
    <row r="642" spans="2:88"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G642" s="11"/>
      <c r="CH642" s="11"/>
      <c r="CI642" s="11"/>
      <c r="CJ642" s="11"/>
    </row>
    <row r="643" spans="2:88"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  <c r="CA643" s="11"/>
      <c r="CB643" s="11"/>
      <c r="CC643" s="11"/>
      <c r="CD643" s="11"/>
      <c r="CG643" s="11"/>
      <c r="CH643" s="11"/>
      <c r="CI643" s="11"/>
      <c r="CJ643" s="11"/>
    </row>
    <row r="644" spans="2:88"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G644" s="11"/>
      <c r="CH644" s="11"/>
      <c r="CI644" s="11"/>
      <c r="CJ644" s="11"/>
    </row>
    <row r="645" spans="2:88"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  <c r="CA645" s="11"/>
      <c r="CB645" s="11"/>
      <c r="CC645" s="11"/>
      <c r="CD645" s="11"/>
      <c r="CG645" s="11"/>
      <c r="CH645" s="11"/>
      <c r="CI645" s="11"/>
      <c r="CJ645" s="11"/>
    </row>
    <row r="646" spans="2:88"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G646" s="11"/>
      <c r="CH646" s="11"/>
      <c r="CI646" s="11"/>
      <c r="CJ646" s="11"/>
    </row>
    <row r="647" spans="2:88"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  <c r="CA647" s="11"/>
      <c r="CB647" s="11"/>
      <c r="CC647" s="11"/>
      <c r="CD647" s="11"/>
      <c r="CG647" s="11"/>
      <c r="CH647" s="11"/>
      <c r="CI647" s="11"/>
      <c r="CJ647" s="11"/>
    </row>
    <row r="648" spans="2:88"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G648" s="11"/>
      <c r="CH648" s="11"/>
      <c r="CI648" s="11"/>
      <c r="CJ648" s="11"/>
    </row>
    <row r="649" spans="2:88"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  <c r="CA649" s="11"/>
      <c r="CB649" s="11"/>
      <c r="CC649" s="11"/>
      <c r="CD649" s="11"/>
      <c r="CG649" s="11"/>
      <c r="CH649" s="11"/>
      <c r="CI649" s="11"/>
      <c r="CJ649" s="11"/>
    </row>
    <row r="650" spans="2:88"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  <c r="CA650" s="11"/>
      <c r="CB650" s="11"/>
      <c r="CC650" s="11"/>
      <c r="CD650" s="11"/>
      <c r="CG650" s="11"/>
      <c r="CH650" s="11"/>
      <c r="CI650" s="11"/>
      <c r="CJ650" s="11"/>
    </row>
    <row r="651" spans="2:88"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  <c r="CA651" s="11"/>
      <c r="CB651" s="11"/>
      <c r="CC651" s="11"/>
      <c r="CD651" s="11"/>
      <c r="CG651" s="11"/>
      <c r="CH651" s="11"/>
      <c r="CI651" s="11"/>
      <c r="CJ651" s="11"/>
    </row>
    <row r="652" spans="2:88"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G652" s="11"/>
      <c r="CH652" s="11"/>
      <c r="CI652" s="11"/>
      <c r="CJ652" s="11"/>
    </row>
    <row r="653" spans="2:88"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  <c r="BZ653" s="11"/>
      <c r="CA653" s="11"/>
      <c r="CB653" s="11"/>
      <c r="CC653" s="11"/>
      <c r="CD653" s="11"/>
      <c r="CG653" s="11"/>
      <c r="CH653" s="11"/>
      <c r="CI653" s="11"/>
      <c r="CJ653" s="11"/>
    </row>
    <row r="654" spans="2:88"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  <c r="BZ654" s="11"/>
      <c r="CA654" s="11"/>
      <c r="CB654" s="11"/>
      <c r="CC654" s="11"/>
      <c r="CD654" s="11"/>
      <c r="CG654" s="11"/>
      <c r="CH654" s="11"/>
      <c r="CI654" s="11"/>
      <c r="CJ654" s="11"/>
    </row>
    <row r="655" spans="2:88"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  <c r="BZ655" s="11"/>
      <c r="CA655" s="11"/>
      <c r="CB655" s="11"/>
      <c r="CC655" s="11"/>
      <c r="CD655" s="11"/>
      <c r="CG655" s="11"/>
      <c r="CH655" s="11"/>
      <c r="CI655" s="11"/>
      <c r="CJ655" s="11"/>
    </row>
    <row r="656" spans="2:88"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G656" s="11"/>
      <c r="CH656" s="11"/>
      <c r="CI656" s="11"/>
      <c r="CJ656" s="11"/>
    </row>
    <row r="657" spans="2:88"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G657" s="11"/>
      <c r="CH657" s="11"/>
      <c r="CI657" s="11"/>
      <c r="CJ657" s="11"/>
    </row>
    <row r="658" spans="2:88"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G658" s="11"/>
      <c r="CH658" s="11"/>
      <c r="CI658" s="11"/>
      <c r="CJ658" s="11"/>
    </row>
    <row r="659" spans="2:88"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G659" s="11"/>
      <c r="CH659" s="11"/>
      <c r="CI659" s="11"/>
      <c r="CJ659" s="11"/>
    </row>
    <row r="660" spans="2:88"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G660" s="11"/>
      <c r="CH660" s="11"/>
      <c r="CI660" s="11"/>
      <c r="CJ660" s="11"/>
    </row>
    <row r="661" spans="2:88"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  <c r="CA661" s="11"/>
      <c r="CB661" s="11"/>
      <c r="CC661" s="11"/>
      <c r="CD661" s="11"/>
      <c r="CG661" s="11"/>
      <c r="CH661" s="11"/>
      <c r="CI661" s="11"/>
      <c r="CJ661" s="11"/>
    </row>
    <row r="662" spans="2:88"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G662" s="11"/>
      <c r="CH662" s="11"/>
      <c r="CI662" s="11"/>
      <c r="CJ662" s="11"/>
    </row>
    <row r="663" spans="2:88"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  <c r="CA663" s="11"/>
      <c r="CB663" s="11"/>
      <c r="CC663" s="11"/>
      <c r="CD663" s="11"/>
      <c r="CG663" s="11"/>
      <c r="CH663" s="11"/>
      <c r="CI663" s="11"/>
      <c r="CJ663" s="11"/>
    </row>
    <row r="664" spans="2:88"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G664" s="11"/>
      <c r="CH664" s="11"/>
      <c r="CI664" s="11"/>
      <c r="CJ664" s="11"/>
    </row>
    <row r="665" spans="2:88"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  <c r="CA665" s="11"/>
      <c r="CB665" s="11"/>
      <c r="CC665" s="11"/>
      <c r="CD665" s="11"/>
      <c r="CG665" s="11"/>
      <c r="CH665" s="11"/>
      <c r="CI665" s="11"/>
      <c r="CJ665" s="11"/>
    </row>
    <row r="666" spans="2:88"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G666" s="11"/>
      <c r="CH666" s="11"/>
      <c r="CI666" s="11"/>
      <c r="CJ666" s="11"/>
    </row>
    <row r="667" spans="2:88"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  <c r="CA667" s="11"/>
      <c r="CB667" s="11"/>
      <c r="CC667" s="11"/>
      <c r="CD667" s="11"/>
      <c r="CG667" s="11"/>
      <c r="CH667" s="11"/>
      <c r="CI667" s="11"/>
      <c r="CJ667" s="11"/>
    </row>
    <row r="668" spans="2:88"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G668" s="11"/>
      <c r="CH668" s="11"/>
      <c r="CI668" s="11"/>
      <c r="CJ668" s="11"/>
    </row>
    <row r="669" spans="2:88"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  <c r="CA669" s="11"/>
      <c r="CB669" s="11"/>
      <c r="CC669" s="11"/>
      <c r="CD669" s="11"/>
      <c r="CG669" s="11"/>
      <c r="CH669" s="11"/>
      <c r="CI669" s="11"/>
      <c r="CJ669" s="11"/>
    </row>
    <row r="670" spans="2:88"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G670" s="11"/>
      <c r="CH670" s="11"/>
      <c r="CI670" s="11"/>
      <c r="CJ670" s="11"/>
    </row>
    <row r="671" spans="2:88"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  <c r="CA671" s="11"/>
      <c r="CB671" s="11"/>
      <c r="CC671" s="11"/>
      <c r="CD671" s="11"/>
      <c r="CG671" s="11"/>
      <c r="CH671" s="11"/>
      <c r="CI671" s="11"/>
      <c r="CJ671" s="11"/>
    </row>
    <row r="672" spans="2:88"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G672" s="11"/>
      <c r="CH672" s="11"/>
      <c r="CI672" s="11"/>
      <c r="CJ672" s="11"/>
    </row>
    <row r="673" spans="2:88"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G673" s="11"/>
      <c r="CH673" s="11"/>
      <c r="CI673" s="11"/>
      <c r="CJ673" s="11"/>
    </row>
    <row r="674" spans="2:88"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G674" s="11"/>
      <c r="CH674" s="11"/>
      <c r="CI674" s="11"/>
      <c r="CJ674" s="11"/>
    </row>
    <row r="675" spans="2:88"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  <c r="CA675" s="11"/>
      <c r="CB675" s="11"/>
      <c r="CC675" s="11"/>
      <c r="CD675" s="11"/>
      <c r="CG675" s="11"/>
      <c r="CH675" s="11"/>
      <c r="CI675" s="11"/>
      <c r="CJ675" s="11"/>
    </row>
    <row r="676" spans="2:88"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G676" s="11"/>
      <c r="CH676" s="11"/>
      <c r="CI676" s="11"/>
      <c r="CJ676" s="11"/>
    </row>
    <row r="677" spans="2:88"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  <c r="BZ677" s="11"/>
      <c r="CA677" s="11"/>
      <c r="CB677" s="11"/>
      <c r="CC677" s="11"/>
      <c r="CD677" s="11"/>
      <c r="CG677" s="11"/>
      <c r="CH677" s="11"/>
      <c r="CI677" s="11"/>
      <c r="CJ677" s="11"/>
    </row>
    <row r="678" spans="2:88"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G678" s="11"/>
      <c r="CH678" s="11"/>
      <c r="CI678" s="11"/>
      <c r="CJ678" s="11"/>
    </row>
    <row r="679" spans="2:88"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G679" s="11"/>
      <c r="CH679" s="11"/>
      <c r="CI679" s="11"/>
      <c r="CJ679" s="11"/>
    </row>
    <row r="680" spans="2:88"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G680" s="11"/>
      <c r="CH680" s="11"/>
      <c r="CI680" s="11"/>
      <c r="CJ680" s="11"/>
    </row>
    <row r="681" spans="2:88"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  <c r="BZ681" s="11"/>
      <c r="CA681" s="11"/>
      <c r="CB681" s="11"/>
      <c r="CC681" s="11"/>
      <c r="CD681" s="11"/>
      <c r="CG681" s="11"/>
      <c r="CH681" s="11"/>
      <c r="CI681" s="11"/>
      <c r="CJ681" s="11"/>
    </row>
    <row r="682" spans="2:88"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G682" s="11"/>
      <c r="CH682" s="11"/>
      <c r="CI682" s="11"/>
      <c r="CJ682" s="11"/>
    </row>
    <row r="683" spans="2:88"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  <c r="BZ683" s="11"/>
      <c r="CA683" s="11"/>
      <c r="CB683" s="11"/>
      <c r="CC683" s="11"/>
      <c r="CD683" s="11"/>
      <c r="CG683" s="11"/>
      <c r="CH683" s="11"/>
      <c r="CI683" s="11"/>
      <c r="CJ683" s="11"/>
    </row>
    <row r="684" spans="2:88"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G684" s="11"/>
      <c r="CH684" s="11"/>
      <c r="CI684" s="11"/>
      <c r="CJ684" s="11"/>
    </row>
    <row r="685" spans="2:88"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  <c r="CA685" s="11"/>
      <c r="CB685" s="11"/>
      <c r="CC685" s="11"/>
      <c r="CD685" s="11"/>
      <c r="CG685" s="11"/>
      <c r="CH685" s="11"/>
      <c r="CI685" s="11"/>
      <c r="CJ685" s="11"/>
    </row>
    <row r="686" spans="2:88"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G686" s="11"/>
      <c r="CH686" s="11"/>
      <c r="CI686" s="11"/>
      <c r="CJ686" s="11"/>
    </row>
    <row r="687" spans="2:88"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G687" s="11"/>
      <c r="CH687" s="11"/>
      <c r="CI687" s="11"/>
      <c r="CJ687" s="11"/>
    </row>
    <row r="688" spans="2:88"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G688" s="11"/>
      <c r="CH688" s="11"/>
      <c r="CI688" s="11"/>
      <c r="CJ688" s="11"/>
    </row>
    <row r="689" spans="2:88"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G689" s="11"/>
      <c r="CH689" s="11"/>
      <c r="CI689" s="11"/>
      <c r="CJ689" s="11"/>
    </row>
    <row r="690" spans="2:88"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G690" s="11"/>
      <c r="CH690" s="11"/>
      <c r="CI690" s="11"/>
      <c r="CJ690" s="11"/>
    </row>
    <row r="691" spans="2:88"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  <c r="BZ691" s="11"/>
      <c r="CA691" s="11"/>
      <c r="CB691" s="11"/>
      <c r="CC691" s="11"/>
      <c r="CD691" s="11"/>
      <c r="CG691" s="11"/>
      <c r="CH691" s="11"/>
      <c r="CI691" s="11"/>
      <c r="CJ691" s="11"/>
    </row>
    <row r="692" spans="2:88"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G692" s="11"/>
      <c r="CH692" s="11"/>
      <c r="CI692" s="11"/>
      <c r="CJ692" s="11"/>
    </row>
    <row r="693" spans="2:88"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  <c r="CA693" s="11"/>
      <c r="CB693" s="11"/>
      <c r="CC693" s="11"/>
      <c r="CD693" s="11"/>
      <c r="CG693" s="11"/>
      <c r="CH693" s="11"/>
      <c r="CI693" s="11"/>
      <c r="CJ693" s="11"/>
    </row>
    <row r="694" spans="2:88"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G694" s="11"/>
      <c r="CH694" s="11"/>
      <c r="CI694" s="11"/>
      <c r="CJ694" s="11"/>
    </row>
    <row r="695" spans="2:88"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  <c r="CA695" s="11"/>
      <c r="CB695" s="11"/>
      <c r="CC695" s="11"/>
      <c r="CD695" s="11"/>
      <c r="CG695" s="11"/>
      <c r="CH695" s="11"/>
      <c r="CI695" s="11"/>
      <c r="CJ695" s="11"/>
    </row>
    <row r="696" spans="2:88"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G696" s="11"/>
      <c r="CH696" s="11"/>
      <c r="CI696" s="11"/>
      <c r="CJ696" s="11"/>
    </row>
    <row r="697" spans="2:88"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  <c r="CA697" s="11"/>
      <c r="CB697" s="11"/>
      <c r="CC697" s="11"/>
      <c r="CD697" s="11"/>
      <c r="CG697" s="11"/>
      <c r="CH697" s="11"/>
      <c r="CI697" s="11"/>
      <c r="CJ697" s="11"/>
    </row>
    <row r="698" spans="2:88"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G698" s="11"/>
      <c r="CH698" s="11"/>
      <c r="CI698" s="11"/>
      <c r="CJ698" s="11"/>
    </row>
    <row r="699" spans="2:88"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  <c r="CA699" s="11"/>
      <c r="CB699" s="11"/>
      <c r="CC699" s="11"/>
      <c r="CD699" s="11"/>
      <c r="CG699" s="11"/>
      <c r="CH699" s="11"/>
      <c r="CI699" s="11"/>
      <c r="CJ699" s="11"/>
    </row>
    <row r="700" spans="2:88"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G700" s="11"/>
      <c r="CH700" s="11"/>
      <c r="CI700" s="11"/>
      <c r="CJ700" s="11"/>
    </row>
    <row r="701" spans="2:88"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  <c r="CA701" s="11"/>
      <c r="CB701" s="11"/>
      <c r="CC701" s="11"/>
      <c r="CD701" s="11"/>
      <c r="CG701" s="11"/>
      <c r="CH701" s="11"/>
      <c r="CI701" s="11"/>
      <c r="CJ701" s="11"/>
    </row>
    <row r="702" spans="2:88"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G702" s="11"/>
      <c r="CH702" s="11"/>
      <c r="CI702" s="11"/>
      <c r="CJ702" s="11"/>
    </row>
    <row r="703" spans="2:88"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  <c r="CA703" s="11"/>
      <c r="CB703" s="11"/>
      <c r="CC703" s="11"/>
      <c r="CD703" s="11"/>
      <c r="CG703" s="11"/>
      <c r="CH703" s="11"/>
      <c r="CI703" s="11"/>
      <c r="CJ703" s="11"/>
    </row>
    <row r="704" spans="2:88"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G704" s="11"/>
      <c r="CH704" s="11"/>
      <c r="CI704" s="11"/>
      <c r="CJ704" s="11"/>
    </row>
    <row r="705" spans="2:88"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  <c r="CA705" s="11"/>
      <c r="CB705" s="11"/>
      <c r="CC705" s="11"/>
      <c r="CD705" s="11"/>
      <c r="CG705" s="11"/>
      <c r="CH705" s="11"/>
      <c r="CI705" s="11"/>
      <c r="CJ705" s="11"/>
    </row>
    <row r="706" spans="2:88"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G706" s="11"/>
      <c r="CH706" s="11"/>
      <c r="CI706" s="11"/>
      <c r="CJ706" s="11"/>
    </row>
    <row r="707" spans="2:88"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  <c r="CA707" s="11"/>
      <c r="CB707" s="11"/>
      <c r="CC707" s="11"/>
      <c r="CD707" s="11"/>
      <c r="CG707" s="11"/>
      <c r="CH707" s="11"/>
      <c r="CI707" s="11"/>
      <c r="CJ707" s="11"/>
    </row>
    <row r="708" spans="2:88"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G708" s="11"/>
      <c r="CH708" s="11"/>
      <c r="CI708" s="11"/>
      <c r="CJ708" s="11"/>
    </row>
    <row r="709" spans="2:88"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  <c r="CA709" s="11"/>
      <c r="CB709" s="11"/>
      <c r="CC709" s="11"/>
      <c r="CD709" s="11"/>
      <c r="CG709" s="11"/>
      <c r="CH709" s="11"/>
      <c r="CI709" s="11"/>
      <c r="CJ709" s="11"/>
    </row>
    <row r="710" spans="2:88"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G710" s="11"/>
      <c r="CH710" s="11"/>
      <c r="CI710" s="11"/>
      <c r="CJ710" s="11"/>
    </row>
    <row r="711" spans="2:88"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  <c r="CA711" s="11"/>
      <c r="CB711" s="11"/>
      <c r="CC711" s="11"/>
      <c r="CD711" s="11"/>
      <c r="CG711" s="11"/>
      <c r="CH711" s="11"/>
      <c r="CI711" s="11"/>
      <c r="CJ711" s="11"/>
    </row>
    <row r="712" spans="2:88"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G712" s="11"/>
      <c r="CH712" s="11"/>
      <c r="CI712" s="11"/>
      <c r="CJ712" s="11"/>
    </row>
    <row r="713" spans="2:88"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G713" s="11"/>
      <c r="CH713" s="11"/>
      <c r="CI713" s="11"/>
      <c r="CJ713" s="11"/>
    </row>
    <row r="714" spans="2:88"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G714" s="11"/>
      <c r="CH714" s="11"/>
      <c r="CI714" s="11"/>
      <c r="CJ714" s="11"/>
    </row>
    <row r="715" spans="2:88"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  <c r="CA715" s="11"/>
      <c r="CB715" s="11"/>
      <c r="CC715" s="11"/>
      <c r="CD715" s="11"/>
      <c r="CG715" s="11"/>
      <c r="CH715" s="11"/>
      <c r="CI715" s="11"/>
      <c r="CJ715" s="11"/>
    </row>
    <row r="716" spans="2:88"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G716" s="11"/>
      <c r="CH716" s="11"/>
      <c r="CI716" s="11"/>
      <c r="CJ716" s="11"/>
    </row>
    <row r="717" spans="2:88"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  <c r="CA717" s="11"/>
      <c r="CB717" s="11"/>
      <c r="CC717" s="11"/>
      <c r="CD717" s="11"/>
      <c r="CG717" s="11"/>
      <c r="CH717" s="11"/>
      <c r="CI717" s="11"/>
      <c r="CJ717" s="11"/>
    </row>
    <row r="718" spans="2:88"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G718" s="11"/>
      <c r="CH718" s="11"/>
      <c r="CI718" s="11"/>
      <c r="CJ718" s="11"/>
    </row>
    <row r="719" spans="2:88"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  <c r="CA719" s="11"/>
      <c r="CB719" s="11"/>
      <c r="CC719" s="11"/>
      <c r="CD719" s="11"/>
      <c r="CG719" s="11"/>
      <c r="CH719" s="11"/>
      <c r="CI719" s="11"/>
      <c r="CJ719" s="11"/>
    </row>
    <row r="720" spans="2:88"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G720" s="11"/>
      <c r="CH720" s="11"/>
      <c r="CI720" s="11"/>
      <c r="CJ720" s="11"/>
    </row>
    <row r="721" spans="2:88"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  <c r="CA721" s="11"/>
      <c r="CB721" s="11"/>
      <c r="CC721" s="11"/>
      <c r="CD721" s="11"/>
      <c r="CG721" s="11"/>
      <c r="CH721" s="11"/>
      <c r="CI721" s="11"/>
      <c r="CJ721" s="11"/>
    </row>
    <row r="722" spans="2:88"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G722" s="11"/>
      <c r="CH722" s="11"/>
      <c r="CI722" s="11"/>
      <c r="CJ722" s="11"/>
    </row>
    <row r="723" spans="2:88"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  <c r="CA723" s="11"/>
      <c r="CB723" s="11"/>
      <c r="CC723" s="11"/>
      <c r="CD723" s="11"/>
      <c r="CG723" s="11"/>
      <c r="CH723" s="11"/>
      <c r="CI723" s="11"/>
      <c r="CJ723" s="11"/>
    </row>
    <row r="724" spans="2:88"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G724" s="11"/>
      <c r="CH724" s="11"/>
      <c r="CI724" s="11"/>
      <c r="CJ724" s="11"/>
    </row>
    <row r="725" spans="2:88"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  <c r="CA725" s="11"/>
      <c r="CB725" s="11"/>
      <c r="CC725" s="11"/>
      <c r="CD725" s="11"/>
      <c r="CG725" s="11"/>
      <c r="CH725" s="11"/>
      <c r="CI725" s="11"/>
      <c r="CJ725" s="11"/>
    </row>
    <row r="726" spans="2:88"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G726" s="11"/>
      <c r="CH726" s="11"/>
      <c r="CI726" s="11"/>
      <c r="CJ726" s="11"/>
    </row>
    <row r="727" spans="2:88"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  <c r="CA727" s="11"/>
      <c r="CB727" s="11"/>
      <c r="CC727" s="11"/>
      <c r="CD727" s="11"/>
      <c r="CG727" s="11"/>
      <c r="CH727" s="11"/>
      <c r="CI727" s="11"/>
      <c r="CJ727" s="11"/>
    </row>
    <row r="728" spans="2:88"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G728" s="11"/>
      <c r="CH728" s="11"/>
      <c r="CI728" s="11"/>
      <c r="CJ728" s="11"/>
    </row>
    <row r="729" spans="2:88"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  <c r="CA729" s="11"/>
      <c r="CB729" s="11"/>
      <c r="CC729" s="11"/>
      <c r="CD729" s="11"/>
      <c r="CG729" s="11"/>
      <c r="CH729" s="11"/>
      <c r="CI729" s="11"/>
      <c r="CJ729" s="11"/>
    </row>
    <row r="730" spans="2:88"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G730" s="11"/>
      <c r="CH730" s="11"/>
      <c r="CI730" s="11"/>
      <c r="CJ730" s="11"/>
    </row>
    <row r="731" spans="2:88"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  <c r="CA731" s="11"/>
      <c r="CB731" s="11"/>
      <c r="CC731" s="11"/>
      <c r="CD731" s="11"/>
      <c r="CG731" s="11"/>
      <c r="CH731" s="11"/>
      <c r="CI731" s="11"/>
      <c r="CJ731" s="11"/>
    </row>
    <row r="732" spans="2:88"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G732" s="11"/>
      <c r="CH732" s="11"/>
      <c r="CI732" s="11"/>
      <c r="CJ732" s="11"/>
    </row>
    <row r="733" spans="2:88"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  <c r="CA733" s="11"/>
      <c r="CB733" s="11"/>
      <c r="CC733" s="11"/>
      <c r="CD733" s="11"/>
      <c r="CG733" s="11"/>
      <c r="CH733" s="11"/>
      <c r="CI733" s="11"/>
      <c r="CJ733" s="11"/>
    </row>
    <row r="734" spans="2:88"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G734" s="11"/>
      <c r="CH734" s="11"/>
      <c r="CI734" s="11"/>
      <c r="CJ734" s="11"/>
    </row>
    <row r="735" spans="2:88"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  <c r="CA735" s="11"/>
      <c r="CB735" s="11"/>
      <c r="CC735" s="11"/>
      <c r="CD735" s="11"/>
      <c r="CG735" s="11"/>
      <c r="CH735" s="11"/>
      <c r="CI735" s="11"/>
      <c r="CJ735" s="11"/>
    </row>
    <row r="736" spans="2:88"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G736" s="11"/>
      <c r="CH736" s="11"/>
      <c r="CI736" s="11"/>
      <c r="CJ736" s="11"/>
    </row>
    <row r="737" spans="2:88"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G737" s="11"/>
      <c r="CH737" s="11"/>
      <c r="CI737" s="11"/>
      <c r="CJ737" s="11"/>
    </row>
    <row r="738" spans="2:88"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G738" s="11"/>
      <c r="CH738" s="11"/>
      <c r="CI738" s="11"/>
      <c r="CJ738" s="11"/>
    </row>
    <row r="739" spans="2:88"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  <c r="CA739" s="11"/>
      <c r="CB739" s="11"/>
      <c r="CC739" s="11"/>
      <c r="CD739" s="11"/>
      <c r="CG739" s="11"/>
      <c r="CH739" s="11"/>
      <c r="CI739" s="11"/>
      <c r="CJ739" s="11"/>
    </row>
    <row r="740" spans="2:88"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G740" s="11"/>
      <c r="CH740" s="11"/>
      <c r="CI740" s="11"/>
      <c r="CJ740" s="11"/>
    </row>
    <row r="741" spans="2:88"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  <c r="CA741" s="11"/>
      <c r="CB741" s="11"/>
      <c r="CC741" s="11"/>
      <c r="CD741" s="11"/>
      <c r="CG741" s="11"/>
      <c r="CH741" s="11"/>
      <c r="CI741" s="11"/>
      <c r="CJ741" s="11"/>
    </row>
    <row r="742" spans="2:88"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G742" s="11"/>
      <c r="CH742" s="11"/>
      <c r="CI742" s="11"/>
      <c r="CJ742" s="11"/>
    </row>
    <row r="743" spans="2:88"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  <c r="CA743" s="11"/>
      <c r="CB743" s="11"/>
      <c r="CC743" s="11"/>
      <c r="CD743" s="11"/>
      <c r="CG743" s="11"/>
      <c r="CH743" s="11"/>
      <c r="CI743" s="11"/>
      <c r="CJ743" s="11"/>
    </row>
    <row r="744" spans="2:88"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G744" s="11"/>
      <c r="CH744" s="11"/>
      <c r="CI744" s="11"/>
      <c r="CJ744" s="11"/>
    </row>
    <row r="745" spans="2:88"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  <c r="CA745" s="11"/>
      <c r="CB745" s="11"/>
      <c r="CC745" s="11"/>
      <c r="CD745" s="11"/>
      <c r="CG745" s="11"/>
      <c r="CH745" s="11"/>
      <c r="CI745" s="11"/>
      <c r="CJ745" s="11"/>
    </row>
    <row r="746" spans="2:88"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G746" s="11"/>
      <c r="CH746" s="11"/>
      <c r="CI746" s="11"/>
      <c r="CJ746" s="11"/>
    </row>
    <row r="747" spans="2:88"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G747" s="11"/>
      <c r="CH747" s="11"/>
      <c r="CI747" s="11"/>
      <c r="CJ747" s="11"/>
    </row>
    <row r="748" spans="2:88"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G748" s="11"/>
      <c r="CH748" s="11"/>
      <c r="CI748" s="11"/>
      <c r="CJ748" s="11"/>
    </row>
    <row r="749" spans="2:88"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  <c r="BZ749" s="11"/>
      <c r="CA749" s="11"/>
      <c r="CB749" s="11"/>
      <c r="CC749" s="11"/>
      <c r="CD749" s="11"/>
      <c r="CG749" s="11"/>
      <c r="CH749" s="11"/>
      <c r="CI749" s="11"/>
      <c r="CJ749" s="11"/>
    </row>
    <row r="750" spans="2:88"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G750" s="11"/>
      <c r="CH750" s="11"/>
      <c r="CI750" s="11"/>
      <c r="CJ750" s="11"/>
    </row>
    <row r="751" spans="2:88"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  <c r="BZ751" s="11"/>
      <c r="CA751" s="11"/>
      <c r="CB751" s="11"/>
      <c r="CC751" s="11"/>
      <c r="CD751" s="11"/>
      <c r="CG751" s="11"/>
      <c r="CH751" s="11"/>
      <c r="CI751" s="11"/>
      <c r="CJ751" s="11"/>
    </row>
    <row r="752" spans="2:88"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G752" s="11"/>
      <c r="CH752" s="11"/>
      <c r="CI752" s="11"/>
      <c r="CJ752" s="11"/>
    </row>
    <row r="753" spans="2:88"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  <c r="BZ753" s="11"/>
      <c r="CA753" s="11"/>
      <c r="CB753" s="11"/>
      <c r="CC753" s="11"/>
      <c r="CD753" s="11"/>
      <c r="CG753" s="11"/>
      <c r="CH753" s="11"/>
      <c r="CI753" s="11"/>
      <c r="CJ753" s="11"/>
    </row>
    <row r="754" spans="2:88"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G754" s="11"/>
      <c r="CH754" s="11"/>
      <c r="CI754" s="11"/>
      <c r="CJ754" s="11"/>
    </row>
    <row r="755" spans="2:88"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  <c r="CA755" s="11"/>
      <c r="CB755" s="11"/>
      <c r="CC755" s="11"/>
      <c r="CD755" s="11"/>
      <c r="CG755" s="11"/>
      <c r="CH755" s="11"/>
      <c r="CI755" s="11"/>
      <c r="CJ755" s="11"/>
    </row>
    <row r="756" spans="2:88"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G756" s="11"/>
      <c r="CH756" s="11"/>
      <c r="CI756" s="11"/>
      <c r="CJ756" s="11"/>
    </row>
    <row r="757" spans="2:88"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  <c r="CA757" s="11"/>
      <c r="CB757" s="11"/>
      <c r="CC757" s="11"/>
      <c r="CD757" s="11"/>
      <c r="CG757" s="11"/>
      <c r="CH757" s="11"/>
      <c r="CI757" s="11"/>
      <c r="CJ757" s="11"/>
    </row>
    <row r="758" spans="2:88"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  <c r="CA758" s="11"/>
      <c r="CB758" s="11"/>
      <c r="CC758" s="11"/>
      <c r="CD758" s="11"/>
      <c r="CG758" s="11"/>
      <c r="CH758" s="11"/>
      <c r="CI758" s="11"/>
      <c r="CJ758" s="11"/>
    </row>
    <row r="759" spans="2:88"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  <c r="CA759" s="11"/>
      <c r="CB759" s="11"/>
      <c r="CC759" s="11"/>
      <c r="CD759" s="11"/>
      <c r="CG759" s="11"/>
      <c r="CH759" s="11"/>
      <c r="CI759" s="11"/>
      <c r="CJ759" s="11"/>
    </row>
    <row r="760" spans="2:88"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G760" s="11"/>
      <c r="CH760" s="11"/>
      <c r="CI760" s="11"/>
      <c r="CJ760" s="11"/>
    </row>
    <row r="761" spans="2:88"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  <c r="BZ761" s="11"/>
      <c r="CA761" s="11"/>
      <c r="CB761" s="11"/>
      <c r="CC761" s="11"/>
      <c r="CD761" s="11"/>
      <c r="CG761" s="11"/>
      <c r="CH761" s="11"/>
      <c r="CI761" s="11"/>
      <c r="CJ761" s="11"/>
    </row>
    <row r="762" spans="2:88"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G762" s="11"/>
      <c r="CH762" s="11"/>
      <c r="CI762" s="11"/>
      <c r="CJ762" s="11"/>
    </row>
    <row r="763" spans="2:88"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  <c r="BZ763" s="11"/>
      <c r="CA763" s="11"/>
      <c r="CB763" s="11"/>
      <c r="CC763" s="11"/>
      <c r="CD763" s="11"/>
      <c r="CG763" s="11"/>
      <c r="CH763" s="11"/>
      <c r="CI763" s="11"/>
      <c r="CJ763" s="11"/>
    </row>
    <row r="764" spans="2:88"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G764" s="11"/>
      <c r="CH764" s="11"/>
      <c r="CI764" s="11"/>
      <c r="CJ764" s="11"/>
    </row>
    <row r="765" spans="2:88"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G765" s="11"/>
      <c r="CH765" s="11"/>
      <c r="CI765" s="11"/>
      <c r="CJ765" s="11"/>
    </row>
    <row r="766" spans="2:88"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G766" s="11"/>
      <c r="CH766" s="11"/>
      <c r="CI766" s="11"/>
      <c r="CJ766" s="11"/>
    </row>
    <row r="767" spans="2:88"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  <c r="BZ767" s="11"/>
      <c r="CA767" s="11"/>
      <c r="CB767" s="11"/>
      <c r="CC767" s="11"/>
      <c r="CD767" s="11"/>
      <c r="CG767" s="11"/>
      <c r="CH767" s="11"/>
      <c r="CI767" s="11"/>
      <c r="CJ767" s="11"/>
    </row>
    <row r="768" spans="2:88"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G768" s="11"/>
      <c r="CH768" s="11"/>
      <c r="CI768" s="11"/>
      <c r="CJ768" s="11"/>
    </row>
    <row r="769" spans="2:88"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  <c r="BZ769" s="11"/>
      <c r="CA769" s="11"/>
      <c r="CB769" s="11"/>
      <c r="CC769" s="11"/>
      <c r="CD769" s="11"/>
      <c r="CG769" s="11"/>
      <c r="CH769" s="11"/>
      <c r="CI769" s="11"/>
      <c r="CJ769" s="11"/>
    </row>
    <row r="770" spans="2:88"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  <c r="BZ770" s="11"/>
      <c r="CA770" s="11"/>
      <c r="CB770" s="11"/>
      <c r="CC770" s="11"/>
      <c r="CD770" s="11"/>
      <c r="CG770" s="11"/>
      <c r="CH770" s="11"/>
      <c r="CI770" s="11"/>
      <c r="CJ770" s="11"/>
    </row>
    <row r="771" spans="2:88"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  <c r="BZ771" s="11"/>
      <c r="CA771" s="11"/>
      <c r="CB771" s="11"/>
      <c r="CC771" s="11"/>
      <c r="CD771" s="11"/>
      <c r="CG771" s="11"/>
      <c r="CH771" s="11"/>
      <c r="CI771" s="11"/>
      <c r="CJ771" s="11"/>
    </row>
    <row r="772" spans="2:88"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G772" s="11"/>
      <c r="CH772" s="11"/>
      <c r="CI772" s="11"/>
      <c r="CJ772" s="11"/>
    </row>
    <row r="773" spans="2:88"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  <c r="BZ773" s="11"/>
      <c r="CA773" s="11"/>
      <c r="CB773" s="11"/>
      <c r="CC773" s="11"/>
      <c r="CD773" s="11"/>
      <c r="CG773" s="11"/>
      <c r="CH773" s="11"/>
      <c r="CI773" s="11"/>
      <c r="CJ773" s="11"/>
    </row>
    <row r="774" spans="2:88"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G774" s="11"/>
      <c r="CH774" s="11"/>
      <c r="CI774" s="11"/>
      <c r="CJ774" s="11"/>
    </row>
    <row r="775" spans="2:88"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  <c r="BZ775" s="11"/>
      <c r="CA775" s="11"/>
      <c r="CB775" s="11"/>
      <c r="CC775" s="11"/>
      <c r="CD775" s="11"/>
      <c r="CG775" s="11"/>
      <c r="CH775" s="11"/>
      <c r="CI775" s="11"/>
      <c r="CJ775" s="11"/>
    </row>
    <row r="776" spans="2:88"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G776" s="11"/>
      <c r="CH776" s="11"/>
      <c r="CI776" s="11"/>
      <c r="CJ776" s="11"/>
    </row>
    <row r="777" spans="2:88"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G777" s="11"/>
      <c r="CH777" s="11"/>
      <c r="CI777" s="11"/>
      <c r="CJ777" s="11"/>
    </row>
    <row r="778" spans="2:88"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G778" s="11"/>
      <c r="CH778" s="11"/>
      <c r="CI778" s="11"/>
      <c r="CJ778" s="11"/>
    </row>
    <row r="779" spans="2:88"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  <c r="BZ779" s="11"/>
      <c r="CA779" s="11"/>
      <c r="CB779" s="11"/>
      <c r="CC779" s="11"/>
      <c r="CD779" s="11"/>
      <c r="CG779" s="11"/>
      <c r="CH779" s="11"/>
      <c r="CI779" s="11"/>
      <c r="CJ779" s="11"/>
    </row>
    <row r="780" spans="2:88"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G780" s="11"/>
      <c r="CH780" s="11"/>
      <c r="CI780" s="11"/>
      <c r="CJ780" s="11"/>
    </row>
    <row r="781" spans="2:88"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  <c r="BZ781" s="11"/>
      <c r="CA781" s="11"/>
      <c r="CB781" s="11"/>
      <c r="CC781" s="11"/>
      <c r="CD781" s="11"/>
      <c r="CG781" s="11"/>
      <c r="CH781" s="11"/>
      <c r="CI781" s="11"/>
      <c r="CJ781" s="11"/>
    </row>
    <row r="782" spans="2:88"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G782" s="11"/>
      <c r="CH782" s="11"/>
      <c r="CI782" s="11"/>
      <c r="CJ782" s="11"/>
    </row>
    <row r="783" spans="2:88"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  <c r="BZ783" s="11"/>
      <c r="CA783" s="11"/>
      <c r="CB783" s="11"/>
      <c r="CC783" s="11"/>
      <c r="CD783" s="11"/>
      <c r="CG783" s="11"/>
      <c r="CH783" s="11"/>
      <c r="CI783" s="11"/>
      <c r="CJ783" s="11"/>
    </row>
    <row r="784" spans="2:88"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G784" s="11"/>
      <c r="CH784" s="11"/>
      <c r="CI784" s="11"/>
      <c r="CJ784" s="11"/>
    </row>
    <row r="785" spans="2:88"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  <c r="BZ785" s="11"/>
      <c r="CA785" s="11"/>
      <c r="CB785" s="11"/>
      <c r="CC785" s="11"/>
      <c r="CD785" s="11"/>
      <c r="CG785" s="11"/>
      <c r="CH785" s="11"/>
      <c r="CI785" s="11"/>
      <c r="CJ785" s="11"/>
    </row>
    <row r="786" spans="2:88"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G786" s="11"/>
      <c r="CH786" s="11"/>
      <c r="CI786" s="11"/>
      <c r="CJ786" s="11"/>
    </row>
    <row r="787" spans="2:88"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  <c r="BZ787" s="11"/>
      <c r="CA787" s="11"/>
      <c r="CB787" s="11"/>
      <c r="CC787" s="11"/>
      <c r="CD787" s="11"/>
      <c r="CG787" s="11"/>
      <c r="CH787" s="11"/>
      <c r="CI787" s="11"/>
      <c r="CJ787" s="11"/>
    </row>
    <row r="788" spans="2:88"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G788" s="11"/>
      <c r="CH788" s="11"/>
      <c r="CI788" s="11"/>
      <c r="CJ788" s="11"/>
    </row>
    <row r="789" spans="2:88"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  <c r="BZ789" s="11"/>
      <c r="CA789" s="11"/>
      <c r="CB789" s="11"/>
      <c r="CC789" s="11"/>
      <c r="CD789" s="11"/>
      <c r="CG789" s="11"/>
      <c r="CH789" s="11"/>
      <c r="CI789" s="11"/>
      <c r="CJ789" s="11"/>
    </row>
    <row r="790" spans="2:88"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G790" s="11"/>
      <c r="CH790" s="11"/>
      <c r="CI790" s="11"/>
      <c r="CJ790" s="11"/>
    </row>
    <row r="791" spans="2:88"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G791" s="11"/>
      <c r="CH791" s="11"/>
      <c r="CI791" s="11"/>
      <c r="CJ791" s="11"/>
    </row>
    <row r="792" spans="2:88"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G792" s="11"/>
      <c r="CH792" s="11"/>
      <c r="CI792" s="11"/>
      <c r="CJ792" s="11"/>
    </row>
    <row r="793" spans="2:88"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  <c r="BZ793" s="11"/>
      <c r="CA793" s="11"/>
      <c r="CB793" s="11"/>
      <c r="CC793" s="11"/>
      <c r="CD793" s="11"/>
      <c r="CG793" s="11"/>
      <c r="CH793" s="11"/>
      <c r="CI793" s="11"/>
      <c r="CJ793" s="11"/>
    </row>
    <row r="794" spans="2:88"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  <c r="BZ794" s="11"/>
      <c r="CA794" s="11"/>
      <c r="CB794" s="11"/>
      <c r="CC794" s="11"/>
      <c r="CD794" s="11"/>
      <c r="CG794" s="11"/>
      <c r="CH794" s="11"/>
      <c r="CI794" s="11"/>
      <c r="CJ794" s="11"/>
    </row>
    <row r="795" spans="2:88"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G795" s="11"/>
      <c r="CH795" s="11"/>
      <c r="CI795" s="11"/>
      <c r="CJ795" s="11"/>
    </row>
    <row r="796" spans="2:88"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G796" s="11"/>
      <c r="CH796" s="11"/>
      <c r="CI796" s="11"/>
      <c r="CJ796" s="11"/>
    </row>
    <row r="797" spans="2:88"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  <c r="BZ797" s="11"/>
      <c r="CA797" s="11"/>
      <c r="CB797" s="11"/>
      <c r="CC797" s="11"/>
      <c r="CD797" s="11"/>
      <c r="CG797" s="11"/>
      <c r="CH797" s="11"/>
      <c r="CI797" s="11"/>
      <c r="CJ797" s="11"/>
    </row>
    <row r="798" spans="2:88"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G798" s="11"/>
      <c r="CH798" s="11"/>
      <c r="CI798" s="11"/>
      <c r="CJ798" s="11"/>
    </row>
    <row r="799" spans="2:88"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  <c r="BZ799" s="11"/>
      <c r="CA799" s="11"/>
      <c r="CB799" s="11"/>
      <c r="CC799" s="11"/>
      <c r="CD799" s="11"/>
      <c r="CG799" s="11"/>
      <c r="CH799" s="11"/>
      <c r="CI799" s="11"/>
      <c r="CJ799" s="11"/>
    </row>
    <row r="800" spans="2:88"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G800" s="11"/>
      <c r="CH800" s="11"/>
      <c r="CI800" s="11"/>
      <c r="CJ800" s="11"/>
    </row>
    <row r="801" spans="2:88"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  <c r="BZ801" s="11"/>
      <c r="CA801" s="11"/>
      <c r="CB801" s="11"/>
      <c r="CC801" s="11"/>
      <c r="CD801" s="11"/>
      <c r="CG801" s="11"/>
      <c r="CH801" s="11"/>
      <c r="CI801" s="11"/>
      <c r="CJ801" s="11"/>
    </row>
    <row r="802" spans="2:88"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G802" s="11"/>
      <c r="CH802" s="11"/>
      <c r="CI802" s="11"/>
      <c r="CJ802" s="11"/>
    </row>
    <row r="803" spans="2:88"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  <c r="BZ803" s="11"/>
      <c r="CA803" s="11"/>
      <c r="CB803" s="11"/>
      <c r="CC803" s="11"/>
      <c r="CD803" s="11"/>
      <c r="CG803" s="11"/>
      <c r="CH803" s="11"/>
      <c r="CI803" s="11"/>
      <c r="CJ803" s="11"/>
    </row>
    <row r="804" spans="2:88"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G804" s="11"/>
      <c r="CH804" s="11"/>
      <c r="CI804" s="11"/>
      <c r="CJ804" s="11"/>
    </row>
    <row r="805" spans="2:88"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  <c r="BZ805" s="11"/>
      <c r="CA805" s="11"/>
      <c r="CB805" s="11"/>
      <c r="CC805" s="11"/>
      <c r="CD805" s="11"/>
      <c r="CG805" s="11"/>
      <c r="CH805" s="11"/>
      <c r="CI805" s="11"/>
      <c r="CJ805" s="11"/>
    </row>
    <row r="806" spans="2:88"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G806" s="11"/>
      <c r="CH806" s="11"/>
      <c r="CI806" s="11"/>
      <c r="CJ806" s="11"/>
    </row>
    <row r="807" spans="2:88"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  <c r="BZ807" s="11"/>
      <c r="CA807" s="11"/>
      <c r="CB807" s="11"/>
      <c r="CC807" s="11"/>
      <c r="CD807" s="11"/>
      <c r="CG807" s="11"/>
      <c r="CH807" s="11"/>
      <c r="CI807" s="11"/>
      <c r="CJ807" s="11"/>
    </row>
    <row r="808" spans="2:88"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G808" s="11"/>
      <c r="CH808" s="11"/>
      <c r="CI808" s="11"/>
      <c r="CJ808" s="11"/>
    </row>
    <row r="809" spans="2:88"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  <c r="BZ809" s="11"/>
      <c r="CA809" s="11"/>
      <c r="CB809" s="11"/>
      <c r="CC809" s="11"/>
      <c r="CD809" s="11"/>
      <c r="CG809" s="11"/>
      <c r="CH809" s="11"/>
      <c r="CI809" s="11"/>
      <c r="CJ809" s="11"/>
    </row>
    <row r="810" spans="2:88"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G810" s="11"/>
      <c r="CH810" s="11"/>
      <c r="CI810" s="11"/>
      <c r="CJ810" s="11"/>
    </row>
    <row r="811" spans="2:88"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  <c r="BZ811" s="11"/>
      <c r="CA811" s="11"/>
      <c r="CB811" s="11"/>
      <c r="CC811" s="11"/>
      <c r="CD811" s="11"/>
      <c r="CG811" s="11"/>
      <c r="CH811" s="11"/>
      <c r="CI811" s="11"/>
      <c r="CJ811" s="11"/>
    </row>
    <row r="812" spans="2:88"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G812" s="11"/>
      <c r="CH812" s="11"/>
      <c r="CI812" s="11"/>
      <c r="CJ812" s="11"/>
    </row>
    <row r="813" spans="2:88"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  <c r="BZ813" s="11"/>
      <c r="CA813" s="11"/>
      <c r="CB813" s="11"/>
      <c r="CC813" s="11"/>
      <c r="CD813" s="11"/>
      <c r="CG813" s="11"/>
      <c r="CH813" s="11"/>
      <c r="CI813" s="11"/>
      <c r="CJ813" s="11"/>
    </row>
    <row r="814" spans="2:88"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  <c r="BZ814" s="11"/>
      <c r="CA814" s="11"/>
      <c r="CB814" s="11"/>
      <c r="CC814" s="11"/>
      <c r="CD814" s="11"/>
      <c r="CG814" s="11"/>
      <c r="CH814" s="11"/>
      <c r="CI814" s="11"/>
      <c r="CJ814" s="11"/>
    </row>
    <row r="815" spans="2:88"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  <c r="BZ815" s="11"/>
      <c r="CA815" s="11"/>
      <c r="CB815" s="11"/>
      <c r="CC815" s="11"/>
      <c r="CD815" s="11"/>
      <c r="CG815" s="11"/>
      <c r="CH815" s="11"/>
      <c r="CI815" s="11"/>
      <c r="CJ815" s="11"/>
    </row>
    <row r="816" spans="2:88"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G816" s="11"/>
      <c r="CH816" s="11"/>
      <c r="CI816" s="11"/>
      <c r="CJ816" s="11"/>
    </row>
    <row r="817" spans="2:88"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  <c r="BZ817" s="11"/>
      <c r="CA817" s="11"/>
      <c r="CB817" s="11"/>
      <c r="CC817" s="11"/>
      <c r="CD817" s="11"/>
      <c r="CG817" s="11"/>
      <c r="CH817" s="11"/>
      <c r="CI817" s="11"/>
      <c r="CJ817" s="11"/>
    </row>
    <row r="818" spans="2:88"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G818" s="11"/>
      <c r="CH818" s="11"/>
      <c r="CI818" s="11"/>
      <c r="CJ818" s="11"/>
    </row>
    <row r="819" spans="2:88"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  <c r="BZ819" s="11"/>
      <c r="CA819" s="11"/>
      <c r="CB819" s="11"/>
      <c r="CC819" s="11"/>
      <c r="CD819" s="11"/>
      <c r="CG819" s="11"/>
      <c r="CH819" s="11"/>
      <c r="CI819" s="11"/>
      <c r="CJ819" s="11"/>
    </row>
    <row r="820" spans="2:88"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G820" s="11"/>
      <c r="CH820" s="11"/>
      <c r="CI820" s="11"/>
      <c r="CJ820" s="11"/>
    </row>
    <row r="821" spans="2:88"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  <c r="BZ821" s="11"/>
      <c r="CA821" s="11"/>
      <c r="CB821" s="11"/>
      <c r="CC821" s="11"/>
      <c r="CD821" s="11"/>
      <c r="CG821" s="11"/>
      <c r="CH821" s="11"/>
      <c r="CI821" s="11"/>
      <c r="CJ821" s="11"/>
    </row>
    <row r="822" spans="2:88"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G822" s="11"/>
      <c r="CH822" s="11"/>
      <c r="CI822" s="11"/>
      <c r="CJ822" s="11"/>
    </row>
    <row r="823" spans="2:88"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  <c r="BZ823" s="11"/>
      <c r="CA823" s="11"/>
      <c r="CB823" s="11"/>
      <c r="CC823" s="11"/>
      <c r="CD823" s="11"/>
      <c r="CG823" s="11"/>
      <c r="CH823" s="11"/>
      <c r="CI823" s="11"/>
      <c r="CJ823" s="11"/>
    </row>
    <row r="824" spans="2:88"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G824" s="11"/>
      <c r="CH824" s="11"/>
      <c r="CI824" s="11"/>
      <c r="CJ824" s="11"/>
    </row>
    <row r="825" spans="2:88"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  <c r="BZ825" s="11"/>
      <c r="CA825" s="11"/>
      <c r="CB825" s="11"/>
      <c r="CC825" s="11"/>
      <c r="CD825" s="11"/>
      <c r="CG825" s="11"/>
      <c r="CH825" s="11"/>
      <c r="CI825" s="11"/>
      <c r="CJ825" s="11"/>
    </row>
    <row r="826" spans="2:88"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G826" s="11"/>
      <c r="CH826" s="11"/>
      <c r="CI826" s="11"/>
      <c r="CJ826" s="11"/>
    </row>
    <row r="827" spans="2:88"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  <c r="BZ827" s="11"/>
      <c r="CA827" s="11"/>
      <c r="CB827" s="11"/>
      <c r="CC827" s="11"/>
      <c r="CD827" s="11"/>
      <c r="CG827" s="11"/>
      <c r="CH827" s="11"/>
      <c r="CI827" s="11"/>
      <c r="CJ827" s="11"/>
    </row>
    <row r="828" spans="2:88"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G828" s="11"/>
      <c r="CH828" s="11"/>
      <c r="CI828" s="11"/>
      <c r="CJ828" s="11"/>
    </row>
    <row r="829" spans="2:88"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  <c r="BZ829" s="11"/>
      <c r="CA829" s="11"/>
      <c r="CB829" s="11"/>
      <c r="CC829" s="11"/>
      <c r="CD829" s="11"/>
      <c r="CG829" s="11"/>
      <c r="CH829" s="11"/>
      <c r="CI829" s="11"/>
      <c r="CJ829" s="11"/>
    </row>
    <row r="830" spans="2:88"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  <c r="BZ830" s="11"/>
      <c r="CA830" s="11"/>
      <c r="CB830" s="11"/>
      <c r="CC830" s="11"/>
      <c r="CD830" s="11"/>
      <c r="CG830" s="11"/>
      <c r="CH830" s="11"/>
      <c r="CI830" s="11"/>
      <c r="CJ830" s="11"/>
    </row>
    <row r="831" spans="2:88"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  <c r="BZ831" s="11"/>
      <c r="CA831" s="11"/>
      <c r="CB831" s="11"/>
      <c r="CC831" s="11"/>
      <c r="CD831" s="11"/>
      <c r="CG831" s="11"/>
      <c r="CH831" s="11"/>
      <c r="CI831" s="11"/>
      <c r="CJ831" s="11"/>
    </row>
    <row r="832" spans="2:88"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G832" s="11"/>
      <c r="CH832" s="11"/>
      <c r="CI832" s="11"/>
      <c r="CJ832" s="11"/>
    </row>
    <row r="833" spans="2:88"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G833" s="11"/>
      <c r="CH833" s="11"/>
      <c r="CI833" s="11"/>
      <c r="CJ833" s="11"/>
    </row>
    <row r="834" spans="2:88"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  <c r="BZ834" s="11"/>
      <c r="CA834" s="11"/>
      <c r="CB834" s="11"/>
      <c r="CC834" s="11"/>
      <c r="CD834" s="11"/>
      <c r="CG834" s="11"/>
      <c r="CH834" s="11"/>
      <c r="CI834" s="11"/>
      <c r="CJ834" s="11"/>
    </row>
    <row r="835" spans="2:88"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  <c r="BZ835" s="11"/>
      <c r="CA835" s="11"/>
      <c r="CB835" s="11"/>
      <c r="CC835" s="11"/>
      <c r="CD835" s="11"/>
      <c r="CG835" s="11"/>
      <c r="CH835" s="11"/>
      <c r="CI835" s="11"/>
      <c r="CJ835" s="11"/>
    </row>
    <row r="836" spans="2:88"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  <c r="BZ836" s="11"/>
      <c r="CA836" s="11"/>
      <c r="CB836" s="11"/>
      <c r="CC836" s="11"/>
      <c r="CD836" s="11"/>
      <c r="CG836" s="11"/>
      <c r="CH836" s="11"/>
      <c r="CI836" s="11"/>
      <c r="CJ836" s="11"/>
    </row>
    <row r="837" spans="2:88"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  <c r="BZ837" s="11"/>
      <c r="CA837" s="11"/>
      <c r="CB837" s="11"/>
      <c r="CC837" s="11"/>
      <c r="CD837" s="11"/>
      <c r="CG837" s="11"/>
      <c r="CH837" s="11"/>
      <c r="CI837" s="11"/>
      <c r="CJ837" s="11"/>
    </row>
    <row r="838" spans="2:88"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  <c r="BZ838" s="11"/>
      <c r="CA838" s="11"/>
      <c r="CB838" s="11"/>
      <c r="CC838" s="11"/>
      <c r="CD838" s="11"/>
      <c r="CG838" s="11"/>
      <c r="CH838" s="11"/>
      <c r="CI838" s="11"/>
      <c r="CJ838" s="11"/>
    </row>
    <row r="839" spans="2:88"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  <c r="BZ839" s="11"/>
      <c r="CA839" s="11"/>
      <c r="CB839" s="11"/>
      <c r="CC839" s="11"/>
      <c r="CD839" s="11"/>
      <c r="CG839" s="11"/>
      <c r="CH839" s="11"/>
      <c r="CI839" s="11"/>
      <c r="CJ839" s="11"/>
    </row>
    <row r="840" spans="2:88"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  <c r="BZ840" s="11"/>
      <c r="CA840" s="11"/>
      <c r="CB840" s="11"/>
      <c r="CC840" s="11"/>
      <c r="CD840" s="11"/>
      <c r="CG840" s="11"/>
      <c r="CH840" s="11"/>
      <c r="CI840" s="11"/>
      <c r="CJ840" s="11"/>
    </row>
    <row r="841" spans="2:88"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G841" s="11"/>
      <c r="CH841" s="11"/>
      <c r="CI841" s="11"/>
      <c r="CJ841" s="11"/>
    </row>
    <row r="842" spans="2:88"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  <c r="BZ842" s="11"/>
      <c r="CA842" s="11"/>
      <c r="CB842" s="11"/>
      <c r="CC842" s="11"/>
      <c r="CD842" s="11"/>
      <c r="CG842" s="11"/>
      <c r="CH842" s="11"/>
      <c r="CI842" s="11"/>
      <c r="CJ842" s="11"/>
    </row>
    <row r="843" spans="2:88"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  <c r="BZ843" s="11"/>
      <c r="CA843" s="11"/>
      <c r="CB843" s="11"/>
      <c r="CC843" s="11"/>
      <c r="CD843" s="11"/>
      <c r="CG843" s="11"/>
      <c r="CH843" s="11"/>
      <c r="CI843" s="11"/>
      <c r="CJ843" s="11"/>
    </row>
    <row r="844" spans="2:88"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  <c r="BZ844" s="11"/>
      <c r="CA844" s="11"/>
      <c r="CB844" s="11"/>
      <c r="CC844" s="11"/>
      <c r="CD844" s="11"/>
      <c r="CG844" s="11"/>
      <c r="CH844" s="11"/>
      <c r="CI844" s="11"/>
      <c r="CJ844" s="11"/>
    </row>
    <row r="845" spans="2:88"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  <c r="BZ845" s="11"/>
      <c r="CA845" s="11"/>
      <c r="CB845" s="11"/>
      <c r="CC845" s="11"/>
      <c r="CD845" s="11"/>
      <c r="CG845" s="11"/>
      <c r="CH845" s="11"/>
      <c r="CI845" s="11"/>
      <c r="CJ845" s="11"/>
    </row>
    <row r="846" spans="2:88"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  <c r="CA846" s="11"/>
      <c r="CB846" s="11"/>
      <c r="CC846" s="11"/>
      <c r="CD846" s="11"/>
      <c r="CG846" s="11"/>
      <c r="CH846" s="11"/>
      <c r="CI846" s="11"/>
      <c r="CJ846" s="11"/>
    </row>
    <row r="847" spans="2:88"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  <c r="BZ847" s="11"/>
      <c r="CA847" s="11"/>
      <c r="CB847" s="11"/>
      <c r="CC847" s="11"/>
      <c r="CD847" s="11"/>
      <c r="CG847" s="11"/>
      <c r="CH847" s="11"/>
      <c r="CI847" s="11"/>
      <c r="CJ847" s="11"/>
    </row>
    <row r="848" spans="2:88"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  <c r="CA848" s="11"/>
      <c r="CB848" s="11"/>
      <c r="CC848" s="11"/>
      <c r="CD848" s="11"/>
      <c r="CG848" s="11"/>
      <c r="CH848" s="11"/>
      <c r="CI848" s="11"/>
      <c r="CJ848" s="11"/>
    </row>
    <row r="849" spans="2:88"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  <c r="CA849" s="11"/>
      <c r="CB849" s="11"/>
      <c r="CC849" s="11"/>
      <c r="CD849" s="11"/>
      <c r="CG849" s="11"/>
      <c r="CH849" s="11"/>
      <c r="CI849" s="11"/>
      <c r="CJ849" s="11"/>
    </row>
    <row r="850" spans="2:88"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  <c r="CA850" s="11"/>
      <c r="CB850" s="11"/>
      <c r="CC850" s="11"/>
      <c r="CD850" s="11"/>
      <c r="CG850" s="11"/>
      <c r="CH850" s="11"/>
      <c r="CI850" s="11"/>
      <c r="CJ850" s="11"/>
    </row>
    <row r="851" spans="2:88"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  <c r="CA851" s="11"/>
      <c r="CB851" s="11"/>
      <c r="CC851" s="11"/>
      <c r="CD851" s="11"/>
      <c r="CG851" s="11"/>
      <c r="CH851" s="11"/>
      <c r="CI851" s="11"/>
      <c r="CJ851" s="11"/>
    </row>
    <row r="852" spans="2:88"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  <c r="CA852" s="11"/>
      <c r="CB852" s="11"/>
      <c r="CC852" s="11"/>
      <c r="CD852" s="11"/>
      <c r="CG852" s="11"/>
      <c r="CH852" s="11"/>
      <c r="CI852" s="11"/>
      <c r="CJ852" s="11"/>
    </row>
    <row r="853" spans="2:88"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  <c r="BZ853" s="11"/>
      <c r="CA853" s="11"/>
      <c r="CB853" s="11"/>
      <c r="CC853" s="11"/>
      <c r="CD853" s="11"/>
      <c r="CG853" s="11"/>
      <c r="CH853" s="11"/>
      <c r="CI853" s="11"/>
      <c r="CJ853" s="11"/>
    </row>
    <row r="854" spans="2:88"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  <c r="BZ854" s="11"/>
      <c r="CA854" s="11"/>
      <c r="CB854" s="11"/>
      <c r="CC854" s="11"/>
      <c r="CD854" s="11"/>
      <c r="CG854" s="11"/>
      <c r="CH854" s="11"/>
      <c r="CI854" s="11"/>
      <c r="CJ854" s="11"/>
    </row>
    <row r="855" spans="2:88"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  <c r="BZ855" s="11"/>
      <c r="CA855" s="11"/>
      <c r="CB855" s="11"/>
      <c r="CC855" s="11"/>
      <c r="CD855" s="11"/>
      <c r="CG855" s="11"/>
      <c r="CH855" s="11"/>
      <c r="CI855" s="11"/>
      <c r="CJ855" s="11"/>
    </row>
    <row r="856" spans="2:88"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  <c r="BZ856" s="11"/>
      <c r="CA856" s="11"/>
      <c r="CB856" s="11"/>
      <c r="CC856" s="11"/>
      <c r="CD856" s="11"/>
      <c r="CG856" s="11"/>
      <c r="CH856" s="11"/>
      <c r="CI856" s="11"/>
      <c r="CJ856" s="11"/>
    </row>
    <row r="857" spans="2:88"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  <c r="BZ857" s="11"/>
      <c r="CA857" s="11"/>
      <c r="CB857" s="11"/>
      <c r="CC857" s="11"/>
      <c r="CD857" s="11"/>
      <c r="CG857" s="11"/>
      <c r="CH857" s="11"/>
      <c r="CI857" s="11"/>
      <c r="CJ857" s="11"/>
    </row>
    <row r="858" spans="2:88"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  <c r="BZ858" s="11"/>
      <c r="CA858" s="11"/>
      <c r="CB858" s="11"/>
      <c r="CC858" s="11"/>
      <c r="CD858" s="11"/>
      <c r="CG858" s="11"/>
      <c r="CH858" s="11"/>
      <c r="CI858" s="11"/>
      <c r="CJ858" s="11"/>
    </row>
    <row r="859" spans="2:88"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  <c r="BZ859" s="11"/>
      <c r="CA859" s="11"/>
      <c r="CB859" s="11"/>
      <c r="CC859" s="11"/>
      <c r="CD859" s="11"/>
      <c r="CG859" s="11"/>
      <c r="CH859" s="11"/>
      <c r="CI859" s="11"/>
      <c r="CJ859" s="11"/>
    </row>
    <row r="860" spans="2:88"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  <c r="BZ860" s="11"/>
      <c r="CA860" s="11"/>
      <c r="CB860" s="11"/>
      <c r="CC860" s="11"/>
      <c r="CD860" s="11"/>
      <c r="CG860" s="11"/>
      <c r="CH860" s="11"/>
      <c r="CI860" s="11"/>
      <c r="CJ860" s="11"/>
    </row>
    <row r="861" spans="2:88"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G861" s="11"/>
      <c r="CH861" s="11"/>
      <c r="CI861" s="11"/>
      <c r="CJ861" s="11"/>
    </row>
    <row r="862" spans="2:88"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  <c r="BZ862" s="11"/>
      <c r="CA862" s="11"/>
      <c r="CB862" s="11"/>
      <c r="CC862" s="11"/>
      <c r="CD862" s="11"/>
      <c r="CG862" s="11"/>
      <c r="CH862" s="11"/>
      <c r="CI862" s="11"/>
      <c r="CJ862" s="11"/>
    </row>
    <row r="863" spans="2:88"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  <c r="BZ863" s="11"/>
      <c r="CA863" s="11"/>
      <c r="CB863" s="11"/>
      <c r="CC863" s="11"/>
      <c r="CD863" s="11"/>
      <c r="CG863" s="11"/>
      <c r="CH863" s="11"/>
      <c r="CI863" s="11"/>
      <c r="CJ863" s="11"/>
    </row>
    <row r="864" spans="2:88"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  <c r="BZ864" s="11"/>
      <c r="CA864" s="11"/>
      <c r="CB864" s="11"/>
      <c r="CC864" s="11"/>
      <c r="CD864" s="11"/>
      <c r="CG864" s="11"/>
      <c r="CH864" s="11"/>
      <c r="CI864" s="11"/>
      <c r="CJ864" s="11"/>
    </row>
    <row r="865" spans="2:88"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  <c r="BZ865" s="11"/>
      <c r="CA865" s="11"/>
      <c r="CB865" s="11"/>
      <c r="CC865" s="11"/>
      <c r="CD865" s="11"/>
      <c r="CG865" s="11"/>
      <c r="CH865" s="11"/>
      <c r="CI865" s="11"/>
      <c r="CJ865" s="11"/>
    </row>
    <row r="866" spans="2:88"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  <c r="BZ866" s="11"/>
      <c r="CA866" s="11"/>
      <c r="CB866" s="11"/>
      <c r="CC866" s="11"/>
      <c r="CD866" s="11"/>
      <c r="CG866" s="11"/>
      <c r="CH866" s="11"/>
      <c r="CI866" s="11"/>
      <c r="CJ866" s="11"/>
    </row>
    <row r="867" spans="2:88"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  <c r="BZ867" s="11"/>
      <c r="CA867" s="11"/>
      <c r="CB867" s="11"/>
      <c r="CC867" s="11"/>
      <c r="CD867" s="11"/>
      <c r="CG867" s="11"/>
      <c r="CH867" s="11"/>
      <c r="CI867" s="11"/>
      <c r="CJ867" s="11"/>
    </row>
    <row r="868" spans="2:88"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  <c r="BZ868" s="11"/>
      <c r="CA868" s="11"/>
      <c r="CB868" s="11"/>
      <c r="CC868" s="11"/>
      <c r="CD868" s="11"/>
      <c r="CG868" s="11"/>
      <c r="CH868" s="11"/>
      <c r="CI868" s="11"/>
      <c r="CJ868" s="11"/>
    </row>
    <row r="869" spans="2:88"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  <c r="BZ869" s="11"/>
      <c r="CA869" s="11"/>
      <c r="CB869" s="11"/>
      <c r="CC869" s="11"/>
      <c r="CD869" s="11"/>
      <c r="CG869" s="11"/>
      <c r="CH869" s="11"/>
      <c r="CI869" s="11"/>
      <c r="CJ869" s="11"/>
    </row>
    <row r="870" spans="2:88"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  <c r="BZ870" s="11"/>
      <c r="CA870" s="11"/>
      <c r="CB870" s="11"/>
      <c r="CC870" s="11"/>
      <c r="CD870" s="11"/>
      <c r="CG870" s="11"/>
      <c r="CH870" s="11"/>
      <c r="CI870" s="11"/>
      <c r="CJ870" s="11"/>
    </row>
    <row r="871" spans="2:88"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  <c r="BZ871" s="11"/>
      <c r="CA871" s="11"/>
      <c r="CB871" s="11"/>
      <c r="CC871" s="11"/>
      <c r="CD871" s="11"/>
      <c r="CG871" s="11"/>
      <c r="CH871" s="11"/>
      <c r="CI871" s="11"/>
      <c r="CJ871" s="11"/>
    </row>
    <row r="872" spans="2:88"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  <c r="BZ872" s="11"/>
      <c r="CA872" s="11"/>
      <c r="CB872" s="11"/>
      <c r="CC872" s="11"/>
      <c r="CD872" s="11"/>
      <c r="CG872" s="11"/>
      <c r="CH872" s="11"/>
      <c r="CI872" s="11"/>
      <c r="CJ872" s="11"/>
    </row>
    <row r="873" spans="2:88"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  <c r="BZ873" s="11"/>
      <c r="CA873" s="11"/>
      <c r="CB873" s="11"/>
      <c r="CC873" s="11"/>
      <c r="CD873" s="11"/>
      <c r="CG873" s="11"/>
      <c r="CH873" s="11"/>
      <c r="CI873" s="11"/>
      <c r="CJ873" s="11"/>
    </row>
    <row r="874" spans="2:88"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  <c r="BZ874" s="11"/>
      <c r="CA874" s="11"/>
      <c r="CB874" s="11"/>
      <c r="CC874" s="11"/>
      <c r="CD874" s="11"/>
      <c r="CG874" s="11"/>
      <c r="CH874" s="11"/>
      <c r="CI874" s="11"/>
      <c r="CJ874" s="11"/>
    </row>
    <row r="875" spans="2:88"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  <c r="BZ875" s="11"/>
      <c r="CA875" s="11"/>
      <c r="CB875" s="11"/>
      <c r="CC875" s="11"/>
      <c r="CD875" s="11"/>
      <c r="CG875" s="11"/>
      <c r="CH875" s="11"/>
      <c r="CI875" s="11"/>
      <c r="CJ875" s="11"/>
    </row>
    <row r="876" spans="2:88"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  <c r="BZ876" s="11"/>
      <c r="CA876" s="11"/>
      <c r="CB876" s="11"/>
      <c r="CC876" s="11"/>
      <c r="CD876" s="11"/>
      <c r="CG876" s="11"/>
      <c r="CH876" s="11"/>
      <c r="CI876" s="11"/>
      <c r="CJ876" s="11"/>
    </row>
    <row r="877" spans="2:88"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G877" s="11"/>
      <c r="CH877" s="11"/>
      <c r="CI877" s="11"/>
      <c r="CJ877" s="11"/>
    </row>
    <row r="878" spans="2:88"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  <c r="BZ878" s="11"/>
      <c r="CA878" s="11"/>
      <c r="CB878" s="11"/>
      <c r="CC878" s="11"/>
      <c r="CD878" s="11"/>
      <c r="CG878" s="11"/>
      <c r="CH878" s="11"/>
      <c r="CI878" s="11"/>
      <c r="CJ878" s="11"/>
    </row>
    <row r="879" spans="2:88"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  <c r="BZ879" s="11"/>
      <c r="CA879" s="11"/>
      <c r="CB879" s="11"/>
      <c r="CC879" s="11"/>
      <c r="CD879" s="11"/>
      <c r="CG879" s="11"/>
      <c r="CH879" s="11"/>
      <c r="CI879" s="11"/>
      <c r="CJ879" s="11"/>
    </row>
    <row r="880" spans="2:88"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  <c r="BZ880" s="11"/>
      <c r="CA880" s="11"/>
      <c r="CB880" s="11"/>
      <c r="CC880" s="11"/>
      <c r="CD880" s="11"/>
      <c r="CG880" s="11"/>
      <c r="CH880" s="11"/>
      <c r="CI880" s="11"/>
      <c r="CJ880" s="11"/>
    </row>
    <row r="881" spans="2:88"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  <c r="BZ881" s="11"/>
      <c r="CA881" s="11"/>
      <c r="CB881" s="11"/>
      <c r="CC881" s="11"/>
      <c r="CD881" s="11"/>
      <c r="CG881" s="11"/>
      <c r="CH881" s="11"/>
      <c r="CI881" s="11"/>
      <c r="CJ881" s="11"/>
    </row>
    <row r="882" spans="2:88"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  <c r="BZ882" s="11"/>
      <c r="CA882" s="11"/>
      <c r="CB882" s="11"/>
      <c r="CC882" s="11"/>
      <c r="CD882" s="11"/>
      <c r="CG882" s="11"/>
      <c r="CH882" s="11"/>
      <c r="CI882" s="11"/>
      <c r="CJ882" s="11"/>
    </row>
    <row r="883" spans="2:88"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  <c r="BZ883" s="11"/>
      <c r="CA883" s="11"/>
      <c r="CB883" s="11"/>
      <c r="CC883" s="11"/>
      <c r="CD883" s="11"/>
      <c r="CG883" s="11"/>
      <c r="CH883" s="11"/>
      <c r="CI883" s="11"/>
      <c r="CJ883" s="11"/>
    </row>
    <row r="884" spans="2:88"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  <c r="BZ884" s="11"/>
      <c r="CA884" s="11"/>
      <c r="CB884" s="11"/>
      <c r="CC884" s="11"/>
      <c r="CD884" s="11"/>
      <c r="CG884" s="11"/>
      <c r="CH884" s="11"/>
      <c r="CI884" s="11"/>
      <c r="CJ884" s="11"/>
    </row>
    <row r="885" spans="2:88"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G885" s="11"/>
      <c r="CH885" s="11"/>
      <c r="CI885" s="11"/>
      <c r="CJ885" s="11"/>
    </row>
    <row r="886" spans="2:88"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  <c r="BZ886" s="11"/>
      <c r="CA886" s="11"/>
      <c r="CB886" s="11"/>
      <c r="CC886" s="11"/>
      <c r="CD886" s="11"/>
      <c r="CG886" s="11"/>
      <c r="CH886" s="11"/>
      <c r="CI886" s="11"/>
      <c r="CJ886" s="11"/>
    </row>
    <row r="887" spans="2:88"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  <c r="BZ887" s="11"/>
      <c r="CA887" s="11"/>
      <c r="CB887" s="11"/>
      <c r="CC887" s="11"/>
      <c r="CD887" s="11"/>
      <c r="CG887" s="11"/>
      <c r="CH887" s="11"/>
      <c r="CI887" s="11"/>
      <c r="CJ887" s="11"/>
    </row>
    <row r="888" spans="2:88"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  <c r="BZ888" s="11"/>
      <c r="CA888" s="11"/>
      <c r="CB888" s="11"/>
      <c r="CC888" s="11"/>
      <c r="CD888" s="11"/>
      <c r="CG888" s="11"/>
      <c r="CH888" s="11"/>
      <c r="CI888" s="11"/>
      <c r="CJ888" s="11"/>
    </row>
    <row r="889" spans="2:88"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  <c r="BZ889" s="11"/>
      <c r="CA889" s="11"/>
      <c r="CB889" s="11"/>
      <c r="CC889" s="11"/>
      <c r="CD889" s="11"/>
      <c r="CG889" s="11"/>
      <c r="CH889" s="11"/>
      <c r="CI889" s="11"/>
      <c r="CJ889" s="11"/>
    </row>
    <row r="890" spans="2:88"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  <c r="BZ890" s="11"/>
      <c r="CA890" s="11"/>
      <c r="CB890" s="11"/>
      <c r="CC890" s="11"/>
      <c r="CD890" s="11"/>
      <c r="CG890" s="11"/>
      <c r="CH890" s="11"/>
      <c r="CI890" s="11"/>
      <c r="CJ890" s="11"/>
    </row>
    <row r="891" spans="2:88"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G891" s="11"/>
      <c r="CH891" s="11"/>
      <c r="CI891" s="11"/>
      <c r="CJ891" s="11"/>
    </row>
    <row r="892" spans="2:88"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  <c r="BZ892" s="11"/>
      <c r="CA892" s="11"/>
      <c r="CB892" s="11"/>
      <c r="CC892" s="11"/>
      <c r="CD892" s="11"/>
      <c r="CG892" s="11"/>
      <c r="CH892" s="11"/>
      <c r="CI892" s="11"/>
      <c r="CJ892" s="11"/>
    </row>
    <row r="893" spans="2:88"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  <c r="BZ893" s="11"/>
      <c r="CA893" s="11"/>
      <c r="CB893" s="11"/>
      <c r="CC893" s="11"/>
      <c r="CD893" s="11"/>
      <c r="CG893" s="11"/>
      <c r="CH893" s="11"/>
      <c r="CI893" s="11"/>
      <c r="CJ893" s="11"/>
    </row>
    <row r="894" spans="2:88"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  <c r="BZ894" s="11"/>
      <c r="CA894" s="11"/>
      <c r="CB894" s="11"/>
      <c r="CC894" s="11"/>
      <c r="CD894" s="11"/>
      <c r="CG894" s="11"/>
      <c r="CH894" s="11"/>
      <c r="CI894" s="11"/>
      <c r="CJ894" s="11"/>
    </row>
    <row r="895" spans="2:88"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  <c r="BZ895" s="11"/>
      <c r="CA895" s="11"/>
      <c r="CB895" s="11"/>
      <c r="CC895" s="11"/>
      <c r="CD895" s="11"/>
      <c r="CG895" s="11"/>
      <c r="CH895" s="11"/>
      <c r="CI895" s="11"/>
      <c r="CJ895" s="11"/>
    </row>
    <row r="896" spans="2:88"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  <c r="BZ896" s="11"/>
      <c r="CA896" s="11"/>
      <c r="CB896" s="11"/>
      <c r="CC896" s="11"/>
      <c r="CD896" s="11"/>
      <c r="CG896" s="11"/>
      <c r="CH896" s="11"/>
      <c r="CI896" s="11"/>
      <c r="CJ896" s="11"/>
    </row>
    <row r="897" spans="2:88"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  <c r="BZ897" s="11"/>
      <c r="CA897" s="11"/>
      <c r="CB897" s="11"/>
      <c r="CC897" s="11"/>
      <c r="CD897" s="11"/>
      <c r="CG897" s="11"/>
      <c r="CH897" s="11"/>
      <c r="CI897" s="11"/>
      <c r="CJ897" s="11"/>
    </row>
    <row r="898" spans="2:88"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  <c r="BZ898" s="11"/>
      <c r="CA898" s="11"/>
      <c r="CB898" s="11"/>
      <c r="CC898" s="11"/>
      <c r="CD898" s="11"/>
      <c r="CG898" s="11"/>
      <c r="CH898" s="11"/>
      <c r="CI898" s="11"/>
      <c r="CJ898" s="11"/>
    </row>
    <row r="899" spans="2:88"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  <c r="BZ899" s="11"/>
      <c r="CA899" s="11"/>
      <c r="CB899" s="11"/>
      <c r="CC899" s="11"/>
      <c r="CD899" s="11"/>
      <c r="CG899" s="11"/>
      <c r="CH899" s="11"/>
      <c r="CI899" s="11"/>
      <c r="CJ899" s="11"/>
    </row>
    <row r="900" spans="2:88"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  <c r="BZ900" s="11"/>
      <c r="CA900" s="11"/>
      <c r="CB900" s="11"/>
      <c r="CC900" s="11"/>
      <c r="CD900" s="11"/>
      <c r="CG900" s="11"/>
      <c r="CH900" s="11"/>
      <c r="CI900" s="11"/>
      <c r="CJ900" s="11"/>
    </row>
    <row r="901" spans="2:88"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  <c r="BZ901" s="11"/>
      <c r="CA901" s="11"/>
      <c r="CB901" s="11"/>
      <c r="CC901" s="11"/>
      <c r="CD901" s="11"/>
      <c r="CG901" s="11"/>
      <c r="CH901" s="11"/>
      <c r="CI901" s="11"/>
      <c r="CJ901" s="11"/>
    </row>
    <row r="902" spans="2:88"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  <c r="BZ902" s="11"/>
      <c r="CA902" s="11"/>
      <c r="CB902" s="11"/>
      <c r="CC902" s="11"/>
      <c r="CD902" s="11"/>
      <c r="CG902" s="11"/>
      <c r="CH902" s="11"/>
      <c r="CI902" s="11"/>
      <c r="CJ902" s="11"/>
    </row>
    <row r="903" spans="2:88"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  <c r="BZ903" s="11"/>
      <c r="CA903" s="11"/>
      <c r="CB903" s="11"/>
      <c r="CC903" s="11"/>
      <c r="CD903" s="11"/>
      <c r="CG903" s="11"/>
      <c r="CH903" s="11"/>
      <c r="CI903" s="11"/>
      <c r="CJ903" s="11"/>
    </row>
    <row r="904" spans="2:88"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  <c r="BZ904" s="11"/>
      <c r="CA904" s="11"/>
      <c r="CB904" s="11"/>
      <c r="CC904" s="11"/>
      <c r="CD904" s="11"/>
      <c r="CG904" s="11"/>
      <c r="CH904" s="11"/>
      <c r="CI904" s="11"/>
      <c r="CJ904" s="11"/>
    </row>
    <row r="905" spans="2:88"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  <c r="BZ905" s="11"/>
      <c r="CA905" s="11"/>
      <c r="CB905" s="11"/>
      <c r="CC905" s="11"/>
      <c r="CD905" s="11"/>
      <c r="CG905" s="11"/>
      <c r="CH905" s="11"/>
      <c r="CI905" s="11"/>
      <c r="CJ905" s="11"/>
    </row>
    <row r="906" spans="2:88"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  <c r="BZ906" s="11"/>
      <c r="CA906" s="11"/>
      <c r="CB906" s="11"/>
      <c r="CC906" s="11"/>
      <c r="CD906" s="11"/>
      <c r="CG906" s="11"/>
      <c r="CH906" s="11"/>
      <c r="CI906" s="11"/>
      <c r="CJ906" s="11"/>
    </row>
    <row r="907" spans="2:88"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  <c r="BZ907" s="11"/>
      <c r="CA907" s="11"/>
      <c r="CB907" s="11"/>
      <c r="CC907" s="11"/>
      <c r="CD907" s="11"/>
      <c r="CG907" s="11"/>
      <c r="CH907" s="11"/>
      <c r="CI907" s="11"/>
      <c r="CJ907" s="11"/>
    </row>
    <row r="908" spans="2:88"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  <c r="BZ908" s="11"/>
      <c r="CA908" s="11"/>
      <c r="CB908" s="11"/>
      <c r="CC908" s="11"/>
      <c r="CD908" s="11"/>
      <c r="CG908" s="11"/>
      <c r="CH908" s="11"/>
      <c r="CI908" s="11"/>
      <c r="CJ908" s="11"/>
    </row>
    <row r="909" spans="2:88"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  <c r="BZ909" s="11"/>
      <c r="CA909" s="11"/>
      <c r="CB909" s="11"/>
      <c r="CC909" s="11"/>
      <c r="CD909" s="11"/>
      <c r="CG909" s="11"/>
      <c r="CH909" s="11"/>
      <c r="CI909" s="11"/>
      <c r="CJ909" s="11"/>
    </row>
    <row r="910" spans="2:88"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  <c r="BZ910" s="11"/>
      <c r="CA910" s="11"/>
      <c r="CB910" s="11"/>
      <c r="CC910" s="11"/>
      <c r="CD910" s="11"/>
      <c r="CG910" s="11"/>
      <c r="CH910" s="11"/>
      <c r="CI910" s="11"/>
      <c r="CJ910" s="11"/>
    </row>
    <row r="911" spans="2:88"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  <c r="BZ911" s="11"/>
      <c r="CA911" s="11"/>
      <c r="CB911" s="11"/>
      <c r="CC911" s="11"/>
      <c r="CD911" s="11"/>
      <c r="CG911" s="11"/>
      <c r="CH911" s="11"/>
      <c r="CI911" s="11"/>
      <c r="CJ911" s="11"/>
    </row>
    <row r="912" spans="2:88"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  <c r="BZ912" s="11"/>
      <c r="CA912" s="11"/>
      <c r="CB912" s="11"/>
      <c r="CC912" s="11"/>
      <c r="CD912" s="11"/>
      <c r="CG912" s="11"/>
      <c r="CH912" s="11"/>
      <c r="CI912" s="11"/>
      <c r="CJ912" s="11"/>
    </row>
    <row r="913" spans="2:88"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  <c r="BZ913" s="11"/>
      <c r="CA913" s="11"/>
      <c r="CB913" s="11"/>
      <c r="CC913" s="11"/>
      <c r="CD913" s="11"/>
      <c r="CG913" s="11"/>
      <c r="CH913" s="11"/>
      <c r="CI913" s="11"/>
      <c r="CJ913" s="11"/>
    </row>
    <row r="914" spans="2:88"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  <c r="BZ914" s="11"/>
      <c r="CA914" s="11"/>
      <c r="CB914" s="11"/>
      <c r="CC914" s="11"/>
      <c r="CD914" s="11"/>
      <c r="CG914" s="11"/>
      <c r="CH914" s="11"/>
      <c r="CI914" s="11"/>
      <c r="CJ914" s="11"/>
    </row>
    <row r="915" spans="2:88"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  <c r="BZ915" s="11"/>
      <c r="CA915" s="11"/>
      <c r="CB915" s="11"/>
      <c r="CC915" s="11"/>
      <c r="CD915" s="11"/>
      <c r="CG915" s="11"/>
      <c r="CH915" s="11"/>
      <c r="CI915" s="11"/>
      <c r="CJ915" s="11"/>
    </row>
    <row r="916" spans="2:88"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  <c r="BZ916" s="11"/>
      <c r="CA916" s="11"/>
      <c r="CB916" s="11"/>
      <c r="CC916" s="11"/>
      <c r="CD916" s="11"/>
      <c r="CG916" s="11"/>
      <c r="CH916" s="11"/>
      <c r="CI916" s="11"/>
      <c r="CJ916" s="11"/>
    </row>
    <row r="917" spans="2:88"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G917" s="11"/>
      <c r="CH917" s="11"/>
      <c r="CI917" s="11"/>
      <c r="CJ917" s="11"/>
    </row>
    <row r="918" spans="2:88"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  <c r="BZ918" s="11"/>
      <c r="CA918" s="11"/>
      <c r="CB918" s="11"/>
      <c r="CC918" s="11"/>
      <c r="CD918" s="11"/>
      <c r="CG918" s="11"/>
      <c r="CH918" s="11"/>
      <c r="CI918" s="11"/>
      <c r="CJ918" s="11"/>
    </row>
    <row r="919" spans="2:88"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  <c r="BZ919" s="11"/>
      <c r="CA919" s="11"/>
      <c r="CB919" s="11"/>
      <c r="CC919" s="11"/>
      <c r="CD919" s="11"/>
      <c r="CG919" s="11"/>
      <c r="CH919" s="11"/>
      <c r="CI919" s="11"/>
      <c r="CJ919" s="11"/>
    </row>
    <row r="920" spans="2:88"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G920" s="11"/>
      <c r="CH920" s="11"/>
      <c r="CI920" s="11"/>
      <c r="CJ920" s="11"/>
    </row>
    <row r="921" spans="2:88"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  <c r="BZ921" s="11"/>
      <c r="CA921" s="11"/>
      <c r="CB921" s="11"/>
      <c r="CC921" s="11"/>
      <c r="CD921" s="11"/>
      <c r="CG921" s="11"/>
      <c r="CH921" s="11"/>
      <c r="CI921" s="11"/>
      <c r="CJ921" s="11"/>
    </row>
    <row r="922" spans="2:88"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  <c r="BZ922" s="11"/>
      <c r="CA922" s="11"/>
      <c r="CB922" s="11"/>
      <c r="CC922" s="11"/>
      <c r="CD922" s="11"/>
      <c r="CG922" s="11"/>
      <c r="CH922" s="11"/>
      <c r="CI922" s="11"/>
      <c r="CJ922" s="11"/>
    </row>
    <row r="923" spans="2:88"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  <c r="BZ923" s="11"/>
      <c r="CA923" s="11"/>
      <c r="CB923" s="11"/>
      <c r="CC923" s="11"/>
      <c r="CD923" s="11"/>
      <c r="CG923" s="11"/>
      <c r="CH923" s="11"/>
      <c r="CI923" s="11"/>
      <c r="CJ923" s="11"/>
    </row>
    <row r="924" spans="2:88"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  <c r="BZ924" s="11"/>
      <c r="CA924" s="11"/>
      <c r="CB924" s="11"/>
      <c r="CC924" s="11"/>
      <c r="CD924" s="11"/>
      <c r="CG924" s="11"/>
      <c r="CH924" s="11"/>
      <c r="CI924" s="11"/>
      <c r="CJ924" s="11"/>
    </row>
    <row r="925" spans="2:88"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  <c r="BZ925" s="11"/>
      <c r="CA925" s="11"/>
      <c r="CB925" s="11"/>
      <c r="CC925" s="11"/>
      <c r="CD925" s="11"/>
      <c r="CG925" s="11"/>
      <c r="CH925" s="11"/>
      <c r="CI925" s="11"/>
      <c r="CJ925" s="11"/>
    </row>
    <row r="926" spans="2:88"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  <c r="BZ926" s="11"/>
      <c r="CA926" s="11"/>
      <c r="CB926" s="11"/>
      <c r="CC926" s="11"/>
      <c r="CD926" s="11"/>
      <c r="CG926" s="11"/>
      <c r="CH926" s="11"/>
      <c r="CI926" s="11"/>
      <c r="CJ926" s="11"/>
    </row>
    <row r="927" spans="2:88"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  <c r="BZ927" s="11"/>
      <c r="CA927" s="11"/>
      <c r="CB927" s="11"/>
      <c r="CC927" s="11"/>
      <c r="CD927" s="11"/>
      <c r="CG927" s="11"/>
      <c r="CH927" s="11"/>
      <c r="CI927" s="11"/>
      <c r="CJ927" s="11"/>
    </row>
    <row r="928" spans="2:88"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  <c r="BZ928" s="11"/>
      <c r="CA928" s="11"/>
      <c r="CB928" s="11"/>
      <c r="CC928" s="11"/>
      <c r="CD928" s="11"/>
      <c r="CG928" s="11"/>
      <c r="CH928" s="11"/>
      <c r="CI928" s="11"/>
      <c r="CJ928" s="11"/>
    </row>
    <row r="929" spans="2:88"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  <c r="BZ929" s="11"/>
      <c r="CA929" s="11"/>
      <c r="CB929" s="11"/>
      <c r="CC929" s="11"/>
      <c r="CD929" s="11"/>
      <c r="CG929" s="11"/>
      <c r="CH929" s="11"/>
      <c r="CI929" s="11"/>
      <c r="CJ929" s="11"/>
    </row>
    <row r="930" spans="2:88"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  <c r="BZ930" s="11"/>
      <c r="CA930" s="11"/>
      <c r="CB930" s="11"/>
      <c r="CC930" s="11"/>
      <c r="CD930" s="11"/>
      <c r="CG930" s="11"/>
      <c r="CH930" s="11"/>
      <c r="CI930" s="11"/>
      <c r="CJ930" s="11"/>
    </row>
    <row r="931" spans="2:88"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  <c r="BZ931" s="11"/>
      <c r="CA931" s="11"/>
      <c r="CB931" s="11"/>
      <c r="CC931" s="11"/>
      <c r="CD931" s="11"/>
      <c r="CG931" s="11"/>
      <c r="CH931" s="11"/>
      <c r="CI931" s="11"/>
      <c r="CJ931" s="11"/>
    </row>
    <row r="932" spans="2:88"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  <c r="BZ932" s="11"/>
      <c r="CA932" s="11"/>
      <c r="CB932" s="11"/>
      <c r="CC932" s="11"/>
      <c r="CD932" s="11"/>
      <c r="CG932" s="11"/>
      <c r="CH932" s="11"/>
      <c r="CI932" s="11"/>
      <c r="CJ932" s="11"/>
    </row>
    <row r="933" spans="2:88"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  <c r="BZ933" s="11"/>
      <c r="CA933" s="11"/>
      <c r="CB933" s="11"/>
      <c r="CC933" s="11"/>
      <c r="CD933" s="11"/>
      <c r="CG933" s="11"/>
      <c r="CH933" s="11"/>
      <c r="CI933" s="11"/>
      <c r="CJ933" s="11"/>
    </row>
    <row r="934" spans="2:88"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  <c r="BZ934" s="11"/>
      <c r="CA934" s="11"/>
      <c r="CB934" s="11"/>
      <c r="CC934" s="11"/>
      <c r="CD934" s="11"/>
      <c r="CG934" s="11"/>
      <c r="CH934" s="11"/>
      <c r="CI934" s="11"/>
      <c r="CJ934" s="11"/>
    </row>
    <row r="935" spans="2:88"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  <c r="BZ935" s="11"/>
      <c r="CA935" s="11"/>
      <c r="CB935" s="11"/>
      <c r="CC935" s="11"/>
      <c r="CD935" s="11"/>
      <c r="CG935" s="11"/>
      <c r="CH935" s="11"/>
      <c r="CI935" s="11"/>
      <c r="CJ935" s="11"/>
    </row>
    <row r="936" spans="2:88"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  <c r="BZ936" s="11"/>
      <c r="CA936" s="11"/>
      <c r="CB936" s="11"/>
      <c r="CC936" s="11"/>
      <c r="CD936" s="11"/>
      <c r="CG936" s="11"/>
      <c r="CH936" s="11"/>
      <c r="CI936" s="11"/>
      <c r="CJ936" s="11"/>
    </row>
    <row r="937" spans="2:88"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  <c r="BZ937" s="11"/>
      <c r="CA937" s="11"/>
      <c r="CB937" s="11"/>
      <c r="CC937" s="11"/>
      <c r="CD937" s="11"/>
      <c r="CG937" s="11"/>
      <c r="CH937" s="11"/>
      <c r="CI937" s="11"/>
      <c r="CJ937" s="11"/>
    </row>
    <row r="938" spans="2:88"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G938" s="11"/>
      <c r="CH938" s="11"/>
      <c r="CI938" s="11"/>
      <c r="CJ938" s="11"/>
    </row>
    <row r="939" spans="2:88"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  <c r="BZ939" s="11"/>
      <c r="CA939" s="11"/>
      <c r="CB939" s="11"/>
      <c r="CC939" s="11"/>
      <c r="CD939" s="11"/>
      <c r="CG939" s="11"/>
      <c r="CH939" s="11"/>
      <c r="CI939" s="11"/>
      <c r="CJ939" s="11"/>
    </row>
    <row r="940" spans="2:88"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  <c r="BZ940" s="11"/>
      <c r="CA940" s="11"/>
      <c r="CB940" s="11"/>
      <c r="CC940" s="11"/>
      <c r="CD940" s="11"/>
      <c r="CG940" s="11"/>
      <c r="CH940" s="11"/>
      <c r="CI940" s="11"/>
      <c r="CJ940" s="11"/>
    </row>
    <row r="941" spans="2:88"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  <c r="BZ941" s="11"/>
      <c r="CA941" s="11"/>
      <c r="CB941" s="11"/>
      <c r="CC941" s="11"/>
      <c r="CD941" s="11"/>
      <c r="CG941" s="11"/>
      <c r="CH941" s="11"/>
      <c r="CI941" s="11"/>
      <c r="CJ941" s="11"/>
    </row>
    <row r="942" spans="2:88"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  <c r="BZ942" s="11"/>
      <c r="CA942" s="11"/>
      <c r="CB942" s="11"/>
      <c r="CC942" s="11"/>
      <c r="CD942" s="11"/>
      <c r="CG942" s="11"/>
      <c r="CH942" s="11"/>
      <c r="CI942" s="11"/>
      <c r="CJ942" s="11"/>
    </row>
    <row r="943" spans="2:88"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  <c r="BZ943" s="11"/>
      <c r="CA943" s="11"/>
      <c r="CB943" s="11"/>
      <c r="CC943" s="11"/>
      <c r="CD943" s="11"/>
      <c r="CG943" s="11"/>
      <c r="CH943" s="11"/>
      <c r="CI943" s="11"/>
      <c r="CJ943" s="11"/>
    </row>
    <row r="944" spans="2:88"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  <c r="BZ944" s="11"/>
      <c r="CA944" s="11"/>
      <c r="CB944" s="11"/>
      <c r="CC944" s="11"/>
      <c r="CD944" s="11"/>
      <c r="CG944" s="11"/>
      <c r="CH944" s="11"/>
      <c r="CI944" s="11"/>
      <c r="CJ944" s="11"/>
    </row>
    <row r="945" spans="2:88"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  <c r="BZ945" s="11"/>
      <c r="CA945" s="11"/>
      <c r="CB945" s="11"/>
      <c r="CC945" s="11"/>
      <c r="CD945" s="11"/>
      <c r="CG945" s="11"/>
      <c r="CH945" s="11"/>
      <c r="CI945" s="11"/>
      <c r="CJ945" s="11"/>
    </row>
    <row r="946" spans="2:88"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  <c r="BZ946" s="11"/>
      <c r="CA946" s="11"/>
      <c r="CB946" s="11"/>
      <c r="CC946" s="11"/>
      <c r="CD946" s="11"/>
      <c r="CG946" s="11"/>
      <c r="CH946" s="11"/>
      <c r="CI946" s="11"/>
      <c r="CJ946" s="11"/>
    </row>
    <row r="947" spans="2:88"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  <c r="BZ947" s="11"/>
      <c r="CA947" s="11"/>
      <c r="CB947" s="11"/>
      <c r="CC947" s="11"/>
      <c r="CD947" s="11"/>
      <c r="CG947" s="11"/>
      <c r="CH947" s="11"/>
      <c r="CI947" s="11"/>
      <c r="CJ947" s="11"/>
    </row>
    <row r="948" spans="2:88"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  <c r="BZ948" s="11"/>
      <c r="CA948" s="11"/>
      <c r="CB948" s="11"/>
      <c r="CC948" s="11"/>
      <c r="CD948" s="11"/>
      <c r="CG948" s="11"/>
      <c r="CH948" s="11"/>
      <c r="CI948" s="11"/>
      <c r="CJ948" s="11"/>
    </row>
    <row r="949" spans="2:88"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  <c r="BZ949" s="11"/>
      <c r="CA949" s="11"/>
      <c r="CB949" s="11"/>
      <c r="CC949" s="11"/>
      <c r="CD949" s="11"/>
      <c r="CG949" s="11"/>
      <c r="CH949" s="11"/>
      <c r="CI949" s="11"/>
      <c r="CJ949" s="11"/>
    </row>
    <row r="950" spans="2:88"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  <c r="BZ950" s="11"/>
      <c r="CA950" s="11"/>
      <c r="CB950" s="11"/>
      <c r="CC950" s="11"/>
      <c r="CD950" s="11"/>
      <c r="CG950" s="11"/>
      <c r="CH950" s="11"/>
      <c r="CI950" s="11"/>
      <c r="CJ950" s="11"/>
    </row>
  </sheetData>
  <sheetProtection selectLockedCells="1" selectUnlockedCells="1"/>
  <mergeCells count="2">
    <mergeCell ref="CH1:CI1"/>
    <mergeCell ref="CJ1:CK1"/>
  </mergeCells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25</vt:i4>
      </vt:variant>
    </vt:vector>
  </HeadingPairs>
  <TitlesOfParts>
    <vt:vector size="41" baseType="lpstr">
      <vt:lpstr>Record Identification</vt:lpstr>
      <vt:lpstr>Application Annually</vt:lpstr>
      <vt:lpstr>Annually (Monthly Calc Capable)</vt:lpstr>
      <vt:lpstr>چاپ جدول مذاکره سالیانه</vt:lpstr>
      <vt:lpstr>تفکیک حق بیمه پرداختی</vt:lpstr>
      <vt:lpstr>Changes</vt:lpstr>
      <vt:lpstr>Annual Calculation</vt:lpstr>
      <vt:lpstr>Profit Calculation</vt:lpstr>
      <vt:lpstr>Single</vt:lpstr>
      <vt:lpstr>db</vt:lpstr>
      <vt:lpstr>Mortality Table</vt:lpstr>
      <vt:lpstr>RiskLoading</vt:lpstr>
      <vt:lpstr>RiskLoadingChange</vt:lpstr>
      <vt:lpstr>reserve calculation</vt:lpstr>
      <vt:lpstr>Profit Division</vt:lpstr>
      <vt:lpstr>Paid-up Penalty</vt:lpstr>
      <vt:lpstr>AgePlusDuration</vt:lpstr>
      <vt:lpstr>Annulment</vt:lpstr>
      <vt:lpstr>Changes!Change</vt:lpstr>
      <vt:lpstr>Changes!ChangeType</vt:lpstr>
      <vt:lpstr>cityTaxRate</vt:lpstr>
      <vt:lpstr>FLAG</vt:lpstr>
      <vt:lpstr>healthTaxRate</vt:lpstr>
      <vt:lpstr>InitialFund</vt:lpstr>
      <vt:lpstr>InsurancePeriod</vt:lpstr>
      <vt:lpstr>'Paid-up Penalty'!INSURING_COST</vt:lpstr>
      <vt:lpstr>INSURING_COST</vt:lpstr>
      <vt:lpstr>MAX_ACC_CAPITAL</vt:lpstr>
      <vt:lpstr>MAX_CAPITAL</vt:lpstr>
      <vt:lpstr>Changes!NewChangedValue</vt:lpstr>
      <vt:lpstr>Changes!NewDeathCapital</vt:lpstr>
      <vt:lpstr>PaidUpOption</vt:lpstr>
      <vt:lpstr>'Paid-up Penalty'!PremiumLst</vt:lpstr>
      <vt:lpstr>PremiumLst</vt:lpstr>
      <vt:lpstr>'چاپ جدول مذاکره سالیانه'!Print_Titles</vt:lpstr>
      <vt:lpstr>Changes!RiderType</vt:lpstr>
      <vt:lpstr>RiskLoadingPercentage</vt:lpstr>
      <vt:lpstr>SumOfTAX</vt:lpstr>
      <vt:lpstr>Changes!ValidityYear</vt:lpstr>
      <vt:lpstr>vAtRate</vt:lpstr>
      <vt:lpstr>WOP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2016-11-23T07:04:42Z</dcterms:modified>
</cp:coreProperties>
</file>